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sophy/Desktop/Master Project/"/>
    </mc:Choice>
  </mc:AlternateContent>
  <xr:revisionPtr revIDLastSave="0" documentId="8_{4F644EB0-8AF3-714F-B5BA-93AF0473ED90}" xr6:coauthVersionLast="47" xr6:coauthVersionMax="47" xr10:uidLastSave="{00000000-0000-0000-0000-000000000000}"/>
  <bookViews>
    <workbookView xWindow="0" yWindow="500" windowWidth="25600" windowHeight="13840" firstSheet="10" activeTab="19" xr2:uid="{00000000-000D-0000-FFFF-FFFF00000000}"/>
  </bookViews>
  <sheets>
    <sheet name="Barrierenmessung" sheetId="2" r:id="rId1"/>
    <sheet name="Barrierenmessung_reviewed" sheetId="36" r:id="rId2"/>
    <sheet name="Kalkulationen gesamt" sheetId="37" r:id="rId3"/>
    <sheet name="Kalkulationen Barrieretypen" sheetId="7" r:id="rId4"/>
    <sheet name="Remote Tool Evaluation" sheetId="8" r:id="rId5"/>
    <sheet name="Remote Tool Messungen" sheetId="9" r:id="rId6"/>
    <sheet name="gate" sheetId="38" r:id="rId7"/>
    <sheet name="bollard" sheetId="19" r:id="rId8"/>
    <sheet name="kerb" sheetId="39" r:id="rId9"/>
    <sheet name="stair" sheetId="40" r:id="rId10"/>
    <sheet name="other" sheetId="41" r:id="rId11"/>
    <sheet name="cycle_barrier" sheetId="42" r:id="rId12"/>
    <sheet name="block" sheetId="43" r:id="rId13"/>
    <sheet name="planter" sheetId="44" r:id="rId14"/>
    <sheet name="problematic_way" sheetId="45" r:id="rId15"/>
    <sheet name="cross_drain" sheetId="46" r:id="rId16"/>
    <sheet name="Infra3d - E" sheetId="22" r:id="rId17"/>
    <sheet name="remote" sheetId="47" r:id="rId18"/>
    <sheet name="on-site" sheetId="48" r:id="rId19"/>
    <sheet name="remote vs on-site" sheetId="49" r:id="rId20"/>
    <sheet name="barrier matrix" sheetId="50" r:id="rId21"/>
    <sheet name="tool matrix (improved concept)" sheetId="52" r:id="rId22"/>
    <sheet name="accuracy barriers" sheetId="51" r:id="rId23"/>
    <sheet name="images" sheetId="5" r:id="rId24"/>
    <sheet name="Sheet0" sheetId="1" r:id="rId25"/>
  </sheets>
  <externalReferences>
    <externalReference r:id="rId26"/>
  </externalReferences>
  <definedNames>
    <definedName name="_xlnm._FilterDatabase" localSheetId="0" hidden="1">Barrierenmessung!$A$1:$AN$1168</definedName>
    <definedName name="_xlnm._FilterDatabase" localSheetId="1" hidden="1">Barrierenmessung_reviewed!$A$1:$AN$1147</definedName>
    <definedName name="_xlnm._FilterDatabase" localSheetId="23" hidden="1">images!$A$1:$L$1241</definedName>
    <definedName name="_xlnm._FilterDatabase" localSheetId="16" hidden="1">'Infra3d - E'!$A$1:$T$16</definedName>
    <definedName name="_xlchart.v1.0" hidden="1">Barrierenmessung_reviewed!$R$1</definedName>
    <definedName name="_xlchart.v1.1" hidden="1">Barrierenmessung_reviewed!$R$2:$R$1147</definedName>
    <definedName name="_xlchart.v1.2" hidden="1">Barrierenmessung_reviewed!$U$2:$U$1147</definedName>
    <definedName name="_xlchart.v1.3" hidden="1">Barrierenmessung_reviewed!$Q$1</definedName>
    <definedName name="_xlchart.v1.4" hidden="1">Barrierenmessung_reviewed!$Q$2:$Q$1147</definedName>
    <definedName name="_xlchart.v1.5" hidden="1">Barrierenmessung_reviewed!$U$2:$U$1147</definedName>
    <definedName name="_xlchart.v1.6" hidden="1">Barrierenmessung_reviewed!$Q$1</definedName>
    <definedName name="_xlchart.v1.7" hidden="1">Barrierenmessung_reviewed!$Q$2:$Q$1147</definedName>
    <definedName name="_xlchart.v1.8" hidden="1">Barrierenmessung_reviewed!$U$2:$U$1147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1" i="7" l="1"/>
  <c r="T10" i="7"/>
  <c r="T9" i="7"/>
  <c r="T8" i="7"/>
  <c r="T7" i="7"/>
  <c r="T6" i="7"/>
  <c r="T5" i="7"/>
  <c r="T4" i="7"/>
  <c r="T3" i="7"/>
  <c r="T2" i="7"/>
  <c r="T13" i="7" s="1"/>
  <c r="Z15" i="9" l="1"/>
  <c r="BY3" i="40"/>
  <c r="BY4" i="40"/>
  <c r="BY5" i="40"/>
  <c r="BY6" i="40"/>
  <c r="BY7" i="40"/>
  <c r="BY8" i="40"/>
  <c r="BY9" i="40"/>
  <c r="BY10" i="40"/>
  <c r="BY11" i="40"/>
  <c r="BY12" i="40"/>
  <c r="BY13" i="40"/>
  <c r="BY14" i="40"/>
  <c r="BY15" i="40"/>
  <c r="BY16" i="40"/>
  <c r="BY17" i="40"/>
  <c r="BY18" i="40"/>
  <c r="BY19" i="40"/>
  <c r="BY20" i="40"/>
  <c r="BY21" i="40"/>
  <c r="BY22" i="40"/>
  <c r="BY23" i="40"/>
  <c r="BY24" i="40"/>
  <c r="BY25" i="40"/>
  <c r="BY26" i="40"/>
  <c r="BY27" i="40"/>
  <c r="BY28" i="40"/>
  <c r="BY29" i="40"/>
  <c r="BY30" i="40"/>
  <c r="BY31" i="40"/>
  <c r="BX3" i="40"/>
  <c r="BX4" i="40"/>
  <c r="BX5" i="40"/>
  <c r="BX6" i="40"/>
  <c r="BX7" i="40"/>
  <c r="BX8" i="40"/>
  <c r="BX9" i="40"/>
  <c r="BX10" i="40"/>
  <c r="BX11" i="40"/>
  <c r="BX12" i="40"/>
  <c r="BX13" i="40"/>
  <c r="BX14" i="40"/>
  <c r="BX15" i="40"/>
  <c r="BX16" i="40"/>
  <c r="BX17" i="40"/>
  <c r="BX18" i="40"/>
  <c r="BX19" i="40"/>
  <c r="BX20" i="40"/>
  <c r="BX21" i="40"/>
  <c r="BX22" i="40"/>
  <c r="BX23" i="40"/>
  <c r="BX24" i="40"/>
  <c r="BX25" i="40"/>
  <c r="BX26" i="40"/>
  <c r="BX27" i="40"/>
  <c r="BX28" i="40"/>
  <c r="BX29" i="40"/>
  <c r="BX30" i="40"/>
  <c r="BX31" i="40"/>
  <c r="BW3" i="40"/>
  <c r="BW4" i="40"/>
  <c r="BW5" i="40"/>
  <c r="BW6" i="40"/>
  <c r="BW7" i="40"/>
  <c r="BW8" i="40"/>
  <c r="BW9" i="40"/>
  <c r="BW10" i="40"/>
  <c r="BW11" i="40"/>
  <c r="BW12" i="40"/>
  <c r="BW13" i="40"/>
  <c r="BW14" i="40"/>
  <c r="BW15" i="40"/>
  <c r="BW16" i="40"/>
  <c r="BW17" i="40"/>
  <c r="BW18" i="40"/>
  <c r="BW19" i="40"/>
  <c r="BW20" i="40"/>
  <c r="BW21" i="40"/>
  <c r="BW22" i="40"/>
  <c r="BW23" i="40"/>
  <c r="BW24" i="40"/>
  <c r="BW25" i="40"/>
  <c r="BW26" i="40"/>
  <c r="BW27" i="40"/>
  <c r="BW28" i="40"/>
  <c r="BW29" i="40"/>
  <c r="BW30" i="40"/>
  <c r="BW31" i="40"/>
  <c r="BU3" i="40"/>
  <c r="BU4" i="40"/>
  <c r="BU5" i="40"/>
  <c r="BU6" i="40"/>
  <c r="BU7" i="40"/>
  <c r="BU8" i="40"/>
  <c r="BU9" i="40"/>
  <c r="BU10" i="40"/>
  <c r="BU11" i="40"/>
  <c r="BU12" i="40"/>
  <c r="BU13" i="40"/>
  <c r="BU14" i="40"/>
  <c r="BU15" i="40"/>
  <c r="BU16" i="40"/>
  <c r="BU17" i="40"/>
  <c r="BU18" i="40"/>
  <c r="BU19" i="40"/>
  <c r="BU20" i="40"/>
  <c r="BU21" i="40"/>
  <c r="BU22" i="40"/>
  <c r="BU23" i="40"/>
  <c r="BU24" i="40"/>
  <c r="BU25" i="40"/>
  <c r="BU26" i="40"/>
  <c r="BU27" i="40"/>
  <c r="BU28" i="40"/>
  <c r="BU29" i="40"/>
  <c r="BU30" i="40"/>
  <c r="BU31" i="40"/>
  <c r="BT3" i="40"/>
  <c r="BT4" i="40"/>
  <c r="BT5" i="40"/>
  <c r="BT6" i="40"/>
  <c r="BT7" i="40"/>
  <c r="BT8" i="40"/>
  <c r="BT9" i="40"/>
  <c r="BT10" i="40"/>
  <c r="BT11" i="40"/>
  <c r="BT12" i="40"/>
  <c r="BT13" i="40"/>
  <c r="BT14" i="40"/>
  <c r="BT15" i="40"/>
  <c r="BT16" i="40"/>
  <c r="BT17" i="40"/>
  <c r="BT18" i="40"/>
  <c r="BT19" i="40"/>
  <c r="BT20" i="40"/>
  <c r="BT21" i="40"/>
  <c r="BT22" i="40"/>
  <c r="BT23" i="40"/>
  <c r="BT24" i="40"/>
  <c r="BT25" i="40"/>
  <c r="BT26" i="40"/>
  <c r="BT27" i="40"/>
  <c r="BT28" i="40"/>
  <c r="BT29" i="40"/>
  <c r="BT30" i="40"/>
  <c r="BT31" i="40"/>
  <c r="BS3" i="40"/>
  <c r="BS4" i="40"/>
  <c r="BS5" i="40"/>
  <c r="BS6" i="40"/>
  <c r="BS7" i="40"/>
  <c r="BS8" i="40"/>
  <c r="BS9" i="40"/>
  <c r="BS10" i="40"/>
  <c r="BS11" i="40"/>
  <c r="BS12" i="40"/>
  <c r="BS13" i="40"/>
  <c r="BS14" i="40"/>
  <c r="BS15" i="40"/>
  <c r="BS16" i="40"/>
  <c r="BS17" i="40"/>
  <c r="BS18" i="40"/>
  <c r="BS19" i="40"/>
  <c r="BS20" i="40"/>
  <c r="BS21" i="40"/>
  <c r="BS22" i="40"/>
  <c r="BS23" i="40"/>
  <c r="BS24" i="40"/>
  <c r="BS25" i="40"/>
  <c r="BS26" i="40"/>
  <c r="BS27" i="40"/>
  <c r="BS28" i="40"/>
  <c r="BS29" i="40"/>
  <c r="BS30" i="40"/>
  <c r="BS31" i="40"/>
  <c r="BE3" i="40"/>
  <c r="BE4" i="40"/>
  <c r="BE5" i="40"/>
  <c r="BE6" i="40"/>
  <c r="BE7" i="40"/>
  <c r="BE8" i="40"/>
  <c r="BE9" i="40"/>
  <c r="BE10" i="40"/>
  <c r="BE11" i="40"/>
  <c r="BE12" i="40"/>
  <c r="BE13" i="40"/>
  <c r="BE14" i="40"/>
  <c r="BE15" i="40"/>
  <c r="BE16" i="40"/>
  <c r="BE17" i="40"/>
  <c r="BE18" i="40"/>
  <c r="BE19" i="40"/>
  <c r="BE20" i="40"/>
  <c r="BE21" i="40"/>
  <c r="BE22" i="40"/>
  <c r="BE23" i="40"/>
  <c r="BE24" i="40"/>
  <c r="BE25" i="40"/>
  <c r="BE26" i="40"/>
  <c r="BE27" i="40"/>
  <c r="BE28" i="40"/>
  <c r="BE29" i="40"/>
  <c r="BE30" i="40"/>
  <c r="BE31" i="40"/>
  <c r="BD3" i="40"/>
  <c r="BD4" i="40"/>
  <c r="BD5" i="40"/>
  <c r="BD6" i="40"/>
  <c r="BD7" i="40"/>
  <c r="BD8" i="40"/>
  <c r="BD9" i="40"/>
  <c r="BD10" i="40"/>
  <c r="BD11" i="40"/>
  <c r="BD12" i="40"/>
  <c r="BD13" i="40"/>
  <c r="BD14" i="40"/>
  <c r="BD15" i="40"/>
  <c r="BD16" i="40"/>
  <c r="BD17" i="40"/>
  <c r="BD18" i="40"/>
  <c r="BD19" i="40"/>
  <c r="BD20" i="40"/>
  <c r="BD21" i="40"/>
  <c r="BD22" i="40"/>
  <c r="BD23" i="40"/>
  <c r="BD24" i="40"/>
  <c r="BD25" i="40"/>
  <c r="BD26" i="40"/>
  <c r="BD27" i="40"/>
  <c r="BD28" i="40"/>
  <c r="BD29" i="40"/>
  <c r="BD30" i="40"/>
  <c r="BD31" i="40"/>
  <c r="BC3" i="40"/>
  <c r="BC4" i="40"/>
  <c r="BC5" i="40"/>
  <c r="BC6" i="40"/>
  <c r="BC7" i="40"/>
  <c r="BC8" i="40"/>
  <c r="BC9" i="40"/>
  <c r="BC10" i="40"/>
  <c r="BC11" i="40"/>
  <c r="BC12" i="40"/>
  <c r="BC13" i="40"/>
  <c r="BC14" i="40"/>
  <c r="BC15" i="40"/>
  <c r="BC16" i="40"/>
  <c r="BC17" i="40"/>
  <c r="BC18" i="40"/>
  <c r="BC19" i="40"/>
  <c r="BC20" i="40"/>
  <c r="BC21" i="40"/>
  <c r="BC22" i="40"/>
  <c r="BC23" i="40"/>
  <c r="BC24" i="40"/>
  <c r="BC25" i="40"/>
  <c r="BC26" i="40"/>
  <c r="BC27" i="40"/>
  <c r="BC28" i="40"/>
  <c r="BC29" i="40"/>
  <c r="BC30" i="40"/>
  <c r="BC31" i="40"/>
  <c r="BA3" i="40"/>
  <c r="BA4" i="40"/>
  <c r="BA5" i="40"/>
  <c r="BA6" i="40"/>
  <c r="BA7" i="40"/>
  <c r="BA8" i="40"/>
  <c r="BA9" i="40"/>
  <c r="BA10" i="40"/>
  <c r="BA11" i="40"/>
  <c r="BA12" i="40"/>
  <c r="BA13" i="40"/>
  <c r="BA14" i="40"/>
  <c r="BA15" i="40"/>
  <c r="BA16" i="40"/>
  <c r="BA17" i="40"/>
  <c r="BA18" i="40"/>
  <c r="BA19" i="40"/>
  <c r="BA20" i="40"/>
  <c r="BA21" i="40"/>
  <c r="BA22" i="40"/>
  <c r="BA23" i="40"/>
  <c r="BA24" i="40"/>
  <c r="BA25" i="40"/>
  <c r="BA26" i="40"/>
  <c r="BA27" i="40"/>
  <c r="BA28" i="40"/>
  <c r="BA29" i="40"/>
  <c r="BA30" i="40"/>
  <c r="BA31" i="40"/>
  <c r="AZ3" i="40"/>
  <c r="AZ4" i="40"/>
  <c r="AZ5" i="40"/>
  <c r="AZ6" i="40"/>
  <c r="AZ7" i="40"/>
  <c r="AZ8" i="40"/>
  <c r="AZ9" i="40"/>
  <c r="AZ10" i="40"/>
  <c r="AZ11" i="40"/>
  <c r="AZ12" i="40"/>
  <c r="AZ13" i="40"/>
  <c r="AZ14" i="40"/>
  <c r="AZ15" i="40"/>
  <c r="AZ16" i="40"/>
  <c r="AZ17" i="40"/>
  <c r="AZ18" i="40"/>
  <c r="AZ19" i="40"/>
  <c r="AZ20" i="40"/>
  <c r="AZ21" i="40"/>
  <c r="AZ22" i="40"/>
  <c r="AZ23" i="40"/>
  <c r="AZ24" i="40"/>
  <c r="AZ25" i="40"/>
  <c r="AZ26" i="40"/>
  <c r="AZ27" i="40"/>
  <c r="AZ28" i="40"/>
  <c r="AZ29" i="40"/>
  <c r="AZ30" i="40"/>
  <c r="AZ31" i="40"/>
  <c r="AY3" i="40"/>
  <c r="AY4" i="40"/>
  <c r="AY5" i="40"/>
  <c r="AY6" i="40"/>
  <c r="AY7" i="40"/>
  <c r="AY8" i="40"/>
  <c r="AY9" i="40"/>
  <c r="AY10" i="40"/>
  <c r="AY11" i="40"/>
  <c r="AY12" i="40"/>
  <c r="AY13" i="40"/>
  <c r="AY14" i="40"/>
  <c r="AY15" i="40"/>
  <c r="AY16" i="40"/>
  <c r="AY17" i="40"/>
  <c r="AY18" i="40"/>
  <c r="AY19" i="40"/>
  <c r="AY20" i="40"/>
  <c r="AY21" i="40"/>
  <c r="AY22" i="40"/>
  <c r="AY23" i="40"/>
  <c r="AY24" i="40"/>
  <c r="AY25" i="40"/>
  <c r="AY26" i="40"/>
  <c r="AY27" i="40"/>
  <c r="AY28" i="40"/>
  <c r="AY29" i="40"/>
  <c r="AY30" i="40"/>
  <c r="AY31" i="40"/>
  <c r="AV31" i="39"/>
  <c r="AV28" i="39"/>
  <c r="AV24" i="39"/>
  <c r="AV20" i="39"/>
  <c r="AV21" i="39"/>
  <c r="AV16" i="39"/>
  <c r="AV17" i="39"/>
  <c r="AV10" i="39"/>
  <c r="AV11" i="39"/>
  <c r="AV12" i="39"/>
  <c r="AV32" i="39" s="1"/>
  <c r="AV5" i="39"/>
  <c r="AU31" i="39"/>
  <c r="AU28" i="39"/>
  <c r="AU24" i="39"/>
  <c r="AU20" i="39"/>
  <c r="AU21" i="39"/>
  <c r="AU16" i="39"/>
  <c r="AU17" i="39"/>
  <c r="AU10" i="39"/>
  <c r="AU11" i="39"/>
  <c r="AU12" i="39"/>
  <c r="AU5" i="39"/>
  <c r="AX6" i="19"/>
  <c r="AW6" i="19"/>
  <c r="AW8" i="19" s="1"/>
  <c r="O3" i="9" s="1"/>
  <c r="P14" i="49"/>
  <c r="Q4" i="49"/>
  <c r="Q5" i="49"/>
  <c r="Q6" i="49"/>
  <c r="Q7" i="49"/>
  <c r="Q8" i="49"/>
  <c r="Q9" i="49"/>
  <c r="Q10" i="49"/>
  <c r="Q11" i="49"/>
  <c r="Q12" i="49"/>
  <c r="Q14" i="49"/>
  <c r="Q3" i="49"/>
  <c r="U9" i="9"/>
  <c r="X15" i="9"/>
  <c r="U15" i="9"/>
  <c r="G15" i="9"/>
  <c r="F15" i="9"/>
  <c r="R15" i="9"/>
  <c r="S15" i="9"/>
  <c r="M15" i="9"/>
  <c r="L15" i="9"/>
  <c r="S9" i="9"/>
  <c r="R9" i="9"/>
  <c r="T9" i="9"/>
  <c r="Q9" i="9"/>
  <c r="P9" i="9"/>
  <c r="G9" i="9"/>
  <c r="F9" i="9"/>
  <c r="D9" i="9"/>
  <c r="BJ3" i="44"/>
  <c r="BO3" i="44"/>
  <c r="BO2" i="44"/>
  <c r="BP2" i="44"/>
  <c r="BN2" i="44"/>
  <c r="BM2" i="44"/>
  <c r="BL2" i="44"/>
  <c r="BK2" i="44"/>
  <c r="H8" i="9"/>
  <c r="E8" i="9"/>
  <c r="D8" i="9"/>
  <c r="AS32" i="43"/>
  <c r="Q32" i="43"/>
  <c r="I8" i="9"/>
  <c r="G8" i="9"/>
  <c r="F8" i="9"/>
  <c r="AX32" i="43"/>
  <c r="AX2" i="43"/>
  <c r="AY2" i="43"/>
  <c r="AW2" i="43"/>
  <c r="BE58" i="45"/>
  <c r="BH60" i="45"/>
  <c r="BH56" i="45" a="1"/>
  <c r="BH56" i="45"/>
  <c r="BH55" i="45" a="1"/>
  <c r="BH55" i="45" s="1"/>
  <c r="BH54" i="45" a="1"/>
  <c r="BH54" i="45" s="1"/>
  <c r="BH52" i="45" a="1"/>
  <c r="BH52" i="45"/>
  <c r="BH47" i="45" a="1"/>
  <c r="BH47" i="45"/>
  <c r="BH46" i="45" a="1"/>
  <c r="BH46" i="45" s="1"/>
  <c r="BH45" i="45" a="1"/>
  <c r="BH45" i="45"/>
  <c r="BH44" i="45" a="1"/>
  <c r="BH44" i="45"/>
  <c r="BH41" i="45" a="1"/>
  <c r="BH41" i="45" s="1"/>
  <c r="BH40" i="45" a="1"/>
  <c r="BH40" i="45"/>
  <c r="BH39" i="45" a="1"/>
  <c r="BH39" i="45" s="1"/>
  <c r="AP32" i="43"/>
  <c r="AV21" i="43"/>
  <c r="AV22" i="43"/>
  <c r="AV23" i="43"/>
  <c r="AV24" i="43"/>
  <c r="AV25" i="43"/>
  <c r="AV26" i="43"/>
  <c r="AV27" i="43"/>
  <c r="AV28" i="43"/>
  <c r="AV29" i="43"/>
  <c r="AV30" i="43"/>
  <c r="AV31" i="43"/>
  <c r="AV3" i="43"/>
  <c r="AV4" i="43"/>
  <c r="AV5" i="43"/>
  <c r="AV6" i="43"/>
  <c r="AV7" i="43"/>
  <c r="AV8" i="43"/>
  <c r="AV9" i="43"/>
  <c r="AV10" i="43"/>
  <c r="AV11" i="43"/>
  <c r="AV12" i="43"/>
  <c r="AV13" i="43"/>
  <c r="AV14" i="43"/>
  <c r="AV15" i="43"/>
  <c r="AV16" i="43"/>
  <c r="AV17" i="43"/>
  <c r="AV18" i="43"/>
  <c r="AV19" i="43"/>
  <c r="AV20" i="43"/>
  <c r="AO32" i="43"/>
  <c r="AV2" i="43"/>
  <c r="AU2" i="43"/>
  <c r="E24" i="49"/>
  <c r="AU30" i="43"/>
  <c r="AU31" i="43"/>
  <c r="AU17" i="43"/>
  <c r="AU18" i="43"/>
  <c r="AU19" i="43"/>
  <c r="AU20" i="43"/>
  <c r="AU21" i="43"/>
  <c r="AU22" i="43"/>
  <c r="AU23" i="43"/>
  <c r="AU24" i="43"/>
  <c r="AU25" i="43"/>
  <c r="AU26" i="43"/>
  <c r="AU27" i="43"/>
  <c r="AU28" i="43"/>
  <c r="AU29" i="43"/>
  <c r="AU3" i="43"/>
  <c r="AU4" i="43"/>
  <c r="AU5" i="43"/>
  <c r="AU6" i="43"/>
  <c r="AU7" i="43"/>
  <c r="AU8" i="43"/>
  <c r="AU9" i="43"/>
  <c r="AU10" i="43"/>
  <c r="AU11" i="43"/>
  <c r="AU12" i="43"/>
  <c r="AU13" i="43"/>
  <c r="AU14" i="43"/>
  <c r="AU15" i="43"/>
  <c r="AU16" i="43"/>
  <c r="D24" i="49"/>
  <c r="AT27" i="43"/>
  <c r="AT28" i="43"/>
  <c r="AT29" i="43"/>
  <c r="AT30" i="43"/>
  <c r="AT31" i="43"/>
  <c r="AT15" i="43"/>
  <c r="AT16" i="43"/>
  <c r="AT17" i="43"/>
  <c r="AT18" i="43"/>
  <c r="AT19" i="43"/>
  <c r="AT20" i="43"/>
  <c r="AT21" i="43"/>
  <c r="AT22" i="43"/>
  <c r="AT23" i="43"/>
  <c r="AT24" i="43"/>
  <c r="AT25" i="43"/>
  <c r="AT26" i="43"/>
  <c r="AT3" i="43"/>
  <c r="AT4" i="43"/>
  <c r="AT5" i="43"/>
  <c r="AT6" i="43"/>
  <c r="AT7" i="43"/>
  <c r="AT8" i="43"/>
  <c r="AT9" i="43"/>
  <c r="AT10" i="43"/>
  <c r="AT11" i="43"/>
  <c r="AT12" i="43"/>
  <c r="AT13" i="43"/>
  <c r="AT14" i="43"/>
  <c r="AT2" i="43"/>
  <c r="G4" i="9"/>
  <c r="F4" i="9"/>
  <c r="E4" i="9"/>
  <c r="Q33" i="39"/>
  <c r="D4" i="9" s="1"/>
  <c r="L33" i="39"/>
  <c r="BE32" i="39"/>
  <c r="AW32" i="39"/>
  <c r="AZ32" i="39"/>
  <c r="BA32" i="39"/>
  <c r="BB32" i="39"/>
  <c r="BC32" i="39"/>
  <c r="BD32" i="39"/>
  <c r="BG32" i="39"/>
  <c r="BH32" i="39"/>
  <c r="BE3" i="39"/>
  <c r="BE4" i="39"/>
  <c r="BE5" i="39"/>
  <c r="BE6" i="39"/>
  <c r="BE7" i="39"/>
  <c r="BE8" i="39"/>
  <c r="BE9" i="39"/>
  <c r="BE10" i="39"/>
  <c r="BE11" i="39"/>
  <c r="BE12" i="39"/>
  <c r="BE13" i="39"/>
  <c r="BE14" i="39"/>
  <c r="BE15" i="39"/>
  <c r="BE16" i="39"/>
  <c r="BE17" i="39"/>
  <c r="BE18" i="39"/>
  <c r="BE19" i="39"/>
  <c r="BE20" i="39"/>
  <c r="BE21" i="39"/>
  <c r="BE22" i="39"/>
  <c r="BE23" i="39"/>
  <c r="BE24" i="39"/>
  <c r="BE25" i="39"/>
  <c r="BE26" i="39"/>
  <c r="BE27" i="39"/>
  <c r="BE28" i="39"/>
  <c r="BE29" i="39"/>
  <c r="BE30" i="39"/>
  <c r="BE31" i="39"/>
  <c r="BE2" i="39"/>
  <c r="BD3" i="39"/>
  <c r="BD4" i="39"/>
  <c r="BD5" i="39"/>
  <c r="BD6" i="39"/>
  <c r="BD7" i="39"/>
  <c r="BD8" i="39"/>
  <c r="BD9" i="39"/>
  <c r="BD10" i="39"/>
  <c r="BD11" i="39"/>
  <c r="BD12" i="39"/>
  <c r="BD13" i="39"/>
  <c r="BD14" i="39"/>
  <c r="BD15" i="39"/>
  <c r="BD16" i="39"/>
  <c r="BD17" i="39"/>
  <c r="BD18" i="39"/>
  <c r="BD19" i="39"/>
  <c r="BD20" i="39"/>
  <c r="BD21" i="39"/>
  <c r="BD22" i="39"/>
  <c r="BD23" i="39"/>
  <c r="BD24" i="39"/>
  <c r="BD25" i="39"/>
  <c r="BD26" i="39"/>
  <c r="BD27" i="39"/>
  <c r="BD28" i="39"/>
  <c r="BD29" i="39"/>
  <c r="BD30" i="39"/>
  <c r="BD31" i="39"/>
  <c r="BD2" i="39"/>
  <c r="BC3" i="39"/>
  <c r="BC4" i="39"/>
  <c r="BC5" i="39"/>
  <c r="BC6" i="39"/>
  <c r="BC7" i="39"/>
  <c r="BC8" i="39"/>
  <c r="BC9" i="39"/>
  <c r="BC10" i="39"/>
  <c r="BC11" i="39"/>
  <c r="BC12" i="39"/>
  <c r="BC13" i="39"/>
  <c r="BC14" i="39"/>
  <c r="BC15" i="39"/>
  <c r="BC16" i="39"/>
  <c r="BC17" i="39"/>
  <c r="BC18" i="39"/>
  <c r="BC19" i="39"/>
  <c r="BC20" i="39"/>
  <c r="BC21" i="39"/>
  <c r="BC22" i="39"/>
  <c r="BC23" i="39"/>
  <c r="BC24" i="39"/>
  <c r="BC25" i="39"/>
  <c r="BC26" i="39"/>
  <c r="BC27" i="39"/>
  <c r="BC28" i="39"/>
  <c r="BC29" i="39"/>
  <c r="BC30" i="39"/>
  <c r="BC31" i="39"/>
  <c r="BC2" i="39"/>
  <c r="BB3" i="39"/>
  <c r="BB4" i="39"/>
  <c r="BB5" i="39"/>
  <c r="BB6" i="39"/>
  <c r="BB7" i="39"/>
  <c r="BB8" i="39"/>
  <c r="BB9" i="39"/>
  <c r="BB10" i="39"/>
  <c r="BB11" i="39"/>
  <c r="BB12" i="39"/>
  <c r="BB13" i="39"/>
  <c r="BB14" i="39"/>
  <c r="BB15" i="39"/>
  <c r="BB16" i="39"/>
  <c r="BB17" i="39"/>
  <c r="BB18" i="39"/>
  <c r="BB19" i="39"/>
  <c r="BB20" i="39"/>
  <c r="BB21" i="39"/>
  <c r="BB22" i="39"/>
  <c r="BB23" i="39"/>
  <c r="BB24" i="39"/>
  <c r="BB25" i="39"/>
  <c r="BB26" i="39"/>
  <c r="BB27" i="39"/>
  <c r="BB28" i="39"/>
  <c r="BB29" i="39"/>
  <c r="BB30" i="39"/>
  <c r="BB31" i="39"/>
  <c r="BB2" i="39"/>
  <c r="BA3" i="39"/>
  <c r="BA4" i="39"/>
  <c r="BA5" i="39"/>
  <c r="BA6" i="39"/>
  <c r="BA7" i="39"/>
  <c r="BA8" i="39"/>
  <c r="BA9" i="39"/>
  <c r="BA10" i="39"/>
  <c r="BA11" i="39"/>
  <c r="BA12" i="39"/>
  <c r="BA13" i="39"/>
  <c r="BA14" i="39"/>
  <c r="BA15" i="39"/>
  <c r="BA16" i="39"/>
  <c r="BA17" i="39"/>
  <c r="BA18" i="39"/>
  <c r="BA19" i="39"/>
  <c r="BA20" i="39"/>
  <c r="BA21" i="39"/>
  <c r="BA22" i="39"/>
  <c r="BA23" i="39"/>
  <c r="BA24" i="39"/>
  <c r="BA25" i="39"/>
  <c r="BA26" i="39"/>
  <c r="BA27" i="39"/>
  <c r="BA28" i="39"/>
  <c r="BA29" i="39"/>
  <c r="BA30" i="39"/>
  <c r="BA31" i="39"/>
  <c r="BA2" i="39"/>
  <c r="D23" i="49"/>
  <c r="E23" i="49" s="1"/>
  <c r="D22" i="49"/>
  <c r="D21" i="49"/>
  <c r="E21" i="49" s="1"/>
  <c r="D7" i="9"/>
  <c r="E43" i="49"/>
  <c r="M32" i="49"/>
  <c r="M39" i="49"/>
  <c r="L39" i="49"/>
  <c r="L32" i="49"/>
  <c r="E22" i="49"/>
  <c r="J39" i="49"/>
  <c r="I39" i="49"/>
  <c r="J32" i="49"/>
  <c r="I29" i="49"/>
  <c r="I32" i="49"/>
  <c r="G32" i="49"/>
  <c r="G33" i="49"/>
  <c r="G34" i="49"/>
  <c r="G35" i="49"/>
  <c r="G36" i="49"/>
  <c r="G37" i="49"/>
  <c r="G38" i="49"/>
  <c r="G39" i="49"/>
  <c r="D31" i="49"/>
  <c r="D32" i="49"/>
  <c r="D33" i="49"/>
  <c r="D34" i="49"/>
  <c r="D35" i="49"/>
  <c r="F39" i="49"/>
  <c r="F32" i="49"/>
  <c r="C39" i="49"/>
  <c r="C32" i="49"/>
  <c r="B39" i="49"/>
  <c r="B32" i="49"/>
  <c r="K33" i="49"/>
  <c r="K43" i="49"/>
  <c r="K42" i="49"/>
  <c r="K41" i="49"/>
  <c r="K40" i="49"/>
  <c r="H42" i="49"/>
  <c r="H41" i="49"/>
  <c r="C34" i="49"/>
  <c r="G31" i="49"/>
  <c r="D42" i="49"/>
  <c r="L43" i="49"/>
  <c r="L42" i="49"/>
  <c r="L41" i="49"/>
  <c r="L40" i="49"/>
  <c r="L38" i="49"/>
  <c r="L37" i="49"/>
  <c r="L36" i="49"/>
  <c r="L35" i="49"/>
  <c r="L34" i="49"/>
  <c r="L33" i="49"/>
  <c r="L29" i="49"/>
  <c r="T51" i="51"/>
  <c r="T52" i="51"/>
  <c r="T53" i="51"/>
  <c r="T54" i="51"/>
  <c r="T55" i="51"/>
  <c r="T56" i="51"/>
  <c r="T57" i="51"/>
  <c r="T58" i="51"/>
  <c r="T59" i="51"/>
  <c r="T60" i="51"/>
  <c r="T61" i="51"/>
  <c r="T62" i="51"/>
  <c r="T63" i="51"/>
  <c r="T39" i="51"/>
  <c r="T40" i="51"/>
  <c r="T41" i="51"/>
  <c r="T42" i="51"/>
  <c r="T43" i="51"/>
  <c r="T44" i="51"/>
  <c r="T45" i="51"/>
  <c r="T46" i="51"/>
  <c r="T47" i="51"/>
  <c r="T48" i="51"/>
  <c r="T49" i="51"/>
  <c r="T50" i="51"/>
  <c r="T21" i="51"/>
  <c r="T22" i="51"/>
  <c r="T23" i="51"/>
  <c r="T24" i="51"/>
  <c r="T25" i="51"/>
  <c r="T26" i="51"/>
  <c r="T27" i="51"/>
  <c r="T28" i="51"/>
  <c r="T29" i="51"/>
  <c r="T30" i="51"/>
  <c r="T31" i="51"/>
  <c r="T32" i="51"/>
  <c r="T33" i="51"/>
  <c r="T34" i="51"/>
  <c r="T35" i="51"/>
  <c r="T36" i="51"/>
  <c r="T37" i="51"/>
  <c r="T38" i="51"/>
  <c r="T4" i="51"/>
  <c r="T5" i="51"/>
  <c r="T6" i="51"/>
  <c r="T7" i="51"/>
  <c r="T8" i="51"/>
  <c r="T9" i="51"/>
  <c r="T10" i="51"/>
  <c r="T11" i="51"/>
  <c r="T12" i="51"/>
  <c r="T13" i="51"/>
  <c r="T14" i="51"/>
  <c r="T15" i="51"/>
  <c r="T16" i="51"/>
  <c r="T17" i="51"/>
  <c r="T18" i="51"/>
  <c r="T19" i="51"/>
  <c r="T20" i="51"/>
  <c r="T3" i="51"/>
  <c r="Q55" i="51"/>
  <c r="Q56" i="51"/>
  <c r="Q57" i="51"/>
  <c r="Q58" i="51"/>
  <c r="Q59" i="51"/>
  <c r="Q60" i="51"/>
  <c r="Q61" i="51"/>
  <c r="Q62" i="51"/>
  <c r="Q63" i="51"/>
  <c r="Q43" i="51"/>
  <c r="Q44" i="51"/>
  <c r="Q45" i="51"/>
  <c r="Q46" i="51"/>
  <c r="Q47" i="51"/>
  <c r="Q48" i="51"/>
  <c r="Q49" i="51"/>
  <c r="Q50" i="51"/>
  <c r="Q51" i="51"/>
  <c r="Q52" i="51"/>
  <c r="Q53" i="51"/>
  <c r="Q54" i="51"/>
  <c r="Q29" i="51"/>
  <c r="Q30" i="51"/>
  <c r="Q31" i="51"/>
  <c r="Q32" i="51"/>
  <c r="Q33" i="51"/>
  <c r="Q34" i="51"/>
  <c r="Q35" i="51"/>
  <c r="Q36" i="51"/>
  <c r="Q37" i="51"/>
  <c r="Q38" i="51"/>
  <c r="Q39" i="51"/>
  <c r="Q40" i="51"/>
  <c r="Q41" i="51"/>
  <c r="Q42" i="51"/>
  <c r="Q18" i="51"/>
  <c r="Q19" i="51"/>
  <c r="Q20" i="51"/>
  <c r="Q21" i="51"/>
  <c r="Q22" i="51"/>
  <c r="Q23" i="51"/>
  <c r="Q24" i="51"/>
  <c r="Q25" i="51"/>
  <c r="Q26" i="51"/>
  <c r="Q27" i="51"/>
  <c r="Q28" i="51"/>
  <c r="Q4" i="51"/>
  <c r="Q5" i="51"/>
  <c r="Q6" i="51"/>
  <c r="Q7" i="51"/>
  <c r="Q8" i="51"/>
  <c r="Q9" i="51"/>
  <c r="Q10" i="51"/>
  <c r="Q11" i="51"/>
  <c r="Q12" i="51"/>
  <c r="Q13" i="51"/>
  <c r="Q14" i="51"/>
  <c r="Q15" i="51"/>
  <c r="Q16" i="51"/>
  <c r="Q17" i="51"/>
  <c r="Q3" i="51"/>
  <c r="V52" i="51"/>
  <c r="V53" i="51"/>
  <c r="V54" i="51"/>
  <c r="V55" i="51"/>
  <c r="V56" i="51"/>
  <c r="V57" i="51"/>
  <c r="V58" i="51"/>
  <c r="V59" i="51"/>
  <c r="V60" i="51"/>
  <c r="V61" i="51"/>
  <c r="V62" i="51"/>
  <c r="V63" i="51"/>
  <c r="V38" i="51"/>
  <c r="V39" i="51"/>
  <c r="V40" i="51"/>
  <c r="V41" i="51"/>
  <c r="V42" i="51"/>
  <c r="V43" i="51"/>
  <c r="V44" i="51"/>
  <c r="V45" i="51"/>
  <c r="V46" i="51"/>
  <c r="V47" i="51"/>
  <c r="V48" i="51"/>
  <c r="V49" i="51"/>
  <c r="V50" i="51"/>
  <c r="V51" i="51"/>
  <c r="V23" i="51"/>
  <c r="V24" i="51"/>
  <c r="V25" i="51"/>
  <c r="V26" i="51"/>
  <c r="V27" i="51"/>
  <c r="V28" i="51"/>
  <c r="V29" i="51"/>
  <c r="V30" i="51"/>
  <c r="V31" i="51"/>
  <c r="V32" i="51"/>
  <c r="V33" i="51"/>
  <c r="V34" i="51"/>
  <c r="V35" i="51"/>
  <c r="V36" i="51"/>
  <c r="V37" i="51"/>
  <c r="V4" i="51"/>
  <c r="V5" i="51"/>
  <c r="V6" i="51"/>
  <c r="V7" i="51"/>
  <c r="V8" i="51"/>
  <c r="V9" i="51"/>
  <c r="V10" i="51"/>
  <c r="V11" i="51"/>
  <c r="V12" i="51"/>
  <c r="V13" i="51"/>
  <c r="V14" i="51"/>
  <c r="V15" i="51"/>
  <c r="V16" i="51"/>
  <c r="V17" i="51"/>
  <c r="V18" i="51"/>
  <c r="V19" i="51"/>
  <c r="V20" i="51"/>
  <c r="V21" i="51"/>
  <c r="V22" i="51"/>
  <c r="V3" i="51"/>
  <c r="O57" i="51"/>
  <c r="O58" i="51"/>
  <c r="O59" i="51"/>
  <c r="O60" i="51"/>
  <c r="O61" i="51"/>
  <c r="O62" i="51"/>
  <c r="O63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20" i="51"/>
  <c r="O21" i="51"/>
  <c r="O22" i="51"/>
  <c r="O23" i="51"/>
  <c r="O24" i="51"/>
  <c r="O25" i="51"/>
  <c r="O26" i="51"/>
  <c r="O27" i="51"/>
  <c r="O28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3" i="51"/>
  <c r="M59" i="51"/>
  <c r="M60" i="51"/>
  <c r="M61" i="51"/>
  <c r="M62" i="51"/>
  <c r="M63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3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20" i="51"/>
  <c r="K21" i="51"/>
  <c r="K22" i="51"/>
  <c r="K23" i="51"/>
  <c r="K24" i="51"/>
  <c r="K25" i="51"/>
  <c r="K26" i="51"/>
  <c r="K27" i="51"/>
  <c r="K28" i="51"/>
  <c r="K29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3" i="51"/>
  <c r="CJ17" i="51"/>
  <c r="C47" i="51"/>
  <c r="C48" i="51"/>
  <c r="C49" i="51"/>
  <c r="C50" i="51"/>
  <c r="C51" i="51"/>
  <c r="C52" i="51"/>
  <c r="C53" i="51"/>
  <c r="C54" i="51"/>
  <c r="C55" i="51"/>
  <c r="C56" i="51"/>
  <c r="C57" i="51"/>
  <c r="C58" i="51"/>
  <c r="C59" i="51"/>
  <c r="C60" i="51"/>
  <c r="C61" i="51"/>
  <c r="C62" i="51"/>
  <c r="C63" i="51"/>
  <c r="C36" i="51"/>
  <c r="C37" i="51"/>
  <c r="C38" i="51"/>
  <c r="C39" i="51"/>
  <c r="C40" i="51"/>
  <c r="C41" i="51"/>
  <c r="C42" i="51"/>
  <c r="C43" i="51"/>
  <c r="C44" i="51"/>
  <c r="C45" i="51"/>
  <c r="C4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I40" i="49"/>
  <c r="F40" i="49"/>
  <c r="C42" i="49"/>
  <c r="C41" i="49"/>
  <c r="C40" i="49"/>
  <c r="B41" i="49"/>
  <c r="D41" i="49" s="1"/>
  <c r="B42" i="49"/>
  <c r="M42" i="49" s="1"/>
  <c r="B40" i="49"/>
  <c r="I34" i="49"/>
  <c r="I33" i="49"/>
  <c r="F34" i="49"/>
  <c r="F33" i="49"/>
  <c r="C33" i="49"/>
  <c r="I43" i="49"/>
  <c r="I38" i="49"/>
  <c r="I37" i="49"/>
  <c r="J37" i="49" s="1"/>
  <c r="I36" i="49"/>
  <c r="I35" i="49"/>
  <c r="I31" i="49"/>
  <c r="I30" i="49"/>
  <c r="F43" i="49"/>
  <c r="F38" i="49"/>
  <c r="F37" i="49"/>
  <c r="F36" i="49"/>
  <c r="F35" i="49"/>
  <c r="F31" i="49"/>
  <c r="F30" i="49"/>
  <c r="F29" i="49"/>
  <c r="C43" i="49"/>
  <c r="C38" i="49"/>
  <c r="C37" i="49"/>
  <c r="D37" i="49" s="1"/>
  <c r="C36" i="49"/>
  <c r="C35" i="49"/>
  <c r="C31" i="49"/>
  <c r="C30" i="49"/>
  <c r="C29" i="49"/>
  <c r="DU58" i="51"/>
  <c r="DV58" i="51" s="1"/>
  <c r="DU59" i="51"/>
  <c r="DV59" i="51" s="1"/>
  <c r="DU60" i="51"/>
  <c r="DV60" i="51" s="1"/>
  <c r="DU61" i="51"/>
  <c r="DV61" i="51" s="1"/>
  <c r="DU62" i="51"/>
  <c r="DV62" i="51" s="1"/>
  <c r="DU39" i="51"/>
  <c r="DV39" i="51" s="1"/>
  <c r="DU40" i="51"/>
  <c r="DV40" i="51" s="1"/>
  <c r="DU41" i="51"/>
  <c r="DV41" i="51" s="1"/>
  <c r="DU42" i="51"/>
  <c r="DV42" i="51" s="1"/>
  <c r="DU43" i="51"/>
  <c r="DV43" i="51" s="1"/>
  <c r="DU44" i="51"/>
  <c r="DV44" i="51" s="1"/>
  <c r="DU45" i="51"/>
  <c r="DV45" i="51" s="1"/>
  <c r="DU46" i="51"/>
  <c r="DV46" i="51" s="1"/>
  <c r="DU47" i="51"/>
  <c r="DV47" i="51" s="1"/>
  <c r="DU48" i="51"/>
  <c r="DV48" i="51" s="1"/>
  <c r="DU49" i="51"/>
  <c r="DV49" i="51" s="1"/>
  <c r="DU50" i="51"/>
  <c r="DV50" i="51" s="1"/>
  <c r="DU51" i="51"/>
  <c r="DV51" i="51" s="1"/>
  <c r="DU52" i="51"/>
  <c r="DV52" i="51" s="1"/>
  <c r="DU53" i="51"/>
  <c r="DV53" i="51" s="1"/>
  <c r="DU54" i="51"/>
  <c r="DV54" i="51" s="1"/>
  <c r="DU55" i="51"/>
  <c r="DV55" i="51" s="1"/>
  <c r="DU56" i="51"/>
  <c r="DV56" i="51" s="1"/>
  <c r="DU57" i="51"/>
  <c r="DV57" i="51" s="1"/>
  <c r="DU21" i="51"/>
  <c r="DV21" i="51" s="1"/>
  <c r="DU22" i="51"/>
  <c r="DV22" i="51" s="1"/>
  <c r="DU23" i="51"/>
  <c r="DV23" i="51" s="1"/>
  <c r="DU24" i="51"/>
  <c r="DV24" i="51" s="1"/>
  <c r="DU25" i="51"/>
  <c r="DV25" i="51" s="1"/>
  <c r="DU26" i="51"/>
  <c r="DV26" i="51" s="1"/>
  <c r="DU27" i="51"/>
  <c r="DV27" i="51" s="1"/>
  <c r="DU28" i="51"/>
  <c r="DV28" i="51" s="1"/>
  <c r="DU29" i="51"/>
  <c r="DV29" i="51" s="1"/>
  <c r="DU30" i="51"/>
  <c r="DV30" i="51" s="1"/>
  <c r="DU31" i="51"/>
  <c r="DV31" i="51" s="1"/>
  <c r="DU32" i="51"/>
  <c r="DV32" i="51" s="1"/>
  <c r="DU33" i="51"/>
  <c r="DV33" i="51" s="1"/>
  <c r="DU34" i="51"/>
  <c r="DV34" i="51" s="1"/>
  <c r="DU35" i="51"/>
  <c r="DV35" i="51" s="1"/>
  <c r="DU36" i="51"/>
  <c r="DV36" i="51" s="1"/>
  <c r="DU37" i="51"/>
  <c r="DV37" i="51" s="1"/>
  <c r="DU38" i="51"/>
  <c r="DV38" i="51" s="1"/>
  <c r="DU4" i="51"/>
  <c r="DV4" i="51" s="1"/>
  <c r="DU5" i="51"/>
  <c r="DV5" i="51" s="1"/>
  <c r="DU6" i="51"/>
  <c r="DV6" i="51" s="1"/>
  <c r="DU7" i="51"/>
  <c r="DV7" i="51" s="1"/>
  <c r="DU8" i="51"/>
  <c r="DV8" i="51" s="1"/>
  <c r="DU9" i="51"/>
  <c r="DV9" i="51" s="1"/>
  <c r="DU10" i="51"/>
  <c r="DV10" i="51" s="1"/>
  <c r="DU11" i="51"/>
  <c r="DV11" i="51" s="1"/>
  <c r="DU12" i="51"/>
  <c r="DV12" i="51" s="1"/>
  <c r="DU13" i="51"/>
  <c r="DV13" i="51" s="1"/>
  <c r="DU14" i="51"/>
  <c r="DU15" i="51"/>
  <c r="DV15" i="51" s="1"/>
  <c r="DU16" i="51"/>
  <c r="DV16" i="51" s="1"/>
  <c r="DU17" i="51"/>
  <c r="DV17" i="51" s="1"/>
  <c r="DU18" i="51"/>
  <c r="DV18" i="51" s="1"/>
  <c r="DU19" i="51"/>
  <c r="DV19" i="51" s="1"/>
  <c r="DU20" i="51"/>
  <c r="DV20" i="51" s="1"/>
  <c r="DU3" i="51"/>
  <c r="DV3" i="51" s="1"/>
  <c r="DR53" i="51"/>
  <c r="DS53" i="51" s="1"/>
  <c r="DR54" i="51"/>
  <c r="DS54" i="51" s="1"/>
  <c r="DR55" i="51"/>
  <c r="DS55" i="51" s="1"/>
  <c r="DR56" i="51"/>
  <c r="DS56" i="51" s="1"/>
  <c r="DR57" i="51"/>
  <c r="DS57" i="51" s="1"/>
  <c r="DR58" i="51"/>
  <c r="DS58" i="51" s="1"/>
  <c r="DR59" i="51"/>
  <c r="DS59" i="51" s="1"/>
  <c r="DR60" i="51"/>
  <c r="DS60" i="51" s="1"/>
  <c r="DR61" i="51"/>
  <c r="DS61" i="51" s="1"/>
  <c r="DR62" i="51"/>
  <c r="DS62" i="51" s="1"/>
  <c r="DR36" i="51"/>
  <c r="DS36" i="51" s="1"/>
  <c r="DR37" i="51"/>
  <c r="DS37" i="51" s="1"/>
  <c r="DR38" i="51"/>
  <c r="DS38" i="51" s="1"/>
  <c r="DR39" i="51"/>
  <c r="DS39" i="51" s="1"/>
  <c r="DR40" i="51"/>
  <c r="DS40" i="51" s="1"/>
  <c r="DR41" i="51"/>
  <c r="DS41" i="51" s="1"/>
  <c r="DR42" i="51"/>
  <c r="DS42" i="51" s="1"/>
  <c r="DR43" i="51"/>
  <c r="DS43" i="51" s="1"/>
  <c r="DR44" i="51"/>
  <c r="DS44" i="51" s="1"/>
  <c r="DR45" i="51"/>
  <c r="DS45" i="51" s="1"/>
  <c r="DR46" i="51"/>
  <c r="DS46" i="51" s="1"/>
  <c r="DR47" i="51"/>
  <c r="DS47" i="51" s="1"/>
  <c r="DR48" i="51"/>
  <c r="DS48" i="51" s="1"/>
  <c r="DR49" i="51"/>
  <c r="DS49" i="51" s="1"/>
  <c r="DR50" i="51"/>
  <c r="DS50" i="51" s="1"/>
  <c r="DR51" i="51"/>
  <c r="DS51" i="51" s="1"/>
  <c r="DR52" i="51"/>
  <c r="DS52" i="51" s="1"/>
  <c r="DR21" i="51"/>
  <c r="DS21" i="51" s="1"/>
  <c r="DR22" i="51"/>
  <c r="DS22" i="51" s="1"/>
  <c r="DR23" i="51"/>
  <c r="DS23" i="51" s="1"/>
  <c r="DR24" i="51"/>
  <c r="DS24" i="51" s="1"/>
  <c r="DR25" i="51"/>
  <c r="DS25" i="51" s="1"/>
  <c r="DR26" i="51"/>
  <c r="DS26" i="51" s="1"/>
  <c r="DR27" i="51"/>
  <c r="DS27" i="51" s="1"/>
  <c r="DR28" i="51"/>
  <c r="DS28" i="51" s="1"/>
  <c r="DR29" i="51"/>
  <c r="DS29" i="51" s="1"/>
  <c r="DR30" i="51"/>
  <c r="DS30" i="51" s="1"/>
  <c r="DR31" i="51"/>
  <c r="DS31" i="51" s="1"/>
  <c r="DR32" i="51"/>
  <c r="DS32" i="51" s="1"/>
  <c r="DR33" i="51"/>
  <c r="DS33" i="51" s="1"/>
  <c r="DR34" i="51"/>
  <c r="DS34" i="51" s="1"/>
  <c r="DR35" i="51"/>
  <c r="DS35" i="51" s="1"/>
  <c r="DR4" i="51"/>
  <c r="DS4" i="51" s="1"/>
  <c r="DR5" i="51"/>
  <c r="DS5" i="51" s="1"/>
  <c r="DR6" i="51"/>
  <c r="DS6" i="51" s="1"/>
  <c r="DR7" i="51"/>
  <c r="DS7" i="51" s="1"/>
  <c r="DR8" i="51"/>
  <c r="DS8" i="51" s="1"/>
  <c r="DR9" i="51"/>
  <c r="DS9" i="51" s="1"/>
  <c r="DR10" i="51"/>
  <c r="DS10" i="51" s="1"/>
  <c r="DR11" i="51"/>
  <c r="DS11" i="51" s="1"/>
  <c r="DR12" i="51"/>
  <c r="DS12" i="51" s="1"/>
  <c r="DR13" i="51"/>
  <c r="DS13" i="51" s="1"/>
  <c r="DR14" i="51"/>
  <c r="DR15" i="51"/>
  <c r="DS15" i="51" s="1"/>
  <c r="DR16" i="51"/>
  <c r="DS16" i="51" s="1"/>
  <c r="DR17" i="51"/>
  <c r="DS17" i="51" s="1"/>
  <c r="DR18" i="51"/>
  <c r="DS18" i="51" s="1"/>
  <c r="DR19" i="51"/>
  <c r="DS19" i="51" s="1"/>
  <c r="DR20" i="51"/>
  <c r="DS20" i="51" s="1"/>
  <c r="DR3" i="51"/>
  <c r="DS3" i="51" s="1"/>
  <c r="DA54" i="51"/>
  <c r="DB54" i="51" s="1"/>
  <c r="DA55" i="51"/>
  <c r="DB55" i="51" s="1"/>
  <c r="DA56" i="51"/>
  <c r="DB56" i="51" s="1"/>
  <c r="DA57" i="51"/>
  <c r="DB57" i="51" s="1"/>
  <c r="DA58" i="51"/>
  <c r="DB58" i="51" s="1"/>
  <c r="DA59" i="51"/>
  <c r="DB59" i="51" s="1"/>
  <c r="DA60" i="51"/>
  <c r="DB60" i="51" s="1"/>
  <c r="DA61" i="51"/>
  <c r="DB61" i="51" s="1"/>
  <c r="DA62" i="51"/>
  <c r="DB62" i="51" s="1"/>
  <c r="DA63" i="51"/>
  <c r="DB63" i="51" s="1"/>
  <c r="DA37" i="51"/>
  <c r="DB37" i="51" s="1"/>
  <c r="DA38" i="51"/>
  <c r="DB38" i="51" s="1"/>
  <c r="DA39" i="51"/>
  <c r="DB39" i="51" s="1"/>
  <c r="DA40" i="51"/>
  <c r="DB40" i="51" s="1"/>
  <c r="DA41" i="51"/>
  <c r="DB41" i="51" s="1"/>
  <c r="DA42" i="51"/>
  <c r="DB42" i="51" s="1"/>
  <c r="DA43" i="51"/>
  <c r="DB43" i="51" s="1"/>
  <c r="DA44" i="51"/>
  <c r="DB44" i="51" s="1"/>
  <c r="DA45" i="51"/>
  <c r="DB45" i="51" s="1"/>
  <c r="DA46" i="51"/>
  <c r="DB46" i="51" s="1"/>
  <c r="DA47" i="51"/>
  <c r="DB47" i="51" s="1"/>
  <c r="DA48" i="51"/>
  <c r="DB48" i="51" s="1"/>
  <c r="DA49" i="51"/>
  <c r="DB49" i="51" s="1"/>
  <c r="DA50" i="51"/>
  <c r="DB50" i="51" s="1"/>
  <c r="DA51" i="51"/>
  <c r="DB51" i="51" s="1"/>
  <c r="DA52" i="51"/>
  <c r="DB52" i="51" s="1"/>
  <c r="DA53" i="51"/>
  <c r="DB53" i="51" s="1"/>
  <c r="DA22" i="51"/>
  <c r="DB22" i="51" s="1"/>
  <c r="DA23" i="51"/>
  <c r="DB23" i="51" s="1"/>
  <c r="DA24" i="51"/>
  <c r="DB24" i="51" s="1"/>
  <c r="DA25" i="51"/>
  <c r="DB25" i="51" s="1"/>
  <c r="DA26" i="51"/>
  <c r="DB26" i="51" s="1"/>
  <c r="DA27" i="51"/>
  <c r="DB27" i="51" s="1"/>
  <c r="DA28" i="51"/>
  <c r="DB28" i="51" s="1"/>
  <c r="DA29" i="51"/>
  <c r="DB29" i="51" s="1"/>
  <c r="DA30" i="51"/>
  <c r="DB30" i="51" s="1"/>
  <c r="DA31" i="51"/>
  <c r="DB31" i="51" s="1"/>
  <c r="DA32" i="51"/>
  <c r="DB32" i="51" s="1"/>
  <c r="DA33" i="51"/>
  <c r="DB33" i="51" s="1"/>
  <c r="DA34" i="51"/>
  <c r="DB34" i="51" s="1"/>
  <c r="DA35" i="51"/>
  <c r="DB35" i="51" s="1"/>
  <c r="DA36" i="51"/>
  <c r="DB36" i="51" s="1"/>
  <c r="DA4" i="51"/>
  <c r="DB4" i="51" s="1"/>
  <c r="DA5" i="51"/>
  <c r="DB5" i="51" s="1"/>
  <c r="DA6" i="51"/>
  <c r="DB6" i="51" s="1"/>
  <c r="DA7" i="51"/>
  <c r="DB7" i="51" s="1"/>
  <c r="DA8" i="51"/>
  <c r="DB8" i="51" s="1"/>
  <c r="DA9" i="51"/>
  <c r="DB9" i="51" s="1"/>
  <c r="DA10" i="51"/>
  <c r="DB10" i="51" s="1"/>
  <c r="DA11" i="51"/>
  <c r="DB11" i="51" s="1"/>
  <c r="DA12" i="51"/>
  <c r="DB12" i="51" s="1"/>
  <c r="DA13" i="51"/>
  <c r="DB13" i="51" s="1"/>
  <c r="DA14" i="51"/>
  <c r="DB14" i="51" s="1"/>
  <c r="DA15" i="51"/>
  <c r="DB15" i="51" s="1"/>
  <c r="DA16" i="51"/>
  <c r="DB16" i="51" s="1"/>
  <c r="DA17" i="51"/>
  <c r="DB17" i="51" s="1"/>
  <c r="DA18" i="51"/>
  <c r="DB18" i="51" s="1"/>
  <c r="DA19" i="51"/>
  <c r="DB19" i="51" s="1"/>
  <c r="DA20" i="51"/>
  <c r="DB20" i="51" s="1"/>
  <c r="DA21" i="51"/>
  <c r="DB21" i="51" s="1"/>
  <c r="DA3" i="51"/>
  <c r="DB3" i="51" s="1"/>
  <c r="DD55" i="51"/>
  <c r="DE55" i="51" s="1"/>
  <c r="DD56" i="51"/>
  <c r="DE56" i="51" s="1"/>
  <c r="DD57" i="51"/>
  <c r="DE57" i="51" s="1"/>
  <c r="DD58" i="51"/>
  <c r="DE58" i="51" s="1"/>
  <c r="DD59" i="51"/>
  <c r="DE59" i="51" s="1"/>
  <c r="DD60" i="51"/>
  <c r="DE60" i="51" s="1"/>
  <c r="DD61" i="51"/>
  <c r="DE61" i="51" s="1"/>
  <c r="DD62" i="51"/>
  <c r="DE62" i="51" s="1"/>
  <c r="DD63" i="51"/>
  <c r="DE63" i="51" s="1"/>
  <c r="DD23" i="51"/>
  <c r="DE23" i="51" s="1"/>
  <c r="DD24" i="51"/>
  <c r="DE24" i="51" s="1"/>
  <c r="DD25" i="51"/>
  <c r="DE25" i="51" s="1"/>
  <c r="DD26" i="51"/>
  <c r="DE26" i="51" s="1"/>
  <c r="DD27" i="51"/>
  <c r="DE27" i="51" s="1"/>
  <c r="DD28" i="51"/>
  <c r="DE28" i="51" s="1"/>
  <c r="DD29" i="51"/>
  <c r="DE29" i="51" s="1"/>
  <c r="DD30" i="51"/>
  <c r="DE30" i="51" s="1"/>
  <c r="DD31" i="51"/>
  <c r="DE31" i="51" s="1"/>
  <c r="DD32" i="51"/>
  <c r="DE32" i="51" s="1"/>
  <c r="DD33" i="51"/>
  <c r="DE33" i="51" s="1"/>
  <c r="DD34" i="51"/>
  <c r="DE34" i="51" s="1"/>
  <c r="DD35" i="51"/>
  <c r="DE35" i="51" s="1"/>
  <c r="DD36" i="51"/>
  <c r="DE36" i="51" s="1"/>
  <c r="DD37" i="51"/>
  <c r="DE37" i="51" s="1"/>
  <c r="DD38" i="51"/>
  <c r="DE38" i="51" s="1"/>
  <c r="DD39" i="51"/>
  <c r="DE39" i="51" s="1"/>
  <c r="DD40" i="51"/>
  <c r="DE40" i="51" s="1"/>
  <c r="DD41" i="51"/>
  <c r="DE41" i="51" s="1"/>
  <c r="DD42" i="51"/>
  <c r="DE42" i="51" s="1"/>
  <c r="DD43" i="51"/>
  <c r="DE43" i="51" s="1"/>
  <c r="DD44" i="51"/>
  <c r="DE44" i="51" s="1"/>
  <c r="DD45" i="51"/>
  <c r="DE45" i="51" s="1"/>
  <c r="DD46" i="51"/>
  <c r="DE46" i="51" s="1"/>
  <c r="DD47" i="51"/>
  <c r="DE47" i="51" s="1"/>
  <c r="DD48" i="51"/>
  <c r="DE48" i="51" s="1"/>
  <c r="DD49" i="51"/>
  <c r="DE49" i="51" s="1"/>
  <c r="DD50" i="51"/>
  <c r="DE50" i="51" s="1"/>
  <c r="DD51" i="51"/>
  <c r="DE51" i="51" s="1"/>
  <c r="DD52" i="51"/>
  <c r="DE52" i="51" s="1"/>
  <c r="DD53" i="51"/>
  <c r="DE53" i="51" s="1"/>
  <c r="DD54" i="51"/>
  <c r="DE54" i="51" s="1"/>
  <c r="DD4" i="51"/>
  <c r="DE4" i="51" s="1"/>
  <c r="DD5" i="51"/>
  <c r="DE5" i="51" s="1"/>
  <c r="DD6" i="51"/>
  <c r="DE6" i="51" s="1"/>
  <c r="DD7" i="51"/>
  <c r="DE7" i="51" s="1"/>
  <c r="DD8" i="51"/>
  <c r="DE8" i="51" s="1"/>
  <c r="DD9" i="51"/>
  <c r="DE9" i="51" s="1"/>
  <c r="DD10" i="51"/>
  <c r="DE10" i="51" s="1"/>
  <c r="DD11" i="51"/>
  <c r="DE11" i="51" s="1"/>
  <c r="DD12" i="51"/>
  <c r="DE12" i="51" s="1"/>
  <c r="DD13" i="51"/>
  <c r="DE13" i="51" s="1"/>
  <c r="DD14" i="51"/>
  <c r="DE14" i="51" s="1"/>
  <c r="DD15" i="51"/>
  <c r="DE15" i="51" s="1"/>
  <c r="DD16" i="51"/>
  <c r="DE16" i="51" s="1"/>
  <c r="DD17" i="51"/>
  <c r="DE17" i="51" s="1"/>
  <c r="DD18" i="51"/>
  <c r="DE18" i="51" s="1"/>
  <c r="DD19" i="51"/>
  <c r="DE19" i="51" s="1"/>
  <c r="DD20" i="51"/>
  <c r="DE20" i="51" s="1"/>
  <c r="DD21" i="51"/>
  <c r="DE21" i="51" s="1"/>
  <c r="DD22" i="51"/>
  <c r="DE22" i="51" s="1"/>
  <c r="DD3" i="51"/>
  <c r="DE3" i="51" s="1"/>
  <c r="DK50" i="51"/>
  <c r="DL50" i="51" s="1"/>
  <c r="DK51" i="51"/>
  <c r="DL51" i="51" s="1"/>
  <c r="DK52" i="51"/>
  <c r="DL52" i="51" s="1"/>
  <c r="DK53" i="51"/>
  <c r="DL53" i="51" s="1"/>
  <c r="DK54" i="51"/>
  <c r="DL54" i="51" s="1"/>
  <c r="DK55" i="51"/>
  <c r="DL55" i="51" s="1"/>
  <c r="DK56" i="51"/>
  <c r="DL56" i="51" s="1"/>
  <c r="DK57" i="51"/>
  <c r="DL57" i="51" s="1"/>
  <c r="DK58" i="51"/>
  <c r="DL58" i="51" s="1"/>
  <c r="DK59" i="51"/>
  <c r="DL59" i="51" s="1"/>
  <c r="DK60" i="51"/>
  <c r="DL60" i="51" s="1"/>
  <c r="DK61" i="51"/>
  <c r="DL61" i="51" s="1"/>
  <c r="DK62" i="51"/>
  <c r="DL62" i="51" s="1"/>
  <c r="DK63" i="51"/>
  <c r="DL63" i="51" s="1"/>
  <c r="DK36" i="51"/>
  <c r="DL36" i="51" s="1"/>
  <c r="DK37" i="51"/>
  <c r="DL37" i="51" s="1"/>
  <c r="DK38" i="51"/>
  <c r="DL38" i="51" s="1"/>
  <c r="DK39" i="51"/>
  <c r="DL39" i="51" s="1"/>
  <c r="DK40" i="51"/>
  <c r="DL40" i="51" s="1"/>
  <c r="DK41" i="51"/>
  <c r="DL41" i="51" s="1"/>
  <c r="DK42" i="51"/>
  <c r="DL42" i="51" s="1"/>
  <c r="DK43" i="51"/>
  <c r="DL43" i="51" s="1"/>
  <c r="DK44" i="51"/>
  <c r="DL44" i="51" s="1"/>
  <c r="DK45" i="51"/>
  <c r="DL45" i="51" s="1"/>
  <c r="DK46" i="51"/>
  <c r="DL46" i="51" s="1"/>
  <c r="DK47" i="51"/>
  <c r="DL47" i="51" s="1"/>
  <c r="DK48" i="51"/>
  <c r="DL48" i="51" s="1"/>
  <c r="DK49" i="51"/>
  <c r="DL49" i="51" s="1"/>
  <c r="DK21" i="51"/>
  <c r="DL21" i="51" s="1"/>
  <c r="DK22" i="51"/>
  <c r="DL22" i="51" s="1"/>
  <c r="DK23" i="51"/>
  <c r="DL23" i="51" s="1"/>
  <c r="DK24" i="51"/>
  <c r="DL24" i="51" s="1"/>
  <c r="DK25" i="51"/>
  <c r="DL25" i="51" s="1"/>
  <c r="DK26" i="51"/>
  <c r="DL26" i="51" s="1"/>
  <c r="DK27" i="51"/>
  <c r="DL27" i="51" s="1"/>
  <c r="DK28" i="51"/>
  <c r="DL28" i="51" s="1"/>
  <c r="DK29" i="51"/>
  <c r="DL29" i="51" s="1"/>
  <c r="DK30" i="51"/>
  <c r="DL30" i="51" s="1"/>
  <c r="DK31" i="51"/>
  <c r="DL31" i="51" s="1"/>
  <c r="DK32" i="51"/>
  <c r="DL32" i="51" s="1"/>
  <c r="DK33" i="51"/>
  <c r="DL33" i="51" s="1"/>
  <c r="DK34" i="51"/>
  <c r="DL34" i="51" s="1"/>
  <c r="DK35" i="51"/>
  <c r="DL35" i="51" s="1"/>
  <c r="DK4" i="51"/>
  <c r="DL4" i="51" s="1"/>
  <c r="DK5" i="51"/>
  <c r="DL5" i="51" s="1"/>
  <c r="DK6" i="51"/>
  <c r="DL6" i="51" s="1"/>
  <c r="DK7" i="51"/>
  <c r="DL7" i="51" s="1"/>
  <c r="DK8" i="51"/>
  <c r="DL8" i="51" s="1"/>
  <c r="DK9" i="51"/>
  <c r="DL9" i="51" s="1"/>
  <c r="DK10" i="51"/>
  <c r="DL10" i="51" s="1"/>
  <c r="DK11" i="51"/>
  <c r="DL11" i="51" s="1"/>
  <c r="DK12" i="51"/>
  <c r="DL12" i="51" s="1"/>
  <c r="DK13" i="51"/>
  <c r="DL13" i="51" s="1"/>
  <c r="DK14" i="51"/>
  <c r="DL14" i="51" s="1"/>
  <c r="DK15" i="51"/>
  <c r="DL15" i="51" s="1"/>
  <c r="DK16" i="51"/>
  <c r="DL16" i="51" s="1"/>
  <c r="DK17" i="51"/>
  <c r="DL17" i="51" s="1"/>
  <c r="DK18" i="51"/>
  <c r="DL18" i="51" s="1"/>
  <c r="DK19" i="51"/>
  <c r="DL19" i="51" s="1"/>
  <c r="DK20" i="51"/>
  <c r="DL20" i="51" s="1"/>
  <c r="DK3" i="51"/>
  <c r="DL3" i="51" s="1"/>
  <c r="CJ37" i="51"/>
  <c r="CK37" i="51" s="1"/>
  <c r="CJ38" i="51"/>
  <c r="CK38" i="51" s="1"/>
  <c r="CJ39" i="51"/>
  <c r="CK39" i="51" s="1"/>
  <c r="CJ40" i="51"/>
  <c r="CK40" i="51" s="1"/>
  <c r="CJ41" i="51"/>
  <c r="CK41" i="51" s="1"/>
  <c r="CJ42" i="51"/>
  <c r="CK42" i="51" s="1"/>
  <c r="CJ43" i="51"/>
  <c r="CK43" i="51" s="1"/>
  <c r="CJ44" i="51"/>
  <c r="CK44" i="51" s="1"/>
  <c r="CJ45" i="51"/>
  <c r="CK45" i="51" s="1"/>
  <c r="CJ46" i="51"/>
  <c r="CK46" i="51" s="1"/>
  <c r="CJ47" i="51"/>
  <c r="CK47" i="51" s="1"/>
  <c r="CJ49" i="51"/>
  <c r="CK49" i="51" s="1"/>
  <c r="DT63" i="51"/>
  <c r="DU63" i="51" s="1"/>
  <c r="DV63" i="51" s="1"/>
  <c r="DQ63" i="51"/>
  <c r="DR63" i="51" s="1"/>
  <c r="DS63" i="51" s="1"/>
  <c r="BF29" i="51"/>
  <c r="BG29" i="51" s="1"/>
  <c r="BF30" i="51"/>
  <c r="BG30" i="51" s="1"/>
  <c r="BF31" i="51"/>
  <c r="BG31" i="51" s="1"/>
  <c r="AZ29" i="51"/>
  <c r="BA29" i="51" s="1"/>
  <c r="AW29" i="51"/>
  <c r="AX29" i="51" s="1"/>
  <c r="BF24" i="51"/>
  <c r="BG24" i="51" s="1"/>
  <c r="BF25" i="51"/>
  <c r="BG25" i="51" s="1"/>
  <c r="BF26" i="51"/>
  <c r="BG26" i="51" s="1"/>
  <c r="BF27" i="51"/>
  <c r="BG27" i="51" s="1"/>
  <c r="AZ24" i="51"/>
  <c r="BA24" i="51" s="1"/>
  <c r="AW24" i="51"/>
  <c r="AX24" i="51" s="1"/>
  <c r="CM50" i="51"/>
  <c r="CN50" i="51" s="1"/>
  <c r="CM51" i="51"/>
  <c r="CN51" i="51" s="1"/>
  <c r="CM52" i="51"/>
  <c r="CN52" i="51" s="1"/>
  <c r="CM53" i="51"/>
  <c r="CN53" i="51" s="1"/>
  <c r="CM54" i="51"/>
  <c r="CN54" i="51" s="1"/>
  <c r="CM55" i="51"/>
  <c r="CN55" i="51" s="1"/>
  <c r="CM56" i="51"/>
  <c r="CN56" i="51" s="1"/>
  <c r="CM57" i="51"/>
  <c r="CN57" i="51" s="1"/>
  <c r="CM58" i="51"/>
  <c r="CN58" i="51" s="1"/>
  <c r="CM59" i="51"/>
  <c r="CN59" i="51" s="1"/>
  <c r="CM60" i="51"/>
  <c r="CN60" i="51" s="1"/>
  <c r="CM61" i="51"/>
  <c r="CN61" i="51" s="1"/>
  <c r="CM62" i="51"/>
  <c r="CN62" i="51" s="1"/>
  <c r="CM63" i="51"/>
  <c r="CN63" i="51" s="1"/>
  <c r="CM32" i="51"/>
  <c r="CN32" i="51" s="1"/>
  <c r="CM33" i="51"/>
  <c r="CN33" i="51" s="1"/>
  <c r="CM34" i="51"/>
  <c r="CN34" i="51" s="1"/>
  <c r="CM35" i="51"/>
  <c r="CN35" i="51" s="1"/>
  <c r="CM36" i="51"/>
  <c r="CN36" i="51" s="1"/>
  <c r="CM37" i="51"/>
  <c r="CN37" i="51" s="1"/>
  <c r="CM38" i="51"/>
  <c r="CN38" i="51" s="1"/>
  <c r="CM39" i="51"/>
  <c r="CN39" i="51" s="1"/>
  <c r="CM40" i="51"/>
  <c r="CN40" i="51" s="1"/>
  <c r="CM41" i="51"/>
  <c r="CN41" i="51" s="1"/>
  <c r="CM42" i="51"/>
  <c r="CN42" i="51" s="1"/>
  <c r="CM43" i="51"/>
  <c r="CN43" i="51" s="1"/>
  <c r="CM44" i="51"/>
  <c r="CN44" i="51" s="1"/>
  <c r="CM45" i="51"/>
  <c r="CN45" i="51" s="1"/>
  <c r="CM46" i="51"/>
  <c r="CN46" i="51" s="1"/>
  <c r="CM47" i="51"/>
  <c r="CN47" i="51" s="1"/>
  <c r="CM49" i="51"/>
  <c r="CN49" i="51" s="1"/>
  <c r="CM22" i="51"/>
  <c r="CN22" i="51" s="1"/>
  <c r="CM23" i="51"/>
  <c r="CN23" i="51" s="1"/>
  <c r="CM24" i="51"/>
  <c r="CN24" i="51" s="1"/>
  <c r="CM25" i="51"/>
  <c r="CN25" i="51" s="1"/>
  <c r="CM26" i="51"/>
  <c r="CN26" i="51" s="1"/>
  <c r="CM27" i="51"/>
  <c r="CN27" i="51" s="1"/>
  <c r="CM28" i="51"/>
  <c r="CN28" i="51" s="1"/>
  <c r="CM29" i="51"/>
  <c r="CN29" i="51" s="1"/>
  <c r="CM30" i="51"/>
  <c r="CN30" i="51" s="1"/>
  <c r="CM31" i="51"/>
  <c r="CN31" i="51" s="1"/>
  <c r="CM4" i="51"/>
  <c r="CN4" i="51" s="1"/>
  <c r="CM5" i="51"/>
  <c r="CN5" i="51" s="1"/>
  <c r="CM6" i="51"/>
  <c r="CN6" i="51" s="1"/>
  <c r="CM7" i="51"/>
  <c r="CN7" i="51" s="1"/>
  <c r="CM8" i="51"/>
  <c r="CN8" i="51" s="1"/>
  <c r="CM9" i="51"/>
  <c r="CN9" i="51" s="1"/>
  <c r="CM10" i="51"/>
  <c r="CN10" i="51" s="1"/>
  <c r="CM11" i="51"/>
  <c r="CN11" i="51" s="1"/>
  <c r="CM12" i="51"/>
  <c r="CN12" i="51" s="1"/>
  <c r="CM13" i="51"/>
  <c r="CN13" i="51" s="1"/>
  <c r="CM14" i="51"/>
  <c r="CN14" i="51" s="1"/>
  <c r="CM15" i="51"/>
  <c r="CN15" i="51" s="1"/>
  <c r="CM16" i="51"/>
  <c r="CN16" i="51" s="1"/>
  <c r="CM17" i="51"/>
  <c r="CN17" i="51" s="1"/>
  <c r="CM18" i="51"/>
  <c r="CN18" i="51" s="1"/>
  <c r="CM19" i="51"/>
  <c r="CN19" i="51" s="1"/>
  <c r="CM20" i="51"/>
  <c r="CN20" i="51" s="1"/>
  <c r="CM21" i="51"/>
  <c r="CN21" i="51" s="1"/>
  <c r="CM3" i="51"/>
  <c r="CN3" i="51" s="1"/>
  <c r="CJ63" i="51"/>
  <c r="CK63" i="51" s="1"/>
  <c r="CJ50" i="51"/>
  <c r="CK50" i="51" s="1"/>
  <c r="CJ51" i="51"/>
  <c r="CK51" i="51" s="1"/>
  <c r="CJ52" i="51"/>
  <c r="CK52" i="51" s="1"/>
  <c r="CJ53" i="51"/>
  <c r="CK53" i="51" s="1"/>
  <c r="CJ54" i="51"/>
  <c r="CK54" i="51" s="1"/>
  <c r="CJ55" i="51"/>
  <c r="CK55" i="51" s="1"/>
  <c r="CJ56" i="51"/>
  <c r="CK56" i="51" s="1"/>
  <c r="CJ57" i="51"/>
  <c r="CK57" i="51" s="1"/>
  <c r="CJ58" i="51"/>
  <c r="CK58" i="51" s="1"/>
  <c r="CJ59" i="51"/>
  <c r="CK59" i="51" s="1"/>
  <c r="CJ60" i="51"/>
  <c r="CK60" i="51" s="1"/>
  <c r="CJ61" i="51"/>
  <c r="CK61" i="51" s="1"/>
  <c r="CJ62" i="51"/>
  <c r="CK62" i="51" s="1"/>
  <c r="CJ33" i="51"/>
  <c r="CK33" i="51" s="1"/>
  <c r="CJ34" i="51"/>
  <c r="CK34" i="51" s="1"/>
  <c r="CJ35" i="51"/>
  <c r="CK35" i="51" s="1"/>
  <c r="CJ36" i="51"/>
  <c r="CK36" i="51" s="1"/>
  <c r="CJ22" i="51"/>
  <c r="CK22" i="51" s="1"/>
  <c r="CJ23" i="51"/>
  <c r="CK23" i="51" s="1"/>
  <c r="CJ24" i="51"/>
  <c r="CK24" i="51" s="1"/>
  <c r="CJ25" i="51"/>
  <c r="CK25" i="51" s="1"/>
  <c r="CJ26" i="51"/>
  <c r="CK26" i="51" s="1"/>
  <c r="CJ27" i="51"/>
  <c r="CK27" i="51" s="1"/>
  <c r="CJ28" i="51"/>
  <c r="CK28" i="51" s="1"/>
  <c r="CJ29" i="51"/>
  <c r="CK29" i="51" s="1"/>
  <c r="CJ30" i="51"/>
  <c r="CK30" i="51" s="1"/>
  <c r="CJ31" i="51"/>
  <c r="CK31" i="51" s="1"/>
  <c r="CJ32" i="51"/>
  <c r="CK32" i="51" s="1"/>
  <c r="CJ4" i="51"/>
  <c r="CK4" i="51" s="1"/>
  <c r="CJ5" i="51"/>
  <c r="CK5" i="51" s="1"/>
  <c r="CJ6" i="51"/>
  <c r="CK6" i="51" s="1"/>
  <c r="CJ7" i="51"/>
  <c r="CK7" i="51" s="1"/>
  <c r="CJ8" i="51"/>
  <c r="CK8" i="51" s="1"/>
  <c r="CJ9" i="51"/>
  <c r="CK9" i="51" s="1"/>
  <c r="CJ10" i="51"/>
  <c r="CK10" i="51" s="1"/>
  <c r="CJ11" i="51"/>
  <c r="CK11" i="51" s="1"/>
  <c r="CJ12" i="51"/>
  <c r="CK12" i="51" s="1"/>
  <c r="CJ13" i="51"/>
  <c r="CK13" i="51" s="1"/>
  <c r="CJ14" i="51"/>
  <c r="CK14" i="51" s="1"/>
  <c r="CJ15" i="51"/>
  <c r="CK15" i="51" s="1"/>
  <c r="CJ16" i="51"/>
  <c r="CK16" i="51" s="1"/>
  <c r="CK17" i="51"/>
  <c r="CJ18" i="51"/>
  <c r="CK18" i="51" s="1"/>
  <c r="CJ19" i="51"/>
  <c r="CK19" i="51" s="1"/>
  <c r="CJ20" i="51"/>
  <c r="CK20" i="51" s="1"/>
  <c r="CJ21" i="51"/>
  <c r="CK21" i="51" s="1"/>
  <c r="CJ3" i="51"/>
  <c r="CK3" i="51" s="1"/>
  <c r="BF51" i="51"/>
  <c r="BG51" i="51" s="1"/>
  <c r="BF52" i="51"/>
  <c r="BG52" i="51" s="1"/>
  <c r="BF53" i="51"/>
  <c r="BG53" i="51" s="1"/>
  <c r="BF54" i="51"/>
  <c r="BG54" i="51" s="1"/>
  <c r="BF55" i="51"/>
  <c r="BF56" i="51"/>
  <c r="BG56" i="51" s="1"/>
  <c r="BF57" i="51"/>
  <c r="BG57" i="51" s="1"/>
  <c r="BF58" i="51"/>
  <c r="BG58" i="51" s="1"/>
  <c r="BF59" i="51"/>
  <c r="BG59" i="51" s="1"/>
  <c r="BF60" i="51"/>
  <c r="BF61" i="51"/>
  <c r="BG61" i="51" s="1"/>
  <c r="BF62" i="51"/>
  <c r="BG62" i="51" s="1"/>
  <c r="BF63" i="51"/>
  <c r="BG63" i="51" s="1"/>
  <c r="BF36" i="51"/>
  <c r="BG36" i="51" s="1"/>
  <c r="BF37" i="51"/>
  <c r="BG37" i="51" s="1"/>
  <c r="BF38" i="51"/>
  <c r="BG38" i="51" s="1"/>
  <c r="BF39" i="51"/>
  <c r="BG39" i="51" s="1"/>
  <c r="BF40" i="51"/>
  <c r="BG40" i="51" s="1"/>
  <c r="BF41" i="51"/>
  <c r="BG41" i="51" s="1"/>
  <c r="BF42" i="51"/>
  <c r="BG42" i="51" s="1"/>
  <c r="BF43" i="51"/>
  <c r="BG43" i="51" s="1"/>
  <c r="BF44" i="51"/>
  <c r="BG44" i="51" s="1"/>
  <c r="BF45" i="51"/>
  <c r="BG45" i="51" s="1"/>
  <c r="BF46" i="51"/>
  <c r="BG46" i="51" s="1"/>
  <c r="BF47" i="51"/>
  <c r="BG47" i="51" s="1"/>
  <c r="BF48" i="51"/>
  <c r="BG48" i="51" s="1"/>
  <c r="BF49" i="51"/>
  <c r="BG49" i="51" s="1"/>
  <c r="BF50" i="51"/>
  <c r="BG50" i="51" s="1"/>
  <c r="BF21" i="51"/>
  <c r="BG21" i="51" s="1"/>
  <c r="BF22" i="51"/>
  <c r="BG22" i="51" s="1"/>
  <c r="BF23" i="51"/>
  <c r="BG23" i="51" s="1"/>
  <c r="BF28" i="51"/>
  <c r="BG28" i="51" s="1"/>
  <c r="BF32" i="51"/>
  <c r="BG32" i="51" s="1"/>
  <c r="BF33" i="51"/>
  <c r="BG33" i="51" s="1"/>
  <c r="BF34" i="51"/>
  <c r="BG34" i="51" s="1"/>
  <c r="BF35" i="51"/>
  <c r="BG35" i="51" s="1"/>
  <c r="BF4" i="51"/>
  <c r="BG4" i="51" s="1"/>
  <c r="BF5" i="51"/>
  <c r="BF6" i="51"/>
  <c r="BG6" i="51" s="1"/>
  <c r="BF7" i="51"/>
  <c r="BG7" i="51" s="1"/>
  <c r="BF8" i="51"/>
  <c r="BG8" i="51" s="1"/>
  <c r="BF9" i="51"/>
  <c r="BG9" i="51" s="1"/>
  <c r="BF10" i="51"/>
  <c r="BG10" i="51" s="1"/>
  <c r="BF11" i="51"/>
  <c r="BG11" i="51" s="1"/>
  <c r="BF12" i="51"/>
  <c r="BG12" i="51" s="1"/>
  <c r="BF13" i="51"/>
  <c r="BG13" i="51" s="1"/>
  <c r="BF14" i="51"/>
  <c r="BG14" i="51" s="1"/>
  <c r="BF15" i="51"/>
  <c r="BG15" i="51" s="1"/>
  <c r="BF16" i="51"/>
  <c r="BG16" i="51" s="1"/>
  <c r="BF17" i="51"/>
  <c r="BG17" i="51" s="1"/>
  <c r="BF18" i="51"/>
  <c r="BG18" i="51" s="1"/>
  <c r="BF19" i="51"/>
  <c r="BG19" i="51" s="1"/>
  <c r="BF20" i="51"/>
  <c r="BG20" i="51" s="1"/>
  <c r="BF3" i="51"/>
  <c r="BG3" i="51" s="1"/>
  <c r="L12" i="49"/>
  <c r="L11" i="49"/>
  <c r="L10" i="49"/>
  <c r="L9" i="49"/>
  <c r="L8" i="49"/>
  <c r="L7" i="49"/>
  <c r="L6" i="49"/>
  <c r="L5" i="49"/>
  <c r="M5" i="49" s="1"/>
  <c r="L4" i="49"/>
  <c r="M4" i="49" s="1"/>
  <c r="L3" i="49"/>
  <c r="M3" i="49" s="1"/>
  <c r="I12" i="49"/>
  <c r="J12" i="49" s="1"/>
  <c r="I11" i="49"/>
  <c r="I10" i="49"/>
  <c r="I9" i="49"/>
  <c r="I8" i="49"/>
  <c r="J8" i="49" s="1"/>
  <c r="I7" i="49"/>
  <c r="J7" i="49" s="1"/>
  <c r="I6" i="49"/>
  <c r="I5" i="49"/>
  <c r="J5" i="49" s="1"/>
  <c r="I4" i="49"/>
  <c r="J4" i="49" s="1"/>
  <c r="I3" i="49"/>
  <c r="C12" i="49"/>
  <c r="C11" i="49"/>
  <c r="D11" i="49" s="1"/>
  <c r="C10" i="49"/>
  <c r="C9" i="49"/>
  <c r="C8" i="49"/>
  <c r="C7" i="49"/>
  <c r="C6" i="49"/>
  <c r="C5" i="49"/>
  <c r="C4" i="49"/>
  <c r="D4" i="49" s="1"/>
  <c r="C3" i="49"/>
  <c r="D3" i="49" s="1"/>
  <c r="AZ60" i="51"/>
  <c r="BA60" i="51" s="1"/>
  <c r="AZ61" i="51"/>
  <c r="BA61" i="51" s="1"/>
  <c r="AZ62" i="51"/>
  <c r="BA62" i="51" s="1"/>
  <c r="AZ63" i="51"/>
  <c r="BA63" i="51" s="1"/>
  <c r="AZ50" i="51"/>
  <c r="BA50" i="51" s="1"/>
  <c r="AZ51" i="51"/>
  <c r="BA51" i="51" s="1"/>
  <c r="AZ52" i="51"/>
  <c r="BA52" i="51" s="1"/>
  <c r="AZ53" i="51"/>
  <c r="BA53" i="51" s="1"/>
  <c r="AZ54" i="51"/>
  <c r="BA54" i="51" s="1"/>
  <c r="AZ55" i="51"/>
  <c r="BA55" i="51" s="1"/>
  <c r="AZ56" i="51"/>
  <c r="BA56" i="51" s="1"/>
  <c r="AZ57" i="51"/>
  <c r="BA57" i="51" s="1"/>
  <c r="AZ58" i="51"/>
  <c r="BA58" i="51" s="1"/>
  <c r="AZ59" i="51"/>
  <c r="BA59" i="51" s="1"/>
  <c r="AZ39" i="51"/>
  <c r="BA39" i="51" s="1"/>
  <c r="AZ40" i="51"/>
  <c r="BA40" i="51" s="1"/>
  <c r="AZ41" i="51"/>
  <c r="BA41" i="51" s="1"/>
  <c r="AZ42" i="51"/>
  <c r="BA42" i="51" s="1"/>
  <c r="AZ43" i="51"/>
  <c r="BA43" i="51" s="1"/>
  <c r="AZ44" i="51"/>
  <c r="BA44" i="51" s="1"/>
  <c r="AZ45" i="51"/>
  <c r="BA45" i="51" s="1"/>
  <c r="AZ46" i="51"/>
  <c r="BA46" i="51" s="1"/>
  <c r="AZ47" i="51"/>
  <c r="BA47" i="51" s="1"/>
  <c r="AZ48" i="51"/>
  <c r="BA48" i="51" s="1"/>
  <c r="AZ49" i="51"/>
  <c r="BA49" i="51" s="1"/>
  <c r="AZ22" i="51"/>
  <c r="BA22" i="51" s="1"/>
  <c r="AZ23" i="51"/>
  <c r="BA23" i="51" s="1"/>
  <c r="AZ25" i="51"/>
  <c r="BA25" i="51" s="1"/>
  <c r="AZ26" i="51"/>
  <c r="BA26" i="51" s="1"/>
  <c r="AZ27" i="51"/>
  <c r="BA27" i="51" s="1"/>
  <c r="AZ28" i="51"/>
  <c r="BA28" i="51" s="1"/>
  <c r="AZ30" i="51"/>
  <c r="BA30" i="51" s="1"/>
  <c r="AZ31" i="51"/>
  <c r="BA31" i="51" s="1"/>
  <c r="AZ32" i="51"/>
  <c r="BA32" i="51" s="1"/>
  <c r="AZ33" i="51"/>
  <c r="BA33" i="51" s="1"/>
  <c r="AZ34" i="51"/>
  <c r="BA34" i="51" s="1"/>
  <c r="AZ35" i="51"/>
  <c r="BA35" i="51" s="1"/>
  <c r="AZ36" i="51"/>
  <c r="BA36" i="51" s="1"/>
  <c r="AZ37" i="51"/>
  <c r="BA37" i="51" s="1"/>
  <c r="AZ38" i="51"/>
  <c r="BA38" i="51" s="1"/>
  <c r="AZ4" i="51"/>
  <c r="BA4" i="51" s="1"/>
  <c r="AZ5" i="51"/>
  <c r="BA5" i="51" s="1"/>
  <c r="AZ6" i="51"/>
  <c r="BA6" i="51" s="1"/>
  <c r="AZ7" i="51"/>
  <c r="BA7" i="51" s="1"/>
  <c r="AZ8" i="51"/>
  <c r="BA8" i="51" s="1"/>
  <c r="AZ9" i="51"/>
  <c r="BA9" i="51" s="1"/>
  <c r="AZ10" i="51"/>
  <c r="BA10" i="51" s="1"/>
  <c r="AZ11" i="51"/>
  <c r="BA11" i="51" s="1"/>
  <c r="AZ12" i="51"/>
  <c r="BA12" i="51" s="1"/>
  <c r="AZ13" i="51"/>
  <c r="BA13" i="51" s="1"/>
  <c r="AZ14" i="51"/>
  <c r="BA14" i="51" s="1"/>
  <c r="AZ15" i="51"/>
  <c r="BA15" i="51" s="1"/>
  <c r="AZ16" i="51"/>
  <c r="BA16" i="51" s="1"/>
  <c r="AZ17" i="51"/>
  <c r="BA17" i="51" s="1"/>
  <c r="AZ18" i="51"/>
  <c r="BA18" i="51" s="1"/>
  <c r="AZ19" i="51"/>
  <c r="BA19" i="51" s="1"/>
  <c r="AZ20" i="51"/>
  <c r="BA20" i="51" s="1"/>
  <c r="AZ21" i="51"/>
  <c r="BA21" i="51" s="1"/>
  <c r="AZ3" i="51"/>
  <c r="BA3" i="51" s="1"/>
  <c r="AW3" i="51"/>
  <c r="AX3" i="51" s="1"/>
  <c r="AW4" i="51"/>
  <c r="AX4" i="51" s="1"/>
  <c r="AW5" i="51"/>
  <c r="AX5" i="51" s="1"/>
  <c r="AW6" i="51"/>
  <c r="AX6" i="51" s="1"/>
  <c r="AW7" i="51"/>
  <c r="AX7" i="51" s="1"/>
  <c r="AW8" i="51"/>
  <c r="AX8" i="51" s="1"/>
  <c r="AW9" i="51"/>
  <c r="AX9" i="51" s="1"/>
  <c r="AW10" i="51"/>
  <c r="AX10" i="51" s="1"/>
  <c r="AW11" i="51"/>
  <c r="AX11" i="51" s="1"/>
  <c r="AW12" i="51"/>
  <c r="AX12" i="51" s="1"/>
  <c r="AW13" i="51"/>
  <c r="AX13" i="51" s="1"/>
  <c r="AW14" i="51"/>
  <c r="AX14" i="51" s="1"/>
  <c r="AW15" i="51"/>
  <c r="AX15" i="51" s="1"/>
  <c r="AW16" i="51"/>
  <c r="AX16" i="51" s="1"/>
  <c r="AW17" i="51"/>
  <c r="AX17" i="51" s="1"/>
  <c r="AW18" i="51"/>
  <c r="AX18" i="51" s="1"/>
  <c r="AW19" i="51"/>
  <c r="AX19" i="51" s="1"/>
  <c r="AW20" i="51"/>
  <c r="AX20" i="51" s="1"/>
  <c r="AW21" i="51"/>
  <c r="AX21" i="51" s="1"/>
  <c r="AW22" i="51"/>
  <c r="AX22" i="51" s="1"/>
  <c r="AW23" i="51"/>
  <c r="AX23" i="51" s="1"/>
  <c r="AW25" i="51"/>
  <c r="AX25" i="51" s="1"/>
  <c r="AW26" i="51"/>
  <c r="AX26" i="51" s="1"/>
  <c r="AW27" i="51"/>
  <c r="AX27" i="51" s="1"/>
  <c r="AW28" i="51"/>
  <c r="AX28" i="51" s="1"/>
  <c r="AW30" i="51"/>
  <c r="AX30" i="51" s="1"/>
  <c r="AW31" i="51"/>
  <c r="AX31" i="51" s="1"/>
  <c r="AW32" i="51"/>
  <c r="AX32" i="51" s="1"/>
  <c r="AW33" i="51"/>
  <c r="AX33" i="51" s="1"/>
  <c r="AW34" i="51"/>
  <c r="AX34" i="51" s="1"/>
  <c r="AW35" i="51"/>
  <c r="AX35" i="51" s="1"/>
  <c r="AW36" i="51"/>
  <c r="AX36" i="51" s="1"/>
  <c r="AW37" i="51"/>
  <c r="AX37" i="51" s="1"/>
  <c r="AW38" i="51"/>
  <c r="AX38" i="51" s="1"/>
  <c r="AW39" i="51"/>
  <c r="AX39" i="51" s="1"/>
  <c r="AW40" i="51"/>
  <c r="AX40" i="51" s="1"/>
  <c r="AW41" i="51"/>
  <c r="AX41" i="51" s="1"/>
  <c r="AW42" i="51"/>
  <c r="AX42" i="51" s="1"/>
  <c r="AW43" i="51"/>
  <c r="AX43" i="51" s="1"/>
  <c r="AW44" i="51"/>
  <c r="AX44" i="51" s="1"/>
  <c r="AW45" i="51"/>
  <c r="AX45" i="51" s="1"/>
  <c r="AW58" i="51"/>
  <c r="AX58" i="51" s="1"/>
  <c r="AW59" i="51"/>
  <c r="AX59" i="51" s="1"/>
  <c r="AW60" i="51"/>
  <c r="AX60" i="51" s="1"/>
  <c r="AW61" i="51"/>
  <c r="AX61" i="51" s="1"/>
  <c r="AW62" i="51"/>
  <c r="AX62" i="51" s="1"/>
  <c r="AW63" i="51"/>
  <c r="AX63" i="51" s="1"/>
  <c r="AW47" i="51"/>
  <c r="AX47" i="51" s="1"/>
  <c r="AW48" i="51"/>
  <c r="AX48" i="51" s="1"/>
  <c r="AW49" i="51"/>
  <c r="AX49" i="51" s="1"/>
  <c r="AW50" i="51"/>
  <c r="AX50" i="51" s="1"/>
  <c r="AW51" i="51"/>
  <c r="AX51" i="51" s="1"/>
  <c r="AW52" i="51"/>
  <c r="AX52" i="51" s="1"/>
  <c r="AW53" i="51"/>
  <c r="AX53" i="51" s="1"/>
  <c r="AW54" i="51"/>
  <c r="AX54" i="51" s="1"/>
  <c r="AW55" i="51"/>
  <c r="AX55" i="51" s="1"/>
  <c r="AW56" i="51"/>
  <c r="AX56" i="51" s="1"/>
  <c r="AW57" i="51"/>
  <c r="AX57" i="51" s="1"/>
  <c r="AW46" i="51"/>
  <c r="AX46" i="51" s="1"/>
  <c r="CI48" i="51"/>
  <c r="CJ48" i="51" s="1"/>
  <c r="CK48" i="51" s="1"/>
  <c r="CL48" i="51"/>
  <c r="CM48" i="51" s="1"/>
  <c r="CN48" i="51" s="1"/>
  <c r="BG55" i="51"/>
  <c r="BG60" i="51"/>
  <c r="BG5" i="51"/>
  <c r="AH3" i="51"/>
  <c r="AI3" i="51"/>
  <c r="AK3" i="51"/>
  <c r="AH4" i="51"/>
  <c r="AI4" i="51"/>
  <c r="AK4" i="51"/>
  <c r="AH5" i="51"/>
  <c r="AI5" i="51"/>
  <c r="AK5" i="51"/>
  <c r="AH6" i="51"/>
  <c r="AI6" i="51"/>
  <c r="AK6" i="51"/>
  <c r="AH7" i="51"/>
  <c r="AI7" i="51"/>
  <c r="AK7" i="51"/>
  <c r="AH8" i="51"/>
  <c r="AI8" i="51"/>
  <c r="AK8" i="51"/>
  <c r="AH9" i="51"/>
  <c r="AI9" i="51"/>
  <c r="AK9" i="51"/>
  <c r="AH10" i="51"/>
  <c r="AI10" i="51"/>
  <c r="AK10" i="51"/>
  <c r="AH11" i="51"/>
  <c r="AI11" i="51"/>
  <c r="AK11" i="51"/>
  <c r="AH12" i="51"/>
  <c r="AI12" i="51"/>
  <c r="AK12" i="51"/>
  <c r="AH13" i="51"/>
  <c r="AI13" i="51"/>
  <c r="AK13" i="51"/>
  <c r="AH14" i="51"/>
  <c r="AI14" i="51"/>
  <c r="AK14" i="51"/>
  <c r="AH15" i="51"/>
  <c r="AI15" i="51"/>
  <c r="AK15" i="51"/>
  <c r="AH16" i="51"/>
  <c r="AI16" i="51"/>
  <c r="AK16" i="51"/>
  <c r="AH17" i="51"/>
  <c r="AI17" i="51"/>
  <c r="AK17" i="51"/>
  <c r="AH18" i="51"/>
  <c r="AI18" i="51"/>
  <c r="AK18" i="51"/>
  <c r="AH19" i="51"/>
  <c r="AI19" i="51"/>
  <c r="AK19" i="51"/>
  <c r="AH20" i="51"/>
  <c r="AI20" i="51"/>
  <c r="AK20" i="51"/>
  <c r="AH21" i="51"/>
  <c r="AI21" i="51"/>
  <c r="AK21" i="51"/>
  <c r="AH22" i="51"/>
  <c r="AI22" i="51"/>
  <c r="AK22" i="51"/>
  <c r="AH23" i="51"/>
  <c r="AI23" i="51"/>
  <c r="AK23" i="51"/>
  <c r="AH24" i="51"/>
  <c r="AI24" i="51"/>
  <c r="AK24" i="51"/>
  <c r="AH25" i="51"/>
  <c r="AI25" i="51"/>
  <c r="AK25" i="51"/>
  <c r="AH26" i="51"/>
  <c r="AI26" i="51"/>
  <c r="AK26" i="51"/>
  <c r="AH27" i="51"/>
  <c r="AI27" i="51"/>
  <c r="AK27" i="51"/>
  <c r="AH28" i="51"/>
  <c r="AI28" i="51"/>
  <c r="AH29" i="51"/>
  <c r="AI29" i="51"/>
  <c r="AK29" i="51"/>
  <c r="AH30" i="51"/>
  <c r="AI30" i="51"/>
  <c r="AK30" i="51"/>
  <c r="AH31" i="51"/>
  <c r="AI31" i="51"/>
  <c r="AK31" i="51"/>
  <c r="AH32" i="51"/>
  <c r="AI32" i="51"/>
  <c r="AH33" i="51"/>
  <c r="AI33" i="51"/>
  <c r="AH34" i="51"/>
  <c r="AI34" i="51"/>
  <c r="AK34" i="51"/>
  <c r="AH35" i="51"/>
  <c r="AI35" i="51"/>
  <c r="AK35" i="51"/>
  <c r="AH36" i="51"/>
  <c r="AI36" i="51"/>
  <c r="AK36" i="51"/>
  <c r="AH37" i="51"/>
  <c r="AI37" i="51"/>
  <c r="AK37" i="51"/>
  <c r="AH38" i="51"/>
  <c r="AI38" i="51"/>
  <c r="AK38" i="51"/>
  <c r="AH39" i="51"/>
  <c r="AI39" i="51"/>
  <c r="AK39" i="51"/>
  <c r="AH40" i="51"/>
  <c r="AI40" i="51"/>
  <c r="AK40" i="51"/>
  <c r="AH41" i="51"/>
  <c r="AI41" i="51"/>
  <c r="AK41" i="51"/>
  <c r="AH42" i="51"/>
  <c r="AI42" i="51"/>
  <c r="AK42" i="51"/>
  <c r="AH43" i="51"/>
  <c r="AI43" i="51"/>
  <c r="AK43" i="51"/>
  <c r="AH44" i="51"/>
  <c r="AI44" i="51"/>
  <c r="AK44" i="51"/>
  <c r="AH45" i="51"/>
  <c r="AI45" i="51"/>
  <c r="AK45" i="51"/>
  <c r="AH46" i="51"/>
  <c r="AI46" i="51"/>
  <c r="AK46" i="51"/>
  <c r="AH47" i="51"/>
  <c r="AI47" i="51"/>
  <c r="AK47" i="51"/>
  <c r="AH48" i="51"/>
  <c r="AI48" i="51"/>
  <c r="AK48" i="51"/>
  <c r="AH49" i="51"/>
  <c r="AI49" i="51"/>
  <c r="AK49" i="51"/>
  <c r="AH50" i="51"/>
  <c r="AI50" i="51"/>
  <c r="AK50" i="51"/>
  <c r="AH51" i="51"/>
  <c r="AI51" i="51"/>
  <c r="AK51" i="51"/>
  <c r="AH52" i="51"/>
  <c r="AI52" i="51"/>
  <c r="AK52" i="51"/>
  <c r="AH53" i="51"/>
  <c r="AI53" i="51"/>
  <c r="AK53" i="51"/>
  <c r="AH54" i="51"/>
  <c r="AI54" i="51"/>
  <c r="AH55" i="51"/>
  <c r="AI55" i="51"/>
  <c r="AK55" i="51"/>
  <c r="AH56" i="51"/>
  <c r="AI56" i="51"/>
  <c r="AK56" i="51"/>
  <c r="AH57" i="51"/>
  <c r="AI57" i="51"/>
  <c r="AK57" i="51"/>
  <c r="AH58" i="51"/>
  <c r="AI58" i="51"/>
  <c r="AK58" i="51"/>
  <c r="AH59" i="51"/>
  <c r="AI59" i="51"/>
  <c r="AK59" i="51"/>
  <c r="AH60" i="51"/>
  <c r="AI60" i="51"/>
  <c r="AK60" i="51"/>
  <c r="AH61" i="51"/>
  <c r="AI61" i="51"/>
  <c r="AK61" i="51"/>
  <c r="AH62" i="51"/>
  <c r="AI62" i="51"/>
  <c r="AK62" i="51"/>
  <c r="AH63" i="51"/>
  <c r="AI63" i="51"/>
  <c r="AK63" i="51"/>
  <c r="EJ125" i="50"/>
  <c r="EJ126" i="50"/>
  <c r="EJ127" i="50"/>
  <c r="EJ128" i="50"/>
  <c r="EJ129" i="50"/>
  <c r="EJ130" i="50"/>
  <c r="EJ131" i="50"/>
  <c r="EJ132" i="50"/>
  <c r="EJ133" i="50"/>
  <c r="EJ134" i="50"/>
  <c r="EJ109" i="50"/>
  <c r="EJ110" i="50"/>
  <c r="EJ111" i="50"/>
  <c r="EJ112" i="50"/>
  <c r="EJ113" i="50"/>
  <c r="EJ114" i="50"/>
  <c r="EJ115" i="50"/>
  <c r="EJ116" i="50"/>
  <c r="EJ117" i="50"/>
  <c r="EJ118" i="50"/>
  <c r="EJ119" i="50"/>
  <c r="EJ120" i="50"/>
  <c r="EJ121" i="50"/>
  <c r="EJ122" i="50"/>
  <c r="EJ123" i="50"/>
  <c r="EJ124" i="50"/>
  <c r="EJ91" i="50"/>
  <c r="EJ92" i="50"/>
  <c r="EJ93" i="50"/>
  <c r="EJ94" i="50"/>
  <c r="EJ95" i="50"/>
  <c r="EJ96" i="50"/>
  <c r="EJ97" i="50"/>
  <c r="EJ98" i="50"/>
  <c r="EJ99" i="50"/>
  <c r="EJ100" i="50"/>
  <c r="EJ101" i="50"/>
  <c r="EJ102" i="50"/>
  <c r="EJ103" i="50"/>
  <c r="EJ104" i="50"/>
  <c r="EJ105" i="50"/>
  <c r="EJ106" i="50"/>
  <c r="EJ107" i="50"/>
  <c r="EJ108" i="50"/>
  <c r="EJ75" i="50"/>
  <c r="EJ76" i="50"/>
  <c r="EJ77" i="50"/>
  <c r="EJ78" i="50"/>
  <c r="EJ79" i="50"/>
  <c r="EJ80" i="50"/>
  <c r="EJ81" i="50"/>
  <c r="EJ82" i="50"/>
  <c r="EJ83" i="50"/>
  <c r="EJ84" i="50"/>
  <c r="EJ85" i="50"/>
  <c r="EJ86" i="50"/>
  <c r="EJ87" i="50"/>
  <c r="EJ88" i="50"/>
  <c r="EJ89" i="50"/>
  <c r="EJ90" i="50"/>
  <c r="EJ51" i="50"/>
  <c r="EJ52" i="50"/>
  <c r="EJ53" i="50"/>
  <c r="EJ54" i="50"/>
  <c r="EJ55" i="50"/>
  <c r="EJ56" i="50"/>
  <c r="EJ57" i="50"/>
  <c r="EJ58" i="50"/>
  <c r="EJ59" i="50"/>
  <c r="EJ60" i="50"/>
  <c r="EJ61" i="50"/>
  <c r="EJ62" i="50"/>
  <c r="EJ63" i="50"/>
  <c r="EJ64" i="50"/>
  <c r="EJ65" i="50"/>
  <c r="EJ66" i="50"/>
  <c r="EJ67" i="50"/>
  <c r="EJ68" i="50"/>
  <c r="EJ69" i="50"/>
  <c r="EJ70" i="50"/>
  <c r="EJ71" i="50"/>
  <c r="EJ72" i="50"/>
  <c r="EJ73" i="50"/>
  <c r="EJ74" i="50"/>
  <c r="EJ27" i="50"/>
  <c r="EJ28" i="50"/>
  <c r="EJ29" i="50"/>
  <c r="EJ30" i="50"/>
  <c r="EJ31" i="50"/>
  <c r="EJ32" i="50"/>
  <c r="EJ33" i="50"/>
  <c r="EJ34" i="50"/>
  <c r="EJ35" i="50"/>
  <c r="EJ36" i="50"/>
  <c r="EJ37" i="50"/>
  <c r="EJ38" i="50"/>
  <c r="EJ39" i="50"/>
  <c r="EJ40" i="50"/>
  <c r="EJ41" i="50"/>
  <c r="EJ42" i="50"/>
  <c r="EJ43" i="50"/>
  <c r="EJ44" i="50"/>
  <c r="EJ45" i="50"/>
  <c r="EJ46" i="50"/>
  <c r="EJ47" i="50"/>
  <c r="EJ48" i="50"/>
  <c r="EJ49" i="50"/>
  <c r="EJ50" i="50"/>
  <c r="EJ4" i="50"/>
  <c r="EJ5" i="50"/>
  <c r="EJ6" i="50"/>
  <c r="EJ7" i="50"/>
  <c r="EJ8" i="50"/>
  <c r="EJ9" i="50"/>
  <c r="EJ10" i="50"/>
  <c r="EJ11" i="50"/>
  <c r="EJ12" i="50"/>
  <c r="EJ13" i="50"/>
  <c r="EJ14" i="50"/>
  <c r="EJ15" i="50"/>
  <c r="EJ16" i="50"/>
  <c r="EJ17" i="50"/>
  <c r="EJ18" i="50"/>
  <c r="EJ19" i="50"/>
  <c r="EJ20" i="50"/>
  <c r="EJ21" i="50"/>
  <c r="EJ22" i="50"/>
  <c r="EJ23" i="50"/>
  <c r="EJ24" i="50"/>
  <c r="EJ25" i="50"/>
  <c r="EJ26" i="50"/>
  <c r="EJ3" i="50"/>
  <c r="EI132" i="50"/>
  <c r="EI133" i="50"/>
  <c r="EI134" i="50"/>
  <c r="EI108" i="50"/>
  <c r="EI109" i="50"/>
  <c r="EI110" i="50"/>
  <c r="EI111" i="50"/>
  <c r="EI112" i="50"/>
  <c r="EI113" i="50"/>
  <c r="EI114" i="50"/>
  <c r="EI115" i="50"/>
  <c r="EI116" i="50"/>
  <c r="EI117" i="50"/>
  <c r="EI118" i="50"/>
  <c r="EI119" i="50"/>
  <c r="EI120" i="50"/>
  <c r="EI121" i="50"/>
  <c r="EI122" i="50"/>
  <c r="EI123" i="50"/>
  <c r="EI124" i="50"/>
  <c r="EI125" i="50"/>
  <c r="EI126" i="50"/>
  <c r="EI127" i="50"/>
  <c r="EI128" i="50"/>
  <c r="EI129" i="50"/>
  <c r="EI130" i="50"/>
  <c r="EI131" i="50"/>
  <c r="EI90" i="50"/>
  <c r="EI91" i="50"/>
  <c r="EI92" i="50"/>
  <c r="EI93" i="50"/>
  <c r="EI94" i="50"/>
  <c r="EI95" i="50"/>
  <c r="EI96" i="50"/>
  <c r="EI97" i="50"/>
  <c r="EI98" i="50"/>
  <c r="EI99" i="50"/>
  <c r="EI100" i="50"/>
  <c r="EI101" i="50"/>
  <c r="EI102" i="50"/>
  <c r="EI103" i="50"/>
  <c r="EI104" i="50"/>
  <c r="EI105" i="50"/>
  <c r="EI106" i="50"/>
  <c r="EI107" i="50"/>
  <c r="EI74" i="50"/>
  <c r="EI75" i="50"/>
  <c r="EI76" i="50"/>
  <c r="EI77" i="50"/>
  <c r="EI78" i="50"/>
  <c r="EI79" i="50"/>
  <c r="EI80" i="50"/>
  <c r="EI81" i="50"/>
  <c r="EI82" i="50"/>
  <c r="EI83" i="50"/>
  <c r="EI84" i="50"/>
  <c r="EI85" i="50"/>
  <c r="EI86" i="50"/>
  <c r="EI87" i="50"/>
  <c r="EI88" i="50"/>
  <c r="EI89" i="50"/>
  <c r="EI59" i="50"/>
  <c r="EI60" i="50"/>
  <c r="EI61" i="50"/>
  <c r="EI62" i="50"/>
  <c r="EI63" i="50"/>
  <c r="EI64" i="50"/>
  <c r="EI65" i="50"/>
  <c r="EI66" i="50"/>
  <c r="EI67" i="50"/>
  <c r="EI68" i="50"/>
  <c r="EI69" i="50"/>
  <c r="EI70" i="50"/>
  <c r="EI71" i="50"/>
  <c r="EI72" i="50"/>
  <c r="EI73" i="50"/>
  <c r="EI41" i="50"/>
  <c r="EI42" i="50"/>
  <c r="EI43" i="50"/>
  <c r="EI44" i="50"/>
  <c r="EI45" i="50"/>
  <c r="EI46" i="50"/>
  <c r="EI47" i="50"/>
  <c r="EI48" i="50"/>
  <c r="EI49" i="50"/>
  <c r="EI50" i="50"/>
  <c r="EI51" i="50"/>
  <c r="EI52" i="50"/>
  <c r="EI53" i="50"/>
  <c r="EI54" i="50"/>
  <c r="EI55" i="50"/>
  <c r="EI56" i="50"/>
  <c r="EI57" i="50"/>
  <c r="EI58" i="50"/>
  <c r="EI34" i="50"/>
  <c r="EI35" i="50"/>
  <c r="EI36" i="50"/>
  <c r="EI37" i="50"/>
  <c r="EI38" i="50"/>
  <c r="EI39" i="50"/>
  <c r="EI40" i="50"/>
  <c r="EI6" i="50"/>
  <c r="EI7" i="50"/>
  <c r="EI8" i="50"/>
  <c r="EI9" i="50"/>
  <c r="EI10" i="50"/>
  <c r="EI11" i="50"/>
  <c r="EI12" i="50"/>
  <c r="EI13" i="50"/>
  <c r="EI14" i="50"/>
  <c r="EI15" i="50"/>
  <c r="EI16" i="50"/>
  <c r="EI17" i="50"/>
  <c r="EI18" i="50"/>
  <c r="EI19" i="50"/>
  <c r="EI20" i="50"/>
  <c r="EI21" i="50"/>
  <c r="EI22" i="50"/>
  <c r="EI23" i="50"/>
  <c r="EI24" i="50"/>
  <c r="EI25" i="50"/>
  <c r="EI26" i="50"/>
  <c r="EI27" i="50"/>
  <c r="EI28" i="50"/>
  <c r="EI29" i="50"/>
  <c r="EI30" i="50"/>
  <c r="EI31" i="50"/>
  <c r="EI32" i="50"/>
  <c r="EI33" i="50"/>
  <c r="EI4" i="50"/>
  <c r="EI5" i="50"/>
  <c r="EI3" i="50"/>
  <c r="EH125" i="50"/>
  <c r="EH126" i="50"/>
  <c r="EH127" i="50"/>
  <c r="EH128" i="50"/>
  <c r="EH129" i="50"/>
  <c r="EH130" i="50"/>
  <c r="EH131" i="50"/>
  <c r="EH132" i="50"/>
  <c r="EH133" i="50"/>
  <c r="EH134" i="50"/>
  <c r="EH115" i="50"/>
  <c r="EH116" i="50"/>
  <c r="EH117" i="50"/>
  <c r="EH118" i="50"/>
  <c r="EH119" i="50"/>
  <c r="EH120" i="50"/>
  <c r="EH121" i="50"/>
  <c r="EH122" i="50"/>
  <c r="EH123" i="50"/>
  <c r="EH124" i="50"/>
  <c r="EH105" i="50"/>
  <c r="EH106" i="50"/>
  <c r="EH107" i="50"/>
  <c r="EH108" i="50"/>
  <c r="EH109" i="50"/>
  <c r="EH110" i="50"/>
  <c r="EH111" i="50"/>
  <c r="EH112" i="50"/>
  <c r="EH113" i="50"/>
  <c r="EH114" i="50"/>
  <c r="EH83" i="50"/>
  <c r="EH84" i="50"/>
  <c r="EH85" i="50"/>
  <c r="EH86" i="50"/>
  <c r="EH87" i="50"/>
  <c r="EH88" i="50"/>
  <c r="EH89" i="50"/>
  <c r="EH90" i="50"/>
  <c r="EH91" i="50"/>
  <c r="EH92" i="50"/>
  <c r="EH93" i="50"/>
  <c r="EH94" i="50"/>
  <c r="EH95" i="50"/>
  <c r="EH96" i="50"/>
  <c r="EH97" i="50"/>
  <c r="EH98" i="50"/>
  <c r="EH99" i="50"/>
  <c r="EH100" i="50"/>
  <c r="EH101" i="50"/>
  <c r="EH102" i="50"/>
  <c r="EH103" i="50"/>
  <c r="EH104" i="50"/>
  <c r="EH72" i="50"/>
  <c r="EH73" i="50"/>
  <c r="EH74" i="50"/>
  <c r="EH75" i="50"/>
  <c r="EH76" i="50"/>
  <c r="EH77" i="50"/>
  <c r="EH78" i="50"/>
  <c r="EH79" i="50"/>
  <c r="EH80" i="50"/>
  <c r="EH81" i="50"/>
  <c r="EH82" i="50"/>
  <c r="EH56" i="50"/>
  <c r="EH57" i="50"/>
  <c r="EH58" i="50"/>
  <c r="EH59" i="50"/>
  <c r="EH60" i="50"/>
  <c r="EH61" i="50"/>
  <c r="EH62" i="50"/>
  <c r="EH63" i="50"/>
  <c r="EH64" i="50"/>
  <c r="EH65" i="50"/>
  <c r="EH66" i="50"/>
  <c r="EH67" i="50"/>
  <c r="EH68" i="50"/>
  <c r="EH69" i="50"/>
  <c r="EH70" i="50"/>
  <c r="EH71" i="50"/>
  <c r="EH46" i="50"/>
  <c r="EH47" i="50"/>
  <c r="EH48" i="50"/>
  <c r="EH49" i="50"/>
  <c r="EH50" i="50"/>
  <c r="EH51" i="50"/>
  <c r="EH52" i="50"/>
  <c r="EH53" i="50"/>
  <c r="EH54" i="50"/>
  <c r="EH55" i="50"/>
  <c r="EH31" i="50"/>
  <c r="EH32" i="50"/>
  <c r="EH33" i="50"/>
  <c r="EH34" i="50"/>
  <c r="EH35" i="50"/>
  <c r="EH36" i="50"/>
  <c r="EH37" i="50"/>
  <c r="EH38" i="50"/>
  <c r="EH39" i="50"/>
  <c r="EH40" i="50"/>
  <c r="EH41" i="50"/>
  <c r="EH42" i="50"/>
  <c r="EH43" i="50"/>
  <c r="EH44" i="50"/>
  <c r="EH45" i="50"/>
  <c r="EH4" i="50"/>
  <c r="EH5" i="50"/>
  <c r="EH6" i="50"/>
  <c r="EH7" i="50"/>
  <c r="EH8" i="50"/>
  <c r="EH9" i="50"/>
  <c r="EH10" i="50"/>
  <c r="EH11" i="50"/>
  <c r="EH12" i="50"/>
  <c r="EH13" i="50"/>
  <c r="EH14" i="50"/>
  <c r="EH15" i="50"/>
  <c r="EH16" i="50"/>
  <c r="EH17" i="50"/>
  <c r="EH18" i="50"/>
  <c r="EH19" i="50"/>
  <c r="EH20" i="50"/>
  <c r="EH21" i="50"/>
  <c r="EH22" i="50"/>
  <c r="EH23" i="50"/>
  <c r="EH24" i="50"/>
  <c r="EH25" i="50"/>
  <c r="EH26" i="50"/>
  <c r="EH27" i="50"/>
  <c r="EH28" i="50"/>
  <c r="EH29" i="50"/>
  <c r="EH30" i="50"/>
  <c r="EH3" i="50"/>
  <c r="EG118" i="50"/>
  <c r="EG119" i="50"/>
  <c r="EG120" i="50"/>
  <c r="EG121" i="50"/>
  <c r="EG122" i="50"/>
  <c r="EG123" i="50"/>
  <c r="EG124" i="50"/>
  <c r="EG125" i="50"/>
  <c r="EG126" i="50"/>
  <c r="EG127" i="50"/>
  <c r="EG128" i="50"/>
  <c r="EG129" i="50"/>
  <c r="EG130" i="50"/>
  <c r="EG131" i="50"/>
  <c r="EG132" i="50"/>
  <c r="EG133" i="50"/>
  <c r="EG134" i="50"/>
  <c r="EG104" i="50"/>
  <c r="EG105" i="50"/>
  <c r="EG106" i="50"/>
  <c r="EG107" i="50"/>
  <c r="EG108" i="50"/>
  <c r="EG109" i="50"/>
  <c r="EG110" i="50"/>
  <c r="EG111" i="50"/>
  <c r="EG112" i="50"/>
  <c r="EG113" i="50"/>
  <c r="EG114" i="50"/>
  <c r="EG115" i="50"/>
  <c r="EG116" i="50"/>
  <c r="EG117" i="50"/>
  <c r="EG88" i="50"/>
  <c r="EG89" i="50"/>
  <c r="EG90" i="50"/>
  <c r="EG91" i="50"/>
  <c r="EG92" i="50"/>
  <c r="EG93" i="50"/>
  <c r="EG94" i="50"/>
  <c r="EG95" i="50"/>
  <c r="EG96" i="50"/>
  <c r="EG97" i="50"/>
  <c r="EG98" i="50"/>
  <c r="EG99" i="50"/>
  <c r="EG100" i="50"/>
  <c r="EG101" i="50"/>
  <c r="EG102" i="50"/>
  <c r="EG103" i="50"/>
  <c r="EG78" i="50"/>
  <c r="EG79" i="50"/>
  <c r="EG80" i="50"/>
  <c r="EG81" i="50"/>
  <c r="EG82" i="50"/>
  <c r="EG83" i="50"/>
  <c r="EG84" i="50"/>
  <c r="EG85" i="50"/>
  <c r="EG86" i="50"/>
  <c r="EG87" i="50"/>
  <c r="EG56" i="50"/>
  <c r="EG57" i="50"/>
  <c r="EG58" i="50"/>
  <c r="EG59" i="50"/>
  <c r="EG60" i="50"/>
  <c r="EG61" i="50"/>
  <c r="EG62" i="50"/>
  <c r="EG63" i="50"/>
  <c r="EG64" i="50"/>
  <c r="EG65" i="50"/>
  <c r="EG66" i="50"/>
  <c r="EG67" i="50"/>
  <c r="EG68" i="50"/>
  <c r="EG69" i="50"/>
  <c r="EG70" i="50"/>
  <c r="EG71" i="50"/>
  <c r="EG72" i="50"/>
  <c r="EG73" i="50"/>
  <c r="EG74" i="50"/>
  <c r="EG75" i="50"/>
  <c r="EG76" i="50"/>
  <c r="EG77" i="50"/>
  <c r="EG43" i="50"/>
  <c r="EG44" i="50"/>
  <c r="EG45" i="50"/>
  <c r="EG46" i="50"/>
  <c r="EG47" i="50"/>
  <c r="EG48" i="50"/>
  <c r="EG49" i="50"/>
  <c r="EG50" i="50"/>
  <c r="EG51" i="50"/>
  <c r="EG52" i="50"/>
  <c r="EG53" i="50"/>
  <c r="EG54" i="50"/>
  <c r="EG55" i="50"/>
  <c r="EG32" i="50"/>
  <c r="EG33" i="50"/>
  <c r="EG34" i="50"/>
  <c r="EG35" i="50"/>
  <c r="EG36" i="50"/>
  <c r="EG37" i="50"/>
  <c r="EG38" i="50"/>
  <c r="EG39" i="50"/>
  <c r="EG40" i="50"/>
  <c r="EG41" i="50"/>
  <c r="EG42" i="50"/>
  <c r="EG4" i="50"/>
  <c r="EG5" i="50"/>
  <c r="EG6" i="50"/>
  <c r="EG7" i="50"/>
  <c r="EG8" i="50"/>
  <c r="EG9" i="50"/>
  <c r="EG10" i="50"/>
  <c r="EG11" i="50"/>
  <c r="EG12" i="50"/>
  <c r="EG13" i="50"/>
  <c r="EG14" i="50"/>
  <c r="EG15" i="50"/>
  <c r="EG16" i="50"/>
  <c r="EG17" i="50"/>
  <c r="EG18" i="50"/>
  <c r="EG19" i="50"/>
  <c r="EG20" i="50"/>
  <c r="EG21" i="50"/>
  <c r="EG22" i="50"/>
  <c r="EG23" i="50"/>
  <c r="EG24" i="50"/>
  <c r="EG25" i="50"/>
  <c r="EG26" i="50"/>
  <c r="EG27" i="50"/>
  <c r="EG28" i="50"/>
  <c r="EG29" i="50"/>
  <c r="EG30" i="50"/>
  <c r="EG31" i="50"/>
  <c r="EG3" i="50"/>
  <c r="EE3" i="50"/>
  <c r="EE5" i="50"/>
  <c r="EE4" i="50"/>
  <c r="EE127" i="50"/>
  <c r="EE128" i="50"/>
  <c r="EE129" i="50"/>
  <c r="EE130" i="50"/>
  <c r="EE131" i="50"/>
  <c r="EE132" i="50"/>
  <c r="EE133" i="50"/>
  <c r="EE134" i="50"/>
  <c r="EE110" i="50"/>
  <c r="EE111" i="50"/>
  <c r="EE112" i="50"/>
  <c r="EE113" i="50"/>
  <c r="EE114" i="50"/>
  <c r="EE115" i="50"/>
  <c r="EE116" i="50"/>
  <c r="EE117" i="50"/>
  <c r="EE118" i="50"/>
  <c r="EE119" i="50"/>
  <c r="EE120" i="50"/>
  <c r="EE121" i="50"/>
  <c r="EE122" i="50"/>
  <c r="EE123" i="50"/>
  <c r="EE124" i="50"/>
  <c r="EE125" i="50"/>
  <c r="EE126" i="50"/>
  <c r="EE92" i="50"/>
  <c r="EE93" i="50"/>
  <c r="EE94" i="50"/>
  <c r="EE95" i="50"/>
  <c r="EE96" i="50"/>
  <c r="EE97" i="50"/>
  <c r="EE98" i="50"/>
  <c r="EE99" i="50"/>
  <c r="EE100" i="50"/>
  <c r="EE101" i="50"/>
  <c r="EE102" i="50"/>
  <c r="EE103" i="50"/>
  <c r="EE104" i="50"/>
  <c r="EE105" i="50"/>
  <c r="EE106" i="50"/>
  <c r="EE107" i="50"/>
  <c r="EE108" i="50"/>
  <c r="EE109" i="50"/>
  <c r="EE75" i="50"/>
  <c r="EE76" i="50"/>
  <c r="EE77" i="50"/>
  <c r="EE78" i="50"/>
  <c r="EE79" i="50"/>
  <c r="EE80" i="50"/>
  <c r="EE81" i="50"/>
  <c r="EE82" i="50"/>
  <c r="EE83" i="50"/>
  <c r="EE84" i="50"/>
  <c r="EE85" i="50"/>
  <c r="EE86" i="50"/>
  <c r="EE87" i="50"/>
  <c r="EE88" i="50"/>
  <c r="EE89" i="50"/>
  <c r="EE90" i="50"/>
  <c r="EE91" i="50"/>
  <c r="EE58" i="50"/>
  <c r="EE59" i="50"/>
  <c r="EE60" i="50"/>
  <c r="EE61" i="50"/>
  <c r="EE62" i="50"/>
  <c r="EE63" i="50"/>
  <c r="EE64" i="50"/>
  <c r="EE65" i="50"/>
  <c r="EE66" i="50"/>
  <c r="EE67" i="50"/>
  <c r="EE68" i="50"/>
  <c r="EE69" i="50"/>
  <c r="EE70" i="50"/>
  <c r="EE71" i="50"/>
  <c r="EE72" i="50"/>
  <c r="EE73" i="50"/>
  <c r="EE74" i="50"/>
  <c r="EE42" i="50"/>
  <c r="EE43" i="50"/>
  <c r="EE44" i="50"/>
  <c r="EE45" i="50"/>
  <c r="EE46" i="50"/>
  <c r="EE47" i="50"/>
  <c r="EE48" i="50"/>
  <c r="EE49" i="50"/>
  <c r="EE50" i="50"/>
  <c r="EE51" i="50"/>
  <c r="EE52" i="50"/>
  <c r="EE53" i="50"/>
  <c r="EE54" i="50"/>
  <c r="EE55" i="50"/>
  <c r="EE56" i="50"/>
  <c r="EE57" i="50"/>
  <c r="EE23" i="50"/>
  <c r="EE24" i="50"/>
  <c r="EE25" i="50"/>
  <c r="EE26" i="50"/>
  <c r="EE27" i="50"/>
  <c r="EE28" i="50"/>
  <c r="EE29" i="50"/>
  <c r="EE30" i="50"/>
  <c r="EE31" i="50"/>
  <c r="EE32" i="50"/>
  <c r="EE33" i="50"/>
  <c r="EE34" i="50"/>
  <c r="EE35" i="50"/>
  <c r="EE36" i="50"/>
  <c r="EE37" i="50"/>
  <c r="EE38" i="50"/>
  <c r="EE39" i="50"/>
  <c r="EE40" i="50"/>
  <c r="EE41" i="50"/>
  <c r="EE6" i="50"/>
  <c r="EE7" i="50"/>
  <c r="EE8" i="50"/>
  <c r="EE9" i="50"/>
  <c r="EE10" i="50"/>
  <c r="EE11" i="50"/>
  <c r="EE12" i="50"/>
  <c r="EE13" i="50"/>
  <c r="EE14" i="50"/>
  <c r="EE15" i="50"/>
  <c r="EE16" i="50"/>
  <c r="EE17" i="50"/>
  <c r="EE18" i="50"/>
  <c r="EE19" i="50"/>
  <c r="EE20" i="50"/>
  <c r="EE21" i="50"/>
  <c r="EE22" i="50"/>
  <c r="N10" i="49"/>
  <c r="N9" i="49"/>
  <c r="N8" i="49"/>
  <c r="N4" i="49"/>
  <c r="H12" i="49"/>
  <c r="H3" i="49"/>
  <c r="K12" i="49"/>
  <c r="K11" i="49"/>
  <c r="K10" i="49"/>
  <c r="K9" i="49"/>
  <c r="K8" i="49"/>
  <c r="K7" i="49"/>
  <c r="K6" i="49"/>
  <c r="K5" i="49"/>
  <c r="K4" i="49"/>
  <c r="K3" i="49"/>
  <c r="H11" i="49"/>
  <c r="H10" i="49"/>
  <c r="H9" i="49"/>
  <c r="H8" i="49"/>
  <c r="H7" i="49"/>
  <c r="H6" i="49"/>
  <c r="H5" i="49"/>
  <c r="H4" i="49"/>
  <c r="E12" i="49"/>
  <c r="E11" i="49"/>
  <c r="E10" i="49"/>
  <c r="E9" i="49"/>
  <c r="E8" i="49"/>
  <c r="E7" i="49"/>
  <c r="E6" i="49"/>
  <c r="E5" i="49"/>
  <c r="E4" i="49"/>
  <c r="E3" i="49"/>
  <c r="B12" i="49"/>
  <c r="D12" i="49" s="1"/>
  <c r="B11" i="49"/>
  <c r="B10" i="49"/>
  <c r="B9" i="49"/>
  <c r="B8" i="49"/>
  <c r="B7" i="49"/>
  <c r="B6" i="49"/>
  <c r="B5" i="49"/>
  <c r="B4" i="49"/>
  <c r="B3" i="49"/>
  <c r="O12" i="49"/>
  <c r="B43" i="49" s="1"/>
  <c r="M43" i="49" s="1"/>
  <c r="O11" i="49"/>
  <c r="O10" i="49"/>
  <c r="P10" i="49" s="1"/>
  <c r="O9" i="49"/>
  <c r="B37" i="49" s="1"/>
  <c r="M37" i="49" s="1"/>
  <c r="O8" i="49"/>
  <c r="P8" i="49" s="1"/>
  <c r="O7" i="49"/>
  <c r="B35" i="49" s="1"/>
  <c r="O6" i="49"/>
  <c r="B33" i="49" s="1"/>
  <c r="M33" i="49" s="1"/>
  <c r="O5" i="49"/>
  <c r="B31" i="49" s="1"/>
  <c r="O4" i="49"/>
  <c r="P4" i="49" s="1"/>
  <c r="O3" i="49"/>
  <c r="B29" i="49" s="1"/>
  <c r="M8" i="49"/>
  <c r="J9" i="49"/>
  <c r="J6" i="49"/>
  <c r="F6" i="49"/>
  <c r="G6" i="49" s="1"/>
  <c r="J3" i="49"/>
  <c r="F12" i="49"/>
  <c r="G12" i="49" s="1"/>
  <c r="F11" i="49"/>
  <c r="G11" i="49" s="1"/>
  <c r="F10" i="49"/>
  <c r="G10" i="49" s="1"/>
  <c r="F9" i="49"/>
  <c r="G9" i="49" s="1"/>
  <c r="F8" i="49"/>
  <c r="G8" i="49" s="1"/>
  <c r="F7" i="49"/>
  <c r="G7" i="49" s="1"/>
  <c r="F5" i="49"/>
  <c r="G5" i="49" s="1"/>
  <c r="F4" i="49"/>
  <c r="G4" i="49" s="1"/>
  <c r="D8" i="49"/>
  <c r="F3" i="49"/>
  <c r="G3" i="49" s="1"/>
  <c r="AA2" i="48"/>
  <c r="N11" i="49" s="1"/>
  <c r="AB2" i="48"/>
  <c r="AD2" i="48"/>
  <c r="AA3" i="48"/>
  <c r="N12" i="49" s="1"/>
  <c r="AB3" i="48"/>
  <c r="AD3" i="48"/>
  <c r="AA4" i="48"/>
  <c r="AB4" i="48"/>
  <c r="AD4" i="48"/>
  <c r="AA5" i="48"/>
  <c r="AB5" i="48"/>
  <c r="AD5" i="48"/>
  <c r="AA6" i="48"/>
  <c r="AB6" i="48"/>
  <c r="AD6" i="48"/>
  <c r="AA7" i="48"/>
  <c r="N5" i="49" s="1"/>
  <c r="AB7" i="48"/>
  <c r="AD7" i="48"/>
  <c r="AA8" i="48"/>
  <c r="AB8" i="48"/>
  <c r="AD8" i="48"/>
  <c r="AA9" i="48"/>
  <c r="AB9" i="48"/>
  <c r="AD9" i="48"/>
  <c r="AA10" i="48"/>
  <c r="AB10" i="48"/>
  <c r="AD10" i="48"/>
  <c r="AA11" i="48"/>
  <c r="AB11" i="48"/>
  <c r="AD11" i="48"/>
  <c r="AA12" i="48"/>
  <c r="AB12" i="48"/>
  <c r="AD12" i="48"/>
  <c r="AA13" i="48"/>
  <c r="AB13" i="48"/>
  <c r="AD13" i="48"/>
  <c r="AA14" i="48"/>
  <c r="AB14" i="48"/>
  <c r="AD14" i="48"/>
  <c r="AA15" i="48"/>
  <c r="AB15" i="48"/>
  <c r="AD15" i="48"/>
  <c r="AA16" i="48"/>
  <c r="AB16" i="48"/>
  <c r="AD16" i="48"/>
  <c r="AA17" i="48"/>
  <c r="AB17" i="48"/>
  <c r="AD17" i="48"/>
  <c r="AA18" i="48"/>
  <c r="AB18" i="48"/>
  <c r="AD18" i="48"/>
  <c r="AA19" i="48"/>
  <c r="AB19" i="48"/>
  <c r="AD19" i="48"/>
  <c r="AA20" i="48"/>
  <c r="AB20" i="48"/>
  <c r="AD20" i="48"/>
  <c r="AA21" i="48"/>
  <c r="AB21" i="48"/>
  <c r="AD21" i="48"/>
  <c r="AA22" i="48"/>
  <c r="AB22" i="48"/>
  <c r="AD22" i="48"/>
  <c r="AA23" i="48"/>
  <c r="AB23" i="48"/>
  <c r="AD23" i="48"/>
  <c r="AA24" i="48"/>
  <c r="AB24" i="48"/>
  <c r="AD24" i="48"/>
  <c r="AA25" i="48"/>
  <c r="AB25" i="48"/>
  <c r="AD25" i="48"/>
  <c r="AA26" i="48"/>
  <c r="AB26" i="48"/>
  <c r="AD26" i="48"/>
  <c r="AA27" i="48"/>
  <c r="AB27" i="48"/>
  <c r="AA28" i="48"/>
  <c r="AB28" i="48"/>
  <c r="AD28" i="48"/>
  <c r="AA29" i="48"/>
  <c r="AB29" i="48"/>
  <c r="AD29" i="48"/>
  <c r="AA30" i="48"/>
  <c r="AB30" i="48"/>
  <c r="AD30" i="48"/>
  <c r="AA31" i="48"/>
  <c r="AB31" i="48"/>
  <c r="AA32" i="48"/>
  <c r="AB32" i="48"/>
  <c r="AA33" i="48"/>
  <c r="AB33" i="48"/>
  <c r="AD33" i="48"/>
  <c r="AA34" i="48"/>
  <c r="AB34" i="48"/>
  <c r="AD34" i="48"/>
  <c r="AA35" i="48"/>
  <c r="AB35" i="48"/>
  <c r="AD35" i="48"/>
  <c r="AA36" i="48"/>
  <c r="AB36" i="48"/>
  <c r="AD36" i="48"/>
  <c r="AA37" i="48"/>
  <c r="AB37" i="48"/>
  <c r="AD37" i="48"/>
  <c r="AA38" i="48"/>
  <c r="AB38" i="48"/>
  <c r="AD38" i="48"/>
  <c r="AA39" i="48"/>
  <c r="AB39" i="48"/>
  <c r="AD39" i="48"/>
  <c r="AA40" i="48"/>
  <c r="AB40" i="48"/>
  <c r="AD40" i="48"/>
  <c r="AA41" i="48"/>
  <c r="AB41" i="48"/>
  <c r="AD41" i="48"/>
  <c r="AA42" i="48"/>
  <c r="AB42" i="48"/>
  <c r="AD42" i="48"/>
  <c r="AA43" i="48"/>
  <c r="AB43" i="48"/>
  <c r="AD43" i="48"/>
  <c r="AA44" i="48"/>
  <c r="N6" i="49" s="1"/>
  <c r="AB44" i="48"/>
  <c r="AD44" i="48"/>
  <c r="AA45" i="48"/>
  <c r="AB45" i="48"/>
  <c r="AD45" i="48"/>
  <c r="AA46" i="48"/>
  <c r="AB46" i="48"/>
  <c r="AD46" i="48"/>
  <c r="AA47" i="48"/>
  <c r="AB47" i="48"/>
  <c r="AD47" i="48"/>
  <c r="AA48" i="48"/>
  <c r="AB48" i="48"/>
  <c r="AD48" i="48"/>
  <c r="AA49" i="48"/>
  <c r="AB49" i="48"/>
  <c r="AD49" i="48"/>
  <c r="AA50" i="48"/>
  <c r="N7" i="49" s="1"/>
  <c r="AB50" i="48"/>
  <c r="AD50" i="48"/>
  <c r="AA51" i="48"/>
  <c r="AB51" i="48"/>
  <c r="AD51" i="48"/>
  <c r="AA52" i="48"/>
  <c r="AB52" i="48"/>
  <c r="AD52" i="48"/>
  <c r="AA53" i="48"/>
  <c r="AB53" i="48"/>
  <c r="AA54" i="48"/>
  <c r="N3" i="49" s="1"/>
  <c r="AB54" i="48"/>
  <c r="AD54" i="48"/>
  <c r="AA55" i="48"/>
  <c r="AB55" i="48"/>
  <c r="AD55" i="48"/>
  <c r="AA56" i="48"/>
  <c r="AB56" i="48"/>
  <c r="AD56" i="48"/>
  <c r="AA57" i="48"/>
  <c r="AB57" i="48"/>
  <c r="AD57" i="48"/>
  <c r="AA58" i="48"/>
  <c r="AB58" i="48"/>
  <c r="AD58" i="48"/>
  <c r="AA59" i="48"/>
  <c r="AB59" i="48"/>
  <c r="AD59" i="48"/>
  <c r="AA60" i="48"/>
  <c r="AB60" i="48"/>
  <c r="AD60" i="48"/>
  <c r="AA61" i="48"/>
  <c r="AB61" i="48"/>
  <c r="AD61" i="48"/>
  <c r="AA62" i="48"/>
  <c r="AB62" i="48"/>
  <c r="AD62" i="48"/>
  <c r="R4" i="2"/>
  <c r="V32" i="47"/>
  <c r="V30" i="47"/>
  <c r="V31" i="47"/>
  <c r="V33" i="47"/>
  <c r="V34" i="47"/>
  <c r="V35" i="47"/>
  <c r="V66" i="47"/>
  <c r="V67" i="47"/>
  <c r="V68" i="47"/>
  <c r="V69" i="47"/>
  <c r="V70" i="47"/>
  <c r="V72" i="47"/>
  <c r="V73" i="47"/>
  <c r="CJ2" i="45" a="1"/>
  <c r="CJ2" i="45" s="1"/>
  <c r="W30" i="47"/>
  <c r="W31" i="47"/>
  <c r="W32" i="47"/>
  <c r="W33" i="47"/>
  <c r="W34" i="47"/>
  <c r="W35" i="47"/>
  <c r="W66" i="47"/>
  <c r="W67" i="47"/>
  <c r="W68" i="47"/>
  <c r="W69" i="47"/>
  <c r="W70" i="47"/>
  <c r="W72" i="47"/>
  <c r="W73" i="47"/>
  <c r="W29" i="47"/>
  <c r="CM2" i="45"/>
  <c r="V29" i="47"/>
  <c r="L14" i="9"/>
  <c r="BI32" i="46"/>
  <c r="CW60" i="45"/>
  <c r="CT59" i="45"/>
  <c r="CA61" i="45"/>
  <c r="BX60" i="45"/>
  <c r="BT59" i="45"/>
  <c r="BU59" i="45"/>
  <c r="BA60" i="45"/>
  <c r="AX59" i="45"/>
  <c r="AY59" i="45"/>
  <c r="BM23" i="41"/>
  <c r="O6" i="9" s="1"/>
  <c r="N6" i="9"/>
  <c r="M6" i="9"/>
  <c r="L6" i="9"/>
  <c r="K6" i="9"/>
  <c r="Q24" i="41"/>
  <c r="BD23" i="41"/>
  <c r="J6" i="9"/>
  <c r="BO3" i="41"/>
  <c r="BO4" i="41"/>
  <c r="BO5" i="41"/>
  <c r="BO6" i="41"/>
  <c r="BO7" i="41"/>
  <c r="BO8" i="41"/>
  <c r="BO9" i="41"/>
  <c r="BO10" i="41"/>
  <c r="BO11" i="41"/>
  <c r="BO12" i="41"/>
  <c r="BO13" i="41"/>
  <c r="BO14" i="41"/>
  <c r="BO15" i="41"/>
  <c r="BO16" i="41"/>
  <c r="BO17" i="41"/>
  <c r="BO18" i="41"/>
  <c r="BO19" i="41"/>
  <c r="BO20" i="41"/>
  <c r="BO21" i="41"/>
  <c r="BO22" i="41"/>
  <c r="BO2" i="41"/>
  <c r="BN3" i="41"/>
  <c r="BN4" i="41"/>
  <c r="BN5" i="41"/>
  <c r="BN6" i="41"/>
  <c r="BN7" i="41"/>
  <c r="BN8" i="41"/>
  <c r="BN9" i="41"/>
  <c r="BN10" i="41"/>
  <c r="BN11" i="41"/>
  <c r="BN12" i="41"/>
  <c r="BN13" i="41"/>
  <c r="BN14" i="41"/>
  <c r="BN15" i="41"/>
  <c r="BN16" i="41"/>
  <c r="BN17" i="41"/>
  <c r="BN18" i="41"/>
  <c r="BN19" i="41"/>
  <c r="BN20" i="41"/>
  <c r="BN21" i="41"/>
  <c r="BN22" i="41"/>
  <c r="BN2" i="41"/>
  <c r="BL3" i="41"/>
  <c r="BL4" i="41"/>
  <c r="BL5" i="41"/>
  <c r="BL6" i="41"/>
  <c r="BL7" i="41"/>
  <c r="BL8" i="41"/>
  <c r="BL9" i="41"/>
  <c r="BL10" i="41"/>
  <c r="BL11" i="41"/>
  <c r="BL12" i="41"/>
  <c r="BL13" i="41"/>
  <c r="BL14" i="41"/>
  <c r="BM14" i="41" s="1"/>
  <c r="BL15" i="41"/>
  <c r="BL16" i="41"/>
  <c r="BL17" i="41"/>
  <c r="BL18" i="41"/>
  <c r="BL19" i="41"/>
  <c r="BL20" i="41"/>
  <c r="BL21" i="41"/>
  <c r="BL22" i="41"/>
  <c r="BL2" i="41"/>
  <c r="AU2" i="41"/>
  <c r="AT2" i="41"/>
  <c r="BK2" i="41"/>
  <c r="BK3" i="41"/>
  <c r="BK4" i="41"/>
  <c r="BK5" i="41"/>
  <c r="BK6" i="41"/>
  <c r="BK7" i="41"/>
  <c r="BK8" i="41"/>
  <c r="BK9" i="41"/>
  <c r="BK10" i="41"/>
  <c r="BK11" i="41"/>
  <c r="BK12" i="41"/>
  <c r="BK13" i="41"/>
  <c r="BK15" i="41"/>
  <c r="BK16" i="41"/>
  <c r="BK17" i="41"/>
  <c r="BK18" i="41"/>
  <c r="BK19" i="41"/>
  <c r="BK20" i="41"/>
  <c r="BK21" i="41"/>
  <c r="BK22" i="41"/>
  <c r="BJ2" i="41"/>
  <c r="BJ3" i="41"/>
  <c r="BJ4" i="41"/>
  <c r="BJ5" i="41"/>
  <c r="BJ6" i="41"/>
  <c r="BJ7" i="41"/>
  <c r="BJ8" i="41"/>
  <c r="BJ9" i="41"/>
  <c r="BJ10" i="41"/>
  <c r="BJ11" i="41"/>
  <c r="BJ12" i="41"/>
  <c r="BJ13" i="41"/>
  <c r="BJ15" i="41"/>
  <c r="BJ16" i="41"/>
  <c r="BJ17" i="41"/>
  <c r="BJ18" i="41"/>
  <c r="BJ19" i="41"/>
  <c r="BJ20" i="41"/>
  <c r="BJ21" i="41"/>
  <c r="BJ22" i="41"/>
  <c r="BI3" i="41"/>
  <c r="BI4" i="41"/>
  <c r="BI5" i="41"/>
  <c r="BI6" i="41"/>
  <c r="BI7" i="41"/>
  <c r="BI8" i="41"/>
  <c r="BI9" i="41"/>
  <c r="BI10" i="41"/>
  <c r="BI11" i="41"/>
  <c r="BI12" i="41"/>
  <c r="BI13" i="41"/>
  <c r="BI14" i="41"/>
  <c r="BI15" i="41"/>
  <c r="BI16" i="41"/>
  <c r="BI17" i="41"/>
  <c r="BI18" i="41"/>
  <c r="BI19" i="41"/>
  <c r="BI20" i="41"/>
  <c r="BI21" i="41"/>
  <c r="BI22" i="41"/>
  <c r="BI2" i="41"/>
  <c r="BH3" i="41"/>
  <c r="BH4" i="41"/>
  <c r="BH5" i="41"/>
  <c r="BH6" i="41"/>
  <c r="BH7" i="41"/>
  <c r="BH8" i="41"/>
  <c r="BH9" i="41"/>
  <c r="BH10" i="41"/>
  <c r="BH11" i="41"/>
  <c r="BH12" i="41"/>
  <c r="BH13" i="41"/>
  <c r="BH14" i="41"/>
  <c r="BH15" i="41"/>
  <c r="BH16" i="41"/>
  <c r="BH17" i="41"/>
  <c r="BH18" i="41"/>
  <c r="BH19" i="41"/>
  <c r="BH20" i="41"/>
  <c r="BH21" i="41"/>
  <c r="BH22" i="41"/>
  <c r="BJ14" i="41"/>
  <c r="BH2" i="41"/>
  <c r="BG3" i="41"/>
  <c r="BG4" i="41"/>
  <c r="BG5" i="41"/>
  <c r="BG6" i="41"/>
  <c r="BG7" i="41"/>
  <c r="BG8" i="41"/>
  <c r="BG9" i="41"/>
  <c r="BG10" i="41"/>
  <c r="BG11" i="41"/>
  <c r="BG12" i="41"/>
  <c r="BG13" i="41"/>
  <c r="BG14" i="41"/>
  <c r="BG15" i="41"/>
  <c r="BG16" i="41"/>
  <c r="BG17" i="41"/>
  <c r="BG18" i="41"/>
  <c r="BG19" i="41"/>
  <c r="BG20" i="41"/>
  <c r="BG21" i="41"/>
  <c r="BG22" i="41"/>
  <c r="BG2" i="41"/>
  <c r="BF23" i="41"/>
  <c r="BE23" i="41"/>
  <c r="BF14" i="41"/>
  <c r="BE3" i="41"/>
  <c r="BE4" i="41"/>
  <c r="BE5" i="41"/>
  <c r="BE6" i="41"/>
  <c r="BE7" i="41"/>
  <c r="BE8" i="41"/>
  <c r="BE9" i="41"/>
  <c r="BE10" i="41"/>
  <c r="BE11" i="41"/>
  <c r="BE12" i="41"/>
  <c r="BE13" i="41"/>
  <c r="BE14" i="41"/>
  <c r="BE15" i="41"/>
  <c r="BE16" i="41"/>
  <c r="BE17" i="41"/>
  <c r="BE18" i="41"/>
  <c r="BE19" i="41"/>
  <c r="BE20" i="41"/>
  <c r="BE21" i="41"/>
  <c r="BE22" i="41"/>
  <c r="BE2" i="41"/>
  <c r="C13" i="9"/>
  <c r="C12" i="9"/>
  <c r="AD63" i="45"/>
  <c r="AC63" i="45"/>
  <c r="CF24" i="45" a="1"/>
  <c r="CF24" i="45" s="1"/>
  <c r="CF25" i="45" a="1"/>
  <c r="CF25" i="45" s="1"/>
  <c r="CF26" i="45" a="1"/>
  <c r="CF26" i="45" s="1"/>
  <c r="CF27" i="45" a="1"/>
  <c r="CF27" i="45" s="1"/>
  <c r="CF28" i="45" a="1"/>
  <c r="CF28" i="45" s="1"/>
  <c r="CF29" i="45" a="1"/>
  <c r="CF29" i="45" s="1"/>
  <c r="CF30" i="45" a="1"/>
  <c r="CF30" i="45" s="1"/>
  <c r="CF31" i="45" a="1"/>
  <c r="CF31" i="45" s="1"/>
  <c r="CF32" i="45" a="1"/>
  <c r="CF32" i="45" s="1"/>
  <c r="CF33" i="45" a="1"/>
  <c r="CF33" i="45" s="1"/>
  <c r="CF34" i="45" a="1"/>
  <c r="CF34" i="45" s="1"/>
  <c r="BC32" i="46"/>
  <c r="AD59" i="45"/>
  <c r="AC59" i="45"/>
  <c r="AC58" i="45"/>
  <c r="Q65" i="45"/>
  <c r="Q64" i="45"/>
  <c r="Q63" i="45"/>
  <c r="Q62" i="45"/>
  <c r="Q60" i="45"/>
  <c r="Q59" i="45"/>
  <c r="Q58" i="45"/>
  <c r="CD58" i="45"/>
  <c r="R10" i="9" s="1"/>
  <c r="CE58" i="45"/>
  <c r="S10" i="9" s="1"/>
  <c r="BP58" i="45"/>
  <c r="BP61" i="45"/>
  <c r="BP60" i="45"/>
  <c r="BP59" i="45"/>
  <c r="CM51" i="45"/>
  <c r="CM52" i="45"/>
  <c r="CU52" i="45" s="1"/>
  <c r="CM53" i="45"/>
  <c r="CM54" i="45"/>
  <c r="CW54" i="45" s="1"/>
  <c r="CV54" i="45" s="1"/>
  <c r="CM55" i="45"/>
  <c r="CU55" i="45" s="1"/>
  <c r="CM56" i="45"/>
  <c r="CW56" i="45" s="1"/>
  <c r="CV56" i="45" s="1"/>
  <c r="CM57" i="45"/>
  <c r="CM35" i="45"/>
  <c r="CJ35" i="45" s="1" a="1"/>
  <c r="CJ35" i="45" s="1"/>
  <c r="CM36" i="45"/>
  <c r="CJ36" i="45" s="1" a="1"/>
  <c r="CJ36" i="45" s="1"/>
  <c r="CM37" i="45"/>
  <c r="CM38" i="45"/>
  <c r="CJ38" i="45" s="1" a="1"/>
  <c r="CJ38" i="45" s="1"/>
  <c r="CM39" i="45"/>
  <c r="CW39" i="45" s="1"/>
  <c r="CV39" i="45" s="1"/>
  <c r="CM40" i="45"/>
  <c r="CM41" i="45"/>
  <c r="CU41" i="45" s="1"/>
  <c r="CM42" i="45"/>
  <c r="CJ42" i="45" s="1" a="1"/>
  <c r="CJ42" i="45" s="1"/>
  <c r="CM43" i="45"/>
  <c r="CM44" i="45"/>
  <c r="CJ44" i="45" s="1" a="1"/>
  <c r="CJ44" i="45" s="1"/>
  <c r="CM45" i="45"/>
  <c r="CM46" i="45"/>
  <c r="CJ46" i="45" s="1" a="1"/>
  <c r="CJ46" i="45" s="1"/>
  <c r="CM47" i="45"/>
  <c r="CW47" i="45" s="1"/>
  <c r="CV47" i="45" s="1"/>
  <c r="CM48" i="45"/>
  <c r="CM49" i="45"/>
  <c r="CM50" i="45"/>
  <c r="CM20" i="45"/>
  <c r="CM21" i="45"/>
  <c r="CM22" i="45"/>
  <c r="CM23" i="45"/>
  <c r="CJ23" i="45" s="1" a="1"/>
  <c r="CJ23" i="45" s="1"/>
  <c r="CM24" i="45"/>
  <c r="CU24" i="45" s="1"/>
  <c r="CM25" i="45"/>
  <c r="CW25" i="45" s="1"/>
  <c r="CV25" i="45" s="1"/>
  <c r="CM26" i="45"/>
  <c r="CM27" i="45"/>
  <c r="CJ27" i="45" s="1" a="1"/>
  <c r="CJ27" i="45" s="1"/>
  <c r="CM28" i="45"/>
  <c r="CU28" i="45" s="1"/>
  <c r="CM29" i="45"/>
  <c r="CM30" i="45"/>
  <c r="CM31" i="45"/>
  <c r="CW31" i="45" s="1"/>
  <c r="CV31" i="45" s="1"/>
  <c r="CM32" i="45"/>
  <c r="CM33" i="45"/>
  <c r="CM34" i="45"/>
  <c r="CJ34" i="45" s="1" a="1"/>
  <c r="CJ34" i="45" s="1"/>
  <c r="CM3" i="45"/>
  <c r="CJ3" i="45" s="1" a="1"/>
  <c r="CJ3" i="45" s="1"/>
  <c r="CM4" i="45"/>
  <c r="CM5" i="45"/>
  <c r="CU5" i="45" s="1"/>
  <c r="CM6" i="45"/>
  <c r="CM7" i="45"/>
  <c r="CW7" i="45" s="1"/>
  <c r="CV7" i="45" s="1"/>
  <c r="CM8" i="45"/>
  <c r="CJ8" i="45" s="1" a="1"/>
  <c r="CJ8" i="45" s="1"/>
  <c r="CM9" i="45"/>
  <c r="CM10" i="45"/>
  <c r="CM11" i="45"/>
  <c r="CM12" i="45"/>
  <c r="CW12" i="45" s="1"/>
  <c r="CV12" i="45" s="1"/>
  <c r="CM13" i="45"/>
  <c r="CM14" i="45"/>
  <c r="CJ14" i="45" s="1" a="1"/>
  <c r="CJ14" i="45" s="1"/>
  <c r="CM15" i="45"/>
  <c r="CM16" i="45"/>
  <c r="CJ16" i="45" s="1" a="1"/>
  <c r="CJ16" i="45" s="1"/>
  <c r="CM17" i="45"/>
  <c r="CM18" i="45"/>
  <c r="CM19" i="45"/>
  <c r="CJ54" i="45" a="1"/>
  <c r="CJ54" i="45" s="1"/>
  <c r="CJ55" i="45" a="1"/>
  <c r="CJ55" i="45" s="1"/>
  <c r="CJ56" i="45" a="1"/>
  <c r="CJ56" i="45" s="1"/>
  <c r="CJ57" i="45" a="1"/>
  <c r="CJ57" i="45" s="1"/>
  <c r="CJ43" i="45" a="1"/>
  <c r="CJ43" i="45"/>
  <c r="CJ45" i="45" a="1"/>
  <c r="CJ45" i="45"/>
  <c r="CJ47" i="45" a="1"/>
  <c r="CJ47" i="45" s="1"/>
  <c r="CJ48" i="45" a="1"/>
  <c r="CJ48" i="45" s="1"/>
  <c r="CJ49" i="45" a="1"/>
  <c r="CJ49" i="45" s="1"/>
  <c r="CJ50" i="45" a="1"/>
  <c r="CJ50" i="45" s="1"/>
  <c r="CJ51" i="45" a="1"/>
  <c r="CJ51" i="45" s="1"/>
  <c r="CJ53" i="45" a="1"/>
  <c r="CJ53" i="45"/>
  <c r="CJ25" i="45" a="1"/>
  <c r="CJ25" i="45" s="1"/>
  <c r="CJ26" i="45" a="1"/>
  <c r="CJ26" i="45" s="1"/>
  <c r="CJ28" i="45" a="1"/>
  <c r="CJ28" i="45" s="1"/>
  <c r="CJ29" i="45" a="1"/>
  <c r="CJ29" i="45" s="1"/>
  <c r="CJ30" i="45" a="1"/>
  <c r="CJ30" i="45"/>
  <c r="CJ31" i="45" a="1"/>
  <c r="CJ31" i="45" s="1"/>
  <c r="CJ32" i="45" a="1"/>
  <c r="CJ32" i="45" s="1"/>
  <c r="CJ33" i="45" a="1"/>
  <c r="CJ33" i="45" s="1"/>
  <c r="CJ37" i="45" a="1"/>
  <c r="CJ37" i="45" s="1"/>
  <c r="CJ39" i="45" a="1"/>
  <c r="CJ39" i="45" s="1"/>
  <c r="CJ40" i="45" a="1"/>
  <c r="CJ40" i="45" s="1"/>
  <c r="CJ41" i="45" a="1"/>
  <c r="CJ41" i="45" s="1"/>
  <c r="CJ4" i="45" a="1"/>
  <c r="CJ4" i="45" s="1"/>
  <c r="CJ6" i="45" a="1"/>
  <c r="CJ6" i="45" s="1"/>
  <c r="CJ7" i="45" a="1"/>
  <c r="CJ7" i="45" s="1"/>
  <c r="CJ9" i="45" a="1"/>
  <c r="CJ9" i="45" s="1"/>
  <c r="CJ10" i="45" a="1"/>
  <c r="CJ10" i="45" s="1"/>
  <c r="CJ11" i="45" a="1"/>
  <c r="CJ11" i="45" s="1"/>
  <c r="CJ13" i="45" a="1"/>
  <c r="CJ13" i="45" s="1"/>
  <c r="CJ15" i="45" a="1"/>
  <c r="CJ15" i="45" s="1"/>
  <c r="CJ17" i="45" a="1"/>
  <c r="CJ17" i="45" s="1"/>
  <c r="CJ18" i="45" a="1"/>
  <c r="CJ18" i="45" s="1"/>
  <c r="CJ19" i="45" a="1"/>
  <c r="CJ19" i="45" s="1"/>
  <c r="CJ20" i="45" a="1"/>
  <c r="CJ20" i="45" s="1"/>
  <c r="CJ21" i="45" a="1"/>
  <c r="CJ21" i="45" s="1"/>
  <c r="CJ22" i="45" a="1"/>
  <c r="CJ22" i="45" s="1"/>
  <c r="CJ24" i="45" a="1"/>
  <c r="CJ24" i="45" s="1"/>
  <c r="CI57" i="45"/>
  <c r="CF57" i="45" s="1" a="1"/>
  <c r="CF57" i="45" s="1"/>
  <c r="CI36" i="45"/>
  <c r="CF36" i="45" s="1" a="1"/>
  <c r="CF36" i="45" s="1"/>
  <c r="CI37" i="45"/>
  <c r="CT37" i="45" s="1"/>
  <c r="CS37" i="45" s="1"/>
  <c r="CI38" i="45"/>
  <c r="CI39" i="45"/>
  <c r="CT39" i="45" s="1"/>
  <c r="CS39" i="45" s="1"/>
  <c r="CI40" i="45"/>
  <c r="CI41" i="45"/>
  <c r="CI42" i="45"/>
  <c r="CF42" i="45" s="1" a="1"/>
  <c r="CF42" i="45" s="1"/>
  <c r="CI43" i="45"/>
  <c r="CF43" i="45" s="1" a="1"/>
  <c r="CF43" i="45" s="1"/>
  <c r="CI44" i="45"/>
  <c r="CI45" i="45"/>
  <c r="CI46" i="45"/>
  <c r="CF46" i="45" s="1" a="1"/>
  <c r="CF46" i="45" s="1"/>
  <c r="CI47" i="45"/>
  <c r="CT47" i="45" s="1"/>
  <c r="CS47" i="45" s="1"/>
  <c r="CI48" i="45"/>
  <c r="CI49" i="45"/>
  <c r="CT49" i="45" s="1"/>
  <c r="CS49" i="45" s="1"/>
  <c r="CI50" i="45"/>
  <c r="CF50" i="45" s="1" a="1"/>
  <c r="CF50" i="45" s="1"/>
  <c r="CI51" i="45"/>
  <c r="CF51" i="45" s="1" a="1"/>
  <c r="CF51" i="45" s="1"/>
  <c r="CI52" i="45"/>
  <c r="CI53" i="45"/>
  <c r="CI54" i="45"/>
  <c r="CT54" i="45" s="1"/>
  <c r="CS54" i="45" s="1"/>
  <c r="CI55" i="45"/>
  <c r="CT55" i="45" s="1"/>
  <c r="CS55" i="45" s="1"/>
  <c r="CI56" i="45"/>
  <c r="CI19" i="45"/>
  <c r="CF19" i="45" s="1" a="1"/>
  <c r="CF19" i="45" s="1"/>
  <c r="CI20" i="45"/>
  <c r="CI21" i="45"/>
  <c r="CI22" i="45"/>
  <c r="CI23" i="45"/>
  <c r="CR23" i="45" s="1"/>
  <c r="CI24" i="45"/>
  <c r="CI25" i="45"/>
  <c r="CI26" i="45"/>
  <c r="CI27" i="45"/>
  <c r="CT27" i="45" s="1"/>
  <c r="CS27" i="45" s="1"/>
  <c r="CI28" i="45"/>
  <c r="CI29" i="45"/>
  <c r="CT29" i="45" s="1"/>
  <c r="CS29" i="45" s="1"/>
  <c r="CI30" i="45"/>
  <c r="CI31" i="45"/>
  <c r="CI32" i="45"/>
  <c r="CT32" i="45" s="1"/>
  <c r="CS32" i="45" s="1"/>
  <c r="CI33" i="45"/>
  <c r="CI34" i="45"/>
  <c r="CI35" i="45"/>
  <c r="CI3" i="45"/>
  <c r="CF3" i="45" s="1" a="1"/>
  <c r="CF3" i="45" s="1"/>
  <c r="CI4" i="45"/>
  <c r="CR4" i="45" s="1"/>
  <c r="CI5" i="45"/>
  <c r="CI6" i="45"/>
  <c r="CF6" i="45" s="1" a="1"/>
  <c r="CF6" i="45" s="1"/>
  <c r="CI7" i="45"/>
  <c r="CF7" i="45" s="1" a="1"/>
  <c r="CF7" i="45" s="1"/>
  <c r="CI8" i="45"/>
  <c r="CF8" i="45" s="1" a="1"/>
  <c r="CF8" i="45" s="1"/>
  <c r="CI9" i="45"/>
  <c r="CI10" i="45"/>
  <c r="CR10" i="45" s="1"/>
  <c r="CI11" i="45"/>
  <c r="CF11" i="45" s="1" a="1"/>
  <c r="CF11" i="45" s="1"/>
  <c r="CI12" i="45"/>
  <c r="CF12" i="45" s="1" a="1"/>
  <c r="CF12" i="45" s="1"/>
  <c r="CI13" i="45"/>
  <c r="CF13" i="45" s="1" a="1"/>
  <c r="CF13" i="45" s="1"/>
  <c r="CI14" i="45"/>
  <c r="CI15" i="45"/>
  <c r="CF15" i="45" s="1" a="1"/>
  <c r="CF15" i="45" s="1"/>
  <c r="CI16" i="45"/>
  <c r="CF16" i="45" s="1" a="1"/>
  <c r="CF16" i="45" s="1"/>
  <c r="CI17" i="45"/>
  <c r="CI18" i="45"/>
  <c r="CR18" i="45" s="1"/>
  <c r="CF54" i="45" a="1"/>
  <c r="CF54" i="45" s="1"/>
  <c r="CF55" i="45" a="1"/>
  <c r="CF55" i="45" s="1"/>
  <c r="CF56" i="45" a="1"/>
  <c r="CF56" i="45" s="1"/>
  <c r="CF39" i="45" a="1"/>
  <c r="CF39" i="45" s="1"/>
  <c r="CF40" i="45" a="1"/>
  <c r="CF40" i="45" s="1"/>
  <c r="CF41" i="45" a="1"/>
  <c r="CF41" i="45" s="1"/>
  <c r="CF44" i="45" a="1"/>
  <c r="CF44" i="45"/>
  <c r="CF45" i="45" a="1"/>
  <c r="CF45" i="45" s="1"/>
  <c r="CF48" i="45" a="1"/>
  <c r="CF48" i="45" s="1"/>
  <c r="CF52" i="45" a="1"/>
  <c r="CF52" i="45" s="1"/>
  <c r="CF53" i="45" a="1"/>
  <c r="CF53" i="45" s="1"/>
  <c r="CF35" i="45" a="1"/>
  <c r="CF35" i="45" s="1"/>
  <c r="CF37" i="45" a="1"/>
  <c r="CF37" i="45" s="1"/>
  <c r="CF38" i="45" a="1"/>
  <c r="CF38" i="45" s="1"/>
  <c r="CF4" i="45" a="1"/>
  <c r="CF4" i="45" s="1"/>
  <c r="CF5" i="45" a="1"/>
  <c r="CF5" i="45" s="1"/>
  <c r="CF9" i="45" a="1"/>
  <c r="CF9" i="45" s="1"/>
  <c r="CF14" i="45" a="1"/>
  <c r="CF14" i="45" s="1"/>
  <c r="CF17" i="45" a="1"/>
  <c r="CF17" i="45" s="1"/>
  <c r="CF18" i="45" a="1"/>
  <c r="CF18" i="45" s="1"/>
  <c r="CF20" i="45" a="1"/>
  <c r="CF20" i="45" s="1"/>
  <c r="CF21" i="45" a="1"/>
  <c r="CF21" i="45" s="1"/>
  <c r="CF22" i="45" a="1"/>
  <c r="CF22" i="45" s="1"/>
  <c r="CF23" i="45" a="1"/>
  <c r="CF23" i="45" s="1"/>
  <c r="CV30" i="45"/>
  <c r="CV37" i="45"/>
  <c r="CV45" i="45"/>
  <c r="CV48" i="45"/>
  <c r="CV49" i="45"/>
  <c r="CW3" i="45"/>
  <c r="CV3" i="45" s="1"/>
  <c r="CW4" i="45"/>
  <c r="CV4" i="45" s="1"/>
  <c r="CW6" i="45"/>
  <c r="CV6" i="45" s="1"/>
  <c r="CW9" i="45"/>
  <c r="CV9" i="45" s="1"/>
  <c r="CW10" i="45"/>
  <c r="CV10" i="45" s="1"/>
  <c r="CW11" i="45"/>
  <c r="CV11" i="45" s="1"/>
  <c r="CW13" i="45"/>
  <c r="CV13" i="45" s="1"/>
  <c r="CW14" i="45"/>
  <c r="CV14" i="45" s="1"/>
  <c r="CW15" i="45"/>
  <c r="CV15" i="45" s="1"/>
  <c r="CW17" i="45"/>
  <c r="CV17" i="45" s="1"/>
  <c r="CW18" i="45"/>
  <c r="CV18" i="45" s="1"/>
  <c r="CW19" i="45"/>
  <c r="CV19" i="45" s="1"/>
  <c r="CW20" i="45"/>
  <c r="CV20" i="45" s="1"/>
  <c r="CW21" i="45"/>
  <c r="CV21" i="45" s="1"/>
  <c r="CW22" i="45"/>
  <c r="CV22" i="45" s="1"/>
  <c r="CW24" i="45"/>
  <c r="CV24" i="45" s="1"/>
  <c r="CW26" i="45"/>
  <c r="CV26" i="45" s="1"/>
  <c r="CW29" i="45"/>
  <c r="CV29" i="45" s="1"/>
  <c r="CW30" i="45"/>
  <c r="CW32" i="45"/>
  <c r="CV32" i="45" s="1"/>
  <c r="CW33" i="45"/>
  <c r="CV33" i="45" s="1"/>
  <c r="CW36" i="45"/>
  <c r="CV36" i="45" s="1"/>
  <c r="CW37" i="45"/>
  <c r="CW38" i="45"/>
  <c r="CV38" i="45" s="1"/>
  <c r="CW40" i="45"/>
  <c r="CV40" i="45" s="1"/>
  <c r="CW42" i="45"/>
  <c r="CV42" i="45" s="1"/>
  <c r="CW43" i="45"/>
  <c r="CV43" i="45" s="1"/>
  <c r="CW45" i="45"/>
  <c r="CW48" i="45"/>
  <c r="CW49" i="45"/>
  <c r="CW50" i="45"/>
  <c r="CV50" i="45" s="1"/>
  <c r="CW51" i="45"/>
  <c r="CV51" i="45" s="1"/>
  <c r="CW53" i="45"/>
  <c r="CV53" i="45" s="1"/>
  <c r="CW55" i="45"/>
  <c r="CV55" i="45" s="1"/>
  <c r="CW57" i="45"/>
  <c r="CV57" i="45" s="1"/>
  <c r="CU3" i="45"/>
  <c r="CU4" i="45"/>
  <c r="CU6" i="45"/>
  <c r="CU7" i="45"/>
  <c r="CU9" i="45"/>
  <c r="CU10" i="45"/>
  <c r="CU11" i="45"/>
  <c r="CU13" i="45"/>
  <c r="CU14" i="45"/>
  <c r="CU15" i="45"/>
  <c r="CU17" i="45"/>
  <c r="CU18" i="45"/>
  <c r="CU19" i="45"/>
  <c r="CU20" i="45"/>
  <c r="CU21" i="45"/>
  <c r="CU22" i="45"/>
  <c r="CU25" i="45"/>
  <c r="CU26" i="45"/>
  <c r="CU29" i="45"/>
  <c r="CU30" i="45"/>
  <c r="CU32" i="45"/>
  <c r="CU33" i="45"/>
  <c r="CU36" i="45"/>
  <c r="CU37" i="45"/>
  <c r="CU39" i="45"/>
  <c r="CU40" i="45"/>
  <c r="CU42" i="45"/>
  <c r="CU43" i="45"/>
  <c r="CU45" i="45"/>
  <c r="CU48" i="45"/>
  <c r="CU49" i="45"/>
  <c r="CU50" i="45"/>
  <c r="CU51" i="45"/>
  <c r="CU53" i="45"/>
  <c r="CU57" i="45"/>
  <c r="CT4" i="45"/>
  <c r="CS4" i="45" s="1"/>
  <c r="CT5" i="45"/>
  <c r="CS5" i="45" s="1"/>
  <c r="CT7" i="45"/>
  <c r="CS7" i="45" s="1"/>
  <c r="CT8" i="45"/>
  <c r="CS8" i="45" s="1"/>
  <c r="CT9" i="45"/>
  <c r="CS9" i="45" s="1"/>
  <c r="CT10" i="45"/>
  <c r="CS10" i="45" s="1"/>
  <c r="CT11" i="45"/>
  <c r="CS11" i="45" s="1"/>
  <c r="CT12" i="45"/>
  <c r="CS12" i="45" s="1"/>
  <c r="CT14" i="45"/>
  <c r="CS14" i="45" s="1"/>
  <c r="CT16" i="45"/>
  <c r="CS16" i="45" s="1"/>
  <c r="CT17" i="45"/>
  <c r="CS17" i="45" s="1"/>
  <c r="CT20" i="45"/>
  <c r="CS20" i="45" s="1"/>
  <c r="CT21" i="45"/>
  <c r="CS21" i="45" s="1"/>
  <c r="CT22" i="45"/>
  <c r="CS22" i="45" s="1"/>
  <c r="CT23" i="45"/>
  <c r="CS23" i="45" s="1"/>
  <c r="CT24" i="45"/>
  <c r="CS24" i="45" s="1"/>
  <c r="CT25" i="45"/>
  <c r="CS25" i="45" s="1"/>
  <c r="CT26" i="45"/>
  <c r="CS26" i="45" s="1"/>
  <c r="CT28" i="45"/>
  <c r="CS28" i="45" s="1"/>
  <c r="CT30" i="45"/>
  <c r="CS30" i="45" s="1"/>
  <c r="CT33" i="45"/>
  <c r="CS33" i="45" s="1"/>
  <c r="CT34" i="45"/>
  <c r="CS34" i="45" s="1"/>
  <c r="CT35" i="45"/>
  <c r="CS35" i="45" s="1"/>
  <c r="CT36" i="45"/>
  <c r="CS36" i="45" s="1"/>
  <c r="CT38" i="45"/>
  <c r="CS38" i="45" s="1"/>
  <c r="CT40" i="45"/>
  <c r="CS40" i="45" s="1"/>
  <c r="CT41" i="45"/>
  <c r="CS41" i="45" s="1"/>
  <c r="CT42" i="45"/>
  <c r="CS42" i="45" s="1"/>
  <c r="CT44" i="45"/>
  <c r="CS44" i="45" s="1"/>
  <c r="CT45" i="45"/>
  <c r="CS45" i="45" s="1"/>
  <c r="CT46" i="45"/>
  <c r="CS46" i="45" s="1"/>
  <c r="CT48" i="45"/>
  <c r="CS48" i="45" s="1"/>
  <c r="CT52" i="45"/>
  <c r="CS52" i="45" s="1"/>
  <c r="CT53" i="45"/>
  <c r="CS53" i="45" s="1"/>
  <c r="CT56" i="45"/>
  <c r="CS56" i="45" s="1"/>
  <c r="CT57" i="45"/>
  <c r="CS57" i="45" s="1"/>
  <c r="CR40" i="45"/>
  <c r="CR41" i="45"/>
  <c r="CR42" i="45"/>
  <c r="CR44" i="45"/>
  <c r="CR45" i="45"/>
  <c r="CR46" i="45"/>
  <c r="CR48" i="45"/>
  <c r="CR52" i="45"/>
  <c r="CR53" i="45"/>
  <c r="CR54" i="45"/>
  <c r="CR56" i="45"/>
  <c r="CR57" i="45"/>
  <c r="CR24" i="45"/>
  <c r="CR25" i="45"/>
  <c r="CR26" i="45"/>
  <c r="CR28" i="45"/>
  <c r="CR29" i="45"/>
  <c r="CR30" i="45"/>
  <c r="CR32" i="45"/>
  <c r="CR33" i="45"/>
  <c r="CR35" i="45"/>
  <c r="CR37" i="45"/>
  <c r="CR38" i="45"/>
  <c r="CR5" i="45"/>
  <c r="CR7" i="45"/>
  <c r="CR8" i="45"/>
  <c r="CR9" i="45"/>
  <c r="CR12" i="45"/>
  <c r="CR14" i="45"/>
  <c r="CR16" i="45"/>
  <c r="CR17" i="45"/>
  <c r="CR19" i="45"/>
  <c r="CR20" i="45"/>
  <c r="CR21" i="45"/>
  <c r="CR22" i="45"/>
  <c r="CR2" i="45"/>
  <c r="CQ50" i="45"/>
  <c r="CQ52" i="45"/>
  <c r="CQ32" i="45"/>
  <c r="CQ33" i="45"/>
  <c r="CQ35" i="45"/>
  <c r="CQ3" i="45"/>
  <c r="CQ17" i="45"/>
  <c r="CP44" i="45"/>
  <c r="CP45" i="45"/>
  <c r="CP46" i="45"/>
  <c r="CP47" i="45"/>
  <c r="CP48" i="45"/>
  <c r="CP49" i="45"/>
  <c r="CP50" i="45"/>
  <c r="CP51" i="45"/>
  <c r="CP52" i="45"/>
  <c r="CP53" i="45"/>
  <c r="CP54" i="45"/>
  <c r="CP55" i="45"/>
  <c r="CP56" i="45"/>
  <c r="CP57" i="45"/>
  <c r="CP29" i="45"/>
  <c r="CP30" i="45"/>
  <c r="CP31" i="45"/>
  <c r="CP32" i="45"/>
  <c r="CP33" i="45"/>
  <c r="CP34" i="45"/>
  <c r="CP35" i="45"/>
  <c r="CP36" i="45"/>
  <c r="CP37" i="45"/>
  <c r="CP38" i="45"/>
  <c r="CP39" i="45"/>
  <c r="CP40" i="45"/>
  <c r="CP41" i="45"/>
  <c r="CP42" i="45"/>
  <c r="CP43" i="45"/>
  <c r="CP3" i="45"/>
  <c r="CP4" i="45"/>
  <c r="CP5" i="45"/>
  <c r="CP6" i="45"/>
  <c r="CP7" i="45"/>
  <c r="CP8" i="45"/>
  <c r="CP9" i="45"/>
  <c r="CP10" i="45"/>
  <c r="CP11" i="45"/>
  <c r="CP12" i="45"/>
  <c r="CP13" i="45"/>
  <c r="CP14" i="45"/>
  <c r="CP15" i="45"/>
  <c r="CP16" i="45"/>
  <c r="CP17" i="45"/>
  <c r="CP18" i="45"/>
  <c r="CP19" i="45"/>
  <c r="CP20" i="45"/>
  <c r="CP21" i="45"/>
  <c r="CP22" i="45"/>
  <c r="CP23" i="45"/>
  <c r="CP24" i="45"/>
  <c r="CP25" i="45"/>
  <c r="CP26" i="45"/>
  <c r="CP27" i="45"/>
  <c r="CP28" i="45"/>
  <c r="CO48" i="45"/>
  <c r="CQ48" i="45" s="1"/>
  <c r="CO49" i="45"/>
  <c r="CQ49" i="45" s="1"/>
  <c r="CO50" i="45"/>
  <c r="CO51" i="45"/>
  <c r="CQ51" i="45" s="1"/>
  <c r="CO52" i="45"/>
  <c r="CO53" i="45"/>
  <c r="CQ53" i="45" s="1"/>
  <c r="CO54" i="45"/>
  <c r="CQ54" i="45" s="1"/>
  <c r="CO55" i="45"/>
  <c r="CQ55" i="45" s="1"/>
  <c r="CO56" i="45"/>
  <c r="CQ56" i="45" s="1"/>
  <c r="CO57" i="45"/>
  <c r="CQ57" i="45" s="1"/>
  <c r="CO31" i="45"/>
  <c r="CQ31" i="45" s="1"/>
  <c r="CO32" i="45"/>
  <c r="CO33" i="45"/>
  <c r="CO34" i="45"/>
  <c r="CQ34" i="45" s="1"/>
  <c r="CO35" i="45"/>
  <c r="CO36" i="45"/>
  <c r="CQ36" i="45" s="1"/>
  <c r="CO37" i="45"/>
  <c r="CQ37" i="45" s="1"/>
  <c r="CO38" i="45"/>
  <c r="CQ38" i="45" s="1"/>
  <c r="CO39" i="45"/>
  <c r="CQ39" i="45" s="1"/>
  <c r="CO40" i="45"/>
  <c r="CQ40" i="45" s="1"/>
  <c r="CO41" i="45"/>
  <c r="CQ41" i="45" s="1"/>
  <c r="CO42" i="45"/>
  <c r="CQ42" i="45" s="1"/>
  <c r="CO43" i="45"/>
  <c r="CQ43" i="45" s="1"/>
  <c r="CO44" i="45"/>
  <c r="CQ44" i="45" s="1"/>
  <c r="CO45" i="45"/>
  <c r="CQ45" i="45" s="1"/>
  <c r="CO46" i="45"/>
  <c r="CQ46" i="45" s="1"/>
  <c r="CO47" i="45"/>
  <c r="CQ47" i="45" s="1"/>
  <c r="CO3" i="45"/>
  <c r="CO4" i="45"/>
  <c r="CQ4" i="45" s="1"/>
  <c r="CO5" i="45"/>
  <c r="CQ5" i="45" s="1"/>
  <c r="CO6" i="45"/>
  <c r="CQ6" i="45" s="1"/>
  <c r="CO7" i="45"/>
  <c r="CQ7" i="45" s="1"/>
  <c r="CO8" i="45"/>
  <c r="CQ8" i="45" s="1"/>
  <c r="CO9" i="45"/>
  <c r="CQ9" i="45" s="1"/>
  <c r="CO10" i="45"/>
  <c r="CQ10" i="45" s="1"/>
  <c r="CO11" i="45"/>
  <c r="CQ11" i="45" s="1"/>
  <c r="CO12" i="45"/>
  <c r="CQ12" i="45" s="1"/>
  <c r="CO13" i="45"/>
  <c r="CQ13" i="45" s="1"/>
  <c r="CO14" i="45"/>
  <c r="CQ14" i="45" s="1"/>
  <c r="CO15" i="45"/>
  <c r="CQ15" i="45" s="1"/>
  <c r="CO16" i="45"/>
  <c r="CQ16" i="45" s="1"/>
  <c r="CO17" i="45"/>
  <c r="CO18" i="45"/>
  <c r="CQ18" i="45" s="1"/>
  <c r="CO19" i="45"/>
  <c r="CQ19" i="45" s="1"/>
  <c r="CO20" i="45"/>
  <c r="CQ20" i="45" s="1"/>
  <c r="CO21" i="45"/>
  <c r="CQ21" i="45" s="1"/>
  <c r="CO22" i="45"/>
  <c r="CQ22" i="45" s="1"/>
  <c r="CO23" i="45"/>
  <c r="CQ23" i="45" s="1"/>
  <c r="CO24" i="45"/>
  <c r="CQ24" i="45" s="1"/>
  <c r="CO25" i="45"/>
  <c r="CQ25" i="45" s="1"/>
  <c r="CO26" i="45"/>
  <c r="CQ26" i="45" s="1"/>
  <c r="CO27" i="45"/>
  <c r="CQ27" i="45" s="1"/>
  <c r="CO28" i="45"/>
  <c r="CQ28" i="45" s="1"/>
  <c r="CO29" i="45"/>
  <c r="CQ29" i="45" s="1"/>
  <c r="CO30" i="45"/>
  <c r="CQ30" i="45" s="1"/>
  <c r="CP2" i="45"/>
  <c r="CO2" i="45"/>
  <c r="CQ2" i="45" s="1"/>
  <c r="CW2" i="45"/>
  <c r="CV2" i="45" s="1"/>
  <c r="CI2" i="45"/>
  <c r="CF2" i="45" s="1" a="1"/>
  <c r="CF2" i="45" s="1"/>
  <c r="BF52" i="45"/>
  <c r="BF53" i="45"/>
  <c r="BF54" i="45"/>
  <c r="BF55" i="45"/>
  <c r="BF56" i="45"/>
  <c r="BF57" i="45"/>
  <c r="BF37" i="45"/>
  <c r="BF38" i="45"/>
  <c r="BF39" i="45"/>
  <c r="BF40" i="45"/>
  <c r="BF41" i="45"/>
  <c r="BF42" i="45"/>
  <c r="BF43" i="45"/>
  <c r="BF44" i="45"/>
  <c r="BF45" i="45"/>
  <c r="BF46" i="45"/>
  <c r="BF47" i="45"/>
  <c r="BF48" i="45"/>
  <c r="BF49" i="45"/>
  <c r="BF50" i="45"/>
  <c r="BF51" i="45"/>
  <c r="BF22" i="45"/>
  <c r="BF23" i="45"/>
  <c r="BF24" i="45"/>
  <c r="BF25" i="45"/>
  <c r="BF26" i="45"/>
  <c r="BF27" i="45"/>
  <c r="BF28" i="45"/>
  <c r="BF29" i="45"/>
  <c r="BF30" i="45"/>
  <c r="BF31" i="45"/>
  <c r="BF32" i="45"/>
  <c r="BF33" i="45"/>
  <c r="BF34" i="45"/>
  <c r="BF35" i="45"/>
  <c r="BF36" i="45"/>
  <c r="BF3" i="45"/>
  <c r="BF4" i="45"/>
  <c r="BF5" i="45"/>
  <c r="BF6" i="45"/>
  <c r="BF7" i="45"/>
  <c r="BF8" i="45"/>
  <c r="BF9" i="45"/>
  <c r="BF10" i="45"/>
  <c r="BF11" i="45"/>
  <c r="BF12" i="45"/>
  <c r="BF13" i="45"/>
  <c r="BF14" i="45"/>
  <c r="BF15" i="45"/>
  <c r="BF16" i="45"/>
  <c r="BF17" i="45"/>
  <c r="BF18" i="45"/>
  <c r="BF19" i="45"/>
  <c r="BF20" i="45"/>
  <c r="BF21" i="45"/>
  <c r="BF2" i="45"/>
  <c r="AQ49" i="45" a="1"/>
  <c r="AQ49" i="45" s="1"/>
  <c r="AQ50" i="45" a="1"/>
  <c r="AQ50" i="45" s="1"/>
  <c r="AQ51" i="45" a="1"/>
  <c r="AQ51" i="45" s="1"/>
  <c r="AQ52" i="45" a="1"/>
  <c r="AQ52" i="45" s="1"/>
  <c r="AQ53" i="45" a="1"/>
  <c r="AQ53" i="45" s="1"/>
  <c r="AQ54" i="45" a="1"/>
  <c r="AQ54" i="45" s="1"/>
  <c r="AQ55" i="45" a="1"/>
  <c r="AQ55" i="45" s="1"/>
  <c r="AQ56" i="45" a="1"/>
  <c r="AQ56" i="45" s="1"/>
  <c r="AQ57" i="45" a="1"/>
  <c r="AQ57" i="45" s="1"/>
  <c r="AQ36" i="45" a="1"/>
  <c r="AQ36" i="45" s="1"/>
  <c r="AQ37" i="45" a="1"/>
  <c r="AQ37" i="45" s="1"/>
  <c r="AQ38" i="45" a="1"/>
  <c r="AQ38" i="45" s="1"/>
  <c r="AQ39" i="45" a="1"/>
  <c r="AQ39" i="45" s="1"/>
  <c r="AQ40" i="45" a="1"/>
  <c r="AQ40" i="45" s="1"/>
  <c r="AQ41" i="45" a="1"/>
  <c r="AQ41" i="45" s="1"/>
  <c r="AQ42" i="45" a="1"/>
  <c r="AQ42" i="45" s="1"/>
  <c r="AQ43" i="45" a="1"/>
  <c r="AQ43" i="45" s="1"/>
  <c r="AQ44" i="45" a="1"/>
  <c r="AQ44" i="45" s="1"/>
  <c r="AQ45" i="45" a="1"/>
  <c r="AQ45" i="45" s="1"/>
  <c r="AQ46" i="45" a="1"/>
  <c r="AQ46" i="45" s="1"/>
  <c r="AQ47" i="45" a="1"/>
  <c r="AQ47" i="45" s="1"/>
  <c r="AQ48" i="45" a="1"/>
  <c r="AQ48" i="45" s="1"/>
  <c r="AQ25" i="45" a="1"/>
  <c r="AQ25" i="45" s="1"/>
  <c r="AQ26" i="45" a="1"/>
  <c r="AQ26" i="45" s="1"/>
  <c r="AQ27" i="45" a="1"/>
  <c r="AQ27" i="45" s="1"/>
  <c r="AQ28" i="45" a="1"/>
  <c r="AQ28" i="45" s="1"/>
  <c r="AQ29" i="45" a="1"/>
  <c r="AQ29" i="45" s="1"/>
  <c r="AQ30" i="45" a="1"/>
  <c r="AQ30" i="45" s="1"/>
  <c r="AQ31" i="45" a="1"/>
  <c r="AQ31" i="45" s="1"/>
  <c r="AQ32" i="45" a="1"/>
  <c r="AQ32" i="45" s="1"/>
  <c r="AQ33" i="45" a="1"/>
  <c r="AQ33" i="45" s="1"/>
  <c r="AQ34" i="45" a="1"/>
  <c r="AQ34" i="45" s="1"/>
  <c r="AQ35" i="45" a="1"/>
  <c r="AQ35" i="45" s="1"/>
  <c r="AQ15" i="45" a="1"/>
  <c r="AQ15" i="45" s="1"/>
  <c r="AQ16" i="45" a="1"/>
  <c r="AQ16" i="45" s="1"/>
  <c r="AQ17" i="45" a="1"/>
  <c r="AQ17" i="45" s="1"/>
  <c r="AQ18" i="45" a="1"/>
  <c r="AQ18" i="45" s="1"/>
  <c r="AQ19" i="45" a="1"/>
  <c r="AQ19" i="45" s="1"/>
  <c r="AQ20" i="45" a="1"/>
  <c r="AQ20" i="45" s="1"/>
  <c r="AQ21" i="45" a="1"/>
  <c r="AQ21" i="45" s="1"/>
  <c r="AQ22" i="45" a="1"/>
  <c r="AQ22" i="45" s="1"/>
  <c r="AQ23" i="45" a="1"/>
  <c r="AQ23" i="45" s="1"/>
  <c r="AQ24" i="45" a="1"/>
  <c r="AQ24" i="45" s="1"/>
  <c r="AQ3" i="45" a="1"/>
  <c r="AQ3" i="45" s="1"/>
  <c r="AQ4" i="45" a="1"/>
  <c r="AQ4" i="45" s="1"/>
  <c r="AQ5" i="45" a="1"/>
  <c r="AQ5" i="45" s="1"/>
  <c r="AQ6" i="45" a="1"/>
  <c r="AQ6" i="45" s="1"/>
  <c r="AQ7" i="45" a="1"/>
  <c r="AQ7" i="45" s="1"/>
  <c r="AQ8" i="45" a="1"/>
  <c r="AQ8" i="45" s="1"/>
  <c r="AQ9" i="45" a="1"/>
  <c r="AQ9" i="45" s="1"/>
  <c r="AQ10" i="45" a="1"/>
  <c r="AQ10" i="45" s="1"/>
  <c r="AQ11" i="45" a="1"/>
  <c r="AQ11" i="45" s="1"/>
  <c r="AQ12" i="45" a="1"/>
  <c r="AQ12" i="45" s="1"/>
  <c r="AQ13" i="45" a="1"/>
  <c r="AQ13" i="45" s="1"/>
  <c r="AQ14" i="45" a="1"/>
  <c r="AQ14" i="45" s="1"/>
  <c r="AQ2" i="45" a="1"/>
  <c r="AQ2" i="45" s="1"/>
  <c r="AO42" i="45"/>
  <c r="AO43" i="45"/>
  <c r="AO44" i="45"/>
  <c r="AO45" i="45"/>
  <c r="AO46" i="45"/>
  <c r="AO47" i="45"/>
  <c r="AO48" i="45"/>
  <c r="AO49" i="45"/>
  <c r="AO50" i="45"/>
  <c r="AO51" i="45"/>
  <c r="AO52" i="45"/>
  <c r="AO53" i="45"/>
  <c r="AO54" i="45"/>
  <c r="AO55" i="45"/>
  <c r="AO56" i="45"/>
  <c r="AO57" i="45"/>
  <c r="AO25" i="45"/>
  <c r="AO26" i="45"/>
  <c r="AO27" i="45"/>
  <c r="AO28" i="45"/>
  <c r="AO29" i="45"/>
  <c r="AO30" i="45"/>
  <c r="AO31" i="45"/>
  <c r="AO32" i="45"/>
  <c r="AO33" i="45"/>
  <c r="AO34" i="45"/>
  <c r="AO35" i="45"/>
  <c r="AO36" i="45"/>
  <c r="AO37" i="45"/>
  <c r="AO38" i="45"/>
  <c r="AO39" i="45"/>
  <c r="AO40" i="45"/>
  <c r="AO41" i="45"/>
  <c r="AO3" i="45"/>
  <c r="AO4" i="45"/>
  <c r="AO5" i="45"/>
  <c r="AO6" i="45"/>
  <c r="AO7" i="45"/>
  <c r="AO8" i="45"/>
  <c r="AO9" i="45"/>
  <c r="AO10" i="45"/>
  <c r="AO11" i="45"/>
  <c r="AO12" i="45"/>
  <c r="AO13" i="45"/>
  <c r="AO14" i="45"/>
  <c r="AO15" i="45"/>
  <c r="AO16" i="45"/>
  <c r="AO17" i="45"/>
  <c r="AO18" i="45"/>
  <c r="AO19" i="45"/>
  <c r="AO20" i="45"/>
  <c r="AO21" i="45"/>
  <c r="AO22" i="45"/>
  <c r="AO23" i="45"/>
  <c r="AO24" i="45"/>
  <c r="AO2" i="45"/>
  <c r="AR60" i="45"/>
  <c r="BD58" i="45"/>
  <c r="L10" i="9" s="1"/>
  <c r="BU35" i="45"/>
  <c r="BO41" i="45"/>
  <c r="BY41" i="45" s="1"/>
  <c r="BO42" i="45"/>
  <c r="BL42" i="45" s="1" a="1"/>
  <c r="BL42" i="45" s="1"/>
  <c r="BO43" i="45"/>
  <c r="BL43" i="45" s="1" a="1"/>
  <c r="BL43" i="45" s="1"/>
  <c r="BO44" i="45"/>
  <c r="BY44" i="45" s="1"/>
  <c r="BO45" i="45"/>
  <c r="BY45" i="45" s="1"/>
  <c r="BO46" i="45"/>
  <c r="BL46" i="45" s="1" a="1"/>
  <c r="BL46" i="45" s="1"/>
  <c r="BO47" i="45"/>
  <c r="BY47" i="45" s="1"/>
  <c r="BO48" i="45"/>
  <c r="BL48" i="45" s="1" a="1"/>
  <c r="BL48" i="45" s="1"/>
  <c r="BO49" i="45"/>
  <c r="BL49" i="45" s="1" a="1"/>
  <c r="BL49" i="45" s="1"/>
  <c r="BO50" i="45"/>
  <c r="BL50" i="45" s="1" a="1"/>
  <c r="BL50" i="45" s="1"/>
  <c r="BO51" i="45"/>
  <c r="BY51" i="45" s="1"/>
  <c r="BO52" i="45"/>
  <c r="BY52" i="45" s="1"/>
  <c r="BO53" i="45"/>
  <c r="BL53" i="45" s="1" a="1"/>
  <c r="BL53" i="45" s="1"/>
  <c r="BO54" i="45"/>
  <c r="BL54" i="45" s="1" a="1"/>
  <c r="BL54" i="45" s="1"/>
  <c r="BO55" i="45"/>
  <c r="BY55" i="45" s="1"/>
  <c r="BO56" i="45"/>
  <c r="BY56" i="45" s="1"/>
  <c r="BO57" i="45"/>
  <c r="CA57" i="45" s="1"/>
  <c r="BZ57" i="45" s="1"/>
  <c r="BO25" i="45"/>
  <c r="BL25" i="45" s="1" a="1"/>
  <c r="BL25" i="45" s="1"/>
  <c r="BO26" i="45"/>
  <c r="BY26" i="45" s="1"/>
  <c r="BO27" i="45"/>
  <c r="BL27" i="45" s="1" a="1"/>
  <c r="BL27" i="45" s="1"/>
  <c r="BO28" i="45"/>
  <c r="CA28" i="45" s="1"/>
  <c r="BZ28" i="45" s="1"/>
  <c r="BO29" i="45"/>
  <c r="BL29" i="45" s="1" a="1"/>
  <c r="BL29" i="45" s="1"/>
  <c r="BO30" i="45"/>
  <c r="BL30" i="45" s="1" a="1"/>
  <c r="BL30" i="45" s="1"/>
  <c r="BO31" i="45"/>
  <c r="BL31" i="45" s="1" a="1"/>
  <c r="BL31" i="45" s="1"/>
  <c r="BO32" i="45"/>
  <c r="BY32" i="45" s="1"/>
  <c r="BO33" i="45"/>
  <c r="BL33" i="45" s="1" a="1"/>
  <c r="BL33" i="45" s="1"/>
  <c r="BO34" i="45"/>
  <c r="BY34" i="45" s="1"/>
  <c r="BO35" i="45"/>
  <c r="CA35" i="45" s="1"/>
  <c r="BZ35" i="45" s="1"/>
  <c r="BO36" i="45"/>
  <c r="BY36" i="45" s="1"/>
  <c r="BO37" i="45"/>
  <c r="CA37" i="45" s="1"/>
  <c r="BZ37" i="45" s="1"/>
  <c r="BO38" i="45"/>
  <c r="CA38" i="45" s="1"/>
  <c r="BZ38" i="45" s="1"/>
  <c r="BO39" i="45"/>
  <c r="CA39" i="45" s="1"/>
  <c r="BZ39" i="45" s="1"/>
  <c r="BO40" i="45"/>
  <c r="BY40" i="45" s="1"/>
  <c r="BO3" i="45"/>
  <c r="BL3" i="45" s="1" a="1"/>
  <c r="BL3" i="45" s="1"/>
  <c r="BO4" i="45"/>
  <c r="CA4" i="45" s="1"/>
  <c r="BZ4" i="45" s="1"/>
  <c r="BO5" i="45"/>
  <c r="BL5" i="45" s="1" a="1"/>
  <c r="BL5" i="45" s="1"/>
  <c r="BO6" i="45"/>
  <c r="CA6" i="45" s="1"/>
  <c r="BZ6" i="45" s="1"/>
  <c r="BO7" i="45"/>
  <c r="CA7" i="45" s="1"/>
  <c r="BZ7" i="45" s="1"/>
  <c r="BO8" i="45"/>
  <c r="CA8" i="45" s="1"/>
  <c r="BZ8" i="45" s="1"/>
  <c r="BO9" i="45"/>
  <c r="BL9" i="45" s="1" a="1"/>
  <c r="BL9" i="45" s="1"/>
  <c r="BO10" i="45"/>
  <c r="CA10" i="45" s="1"/>
  <c r="BZ10" i="45" s="1"/>
  <c r="BO11" i="45"/>
  <c r="BL11" i="45" s="1" a="1"/>
  <c r="BL11" i="45" s="1"/>
  <c r="BO12" i="45"/>
  <c r="CA12" i="45" s="1"/>
  <c r="BZ12" i="45" s="1"/>
  <c r="BO13" i="45"/>
  <c r="BL13" i="45" s="1" a="1"/>
  <c r="BL13" i="45" s="1"/>
  <c r="BO14" i="45"/>
  <c r="CA14" i="45" s="1"/>
  <c r="BZ14" i="45" s="1"/>
  <c r="BO15" i="45"/>
  <c r="BL15" i="45" s="1" a="1"/>
  <c r="BL15" i="45" s="1"/>
  <c r="BO16" i="45"/>
  <c r="CA16" i="45" s="1"/>
  <c r="BZ16" i="45" s="1"/>
  <c r="BO17" i="45"/>
  <c r="CA17" i="45" s="1"/>
  <c r="BZ17" i="45" s="1"/>
  <c r="BO18" i="45"/>
  <c r="CA18" i="45" s="1"/>
  <c r="BZ18" i="45" s="1"/>
  <c r="BO19" i="45"/>
  <c r="BY19" i="45" s="1"/>
  <c r="BO20" i="45"/>
  <c r="CA20" i="45" s="1"/>
  <c r="BZ20" i="45" s="1"/>
  <c r="BO21" i="45"/>
  <c r="BL21" i="45" s="1" a="1"/>
  <c r="BL21" i="45" s="1"/>
  <c r="BO22" i="45"/>
  <c r="CA22" i="45" s="1"/>
  <c r="BZ22" i="45" s="1"/>
  <c r="BO23" i="45"/>
  <c r="BY23" i="45" s="1"/>
  <c r="BO24" i="45"/>
  <c r="BY24" i="45" s="1"/>
  <c r="BO2" i="45"/>
  <c r="BL2" i="45" s="1" a="1"/>
  <c r="BL2" i="45" s="1"/>
  <c r="BK40" i="45"/>
  <c r="BX40" i="45" s="1"/>
  <c r="BW40" i="45" s="1"/>
  <c r="BK41" i="45"/>
  <c r="BX41" i="45" s="1"/>
  <c r="BW41" i="45" s="1"/>
  <c r="BK42" i="45"/>
  <c r="BX42" i="45" s="1"/>
  <c r="BW42" i="45" s="1"/>
  <c r="BK43" i="45"/>
  <c r="BH43" i="45" s="1" a="1"/>
  <c r="BH43" i="45" s="1"/>
  <c r="BK44" i="45"/>
  <c r="BK45" i="45"/>
  <c r="BX45" i="45" s="1"/>
  <c r="BW45" i="45" s="1"/>
  <c r="BK46" i="45"/>
  <c r="BX46" i="45" s="1"/>
  <c r="BW46" i="45" s="1"/>
  <c r="BK47" i="45"/>
  <c r="BK48" i="45"/>
  <c r="BX48" i="45" s="1"/>
  <c r="BW48" i="45" s="1"/>
  <c r="BK49" i="45"/>
  <c r="BV49" i="45" s="1"/>
  <c r="BK50" i="45"/>
  <c r="BX50" i="45" s="1"/>
  <c r="BW50" i="45" s="1"/>
  <c r="BK51" i="45"/>
  <c r="BX51" i="45" s="1"/>
  <c r="BW51" i="45" s="1"/>
  <c r="BK52" i="45"/>
  <c r="BK53" i="45"/>
  <c r="BX53" i="45" s="1"/>
  <c r="BW53" i="45" s="1"/>
  <c r="BK54" i="45"/>
  <c r="BX54" i="45" s="1"/>
  <c r="BW54" i="45" s="1"/>
  <c r="BK55" i="45"/>
  <c r="BK56" i="45"/>
  <c r="BK57" i="45"/>
  <c r="BX57" i="45" s="1"/>
  <c r="BW57" i="45" s="1"/>
  <c r="BK26" i="45"/>
  <c r="BV26" i="45" s="1"/>
  <c r="BK27" i="45"/>
  <c r="BH27" i="45" s="1" a="1"/>
  <c r="BH27" i="45" s="1"/>
  <c r="BK28" i="45"/>
  <c r="BX28" i="45" s="1"/>
  <c r="BW28" i="45" s="1"/>
  <c r="BK29" i="45"/>
  <c r="BH29" i="45" s="1" a="1"/>
  <c r="BH29" i="45" s="1"/>
  <c r="BK30" i="45"/>
  <c r="BX30" i="45" s="1"/>
  <c r="BW30" i="45" s="1"/>
  <c r="BK31" i="45"/>
  <c r="BX31" i="45" s="1"/>
  <c r="BW31" i="45" s="1"/>
  <c r="BK32" i="45"/>
  <c r="BX32" i="45" s="1"/>
  <c r="BW32" i="45" s="1"/>
  <c r="BK33" i="45"/>
  <c r="BX33" i="45" s="1"/>
  <c r="BW33" i="45" s="1"/>
  <c r="BK34" i="45"/>
  <c r="BX34" i="45" s="1"/>
  <c r="BW34" i="45" s="1"/>
  <c r="BK35" i="45"/>
  <c r="BX35" i="45" s="1"/>
  <c r="BW35" i="45" s="1"/>
  <c r="BK36" i="45"/>
  <c r="BV36" i="45" s="1"/>
  <c r="BK37" i="45"/>
  <c r="BX37" i="45" s="1"/>
  <c r="BW37" i="45" s="1"/>
  <c r="BK38" i="45"/>
  <c r="BX38" i="45" s="1"/>
  <c r="BW38" i="45" s="1"/>
  <c r="BK39" i="45"/>
  <c r="BK15" i="45"/>
  <c r="BX15" i="45" s="1"/>
  <c r="BW15" i="45" s="1"/>
  <c r="BK16" i="45"/>
  <c r="BX16" i="45" s="1"/>
  <c r="BW16" i="45" s="1"/>
  <c r="BK17" i="45"/>
  <c r="BX17" i="45" s="1"/>
  <c r="BW17" i="45" s="1"/>
  <c r="BK18" i="45"/>
  <c r="BV18" i="45" s="1"/>
  <c r="BK19" i="45"/>
  <c r="BV19" i="45" s="1"/>
  <c r="BK20" i="45"/>
  <c r="BH20" i="45" s="1" a="1"/>
  <c r="BH20" i="45" s="1"/>
  <c r="BK21" i="45"/>
  <c r="BH21" i="45" s="1" a="1"/>
  <c r="BH21" i="45" s="1"/>
  <c r="BK22" i="45"/>
  <c r="BV22" i="45" s="1"/>
  <c r="BK23" i="45"/>
  <c r="BH23" i="45" s="1" a="1"/>
  <c r="BH23" i="45" s="1"/>
  <c r="BK24" i="45"/>
  <c r="BH24" i="45" s="1" a="1"/>
  <c r="BH24" i="45" s="1"/>
  <c r="BK25" i="45"/>
  <c r="BH25" i="45" s="1" a="1"/>
  <c r="BH25" i="45" s="1"/>
  <c r="BK5" i="45"/>
  <c r="BH5" i="45" s="1" a="1"/>
  <c r="BH5" i="45" s="1"/>
  <c r="BK6" i="45"/>
  <c r="BX6" i="45" s="1"/>
  <c r="BW6" i="45" s="1"/>
  <c r="BK7" i="45"/>
  <c r="BX7" i="45" s="1"/>
  <c r="BW7" i="45" s="1"/>
  <c r="BK8" i="45"/>
  <c r="BV8" i="45" s="1"/>
  <c r="BK9" i="45"/>
  <c r="BX9" i="45" s="1"/>
  <c r="BW9" i="45" s="1"/>
  <c r="BK10" i="45"/>
  <c r="BV10" i="45" s="1"/>
  <c r="BK11" i="45"/>
  <c r="BX11" i="45" s="1"/>
  <c r="BW11" i="45" s="1"/>
  <c r="BK12" i="45"/>
  <c r="BX12" i="45" s="1"/>
  <c r="BW12" i="45" s="1"/>
  <c r="BK13" i="45"/>
  <c r="BX13" i="45" s="1"/>
  <c r="BW13" i="45" s="1"/>
  <c r="BK14" i="45"/>
  <c r="BV14" i="45" s="1"/>
  <c r="BK2" i="45"/>
  <c r="BV2" i="45" s="1"/>
  <c r="BK3" i="45"/>
  <c r="BX3" i="45" s="1"/>
  <c r="BW3" i="45" s="1"/>
  <c r="BK4" i="45"/>
  <c r="BX4" i="45" s="1"/>
  <c r="BW4" i="45" s="1"/>
  <c r="BH28" i="46"/>
  <c r="BH29" i="46"/>
  <c r="BH30" i="46"/>
  <c r="BH31" i="46"/>
  <c r="BH5" i="46"/>
  <c r="BH6" i="46"/>
  <c r="BH7" i="46"/>
  <c r="BH8" i="46"/>
  <c r="BH9" i="46"/>
  <c r="BH10" i="46"/>
  <c r="BH11" i="46"/>
  <c r="BH12" i="46"/>
  <c r="BH13" i="46"/>
  <c r="BH14" i="46"/>
  <c r="BH15" i="46"/>
  <c r="BH16" i="46"/>
  <c r="BH17" i="46"/>
  <c r="BH18" i="46"/>
  <c r="BH19" i="46"/>
  <c r="BH20" i="46"/>
  <c r="BH21" i="46"/>
  <c r="BH22" i="46"/>
  <c r="BH23" i="46"/>
  <c r="BH24" i="46"/>
  <c r="BH25" i="46"/>
  <c r="BH26" i="46"/>
  <c r="BH27" i="46"/>
  <c r="BH4" i="46"/>
  <c r="BM17" i="43"/>
  <c r="BM18" i="43"/>
  <c r="BM21" i="43"/>
  <c r="BM22" i="43"/>
  <c r="BM23" i="43"/>
  <c r="BM26" i="43"/>
  <c r="BM27" i="43"/>
  <c r="BM28" i="43"/>
  <c r="BM31" i="43"/>
  <c r="BM3" i="43"/>
  <c r="BM4" i="43"/>
  <c r="BM5" i="43"/>
  <c r="BM6" i="43"/>
  <c r="BM7" i="43"/>
  <c r="BM8" i="43"/>
  <c r="BM9" i="43"/>
  <c r="BM12" i="43"/>
  <c r="BM13" i="43"/>
  <c r="BM14" i="43"/>
  <c r="BM15" i="43"/>
  <c r="BM16" i="43"/>
  <c r="BI4" i="46"/>
  <c r="BI5" i="46"/>
  <c r="BI6" i="46"/>
  <c r="BI7" i="46"/>
  <c r="BI8" i="46"/>
  <c r="BI9" i="46"/>
  <c r="BI10" i="46"/>
  <c r="BI11" i="46"/>
  <c r="BI12" i="46"/>
  <c r="BI13" i="46"/>
  <c r="BI14" i="46"/>
  <c r="BI15" i="46"/>
  <c r="BI16" i="46"/>
  <c r="BI17" i="46"/>
  <c r="BI18" i="46"/>
  <c r="BI19" i="46"/>
  <c r="BI20" i="46"/>
  <c r="BI21" i="46"/>
  <c r="BI22" i="46"/>
  <c r="BI23" i="46"/>
  <c r="BI24" i="46"/>
  <c r="BI25" i="46"/>
  <c r="BI26" i="46"/>
  <c r="BI27" i="46"/>
  <c r="BI28" i="46"/>
  <c r="BI29" i="46"/>
  <c r="BI30" i="46"/>
  <c r="BI31" i="46"/>
  <c r="BY42" i="45"/>
  <c r="CA43" i="45"/>
  <c r="BZ43" i="45" s="1"/>
  <c r="CA44" i="45"/>
  <c r="BZ44" i="45" s="1"/>
  <c r="CA45" i="45"/>
  <c r="BZ45" i="45" s="1"/>
  <c r="BY46" i="45"/>
  <c r="CA47" i="45"/>
  <c r="BZ47" i="45" s="1"/>
  <c r="CA48" i="45"/>
  <c r="BZ48" i="45" s="1"/>
  <c r="CA49" i="45"/>
  <c r="BZ49" i="45" s="1"/>
  <c r="CA50" i="45"/>
  <c r="BZ50" i="45" s="1"/>
  <c r="CA51" i="45"/>
  <c r="BZ51" i="45" s="1"/>
  <c r="CA52" i="45"/>
  <c r="BZ52" i="45" s="1"/>
  <c r="CA53" i="45"/>
  <c r="BZ53" i="45" s="1"/>
  <c r="BY54" i="45"/>
  <c r="CA27" i="45"/>
  <c r="BZ27" i="45" s="1"/>
  <c r="CA30" i="45"/>
  <c r="BZ30" i="45" s="1"/>
  <c r="CA31" i="45"/>
  <c r="BZ31" i="45" s="1"/>
  <c r="CA34" i="45"/>
  <c r="BZ34" i="45" s="1"/>
  <c r="CA3" i="45"/>
  <c r="BZ3" i="45" s="1"/>
  <c r="CA5" i="45"/>
  <c r="BZ5" i="45" s="1"/>
  <c r="BY9" i="45"/>
  <c r="CA13" i="45"/>
  <c r="BZ13" i="45" s="1"/>
  <c r="CA21" i="45"/>
  <c r="BZ21" i="45" s="1"/>
  <c r="CA2" i="45"/>
  <c r="BZ2" i="45" s="1"/>
  <c r="BX29" i="45"/>
  <c r="BW29" i="45" s="1"/>
  <c r="BX39" i="45"/>
  <c r="BW39" i="45" s="1"/>
  <c r="BX43" i="45"/>
  <c r="BW43" i="45" s="1"/>
  <c r="BX56" i="45"/>
  <c r="BW56" i="45" s="1"/>
  <c r="BY13" i="45"/>
  <c r="BU50" i="45"/>
  <c r="BU51" i="45"/>
  <c r="BT52" i="45"/>
  <c r="BU52" i="45" s="1"/>
  <c r="BU53" i="45"/>
  <c r="BT54" i="45"/>
  <c r="BU54" i="45" s="1"/>
  <c r="BT55" i="45"/>
  <c r="BU55" i="45" s="1"/>
  <c r="BT56" i="45"/>
  <c r="BU56" i="45" s="1"/>
  <c r="BT57" i="45"/>
  <c r="BU57" i="45" s="1"/>
  <c r="BU28" i="45"/>
  <c r="BU29" i="45"/>
  <c r="BU31" i="45"/>
  <c r="BU33" i="45"/>
  <c r="BU34" i="45"/>
  <c r="BT36" i="45"/>
  <c r="BU36" i="45" s="1"/>
  <c r="BT38" i="45"/>
  <c r="BU38" i="45" s="1"/>
  <c r="BT39" i="45"/>
  <c r="BU39" i="45" s="1"/>
  <c r="BT41" i="45"/>
  <c r="BU41" i="45" s="1"/>
  <c r="BT42" i="45"/>
  <c r="BU42" i="45" s="1"/>
  <c r="BT44" i="45"/>
  <c r="BU44" i="45" s="1"/>
  <c r="BU46" i="45"/>
  <c r="BU47" i="45"/>
  <c r="BU48" i="45"/>
  <c r="BT3" i="45"/>
  <c r="BU3" i="45" s="1"/>
  <c r="BT4" i="45"/>
  <c r="BU4" i="45" s="1"/>
  <c r="BU5" i="45"/>
  <c r="BT6" i="45"/>
  <c r="BU6" i="45" s="1"/>
  <c r="BT7" i="45"/>
  <c r="BU7" i="45" s="1"/>
  <c r="BT8" i="45"/>
  <c r="BU8" i="45" s="1"/>
  <c r="BT9" i="45"/>
  <c r="BU9" i="45" s="1"/>
  <c r="BU10" i="45"/>
  <c r="BU12" i="45"/>
  <c r="BU13" i="45"/>
  <c r="BU14" i="45"/>
  <c r="BU15" i="45"/>
  <c r="BU16" i="45"/>
  <c r="BU17" i="45"/>
  <c r="BU18" i="45"/>
  <c r="BT19" i="45"/>
  <c r="BU19" i="45" s="1"/>
  <c r="BT20" i="45"/>
  <c r="BU20" i="45" s="1"/>
  <c r="BT21" i="45"/>
  <c r="BU21" i="45" s="1"/>
  <c r="BT22" i="45"/>
  <c r="BU22" i="45" s="1"/>
  <c r="BT24" i="45"/>
  <c r="BU24" i="45" s="1"/>
  <c r="BT25" i="45"/>
  <c r="BU25" i="45" s="1"/>
  <c r="BU26" i="45"/>
  <c r="BU27" i="45"/>
  <c r="BT2" i="45"/>
  <c r="BU2" i="45" s="1"/>
  <c r="BY27" i="45"/>
  <c r="BY29" i="45"/>
  <c r="BR48" i="45"/>
  <c r="BR49" i="45"/>
  <c r="BR50" i="45"/>
  <c r="BR51" i="45"/>
  <c r="BR52" i="45"/>
  <c r="BR53" i="45"/>
  <c r="BR54" i="45"/>
  <c r="BR55" i="45"/>
  <c r="BR56" i="45"/>
  <c r="BR57" i="45"/>
  <c r="BR27" i="45"/>
  <c r="BR28" i="45"/>
  <c r="BR29" i="45"/>
  <c r="BR30" i="45"/>
  <c r="BR31" i="45"/>
  <c r="BR32" i="45"/>
  <c r="BR33" i="45"/>
  <c r="BR34" i="45"/>
  <c r="BR35" i="45"/>
  <c r="BR36" i="45"/>
  <c r="BR37" i="45"/>
  <c r="BR38" i="45"/>
  <c r="BR39" i="45"/>
  <c r="BR40" i="45"/>
  <c r="BR41" i="45"/>
  <c r="BR42" i="45"/>
  <c r="BR43" i="45"/>
  <c r="BR44" i="45"/>
  <c r="BR45" i="45"/>
  <c r="BR46" i="45"/>
  <c r="BR47" i="45"/>
  <c r="BR3" i="45"/>
  <c r="BR4" i="45"/>
  <c r="BR5" i="45"/>
  <c r="BR6" i="45"/>
  <c r="BR7" i="45"/>
  <c r="BR8" i="45"/>
  <c r="BR9" i="45"/>
  <c r="BR10" i="45"/>
  <c r="BR11" i="45"/>
  <c r="BR12" i="45"/>
  <c r="BR13" i="45"/>
  <c r="BR14" i="45"/>
  <c r="BR15" i="45"/>
  <c r="BR16" i="45"/>
  <c r="BR17" i="45"/>
  <c r="BR18" i="45"/>
  <c r="BR19" i="45"/>
  <c r="BR20" i="45"/>
  <c r="BR21" i="45"/>
  <c r="BR22" i="45"/>
  <c r="BR23" i="45"/>
  <c r="BR24" i="45"/>
  <c r="BR25" i="45"/>
  <c r="BR26" i="45"/>
  <c r="BQ44" i="45"/>
  <c r="BS44" i="45" s="1"/>
  <c r="BQ45" i="45"/>
  <c r="BS45" i="45" s="1"/>
  <c r="BQ46" i="45"/>
  <c r="BS46" i="45" s="1"/>
  <c r="BQ47" i="45"/>
  <c r="BS47" i="45" s="1"/>
  <c r="BQ48" i="45"/>
  <c r="BS48" i="45" s="1"/>
  <c r="BQ49" i="45"/>
  <c r="BS49" i="45" s="1"/>
  <c r="BQ50" i="45"/>
  <c r="BS50" i="45" s="1"/>
  <c r="BQ51" i="45"/>
  <c r="BS51" i="45" s="1"/>
  <c r="BQ52" i="45"/>
  <c r="BS52" i="45" s="1"/>
  <c r="BQ53" i="45"/>
  <c r="BS53" i="45" s="1"/>
  <c r="BQ54" i="45"/>
  <c r="BS54" i="45" s="1"/>
  <c r="BQ55" i="45"/>
  <c r="BS55" i="45" s="1"/>
  <c r="BQ56" i="45"/>
  <c r="BS56" i="45" s="1"/>
  <c r="BQ57" i="45"/>
  <c r="BS57" i="45" s="1"/>
  <c r="BQ25" i="45"/>
  <c r="BS25" i="45" s="1"/>
  <c r="BQ26" i="45"/>
  <c r="BS26" i="45" s="1"/>
  <c r="BQ27" i="45"/>
  <c r="BS27" i="45" s="1"/>
  <c r="BQ28" i="45"/>
  <c r="BS28" i="45" s="1"/>
  <c r="BQ29" i="45"/>
  <c r="BS29" i="45" s="1"/>
  <c r="BQ30" i="45"/>
  <c r="BS30" i="45" s="1"/>
  <c r="BQ31" i="45"/>
  <c r="BS31" i="45" s="1"/>
  <c r="BQ32" i="45"/>
  <c r="BS32" i="45" s="1"/>
  <c r="BQ33" i="45"/>
  <c r="BS33" i="45" s="1"/>
  <c r="BQ34" i="45"/>
  <c r="BS34" i="45" s="1"/>
  <c r="BQ35" i="45"/>
  <c r="BS35" i="45" s="1"/>
  <c r="BQ36" i="45"/>
  <c r="BS36" i="45" s="1"/>
  <c r="BQ37" i="45"/>
  <c r="BS37" i="45" s="1"/>
  <c r="BQ38" i="45"/>
  <c r="BS38" i="45" s="1"/>
  <c r="BQ39" i="45"/>
  <c r="BS39" i="45" s="1"/>
  <c r="BQ40" i="45"/>
  <c r="BS40" i="45" s="1"/>
  <c r="BQ41" i="45"/>
  <c r="BS41" i="45" s="1"/>
  <c r="BQ42" i="45"/>
  <c r="BS42" i="45" s="1"/>
  <c r="BQ43" i="45"/>
  <c r="BS43" i="45" s="1"/>
  <c r="BQ3" i="45"/>
  <c r="BS3" i="45" s="1"/>
  <c r="BQ4" i="45"/>
  <c r="BS4" i="45" s="1"/>
  <c r="BQ5" i="45"/>
  <c r="BS5" i="45" s="1"/>
  <c r="BQ6" i="45"/>
  <c r="BS6" i="45" s="1"/>
  <c r="BQ7" i="45"/>
  <c r="BS7" i="45" s="1"/>
  <c r="BQ8" i="45"/>
  <c r="BS8" i="45" s="1"/>
  <c r="BQ9" i="45"/>
  <c r="BS9" i="45" s="1"/>
  <c r="BQ10" i="45"/>
  <c r="BS10" i="45" s="1"/>
  <c r="BQ11" i="45"/>
  <c r="BS11" i="45" s="1"/>
  <c r="BQ12" i="45"/>
  <c r="BS12" i="45" s="1"/>
  <c r="BQ13" i="45"/>
  <c r="BS13" i="45" s="1"/>
  <c r="BQ14" i="45"/>
  <c r="BS14" i="45" s="1"/>
  <c r="BQ15" i="45"/>
  <c r="BS15" i="45" s="1"/>
  <c r="BQ16" i="45"/>
  <c r="BS16" i="45" s="1"/>
  <c r="BQ17" i="45"/>
  <c r="BS17" i="45" s="1"/>
  <c r="BQ18" i="45"/>
  <c r="BS18" i="45" s="1"/>
  <c r="BQ19" i="45"/>
  <c r="BS19" i="45" s="1"/>
  <c r="BQ20" i="45"/>
  <c r="BS20" i="45" s="1"/>
  <c r="BQ21" i="45"/>
  <c r="BS21" i="45" s="1"/>
  <c r="BQ22" i="45"/>
  <c r="BS22" i="45" s="1"/>
  <c r="BQ23" i="45"/>
  <c r="BS23" i="45" s="1"/>
  <c r="BQ24" i="45"/>
  <c r="BS24" i="45" s="1"/>
  <c r="BV47" i="45"/>
  <c r="BV32" i="45"/>
  <c r="BV43" i="45"/>
  <c r="BV15" i="45"/>
  <c r="BR2" i="45"/>
  <c r="BQ2" i="45"/>
  <c r="BS2" i="45" s="1"/>
  <c r="AW23" i="41"/>
  <c r="X6" i="9"/>
  <c r="W6" i="9"/>
  <c r="V6" i="9"/>
  <c r="Q23" i="41"/>
  <c r="M5" i="9"/>
  <c r="L5" i="9"/>
  <c r="G5" i="9"/>
  <c r="F5" i="9"/>
  <c r="K5" i="9"/>
  <c r="N5" i="9" s="1"/>
  <c r="E5" i="9"/>
  <c r="J5" i="9"/>
  <c r="D5" i="9"/>
  <c r="Q33" i="40"/>
  <c r="Q32" i="40"/>
  <c r="AX8" i="19"/>
  <c r="M3" i="9"/>
  <c r="L3" i="9"/>
  <c r="AM58" i="45"/>
  <c r="K3" i="9"/>
  <c r="N3" i="9" s="1"/>
  <c r="AP8" i="19"/>
  <c r="J3" i="9"/>
  <c r="Q8" i="19"/>
  <c r="Q5" i="38"/>
  <c r="J2" i="9" s="1"/>
  <c r="K2" i="9"/>
  <c r="N2" i="9" s="1"/>
  <c r="D2" i="9"/>
  <c r="Q4" i="38"/>
  <c r="AN58" i="45"/>
  <c r="G10" i="9" s="1"/>
  <c r="E2" i="9"/>
  <c r="AR4" i="38"/>
  <c r="X4" i="38"/>
  <c r="AX4" i="38"/>
  <c r="AW4" i="38"/>
  <c r="AT4" i="38"/>
  <c r="AQ4" i="38"/>
  <c r="AL4" i="38"/>
  <c r="BF32" i="43"/>
  <c r="AQ4" i="19"/>
  <c r="AO2" i="38"/>
  <c r="AX54" i="45" a="1"/>
  <c r="AX54" i="45" s="1"/>
  <c r="AY54" i="45" s="1"/>
  <c r="AX55" i="45" a="1"/>
  <c r="AX55" i="45" s="1"/>
  <c r="AY55" i="45" s="1"/>
  <c r="AX56" i="45" a="1"/>
  <c r="AX56" i="45" s="1"/>
  <c r="AY56" i="45" s="1"/>
  <c r="AX57" i="45" a="1"/>
  <c r="AX57" i="45" s="1"/>
  <c r="AY57" i="45" s="1"/>
  <c r="AX36" i="45" a="1"/>
  <c r="AX36" i="45" s="1"/>
  <c r="AY36" i="45" s="1"/>
  <c r="AX37" i="45" a="1"/>
  <c r="AX37" i="45" s="1"/>
  <c r="AY37" i="45" s="1"/>
  <c r="AX38" i="45" a="1"/>
  <c r="AX38" i="45" s="1"/>
  <c r="AY38" i="45" s="1"/>
  <c r="AX39" i="45" a="1"/>
  <c r="AX39" i="45" s="1"/>
  <c r="AY39" i="45" s="1"/>
  <c r="AX40" i="45" a="1"/>
  <c r="AX40" i="45" s="1"/>
  <c r="AY40" i="45" s="1"/>
  <c r="AX41" i="45" a="1"/>
  <c r="AX41" i="45" s="1"/>
  <c r="AY41" i="45" s="1"/>
  <c r="AX42" i="45" a="1"/>
  <c r="AX42" i="45" s="1"/>
  <c r="AY42" i="45" s="1"/>
  <c r="AX43" i="45" a="1"/>
  <c r="AX43" i="45" s="1"/>
  <c r="AY43" i="45" s="1"/>
  <c r="AX44" i="45" a="1"/>
  <c r="AX44" i="45" s="1"/>
  <c r="AY44" i="45" s="1"/>
  <c r="AX45" i="45" a="1"/>
  <c r="AX45" i="45" s="1"/>
  <c r="AY45" i="45" s="1"/>
  <c r="AX46" i="45" a="1"/>
  <c r="AX46" i="45" s="1"/>
  <c r="AY46" i="45" s="1"/>
  <c r="AX47" i="45" a="1"/>
  <c r="AX47" i="45" s="1"/>
  <c r="AY47" i="45" s="1"/>
  <c r="AX48" i="45" a="1"/>
  <c r="AX48" i="45" s="1"/>
  <c r="AY48" i="45" s="1"/>
  <c r="AX49" i="45" a="1"/>
  <c r="AX49" i="45" s="1"/>
  <c r="AY49" i="45" s="1"/>
  <c r="AX50" i="45" a="1"/>
  <c r="AX50" i="45" s="1"/>
  <c r="AY50" i="45" s="1"/>
  <c r="AX51" i="45" a="1"/>
  <c r="AX51" i="45" s="1"/>
  <c r="AY51" i="45" s="1"/>
  <c r="AX52" i="45" a="1"/>
  <c r="AX52" i="45" s="1"/>
  <c r="AY52" i="45" s="1"/>
  <c r="AX53" i="45" a="1"/>
  <c r="AX53" i="45" s="1"/>
  <c r="AY53" i="45" s="1"/>
  <c r="AX25" i="45" a="1"/>
  <c r="AX25" i="45" s="1"/>
  <c r="AY25" i="45" s="1"/>
  <c r="AY26" i="45"/>
  <c r="AX27" i="45" a="1"/>
  <c r="AX27" i="45" s="1"/>
  <c r="AY27" i="45" s="1"/>
  <c r="AX28" i="45" a="1"/>
  <c r="AX28" i="45" s="1"/>
  <c r="AY28" i="45" s="1"/>
  <c r="AX29" i="45" a="1"/>
  <c r="AX29" i="45" s="1"/>
  <c r="AY29" i="45" s="1"/>
  <c r="AX30" i="45" a="1"/>
  <c r="AX30" i="45" s="1"/>
  <c r="AY30" i="45" s="1"/>
  <c r="AX31" i="45" a="1"/>
  <c r="AX31" i="45" s="1"/>
  <c r="AY31" i="45" s="1"/>
  <c r="AX32" i="45" a="1"/>
  <c r="AX32" i="45" s="1"/>
  <c r="AY32" i="45" s="1"/>
  <c r="AY33" i="45"/>
  <c r="AX34" i="45" a="1"/>
  <c r="AX34" i="45" s="1"/>
  <c r="AY34" i="45" s="1"/>
  <c r="AX35" i="45" a="1"/>
  <c r="AX35" i="45" s="1"/>
  <c r="AY35" i="45" s="1"/>
  <c r="AX5" i="45" a="1"/>
  <c r="AX5" i="45" s="1"/>
  <c r="AY5" i="45" s="1"/>
  <c r="AX6" i="45" a="1"/>
  <c r="AX6" i="45" s="1"/>
  <c r="AY6" i="45" s="1"/>
  <c r="AX7" i="45" a="1"/>
  <c r="AX7" i="45" s="1"/>
  <c r="AY7" i="45" s="1"/>
  <c r="AX8" i="45" a="1"/>
  <c r="AX8" i="45" s="1"/>
  <c r="AY8" i="45" s="1"/>
  <c r="AX9" i="45" a="1"/>
  <c r="AX9" i="45" s="1"/>
  <c r="AY9" i="45" s="1"/>
  <c r="AX10" i="45" a="1"/>
  <c r="AX10" i="45" s="1"/>
  <c r="AY10" i="45" s="1"/>
  <c r="AX11" i="45" a="1"/>
  <c r="AX11" i="45" s="1"/>
  <c r="AY11" i="45" s="1"/>
  <c r="AX12" i="45" a="1"/>
  <c r="AX12" i="45" s="1"/>
  <c r="AY12" i="45" s="1"/>
  <c r="AX13" i="45" a="1"/>
  <c r="AX13" i="45" s="1"/>
  <c r="AY13" i="45" s="1"/>
  <c r="AX14" i="45" a="1"/>
  <c r="AX14" i="45" s="1"/>
  <c r="AY14" i="45" s="1"/>
  <c r="AX15" i="45" a="1"/>
  <c r="AX15" i="45" s="1"/>
  <c r="AY15" i="45" s="1"/>
  <c r="AX16" i="45" a="1"/>
  <c r="AX16" i="45" s="1"/>
  <c r="AY16" i="45" s="1"/>
  <c r="AX17" i="45" a="1"/>
  <c r="AX17" i="45" s="1"/>
  <c r="AY17" i="45" s="1"/>
  <c r="AX18" i="45" a="1"/>
  <c r="AX18" i="45" s="1"/>
  <c r="AY18" i="45" s="1"/>
  <c r="AX19" i="45" a="1"/>
  <c r="AX19" i="45" s="1"/>
  <c r="AY19" i="45" s="1"/>
  <c r="AX20" i="45" a="1"/>
  <c r="AX20" i="45" s="1"/>
  <c r="AY20" i="45" s="1"/>
  <c r="AX21" i="45" a="1"/>
  <c r="AX21" i="45" s="1"/>
  <c r="AY21" i="45" s="1"/>
  <c r="AX22" i="45" a="1"/>
  <c r="AX22" i="45" s="1"/>
  <c r="AY22" i="45" s="1"/>
  <c r="AX23" i="45" a="1"/>
  <c r="AX23" i="45" s="1"/>
  <c r="AY23" i="45" s="1"/>
  <c r="AX24" i="45" a="1"/>
  <c r="AX24" i="45" s="1"/>
  <c r="AY24" i="45" s="1"/>
  <c r="AX2" i="45" a="1"/>
  <c r="AX2" i="45" s="1"/>
  <c r="AY2" i="45" s="1"/>
  <c r="AX3" i="45" a="1"/>
  <c r="AX3" i="45" s="1"/>
  <c r="AY3" i="45" s="1"/>
  <c r="AX4" i="45" a="1"/>
  <c r="AX4" i="45" s="1"/>
  <c r="AY4" i="45" s="1"/>
  <c r="BA26" i="45" a="1"/>
  <c r="BA26" i="45" s="1"/>
  <c r="AZ26" i="45" s="1"/>
  <c r="AV34" i="46"/>
  <c r="BO35" i="43"/>
  <c r="BZ35" i="43"/>
  <c r="AS6" i="42"/>
  <c r="AS4" i="45"/>
  <c r="BA4" i="45" s="1" a="1"/>
  <c r="BA4" i="45" s="1"/>
  <c r="AZ4" i="45" s="1"/>
  <c r="AS8" i="45"/>
  <c r="BA8" i="45" s="1" a="1"/>
  <c r="BA8" i="45" s="1"/>
  <c r="AZ8" i="45" s="1"/>
  <c r="AS9" i="45"/>
  <c r="BA9" i="45" s="1" a="1"/>
  <c r="BA9" i="45" s="1"/>
  <c r="AZ9" i="45" s="1"/>
  <c r="AS10" i="45"/>
  <c r="AS11" i="45"/>
  <c r="BA11" i="45" s="1" a="1"/>
  <c r="BA11" i="45" s="1"/>
  <c r="AZ11" i="45" s="1"/>
  <c r="AS12" i="45"/>
  <c r="BA12" i="45" s="1" a="1"/>
  <c r="BA12" i="45" s="1"/>
  <c r="AZ12" i="45" s="1"/>
  <c r="AS13" i="45"/>
  <c r="BA13" i="45" s="1" a="1"/>
  <c r="BA13" i="45" s="1"/>
  <c r="AZ13" i="45" s="1"/>
  <c r="AS14" i="45"/>
  <c r="BA14" i="45" s="1" a="1"/>
  <c r="BA14" i="45" s="1"/>
  <c r="AZ14" i="45" s="1"/>
  <c r="AS15" i="45"/>
  <c r="AS16" i="45"/>
  <c r="BA16" i="45" s="1" a="1"/>
  <c r="BA16" i="45" s="1"/>
  <c r="AZ16" i="45" s="1"/>
  <c r="AS17" i="45"/>
  <c r="BA17" i="45" s="1" a="1"/>
  <c r="BA17" i="45" s="1"/>
  <c r="AZ17" i="45" s="1"/>
  <c r="AS18" i="45"/>
  <c r="BA18" i="45" s="1" a="1"/>
  <c r="BA18" i="45" s="1"/>
  <c r="AZ18" i="45" s="1"/>
  <c r="AS19" i="45"/>
  <c r="BA19" i="45" s="1" a="1"/>
  <c r="BA19" i="45" s="1"/>
  <c r="AZ19" i="45" s="1"/>
  <c r="AS20" i="45"/>
  <c r="BA20" i="45" s="1" a="1"/>
  <c r="BA20" i="45" s="1"/>
  <c r="AZ20" i="45" s="1"/>
  <c r="AS21" i="45"/>
  <c r="BA21" i="45" s="1" a="1"/>
  <c r="BA21" i="45" s="1"/>
  <c r="AZ21" i="45" s="1"/>
  <c r="AS22" i="45"/>
  <c r="BA22" i="45" s="1" a="1"/>
  <c r="BA22" i="45" s="1"/>
  <c r="AZ22" i="45" s="1"/>
  <c r="AS23" i="45"/>
  <c r="AS24" i="45"/>
  <c r="BA24" i="45" s="1" a="1"/>
  <c r="BA24" i="45" s="1"/>
  <c r="AZ24" i="45" s="1"/>
  <c r="AS25" i="45"/>
  <c r="AS27" i="45"/>
  <c r="BA27" i="45" s="1" a="1"/>
  <c r="BA27" i="45" s="1"/>
  <c r="AZ27" i="45" s="1"/>
  <c r="AS28" i="45"/>
  <c r="AS29" i="45"/>
  <c r="BA29" i="45" s="1" a="1"/>
  <c r="BA29" i="45" s="1"/>
  <c r="AZ29" i="45" s="1"/>
  <c r="AS30" i="45"/>
  <c r="AS31" i="45"/>
  <c r="BA31" i="45" s="1" a="1"/>
  <c r="BA31" i="45" s="1"/>
  <c r="AZ31" i="45" s="1"/>
  <c r="AS32" i="45"/>
  <c r="BA32" i="45" s="1" a="1"/>
  <c r="BA32" i="45" s="1"/>
  <c r="AZ32" i="45" s="1"/>
  <c r="AS33" i="45"/>
  <c r="AS34" i="45"/>
  <c r="BA34" i="45" s="1" a="1"/>
  <c r="BA34" i="45" s="1"/>
  <c r="AZ34" i="45" s="1"/>
  <c r="AS35" i="45"/>
  <c r="BA35" i="45" s="1" a="1"/>
  <c r="BA35" i="45" s="1"/>
  <c r="AZ35" i="45" s="1"/>
  <c r="AS36" i="45"/>
  <c r="BA36" i="45" s="1" a="1"/>
  <c r="BA36" i="45" s="1"/>
  <c r="AZ36" i="45" s="1"/>
  <c r="AS37" i="45"/>
  <c r="BA37" i="45" s="1" a="1"/>
  <c r="BA37" i="45" s="1"/>
  <c r="AZ37" i="45" s="1"/>
  <c r="AS38" i="45"/>
  <c r="AS39" i="45"/>
  <c r="BA39" i="45" s="1" a="1"/>
  <c r="BA39" i="45" s="1"/>
  <c r="AZ39" i="45" s="1"/>
  <c r="AS40" i="45"/>
  <c r="AS41" i="45"/>
  <c r="BA41" i="45" s="1" a="1"/>
  <c r="BA41" i="45" s="1"/>
  <c r="AZ41" i="45" s="1"/>
  <c r="AS42" i="45"/>
  <c r="BA42" i="45" s="1" a="1"/>
  <c r="BA42" i="45" s="1"/>
  <c r="AZ42" i="45" s="1"/>
  <c r="AS43" i="45"/>
  <c r="AS44" i="45"/>
  <c r="BA44" i="45" s="1" a="1"/>
  <c r="BA44" i="45" s="1"/>
  <c r="AZ44" i="45" s="1"/>
  <c r="AS45" i="45"/>
  <c r="BA45" i="45" s="1" a="1"/>
  <c r="BA45" i="45" s="1"/>
  <c r="AZ45" i="45" s="1"/>
  <c r="AS46" i="45"/>
  <c r="BA46" i="45" s="1" a="1"/>
  <c r="BA46" i="45" s="1"/>
  <c r="AZ46" i="45" s="1"/>
  <c r="AS47" i="45"/>
  <c r="BA47" i="45" s="1" a="1"/>
  <c r="BA47" i="45" s="1"/>
  <c r="AZ47" i="45" s="1"/>
  <c r="AS48" i="45"/>
  <c r="AS49" i="45"/>
  <c r="BA49" i="45" s="1" a="1"/>
  <c r="BA49" i="45" s="1"/>
  <c r="AZ49" i="45" s="1"/>
  <c r="AS50" i="45"/>
  <c r="AS51" i="45"/>
  <c r="AS52" i="45"/>
  <c r="AS53" i="45"/>
  <c r="BA53" i="45" s="1" a="1"/>
  <c r="BA53" i="45" s="1"/>
  <c r="AZ53" i="45" s="1"/>
  <c r="AS54" i="45"/>
  <c r="AS55" i="45"/>
  <c r="AS56" i="45"/>
  <c r="BA56" i="45" s="1" a="1"/>
  <c r="BA56" i="45" s="1"/>
  <c r="AZ56" i="45" s="1"/>
  <c r="AS57" i="45"/>
  <c r="BA57" i="45" s="1" a="1"/>
  <c r="BA57" i="45" s="1"/>
  <c r="AZ57" i="45" s="1"/>
  <c r="AS3" i="45"/>
  <c r="BA3" i="45" s="1" a="1"/>
  <c r="BA3" i="45" s="1"/>
  <c r="AZ3" i="45" s="1"/>
  <c r="AS5" i="45"/>
  <c r="BA5" i="45" s="1" a="1"/>
  <c r="BA5" i="45" s="1"/>
  <c r="AZ5" i="45" s="1"/>
  <c r="AS6" i="45"/>
  <c r="BA6" i="45" s="1" a="1"/>
  <c r="BA6" i="45" s="1"/>
  <c r="AZ6" i="45" s="1"/>
  <c r="AS7" i="45"/>
  <c r="BA7" i="45" s="1" a="1"/>
  <c r="BA7" i="45" s="1"/>
  <c r="AZ7" i="45" s="1"/>
  <c r="AS2" i="45"/>
  <c r="BA2" i="45" s="1" a="1"/>
  <c r="BA2" i="45" s="1"/>
  <c r="AZ2" i="45" s="1"/>
  <c r="AN4" i="42"/>
  <c r="BG4" i="46"/>
  <c r="BG5" i="46"/>
  <c r="AQ32" i="46"/>
  <c r="AX3" i="44"/>
  <c r="M2" i="9"/>
  <c r="L2" i="9"/>
  <c r="F2" i="9"/>
  <c r="AP23" i="41"/>
  <c r="AO23" i="41"/>
  <c r="BM32" i="40"/>
  <c r="BL32" i="40"/>
  <c r="AS32" i="40"/>
  <c r="AR32" i="40"/>
  <c r="AO3" i="41"/>
  <c r="AO4" i="41"/>
  <c r="AO5" i="41"/>
  <c r="AO6" i="41"/>
  <c r="AO7" i="41"/>
  <c r="AO8" i="41"/>
  <c r="AO9" i="41"/>
  <c r="AO10" i="41"/>
  <c r="AO11" i="41"/>
  <c r="AO12" i="41"/>
  <c r="AO13" i="41"/>
  <c r="AO14" i="41"/>
  <c r="AO15" i="41"/>
  <c r="AO16" i="41"/>
  <c r="AO17" i="41"/>
  <c r="AO18" i="41"/>
  <c r="AO19" i="41"/>
  <c r="AO20" i="41"/>
  <c r="AO21" i="41"/>
  <c r="AO22" i="41"/>
  <c r="AO2" i="41"/>
  <c r="BM3" i="40"/>
  <c r="BM4" i="40"/>
  <c r="BM5" i="40"/>
  <c r="BM9" i="40"/>
  <c r="BM10" i="40"/>
  <c r="BM11" i="40"/>
  <c r="BM12" i="40"/>
  <c r="BM13" i="40"/>
  <c r="BM16" i="40"/>
  <c r="BM17" i="40"/>
  <c r="BM18" i="40"/>
  <c r="BM19" i="40"/>
  <c r="BM20" i="40"/>
  <c r="BM21" i="40"/>
  <c r="BM22" i="40"/>
  <c r="BM24" i="40"/>
  <c r="BM26" i="40"/>
  <c r="BM27" i="40"/>
  <c r="BM28" i="40"/>
  <c r="BM29" i="40"/>
  <c r="BM31" i="40"/>
  <c r="BL3" i="40"/>
  <c r="BL4" i="40"/>
  <c r="BL5" i="40"/>
  <c r="BL6" i="40"/>
  <c r="BL7" i="40"/>
  <c r="BL8" i="40"/>
  <c r="BL9" i="40"/>
  <c r="BL10" i="40"/>
  <c r="BL11" i="40"/>
  <c r="BL12" i="40"/>
  <c r="BL13" i="40"/>
  <c r="BL14" i="40"/>
  <c r="BL15" i="40"/>
  <c r="BL16" i="40"/>
  <c r="BL17" i="40"/>
  <c r="BL18" i="40"/>
  <c r="BL19" i="40"/>
  <c r="BL20" i="40"/>
  <c r="BL21" i="40"/>
  <c r="BL22" i="40"/>
  <c r="BL23" i="40"/>
  <c r="BL24" i="40"/>
  <c r="BL25" i="40"/>
  <c r="BL26" i="40"/>
  <c r="BL27" i="40"/>
  <c r="BL28" i="40"/>
  <c r="BL29" i="40"/>
  <c r="BL30" i="40"/>
  <c r="BL31" i="40"/>
  <c r="BM2" i="40"/>
  <c r="BL2" i="40"/>
  <c r="AS3" i="40"/>
  <c r="AS4" i="40"/>
  <c r="AS6" i="40"/>
  <c r="AS7" i="40"/>
  <c r="AS9" i="40"/>
  <c r="AS11" i="40"/>
  <c r="AS12" i="40"/>
  <c r="AS15" i="40"/>
  <c r="AS16" i="40"/>
  <c r="AS17" i="40"/>
  <c r="AS18" i="40"/>
  <c r="AS19" i="40"/>
  <c r="AS20" i="40"/>
  <c r="AS22" i="40"/>
  <c r="AS23" i="40"/>
  <c r="AS24" i="40"/>
  <c r="AS26" i="40"/>
  <c r="AS27" i="40"/>
  <c r="AS31" i="40"/>
  <c r="AS2" i="40"/>
  <c r="AR3" i="40"/>
  <c r="AR4" i="40"/>
  <c r="AR5" i="40"/>
  <c r="AR6" i="40"/>
  <c r="AR7" i="40"/>
  <c r="AR8" i="40"/>
  <c r="AR9" i="40"/>
  <c r="AR10" i="40"/>
  <c r="AR11" i="40"/>
  <c r="AR12" i="40"/>
  <c r="AR13" i="40"/>
  <c r="AR14" i="40"/>
  <c r="AR15" i="40"/>
  <c r="AR16" i="40"/>
  <c r="AR17" i="40"/>
  <c r="AR18" i="40"/>
  <c r="AR19" i="40"/>
  <c r="AR20" i="40"/>
  <c r="AR21" i="40"/>
  <c r="AR22" i="40"/>
  <c r="AR23" i="40"/>
  <c r="AR24" i="40"/>
  <c r="AR25" i="40"/>
  <c r="AR26" i="40"/>
  <c r="AR27" i="40"/>
  <c r="AR28" i="40"/>
  <c r="AR29" i="40"/>
  <c r="AR30" i="40"/>
  <c r="AR31" i="40"/>
  <c r="AR2" i="40"/>
  <c r="AP3" i="39"/>
  <c r="AP4" i="39"/>
  <c r="AP5" i="39"/>
  <c r="AP6" i="39"/>
  <c r="AP7" i="39"/>
  <c r="AP8" i="39"/>
  <c r="AP9" i="39"/>
  <c r="AP10" i="39"/>
  <c r="AP11" i="39"/>
  <c r="AP12" i="39"/>
  <c r="AP13" i="39"/>
  <c r="AP14" i="39"/>
  <c r="AP15" i="39"/>
  <c r="AP16" i="39"/>
  <c r="AP18" i="39"/>
  <c r="AP19" i="39"/>
  <c r="AP20" i="39"/>
  <c r="AP21" i="39"/>
  <c r="AP22" i="39"/>
  <c r="AP23" i="39"/>
  <c r="AP24" i="39"/>
  <c r="AP25" i="39"/>
  <c r="AP26" i="39"/>
  <c r="AP27" i="39"/>
  <c r="AP28" i="39"/>
  <c r="AP29" i="39"/>
  <c r="AP30" i="39"/>
  <c r="AP31" i="39"/>
  <c r="AO3" i="39"/>
  <c r="AO4" i="39"/>
  <c r="AO5" i="39"/>
  <c r="AO6" i="39"/>
  <c r="AO7" i="39"/>
  <c r="AO8" i="39"/>
  <c r="AO9" i="39"/>
  <c r="AO10" i="39"/>
  <c r="AO11" i="39"/>
  <c r="AO12" i="39"/>
  <c r="AO13" i="39"/>
  <c r="AO14" i="39"/>
  <c r="AO15" i="39"/>
  <c r="AO16" i="39"/>
  <c r="AO17" i="39"/>
  <c r="AO18" i="39"/>
  <c r="AO19" i="39"/>
  <c r="AO20" i="39"/>
  <c r="AO21" i="39"/>
  <c r="AO22" i="39"/>
  <c r="AO23" i="39"/>
  <c r="AO24" i="39"/>
  <c r="AO25" i="39"/>
  <c r="AO26" i="39"/>
  <c r="AO27" i="39"/>
  <c r="AO28" i="39"/>
  <c r="AO29" i="39"/>
  <c r="AO30" i="39"/>
  <c r="AO31" i="39"/>
  <c r="AP2" i="39"/>
  <c r="AO2" i="39"/>
  <c r="AO32" i="39" s="1"/>
  <c r="L4" i="9" s="1"/>
  <c r="AR8" i="19"/>
  <c r="AQ8" i="19"/>
  <c r="AR3" i="19"/>
  <c r="AR5" i="19"/>
  <c r="AR6" i="19"/>
  <c r="AR7" i="19"/>
  <c r="AR2" i="19"/>
  <c r="AQ3" i="19"/>
  <c r="AQ5" i="19"/>
  <c r="AQ6" i="19"/>
  <c r="AQ7" i="19"/>
  <c r="AQ2" i="19"/>
  <c r="AY2" i="38"/>
  <c r="AZ3" i="38"/>
  <c r="AY3" i="38"/>
  <c r="AZ4" i="38"/>
  <c r="AY4" i="38"/>
  <c r="AO4" i="38"/>
  <c r="G2" i="9" s="1"/>
  <c r="AO3" i="38"/>
  <c r="AN3" i="38"/>
  <c r="AN2" i="38"/>
  <c r="AN4" i="38" s="1"/>
  <c r="AV35" i="45"/>
  <c r="AV36" i="45"/>
  <c r="AV37" i="45"/>
  <c r="AV38" i="45"/>
  <c r="AV39" i="45"/>
  <c r="AV40" i="45"/>
  <c r="AV41" i="45"/>
  <c r="AV42" i="45"/>
  <c r="AV43" i="45"/>
  <c r="AV44" i="45"/>
  <c r="AV45" i="45"/>
  <c r="AV46" i="45"/>
  <c r="AV47" i="45"/>
  <c r="AV48" i="45"/>
  <c r="AV49" i="45"/>
  <c r="AV50" i="45"/>
  <c r="AV51" i="45"/>
  <c r="AV52" i="45"/>
  <c r="AV53" i="45"/>
  <c r="AV54" i="45"/>
  <c r="AV55" i="45"/>
  <c r="AV56" i="45"/>
  <c r="AV57" i="45"/>
  <c r="AV18" i="45"/>
  <c r="AV19" i="45"/>
  <c r="AV20" i="45"/>
  <c r="AV21" i="45"/>
  <c r="AV22" i="45"/>
  <c r="AV23" i="45"/>
  <c r="AV24" i="45"/>
  <c r="AV25" i="45"/>
  <c r="AV26" i="45"/>
  <c r="AV27" i="45"/>
  <c r="AV28" i="45"/>
  <c r="AV29" i="45"/>
  <c r="AV30" i="45"/>
  <c r="AV31" i="45"/>
  <c r="AV32" i="45"/>
  <c r="AV33" i="45"/>
  <c r="AV34" i="45"/>
  <c r="AV3" i="45"/>
  <c r="AV4" i="45"/>
  <c r="AV5" i="45"/>
  <c r="AV6" i="45"/>
  <c r="AV7" i="45"/>
  <c r="AV8" i="45"/>
  <c r="AV9" i="45"/>
  <c r="AV10" i="45"/>
  <c r="AV11" i="45"/>
  <c r="AV12" i="45"/>
  <c r="AV13" i="45"/>
  <c r="AV14" i="45"/>
  <c r="AV15" i="45"/>
  <c r="AV16" i="45"/>
  <c r="AV17" i="45"/>
  <c r="AV2" i="45"/>
  <c r="AU45" i="45"/>
  <c r="AW45" i="45" s="1"/>
  <c r="AU46" i="45"/>
  <c r="AW46" i="45" s="1"/>
  <c r="AU47" i="45"/>
  <c r="AW47" i="45" s="1"/>
  <c r="AU48" i="45"/>
  <c r="AW48" i="45" s="1"/>
  <c r="AU49" i="45"/>
  <c r="AW49" i="45" s="1"/>
  <c r="AU50" i="45"/>
  <c r="AW50" i="45" s="1"/>
  <c r="AU51" i="45"/>
  <c r="AW51" i="45" s="1"/>
  <c r="AU52" i="45"/>
  <c r="AW52" i="45" s="1"/>
  <c r="AU53" i="45"/>
  <c r="AW53" i="45" s="1"/>
  <c r="AU54" i="45"/>
  <c r="AW54" i="45" s="1"/>
  <c r="AU55" i="45"/>
  <c r="AW55" i="45" s="1"/>
  <c r="AU56" i="45"/>
  <c r="AW56" i="45" s="1"/>
  <c r="AU57" i="45"/>
  <c r="AW57" i="45" s="1"/>
  <c r="AU26" i="45"/>
  <c r="AW26" i="45" s="1"/>
  <c r="AU27" i="45"/>
  <c r="AW27" i="45" s="1"/>
  <c r="AU28" i="45"/>
  <c r="AW28" i="45" s="1"/>
  <c r="AU29" i="45"/>
  <c r="AW29" i="45" s="1"/>
  <c r="AU30" i="45"/>
  <c r="AW30" i="45" s="1"/>
  <c r="AU31" i="45"/>
  <c r="AW31" i="45" s="1"/>
  <c r="AU32" i="45"/>
  <c r="AW32" i="45" s="1"/>
  <c r="AU33" i="45"/>
  <c r="AW33" i="45" s="1"/>
  <c r="AU34" i="45"/>
  <c r="AW34" i="45" s="1"/>
  <c r="AU35" i="45"/>
  <c r="AW35" i="45" s="1"/>
  <c r="AU36" i="45"/>
  <c r="AW36" i="45" s="1"/>
  <c r="AU37" i="45"/>
  <c r="AW37" i="45" s="1"/>
  <c r="AU38" i="45"/>
  <c r="AW38" i="45" s="1"/>
  <c r="AU39" i="45"/>
  <c r="AW39" i="45" s="1"/>
  <c r="AU40" i="45"/>
  <c r="AW40" i="45" s="1"/>
  <c r="AU41" i="45"/>
  <c r="AW41" i="45" s="1"/>
  <c r="AU42" i="45"/>
  <c r="AW42" i="45" s="1"/>
  <c r="AU43" i="45"/>
  <c r="AW43" i="45" s="1"/>
  <c r="AU44" i="45"/>
  <c r="AW44" i="45" s="1"/>
  <c r="AU3" i="45"/>
  <c r="AW3" i="45" s="1"/>
  <c r="AU4" i="45"/>
  <c r="AW4" i="45" s="1"/>
  <c r="AU5" i="45"/>
  <c r="AW5" i="45" s="1"/>
  <c r="AU6" i="45"/>
  <c r="AW6" i="45" s="1"/>
  <c r="AU7" i="45"/>
  <c r="AW7" i="45" s="1"/>
  <c r="AU8" i="45"/>
  <c r="AW8" i="45" s="1"/>
  <c r="AU9" i="45"/>
  <c r="AW9" i="45" s="1"/>
  <c r="AU10" i="45"/>
  <c r="AW10" i="45" s="1"/>
  <c r="AU11" i="45"/>
  <c r="AW11" i="45" s="1"/>
  <c r="AU12" i="45"/>
  <c r="AW12" i="45" s="1"/>
  <c r="AU13" i="45"/>
  <c r="AW13" i="45" s="1"/>
  <c r="AU14" i="45"/>
  <c r="AW14" i="45" s="1"/>
  <c r="AU15" i="45"/>
  <c r="AW15" i="45" s="1"/>
  <c r="AU16" i="45"/>
  <c r="AW16" i="45" s="1"/>
  <c r="AU17" i="45"/>
  <c r="AW17" i="45" s="1"/>
  <c r="AU18" i="45"/>
  <c r="AW18" i="45" s="1"/>
  <c r="AU19" i="45"/>
  <c r="AW19" i="45" s="1"/>
  <c r="AU20" i="45"/>
  <c r="AW20" i="45" s="1"/>
  <c r="AU21" i="45"/>
  <c r="AW21" i="45" s="1"/>
  <c r="AU22" i="45"/>
  <c r="AW22" i="45" s="1"/>
  <c r="AU23" i="45"/>
  <c r="AW23" i="45" s="1"/>
  <c r="AU24" i="45"/>
  <c r="AW24" i="45" s="1"/>
  <c r="AU25" i="45"/>
  <c r="AW25" i="45" s="1"/>
  <c r="AU2" i="45"/>
  <c r="AW2" i="45" s="1"/>
  <c r="K14" i="9"/>
  <c r="AB33" i="46"/>
  <c r="BA32" i="46"/>
  <c r="M14" i="9" s="1"/>
  <c r="AZ32" i="46"/>
  <c r="BG24" i="46"/>
  <c r="BG25" i="46"/>
  <c r="BG26" i="46"/>
  <c r="BG27" i="46"/>
  <c r="BG28" i="46"/>
  <c r="BG29" i="46"/>
  <c r="BG30" i="46"/>
  <c r="BG31" i="46"/>
  <c r="BG6" i="46"/>
  <c r="BG7" i="46"/>
  <c r="BG8" i="46"/>
  <c r="BG9" i="46"/>
  <c r="BG10" i="46"/>
  <c r="BG11" i="46"/>
  <c r="BG12" i="46"/>
  <c r="BG13" i="46"/>
  <c r="BG14" i="46"/>
  <c r="BG15" i="46"/>
  <c r="BG16" i="46"/>
  <c r="BG17" i="46"/>
  <c r="BG18" i="46"/>
  <c r="BG19" i="46"/>
  <c r="BG20" i="46"/>
  <c r="BG21" i="46"/>
  <c r="BG22" i="46"/>
  <c r="BG23" i="46"/>
  <c r="BE24" i="46"/>
  <c r="BE25" i="46"/>
  <c r="BE26" i="46"/>
  <c r="BE27" i="46"/>
  <c r="BE28" i="46"/>
  <c r="BE29" i="46"/>
  <c r="BE30" i="46"/>
  <c r="BE31" i="46"/>
  <c r="BE3" i="46"/>
  <c r="BE4" i="46"/>
  <c r="BE5" i="46"/>
  <c r="BE6" i="46"/>
  <c r="BE7" i="46"/>
  <c r="BE8" i="46"/>
  <c r="BE9" i="46"/>
  <c r="BE10" i="46"/>
  <c r="BE11" i="46"/>
  <c r="BE12" i="46"/>
  <c r="BE13" i="46"/>
  <c r="BE14" i="46"/>
  <c r="BE15" i="46"/>
  <c r="BE16" i="46"/>
  <c r="BE17" i="46"/>
  <c r="BE18" i="46"/>
  <c r="BE19" i="46"/>
  <c r="BE20" i="46"/>
  <c r="BE21" i="46"/>
  <c r="BE22" i="46"/>
  <c r="BE23" i="46"/>
  <c r="BE2" i="46"/>
  <c r="BD21" i="46"/>
  <c r="BF21" i="46" s="1"/>
  <c r="BD22" i="46"/>
  <c r="BF22" i="46" s="1"/>
  <c r="BD23" i="46"/>
  <c r="BF23" i="46" s="1"/>
  <c r="BD24" i="46"/>
  <c r="BF24" i="46" s="1"/>
  <c r="BD25" i="46"/>
  <c r="BF25" i="46" s="1"/>
  <c r="BD26" i="46"/>
  <c r="BF26" i="46" s="1"/>
  <c r="BD27" i="46"/>
  <c r="BF27" i="46" s="1"/>
  <c r="BD28" i="46"/>
  <c r="BF28" i="46" s="1"/>
  <c r="BD29" i="46"/>
  <c r="BF29" i="46" s="1"/>
  <c r="BD30" i="46"/>
  <c r="BF30" i="46" s="1"/>
  <c r="BD31" i="46"/>
  <c r="BF31" i="46" s="1"/>
  <c r="BD3" i="46"/>
  <c r="BF3" i="46" s="1"/>
  <c r="BD4" i="46"/>
  <c r="BF4" i="46" s="1"/>
  <c r="BD5" i="46"/>
  <c r="BF5" i="46" s="1"/>
  <c r="BD6" i="46"/>
  <c r="BF6" i="46" s="1"/>
  <c r="BD7" i="46"/>
  <c r="BF7" i="46" s="1"/>
  <c r="BD8" i="46"/>
  <c r="BF8" i="46" s="1"/>
  <c r="BD9" i="46"/>
  <c r="BF9" i="46" s="1"/>
  <c r="BD10" i="46"/>
  <c r="BF10" i="46" s="1"/>
  <c r="BD11" i="46"/>
  <c r="BF11" i="46" s="1"/>
  <c r="BD12" i="46"/>
  <c r="BF12" i="46" s="1"/>
  <c r="BD13" i="46"/>
  <c r="BF13" i="46" s="1"/>
  <c r="BD14" i="46"/>
  <c r="BF14" i="46" s="1"/>
  <c r="BD15" i="46"/>
  <c r="BF15" i="46" s="1"/>
  <c r="BD16" i="46"/>
  <c r="BF16" i="46" s="1"/>
  <c r="BD17" i="46"/>
  <c r="BF17" i="46" s="1"/>
  <c r="BD18" i="46"/>
  <c r="BF18" i="46" s="1"/>
  <c r="BD19" i="46"/>
  <c r="BF19" i="46" s="1"/>
  <c r="BD20" i="46"/>
  <c r="BF20" i="46" s="1"/>
  <c r="BD2" i="46"/>
  <c r="BF2" i="46" s="1"/>
  <c r="Q33" i="46"/>
  <c r="J14" i="9" s="1"/>
  <c r="AO32" i="46"/>
  <c r="G14" i="9" s="1"/>
  <c r="AN32" i="46"/>
  <c r="F14" i="9" s="1"/>
  <c r="Q32" i="46"/>
  <c r="D14" i="9" s="1"/>
  <c r="AW3" i="44"/>
  <c r="M9" i="9" s="1"/>
  <c r="AV3" i="44"/>
  <c r="L9" i="9" s="1"/>
  <c r="AY3" i="44"/>
  <c r="K9" i="9" s="1"/>
  <c r="Q4" i="44"/>
  <c r="J9" i="9" s="1"/>
  <c r="J7" i="9"/>
  <c r="Q34" i="43"/>
  <c r="V8" i="9" s="1"/>
  <c r="AL4" i="42"/>
  <c r="M7" i="9" s="1"/>
  <c r="Q4" i="42"/>
  <c r="AK4" i="42"/>
  <c r="L7" i="9" s="1"/>
  <c r="K7" i="9"/>
  <c r="X4" i="42"/>
  <c r="Q33" i="43"/>
  <c r="J8" i="9" s="1"/>
  <c r="BE32" i="43"/>
  <c r="M8" i="9" s="1"/>
  <c r="BS32" i="43"/>
  <c r="X8" i="9" s="1"/>
  <c r="BU32" i="43"/>
  <c r="W8" i="9" s="1"/>
  <c r="X32" i="43"/>
  <c r="BD32" i="43"/>
  <c r="L8" i="9" s="1"/>
  <c r="BW3" i="43"/>
  <c r="BW4" i="43"/>
  <c r="BW5" i="43"/>
  <c r="BW6" i="43"/>
  <c r="BW7" i="43"/>
  <c r="BW8" i="43"/>
  <c r="BW9" i="43"/>
  <c r="BW10" i="43"/>
  <c r="BW11" i="43"/>
  <c r="BW12" i="43"/>
  <c r="BW13" i="43"/>
  <c r="BW14" i="43"/>
  <c r="BW15" i="43"/>
  <c r="BW16" i="43"/>
  <c r="BW17" i="43"/>
  <c r="BW18" i="43"/>
  <c r="BW19" i="43"/>
  <c r="BW20" i="43"/>
  <c r="BW21" i="43"/>
  <c r="BW22" i="43"/>
  <c r="BW23" i="43"/>
  <c r="BW24" i="43"/>
  <c r="BW25" i="43"/>
  <c r="BW26" i="43"/>
  <c r="BW27" i="43"/>
  <c r="BW28" i="43"/>
  <c r="BW29" i="43"/>
  <c r="BW30" i="43"/>
  <c r="BW31" i="43"/>
  <c r="BW2" i="43"/>
  <c r="BV3" i="43"/>
  <c r="BX3" i="43" s="1"/>
  <c r="BV4" i="43"/>
  <c r="BX4" i="43" s="1"/>
  <c r="BV5" i="43"/>
  <c r="BX5" i="43" s="1"/>
  <c r="BV6" i="43"/>
  <c r="BX6" i="43" s="1"/>
  <c r="BV7" i="43"/>
  <c r="BX7" i="43" s="1"/>
  <c r="BV8" i="43"/>
  <c r="BX8" i="43" s="1"/>
  <c r="BV9" i="43"/>
  <c r="BX9" i="43" s="1"/>
  <c r="BV10" i="43"/>
  <c r="BX10" i="43" s="1"/>
  <c r="BV11" i="43"/>
  <c r="BX11" i="43" s="1"/>
  <c r="BV12" i="43"/>
  <c r="BX12" i="43" s="1"/>
  <c r="BV13" i="43"/>
  <c r="BX13" i="43" s="1"/>
  <c r="BV14" i="43"/>
  <c r="BX14" i="43" s="1"/>
  <c r="BV15" i="43"/>
  <c r="BX15" i="43" s="1"/>
  <c r="BV16" i="43"/>
  <c r="BX16" i="43" s="1"/>
  <c r="BV17" i="43"/>
  <c r="BX17" i="43" s="1"/>
  <c r="BV18" i="43"/>
  <c r="BX18" i="43" s="1"/>
  <c r="BV19" i="43"/>
  <c r="BX19" i="43" s="1"/>
  <c r="BV20" i="43"/>
  <c r="BX20" i="43" s="1"/>
  <c r="BV21" i="43"/>
  <c r="BX21" i="43" s="1"/>
  <c r="BV22" i="43"/>
  <c r="BX22" i="43" s="1"/>
  <c r="BV23" i="43"/>
  <c r="BX23" i="43" s="1"/>
  <c r="BV24" i="43"/>
  <c r="BX24" i="43" s="1"/>
  <c r="BV25" i="43"/>
  <c r="BX25" i="43" s="1"/>
  <c r="BV26" i="43"/>
  <c r="BX26" i="43" s="1"/>
  <c r="BV27" i="43"/>
  <c r="BX27" i="43" s="1"/>
  <c r="BV28" i="43"/>
  <c r="BX28" i="43" s="1"/>
  <c r="BV29" i="43"/>
  <c r="BX29" i="43" s="1"/>
  <c r="BV30" i="43"/>
  <c r="BX30" i="43" s="1"/>
  <c r="BV31" i="43"/>
  <c r="BX31" i="43" s="1"/>
  <c r="BV2" i="43"/>
  <c r="BX2" i="43" s="1"/>
  <c r="AT3" i="19"/>
  <c r="AT4" i="19"/>
  <c r="AT8" i="19" s="1"/>
  <c r="AT5" i="19"/>
  <c r="AT6" i="19"/>
  <c r="AT7" i="19"/>
  <c r="AT2" i="19"/>
  <c r="BB3" i="38"/>
  <c r="BB2" i="38"/>
  <c r="AZ23" i="41"/>
  <c r="AX2" i="41"/>
  <c r="AX3" i="41"/>
  <c r="AX4" i="41"/>
  <c r="AX5" i="41"/>
  <c r="AX6" i="41"/>
  <c r="AX7" i="41"/>
  <c r="AX8" i="41"/>
  <c r="AX9" i="41"/>
  <c r="AX10" i="41"/>
  <c r="AX11" i="41"/>
  <c r="AX12" i="41"/>
  <c r="AX13" i="41"/>
  <c r="AX14" i="41"/>
  <c r="AX15" i="41"/>
  <c r="AX16" i="41"/>
  <c r="AX17" i="41"/>
  <c r="AX18" i="41"/>
  <c r="AX19" i="41"/>
  <c r="AX20" i="41"/>
  <c r="AX21" i="41"/>
  <c r="AX22" i="41"/>
  <c r="AY3" i="41"/>
  <c r="AY4" i="41"/>
  <c r="AY5" i="41"/>
  <c r="AY6" i="41"/>
  <c r="AY7" i="41"/>
  <c r="AY8" i="41"/>
  <c r="AY9" i="41"/>
  <c r="AY10" i="41"/>
  <c r="AY11" i="41"/>
  <c r="AY12" i="41"/>
  <c r="AY13" i="41"/>
  <c r="AY14" i="41"/>
  <c r="AY15" i="41"/>
  <c r="AY16" i="41"/>
  <c r="AY17" i="41"/>
  <c r="AY18" i="41"/>
  <c r="AY19" i="41"/>
  <c r="AY20" i="41"/>
  <c r="AY21" i="41"/>
  <c r="AY22" i="41"/>
  <c r="AY2" i="41"/>
  <c r="AV2" i="41"/>
  <c r="AU3" i="41"/>
  <c r="AU4" i="41"/>
  <c r="AU5" i="41"/>
  <c r="AU6" i="41"/>
  <c r="AU7" i="41"/>
  <c r="AU8" i="41"/>
  <c r="AU9" i="41"/>
  <c r="AU10" i="41"/>
  <c r="AU11" i="41"/>
  <c r="AU12" i="41"/>
  <c r="AU13" i="41"/>
  <c r="AU14" i="41"/>
  <c r="AU15" i="41"/>
  <c r="AU16" i="41"/>
  <c r="AU17" i="41"/>
  <c r="AU18" i="41"/>
  <c r="AU19" i="41"/>
  <c r="AU20" i="41"/>
  <c r="AU21" i="41"/>
  <c r="AU22" i="41"/>
  <c r="AU2" i="39"/>
  <c r="AV14" i="41"/>
  <c r="AV3" i="41"/>
  <c r="AV4" i="41"/>
  <c r="AV5" i="41"/>
  <c r="AV6" i="41"/>
  <c r="AV7" i="41"/>
  <c r="AV8" i="41"/>
  <c r="AV9" i="41"/>
  <c r="AV10" i="41"/>
  <c r="AV11" i="41"/>
  <c r="AV12" i="41"/>
  <c r="AV13" i="41"/>
  <c r="AV15" i="41"/>
  <c r="AV16" i="41"/>
  <c r="AV17" i="41"/>
  <c r="AV18" i="41"/>
  <c r="AV19" i="41"/>
  <c r="AV20" i="41"/>
  <c r="AV21" i="41"/>
  <c r="AV22" i="41"/>
  <c r="X23" i="41"/>
  <c r="AK23" i="41"/>
  <c r="AN23" i="41"/>
  <c r="AL23" i="41"/>
  <c r="AT3" i="41"/>
  <c r="AT4" i="41"/>
  <c r="AT5" i="41"/>
  <c r="AT6" i="41"/>
  <c r="AT7" i="41"/>
  <c r="AT8" i="41"/>
  <c r="AT9" i="41"/>
  <c r="AT10" i="41"/>
  <c r="AT11" i="41"/>
  <c r="AT12" i="41"/>
  <c r="AT13" i="41"/>
  <c r="AT14" i="41"/>
  <c r="AT15" i="41"/>
  <c r="AT16" i="41"/>
  <c r="AT17" i="41"/>
  <c r="AT18" i="41"/>
  <c r="AT19" i="41"/>
  <c r="AT20" i="41"/>
  <c r="AT21" i="41"/>
  <c r="AT22" i="41"/>
  <c r="AR3" i="41"/>
  <c r="AR4" i="41"/>
  <c r="AR5" i="41"/>
  <c r="AR6" i="41"/>
  <c r="AR7" i="41"/>
  <c r="AR8" i="41"/>
  <c r="AR9" i="41"/>
  <c r="AR10" i="41"/>
  <c r="AR11" i="41"/>
  <c r="AR12" i="41"/>
  <c r="AR13" i="41"/>
  <c r="AR14" i="41"/>
  <c r="AR15" i="41"/>
  <c r="AR16" i="41"/>
  <c r="AR17" i="41"/>
  <c r="AR18" i="41"/>
  <c r="AR19" i="41"/>
  <c r="AR20" i="41"/>
  <c r="AR21" i="41"/>
  <c r="AR22" i="41"/>
  <c r="AR2" i="41"/>
  <c r="AQ3" i="41"/>
  <c r="AS3" i="41" s="1"/>
  <c r="AQ4" i="41"/>
  <c r="AS4" i="41" s="1"/>
  <c r="AQ5" i="41"/>
  <c r="AS5" i="41" s="1"/>
  <c r="AQ6" i="41"/>
  <c r="AS6" i="41" s="1"/>
  <c r="AQ7" i="41"/>
  <c r="AS7" i="41" s="1"/>
  <c r="AQ8" i="41"/>
  <c r="AS8" i="41" s="1"/>
  <c r="AQ9" i="41"/>
  <c r="AS9" i="41" s="1"/>
  <c r="AQ10" i="41"/>
  <c r="AS10" i="41" s="1"/>
  <c r="AQ11" i="41"/>
  <c r="AS11" i="41" s="1"/>
  <c r="AQ12" i="41"/>
  <c r="AS12" i="41" s="1"/>
  <c r="AQ13" i="41"/>
  <c r="AS13" i="41" s="1"/>
  <c r="AQ14" i="41"/>
  <c r="AS14" i="41" s="1"/>
  <c r="AQ15" i="41"/>
  <c r="AS15" i="41" s="1"/>
  <c r="AQ16" i="41"/>
  <c r="AS16" i="41" s="1"/>
  <c r="AQ17" i="41"/>
  <c r="AS17" i="41" s="1"/>
  <c r="AQ18" i="41"/>
  <c r="AS18" i="41" s="1"/>
  <c r="AQ19" i="41"/>
  <c r="AS19" i="41" s="1"/>
  <c r="AQ20" i="41"/>
  <c r="AS20" i="41" s="1"/>
  <c r="AQ21" i="41"/>
  <c r="AS21" i="41" s="1"/>
  <c r="AQ22" i="41"/>
  <c r="AS22" i="41" s="1"/>
  <c r="AQ2" i="41"/>
  <c r="AS2" i="41" s="1"/>
  <c r="BF4" i="38"/>
  <c r="BE4" i="38"/>
  <c r="O2" i="9" s="1"/>
  <c r="AU4" i="38"/>
  <c r="BY2" i="40"/>
  <c r="BZ27" i="40"/>
  <c r="BX2" i="40"/>
  <c r="BZ9" i="40"/>
  <c r="BW2" i="40"/>
  <c r="BZ2" i="40" s="1"/>
  <c r="BU2" i="40"/>
  <c r="BV28" i="40"/>
  <c r="BT2" i="40"/>
  <c r="BS2" i="40"/>
  <c r="BV2" i="40" s="1"/>
  <c r="AY2" i="40"/>
  <c r="BR3" i="40"/>
  <c r="BR4" i="40"/>
  <c r="BR5" i="40"/>
  <c r="BR6" i="40"/>
  <c r="BR7" i="40"/>
  <c r="BR8" i="40"/>
  <c r="BR9" i="40"/>
  <c r="BR10" i="40"/>
  <c r="BR11" i="40"/>
  <c r="BR12" i="40"/>
  <c r="BR13" i="40"/>
  <c r="BR14" i="40"/>
  <c r="BR15" i="40"/>
  <c r="BR16" i="40"/>
  <c r="BR17" i="40"/>
  <c r="BR18" i="40"/>
  <c r="BR19" i="40"/>
  <c r="BR20" i="40"/>
  <c r="BR21" i="40"/>
  <c r="BR22" i="40"/>
  <c r="BR23" i="40"/>
  <c r="BR24" i="40"/>
  <c r="BR25" i="40"/>
  <c r="BR26" i="40"/>
  <c r="BR27" i="40"/>
  <c r="BR28" i="40"/>
  <c r="BR29" i="40"/>
  <c r="BR30" i="40"/>
  <c r="BR31" i="40"/>
  <c r="BR2" i="40"/>
  <c r="BQ3" i="40"/>
  <c r="BQ4" i="40"/>
  <c r="BQ5" i="40"/>
  <c r="BQ6" i="40"/>
  <c r="BQ7" i="40"/>
  <c r="BQ8" i="40"/>
  <c r="BQ9" i="40"/>
  <c r="BQ10" i="40"/>
  <c r="BQ11" i="40"/>
  <c r="BQ12" i="40"/>
  <c r="BQ13" i="40"/>
  <c r="BQ14" i="40"/>
  <c r="BQ15" i="40"/>
  <c r="BQ16" i="40"/>
  <c r="BQ17" i="40"/>
  <c r="BQ18" i="40"/>
  <c r="BQ19" i="40"/>
  <c r="BQ20" i="40"/>
  <c r="BQ21" i="40"/>
  <c r="BQ22" i="40"/>
  <c r="BQ23" i="40"/>
  <c r="BQ24" i="40"/>
  <c r="BQ25" i="40"/>
  <c r="BQ26" i="40"/>
  <c r="BQ27" i="40"/>
  <c r="BQ28" i="40"/>
  <c r="BQ29" i="40"/>
  <c r="BQ30" i="40"/>
  <c r="BQ31" i="40"/>
  <c r="BQ2" i="40"/>
  <c r="BP9" i="40"/>
  <c r="BP25" i="40"/>
  <c r="BO3" i="40"/>
  <c r="BO4" i="40"/>
  <c r="BO5" i="40"/>
  <c r="BO6" i="40"/>
  <c r="BO7" i="40"/>
  <c r="BO8" i="40"/>
  <c r="BO9" i="40"/>
  <c r="BO10" i="40"/>
  <c r="BO11" i="40"/>
  <c r="BO12" i="40"/>
  <c r="BO13" i="40"/>
  <c r="BO14" i="40"/>
  <c r="BO15" i="40"/>
  <c r="BO16" i="40"/>
  <c r="BO17" i="40"/>
  <c r="BO18" i="40"/>
  <c r="BO19" i="40"/>
  <c r="BO20" i="40"/>
  <c r="BO21" i="40"/>
  <c r="BO22" i="40"/>
  <c r="BO23" i="40"/>
  <c r="BO24" i="40"/>
  <c r="BO25" i="40"/>
  <c r="BO26" i="40"/>
  <c r="BO27" i="40"/>
  <c r="BO28" i="40"/>
  <c r="BO29" i="40"/>
  <c r="BO30" i="40"/>
  <c r="BO31" i="40"/>
  <c r="BO2" i="40"/>
  <c r="BN3" i="40"/>
  <c r="BP3" i="40" s="1"/>
  <c r="BN4" i="40"/>
  <c r="BP4" i="40" s="1"/>
  <c r="BN5" i="40"/>
  <c r="BP5" i="40" s="1"/>
  <c r="BN6" i="40"/>
  <c r="BP6" i="40" s="1"/>
  <c r="BN7" i="40"/>
  <c r="BP7" i="40" s="1"/>
  <c r="BN8" i="40"/>
  <c r="BP8" i="40" s="1"/>
  <c r="BN9" i="40"/>
  <c r="BN10" i="40"/>
  <c r="BP10" i="40" s="1"/>
  <c r="BN11" i="40"/>
  <c r="BP11" i="40" s="1"/>
  <c r="BN12" i="40"/>
  <c r="BP12" i="40" s="1"/>
  <c r="BN13" i="40"/>
  <c r="BP13" i="40" s="1"/>
  <c r="BN14" i="40"/>
  <c r="BP14" i="40" s="1"/>
  <c r="BN15" i="40"/>
  <c r="BP15" i="40" s="1"/>
  <c r="BN16" i="40"/>
  <c r="BP16" i="40" s="1"/>
  <c r="BN17" i="40"/>
  <c r="BP17" i="40" s="1"/>
  <c r="BN18" i="40"/>
  <c r="BP18" i="40" s="1"/>
  <c r="BN19" i="40"/>
  <c r="BP19" i="40" s="1"/>
  <c r="BN20" i="40"/>
  <c r="BP20" i="40" s="1"/>
  <c r="BN21" i="40"/>
  <c r="BP21" i="40" s="1"/>
  <c r="BN22" i="40"/>
  <c r="BP22" i="40" s="1"/>
  <c r="BN23" i="40"/>
  <c r="BP23" i="40" s="1"/>
  <c r="BN24" i="40"/>
  <c r="BP24" i="40" s="1"/>
  <c r="BN25" i="40"/>
  <c r="BN26" i="40"/>
  <c r="BP26" i="40" s="1"/>
  <c r="BN27" i="40"/>
  <c r="BP27" i="40" s="1"/>
  <c r="BN28" i="40"/>
  <c r="BP28" i="40" s="1"/>
  <c r="BN29" i="40"/>
  <c r="BP29" i="40" s="1"/>
  <c r="BN30" i="40"/>
  <c r="BP30" i="40" s="1"/>
  <c r="BN31" i="40"/>
  <c r="BP31" i="40" s="1"/>
  <c r="BN2" i="40"/>
  <c r="BP2" i="40" s="1"/>
  <c r="BK32" i="40"/>
  <c r="BJ32" i="40"/>
  <c r="BI32" i="40"/>
  <c r="BR32" i="40" s="1"/>
  <c r="BH32" i="40"/>
  <c r="BG32" i="40"/>
  <c r="BZ12" i="40"/>
  <c r="BV12" i="40"/>
  <c r="BN10" i="43"/>
  <c r="BM10" i="43" s="1"/>
  <c r="BN11" i="43"/>
  <c r="BM11" i="43" s="1"/>
  <c r="BN19" i="43"/>
  <c r="BM19" i="43" s="1"/>
  <c r="BN20" i="43"/>
  <c r="BM20" i="43" s="1"/>
  <c r="BN24" i="43"/>
  <c r="BM24" i="43" s="1"/>
  <c r="BN25" i="43"/>
  <c r="BM25" i="43" s="1"/>
  <c r="BN29" i="43"/>
  <c r="BM29" i="43" s="1"/>
  <c r="BN30" i="43"/>
  <c r="BM30" i="43" s="1"/>
  <c r="BN2" i="43"/>
  <c r="BL3" i="43"/>
  <c r="BL10" i="43"/>
  <c r="BL11" i="43"/>
  <c r="BL17" i="43"/>
  <c r="BL19" i="43"/>
  <c r="BL20" i="43"/>
  <c r="BL24" i="43"/>
  <c r="BL25" i="43"/>
  <c r="BL26" i="43"/>
  <c r="BL29" i="43"/>
  <c r="BL30" i="43"/>
  <c r="BJ3" i="43"/>
  <c r="BJ4" i="43"/>
  <c r="BJ5" i="43"/>
  <c r="BJ6" i="43"/>
  <c r="BJ7" i="43"/>
  <c r="BJ8" i="43"/>
  <c r="BJ9" i="43"/>
  <c r="BJ10" i="43"/>
  <c r="BJ11" i="43"/>
  <c r="BJ12" i="43"/>
  <c r="BJ13" i="43"/>
  <c r="BJ14" i="43"/>
  <c r="BJ15" i="43"/>
  <c r="BJ16" i="43"/>
  <c r="BJ17" i="43"/>
  <c r="BJ18" i="43"/>
  <c r="BJ19" i="43"/>
  <c r="BJ20" i="43"/>
  <c r="BJ21" i="43"/>
  <c r="BJ22" i="43"/>
  <c r="BJ23" i="43"/>
  <c r="BJ24" i="43"/>
  <c r="BJ25" i="43"/>
  <c r="BJ26" i="43"/>
  <c r="BJ27" i="43"/>
  <c r="BJ28" i="43"/>
  <c r="BJ29" i="43"/>
  <c r="BJ30" i="43"/>
  <c r="BJ31" i="43"/>
  <c r="BI30" i="43"/>
  <c r="BK30" i="43" s="1"/>
  <c r="BI31" i="43"/>
  <c r="BK31" i="43" s="1"/>
  <c r="BI4" i="43"/>
  <c r="BK4" i="43" s="1"/>
  <c r="BI5" i="43"/>
  <c r="BK5" i="43" s="1"/>
  <c r="BI6" i="43"/>
  <c r="BK6" i="43" s="1"/>
  <c r="BI7" i="43"/>
  <c r="BK7" i="43" s="1"/>
  <c r="BI8" i="43"/>
  <c r="BK8" i="43" s="1"/>
  <c r="BI9" i="43"/>
  <c r="BK9" i="43" s="1"/>
  <c r="BI10" i="43"/>
  <c r="BK10" i="43" s="1"/>
  <c r="BI11" i="43"/>
  <c r="BK11" i="43" s="1"/>
  <c r="BI12" i="43"/>
  <c r="BK12" i="43" s="1"/>
  <c r="BI13" i="43"/>
  <c r="BK13" i="43" s="1"/>
  <c r="BI14" i="43"/>
  <c r="BK14" i="43" s="1"/>
  <c r="BI15" i="43"/>
  <c r="BK15" i="43" s="1"/>
  <c r="BI16" i="43"/>
  <c r="BK16" i="43" s="1"/>
  <c r="BI17" i="43"/>
  <c r="BK17" i="43" s="1"/>
  <c r="BI18" i="43"/>
  <c r="BK18" i="43" s="1"/>
  <c r="BI19" i="43"/>
  <c r="BK19" i="43" s="1"/>
  <c r="BI20" i="43"/>
  <c r="BK20" i="43" s="1"/>
  <c r="BI21" i="43"/>
  <c r="BK21" i="43" s="1"/>
  <c r="BI22" i="43"/>
  <c r="BK22" i="43" s="1"/>
  <c r="BI23" i="43"/>
  <c r="BK23" i="43" s="1"/>
  <c r="BI24" i="43"/>
  <c r="BK24" i="43" s="1"/>
  <c r="BI25" i="43"/>
  <c r="BK25" i="43" s="1"/>
  <c r="BI26" i="43"/>
  <c r="BK26" i="43" s="1"/>
  <c r="BI27" i="43"/>
  <c r="BK27" i="43" s="1"/>
  <c r="BI28" i="43"/>
  <c r="BK28" i="43" s="1"/>
  <c r="BI29" i="43"/>
  <c r="BK29" i="43" s="1"/>
  <c r="BI3" i="43"/>
  <c r="BK3" i="43" s="1"/>
  <c r="BL2" i="43"/>
  <c r="BJ2" i="43"/>
  <c r="BI2" i="43"/>
  <c r="BK2" i="43" s="1"/>
  <c r="BE2" i="40"/>
  <c r="BA2" i="40"/>
  <c r="BD2" i="40"/>
  <c r="BF3" i="40"/>
  <c r="BF5" i="40"/>
  <c r="BF7" i="40"/>
  <c r="BF9" i="40"/>
  <c r="BF11" i="40"/>
  <c r="BF13" i="40"/>
  <c r="BF17" i="40"/>
  <c r="BF19" i="40"/>
  <c r="BF21" i="40"/>
  <c r="BF23" i="40"/>
  <c r="BF25" i="40"/>
  <c r="BF27" i="40"/>
  <c r="BF31" i="40"/>
  <c r="BC2" i="40"/>
  <c r="AV2" i="39"/>
  <c r="AZ2" i="40"/>
  <c r="N32" i="40"/>
  <c r="M32" i="40"/>
  <c r="AQ32" i="40"/>
  <c r="AO32" i="40"/>
  <c r="AN32" i="40"/>
  <c r="AM32" i="40"/>
  <c r="AX3" i="40"/>
  <c r="AX4" i="40"/>
  <c r="AX5" i="40"/>
  <c r="AX6" i="40"/>
  <c r="AX7" i="40"/>
  <c r="AX8" i="40"/>
  <c r="AX9" i="40"/>
  <c r="AX10" i="40"/>
  <c r="AX11" i="40"/>
  <c r="AX12" i="40"/>
  <c r="AX13" i="40"/>
  <c r="AX14" i="40"/>
  <c r="AX15" i="40"/>
  <c r="AX16" i="40"/>
  <c r="AX17" i="40"/>
  <c r="AX18" i="40"/>
  <c r="AX19" i="40"/>
  <c r="AX20" i="40"/>
  <c r="AX21" i="40"/>
  <c r="AX22" i="40"/>
  <c r="AX23" i="40"/>
  <c r="AX24" i="40"/>
  <c r="AX25" i="40"/>
  <c r="AX26" i="40"/>
  <c r="AX27" i="40"/>
  <c r="AX28" i="40"/>
  <c r="AX29" i="40"/>
  <c r="AX30" i="40"/>
  <c r="AX31" i="40"/>
  <c r="AX2" i="40"/>
  <c r="AW3" i="40"/>
  <c r="AW4" i="40"/>
  <c r="AW5" i="40"/>
  <c r="AW6" i="40"/>
  <c r="AW7" i="40"/>
  <c r="AW8" i="40"/>
  <c r="AW9" i="40"/>
  <c r="AW10" i="40"/>
  <c r="AW11" i="40"/>
  <c r="AW12" i="40"/>
  <c r="AW13" i="40"/>
  <c r="AW14" i="40"/>
  <c r="AW15" i="40"/>
  <c r="AW16" i="40"/>
  <c r="AW17" i="40"/>
  <c r="AW18" i="40"/>
  <c r="AW19" i="40"/>
  <c r="AW20" i="40"/>
  <c r="AW21" i="40"/>
  <c r="AW22" i="40"/>
  <c r="AW23" i="40"/>
  <c r="AW24" i="40"/>
  <c r="AW25" i="40"/>
  <c r="AW26" i="40"/>
  <c r="AW27" i="40"/>
  <c r="AW28" i="40"/>
  <c r="AW29" i="40"/>
  <c r="AW30" i="40"/>
  <c r="AW31" i="40"/>
  <c r="AW2" i="40"/>
  <c r="AU3" i="40"/>
  <c r="AU4" i="40"/>
  <c r="AU5" i="40"/>
  <c r="AU6" i="40"/>
  <c r="AU7" i="40"/>
  <c r="AU8" i="40"/>
  <c r="AU9" i="40"/>
  <c r="AU10" i="40"/>
  <c r="AU11" i="40"/>
  <c r="AU12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T3" i="40"/>
  <c r="AV3" i="40" s="1"/>
  <c r="AT4" i="40"/>
  <c r="AV4" i="40" s="1"/>
  <c r="AT5" i="40"/>
  <c r="AV5" i="40" s="1"/>
  <c r="AT6" i="40"/>
  <c r="AV6" i="40" s="1"/>
  <c r="AT7" i="40"/>
  <c r="AV7" i="40" s="1"/>
  <c r="AT8" i="40"/>
  <c r="AV8" i="40" s="1"/>
  <c r="AT9" i="40"/>
  <c r="AV9" i="40" s="1"/>
  <c r="AT10" i="40"/>
  <c r="AV10" i="40" s="1"/>
  <c r="AT11" i="40"/>
  <c r="AV11" i="40" s="1"/>
  <c r="AT12" i="40"/>
  <c r="AV12" i="40" s="1"/>
  <c r="AT13" i="40"/>
  <c r="AV13" i="40" s="1"/>
  <c r="AT14" i="40"/>
  <c r="AV14" i="40" s="1"/>
  <c r="AT15" i="40"/>
  <c r="AV15" i="40" s="1"/>
  <c r="AT16" i="40"/>
  <c r="AV16" i="40" s="1"/>
  <c r="AT17" i="40"/>
  <c r="AV17" i="40" s="1"/>
  <c r="AT18" i="40"/>
  <c r="AV18" i="40" s="1"/>
  <c r="AT19" i="40"/>
  <c r="AV19" i="40" s="1"/>
  <c r="AT20" i="40"/>
  <c r="AV20" i="40" s="1"/>
  <c r="AT21" i="40"/>
  <c r="AV21" i="40" s="1"/>
  <c r="AT22" i="40"/>
  <c r="AV22" i="40" s="1"/>
  <c r="AT23" i="40"/>
  <c r="AV23" i="40" s="1"/>
  <c r="AT24" i="40"/>
  <c r="AV24" i="40" s="1"/>
  <c r="AT25" i="40"/>
  <c r="AV25" i="40" s="1"/>
  <c r="AT26" i="40"/>
  <c r="AV26" i="40" s="1"/>
  <c r="AT27" i="40"/>
  <c r="AV27" i="40" s="1"/>
  <c r="AT28" i="40"/>
  <c r="AV28" i="40" s="1"/>
  <c r="AT29" i="40"/>
  <c r="AV29" i="40" s="1"/>
  <c r="AT30" i="40"/>
  <c r="AV30" i="40" s="1"/>
  <c r="AT31" i="40"/>
  <c r="AV31" i="40" s="1"/>
  <c r="AU2" i="40"/>
  <c r="AT2" i="40"/>
  <c r="AL32" i="39"/>
  <c r="L646" i="5"/>
  <c r="AN32" i="39"/>
  <c r="K4" i="9" s="1"/>
  <c r="AK32" i="39"/>
  <c r="AQ3" i="39"/>
  <c r="AS3" i="39" s="1"/>
  <c r="AQ4" i="39"/>
  <c r="AS4" i="39" s="1"/>
  <c r="AQ5" i="39"/>
  <c r="AS5" i="39" s="1"/>
  <c r="AQ6" i="39"/>
  <c r="AS6" i="39" s="1"/>
  <c r="AQ7" i="39"/>
  <c r="AQ8" i="39"/>
  <c r="AS8" i="39" s="1"/>
  <c r="AQ9" i="39"/>
  <c r="AS9" i="39" s="1"/>
  <c r="AQ10" i="39"/>
  <c r="AS10" i="39" s="1"/>
  <c r="AQ11" i="39"/>
  <c r="AS11" i="39" s="1"/>
  <c r="AQ12" i="39"/>
  <c r="AS12" i="39" s="1"/>
  <c r="AQ13" i="39"/>
  <c r="AS13" i="39" s="1"/>
  <c r="AQ14" i="39"/>
  <c r="AS14" i="39" s="1"/>
  <c r="AQ15" i="39"/>
  <c r="AS15" i="39" s="1"/>
  <c r="AQ16" i="39"/>
  <c r="AS16" i="39" s="1"/>
  <c r="AQ17" i="39"/>
  <c r="AS17" i="39" s="1"/>
  <c r="AQ18" i="39"/>
  <c r="AS18" i="39" s="1"/>
  <c r="AQ19" i="39"/>
  <c r="AS19" i="39" s="1"/>
  <c r="AQ20" i="39"/>
  <c r="AS20" i="39" s="1"/>
  <c r="AQ21" i="39"/>
  <c r="AS21" i="39" s="1"/>
  <c r="AQ22" i="39"/>
  <c r="AS22" i="39" s="1"/>
  <c r="AQ23" i="39"/>
  <c r="AS23" i="39" s="1"/>
  <c r="AQ24" i="39"/>
  <c r="AS24" i="39" s="1"/>
  <c r="AQ25" i="39"/>
  <c r="AS25" i="39" s="1"/>
  <c r="AQ26" i="39"/>
  <c r="AS26" i="39" s="1"/>
  <c r="AQ27" i="39"/>
  <c r="AS27" i="39" s="1"/>
  <c r="AQ28" i="39"/>
  <c r="AS28" i="39" s="1"/>
  <c r="AQ29" i="39"/>
  <c r="AS29" i="39" s="1"/>
  <c r="AQ30" i="39"/>
  <c r="AS30" i="39" s="1"/>
  <c r="AQ31" i="39"/>
  <c r="AS31" i="39" s="1"/>
  <c r="AR3" i="39"/>
  <c r="AR4" i="39"/>
  <c r="AR5" i="39"/>
  <c r="AR6" i="39"/>
  <c r="AR7" i="39"/>
  <c r="AR8" i="39"/>
  <c r="AR9" i="39"/>
  <c r="AR10" i="39"/>
  <c r="AR11" i="39"/>
  <c r="AR12" i="39"/>
  <c r="AR13" i="39"/>
  <c r="AR14" i="39"/>
  <c r="AR15" i="39"/>
  <c r="AR16" i="39"/>
  <c r="AR17" i="39"/>
  <c r="AR18" i="39"/>
  <c r="AR19" i="39"/>
  <c r="AR20" i="39"/>
  <c r="AR21" i="39"/>
  <c r="AR22" i="39"/>
  <c r="AR23" i="39"/>
  <c r="AR24" i="39"/>
  <c r="AR25" i="39"/>
  <c r="AR26" i="39"/>
  <c r="AR27" i="39"/>
  <c r="AR28" i="39"/>
  <c r="AR29" i="39"/>
  <c r="AR30" i="39"/>
  <c r="AR31" i="39"/>
  <c r="AS7" i="39"/>
  <c r="AV3" i="39"/>
  <c r="AV4" i="39"/>
  <c r="AV6" i="39"/>
  <c r="AV7" i="39"/>
  <c r="AV8" i="39"/>
  <c r="AV9" i="39"/>
  <c r="AV13" i="39"/>
  <c r="AV14" i="39"/>
  <c r="AV15" i="39"/>
  <c r="AV18" i="39"/>
  <c r="AV19" i="39"/>
  <c r="AV22" i="39"/>
  <c r="AV23" i="39"/>
  <c r="AV25" i="39"/>
  <c r="AV26" i="39"/>
  <c r="AV27" i="39"/>
  <c r="AV29" i="39"/>
  <c r="AV30" i="39"/>
  <c r="AU3" i="39"/>
  <c r="AU4" i="39"/>
  <c r="AU6" i="39"/>
  <c r="AU7" i="39"/>
  <c r="AU8" i="39"/>
  <c r="AU9" i="39"/>
  <c r="AU13" i="39"/>
  <c r="AU14" i="39"/>
  <c r="AU15" i="39"/>
  <c r="AU18" i="39"/>
  <c r="AU19" i="39"/>
  <c r="AU22" i="39"/>
  <c r="AU23" i="39"/>
  <c r="AU25" i="39"/>
  <c r="AU26" i="39"/>
  <c r="AU27" i="39"/>
  <c r="AU29" i="39"/>
  <c r="AU30" i="39"/>
  <c r="AT3" i="39"/>
  <c r="AT4" i="39"/>
  <c r="AT5" i="39"/>
  <c r="AT6" i="39"/>
  <c r="AT7" i="39"/>
  <c r="AT8" i="39"/>
  <c r="AT9" i="39"/>
  <c r="AT10" i="39"/>
  <c r="AT11" i="39"/>
  <c r="AT12" i="39"/>
  <c r="AT13" i="39"/>
  <c r="AT14" i="39"/>
  <c r="AT15" i="39"/>
  <c r="AT16" i="39"/>
  <c r="AT17" i="39"/>
  <c r="AT18" i="39"/>
  <c r="AT19" i="39"/>
  <c r="AT20" i="39"/>
  <c r="AT21" i="39"/>
  <c r="AT22" i="39"/>
  <c r="AT23" i="39"/>
  <c r="AT24" i="39"/>
  <c r="AT25" i="39"/>
  <c r="AT26" i="39"/>
  <c r="AT27" i="39"/>
  <c r="AT28" i="39"/>
  <c r="AT29" i="39"/>
  <c r="AT30" i="39"/>
  <c r="AT31" i="39"/>
  <c r="AT2" i="39"/>
  <c r="AR2" i="39"/>
  <c r="AQ2" i="39"/>
  <c r="AS2" i="39" s="1"/>
  <c r="AX3" i="19"/>
  <c r="AW3" i="19"/>
  <c r="AW2" i="19"/>
  <c r="BD3" i="38"/>
  <c r="BD4" i="38" s="1"/>
  <c r="BA3" i="38"/>
  <c r="BC3" i="38" s="1"/>
  <c r="BA2" i="38"/>
  <c r="BC2" i="38" s="1"/>
  <c r="AV4" i="38"/>
  <c r="AQ3" i="38"/>
  <c r="AQ2" i="38"/>
  <c r="AM4" i="38"/>
  <c r="AK4" i="38"/>
  <c r="AP3" i="38"/>
  <c r="AR3" i="38" s="1"/>
  <c r="AP2" i="38"/>
  <c r="AR2" i="38" s="1"/>
  <c r="AR19" i="46"/>
  <c r="AT19" i="46" s="1"/>
  <c r="AP32" i="46"/>
  <c r="AR4" i="46"/>
  <c r="AR5" i="46"/>
  <c r="AR6" i="46"/>
  <c r="AR7" i="46"/>
  <c r="AT7" i="46" s="1"/>
  <c r="AR8" i="46"/>
  <c r="AT8" i="46" s="1"/>
  <c r="AR9" i="46"/>
  <c r="AT9" i="46" s="1"/>
  <c r="AR10" i="46"/>
  <c r="AT10" i="46" s="1"/>
  <c r="AR11" i="46"/>
  <c r="AT11" i="46" s="1"/>
  <c r="AR12" i="46"/>
  <c r="AT12" i="46" s="1"/>
  <c r="AR13" i="46"/>
  <c r="AT13" i="46" s="1"/>
  <c r="AR14" i="46"/>
  <c r="AR15" i="46"/>
  <c r="AT15" i="46" s="1"/>
  <c r="AR16" i="46"/>
  <c r="AT16" i="46" s="1"/>
  <c r="AR17" i="46"/>
  <c r="AT17" i="46" s="1"/>
  <c r="AR18" i="46"/>
  <c r="AT18" i="46" s="1"/>
  <c r="AR20" i="46"/>
  <c r="AT20" i="46" s="1"/>
  <c r="AR21" i="46"/>
  <c r="AT21" i="46" s="1"/>
  <c r="AR22" i="46"/>
  <c r="AT22" i="46" s="1"/>
  <c r="AR23" i="46"/>
  <c r="AT23" i="46" s="1"/>
  <c r="AR24" i="46"/>
  <c r="AT24" i="46" s="1"/>
  <c r="AR25" i="46"/>
  <c r="AT25" i="46" s="1"/>
  <c r="AR26" i="46"/>
  <c r="AT26" i="46" s="1"/>
  <c r="AR27" i="46"/>
  <c r="AT27" i="46" s="1"/>
  <c r="AR28" i="46"/>
  <c r="AT28" i="46" s="1"/>
  <c r="AR29" i="46"/>
  <c r="AT29" i="46" s="1"/>
  <c r="AR30" i="46"/>
  <c r="AT30" i="46" s="1"/>
  <c r="AR31" i="46"/>
  <c r="AT31" i="46" s="1"/>
  <c r="AT4" i="46"/>
  <c r="AT5" i="46"/>
  <c r="AT14" i="46"/>
  <c r="E14" i="9"/>
  <c r="AS30" i="46"/>
  <c r="AS31" i="46"/>
  <c r="AS3" i="46"/>
  <c r="AS4" i="46"/>
  <c r="AS5" i="46"/>
  <c r="AS6" i="46"/>
  <c r="AS7" i="46"/>
  <c r="AS8" i="46"/>
  <c r="AS9" i="46"/>
  <c r="AS10" i="46"/>
  <c r="AS11" i="46"/>
  <c r="AS12" i="46"/>
  <c r="AS13" i="46"/>
  <c r="AS14" i="46"/>
  <c r="AS15" i="46"/>
  <c r="AS16" i="46"/>
  <c r="AS17" i="46"/>
  <c r="AS18" i="46"/>
  <c r="AS19" i="46"/>
  <c r="AS20" i="46"/>
  <c r="AS21" i="46"/>
  <c r="AS22" i="46"/>
  <c r="AS23" i="46"/>
  <c r="AS24" i="46"/>
  <c r="AS25" i="46"/>
  <c r="AS26" i="46"/>
  <c r="AS27" i="46"/>
  <c r="AS28" i="46"/>
  <c r="AS29" i="46"/>
  <c r="AR3" i="46"/>
  <c r="AT3" i="46" s="1"/>
  <c r="AS2" i="46"/>
  <c r="AR2" i="46"/>
  <c r="AT2" i="46" s="1"/>
  <c r="AM4" i="42"/>
  <c r="BE3" i="44"/>
  <c r="BA2" i="44"/>
  <c r="BE2" i="44"/>
  <c r="BD2" i="44" s="1"/>
  <c r="BC2" i="44"/>
  <c r="AZ2" i="44"/>
  <c r="BB2" i="44" s="1"/>
  <c r="AO3" i="42"/>
  <c r="AO2" i="42"/>
  <c r="L788" i="5"/>
  <c r="X8" i="19"/>
  <c r="J75" i="37"/>
  <c r="J74" i="37"/>
  <c r="J73" i="37"/>
  <c r="J72" i="37"/>
  <c r="J71" i="37"/>
  <c r="J70" i="37"/>
  <c r="J69" i="37"/>
  <c r="J68" i="37"/>
  <c r="J67" i="37"/>
  <c r="J66" i="37"/>
  <c r="J64" i="37"/>
  <c r="J63" i="37"/>
  <c r="J62" i="37"/>
  <c r="J61" i="37"/>
  <c r="I74" i="37"/>
  <c r="H74" i="37"/>
  <c r="H75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L73" i="37"/>
  <c r="L71" i="37"/>
  <c r="L69" i="37"/>
  <c r="L60" i="37"/>
  <c r="J60" i="37"/>
  <c r="I60" i="37"/>
  <c r="G71" i="37"/>
  <c r="G70" i="37"/>
  <c r="G69" i="37"/>
  <c r="G67" i="37"/>
  <c r="G61" i="37"/>
  <c r="E71" i="37"/>
  <c r="E70" i="37"/>
  <c r="D75" i="37"/>
  <c r="D74" i="37"/>
  <c r="D73" i="37"/>
  <c r="D72" i="37"/>
  <c r="D70" i="37"/>
  <c r="D69" i="37"/>
  <c r="D67" i="37"/>
  <c r="D66" i="37"/>
  <c r="D63" i="37"/>
  <c r="D62" i="37"/>
  <c r="D60" i="37"/>
  <c r="C75" i="37"/>
  <c r="C74" i="37"/>
  <c r="C73" i="37"/>
  <c r="C72" i="37"/>
  <c r="C71" i="37"/>
  <c r="C70" i="37"/>
  <c r="C68" i="37"/>
  <c r="C67" i="37"/>
  <c r="C66" i="37"/>
  <c r="C65" i="37"/>
  <c r="C64" i="37"/>
  <c r="C63" i="37"/>
  <c r="C62" i="37"/>
  <c r="C61" i="37"/>
  <c r="C60" i="37"/>
  <c r="L48" i="37"/>
  <c r="L46" i="37"/>
  <c r="L44" i="37"/>
  <c r="J50" i="37"/>
  <c r="J49" i="37"/>
  <c r="J48" i="37"/>
  <c r="J47" i="37"/>
  <c r="J46" i="37"/>
  <c r="J45" i="37"/>
  <c r="J44" i="37"/>
  <c r="J43" i="37"/>
  <c r="J42" i="37"/>
  <c r="J41" i="37"/>
  <c r="J39" i="37"/>
  <c r="J38" i="37"/>
  <c r="J37" i="37"/>
  <c r="J36" i="37"/>
  <c r="I49" i="37"/>
  <c r="H50" i="37"/>
  <c r="H49" i="37"/>
  <c r="H48" i="37"/>
  <c r="H47" i="37"/>
  <c r="H46" i="37"/>
  <c r="H45" i="37"/>
  <c r="H44" i="37"/>
  <c r="H43" i="37"/>
  <c r="H42" i="37"/>
  <c r="H41" i="37"/>
  <c r="H40" i="37"/>
  <c r="H39" i="37"/>
  <c r="H38" i="37"/>
  <c r="H37" i="37"/>
  <c r="H36" i="37"/>
  <c r="G46" i="37"/>
  <c r="G45" i="37"/>
  <c r="G44" i="37"/>
  <c r="G42" i="37"/>
  <c r="G36" i="37"/>
  <c r="L35" i="37"/>
  <c r="E46" i="37"/>
  <c r="E45" i="37"/>
  <c r="J35" i="37"/>
  <c r="I35" i="37"/>
  <c r="D37" i="37"/>
  <c r="D50" i="37"/>
  <c r="D49" i="37"/>
  <c r="D48" i="37"/>
  <c r="D47" i="37"/>
  <c r="D45" i="37"/>
  <c r="D44" i="37"/>
  <c r="D42" i="37"/>
  <c r="D41" i="37"/>
  <c r="D38" i="37"/>
  <c r="D35" i="37"/>
  <c r="C50" i="37"/>
  <c r="C49" i="37"/>
  <c r="C48" i="37"/>
  <c r="C47" i="37"/>
  <c r="C46" i="37"/>
  <c r="C45" i="37"/>
  <c r="C43" i="37"/>
  <c r="C42" i="37"/>
  <c r="C41" i="37"/>
  <c r="C40" i="37"/>
  <c r="C39" i="37"/>
  <c r="C38" i="37"/>
  <c r="C37" i="37"/>
  <c r="C36" i="37"/>
  <c r="C35" i="37"/>
  <c r="B18" i="37"/>
  <c r="B17" i="37"/>
  <c r="L17" i="37" s="1"/>
  <c r="B16" i="37"/>
  <c r="B15" i="37"/>
  <c r="L15" i="37" s="1"/>
  <c r="B14" i="37"/>
  <c r="B13" i="37"/>
  <c r="L13" i="37" s="1"/>
  <c r="B12" i="37"/>
  <c r="B11" i="37"/>
  <c r="B10" i="37"/>
  <c r="B9" i="37"/>
  <c r="B8" i="37"/>
  <c r="B7" i="37"/>
  <c r="B6" i="37"/>
  <c r="B5" i="37"/>
  <c r="B4" i="37"/>
  <c r="B3" i="37"/>
  <c r="H3" i="37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BZ22" i="40" l="1"/>
  <c r="BZ14" i="40"/>
  <c r="AU32" i="39"/>
  <c r="O4" i="9" s="1"/>
  <c r="BN32" i="43"/>
  <c r="BM32" i="43" s="1"/>
  <c r="AP32" i="39"/>
  <c r="M4" i="9" s="1"/>
  <c r="L32" i="39"/>
  <c r="Q32" i="39"/>
  <c r="J4" i="9" s="1"/>
  <c r="N4" i="9" s="1"/>
  <c r="BM2" i="43"/>
  <c r="BH32" i="43" s="1"/>
  <c r="K8" i="9" s="1"/>
  <c r="BD3" i="44"/>
  <c r="J29" i="49"/>
  <c r="J31" i="49"/>
  <c r="J40" i="49"/>
  <c r="M10" i="49"/>
  <c r="M41" i="49"/>
  <c r="M35" i="49"/>
  <c r="G43" i="49"/>
  <c r="J43" i="49"/>
  <c r="J33" i="49"/>
  <c r="D29" i="49"/>
  <c r="E29" i="49" s="1"/>
  <c r="M29" i="49"/>
  <c r="D43" i="49"/>
  <c r="J35" i="49"/>
  <c r="M6" i="49"/>
  <c r="M11" i="49"/>
  <c r="G29" i="49"/>
  <c r="M40" i="49"/>
  <c r="D40" i="49"/>
  <c r="G40" i="49"/>
  <c r="L31" i="49"/>
  <c r="M31" i="49" s="1"/>
  <c r="L30" i="49"/>
  <c r="I42" i="49"/>
  <c r="J42" i="49" s="1"/>
  <c r="I41" i="49"/>
  <c r="J41" i="49" s="1"/>
  <c r="DV14" i="51"/>
  <c r="F41" i="49"/>
  <c r="G41" i="49" s="1"/>
  <c r="DS14" i="51"/>
  <c r="F42" i="49"/>
  <c r="G42" i="49" s="1"/>
  <c r="J11" i="49"/>
  <c r="B34" i="49"/>
  <c r="B36" i="49"/>
  <c r="B30" i="49"/>
  <c r="B38" i="49"/>
  <c r="B21" i="49"/>
  <c r="G23" i="49"/>
  <c r="B22" i="49"/>
  <c r="G22" i="49"/>
  <c r="G24" i="49"/>
  <c r="B23" i="49"/>
  <c r="B24" i="49"/>
  <c r="G21" i="49"/>
  <c r="M7" i="49"/>
  <c r="J10" i="49"/>
  <c r="D7" i="49"/>
  <c r="D6" i="49"/>
  <c r="D10" i="49"/>
  <c r="M9" i="49"/>
  <c r="D5" i="49"/>
  <c r="D9" i="49"/>
  <c r="E14" i="49"/>
  <c r="M12" i="49"/>
  <c r="J16" i="49"/>
  <c r="I14" i="49"/>
  <c r="F22" i="49" s="1"/>
  <c r="P6" i="49"/>
  <c r="P12" i="49"/>
  <c r="P7" i="49"/>
  <c r="P11" i="49"/>
  <c r="P5" i="49"/>
  <c r="P9" i="49"/>
  <c r="P3" i="49"/>
  <c r="N14" i="49"/>
  <c r="K14" i="49"/>
  <c r="H14" i="49"/>
  <c r="B14" i="49"/>
  <c r="O14" i="49"/>
  <c r="L14" i="49"/>
  <c r="F23" i="49" s="1"/>
  <c r="F14" i="49"/>
  <c r="G14" i="49" s="1"/>
  <c r="C14" i="49"/>
  <c r="CU56" i="45"/>
  <c r="CU54" i="45"/>
  <c r="CW52" i="45"/>
  <c r="CV52" i="45" s="1"/>
  <c r="CJ52" i="45" a="1"/>
  <c r="CJ52" i="45" s="1"/>
  <c r="CR50" i="45"/>
  <c r="CF49" i="45" a="1"/>
  <c r="CF49" i="45" s="1"/>
  <c r="CR49" i="45"/>
  <c r="CU47" i="45"/>
  <c r="CU46" i="45"/>
  <c r="CW46" i="45"/>
  <c r="CV46" i="45" s="1"/>
  <c r="CU44" i="45"/>
  <c r="CW44" i="45"/>
  <c r="CV44" i="45" s="1"/>
  <c r="CW41" i="45"/>
  <c r="CV41" i="45" s="1"/>
  <c r="CU38" i="45"/>
  <c r="CR36" i="45"/>
  <c r="CU35" i="45"/>
  <c r="CW35" i="45"/>
  <c r="CV35" i="45" s="1"/>
  <c r="CU34" i="45"/>
  <c r="CW34" i="45"/>
  <c r="CV34" i="45" s="1"/>
  <c r="CR34" i="45"/>
  <c r="CR31" i="45"/>
  <c r="CT31" i="45"/>
  <c r="CS31" i="45" s="1"/>
  <c r="CW28" i="45"/>
  <c r="CV28" i="45" s="1"/>
  <c r="CR27" i="45"/>
  <c r="CT19" i="45"/>
  <c r="CS19" i="45" s="1"/>
  <c r="CT18" i="45"/>
  <c r="CS18" i="45" s="1"/>
  <c r="CU16" i="45"/>
  <c r="CW16" i="45"/>
  <c r="CV16" i="45" s="1"/>
  <c r="CR15" i="45"/>
  <c r="CT15" i="45"/>
  <c r="CS15" i="45" s="1"/>
  <c r="CR13" i="45"/>
  <c r="CT13" i="45"/>
  <c r="CS13" i="45" s="1"/>
  <c r="CJ12" i="45" a="1"/>
  <c r="CJ12" i="45" s="1"/>
  <c r="CU12" i="45"/>
  <c r="CR11" i="45"/>
  <c r="CF10" i="45" a="1"/>
  <c r="CF10" i="45" s="1"/>
  <c r="CI59" i="45" s="1"/>
  <c r="CU8" i="45"/>
  <c r="CW8" i="45"/>
  <c r="CV8" i="45" s="1"/>
  <c r="CR6" i="45"/>
  <c r="CT6" i="45"/>
  <c r="CS6" i="45" s="1"/>
  <c r="CW5" i="45"/>
  <c r="CV5" i="45" s="1"/>
  <c r="CJ5" i="45" a="1"/>
  <c r="CJ5" i="45" s="1"/>
  <c r="AD60" i="45"/>
  <c r="Q69" i="45"/>
  <c r="P13" i="9" s="1"/>
  <c r="CN60" i="45"/>
  <c r="Q13" i="9" s="1"/>
  <c r="CU2" i="45"/>
  <c r="CF59" i="45"/>
  <c r="R12" i="9" s="1"/>
  <c r="CT2" i="45"/>
  <c r="CS2" i="45" s="1"/>
  <c r="CU31" i="45"/>
  <c r="CU27" i="45"/>
  <c r="CU23" i="45"/>
  <c r="CW27" i="45"/>
  <c r="CV27" i="45" s="1"/>
  <c r="CW23" i="45"/>
  <c r="CV23" i="45" s="1"/>
  <c r="CT50" i="45"/>
  <c r="CS50" i="45" s="1"/>
  <c r="CF47" i="45" a="1"/>
  <c r="CF47" i="45" s="1"/>
  <c r="CR3" i="45"/>
  <c r="CT3" i="45"/>
  <c r="CS3" i="45" s="1"/>
  <c r="CR55" i="45"/>
  <c r="CR51" i="45"/>
  <c r="CR47" i="45"/>
  <c r="CR43" i="45"/>
  <c r="CR39" i="45"/>
  <c r="CT51" i="45"/>
  <c r="CS51" i="45" s="1"/>
  <c r="CT43" i="45"/>
  <c r="CS43" i="45" s="1"/>
  <c r="BX55" i="45"/>
  <c r="BW55" i="45" s="1"/>
  <c r="BX47" i="45"/>
  <c r="BW47" i="45" s="1"/>
  <c r="BX27" i="45"/>
  <c r="BW27" i="45" s="1"/>
  <c r="BX5" i="45"/>
  <c r="BW5" i="45" s="1"/>
  <c r="BX21" i="45"/>
  <c r="BW21" i="45" s="1"/>
  <c r="BY15" i="45"/>
  <c r="BY11" i="45"/>
  <c r="CA29" i="45"/>
  <c r="BZ29" i="45" s="1"/>
  <c r="BY37" i="45"/>
  <c r="BY25" i="45"/>
  <c r="CA19" i="45"/>
  <c r="BZ19" i="45" s="1"/>
  <c r="CA33" i="45"/>
  <c r="BZ33" i="45" s="1"/>
  <c r="BY33" i="45"/>
  <c r="CA15" i="45"/>
  <c r="BZ15" i="45" s="1"/>
  <c r="CA25" i="45"/>
  <c r="BZ25" i="45" s="1"/>
  <c r="BV11" i="45"/>
  <c r="BX24" i="45"/>
  <c r="BW24" i="45" s="1"/>
  <c r="BX20" i="45"/>
  <c r="BW20" i="45" s="1"/>
  <c r="BY43" i="45"/>
  <c r="BX25" i="45"/>
  <c r="BW25" i="45" s="1"/>
  <c r="CA26" i="45"/>
  <c r="BZ26" i="45" s="1"/>
  <c r="BH8" i="45" a="1"/>
  <c r="BH8" i="45" s="1"/>
  <c r="BL23" i="45" a="1"/>
  <c r="BL23" i="45" s="1"/>
  <c r="BL20" i="45" a="1"/>
  <c r="BL20" i="45" s="1"/>
  <c r="BL17" i="45" a="1"/>
  <c r="BL17" i="45" s="1"/>
  <c r="BL12" i="45" a="1"/>
  <c r="BL12" i="45" s="1"/>
  <c r="BL4" i="45" a="1"/>
  <c r="BL4" i="45" s="1"/>
  <c r="BL41" i="45" a="1"/>
  <c r="BL41" i="45" s="1"/>
  <c r="BL37" i="45" a="1"/>
  <c r="BL37" i="45" s="1"/>
  <c r="BL28" i="45" a="1"/>
  <c r="BL28" i="45" s="1"/>
  <c r="BL56" i="45" a="1"/>
  <c r="BL56" i="45" s="1"/>
  <c r="BL51" i="45" a="1"/>
  <c r="BL51" i="45" s="1"/>
  <c r="BL26" i="45" a="1"/>
  <c r="BL26" i="45" s="1"/>
  <c r="BL22" i="45" a="1"/>
  <c r="BL22" i="45" s="1"/>
  <c r="BL19" i="45" a="1"/>
  <c r="BL19" i="45" s="1"/>
  <c r="BL14" i="45" a="1"/>
  <c r="BL14" i="45" s="1"/>
  <c r="BL6" i="45" a="1"/>
  <c r="BL6" i="45" s="1"/>
  <c r="BL40" i="45" a="1"/>
  <c r="BL40" i="45" s="1"/>
  <c r="BL36" i="45" a="1"/>
  <c r="BL36" i="45" s="1"/>
  <c r="BL45" i="45" a="1"/>
  <c r="BL45" i="45" s="1"/>
  <c r="BH16" i="45" a="1"/>
  <c r="BH16" i="45" s="1"/>
  <c r="BH33" i="45" a="1"/>
  <c r="BH33" i="45" s="1"/>
  <c r="BH57" i="45" a="1"/>
  <c r="BH57" i="45" s="1"/>
  <c r="BL16" i="45" a="1"/>
  <c r="BL16" i="45" s="1"/>
  <c r="BL8" i="45" a="1"/>
  <c r="BL8" i="45" s="1"/>
  <c r="BL39" i="45" a="1"/>
  <c r="BL39" i="45" s="1"/>
  <c r="BL35" i="45" a="1"/>
  <c r="BL35" i="45" s="1"/>
  <c r="BL32" i="45" a="1"/>
  <c r="BL32" i="45" s="1"/>
  <c r="BL55" i="45" a="1"/>
  <c r="BL55" i="45" s="1"/>
  <c r="BL52" i="45" a="1"/>
  <c r="BL52" i="45" s="1"/>
  <c r="BL47" i="45" a="1"/>
  <c r="BL47" i="45" s="1"/>
  <c r="BL44" i="45" a="1"/>
  <c r="BL44" i="45" s="1"/>
  <c r="BH13" i="45" a="1"/>
  <c r="BH13" i="45" s="1"/>
  <c r="BL24" i="45" a="1"/>
  <c r="BL24" i="45" s="1"/>
  <c r="BL18" i="45" a="1"/>
  <c r="BL18" i="45" s="1"/>
  <c r="BL10" i="45" a="1"/>
  <c r="BL10" i="45" s="1"/>
  <c r="BL7" i="45" a="1"/>
  <c r="BL7" i="45" s="1"/>
  <c r="BL38" i="45" a="1"/>
  <c r="BL38" i="45" s="1"/>
  <c r="BL34" i="45" a="1"/>
  <c r="BL34" i="45" s="1"/>
  <c r="BL57" i="45" a="1"/>
  <c r="BL57" i="45" s="1"/>
  <c r="BH36" i="45" a="1"/>
  <c r="BH36" i="45" s="1"/>
  <c r="BH28" i="45" a="1"/>
  <c r="BH28" i="45" s="1"/>
  <c r="BV28" i="45"/>
  <c r="BX44" i="45"/>
  <c r="BW44" i="45" s="1"/>
  <c r="BX36" i="45"/>
  <c r="BW36" i="45" s="1"/>
  <c r="BX23" i="45"/>
  <c r="BW23" i="45" s="1"/>
  <c r="BX19" i="45"/>
  <c r="BW19" i="45" s="1"/>
  <c r="BH19" i="45" a="1"/>
  <c r="BH19" i="45" s="1"/>
  <c r="BH15" i="45" a="1"/>
  <c r="BH15" i="45" s="1"/>
  <c r="BH10" i="45" a="1"/>
  <c r="BH10" i="45" s="1"/>
  <c r="BH7" i="45" a="1"/>
  <c r="BH7" i="45" s="1"/>
  <c r="BH38" i="45" a="1"/>
  <c r="BH38" i="45" s="1"/>
  <c r="BH35" i="45" a="1"/>
  <c r="BH35" i="45" s="1"/>
  <c r="BH30" i="45" a="1"/>
  <c r="BH30" i="45" s="1"/>
  <c r="BH22" i="45" a="1"/>
  <c r="BH22" i="45" s="1"/>
  <c r="BH48" i="45" a="1"/>
  <c r="BH48" i="45" s="1"/>
  <c r="BH51" i="45" a="1"/>
  <c r="BH51" i="45" s="1"/>
  <c r="BV23" i="45"/>
  <c r="BX52" i="45"/>
  <c r="BW52" i="45" s="1"/>
  <c r="AO59" i="45"/>
  <c r="F11" i="9" s="1"/>
  <c r="BH18" i="45" a="1"/>
  <c r="BH18" i="45" s="1"/>
  <c r="BH12" i="45" a="1"/>
  <c r="BH12" i="45" s="1"/>
  <c r="BH9" i="45" a="1"/>
  <c r="BH9" i="45" s="1"/>
  <c r="BH4" i="45" a="1"/>
  <c r="BH4" i="45" s="1"/>
  <c r="BH37" i="45" a="1"/>
  <c r="BH37" i="45" s="1"/>
  <c r="BH32" i="45" a="1"/>
  <c r="BH32" i="45" s="1"/>
  <c r="BH42" i="45" a="1"/>
  <c r="BH42" i="45" s="1"/>
  <c r="BH53" i="45" a="1"/>
  <c r="BH53" i="45" s="1"/>
  <c r="BH50" i="45" a="1"/>
  <c r="BH50" i="45" s="1"/>
  <c r="BF59" i="45"/>
  <c r="L11" i="9" s="1"/>
  <c r="BH2" i="45" a="1"/>
  <c r="BH2" i="45" s="1"/>
  <c r="BH17" i="45" a="1"/>
  <c r="BH17" i="45" s="1"/>
  <c r="BH14" i="45" a="1"/>
  <c r="BH14" i="45" s="1"/>
  <c r="BH11" i="45" a="1"/>
  <c r="BH11" i="45" s="1"/>
  <c r="BH6" i="45" a="1"/>
  <c r="BH6" i="45" s="1"/>
  <c r="BH3" i="45" a="1"/>
  <c r="BH3" i="45" s="1"/>
  <c r="BH34" i="45" a="1"/>
  <c r="BH34" i="45" s="1"/>
  <c r="BH31" i="45" a="1"/>
  <c r="BH31" i="45" s="1"/>
  <c r="BH26" i="45" a="1"/>
  <c r="BH26" i="45" s="1"/>
  <c r="BH49" i="45" a="1"/>
  <c r="BH49" i="45" s="1"/>
  <c r="AQ60" i="45"/>
  <c r="F12" i="9" s="1"/>
  <c r="J11" i="9"/>
  <c r="K11" i="9"/>
  <c r="N8" i="9"/>
  <c r="H5" i="9"/>
  <c r="CA55" i="45"/>
  <c r="BZ55" i="45" s="1"/>
  <c r="BX8" i="45"/>
  <c r="BW8" i="45" s="1"/>
  <c r="BY38" i="45"/>
  <c r="BV53" i="45"/>
  <c r="CA41" i="45"/>
  <c r="BZ41" i="45" s="1"/>
  <c r="BY17" i="45"/>
  <c r="BY10" i="45"/>
  <c r="BY18" i="45"/>
  <c r="BY22" i="45"/>
  <c r="BY6" i="45"/>
  <c r="BV57" i="45"/>
  <c r="BX49" i="45"/>
  <c r="BW49" i="45" s="1"/>
  <c r="BY14" i="45"/>
  <c r="BY39" i="45"/>
  <c r="CA54" i="45"/>
  <c r="BZ54" i="45" s="1"/>
  <c r="CA46" i="45"/>
  <c r="BZ46" i="45" s="1"/>
  <c r="CA42" i="45"/>
  <c r="BZ42" i="45" s="1"/>
  <c r="BX2" i="45"/>
  <c r="BW2" i="45" s="1"/>
  <c r="CA11" i="45"/>
  <c r="BZ11" i="45" s="1"/>
  <c r="CA36" i="45"/>
  <c r="BZ36" i="45" s="1"/>
  <c r="CA32" i="45"/>
  <c r="BZ32" i="45" s="1"/>
  <c r="CA24" i="45"/>
  <c r="BZ24" i="45" s="1"/>
  <c r="CA23" i="45"/>
  <c r="BZ23" i="45" s="1"/>
  <c r="CA56" i="45"/>
  <c r="BZ56" i="45" s="1"/>
  <c r="CA40" i="45"/>
  <c r="BZ40" i="45" s="1"/>
  <c r="BX18" i="45"/>
  <c r="BW18" i="45" s="1"/>
  <c r="BX14" i="45"/>
  <c r="BW14" i="45" s="1"/>
  <c r="BX26" i="45"/>
  <c r="BW26" i="45" s="1"/>
  <c r="BX22" i="45"/>
  <c r="BW22" i="45" s="1"/>
  <c r="BX10" i="45"/>
  <c r="BW10" i="45" s="1"/>
  <c r="CA9" i="45"/>
  <c r="BZ9" i="45" s="1"/>
  <c r="BM35" i="43"/>
  <c r="BH34" i="46"/>
  <c r="BB32" i="46"/>
  <c r="BH32" i="46" s="1"/>
  <c r="BY30" i="45"/>
  <c r="BY48" i="45"/>
  <c r="F10" i="9"/>
  <c r="BY31" i="45"/>
  <c r="BY20" i="45"/>
  <c r="BY49" i="45"/>
  <c r="BY35" i="45"/>
  <c r="BY53" i="45"/>
  <c r="BY57" i="45"/>
  <c r="BY16" i="45"/>
  <c r="BY12" i="45"/>
  <c r="BY8" i="45"/>
  <c r="BY4" i="45"/>
  <c r="BY21" i="45"/>
  <c r="BY28" i="45"/>
  <c r="BY50" i="45"/>
  <c r="BY7" i="45"/>
  <c r="BY5" i="45"/>
  <c r="BV5" i="45"/>
  <c r="BV7" i="45"/>
  <c r="BV56" i="45"/>
  <c r="BV52" i="45"/>
  <c r="BV55" i="45"/>
  <c r="BV51" i="45"/>
  <c r="BV54" i="45"/>
  <c r="BV50" i="45"/>
  <c r="BV39" i="45"/>
  <c r="BV35" i="45"/>
  <c r="BV31" i="45"/>
  <c r="BV27" i="45"/>
  <c r="BV46" i="45"/>
  <c r="BV42" i="45"/>
  <c r="BV38" i="45"/>
  <c r="BV34" i="45"/>
  <c r="BV30" i="45"/>
  <c r="BV45" i="45"/>
  <c r="BV41" i="45"/>
  <c r="BV37" i="45"/>
  <c r="BV33" i="45"/>
  <c r="BV29" i="45"/>
  <c r="BV48" i="45"/>
  <c r="BV44" i="45"/>
  <c r="BV40" i="45"/>
  <c r="BV17" i="45"/>
  <c r="BV13" i="45"/>
  <c r="BV9" i="45"/>
  <c r="BV25" i="45"/>
  <c r="BV21" i="45"/>
  <c r="BV20" i="45"/>
  <c r="BV16" i="45"/>
  <c r="BV12" i="45"/>
  <c r="BV24" i="45"/>
  <c r="BV6" i="45"/>
  <c r="BV4" i="45"/>
  <c r="BV3" i="45"/>
  <c r="BY3" i="45"/>
  <c r="BY2" i="45"/>
  <c r="D11" i="9"/>
  <c r="AT59" i="45"/>
  <c r="E11" i="9" s="1"/>
  <c r="BA15" i="45" a="1"/>
  <c r="BA15" i="45" s="1"/>
  <c r="AZ15" i="45" s="1"/>
  <c r="BA10" i="45" a="1"/>
  <c r="BA10" i="45" s="1"/>
  <c r="AZ10" i="45" s="1"/>
  <c r="BA23" i="45" a="1"/>
  <c r="BA23" i="45" s="1"/>
  <c r="AZ23" i="45" s="1"/>
  <c r="BA28" i="45" a="1"/>
  <c r="BA28" i="45" s="1"/>
  <c r="AZ28" i="45" s="1"/>
  <c r="BA25" i="45" a="1"/>
  <c r="BA25" i="45" s="1"/>
  <c r="AZ25" i="45" s="1"/>
  <c r="BA40" i="45" a="1"/>
  <c r="BA40" i="45" s="1"/>
  <c r="AZ40" i="45" s="1"/>
  <c r="BA38" i="45" a="1"/>
  <c r="BA38" i="45" s="1"/>
  <c r="AZ38" i="45" s="1"/>
  <c r="BA51" i="45" a="1"/>
  <c r="BA51" i="45" s="1"/>
  <c r="AZ51" i="45" s="1"/>
  <c r="BA48" i="45" a="1"/>
  <c r="BA48" i="45" s="1"/>
  <c r="AZ48" i="45" s="1"/>
  <c r="BA43" i="45" a="1"/>
  <c r="BA43" i="45" s="1"/>
  <c r="AZ43" i="45" s="1"/>
  <c r="BA55" i="45" a="1"/>
  <c r="BA55" i="45" s="1"/>
  <c r="AZ55" i="45" s="1"/>
  <c r="BA52" i="45" a="1"/>
  <c r="BA52" i="45" s="1"/>
  <c r="AZ52" i="45" s="1"/>
  <c r="BA50" i="45" a="1"/>
  <c r="BA50" i="45" s="1"/>
  <c r="AZ50" i="45" s="1"/>
  <c r="BA54" i="45" a="1"/>
  <c r="BA54" i="45" s="1"/>
  <c r="AZ54" i="45" s="1"/>
  <c r="BA33" i="45" a="1"/>
  <c r="BA33" i="45" s="1"/>
  <c r="AZ33" i="45" s="1"/>
  <c r="BA30" i="45" a="1"/>
  <c r="BA30" i="45" s="1"/>
  <c r="AZ30" i="45" s="1"/>
  <c r="O9" i="9"/>
  <c r="BB2" i="40"/>
  <c r="BQ32" i="40"/>
  <c r="BO32" i="40"/>
  <c r="BV24" i="40"/>
  <c r="BP32" i="40"/>
  <c r="BN32" i="40"/>
  <c r="BV20" i="40"/>
  <c r="BV4" i="40"/>
  <c r="BZ28" i="40"/>
  <c r="BB25" i="40"/>
  <c r="BB21" i="40"/>
  <c r="BB17" i="40"/>
  <c r="BB13" i="40"/>
  <c r="BB9" i="40"/>
  <c r="BB5" i="40"/>
  <c r="BF26" i="40"/>
  <c r="BF22" i="40"/>
  <c r="BF18" i="40"/>
  <c r="BF14" i="40"/>
  <c r="BF10" i="40"/>
  <c r="BF6" i="40"/>
  <c r="BB28" i="40"/>
  <c r="BB24" i="40"/>
  <c r="BB20" i="40"/>
  <c r="BB16" i="40"/>
  <c r="BB12" i="40"/>
  <c r="BB8" i="40"/>
  <c r="BB4" i="40"/>
  <c r="BB4" i="38"/>
  <c r="N14" i="9"/>
  <c r="N9" i="9"/>
  <c r="O8" i="9"/>
  <c r="AR23" i="41"/>
  <c r="AT23" i="41"/>
  <c r="AS23" i="41"/>
  <c r="AQ23" i="41"/>
  <c r="BZ26" i="40"/>
  <c r="BZ13" i="40"/>
  <c r="BZ8" i="40"/>
  <c r="BZ10" i="40"/>
  <c r="BV31" i="40"/>
  <c r="BZ31" i="40"/>
  <c r="BV27" i="40"/>
  <c r="BV26" i="40"/>
  <c r="BZ25" i="40"/>
  <c r="BV25" i="40"/>
  <c r="BZ24" i="40"/>
  <c r="BV23" i="40"/>
  <c r="BZ23" i="40"/>
  <c r="BV22" i="40"/>
  <c r="BZ21" i="40"/>
  <c r="BV21" i="40"/>
  <c r="BZ20" i="40"/>
  <c r="BZ19" i="40"/>
  <c r="BV19" i="40"/>
  <c r="BV18" i="40"/>
  <c r="BZ18" i="40"/>
  <c r="BZ17" i="40"/>
  <c r="BV17" i="40"/>
  <c r="BV16" i="40"/>
  <c r="BZ16" i="40"/>
  <c r="BV14" i="40"/>
  <c r="BV13" i="40"/>
  <c r="BZ11" i="40"/>
  <c r="BV11" i="40"/>
  <c r="BV10" i="40"/>
  <c r="BV9" i="40"/>
  <c r="BV8" i="40"/>
  <c r="BZ7" i="40"/>
  <c r="BV7" i="40"/>
  <c r="BV6" i="40"/>
  <c r="BZ6" i="40"/>
  <c r="BZ5" i="40"/>
  <c r="BZ32" i="40" s="1"/>
  <c r="BV5" i="40"/>
  <c r="BV32" i="40" s="1"/>
  <c r="O5" i="9" s="1"/>
  <c r="BZ4" i="40"/>
  <c r="BZ3" i="40"/>
  <c r="BV3" i="40"/>
  <c r="BB31" i="40"/>
  <c r="BB27" i="40"/>
  <c r="BB23" i="40"/>
  <c r="BB19" i="40"/>
  <c r="BB11" i="40"/>
  <c r="BB7" i="40"/>
  <c r="BB3" i="40"/>
  <c r="BF2" i="40"/>
  <c r="BF28" i="40"/>
  <c r="BF24" i="40"/>
  <c r="BF20" i="40"/>
  <c r="BF16" i="40"/>
  <c r="BF12" i="40"/>
  <c r="BF8" i="40"/>
  <c r="BF4" i="40"/>
  <c r="BB26" i="40"/>
  <c r="BB22" i="40"/>
  <c r="BB18" i="40"/>
  <c r="BB14" i="40"/>
  <c r="BB10" i="40"/>
  <c r="BB6" i="40"/>
  <c r="AU32" i="40"/>
  <c r="AX32" i="40"/>
  <c r="AW32" i="40"/>
  <c r="AT32" i="40"/>
  <c r="AV2" i="40"/>
  <c r="AV32" i="40" s="1"/>
  <c r="AT32" i="39"/>
  <c r="AR32" i="39"/>
  <c r="AS32" i="39"/>
  <c r="AQ32" i="39"/>
  <c r="BC4" i="38"/>
  <c r="BA4" i="38"/>
  <c r="AT6" i="46"/>
  <c r="L10" i="37"/>
  <c r="L14" i="37"/>
  <c r="L18" i="37"/>
  <c r="L5" i="37"/>
  <c r="L6" i="37"/>
  <c r="L7" i="37"/>
  <c r="L3" i="37"/>
  <c r="L4" i="37"/>
  <c r="L9" i="37"/>
  <c r="L11" i="37"/>
  <c r="L12" i="37"/>
  <c r="L8" i="37"/>
  <c r="L16" i="37"/>
  <c r="B22" i="37"/>
  <c r="H22" i="37"/>
  <c r="O15" i="9" l="1"/>
  <c r="BB32" i="40"/>
  <c r="I5" i="9" s="1"/>
  <c r="I15" i="9" s="1"/>
  <c r="C21" i="49"/>
  <c r="J34" i="49"/>
  <c r="M34" i="49"/>
  <c r="F21" i="49"/>
  <c r="H21" i="49" s="1"/>
  <c r="F24" i="49"/>
  <c r="H24" i="49" s="1"/>
  <c r="H22" i="49"/>
  <c r="J38" i="49"/>
  <c r="M38" i="49"/>
  <c r="D38" i="49"/>
  <c r="J30" i="49"/>
  <c r="G30" i="49"/>
  <c r="D30" i="49"/>
  <c r="M30" i="49"/>
  <c r="H23" i="49"/>
  <c r="M36" i="49"/>
  <c r="D36" i="49"/>
  <c r="J36" i="49"/>
  <c r="C24" i="49"/>
  <c r="C22" i="49"/>
  <c r="C23" i="49"/>
  <c r="D14" i="49"/>
  <c r="D16" i="49"/>
  <c r="M16" i="49"/>
  <c r="J14" i="49"/>
  <c r="M14" i="49"/>
  <c r="P16" i="49"/>
  <c r="T13" i="9"/>
  <c r="CJ60" i="45"/>
  <c r="R13" i="9" s="1"/>
  <c r="CM60" i="45"/>
  <c r="CV60" i="45" s="1"/>
  <c r="U13" i="9" s="1"/>
  <c r="AC60" i="45"/>
  <c r="CS59" i="45" s="1"/>
  <c r="U12" i="9" s="1"/>
  <c r="Q68" i="45"/>
  <c r="P12" i="9" s="1"/>
  <c r="CN59" i="45"/>
  <c r="Q12" i="9" s="1"/>
  <c r="Q67" i="45"/>
  <c r="P10" i="9" s="1"/>
  <c r="CN58" i="45"/>
  <c r="Q10" i="9" s="1"/>
  <c r="BO61" i="45"/>
  <c r="BK60" i="45"/>
  <c r="BL61" i="45"/>
  <c r="L13" i="9" s="1"/>
  <c r="L12" i="9"/>
  <c r="J13" i="9"/>
  <c r="J12" i="9"/>
  <c r="K12" i="9"/>
  <c r="K10" i="9"/>
  <c r="N11" i="9"/>
  <c r="J10" i="9"/>
  <c r="O11" i="9"/>
  <c r="K13" i="9"/>
  <c r="N13" i="9" s="1"/>
  <c r="H11" i="9"/>
  <c r="O14" i="9"/>
  <c r="AT58" i="45"/>
  <c r="E10" i="9" s="1"/>
  <c r="I11" i="9"/>
  <c r="AT60" i="45"/>
  <c r="E12" i="9" s="1"/>
  <c r="D12" i="9"/>
  <c r="D10" i="9"/>
  <c r="AS60" i="45"/>
  <c r="BF32" i="40"/>
  <c r="L22" i="37"/>
  <c r="T10" i="9" l="1"/>
  <c r="T15" i="9" s="1"/>
  <c r="T12" i="9"/>
  <c r="N10" i="9"/>
  <c r="N15" i="9" s="1"/>
  <c r="BZ61" i="45"/>
  <c r="O13" i="9" s="1"/>
  <c r="BW60" i="45"/>
  <c r="O12" i="9" s="1"/>
  <c r="N12" i="9"/>
  <c r="H10" i="9"/>
  <c r="H15" i="9" s="1"/>
  <c r="H12" i="9"/>
  <c r="AZ60" i="45"/>
  <c r="I12" i="9" s="1"/>
  <c r="AH4" i="36"/>
  <c r="AH5" i="36"/>
  <c r="AH6" i="36"/>
  <c r="AH7" i="36"/>
  <c r="AH8" i="36"/>
  <c r="AH9" i="36"/>
  <c r="AH10" i="36"/>
  <c r="AH11" i="36"/>
  <c r="AH12" i="36"/>
  <c r="AH13" i="36"/>
  <c r="AH14" i="36"/>
  <c r="AH15" i="36"/>
  <c r="AH16" i="36"/>
  <c r="AH17" i="36"/>
  <c r="AH18" i="36"/>
  <c r="AH19" i="36"/>
  <c r="AH20" i="36"/>
  <c r="AH21" i="36"/>
  <c r="AH22" i="36"/>
  <c r="AH23" i="36"/>
  <c r="AH24" i="36"/>
  <c r="AH25" i="36"/>
  <c r="AH26" i="36"/>
  <c r="AH27" i="36"/>
  <c r="AH28" i="36"/>
  <c r="AH29" i="36"/>
  <c r="AH30" i="36"/>
  <c r="AH31" i="36"/>
  <c r="AH32" i="36"/>
  <c r="AH33" i="36"/>
  <c r="AH34" i="36"/>
  <c r="AH35" i="36"/>
  <c r="AH36" i="36"/>
  <c r="AH37" i="36"/>
  <c r="AH38" i="36"/>
  <c r="AH39" i="36"/>
  <c r="AH40" i="36"/>
  <c r="AH41" i="36"/>
  <c r="AH42" i="36"/>
  <c r="AH43" i="36"/>
  <c r="AH44" i="36"/>
  <c r="AH45" i="36"/>
  <c r="AH46" i="36"/>
  <c r="AH47" i="36"/>
  <c r="AH48" i="36"/>
  <c r="AH49" i="36"/>
  <c r="AH50" i="36"/>
  <c r="AH51" i="36"/>
  <c r="AH52" i="36"/>
  <c r="AH53" i="36"/>
  <c r="AH54" i="36"/>
  <c r="AH55" i="36"/>
  <c r="AH56" i="36"/>
  <c r="AH57" i="36"/>
  <c r="AH58" i="36"/>
  <c r="AH59" i="36"/>
  <c r="AH60" i="36"/>
  <c r="AH61" i="36"/>
  <c r="AH62" i="36"/>
  <c r="AH63" i="36"/>
  <c r="AH64" i="36"/>
  <c r="AH65" i="36"/>
  <c r="AH66" i="36"/>
  <c r="AH67" i="36"/>
  <c r="AH68" i="36"/>
  <c r="AH69" i="36"/>
  <c r="AH70" i="36"/>
  <c r="AH71" i="36"/>
  <c r="AH72" i="36"/>
  <c r="AH73" i="36"/>
  <c r="AH74" i="36"/>
  <c r="AH75" i="36"/>
  <c r="AH76" i="36"/>
  <c r="AH77" i="36"/>
  <c r="AH78" i="36"/>
  <c r="AH79" i="36"/>
  <c r="AH80" i="36"/>
  <c r="AH81" i="36"/>
  <c r="AH82" i="36"/>
  <c r="AH83" i="36"/>
  <c r="AH84" i="36"/>
  <c r="AH85" i="36"/>
  <c r="AH86" i="36"/>
  <c r="AH87" i="36"/>
  <c r="AH88" i="36"/>
  <c r="AH89" i="36"/>
  <c r="AH90" i="36"/>
  <c r="AH91" i="36"/>
  <c r="AH92" i="36"/>
  <c r="AH93" i="36"/>
  <c r="AH94" i="36"/>
  <c r="AH95" i="36"/>
  <c r="AH96" i="36"/>
  <c r="AH97" i="36"/>
  <c r="AH98" i="36"/>
  <c r="AH99" i="36"/>
  <c r="AH100" i="36"/>
  <c r="AH101" i="36"/>
  <c r="AH102" i="36"/>
  <c r="AH103" i="36"/>
  <c r="AH104" i="36"/>
  <c r="AH105" i="36"/>
  <c r="AH106" i="36"/>
  <c r="AH107" i="36"/>
  <c r="AH108" i="36"/>
  <c r="AH109" i="36"/>
  <c r="AH110" i="36"/>
  <c r="AH111" i="36"/>
  <c r="AH112" i="36"/>
  <c r="AH113" i="36"/>
  <c r="AH114" i="36"/>
  <c r="AH115" i="36"/>
  <c r="AH116" i="36"/>
  <c r="AH117" i="36"/>
  <c r="AH118" i="36"/>
  <c r="AH119" i="36"/>
  <c r="AH120" i="36"/>
  <c r="AH121" i="36"/>
  <c r="AH122" i="36"/>
  <c r="AH123" i="36"/>
  <c r="AH124" i="36"/>
  <c r="AH125" i="36"/>
  <c r="AH126" i="36"/>
  <c r="AH127" i="36"/>
  <c r="AH128" i="36"/>
  <c r="AH129" i="36"/>
  <c r="AH130" i="36"/>
  <c r="AH131" i="36"/>
  <c r="AH132" i="36"/>
  <c r="AH133" i="36"/>
  <c r="AH134" i="36"/>
  <c r="AH135" i="36"/>
  <c r="AH136" i="36"/>
  <c r="AH137" i="36"/>
  <c r="AH138" i="36"/>
  <c r="AH139" i="36"/>
  <c r="AH140" i="36"/>
  <c r="AH141" i="36"/>
  <c r="AH142" i="36"/>
  <c r="AH143" i="36"/>
  <c r="AH144" i="36"/>
  <c r="AH145" i="36"/>
  <c r="AH146" i="36"/>
  <c r="AH147" i="36"/>
  <c r="AH148" i="36"/>
  <c r="AH149" i="36"/>
  <c r="AH150" i="36"/>
  <c r="AH151" i="36"/>
  <c r="AH152" i="36"/>
  <c r="AH153" i="36"/>
  <c r="AH154" i="36"/>
  <c r="AH155" i="36"/>
  <c r="AH156" i="36"/>
  <c r="AH157" i="36"/>
  <c r="AH158" i="36"/>
  <c r="AH159" i="36"/>
  <c r="AH160" i="36"/>
  <c r="AH161" i="36"/>
  <c r="AH162" i="36"/>
  <c r="AH163" i="36"/>
  <c r="AH164" i="36"/>
  <c r="AH165" i="36"/>
  <c r="AH166" i="36"/>
  <c r="AH167" i="36"/>
  <c r="AH168" i="36"/>
  <c r="AH169" i="36"/>
  <c r="AH170" i="36"/>
  <c r="AH171" i="36"/>
  <c r="AH172" i="36"/>
  <c r="AH173" i="36"/>
  <c r="AH174" i="36"/>
  <c r="AH175" i="36"/>
  <c r="AH176" i="36"/>
  <c r="AH177" i="36"/>
  <c r="AH178" i="36"/>
  <c r="AH179" i="36"/>
  <c r="AH180" i="36"/>
  <c r="AH181" i="36"/>
  <c r="AH182" i="36"/>
  <c r="AH183" i="36"/>
  <c r="AH184" i="36"/>
  <c r="AH185" i="36"/>
  <c r="AH186" i="36"/>
  <c r="AH187" i="36"/>
  <c r="AH188" i="36"/>
  <c r="AH189" i="36"/>
  <c r="AH190" i="36"/>
  <c r="AH191" i="36"/>
  <c r="AH192" i="36"/>
  <c r="AH193" i="36"/>
  <c r="AH194" i="36"/>
  <c r="AH195" i="36"/>
  <c r="AH196" i="36"/>
  <c r="AH197" i="36"/>
  <c r="AH198" i="36"/>
  <c r="AH199" i="36"/>
  <c r="AH200" i="36"/>
  <c r="AH201" i="36"/>
  <c r="AH202" i="36"/>
  <c r="AH203" i="36"/>
  <c r="AH204" i="36"/>
  <c r="AH205" i="36"/>
  <c r="AH206" i="36"/>
  <c r="AH207" i="36"/>
  <c r="AH208" i="36"/>
  <c r="AH209" i="36"/>
  <c r="AH210" i="36"/>
  <c r="AH211" i="36"/>
  <c r="AH212" i="36"/>
  <c r="AH213" i="36"/>
  <c r="AH214" i="36"/>
  <c r="AH215" i="36"/>
  <c r="AH216" i="36"/>
  <c r="AH217" i="36"/>
  <c r="AH218" i="36"/>
  <c r="AH219" i="36"/>
  <c r="AH220" i="36"/>
  <c r="AH221" i="36"/>
  <c r="AH222" i="36"/>
  <c r="AH223" i="36"/>
  <c r="AH224" i="36"/>
  <c r="AH225" i="36"/>
  <c r="AH226" i="36"/>
  <c r="AH227" i="36"/>
  <c r="AH228" i="36"/>
  <c r="AH229" i="36"/>
  <c r="AH230" i="36"/>
  <c r="AH231" i="36"/>
  <c r="AH232" i="36"/>
  <c r="AH233" i="36"/>
  <c r="AH234" i="36"/>
  <c r="AH235" i="36"/>
  <c r="AH236" i="36"/>
  <c r="AH237" i="36"/>
  <c r="AH238" i="36"/>
  <c r="AH239" i="36"/>
  <c r="AH240" i="36"/>
  <c r="AH241" i="36"/>
  <c r="AH242" i="36"/>
  <c r="AH243" i="36"/>
  <c r="AH244" i="36"/>
  <c r="AH245" i="36"/>
  <c r="AH246" i="36"/>
  <c r="AH247" i="36"/>
  <c r="AH248" i="36"/>
  <c r="AH249" i="36"/>
  <c r="AH250" i="36"/>
  <c r="AH251" i="36"/>
  <c r="AH252" i="36"/>
  <c r="AH253" i="36"/>
  <c r="AH254" i="36"/>
  <c r="AH255" i="36"/>
  <c r="AH256" i="36"/>
  <c r="AH257" i="36"/>
  <c r="AH258" i="36"/>
  <c r="AH259" i="36"/>
  <c r="AH260" i="36"/>
  <c r="AH261" i="36"/>
  <c r="AH262" i="36"/>
  <c r="AH263" i="36"/>
  <c r="AH264" i="36"/>
  <c r="AH265" i="36"/>
  <c r="AH266" i="36"/>
  <c r="AH267" i="36"/>
  <c r="AH268" i="36"/>
  <c r="AH269" i="36"/>
  <c r="AH270" i="36"/>
  <c r="AH271" i="36"/>
  <c r="AH272" i="36"/>
  <c r="AH273" i="36"/>
  <c r="AH274" i="36"/>
  <c r="AH275" i="36"/>
  <c r="AH276" i="36"/>
  <c r="AH277" i="36"/>
  <c r="AH278" i="36"/>
  <c r="AH279" i="36"/>
  <c r="AH280" i="36"/>
  <c r="AH281" i="36"/>
  <c r="AH282" i="36"/>
  <c r="AH283" i="36"/>
  <c r="AH284" i="36"/>
  <c r="AH285" i="36"/>
  <c r="AH286" i="36"/>
  <c r="AH287" i="36"/>
  <c r="AH288" i="36"/>
  <c r="AH289" i="36"/>
  <c r="AH290" i="36"/>
  <c r="AH291" i="36"/>
  <c r="AH292" i="36"/>
  <c r="AH293" i="36"/>
  <c r="AH294" i="36"/>
  <c r="AH295" i="36"/>
  <c r="AH296" i="36"/>
  <c r="AH297" i="36"/>
  <c r="AH298" i="36"/>
  <c r="AH299" i="36"/>
  <c r="AH300" i="36"/>
  <c r="AH301" i="36"/>
  <c r="AH302" i="36"/>
  <c r="AH303" i="36"/>
  <c r="AH304" i="36"/>
  <c r="AH305" i="36"/>
  <c r="AH306" i="36"/>
  <c r="AH307" i="36"/>
  <c r="AH308" i="36"/>
  <c r="AH309" i="36"/>
  <c r="AH310" i="36"/>
  <c r="AH311" i="36"/>
  <c r="AH312" i="36"/>
  <c r="AH313" i="36"/>
  <c r="AH314" i="36"/>
  <c r="AH315" i="36"/>
  <c r="AH316" i="36"/>
  <c r="AH317" i="36"/>
  <c r="AH318" i="36"/>
  <c r="AH319" i="36"/>
  <c r="AH320" i="36"/>
  <c r="AH321" i="36"/>
  <c r="AH322" i="36"/>
  <c r="AH323" i="36"/>
  <c r="AH324" i="36"/>
  <c r="AH325" i="36"/>
  <c r="AH326" i="36"/>
  <c r="AH327" i="36"/>
  <c r="AH328" i="36"/>
  <c r="AH329" i="36"/>
  <c r="AH330" i="36"/>
  <c r="AH331" i="36"/>
  <c r="AH332" i="36"/>
  <c r="AH333" i="36"/>
  <c r="AH334" i="36"/>
  <c r="AH335" i="36"/>
  <c r="AH336" i="36"/>
  <c r="AH337" i="36"/>
  <c r="AH338" i="36"/>
  <c r="AH339" i="36"/>
  <c r="AH340" i="36"/>
  <c r="AH341" i="36"/>
  <c r="AH342" i="36"/>
  <c r="AH343" i="36"/>
  <c r="G64" i="37" s="1"/>
  <c r="AH344" i="36"/>
  <c r="G75" i="37" s="1"/>
  <c r="AH345" i="36"/>
  <c r="AH346" i="36"/>
  <c r="AH347" i="36"/>
  <c r="AH348" i="36"/>
  <c r="G68" i="37" s="1"/>
  <c r="AH349" i="36"/>
  <c r="G74" i="37" s="1"/>
  <c r="AH350" i="36"/>
  <c r="G60" i="37" s="1"/>
  <c r="AH351" i="36"/>
  <c r="G73" i="37" s="1"/>
  <c r="AH352" i="36"/>
  <c r="AH353" i="36"/>
  <c r="AH354" i="36"/>
  <c r="AH355" i="36"/>
  <c r="AH356" i="36"/>
  <c r="AH357" i="36"/>
  <c r="AH358" i="36"/>
  <c r="AH359" i="36"/>
  <c r="AH360" i="36"/>
  <c r="AH361" i="36"/>
  <c r="AH362" i="36"/>
  <c r="AH363" i="36"/>
  <c r="AH364" i="36"/>
  <c r="AH365" i="36"/>
  <c r="AH366" i="36"/>
  <c r="AH367" i="36"/>
  <c r="AH368" i="36"/>
  <c r="AH369" i="36"/>
  <c r="AH370" i="36"/>
  <c r="AH371" i="36"/>
  <c r="AH372" i="36"/>
  <c r="AH373" i="36"/>
  <c r="AH374" i="36"/>
  <c r="AH375" i="36"/>
  <c r="AH376" i="36"/>
  <c r="AH377" i="36"/>
  <c r="AH378" i="36"/>
  <c r="AH379" i="36"/>
  <c r="AH380" i="36"/>
  <c r="AH381" i="36"/>
  <c r="AH382" i="36"/>
  <c r="AH383" i="36"/>
  <c r="AH384" i="36"/>
  <c r="AH385" i="36"/>
  <c r="AH386" i="36"/>
  <c r="AH387" i="36"/>
  <c r="I64" i="37" s="1"/>
  <c r="AH388" i="36"/>
  <c r="AH389" i="36"/>
  <c r="AH390" i="36"/>
  <c r="AH391" i="36"/>
  <c r="AH392" i="36"/>
  <c r="AH393" i="36"/>
  <c r="AH394" i="36"/>
  <c r="AH395" i="36"/>
  <c r="I67" i="37" s="1"/>
  <c r="AH396" i="36"/>
  <c r="AH397" i="36"/>
  <c r="AH398" i="36"/>
  <c r="AH399" i="36"/>
  <c r="AH400" i="36"/>
  <c r="AH401" i="36"/>
  <c r="AH402" i="36"/>
  <c r="AH403" i="36"/>
  <c r="AH404" i="36"/>
  <c r="AH405" i="36"/>
  <c r="AH406" i="36"/>
  <c r="AH407" i="36"/>
  <c r="AH408" i="36"/>
  <c r="AH409" i="36"/>
  <c r="AH410" i="36"/>
  <c r="AH411" i="36"/>
  <c r="AH412" i="36"/>
  <c r="AH413" i="36"/>
  <c r="AH414" i="36"/>
  <c r="AH415" i="36"/>
  <c r="AH416" i="36"/>
  <c r="AH417" i="36"/>
  <c r="AH418" i="36"/>
  <c r="AH419" i="36"/>
  <c r="AH420" i="36"/>
  <c r="AH421" i="36"/>
  <c r="AH422" i="36"/>
  <c r="AH423" i="36"/>
  <c r="AH424" i="36"/>
  <c r="AH425" i="36"/>
  <c r="AH426" i="36"/>
  <c r="AH427" i="36"/>
  <c r="AH428" i="36"/>
  <c r="AH429" i="36"/>
  <c r="AH430" i="36"/>
  <c r="AH431" i="36"/>
  <c r="AH432" i="36"/>
  <c r="AH433" i="36"/>
  <c r="AH434" i="36"/>
  <c r="AH435" i="36"/>
  <c r="AH436" i="36"/>
  <c r="AH437" i="36"/>
  <c r="AH438" i="36"/>
  <c r="AH439" i="36"/>
  <c r="AH440" i="36"/>
  <c r="AH441" i="36"/>
  <c r="AH442" i="36"/>
  <c r="AH443" i="36"/>
  <c r="AH444" i="36"/>
  <c r="AH445" i="36"/>
  <c r="AH446" i="36"/>
  <c r="AH447" i="36"/>
  <c r="AH448" i="36"/>
  <c r="AH449" i="36"/>
  <c r="AH450" i="36"/>
  <c r="AH451" i="36"/>
  <c r="AH452" i="36"/>
  <c r="AH453" i="36"/>
  <c r="AH454" i="36"/>
  <c r="AH455" i="36"/>
  <c r="AH456" i="36"/>
  <c r="AH457" i="36"/>
  <c r="AH458" i="36"/>
  <c r="AH459" i="36"/>
  <c r="AH460" i="36"/>
  <c r="AH461" i="36"/>
  <c r="AH462" i="36"/>
  <c r="AH463" i="36"/>
  <c r="AH464" i="36"/>
  <c r="AH465" i="36"/>
  <c r="AH466" i="36"/>
  <c r="AH467" i="36"/>
  <c r="AH468" i="36"/>
  <c r="AH469" i="36"/>
  <c r="AH470" i="36"/>
  <c r="AH471" i="36"/>
  <c r="AH472" i="36"/>
  <c r="AH473" i="36"/>
  <c r="AH474" i="36"/>
  <c r="AH475" i="36"/>
  <c r="AH476" i="36"/>
  <c r="AH477" i="36"/>
  <c r="AH478" i="36"/>
  <c r="AH479" i="36"/>
  <c r="AH480" i="36"/>
  <c r="AH481" i="36"/>
  <c r="AH482" i="36"/>
  <c r="AH483" i="36"/>
  <c r="AH484" i="36"/>
  <c r="AH485" i="36"/>
  <c r="AH486" i="36"/>
  <c r="AH487" i="36"/>
  <c r="AH488" i="36"/>
  <c r="AH489" i="36"/>
  <c r="AH490" i="36"/>
  <c r="AH491" i="36"/>
  <c r="AH492" i="36"/>
  <c r="AH493" i="36"/>
  <c r="AH494" i="36"/>
  <c r="AH495" i="36"/>
  <c r="AH496" i="36"/>
  <c r="AH497" i="36"/>
  <c r="AH498" i="36"/>
  <c r="AH499" i="36"/>
  <c r="AH500" i="36"/>
  <c r="AH501" i="36"/>
  <c r="AH502" i="36"/>
  <c r="AH503" i="36"/>
  <c r="AH504" i="36"/>
  <c r="AH505" i="36"/>
  <c r="AH506" i="36"/>
  <c r="AH507" i="36"/>
  <c r="AH508" i="36"/>
  <c r="AH509" i="36"/>
  <c r="AH510" i="36"/>
  <c r="AH511" i="36"/>
  <c r="AH512" i="36"/>
  <c r="AH513" i="36"/>
  <c r="AH514" i="36"/>
  <c r="AH515" i="36"/>
  <c r="AH516" i="36"/>
  <c r="AH517" i="36"/>
  <c r="AH518" i="36"/>
  <c r="AH519" i="36"/>
  <c r="AH520" i="36"/>
  <c r="AH521" i="36"/>
  <c r="AH522" i="36"/>
  <c r="AH523" i="36"/>
  <c r="AH524" i="36"/>
  <c r="AH525" i="36"/>
  <c r="AH526" i="36"/>
  <c r="AH527" i="36"/>
  <c r="AH528" i="36"/>
  <c r="AH529" i="36"/>
  <c r="AH530" i="36"/>
  <c r="AH531" i="36"/>
  <c r="AH532" i="36"/>
  <c r="AH533" i="36"/>
  <c r="AH534" i="36"/>
  <c r="AH535" i="36"/>
  <c r="AH536" i="36"/>
  <c r="AH537" i="36"/>
  <c r="AH538" i="36"/>
  <c r="AH539" i="36"/>
  <c r="AH540" i="36"/>
  <c r="AH541" i="36"/>
  <c r="AH542" i="36"/>
  <c r="AH543" i="36"/>
  <c r="AH544" i="36"/>
  <c r="AH545" i="36"/>
  <c r="AH546" i="36"/>
  <c r="AH547" i="36"/>
  <c r="AH548" i="36"/>
  <c r="AH549" i="36"/>
  <c r="AH550" i="36"/>
  <c r="AH551" i="36"/>
  <c r="AH552" i="36"/>
  <c r="AH553" i="36"/>
  <c r="AH554" i="36"/>
  <c r="AH555" i="36"/>
  <c r="AH556" i="36"/>
  <c r="AH557" i="36"/>
  <c r="AH558" i="36"/>
  <c r="AH559" i="36"/>
  <c r="AH560" i="36"/>
  <c r="AH561" i="36"/>
  <c r="AH562" i="36"/>
  <c r="AH563" i="36"/>
  <c r="AH564" i="36"/>
  <c r="AH565" i="36"/>
  <c r="AH566" i="36"/>
  <c r="AH567" i="36"/>
  <c r="AH568" i="36"/>
  <c r="AH569" i="36"/>
  <c r="AH570" i="36"/>
  <c r="AH571" i="36"/>
  <c r="AH572" i="36"/>
  <c r="AH573" i="36"/>
  <c r="AH574" i="36"/>
  <c r="AH575" i="36"/>
  <c r="AH576" i="36"/>
  <c r="AH577" i="36"/>
  <c r="AH578" i="36"/>
  <c r="AH579" i="36"/>
  <c r="AH580" i="36"/>
  <c r="AH581" i="36"/>
  <c r="AH582" i="36"/>
  <c r="AH583" i="36"/>
  <c r="AH584" i="36"/>
  <c r="AH585" i="36"/>
  <c r="AH586" i="36"/>
  <c r="AH587" i="36"/>
  <c r="AH588" i="36"/>
  <c r="AH589" i="36"/>
  <c r="AH590" i="36"/>
  <c r="AH591" i="36"/>
  <c r="AH592" i="36"/>
  <c r="AH593" i="36"/>
  <c r="AH594" i="36"/>
  <c r="AH595" i="36"/>
  <c r="AH596" i="36"/>
  <c r="AH597" i="36"/>
  <c r="AH598" i="36"/>
  <c r="AH599" i="36"/>
  <c r="AH600" i="36"/>
  <c r="AH601" i="36"/>
  <c r="AH602" i="36"/>
  <c r="AH603" i="36"/>
  <c r="AH604" i="36"/>
  <c r="AH605" i="36"/>
  <c r="AH606" i="36"/>
  <c r="AH607" i="36"/>
  <c r="AH608" i="36"/>
  <c r="AH609" i="36"/>
  <c r="AH610" i="36"/>
  <c r="AH611" i="36"/>
  <c r="AH612" i="36"/>
  <c r="AH613" i="36"/>
  <c r="AH614" i="36"/>
  <c r="AH615" i="36"/>
  <c r="AH616" i="36"/>
  <c r="AH617" i="36"/>
  <c r="AH618" i="36"/>
  <c r="AH619" i="36"/>
  <c r="AH620" i="36"/>
  <c r="AH621" i="36"/>
  <c r="AH622" i="36"/>
  <c r="AH623" i="36"/>
  <c r="AH624" i="36"/>
  <c r="AH625" i="36"/>
  <c r="AH626" i="36"/>
  <c r="AH627" i="36"/>
  <c r="AH628" i="36"/>
  <c r="AH629" i="36"/>
  <c r="AH630" i="36"/>
  <c r="AH631" i="36"/>
  <c r="AH632" i="36"/>
  <c r="AH633" i="36"/>
  <c r="AH634" i="36"/>
  <c r="AH635" i="36"/>
  <c r="AH636" i="36"/>
  <c r="AH637" i="36"/>
  <c r="AH638" i="36"/>
  <c r="AH639" i="36"/>
  <c r="AH640" i="36"/>
  <c r="AH641" i="36"/>
  <c r="AH642" i="36"/>
  <c r="AH643" i="36"/>
  <c r="AH644" i="36"/>
  <c r="AH645" i="36"/>
  <c r="AH646" i="36"/>
  <c r="AH647" i="36"/>
  <c r="AH648" i="36"/>
  <c r="AH649" i="36"/>
  <c r="AH650" i="36"/>
  <c r="AH651" i="36"/>
  <c r="AH652" i="36"/>
  <c r="AH653" i="36"/>
  <c r="AH654" i="36"/>
  <c r="AH655" i="36"/>
  <c r="AH656" i="36"/>
  <c r="AH657" i="36"/>
  <c r="AH658" i="36"/>
  <c r="AH659" i="36"/>
  <c r="AH660" i="36"/>
  <c r="AH661" i="36"/>
  <c r="AH662" i="36"/>
  <c r="AH663" i="36"/>
  <c r="AH664" i="36"/>
  <c r="AH665" i="36"/>
  <c r="AH666" i="36"/>
  <c r="AH667" i="36"/>
  <c r="AH668" i="36"/>
  <c r="AH669" i="36"/>
  <c r="AH670" i="36"/>
  <c r="AH671" i="36"/>
  <c r="AH672" i="36"/>
  <c r="AH673" i="36"/>
  <c r="AH674" i="36"/>
  <c r="AH675" i="36"/>
  <c r="AH676" i="36"/>
  <c r="AH677" i="36"/>
  <c r="AH678" i="36"/>
  <c r="AH679" i="36"/>
  <c r="AH680" i="36"/>
  <c r="AH681" i="36"/>
  <c r="AH682" i="36"/>
  <c r="AH683" i="36"/>
  <c r="AH684" i="36"/>
  <c r="AH685" i="36"/>
  <c r="AH686" i="36"/>
  <c r="AH687" i="36"/>
  <c r="AH688" i="36"/>
  <c r="AH689" i="36"/>
  <c r="AH690" i="36"/>
  <c r="AH691" i="36"/>
  <c r="AH692" i="36"/>
  <c r="AH693" i="36"/>
  <c r="AH694" i="36"/>
  <c r="AH695" i="36"/>
  <c r="AH696" i="36"/>
  <c r="AH697" i="36"/>
  <c r="AH698" i="36"/>
  <c r="AH699" i="36"/>
  <c r="AH700" i="36"/>
  <c r="AH701" i="36"/>
  <c r="AH702" i="36"/>
  <c r="AH703" i="36"/>
  <c r="AH704" i="36"/>
  <c r="AH705" i="36"/>
  <c r="AH706" i="36"/>
  <c r="AH707" i="36"/>
  <c r="AH708" i="36"/>
  <c r="AH709" i="36"/>
  <c r="AH710" i="36"/>
  <c r="AH711" i="36"/>
  <c r="AH712" i="36"/>
  <c r="AH713" i="36"/>
  <c r="AH714" i="36"/>
  <c r="AH715" i="36"/>
  <c r="AH716" i="36"/>
  <c r="AH717" i="36"/>
  <c r="AH718" i="36"/>
  <c r="AH719" i="36"/>
  <c r="AH720" i="36"/>
  <c r="AH721" i="36"/>
  <c r="AH722" i="36"/>
  <c r="AH723" i="36"/>
  <c r="AH724" i="36"/>
  <c r="AH725" i="36"/>
  <c r="AH726" i="36"/>
  <c r="AH727" i="36"/>
  <c r="AH728" i="36"/>
  <c r="AH729" i="36"/>
  <c r="AH730" i="36"/>
  <c r="AH731" i="36"/>
  <c r="AH732" i="36"/>
  <c r="AH733" i="36"/>
  <c r="AH734" i="36"/>
  <c r="AH735" i="36"/>
  <c r="AH736" i="36"/>
  <c r="AH737" i="36"/>
  <c r="AH738" i="36"/>
  <c r="AH739" i="36"/>
  <c r="AH740" i="36"/>
  <c r="AH741" i="36"/>
  <c r="AH742" i="36"/>
  <c r="AH743" i="36"/>
  <c r="AH744" i="36"/>
  <c r="AH745" i="36"/>
  <c r="AH746" i="36"/>
  <c r="AH747" i="36"/>
  <c r="AH748" i="36"/>
  <c r="AH749" i="36"/>
  <c r="AH750" i="36"/>
  <c r="AH751" i="36"/>
  <c r="AH752" i="36"/>
  <c r="AH753" i="36"/>
  <c r="AH754" i="36"/>
  <c r="AH755" i="36"/>
  <c r="AH756" i="36"/>
  <c r="AH757" i="36"/>
  <c r="AH758" i="36"/>
  <c r="AH759" i="36"/>
  <c r="AH760" i="36"/>
  <c r="AH761" i="36"/>
  <c r="AH762" i="36"/>
  <c r="AH763" i="36"/>
  <c r="AH764" i="36"/>
  <c r="AH765" i="36"/>
  <c r="AH766" i="36"/>
  <c r="AH767" i="36"/>
  <c r="AH768" i="36"/>
  <c r="AH769" i="36"/>
  <c r="AH770" i="36"/>
  <c r="AH771" i="36"/>
  <c r="AH772" i="36"/>
  <c r="AH773" i="36"/>
  <c r="AH774" i="36"/>
  <c r="AH775" i="36"/>
  <c r="AH776" i="36"/>
  <c r="AH777" i="36"/>
  <c r="AH778" i="36"/>
  <c r="AH779" i="36"/>
  <c r="AH780" i="36"/>
  <c r="AH781" i="36"/>
  <c r="AH782" i="36"/>
  <c r="AH783" i="36"/>
  <c r="AH784" i="36"/>
  <c r="AH785" i="36"/>
  <c r="AH786" i="36"/>
  <c r="AH787" i="36"/>
  <c r="AH788" i="36"/>
  <c r="AH789" i="36"/>
  <c r="AH790" i="36"/>
  <c r="AH791" i="36"/>
  <c r="AH792" i="36"/>
  <c r="AH793" i="36"/>
  <c r="AH794" i="36"/>
  <c r="AH795" i="36"/>
  <c r="AH796" i="36"/>
  <c r="AH797" i="36"/>
  <c r="AH798" i="36"/>
  <c r="AH799" i="36"/>
  <c r="AH800" i="36"/>
  <c r="AH801" i="36"/>
  <c r="AH802" i="36"/>
  <c r="AH803" i="36"/>
  <c r="AH804" i="36"/>
  <c r="AH805" i="36"/>
  <c r="AH806" i="36"/>
  <c r="AH807" i="36"/>
  <c r="AH808" i="36"/>
  <c r="AH809" i="36"/>
  <c r="AH810" i="36"/>
  <c r="AH811" i="36"/>
  <c r="AH812" i="36"/>
  <c r="AH813" i="36"/>
  <c r="AH814" i="36"/>
  <c r="AH815" i="36"/>
  <c r="AH816" i="36"/>
  <c r="AH817" i="36"/>
  <c r="AH818" i="36"/>
  <c r="AH819" i="36"/>
  <c r="AH820" i="36"/>
  <c r="AH821" i="36"/>
  <c r="AH822" i="36"/>
  <c r="AH823" i="36"/>
  <c r="AH824" i="36"/>
  <c r="AH825" i="36"/>
  <c r="AH826" i="36"/>
  <c r="AH827" i="36"/>
  <c r="AH828" i="36"/>
  <c r="AH829" i="36"/>
  <c r="AH830" i="36"/>
  <c r="AH831" i="36"/>
  <c r="AH832" i="36"/>
  <c r="AH833" i="36"/>
  <c r="AH834" i="36"/>
  <c r="AH835" i="36"/>
  <c r="AH836" i="36"/>
  <c r="AH837" i="36"/>
  <c r="AH838" i="36"/>
  <c r="AH839" i="36"/>
  <c r="AH840" i="36"/>
  <c r="AH841" i="36"/>
  <c r="AH842" i="36"/>
  <c r="AH843" i="36"/>
  <c r="AH844" i="36"/>
  <c r="AH845" i="36"/>
  <c r="AH846" i="36"/>
  <c r="AH847" i="36"/>
  <c r="AH848" i="36"/>
  <c r="AH849" i="36"/>
  <c r="AH850" i="36"/>
  <c r="AH851" i="36"/>
  <c r="AH852" i="36"/>
  <c r="AH853" i="36"/>
  <c r="AH854" i="36"/>
  <c r="AH855" i="36"/>
  <c r="AH856" i="36"/>
  <c r="AH857" i="36"/>
  <c r="AH858" i="36"/>
  <c r="AH859" i="36"/>
  <c r="AH860" i="36"/>
  <c r="AH861" i="36"/>
  <c r="AH862" i="36"/>
  <c r="AH863" i="36"/>
  <c r="AH864" i="36"/>
  <c r="AH865" i="36"/>
  <c r="AH866" i="36"/>
  <c r="AH867" i="36"/>
  <c r="AH868" i="36"/>
  <c r="AH869" i="36"/>
  <c r="AH870" i="36"/>
  <c r="AH871" i="36"/>
  <c r="AH872" i="36"/>
  <c r="AH873" i="36"/>
  <c r="AH874" i="36"/>
  <c r="AH875" i="36"/>
  <c r="AH876" i="36"/>
  <c r="AH877" i="36"/>
  <c r="AH878" i="36"/>
  <c r="AH879" i="36"/>
  <c r="AH880" i="36"/>
  <c r="AH881" i="36"/>
  <c r="AH882" i="36"/>
  <c r="AH883" i="36"/>
  <c r="AH884" i="36"/>
  <c r="AH885" i="36"/>
  <c r="AH886" i="36"/>
  <c r="AH887" i="36"/>
  <c r="AH888" i="36"/>
  <c r="AH889" i="36"/>
  <c r="AH890" i="36"/>
  <c r="AH891" i="36"/>
  <c r="AH892" i="36"/>
  <c r="AH893" i="36"/>
  <c r="AH894" i="36"/>
  <c r="AH895" i="36"/>
  <c r="AH896" i="36"/>
  <c r="AH897" i="36"/>
  <c r="AH898" i="36"/>
  <c r="AH899" i="36"/>
  <c r="AH900" i="36"/>
  <c r="AH901" i="36"/>
  <c r="AH902" i="36"/>
  <c r="AH903" i="36"/>
  <c r="AH904" i="36"/>
  <c r="AH905" i="36"/>
  <c r="AH906" i="36"/>
  <c r="AH907" i="36"/>
  <c r="AH908" i="36"/>
  <c r="AH909" i="36"/>
  <c r="AH910" i="36"/>
  <c r="AH911" i="36"/>
  <c r="AH912" i="36"/>
  <c r="AH913" i="36"/>
  <c r="AH914" i="36"/>
  <c r="AH915" i="36"/>
  <c r="AH916" i="36"/>
  <c r="AH917" i="36"/>
  <c r="AH918" i="36"/>
  <c r="AH919" i="36"/>
  <c r="AH920" i="36"/>
  <c r="AH921" i="36"/>
  <c r="AH922" i="36"/>
  <c r="AH923" i="36"/>
  <c r="AH924" i="36"/>
  <c r="AH925" i="36"/>
  <c r="AH926" i="36"/>
  <c r="AH927" i="36"/>
  <c r="AH928" i="36"/>
  <c r="AH929" i="36"/>
  <c r="AH930" i="36"/>
  <c r="AH931" i="36"/>
  <c r="AH932" i="36"/>
  <c r="AH933" i="36"/>
  <c r="AH934" i="36"/>
  <c r="AH935" i="36"/>
  <c r="AH936" i="36"/>
  <c r="AH937" i="36"/>
  <c r="AH938" i="36"/>
  <c r="AH939" i="36"/>
  <c r="AH940" i="36"/>
  <c r="AH941" i="36"/>
  <c r="AH942" i="36"/>
  <c r="AH943" i="36"/>
  <c r="AH944" i="36"/>
  <c r="AH945" i="36"/>
  <c r="AH946" i="36"/>
  <c r="AH947" i="36"/>
  <c r="AH948" i="36"/>
  <c r="AH949" i="36"/>
  <c r="AH950" i="36"/>
  <c r="AH951" i="36"/>
  <c r="AH952" i="36"/>
  <c r="AH953" i="36"/>
  <c r="AH954" i="36"/>
  <c r="AH955" i="36"/>
  <c r="AH956" i="36"/>
  <c r="AH957" i="36"/>
  <c r="AH958" i="36"/>
  <c r="AH959" i="36"/>
  <c r="AH960" i="36"/>
  <c r="AH961" i="36"/>
  <c r="AH962" i="36"/>
  <c r="AH963" i="36"/>
  <c r="AH964" i="36"/>
  <c r="AH965" i="36"/>
  <c r="AH966" i="36"/>
  <c r="AH967" i="36"/>
  <c r="AH968" i="36"/>
  <c r="AH969" i="36"/>
  <c r="AH970" i="36"/>
  <c r="AH971" i="36"/>
  <c r="AH972" i="36"/>
  <c r="AH973" i="36"/>
  <c r="AH974" i="36"/>
  <c r="AH975" i="36"/>
  <c r="AH976" i="36"/>
  <c r="AH977" i="36"/>
  <c r="AH978" i="36"/>
  <c r="AH979" i="36"/>
  <c r="AH980" i="36"/>
  <c r="AH981" i="36"/>
  <c r="AH982" i="36"/>
  <c r="AH983" i="36"/>
  <c r="AH984" i="36"/>
  <c r="AH985" i="36"/>
  <c r="AH986" i="36"/>
  <c r="AH987" i="36"/>
  <c r="AH988" i="36"/>
  <c r="AH989" i="36"/>
  <c r="AH990" i="36"/>
  <c r="AH991" i="36"/>
  <c r="AH992" i="36"/>
  <c r="AH993" i="36"/>
  <c r="AH994" i="36"/>
  <c r="AH995" i="36"/>
  <c r="AH996" i="36"/>
  <c r="AH997" i="36"/>
  <c r="AH998" i="36"/>
  <c r="AH999" i="36"/>
  <c r="AH1000" i="36"/>
  <c r="AH1001" i="36"/>
  <c r="AH1002" i="36"/>
  <c r="AH1003" i="36"/>
  <c r="AH1004" i="36"/>
  <c r="AH1005" i="36"/>
  <c r="AH1006" i="36"/>
  <c r="AH1007" i="36"/>
  <c r="AH1008" i="36"/>
  <c r="AH1009" i="36"/>
  <c r="AH1010" i="36"/>
  <c r="AH1011" i="36"/>
  <c r="AH1012" i="36"/>
  <c r="AH1013" i="36"/>
  <c r="AH1014" i="36"/>
  <c r="AH1015" i="36"/>
  <c r="AH1016" i="36"/>
  <c r="AH1017" i="36"/>
  <c r="AH1018" i="36"/>
  <c r="AH1019" i="36"/>
  <c r="AH1020" i="36"/>
  <c r="AH1021" i="36"/>
  <c r="AH1022" i="36"/>
  <c r="AH1023" i="36"/>
  <c r="AH1024" i="36"/>
  <c r="AH1025" i="36"/>
  <c r="AH1026" i="36"/>
  <c r="AH1027" i="36"/>
  <c r="AH1028" i="36"/>
  <c r="AH1029" i="36"/>
  <c r="AH1030" i="36"/>
  <c r="AH1031" i="36"/>
  <c r="AH1032" i="36"/>
  <c r="AH1033" i="36"/>
  <c r="AH1034" i="36"/>
  <c r="AH1035" i="36"/>
  <c r="AH1036" i="36"/>
  <c r="AH1037" i="36"/>
  <c r="AH1038" i="36"/>
  <c r="AH1039" i="36"/>
  <c r="AH1040" i="36"/>
  <c r="AH1041" i="36"/>
  <c r="AH1042" i="36"/>
  <c r="AH1043" i="36"/>
  <c r="AH1044" i="36"/>
  <c r="AH1045" i="36"/>
  <c r="AH1046" i="36"/>
  <c r="AH1047" i="36"/>
  <c r="AH1048" i="36"/>
  <c r="AH1049" i="36"/>
  <c r="AH1050" i="36"/>
  <c r="AH1051" i="36"/>
  <c r="AH1052" i="36"/>
  <c r="AH1053" i="36"/>
  <c r="AH1054" i="36"/>
  <c r="AH1055" i="36"/>
  <c r="AH1056" i="36"/>
  <c r="AH1057" i="36"/>
  <c r="AH1058" i="36"/>
  <c r="AH1059" i="36"/>
  <c r="AH1060" i="36"/>
  <c r="AH1061" i="36"/>
  <c r="AH1062" i="36"/>
  <c r="AH1063" i="36"/>
  <c r="AH1064" i="36"/>
  <c r="AH1065" i="36"/>
  <c r="AH1066" i="36"/>
  <c r="AH1067" i="36"/>
  <c r="AH1068" i="36"/>
  <c r="AH1069" i="36"/>
  <c r="AH1070" i="36"/>
  <c r="AH1071" i="36"/>
  <c r="AH1072" i="36"/>
  <c r="AH1073" i="36"/>
  <c r="AH1074" i="36"/>
  <c r="AH1075" i="36"/>
  <c r="AH1076" i="36"/>
  <c r="AH1077" i="36"/>
  <c r="AH1078" i="36"/>
  <c r="AH1079" i="36"/>
  <c r="AH1080" i="36"/>
  <c r="AH1081" i="36"/>
  <c r="AH1082" i="36"/>
  <c r="AH1083" i="36"/>
  <c r="AH1084" i="36"/>
  <c r="AH1085" i="36"/>
  <c r="AH1086" i="36"/>
  <c r="AH1087" i="36"/>
  <c r="AH1088" i="36"/>
  <c r="AH1089" i="36"/>
  <c r="AH1090" i="36"/>
  <c r="AH1091" i="36"/>
  <c r="AH1092" i="36"/>
  <c r="AH1093" i="36"/>
  <c r="AH1094" i="36"/>
  <c r="AH1095" i="36"/>
  <c r="AH1096" i="36"/>
  <c r="AH1097" i="36"/>
  <c r="AH1098" i="36"/>
  <c r="AH1099" i="36"/>
  <c r="AH1100" i="36"/>
  <c r="AH1101" i="36"/>
  <c r="AH1102" i="36"/>
  <c r="AH1103" i="36"/>
  <c r="AH1104" i="36"/>
  <c r="AH1105" i="36"/>
  <c r="AH1106" i="36"/>
  <c r="AH1107" i="36"/>
  <c r="AH1108" i="36"/>
  <c r="AH1109" i="36"/>
  <c r="AH1110" i="36"/>
  <c r="AH1111" i="36"/>
  <c r="AH1112" i="36"/>
  <c r="AH1113" i="36"/>
  <c r="AH1114" i="36"/>
  <c r="AH1115" i="36"/>
  <c r="AH1116" i="36"/>
  <c r="AH1117" i="36"/>
  <c r="AH1118" i="36"/>
  <c r="AH1119" i="36"/>
  <c r="AH1120" i="36"/>
  <c r="AH1121" i="36"/>
  <c r="AH1122" i="36"/>
  <c r="AH1123" i="36"/>
  <c r="AH1124" i="36"/>
  <c r="AH1125" i="36"/>
  <c r="AH1126" i="36"/>
  <c r="AH1127" i="36"/>
  <c r="AH1128" i="36"/>
  <c r="AH1129" i="36"/>
  <c r="AH1130" i="36"/>
  <c r="AH1131" i="36"/>
  <c r="AH1132" i="36"/>
  <c r="AH1133" i="36"/>
  <c r="AH1134" i="36"/>
  <c r="AH1135" i="36"/>
  <c r="AH1136" i="36"/>
  <c r="AH1137" i="36"/>
  <c r="AH1138" i="36"/>
  <c r="AH1139" i="36"/>
  <c r="AH1140" i="36"/>
  <c r="AH1141" i="36"/>
  <c r="AH1142" i="36"/>
  <c r="AH1143" i="36"/>
  <c r="AH1144" i="36"/>
  <c r="AH1145" i="36"/>
  <c r="AH1146" i="36"/>
  <c r="AH1147" i="36"/>
  <c r="Y11" i="7"/>
  <c r="Y10" i="7"/>
  <c r="Y9" i="7"/>
  <c r="Y8" i="7"/>
  <c r="Y7" i="7"/>
  <c r="Y6" i="7"/>
  <c r="Y5" i="7"/>
  <c r="Y4" i="7"/>
  <c r="Y3" i="7"/>
  <c r="Y2" i="7"/>
  <c r="Y13" i="7" s="1"/>
  <c r="Q53" i="2"/>
  <c r="R48" i="2"/>
  <c r="I6" i="37" s="1"/>
  <c r="R162" i="2"/>
  <c r="R561" i="2"/>
  <c r="R47" i="2"/>
  <c r="R39" i="2"/>
  <c r="R40" i="2"/>
  <c r="R41" i="2"/>
  <c r="R42" i="2"/>
  <c r="R43" i="2"/>
  <c r="R44" i="2"/>
  <c r="R45" i="2"/>
  <c r="R46" i="2"/>
  <c r="T10" i="22"/>
  <c r="T11" i="22"/>
  <c r="S10" i="22"/>
  <c r="S11" i="22"/>
  <c r="T3" i="22"/>
  <c r="T4" i="22"/>
  <c r="T5" i="22"/>
  <c r="T6" i="22"/>
  <c r="T7" i="22"/>
  <c r="T8" i="22"/>
  <c r="T9" i="22"/>
  <c r="T2" i="22"/>
  <c r="K23" i="9" s="1"/>
  <c r="N23" i="9" s="1"/>
  <c r="S3" i="22"/>
  <c r="S4" i="22"/>
  <c r="S5" i="22"/>
  <c r="S6" i="22"/>
  <c r="S7" i="22"/>
  <c r="S8" i="22"/>
  <c r="S9" i="22"/>
  <c r="S2" i="22"/>
  <c r="R3" i="22"/>
  <c r="R5" i="22"/>
  <c r="R6" i="22"/>
  <c r="R8" i="22"/>
  <c r="R9" i="22"/>
  <c r="R2" i="22"/>
  <c r="O2" i="22"/>
  <c r="O3" i="22"/>
  <c r="O5" i="22"/>
  <c r="O6" i="22"/>
  <c r="O8" i="22"/>
  <c r="O9" i="22"/>
  <c r="AX2" i="19"/>
  <c r="AX5" i="19"/>
  <c r="AX7" i="19"/>
  <c r="AW5" i="19"/>
  <c r="AW7" i="19"/>
  <c r="AO8" i="19"/>
  <c r="AN8" i="19"/>
  <c r="AV3" i="19"/>
  <c r="AV5" i="19"/>
  <c r="AV6" i="19"/>
  <c r="AV7" i="19"/>
  <c r="AV2" i="19"/>
  <c r="AS2" i="19"/>
  <c r="AU2" i="19" s="1"/>
  <c r="AS3" i="19"/>
  <c r="AU3" i="19" s="1"/>
  <c r="AS5" i="19"/>
  <c r="AU5" i="19" s="1"/>
  <c r="AS6" i="19"/>
  <c r="AU6" i="19" s="1"/>
  <c r="AS7" i="19"/>
  <c r="AU7" i="19" s="1"/>
  <c r="R11" i="2"/>
  <c r="R12" i="2"/>
  <c r="R13" i="2"/>
  <c r="R14" i="2"/>
  <c r="R15" i="2"/>
  <c r="R16" i="2"/>
  <c r="R17" i="2"/>
  <c r="R18" i="2"/>
  <c r="R19" i="2"/>
  <c r="R20" i="2"/>
  <c r="R21" i="2"/>
  <c r="I13" i="37" s="1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I5" i="37" s="1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I18" i="37" s="1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I4" i="37" s="1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I11" i="37" s="1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I7" i="37" s="1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I9" i="37" s="1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I17" i="37" s="1"/>
  <c r="R559" i="2"/>
  <c r="R560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I3" i="37" s="1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I12" i="37" s="1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I10" i="37" s="1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I16" i="37" s="1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I8" i="37" s="1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I15" i="37" s="1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5" i="2"/>
  <c r="R6" i="2"/>
  <c r="R7" i="2"/>
  <c r="R8" i="2"/>
  <c r="R9" i="2"/>
  <c r="R10" i="2"/>
  <c r="R3" i="2"/>
  <c r="AI202" i="2" a="1"/>
  <c r="AI202" i="2" s="1"/>
  <c r="X15" i="7"/>
  <c r="X13" i="7"/>
  <c r="Q29" i="2"/>
  <c r="AH29" i="2" s="1"/>
  <c r="Q30" i="2"/>
  <c r="AH30" i="2" s="1"/>
  <c r="Q31" i="2"/>
  <c r="AH31" i="2" s="1"/>
  <c r="Q32" i="2"/>
  <c r="AH32" i="2" s="1"/>
  <c r="Q33" i="2"/>
  <c r="AH33" i="2" s="1"/>
  <c r="Q34" i="2"/>
  <c r="AH34" i="2" s="1"/>
  <c r="Q35" i="2"/>
  <c r="AH35" i="2" s="1"/>
  <c r="Q36" i="2"/>
  <c r="AH36" i="2" s="1"/>
  <c r="Q37" i="2"/>
  <c r="AH37" i="2" s="1"/>
  <c r="Q38" i="2"/>
  <c r="AH38" i="2" s="1"/>
  <c r="Q39" i="2"/>
  <c r="AH39" i="2" s="1"/>
  <c r="Q40" i="2"/>
  <c r="AH40" i="2" s="1"/>
  <c r="Q41" i="2"/>
  <c r="AH41" i="2" s="1"/>
  <c r="Q42" i="2"/>
  <c r="AH42" i="2" s="1"/>
  <c r="Q43" i="2"/>
  <c r="AH43" i="2" s="1"/>
  <c r="Q44" i="2"/>
  <c r="AH44" i="2" s="1"/>
  <c r="Q45" i="2"/>
  <c r="AH45" i="2" s="1"/>
  <c r="Q46" i="2"/>
  <c r="AH46" i="2" s="1"/>
  <c r="Q47" i="2"/>
  <c r="AH47" i="2" s="1"/>
  <c r="Q48" i="2"/>
  <c r="AH48" i="2" s="1"/>
  <c r="Q49" i="2"/>
  <c r="AH49" i="2" s="1"/>
  <c r="F38" i="37" s="1"/>
  <c r="Q50" i="2"/>
  <c r="AH50" i="2" s="1"/>
  <c r="Q51" i="2"/>
  <c r="AH51" i="2" s="1"/>
  <c r="Q52" i="2"/>
  <c r="AH52" i="2" s="1"/>
  <c r="AH53" i="2"/>
  <c r="Q54" i="2"/>
  <c r="AH54" i="2" s="1"/>
  <c r="Q55" i="2"/>
  <c r="AH55" i="2" s="1"/>
  <c r="Q56" i="2"/>
  <c r="AH56" i="2" s="1"/>
  <c r="I38" i="37" s="1"/>
  <c r="Q57" i="2"/>
  <c r="AH57" i="2" s="1"/>
  <c r="Q58" i="2"/>
  <c r="AH58" i="2" s="1"/>
  <c r="Q59" i="2"/>
  <c r="AH59" i="2" s="1"/>
  <c r="Q60" i="2"/>
  <c r="AH60" i="2" s="1"/>
  <c r="Q61" i="2"/>
  <c r="AH61" i="2" s="1"/>
  <c r="Q62" i="2"/>
  <c r="AH62" i="2" s="1"/>
  <c r="Q63" i="2"/>
  <c r="AH63" i="2" s="1"/>
  <c r="Q64" i="2"/>
  <c r="AH64" i="2" s="1"/>
  <c r="Q65" i="2"/>
  <c r="AH65" i="2" s="1"/>
  <c r="Q66" i="2"/>
  <c r="AH66" i="2" s="1"/>
  <c r="Q67" i="2"/>
  <c r="AH67" i="2" s="1"/>
  <c r="Q68" i="2"/>
  <c r="AH68" i="2" s="1"/>
  <c r="E38" i="37" s="1"/>
  <c r="Q69" i="2"/>
  <c r="AH69" i="2" s="1"/>
  <c r="Q70" i="2"/>
  <c r="AH70" i="2" s="1"/>
  <c r="Q71" i="2"/>
  <c r="AH71" i="2" s="1"/>
  <c r="Q72" i="2"/>
  <c r="AH72" i="2" s="1"/>
  <c r="Q73" i="2"/>
  <c r="AH73" i="2" s="1"/>
  <c r="Q74" i="2"/>
  <c r="AH74" i="2" s="1"/>
  <c r="Q75" i="2"/>
  <c r="AH75" i="2" s="1"/>
  <c r="Q76" i="2"/>
  <c r="AH76" i="2" s="1"/>
  <c r="Q77" i="2"/>
  <c r="AH77" i="2" s="1"/>
  <c r="Q78" i="2"/>
  <c r="AH78" i="2" s="1"/>
  <c r="Q79" i="2"/>
  <c r="AH79" i="2" s="1"/>
  <c r="Q80" i="2"/>
  <c r="AH80" i="2" s="1"/>
  <c r="Q81" i="2"/>
  <c r="AH81" i="2" s="1"/>
  <c r="Q82" i="2"/>
  <c r="AH82" i="2" s="1"/>
  <c r="Q83" i="2"/>
  <c r="AH83" i="2" s="1"/>
  <c r="L38" i="37" s="1"/>
  <c r="Q84" i="2"/>
  <c r="AH84" i="2" s="1"/>
  <c r="Q85" i="2"/>
  <c r="AH85" i="2" s="1"/>
  <c r="Q86" i="2"/>
  <c r="AH86" i="2" s="1"/>
  <c r="Q87" i="2"/>
  <c r="AH87" i="2" s="1"/>
  <c r="Q88" i="2"/>
  <c r="AH88" i="2" s="1"/>
  <c r="Q89" i="2"/>
  <c r="AH89" i="2" s="1"/>
  <c r="Q90" i="2"/>
  <c r="AH90" i="2" s="1"/>
  <c r="Q91" i="2"/>
  <c r="AH91" i="2" s="1"/>
  <c r="Q92" i="2"/>
  <c r="AH92" i="2" s="1"/>
  <c r="Q93" i="2"/>
  <c r="AH93" i="2" s="1"/>
  <c r="Q94" i="2"/>
  <c r="AH94" i="2" s="1"/>
  <c r="Q95" i="2"/>
  <c r="AH95" i="2" s="1"/>
  <c r="Q96" i="2"/>
  <c r="AH96" i="2" s="1"/>
  <c r="Q97" i="2"/>
  <c r="AH97" i="2" s="1"/>
  <c r="Q98" i="2"/>
  <c r="AH98" i="2" s="1"/>
  <c r="Q99" i="2"/>
  <c r="AH99" i="2" s="1"/>
  <c r="Q100" i="2"/>
  <c r="AH100" i="2" s="1"/>
  <c r="Q101" i="2"/>
  <c r="AH101" i="2" s="1"/>
  <c r="Q102" i="2"/>
  <c r="AH102" i="2" s="1"/>
  <c r="Q103" i="2"/>
  <c r="AH103" i="2" s="1"/>
  <c r="Q104" i="2"/>
  <c r="AH104" i="2" s="1"/>
  <c r="Q105" i="2"/>
  <c r="AH105" i="2" s="1"/>
  <c r="Q106" i="2"/>
  <c r="AH106" i="2" s="1"/>
  <c r="Q107" i="2"/>
  <c r="AH107" i="2" s="1"/>
  <c r="Q108" i="2"/>
  <c r="AH108" i="2" s="1"/>
  <c r="Q109" i="2"/>
  <c r="AH109" i="2" s="1"/>
  <c r="Q110" i="2"/>
  <c r="AH110" i="2" s="1"/>
  <c r="Q111" i="2"/>
  <c r="AH111" i="2" s="1"/>
  <c r="Q112" i="2"/>
  <c r="AH112" i="2" s="1"/>
  <c r="Q113" i="2"/>
  <c r="AH113" i="2" s="1"/>
  <c r="Q114" i="2"/>
  <c r="AH114" i="2" s="1"/>
  <c r="Q115" i="2"/>
  <c r="AH115" i="2" s="1"/>
  <c r="Q116" i="2"/>
  <c r="AH116" i="2" s="1"/>
  <c r="G38" i="37" s="1"/>
  <c r="Q117" i="2"/>
  <c r="AH117" i="2" s="1"/>
  <c r="Q118" i="2"/>
  <c r="AH118" i="2" s="1"/>
  <c r="Q119" i="2"/>
  <c r="AH119" i="2" s="1"/>
  <c r="Q120" i="2"/>
  <c r="AH120" i="2" s="1"/>
  <c r="Q121" i="2"/>
  <c r="AH121" i="2" s="1"/>
  <c r="Q122" i="2"/>
  <c r="AH122" i="2" s="1"/>
  <c r="Q123" i="2"/>
  <c r="AH123" i="2" s="1"/>
  <c r="Q124" i="2"/>
  <c r="AH124" i="2" s="1"/>
  <c r="Q125" i="2"/>
  <c r="AH125" i="2" s="1"/>
  <c r="Q126" i="2"/>
  <c r="AH126" i="2" s="1"/>
  <c r="Q127" i="2"/>
  <c r="AH127" i="2" s="1"/>
  <c r="Q128" i="2"/>
  <c r="AH128" i="2" s="1"/>
  <c r="Q129" i="2"/>
  <c r="AH129" i="2" s="1"/>
  <c r="Q130" i="2"/>
  <c r="AH130" i="2" s="1"/>
  <c r="Q131" i="2"/>
  <c r="AH131" i="2" s="1"/>
  <c r="Q132" i="2"/>
  <c r="AH132" i="2" s="1"/>
  <c r="Q133" i="2"/>
  <c r="AH133" i="2" s="1"/>
  <c r="Q134" i="2"/>
  <c r="AH134" i="2" s="1"/>
  <c r="Q135" i="2"/>
  <c r="AH135" i="2" s="1"/>
  <c r="Q136" i="2"/>
  <c r="AH136" i="2" s="1"/>
  <c r="Q137" i="2"/>
  <c r="AH137" i="2" s="1"/>
  <c r="Q138" i="2"/>
  <c r="AH138" i="2" s="1"/>
  <c r="Q139" i="2"/>
  <c r="AH139" i="2" s="1"/>
  <c r="Q140" i="2"/>
  <c r="AH140" i="2" s="1"/>
  <c r="Q141" i="2"/>
  <c r="AH141" i="2" s="1"/>
  <c r="E37" i="37" s="1"/>
  <c r="Q142" i="2"/>
  <c r="AH142" i="2" s="1"/>
  <c r="Q143" i="2"/>
  <c r="AH143" i="2" s="1"/>
  <c r="Q144" i="2"/>
  <c r="AH144" i="2" s="1"/>
  <c r="Q145" i="2"/>
  <c r="AH145" i="2" s="1"/>
  <c r="Q146" i="2"/>
  <c r="AH146" i="2" s="1"/>
  <c r="Q147" i="2"/>
  <c r="AH147" i="2" s="1"/>
  <c r="Q148" i="2"/>
  <c r="AH148" i="2" s="1"/>
  <c r="Q149" i="2"/>
  <c r="AH149" i="2" s="1"/>
  <c r="Q150" i="2"/>
  <c r="AH150" i="2" s="1"/>
  <c r="Q151" i="2"/>
  <c r="AH151" i="2" s="1"/>
  <c r="I37" i="37" s="1"/>
  <c r="Q152" i="2"/>
  <c r="AH152" i="2" s="1"/>
  <c r="Q153" i="2"/>
  <c r="AH153" i="2" s="1"/>
  <c r="Q154" i="2"/>
  <c r="AH154" i="2" s="1"/>
  <c r="Q155" i="2"/>
  <c r="AH155" i="2" s="1"/>
  <c r="Q156" i="2"/>
  <c r="AH156" i="2" s="1"/>
  <c r="Q157" i="2"/>
  <c r="AH157" i="2" s="1"/>
  <c r="Q158" i="2"/>
  <c r="AH158" i="2" s="1"/>
  <c r="K37" i="37" s="1"/>
  <c r="Q159" i="2"/>
  <c r="AH159" i="2" s="1"/>
  <c r="Q160" i="2"/>
  <c r="AH160" i="2" s="1"/>
  <c r="Q161" i="2"/>
  <c r="AH161" i="2" s="1"/>
  <c r="Q162" i="2"/>
  <c r="AH162" i="2" s="1"/>
  <c r="Q163" i="2"/>
  <c r="AH163" i="2" s="1"/>
  <c r="G37" i="37" s="1"/>
  <c r="Q164" i="2"/>
  <c r="AH164" i="2" s="1"/>
  <c r="F37" i="37" s="1"/>
  <c r="Q165" i="2"/>
  <c r="AH165" i="2" s="1"/>
  <c r="Q166" i="2"/>
  <c r="AH166" i="2" s="1"/>
  <c r="Q167" i="2"/>
  <c r="AH167" i="2" s="1"/>
  <c r="Q168" i="2"/>
  <c r="AH168" i="2" s="1"/>
  <c r="Q169" i="2"/>
  <c r="AH169" i="2" s="1"/>
  <c r="Q170" i="2"/>
  <c r="AH170" i="2" s="1"/>
  <c r="Q171" i="2"/>
  <c r="AH171" i="2" s="1"/>
  <c r="Q172" i="2"/>
  <c r="AH172" i="2" s="1"/>
  <c r="Q173" i="2"/>
  <c r="AH173" i="2" s="1"/>
  <c r="Q174" i="2"/>
  <c r="AH174" i="2" s="1"/>
  <c r="Q175" i="2"/>
  <c r="AH175" i="2" s="1"/>
  <c r="Q176" i="2"/>
  <c r="AH176" i="2" s="1"/>
  <c r="Q177" i="2"/>
  <c r="AH177" i="2" s="1"/>
  <c r="Q178" i="2"/>
  <c r="AH178" i="2" s="1"/>
  <c r="Q179" i="2"/>
  <c r="AH179" i="2" s="1"/>
  <c r="Q180" i="2"/>
  <c r="AH180" i="2" s="1"/>
  <c r="Q181" i="2"/>
  <c r="AH181" i="2" s="1"/>
  <c r="Q182" i="2"/>
  <c r="AH182" i="2" s="1"/>
  <c r="Q183" i="2"/>
  <c r="AH183" i="2" s="1"/>
  <c r="Q184" i="2"/>
  <c r="AH184" i="2" s="1"/>
  <c r="Q185" i="2"/>
  <c r="AH185" i="2" s="1"/>
  <c r="Q186" i="2"/>
  <c r="AH186" i="2" s="1"/>
  <c r="Q187" i="2"/>
  <c r="AH187" i="2" s="1"/>
  <c r="Q188" i="2"/>
  <c r="AH188" i="2" s="1"/>
  <c r="Q189" i="2"/>
  <c r="AH189" i="2" s="1"/>
  <c r="Q190" i="2"/>
  <c r="AH190" i="2" s="1"/>
  <c r="Q191" i="2"/>
  <c r="AH191" i="2" s="1"/>
  <c r="Q192" i="2"/>
  <c r="AH192" i="2" s="1"/>
  <c r="Q193" i="2"/>
  <c r="AH193" i="2" s="1"/>
  <c r="Q194" i="2"/>
  <c r="AH194" i="2" s="1"/>
  <c r="Q195" i="2"/>
  <c r="AH195" i="2" s="1"/>
  <c r="Q196" i="2"/>
  <c r="AH196" i="2" s="1"/>
  <c r="Q197" i="2"/>
  <c r="AH197" i="2" s="1"/>
  <c r="Q198" i="2"/>
  <c r="AH198" i="2" s="1"/>
  <c r="Q199" i="2"/>
  <c r="AH199" i="2" s="1"/>
  <c r="Q200" i="2"/>
  <c r="AH200" i="2" s="1"/>
  <c r="Q201" i="2"/>
  <c r="AH201" i="2" s="1"/>
  <c r="Q202" i="2"/>
  <c r="AH202" i="2" s="1"/>
  <c r="Q203" i="2"/>
  <c r="AH203" i="2" s="1"/>
  <c r="L50" i="37" s="1"/>
  <c r="Q204" i="2"/>
  <c r="AH204" i="2" s="1"/>
  <c r="K50" i="37" s="1"/>
  <c r="Q205" i="2"/>
  <c r="AH205" i="2" s="1"/>
  <c r="Q206" i="2"/>
  <c r="AH206" i="2" s="1"/>
  <c r="Q207" i="2"/>
  <c r="AH207" i="2" s="1"/>
  <c r="Q208" i="2"/>
  <c r="AH208" i="2" s="1"/>
  <c r="Q209" i="2"/>
  <c r="AH209" i="2" s="1"/>
  <c r="Q210" i="2"/>
  <c r="AH210" i="2" s="1"/>
  <c r="Q211" i="2"/>
  <c r="AH211" i="2" s="1"/>
  <c r="Q212" i="2"/>
  <c r="AH212" i="2" s="1"/>
  <c r="Q213" i="2"/>
  <c r="AH213" i="2" s="1"/>
  <c r="Q214" i="2"/>
  <c r="AH214" i="2" s="1"/>
  <c r="Q215" i="2"/>
  <c r="AH215" i="2" s="1"/>
  <c r="Q216" i="2"/>
  <c r="AH216" i="2" s="1"/>
  <c r="Q217" i="2"/>
  <c r="AH217" i="2" s="1"/>
  <c r="Q218" i="2"/>
  <c r="AH218" i="2" s="1"/>
  <c r="Q219" i="2"/>
  <c r="AH219" i="2" s="1"/>
  <c r="Q220" i="2"/>
  <c r="AH220" i="2" s="1"/>
  <c r="Q221" i="2"/>
  <c r="AH221" i="2" s="1"/>
  <c r="Q222" i="2"/>
  <c r="AH222" i="2" s="1"/>
  <c r="Q223" i="2"/>
  <c r="AH223" i="2" s="1"/>
  <c r="Q224" i="2"/>
  <c r="AH224" i="2" s="1"/>
  <c r="Q225" i="2"/>
  <c r="AH225" i="2" s="1"/>
  <c r="I50" i="37" s="1"/>
  <c r="Q226" i="2"/>
  <c r="AH226" i="2" s="1"/>
  <c r="Q227" i="2"/>
  <c r="AH227" i="2" s="1"/>
  <c r="Q228" i="2"/>
  <c r="AH228" i="2" s="1"/>
  <c r="Q229" i="2"/>
  <c r="AH229" i="2" s="1"/>
  <c r="Q230" i="2"/>
  <c r="AH230" i="2" s="1"/>
  <c r="Q231" i="2"/>
  <c r="AH231" i="2" s="1"/>
  <c r="Q232" i="2"/>
  <c r="AH232" i="2" s="1"/>
  <c r="Q233" i="2"/>
  <c r="AH233" i="2" s="1"/>
  <c r="Q234" i="2"/>
  <c r="AH234" i="2" s="1"/>
  <c r="Q235" i="2"/>
  <c r="AH235" i="2" s="1"/>
  <c r="Q236" i="2"/>
  <c r="AH236" i="2" s="1"/>
  <c r="Q237" i="2"/>
  <c r="AH237" i="2" s="1"/>
  <c r="Q238" i="2"/>
  <c r="AH238" i="2" s="1"/>
  <c r="E36" i="37" s="1"/>
  <c r="Q239" i="2"/>
  <c r="AH239" i="2" s="1"/>
  <c r="Q240" i="2"/>
  <c r="AH240" i="2" s="1"/>
  <c r="Q241" i="2"/>
  <c r="AH241" i="2" s="1"/>
  <c r="Q242" i="2"/>
  <c r="AH242" i="2" s="1"/>
  <c r="Q243" i="2"/>
  <c r="AH243" i="2" s="1"/>
  <c r="F36" i="37" s="1"/>
  <c r="Q244" i="2"/>
  <c r="AH244" i="2" s="1"/>
  <c r="Q245" i="2"/>
  <c r="AH245" i="2" s="1"/>
  <c r="L36" i="37" s="1"/>
  <c r="Q246" i="2"/>
  <c r="AH246" i="2" s="1"/>
  <c r="Q247" i="2"/>
  <c r="AH247" i="2" s="1"/>
  <c r="Q248" i="2"/>
  <c r="AH248" i="2" s="1"/>
  <c r="Q249" i="2"/>
  <c r="AH249" i="2" s="1"/>
  <c r="Q250" i="2"/>
  <c r="AH250" i="2" s="1"/>
  <c r="Q251" i="2"/>
  <c r="AH251" i="2" s="1"/>
  <c r="Q252" i="2"/>
  <c r="AH252" i="2" s="1"/>
  <c r="Q253" i="2"/>
  <c r="AH253" i="2" s="1"/>
  <c r="Q254" i="2"/>
  <c r="AH254" i="2" s="1"/>
  <c r="Q255" i="2"/>
  <c r="AH255" i="2" s="1"/>
  <c r="D36" i="37" s="1"/>
  <c r="Q256" i="2"/>
  <c r="AH256" i="2" s="1"/>
  <c r="Q257" i="2"/>
  <c r="AH257" i="2" s="1"/>
  <c r="Q258" i="2"/>
  <c r="AH258" i="2" s="1"/>
  <c r="Q259" i="2"/>
  <c r="AH259" i="2" s="1"/>
  <c r="Q260" i="2"/>
  <c r="AH260" i="2" s="1"/>
  <c r="Q261" i="2"/>
  <c r="AH261" i="2" s="1"/>
  <c r="Q262" i="2"/>
  <c r="AH262" i="2" s="1"/>
  <c r="Q263" i="2"/>
  <c r="AH263" i="2" s="1"/>
  <c r="Q264" i="2"/>
  <c r="AH264" i="2" s="1"/>
  <c r="Q265" i="2"/>
  <c r="AH265" i="2" s="1"/>
  <c r="Q266" i="2"/>
  <c r="AH266" i="2" s="1"/>
  <c r="Q267" i="2"/>
  <c r="AH267" i="2" s="1"/>
  <c r="Q268" i="2"/>
  <c r="AH268" i="2" s="1"/>
  <c r="Q269" i="2"/>
  <c r="AH269" i="2" s="1"/>
  <c r="I36" i="37" s="1"/>
  <c r="Q270" i="2"/>
  <c r="AH270" i="2" s="1"/>
  <c r="Q271" i="2"/>
  <c r="AH271" i="2" s="1"/>
  <c r="Q272" i="2"/>
  <c r="AH272" i="2" s="1"/>
  <c r="Q273" i="2"/>
  <c r="AH273" i="2" s="1"/>
  <c r="Q274" i="2"/>
  <c r="AH274" i="2" s="1"/>
  <c r="Q275" i="2"/>
  <c r="AH275" i="2" s="1"/>
  <c r="Q276" i="2"/>
  <c r="AH276" i="2" s="1"/>
  <c r="Q277" i="2"/>
  <c r="AH277" i="2" s="1"/>
  <c r="Q278" i="2"/>
  <c r="AH278" i="2" s="1"/>
  <c r="Q279" i="2"/>
  <c r="AH279" i="2" s="1"/>
  <c r="Q280" i="2"/>
  <c r="AH280" i="2" s="1"/>
  <c r="Q281" i="2"/>
  <c r="AH281" i="2" s="1"/>
  <c r="Q282" i="2"/>
  <c r="AH282" i="2" s="1"/>
  <c r="Q283" i="2"/>
  <c r="AH283" i="2" s="1"/>
  <c r="Q284" i="2"/>
  <c r="AH284" i="2" s="1"/>
  <c r="Q285" i="2"/>
  <c r="AH285" i="2" s="1"/>
  <c r="Q286" i="2"/>
  <c r="AH286" i="2" s="1"/>
  <c r="Q287" i="2"/>
  <c r="AH287" i="2" s="1"/>
  <c r="Q288" i="2"/>
  <c r="AH288" i="2" s="1"/>
  <c r="Q289" i="2"/>
  <c r="AH289" i="2" s="1"/>
  <c r="Q290" i="2"/>
  <c r="AH290" i="2" s="1"/>
  <c r="Q291" i="2"/>
  <c r="AH291" i="2" s="1"/>
  <c r="K43" i="37" s="1"/>
  <c r="Q292" i="2"/>
  <c r="AH292" i="2" s="1"/>
  <c r="Q293" i="2"/>
  <c r="AH293" i="2" s="1"/>
  <c r="Q294" i="2"/>
  <c r="AH294" i="2" s="1"/>
  <c r="F43" i="37" s="1"/>
  <c r="Q295" i="2"/>
  <c r="AH295" i="2" s="1"/>
  <c r="I43" i="37" s="1"/>
  <c r="Q296" i="2"/>
  <c r="AH296" i="2" s="1"/>
  <c r="Q297" i="2"/>
  <c r="AH297" i="2" s="1"/>
  <c r="Q298" i="2"/>
  <c r="AH298" i="2" s="1"/>
  <c r="Q299" i="2"/>
  <c r="AH299" i="2" s="1"/>
  <c r="Q300" i="2"/>
  <c r="AH300" i="2" s="1"/>
  <c r="Q301" i="2"/>
  <c r="AH301" i="2" s="1"/>
  <c r="Q302" i="2"/>
  <c r="AH302" i="2" s="1"/>
  <c r="Q303" i="2"/>
  <c r="AH303" i="2" s="1"/>
  <c r="Q304" i="2"/>
  <c r="AH304" i="2" s="1"/>
  <c r="Q305" i="2"/>
  <c r="AH305" i="2" s="1"/>
  <c r="Q306" i="2"/>
  <c r="AH306" i="2" s="1"/>
  <c r="Q307" i="2"/>
  <c r="AH307" i="2" s="1"/>
  <c r="Q308" i="2"/>
  <c r="AH308" i="2" s="1"/>
  <c r="Q309" i="2"/>
  <c r="AH309" i="2" s="1"/>
  <c r="Q310" i="2"/>
  <c r="AH310" i="2" s="1"/>
  <c r="Q311" i="2"/>
  <c r="AH311" i="2" s="1"/>
  <c r="Q312" i="2"/>
  <c r="AH312" i="2" s="1"/>
  <c r="Q313" i="2"/>
  <c r="AH313" i="2" s="1"/>
  <c r="Q314" i="2"/>
  <c r="AH314" i="2" s="1"/>
  <c r="Q315" i="2"/>
  <c r="AH315" i="2" s="1"/>
  <c r="Q316" i="2"/>
  <c r="AH316" i="2" s="1"/>
  <c r="Q317" i="2"/>
  <c r="AH317" i="2" s="1"/>
  <c r="Q318" i="2"/>
  <c r="AH318" i="2" s="1"/>
  <c r="Q319" i="2"/>
  <c r="AH319" i="2" s="1"/>
  <c r="E43" i="37" s="1"/>
  <c r="Q320" i="2"/>
  <c r="AH320" i="2" s="1"/>
  <c r="Q321" i="2"/>
  <c r="AH321" i="2" s="1"/>
  <c r="Q322" i="2"/>
  <c r="AH322" i="2" s="1"/>
  <c r="Q323" i="2"/>
  <c r="AH323" i="2" s="1"/>
  <c r="Q324" i="2"/>
  <c r="AH324" i="2" s="1"/>
  <c r="Q325" i="2"/>
  <c r="AH325" i="2" s="1"/>
  <c r="Q326" i="2"/>
  <c r="AH326" i="2" s="1"/>
  <c r="Q327" i="2"/>
  <c r="AH327" i="2" s="1"/>
  <c r="D43" i="37" s="1"/>
  <c r="Q328" i="2"/>
  <c r="AH328" i="2" s="1"/>
  <c r="Q329" i="2"/>
  <c r="AH329" i="2" s="1"/>
  <c r="Q330" i="2"/>
  <c r="AH330" i="2" s="1"/>
  <c r="Q331" i="2"/>
  <c r="AH331" i="2" s="1"/>
  <c r="Q332" i="2"/>
  <c r="AH332" i="2" s="1"/>
  <c r="Q333" i="2"/>
  <c r="AH333" i="2" s="1"/>
  <c r="Q334" i="2"/>
  <c r="AH334" i="2" s="1"/>
  <c r="Q335" i="2"/>
  <c r="AH335" i="2" s="1"/>
  <c r="Q336" i="2"/>
  <c r="AH336" i="2" s="1"/>
  <c r="Q337" i="2"/>
  <c r="AH337" i="2" s="1"/>
  <c r="Q338" i="2"/>
  <c r="AH338" i="2" s="1"/>
  <c r="K39" i="37" s="1"/>
  <c r="Q339" i="2"/>
  <c r="AH339" i="2" s="1"/>
  <c r="G39" i="37" s="1"/>
  <c r="Q340" i="2"/>
  <c r="AH340" i="2" s="1"/>
  <c r="Q341" i="2"/>
  <c r="AH341" i="2" s="1"/>
  <c r="Q342" i="2"/>
  <c r="AH342" i="2" s="1"/>
  <c r="D39" i="37" s="1"/>
  <c r="Q343" i="2"/>
  <c r="AH343" i="2" s="1"/>
  <c r="Q344" i="2"/>
  <c r="AH344" i="2" s="1"/>
  <c r="Q345" i="2"/>
  <c r="AH345" i="2" s="1"/>
  <c r="Q346" i="2"/>
  <c r="AH346" i="2" s="1"/>
  <c r="F39" i="37" s="1"/>
  <c r="Q347" i="2"/>
  <c r="AH347" i="2" s="1"/>
  <c r="E39" i="37" s="1"/>
  <c r="Q348" i="2"/>
  <c r="AH348" i="2" s="1"/>
  <c r="Q349" i="2"/>
  <c r="AH349" i="2" s="1"/>
  <c r="Q350" i="2"/>
  <c r="AH350" i="2" s="1"/>
  <c r="Q351" i="2"/>
  <c r="AH351" i="2" s="1"/>
  <c r="Q352" i="2"/>
  <c r="AH352" i="2" s="1"/>
  <c r="Q353" i="2"/>
  <c r="AH353" i="2" s="1"/>
  <c r="Q354" i="2"/>
  <c r="AH354" i="2" s="1"/>
  <c r="Q355" i="2"/>
  <c r="AH355" i="2" s="1"/>
  <c r="Q356" i="2"/>
  <c r="AH356" i="2" s="1"/>
  <c r="Q357" i="2"/>
  <c r="AH357" i="2" s="1"/>
  <c r="Q358" i="2"/>
  <c r="AH358" i="2" s="1"/>
  <c r="Q359" i="2"/>
  <c r="AH359" i="2" s="1"/>
  <c r="Q360" i="2"/>
  <c r="AH360" i="2" s="1"/>
  <c r="Q361" i="2"/>
  <c r="AH361" i="2" s="1"/>
  <c r="Q362" i="2"/>
  <c r="AH362" i="2" s="1"/>
  <c r="Q363" i="2"/>
  <c r="AH363" i="2" s="1"/>
  <c r="Q364" i="2"/>
  <c r="AH364" i="2" s="1"/>
  <c r="Q365" i="2"/>
  <c r="AH365" i="2" s="1"/>
  <c r="I39" i="37" s="1"/>
  <c r="Q366" i="2"/>
  <c r="AH366" i="2" s="1"/>
  <c r="Q367" i="2"/>
  <c r="AH367" i="2" s="1"/>
  <c r="Q368" i="2"/>
  <c r="AH368" i="2" s="1"/>
  <c r="Q369" i="2"/>
  <c r="AH369" i="2" s="1"/>
  <c r="Q370" i="2"/>
  <c r="AH370" i="2" s="1"/>
  <c r="Q371" i="2"/>
  <c r="AH371" i="2" s="1"/>
  <c r="Q372" i="2"/>
  <c r="AH372" i="2" s="1"/>
  <c r="Q373" i="2"/>
  <c r="AH373" i="2" s="1"/>
  <c r="Q374" i="2"/>
  <c r="AH374" i="2" s="1"/>
  <c r="Q375" i="2"/>
  <c r="AH375" i="2" s="1"/>
  <c r="Q376" i="2"/>
  <c r="AH376" i="2" s="1"/>
  <c r="Q377" i="2"/>
  <c r="AH377" i="2" s="1"/>
  <c r="Q378" i="2"/>
  <c r="AH378" i="2" s="1"/>
  <c r="Q379" i="2"/>
  <c r="AH379" i="2" s="1"/>
  <c r="Q380" i="2"/>
  <c r="AH380" i="2" s="1"/>
  <c r="Q381" i="2"/>
  <c r="AH381" i="2" s="1"/>
  <c r="Q382" i="2"/>
  <c r="AH382" i="2" s="1"/>
  <c r="Q383" i="2"/>
  <c r="AH383" i="2" s="1"/>
  <c r="Q384" i="2"/>
  <c r="AH384" i="2" s="1"/>
  <c r="Q385" i="2"/>
  <c r="AH385" i="2" s="1"/>
  <c r="Q386" i="2"/>
  <c r="AH386" i="2" s="1"/>
  <c r="Q387" i="2"/>
  <c r="AH387" i="2" s="1"/>
  <c r="Q388" i="2"/>
  <c r="AH388" i="2" s="1"/>
  <c r="Q389" i="2"/>
  <c r="AH389" i="2" s="1"/>
  <c r="Q390" i="2"/>
  <c r="AH390" i="2" s="1"/>
  <c r="Q391" i="2"/>
  <c r="AH391" i="2" s="1"/>
  <c r="Q392" i="2"/>
  <c r="AH392" i="2" s="1"/>
  <c r="Q393" i="2"/>
  <c r="AH393" i="2" s="1"/>
  <c r="Q394" i="2"/>
  <c r="AH394" i="2" s="1"/>
  <c r="Q395" i="2"/>
  <c r="AH395" i="2" s="1"/>
  <c r="Q396" i="2"/>
  <c r="AH396" i="2" s="1"/>
  <c r="Q397" i="2"/>
  <c r="AH397" i="2" s="1"/>
  <c r="Q398" i="2"/>
  <c r="AH398" i="2" s="1"/>
  <c r="Q399" i="2"/>
  <c r="AH399" i="2" s="1"/>
  <c r="Q400" i="2"/>
  <c r="AH400" i="2" s="1"/>
  <c r="Q401" i="2"/>
  <c r="AH401" i="2" s="1"/>
  <c r="Q402" i="2"/>
  <c r="AH402" i="2" s="1"/>
  <c r="Q403" i="2"/>
  <c r="AH403" i="2" s="1"/>
  <c r="Q404" i="2"/>
  <c r="AH404" i="2" s="1"/>
  <c r="Q405" i="2"/>
  <c r="AH405" i="2" s="1"/>
  <c r="Q406" i="2"/>
  <c r="AH406" i="2" s="1"/>
  <c r="Q407" i="2"/>
  <c r="AH407" i="2" s="1"/>
  <c r="Q408" i="2"/>
  <c r="AH408" i="2" s="1"/>
  <c r="Q409" i="2"/>
  <c r="AH409" i="2" s="1"/>
  <c r="Q410" i="2"/>
  <c r="AH410" i="2" s="1"/>
  <c r="Q411" i="2"/>
  <c r="AH411" i="2" s="1"/>
  <c r="Q412" i="2"/>
  <c r="AH412" i="2" s="1"/>
  <c r="Q413" i="2"/>
  <c r="AH413" i="2" s="1"/>
  <c r="Q414" i="2"/>
  <c r="AH414" i="2" s="1"/>
  <c r="Q415" i="2"/>
  <c r="AH415" i="2" s="1"/>
  <c r="Q416" i="2"/>
  <c r="AH416" i="2" s="1"/>
  <c r="Q417" i="2"/>
  <c r="AH417" i="2" s="1"/>
  <c r="Q418" i="2"/>
  <c r="AH418" i="2" s="1"/>
  <c r="Q419" i="2"/>
  <c r="AH419" i="2" s="1"/>
  <c r="Q420" i="2"/>
  <c r="AH420" i="2" s="1"/>
  <c r="Q421" i="2"/>
  <c r="AH421" i="2" s="1"/>
  <c r="Q422" i="2"/>
  <c r="AH422" i="2" s="1"/>
  <c r="Q423" i="2"/>
  <c r="AH423" i="2" s="1"/>
  <c r="Q424" i="2"/>
  <c r="AH424" i="2" s="1"/>
  <c r="Q425" i="2"/>
  <c r="AH425" i="2" s="1"/>
  <c r="Q426" i="2"/>
  <c r="AH426" i="2" s="1"/>
  <c r="Q427" i="2"/>
  <c r="AH427" i="2" s="1"/>
  <c r="Q428" i="2"/>
  <c r="AH428" i="2" s="1"/>
  <c r="Q429" i="2"/>
  <c r="AH429" i="2" s="1"/>
  <c r="Q430" i="2"/>
  <c r="AH430" i="2" s="1"/>
  <c r="Q431" i="2"/>
  <c r="AH431" i="2" s="1"/>
  <c r="Q432" i="2"/>
  <c r="AH432" i="2" s="1"/>
  <c r="Q433" i="2"/>
  <c r="AH433" i="2" s="1"/>
  <c r="Q434" i="2"/>
  <c r="AH434" i="2" s="1"/>
  <c r="E50" i="37" s="1"/>
  <c r="Q435" i="2"/>
  <c r="AH435" i="2" s="1"/>
  <c r="G50" i="37" s="1"/>
  <c r="Q436" i="2"/>
  <c r="AH436" i="2" s="1"/>
  <c r="Q437" i="2"/>
  <c r="AH437" i="2" s="1"/>
  <c r="Q438" i="2"/>
  <c r="AH438" i="2" s="1"/>
  <c r="Q439" i="2"/>
  <c r="AH439" i="2" s="1"/>
  <c r="Q440" i="2"/>
  <c r="AH440" i="2" s="1"/>
  <c r="Q441" i="2"/>
  <c r="AH441" i="2" s="1"/>
  <c r="Q442" i="2"/>
  <c r="AH442" i="2" s="1"/>
  <c r="Q443" i="2"/>
  <c r="AH443" i="2" s="1"/>
  <c r="Q444" i="2"/>
  <c r="AH444" i="2" s="1"/>
  <c r="Q445" i="2"/>
  <c r="AH445" i="2" s="1"/>
  <c r="Q446" i="2"/>
  <c r="AH446" i="2" s="1"/>
  <c r="I41" i="37" s="1"/>
  <c r="Q447" i="2"/>
  <c r="AH447" i="2" s="1"/>
  <c r="E41" i="37" s="1"/>
  <c r="Q448" i="2"/>
  <c r="AH448" i="2" s="1"/>
  <c r="Q449" i="2"/>
  <c r="AH449" i="2" s="1"/>
  <c r="Q450" i="2"/>
  <c r="AH450" i="2" s="1"/>
  <c r="Q451" i="2"/>
  <c r="AH451" i="2" s="1"/>
  <c r="Q452" i="2"/>
  <c r="AH452" i="2" s="1"/>
  <c r="Q453" i="2"/>
  <c r="AH453" i="2" s="1"/>
  <c r="Q454" i="2"/>
  <c r="AH454" i="2" s="1"/>
  <c r="K41" i="37" s="1"/>
  <c r="Q455" i="2"/>
  <c r="AH455" i="2" s="1"/>
  <c r="Q456" i="2"/>
  <c r="AH456" i="2" s="1"/>
  <c r="Q457" i="2"/>
  <c r="AH457" i="2" s="1"/>
  <c r="Q458" i="2"/>
  <c r="AH458" i="2" s="1"/>
  <c r="Q459" i="2"/>
  <c r="AH459" i="2" s="1"/>
  <c r="Q460" i="2"/>
  <c r="AH460" i="2" s="1"/>
  <c r="Q461" i="2"/>
  <c r="AH461" i="2" s="1"/>
  <c r="Q462" i="2"/>
  <c r="AH462" i="2" s="1"/>
  <c r="Q463" i="2"/>
  <c r="AH463" i="2" s="1"/>
  <c r="Q464" i="2"/>
  <c r="AH464" i="2" s="1"/>
  <c r="F41" i="37" s="1"/>
  <c r="Q465" i="2"/>
  <c r="AH465" i="2" s="1"/>
  <c r="Q466" i="2"/>
  <c r="AH466" i="2" s="1"/>
  <c r="Q467" i="2"/>
  <c r="AH467" i="2" s="1"/>
  <c r="Q468" i="2"/>
  <c r="AH468" i="2" s="1"/>
  <c r="Q469" i="2"/>
  <c r="AH469" i="2" s="1"/>
  <c r="Q470" i="2"/>
  <c r="AH470" i="2" s="1"/>
  <c r="Q471" i="2"/>
  <c r="AH471" i="2" s="1"/>
  <c r="Q472" i="2"/>
  <c r="AH472" i="2" s="1"/>
  <c r="Q473" i="2"/>
  <c r="AH473" i="2" s="1"/>
  <c r="Q474" i="2"/>
  <c r="AH474" i="2" s="1"/>
  <c r="Q475" i="2"/>
  <c r="AH475" i="2" s="1"/>
  <c r="G41" i="37" s="1"/>
  <c r="Q476" i="2"/>
  <c r="AH476" i="2" s="1"/>
  <c r="Q477" i="2"/>
  <c r="AH477" i="2" s="1"/>
  <c r="Q478" i="2"/>
  <c r="AH478" i="2" s="1"/>
  <c r="Q479" i="2"/>
  <c r="AH479" i="2" s="1"/>
  <c r="Q480" i="2"/>
  <c r="AH480" i="2" s="1"/>
  <c r="Q481" i="2"/>
  <c r="AH481" i="2" s="1"/>
  <c r="Q482" i="2"/>
  <c r="AH482" i="2" s="1"/>
  <c r="Q483" i="2"/>
  <c r="AH483" i="2" s="1"/>
  <c r="Q484" i="2"/>
  <c r="AH484" i="2" s="1"/>
  <c r="Q485" i="2"/>
  <c r="AH485" i="2" s="1"/>
  <c r="Q486" i="2"/>
  <c r="AH486" i="2" s="1"/>
  <c r="Q487" i="2"/>
  <c r="AH487" i="2" s="1"/>
  <c r="Q488" i="2"/>
  <c r="AH488" i="2" s="1"/>
  <c r="Q489" i="2"/>
  <c r="AH489" i="2" s="1"/>
  <c r="Q490" i="2"/>
  <c r="AH490" i="2" s="1"/>
  <c r="Q491" i="2"/>
  <c r="AH491" i="2" s="1"/>
  <c r="Q492" i="2"/>
  <c r="AH492" i="2" s="1"/>
  <c r="Q493" i="2"/>
  <c r="AH493" i="2" s="1"/>
  <c r="Q494" i="2"/>
  <c r="AH494" i="2" s="1"/>
  <c r="Q495" i="2"/>
  <c r="AH495" i="2" s="1"/>
  <c r="Q496" i="2"/>
  <c r="AH496" i="2" s="1"/>
  <c r="Q497" i="2"/>
  <c r="AH497" i="2" s="1"/>
  <c r="Q498" i="2"/>
  <c r="AH498" i="2" s="1"/>
  <c r="Q499" i="2"/>
  <c r="AH499" i="2" s="1"/>
  <c r="Q500" i="2"/>
  <c r="AH500" i="2" s="1"/>
  <c r="Q501" i="2"/>
  <c r="AH501" i="2" s="1"/>
  <c r="Q502" i="2"/>
  <c r="AH502" i="2" s="1"/>
  <c r="Q503" i="2"/>
  <c r="AH503" i="2" s="1"/>
  <c r="Q504" i="2"/>
  <c r="AH504" i="2" s="1"/>
  <c r="Q505" i="2"/>
  <c r="AH505" i="2" s="1"/>
  <c r="Q506" i="2"/>
  <c r="AH506" i="2" s="1"/>
  <c r="Q507" i="2"/>
  <c r="AH507" i="2" s="1"/>
  <c r="Q508" i="2"/>
  <c r="AH508" i="2" s="1"/>
  <c r="Q509" i="2"/>
  <c r="AH509" i="2" s="1"/>
  <c r="Q510" i="2"/>
  <c r="AH510" i="2" s="1"/>
  <c r="Q511" i="2"/>
  <c r="AH511" i="2" s="1"/>
  <c r="Q512" i="2"/>
  <c r="AH512" i="2" s="1"/>
  <c r="Q513" i="2"/>
  <c r="AH513" i="2" s="1"/>
  <c r="Q514" i="2"/>
  <c r="AH514" i="2" s="1"/>
  <c r="Q515" i="2"/>
  <c r="AH515" i="2" s="1"/>
  <c r="Q516" i="2"/>
  <c r="AH516" i="2" s="1"/>
  <c r="Q517" i="2"/>
  <c r="AH517" i="2" s="1"/>
  <c r="Q518" i="2"/>
  <c r="AH518" i="2" s="1"/>
  <c r="Q519" i="2"/>
  <c r="AH519" i="2" s="1"/>
  <c r="Q520" i="2"/>
  <c r="AH520" i="2" s="1"/>
  <c r="Q521" i="2"/>
  <c r="AH521" i="2" s="1"/>
  <c r="Q522" i="2"/>
  <c r="AH522" i="2" s="1"/>
  <c r="Q523" i="2"/>
  <c r="AH523" i="2" s="1"/>
  <c r="Q524" i="2"/>
  <c r="AH524" i="2" s="1"/>
  <c r="Q525" i="2"/>
  <c r="AH525" i="2" s="1"/>
  <c r="Q526" i="2"/>
  <c r="AH526" i="2" s="1"/>
  <c r="Q527" i="2"/>
  <c r="AH527" i="2" s="1"/>
  <c r="Q528" i="2"/>
  <c r="AH528" i="2" s="1"/>
  <c r="Q529" i="2"/>
  <c r="AH529" i="2" s="1"/>
  <c r="Q530" i="2"/>
  <c r="AH530" i="2" s="1"/>
  <c r="Q531" i="2"/>
  <c r="AH531" i="2" s="1"/>
  <c r="Q532" i="2"/>
  <c r="AH532" i="2" s="1"/>
  <c r="Q533" i="2"/>
  <c r="AH533" i="2" s="1"/>
  <c r="Q534" i="2"/>
  <c r="AH534" i="2" s="1"/>
  <c r="Q535" i="2"/>
  <c r="AH535" i="2" s="1"/>
  <c r="Q536" i="2"/>
  <c r="AH536" i="2" s="1"/>
  <c r="Q537" i="2"/>
  <c r="AH537" i="2" s="1"/>
  <c r="Q538" i="2"/>
  <c r="AH538" i="2" s="1"/>
  <c r="Q539" i="2"/>
  <c r="AH539" i="2" s="1"/>
  <c r="Q540" i="2"/>
  <c r="AH540" i="2" s="1"/>
  <c r="Q541" i="2"/>
  <c r="AH541" i="2" s="1"/>
  <c r="Q542" i="2"/>
  <c r="AH542" i="2" s="1"/>
  <c r="Q543" i="2"/>
  <c r="AH543" i="2" s="1"/>
  <c r="Q544" i="2"/>
  <c r="AH544" i="2" s="1"/>
  <c r="Q545" i="2"/>
  <c r="AH545" i="2" s="1"/>
  <c r="Q546" i="2"/>
  <c r="AH546" i="2" s="1"/>
  <c r="Q547" i="2"/>
  <c r="AH547" i="2" s="1"/>
  <c r="Q548" i="2"/>
  <c r="AH548" i="2" s="1"/>
  <c r="Q549" i="2"/>
  <c r="AH549" i="2" s="1"/>
  <c r="Q550" i="2"/>
  <c r="AH550" i="2" s="1"/>
  <c r="Q551" i="2"/>
  <c r="AH551" i="2" s="1"/>
  <c r="Q552" i="2"/>
  <c r="AH552" i="2" s="1"/>
  <c r="Q553" i="2"/>
  <c r="AH553" i="2" s="1"/>
  <c r="Q554" i="2"/>
  <c r="AH554" i="2" s="1"/>
  <c r="Q555" i="2"/>
  <c r="AH555" i="2" s="1"/>
  <c r="Q556" i="2"/>
  <c r="AH556" i="2" s="1"/>
  <c r="Q557" i="2"/>
  <c r="AH557" i="2" s="1"/>
  <c r="G43" i="37" s="1"/>
  <c r="Q558" i="2"/>
  <c r="AH558" i="2" s="1"/>
  <c r="Q559" i="2"/>
  <c r="AH559" i="2" s="1"/>
  <c r="Q560" i="2"/>
  <c r="AH560" i="2" s="1"/>
  <c r="K49" i="37" s="1"/>
  <c r="Q561" i="2"/>
  <c r="AH561" i="2" s="1"/>
  <c r="Q562" i="2"/>
  <c r="AH562" i="2" s="1"/>
  <c r="Q563" i="2"/>
  <c r="AH563" i="2" s="1"/>
  <c r="F49" i="37" s="1"/>
  <c r="Q564" i="2"/>
  <c r="AH564" i="2" s="1"/>
  <c r="Q565" i="2"/>
  <c r="AH565" i="2" s="1"/>
  <c r="Q566" i="2"/>
  <c r="AH566" i="2" s="1"/>
  <c r="Q567" i="2"/>
  <c r="AH567" i="2" s="1"/>
  <c r="Q568" i="2"/>
  <c r="AH568" i="2" s="1"/>
  <c r="Q569" i="2"/>
  <c r="AH569" i="2" s="1"/>
  <c r="Q570" i="2"/>
  <c r="AH570" i="2" s="1"/>
  <c r="Q571" i="2"/>
  <c r="AH571" i="2" s="1"/>
  <c r="Q572" i="2"/>
  <c r="AH572" i="2" s="1"/>
  <c r="Q573" i="2"/>
  <c r="AH573" i="2" s="1"/>
  <c r="Q574" i="2"/>
  <c r="AH574" i="2" s="1"/>
  <c r="Q575" i="2"/>
  <c r="AH575" i="2" s="1"/>
  <c r="Q576" i="2"/>
  <c r="AH576" i="2" s="1"/>
  <c r="Q577" i="2"/>
  <c r="AH577" i="2" s="1"/>
  <c r="Q578" i="2"/>
  <c r="AH578" i="2" s="1"/>
  <c r="G49" i="37" s="1"/>
  <c r="Q579" i="2"/>
  <c r="AH579" i="2" s="1"/>
  <c r="Q580" i="2"/>
  <c r="AH580" i="2" s="1"/>
  <c r="Q581" i="2"/>
  <c r="AH581" i="2" s="1"/>
  <c r="Q582" i="2"/>
  <c r="AH582" i="2" s="1"/>
  <c r="Q583" i="2"/>
  <c r="AH583" i="2" s="1"/>
  <c r="Q584" i="2"/>
  <c r="AH584" i="2" s="1"/>
  <c r="Q585" i="2"/>
  <c r="AH585" i="2" s="1"/>
  <c r="Q586" i="2"/>
  <c r="AH586" i="2" s="1"/>
  <c r="Q587" i="2"/>
  <c r="AH587" i="2" s="1"/>
  <c r="Q588" i="2"/>
  <c r="AH588" i="2" s="1"/>
  <c r="Q589" i="2"/>
  <c r="AH589" i="2" s="1"/>
  <c r="Q590" i="2"/>
  <c r="AH590" i="2" s="1"/>
  <c r="Q591" i="2"/>
  <c r="AH591" i="2" s="1"/>
  <c r="Q592" i="2"/>
  <c r="AH592" i="2" s="1"/>
  <c r="Q593" i="2"/>
  <c r="AH593" i="2" s="1"/>
  <c r="E49" i="37" s="1"/>
  <c r="Q594" i="2"/>
  <c r="AH594" i="2" s="1"/>
  <c r="Q595" i="2"/>
  <c r="AH595" i="2" s="1"/>
  <c r="Q596" i="2"/>
  <c r="AH596" i="2" s="1"/>
  <c r="Q597" i="2"/>
  <c r="AH597" i="2" s="1"/>
  <c r="Q598" i="2"/>
  <c r="AH598" i="2" s="1"/>
  <c r="Q599" i="2"/>
  <c r="AH599" i="2" s="1"/>
  <c r="Q600" i="2"/>
  <c r="AH600" i="2" s="1"/>
  <c r="Q601" i="2"/>
  <c r="AH601" i="2" s="1"/>
  <c r="Q602" i="2"/>
  <c r="AH602" i="2" s="1"/>
  <c r="Q603" i="2"/>
  <c r="AH603" i="2" s="1"/>
  <c r="F35" i="37" s="1"/>
  <c r="Q604" i="2"/>
  <c r="AH604" i="2" s="1"/>
  <c r="Q605" i="2"/>
  <c r="AH605" i="2" s="1"/>
  <c r="Q606" i="2"/>
  <c r="AH606" i="2" s="1"/>
  <c r="Q607" i="2"/>
  <c r="AH607" i="2" s="1"/>
  <c r="E35" i="37" s="1"/>
  <c r="Q608" i="2"/>
  <c r="AH608" i="2" s="1"/>
  <c r="Q609" i="2"/>
  <c r="AH609" i="2" s="1"/>
  <c r="Q610" i="2"/>
  <c r="AH610" i="2" s="1"/>
  <c r="Q611" i="2"/>
  <c r="AH611" i="2" s="1"/>
  <c r="Q612" i="2"/>
  <c r="AH612" i="2" s="1"/>
  <c r="Q613" i="2"/>
  <c r="AH613" i="2" s="1"/>
  <c r="Q614" i="2"/>
  <c r="AH614" i="2" s="1"/>
  <c r="Q615" i="2"/>
  <c r="AH615" i="2" s="1"/>
  <c r="Q616" i="2"/>
  <c r="AH616" i="2" s="1"/>
  <c r="Q617" i="2"/>
  <c r="AH617" i="2" s="1"/>
  <c r="Q618" i="2"/>
  <c r="AH618" i="2" s="1"/>
  <c r="Q619" i="2"/>
  <c r="AH619" i="2" s="1"/>
  <c r="Q620" i="2"/>
  <c r="AH620" i="2" s="1"/>
  <c r="G35" i="37" s="1"/>
  <c r="G52" i="37" s="1"/>
  <c r="Q621" i="2"/>
  <c r="AH621" i="2" s="1"/>
  <c r="Q622" i="2"/>
  <c r="AH622" i="2" s="1"/>
  <c r="H35" i="37" s="1"/>
  <c r="H52" i="37" s="1"/>
  <c r="Q623" i="2"/>
  <c r="AH623" i="2" s="1"/>
  <c r="Q624" i="2"/>
  <c r="AH624" i="2" s="1"/>
  <c r="Q625" i="2"/>
  <c r="AH625" i="2" s="1"/>
  <c r="Q626" i="2"/>
  <c r="AH626" i="2" s="1"/>
  <c r="Q627" i="2"/>
  <c r="AH627" i="2" s="1"/>
  <c r="Q628" i="2"/>
  <c r="AH628" i="2" s="1"/>
  <c r="Q629" i="2"/>
  <c r="AH629" i="2" s="1"/>
  <c r="Q630" i="2"/>
  <c r="AH630" i="2" s="1"/>
  <c r="E44" i="37" s="1"/>
  <c r="Q631" i="2"/>
  <c r="AH631" i="2" s="1"/>
  <c r="Q632" i="2"/>
  <c r="AH632" i="2" s="1"/>
  <c r="Q633" i="2"/>
  <c r="AH633" i="2" s="1"/>
  <c r="Q634" i="2"/>
  <c r="AH634" i="2" s="1"/>
  <c r="Q635" i="2"/>
  <c r="AH635" i="2" s="1"/>
  <c r="Q636" i="2"/>
  <c r="AH636" i="2" s="1"/>
  <c r="Q637" i="2"/>
  <c r="AH637" i="2" s="1"/>
  <c r="Q638" i="2"/>
  <c r="AH638" i="2" s="1"/>
  <c r="Q639" i="2"/>
  <c r="AH639" i="2" s="1"/>
  <c r="Q640" i="2"/>
  <c r="AH640" i="2" s="1"/>
  <c r="Q641" i="2"/>
  <c r="AH641" i="2" s="1"/>
  <c r="Q642" i="2"/>
  <c r="AH642" i="2" s="1"/>
  <c r="Q643" i="2"/>
  <c r="AH643" i="2" s="1"/>
  <c r="Q644" i="2"/>
  <c r="AH644" i="2" s="1"/>
  <c r="Q645" i="2"/>
  <c r="AH645" i="2" s="1"/>
  <c r="Q646" i="2"/>
  <c r="AH646" i="2" s="1"/>
  <c r="F44" i="37" s="1"/>
  <c r="Q647" i="2"/>
  <c r="AH647" i="2" s="1"/>
  <c r="Q648" i="2"/>
  <c r="AH648" i="2" s="1"/>
  <c r="Q649" i="2"/>
  <c r="AH649" i="2" s="1"/>
  <c r="Q650" i="2"/>
  <c r="AH650" i="2" s="1"/>
  <c r="Q651" i="2"/>
  <c r="AH651" i="2" s="1"/>
  <c r="Q652" i="2"/>
  <c r="AH652" i="2" s="1"/>
  <c r="Q653" i="2"/>
  <c r="AH653" i="2" s="1"/>
  <c r="Q654" i="2"/>
  <c r="AH654" i="2" s="1"/>
  <c r="Q655" i="2"/>
  <c r="AH655" i="2" s="1"/>
  <c r="Q656" i="2"/>
  <c r="AH656" i="2" s="1"/>
  <c r="Q657" i="2"/>
  <c r="AH657" i="2" s="1"/>
  <c r="Q658" i="2"/>
  <c r="AH658" i="2" s="1"/>
  <c r="Q659" i="2"/>
  <c r="AH659" i="2" s="1"/>
  <c r="Q660" i="2"/>
  <c r="AH660" i="2" s="1"/>
  <c r="Q661" i="2"/>
  <c r="AH661" i="2" s="1"/>
  <c r="Q662" i="2"/>
  <c r="AH662" i="2" s="1"/>
  <c r="Q663" i="2"/>
  <c r="AH663" i="2" s="1"/>
  <c r="Q664" i="2"/>
  <c r="AH664" i="2" s="1"/>
  <c r="Q665" i="2"/>
  <c r="AH665" i="2" s="1"/>
  <c r="Q666" i="2"/>
  <c r="AH666" i="2" s="1"/>
  <c r="Q667" i="2"/>
  <c r="AH667" i="2" s="1"/>
  <c r="Q668" i="2"/>
  <c r="AH668" i="2" s="1"/>
  <c r="Q669" i="2"/>
  <c r="AH669" i="2" s="1"/>
  <c r="Q670" i="2"/>
  <c r="AH670" i="2" s="1"/>
  <c r="Q671" i="2"/>
  <c r="AH671" i="2" s="1"/>
  <c r="Q672" i="2"/>
  <c r="AH672" i="2" s="1"/>
  <c r="Q673" i="2"/>
  <c r="AH673" i="2" s="1"/>
  <c r="Q674" i="2"/>
  <c r="AH674" i="2" s="1"/>
  <c r="Q675" i="2"/>
  <c r="AH675" i="2" s="1"/>
  <c r="Q676" i="2"/>
  <c r="AH676" i="2" s="1"/>
  <c r="Q677" i="2"/>
  <c r="AH677" i="2" s="1"/>
  <c r="Q678" i="2"/>
  <c r="AH678" i="2" s="1"/>
  <c r="Q679" i="2"/>
  <c r="AH679" i="2" s="1"/>
  <c r="Q680" i="2"/>
  <c r="AH680" i="2" s="1"/>
  <c r="Q681" i="2"/>
  <c r="AH681" i="2" s="1"/>
  <c r="Q682" i="2"/>
  <c r="AH682" i="2" s="1"/>
  <c r="Q683" i="2"/>
  <c r="AH683" i="2" s="1"/>
  <c r="I44" i="37" s="1"/>
  <c r="Q684" i="2"/>
  <c r="AH684" i="2" s="1"/>
  <c r="Q685" i="2"/>
  <c r="AH685" i="2" s="1"/>
  <c r="Q686" i="2"/>
  <c r="AH686" i="2" s="1"/>
  <c r="Q687" i="2"/>
  <c r="AH687" i="2" s="1"/>
  <c r="Q688" i="2"/>
  <c r="AH688" i="2" s="1"/>
  <c r="Q689" i="2"/>
  <c r="AH689" i="2" s="1"/>
  <c r="Q690" i="2"/>
  <c r="AH690" i="2" s="1"/>
  <c r="Q691" i="2"/>
  <c r="AH691" i="2" s="1"/>
  <c r="Q692" i="2"/>
  <c r="AH692" i="2" s="1"/>
  <c r="Q693" i="2"/>
  <c r="AH693" i="2" s="1"/>
  <c r="Q694" i="2"/>
  <c r="AH694" i="2" s="1"/>
  <c r="Q695" i="2"/>
  <c r="AH695" i="2" s="1"/>
  <c r="Q696" i="2"/>
  <c r="AH696" i="2" s="1"/>
  <c r="Q697" i="2"/>
  <c r="AH697" i="2" s="1"/>
  <c r="Q698" i="2"/>
  <c r="AH698" i="2" s="1"/>
  <c r="Q699" i="2"/>
  <c r="AH699" i="2" s="1"/>
  <c r="Q700" i="2"/>
  <c r="AH700" i="2" s="1"/>
  <c r="Q701" i="2"/>
  <c r="AH701" i="2" s="1"/>
  <c r="Q702" i="2"/>
  <c r="AH702" i="2" s="1"/>
  <c r="Q703" i="2"/>
  <c r="AH703" i="2" s="1"/>
  <c r="Q704" i="2"/>
  <c r="AH704" i="2" s="1"/>
  <c r="Q705" i="2"/>
  <c r="AH705" i="2" s="1"/>
  <c r="Q706" i="2"/>
  <c r="AH706" i="2" s="1"/>
  <c r="Q707" i="2"/>
  <c r="AH707" i="2" s="1"/>
  <c r="Q708" i="2"/>
  <c r="AH708" i="2" s="1"/>
  <c r="Q709" i="2"/>
  <c r="AH709" i="2" s="1"/>
  <c r="Q710" i="2"/>
  <c r="AH710" i="2" s="1"/>
  <c r="Q711" i="2"/>
  <c r="AH711" i="2" s="1"/>
  <c r="Q712" i="2"/>
  <c r="AH712" i="2" s="1"/>
  <c r="Q713" i="2"/>
  <c r="AH713" i="2" s="1"/>
  <c r="Q714" i="2"/>
  <c r="AH714" i="2" s="1"/>
  <c r="Q715" i="2"/>
  <c r="AH715" i="2" s="1"/>
  <c r="Q716" i="2"/>
  <c r="AH716" i="2" s="1"/>
  <c r="Q717" i="2"/>
  <c r="AH717" i="2" s="1"/>
  <c r="Q718" i="2"/>
  <c r="AH718" i="2" s="1"/>
  <c r="Q719" i="2"/>
  <c r="AH719" i="2" s="1"/>
  <c r="Q720" i="2"/>
  <c r="AH720" i="2" s="1"/>
  <c r="Q721" i="2"/>
  <c r="AH721" i="2" s="1"/>
  <c r="Q722" i="2"/>
  <c r="AH722" i="2" s="1"/>
  <c r="Q723" i="2"/>
  <c r="AH723" i="2" s="1"/>
  <c r="Q724" i="2"/>
  <c r="AH724" i="2" s="1"/>
  <c r="Q725" i="2"/>
  <c r="AH725" i="2" s="1"/>
  <c r="Q726" i="2"/>
  <c r="AH726" i="2" s="1"/>
  <c r="Q727" i="2"/>
  <c r="AH727" i="2" s="1"/>
  <c r="Q728" i="2"/>
  <c r="AH728" i="2" s="1"/>
  <c r="Q729" i="2"/>
  <c r="AH729" i="2" s="1"/>
  <c r="Q730" i="2"/>
  <c r="AH730" i="2" s="1"/>
  <c r="Q731" i="2"/>
  <c r="AH731" i="2" s="1"/>
  <c r="Q732" i="2"/>
  <c r="AH732" i="2" s="1"/>
  <c r="Q733" i="2"/>
  <c r="AH733" i="2" s="1"/>
  <c r="Q734" i="2"/>
  <c r="AH734" i="2" s="1"/>
  <c r="Q735" i="2"/>
  <c r="AH735" i="2" s="1"/>
  <c r="Q736" i="2"/>
  <c r="AH736" i="2" s="1"/>
  <c r="C44" i="37" s="1"/>
  <c r="Q737" i="2"/>
  <c r="AH737" i="2" s="1"/>
  <c r="Q738" i="2"/>
  <c r="AH738" i="2" s="1"/>
  <c r="Q739" i="2"/>
  <c r="AH739" i="2" s="1"/>
  <c r="Q740" i="2"/>
  <c r="AH740" i="2" s="1"/>
  <c r="Q741" i="2"/>
  <c r="AH741" i="2" s="1"/>
  <c r="Q742" i="2"/>
  <c r="AH742" i="2" s="1"/>
  <c r="Q743" i="2"/>
  <c r="AH743" i="2" s="1"/>
  <c r="Q744" i="2"/>
  <c r="AH744" i="2" s="1"/>
  <c r="E42" i="37" s="1"/>
  <c r="Q745" i="2"/>
  <c r="AH745" i="2" s="1"/>
  <c r="Q746" i="2"/>
  <c r="AH746" i="2" s="1"/>
  <c r="Q747" i="2"/>
  <c r="AH747" i="2" s="1"/>
  <c r="Q748" i="2"/>
  <c r="AH748" i="2" s="1"/>
  <c r="F42" i="37" s="1"/>
  <c r="Q749" i="2"/>
  <c r="AH749" i="2" s="1"/>
  <c r="Q750" i="2"/>
  <c r="AH750" i="2" s="1"/>
  <c r="Q751" i="2"/>
  <c r="AH751" i="2" s="1"/>
  <c r="Q752" i="2"/>
  <c r="AH752" i="2" s="1"/>
  <c r="Q753" i="2"/>
  <c r="AH753" i="2" s="1"/>
  <c r="Q754" i="2"/>
  <c r="AH754" i="2" s="1"/>
  <c r="Q755" i="2"/>
  <c r="AH755" i="2" s="1"/>
  <c r="Q756" i="2"/>
  <c r="AH756" i="2" s="1"/>
  <c r="Q757" i="2"/>
  <c r="AH757" i="2" s="1"/>
  <c r="Q758" i="2"/>
  <c r="AH758" i="2" s="1"/>
  <c r="I42" i="37" s="1"/>
  <c r="Q759" i="2"/>
  <c r="AH759" i="2" s="1"/>
  <c r="L42" i="37" s="1"/>
  <c r="Q760" i="2"/>
  <c r="AH760" i="2" s="1"/>
  <c r="Q761" i="2"/>
  <c r="AH761" i="2" s="1"/>
  <c r="Q762" i="2"/>
  <c r="AH762" i="2" s="1"/>
  <c r="Q763" i="2"/>
  <c r="AH763" i="2" s="1"/>
  <c r="Q764" i="2"/>
  <c r="AH764" i="2" s="1"/>
  <c r="Q765" i="2"/>
  <c r="AH765" i="2" s="1"/>
  <c r="Q766" i="2"/>
  <c r="AH766" i="2" s="1"/>
  <c r="Q767" i="2"/>
  <c r="AH767" i="2" s="1"/>
  <c r="Q768" i="2"/>
  <c r="AH768" i="2" s="1"/>
  <c r="Q769" i="2"/>
  <c r="AH769" i="2" s="1"/>
  <c r="Q770" i="2"/>
  <c r="AH770" i="2" s="1"/>
  <c r="Q771" i="2"/>
  <c r="AH771" i="2" s="1"/>
  <c r="Q772" i="2"/>
  <c r="AH772" i="2" s="1"/>
  <c r="Q773" i="2"/>
  <c r="AH773" i="2" s="1"/>
  <c r="Q774" i="2"/>
  <c r="AH774" i="2" s="1"/>
  <c r="Q775" i="2"/>
  <c r="AH775" i="2" s="1"/>
  <c r="Q776" i="2"/>
  <c r="AH776" i="2" s="1"/>
  <c r="Q777" i="2"/>
  <c r="AH777" i="2" s="1"/>
  <c r="Q778" i="2"/>
  <c r="AH778" i="2" s="1"/>
  <c r="Q779" i="2"/>
  <c r="AH779" i="2" s="1"/>
  <c r="Q780" i="2"/>
  <c r="AH780" i="2" s="1"/>
  <c r="Q781" i="2"/>
  <c r="AH781" i="2" s="1"/>
  <c r="Q782" i="2"/>
  <c r="AH782" i="2" s="1"/>
  <c r="Q783" i="2"/>
  <c r="AH783" i="2" s="1"/>
  <c r="Q784" i="2"/>
  <c r="AH784" i="2" s="1"/>
  <c r="Q785" i="2"/>
  <c r="AH785" i="2" s="1"/>
  <c r="Q786" i="2"/>
  <c r="AH786" i="2" s="1"/>
  <c r="Q787" i="2"/>
  <c r="AH787" i="2" s="1"/>
  <c r="Q788" i="2"/>
  <c r="AH788" i="2" s="1"/>
  <c r="Q789" i="2"/>
  <c r="AH789" i="2" s="1"/>
  <c r="Q790" i="2"/>
  <c r="AH790" i="2" s="1"/>
  <c r="Q791" i="2"/>
  <c r="AH791" i="2" s="1"/>
  <c r="Q792" i="2"/>
  <c r="AH792" i="2" s="1"/>
  <c r="Q793" i="2"/>
  <c r="AH793" i="2" s="1"/>
  <c r="Q794" i="2"/>
  <c r="AH794" i="2" s="1"/>
  <c r="Q795" i="2"/>
  <c r="AH795" i="2" s="1"/>
  <c r="Q796" i="2"/>
  <c r="AH796" i="2" s="1"/>
  <c r="Q797" i="2"/>
  <c r="AH797" i="2" s="1"/>
  <c r="Q798" i="2"/>
  <c r="AH798" i="2" s="1"/>
  <c r="Q799" i="2"/>
  <c r="AH799" i="2" s="1"/>
  <c r="Q800" i="2"/>
  <c r="AH800" i="2" s="1"/>
  <c r="Q801" i="2"/>
  <c r="AH801" i="2" s="1"/>
  <c r="Q802" i="2"/>
  <c r="AH802" i="2" s="1"/>
  <c r="Q803" i="2"/>
  <c r="AH803" i="2" s="1"/>
  <c r="Q804" i="2"/>
  <c r="AH804" i="2" s="1"/>
  <c r="Q805" i="2"/>
  <c r="AH805" i="2" s="1"/>
  <c r="Q806" i="2"/>
  <c r="AH806" i="2" s="1"/>
  <c r="Q807" i="2"/>
  <c r="AH807" i="2" s="1"/>
  <c r="Q808" i="2"/>
  <c r="AH808" i="2" s="1"/>
  <c r="Q809" i="2"/>
  <c r="AH809" i="2" s="1"/>
  <c r="Q810" i="2"/>
  <c r="AH810" i="2" s="1"/>
  <c r="Q811" i="2"/>
  <c r="AH811" i="2" s="1"/>
  <c r="Q812" i="2"/>
  <c r="AH812" i="2" s="1"/>
  <c r="Q813" i="2"/>
  <c r="AH813" i="2" s="1"/>
  <c r="Q814" i="2"/>
  <c r="AH814" i="2" s="1"/>
  <c r="Q815" i="2"/>
  <c r="AH815" i="2" s="1"/>
  <c r="Q816" i="2"/>
  <c r="AH816" i="2" s="1"/>
  <c r="Q817" i="2"/>
  <c r="AH817" i="2" s="1"/>
  <c r="Q818" i="2"/>
  <c r="AH818" i="2" s="1"/>
  <c r="Q819" i="2"/>
  <c r="AH819" i="2" s="1"/>
  <c r="Q820" i="2"/>
  <c r="AH820" i="2" s="1"/>
  <c r="Q821" i="2"/>
  <c r="AH821" i="2" s="1"/>
  <c r="Q822" i="2"/>
  <c r="AH822" i="2" s="1"/>
  <c r="F48" i="37" s="1"/>
  <c r="Q823" i="2"/>
  <c r="AH823" i="2" s="1"/>
  <c r="Q824" i="2"/>
  <c r="AH824" i="2" s="1"/>
  <c r="Q825" i="2"/>
  <c r="AH825" i="2" s="1"/>
  <c r="Q826" i="2"/>
  <c r="AH826" i="2" s="1"/>
  <c r="Q827" i="2"/>
  <c r="AH827" i="2" s="1"/>
  <c r="Q828" i="2"/>
  <c r="AH828" i="2" s="1"/>
  <c r="Q829" i="2"/>
  <c r="AH829" i="2" s="1"/>
  <c r="Q830" i="2"/>
  <c r="AH830" i="2" s="1"/>
  <c r="Q831" i="2"/>
  <c r="AH831" i="2" s="1"/>
  <c r="E48" i="37" s="1"/>
  <c r="Q832" i="2"/>
  <c r="AH832" i="2" s="1"/>
  <c r="Q833" i="2"/>
  <c r="AH833" i="2" s="1"/>
  <c r="Q834" i="2"/>
  <c r="AH834" i="2" s="1"/>
  <c r="Q835" i="2"/>
  <c r="AH835" i="2" s="1"/>
  <c r="Q836" i="2"/>
  <c r="AH836" i="2" s="1"/>
  <c r="Q837" i="2"/>
  <c r="AH837" i="2" s="1"/>
  <c r="I48" i="37" s="1"/>
  <c r="Q838" i="2"/>
  <c r="AH838" i="2" s="1"/>
  <c r="Q839" i="2"/>
  <c r="AH839" i="2" s="1"/>
  <c r="Q840" i="2"/>
  <c r="AH840" i="2" s="1"/>
  <c r="Q841" i="2"/>
  <c r="AH841" i="2" s="1"/>
  <c r="Q842" i="2"/>
  <c r="AH842" i="2" s="1"/>
  <c r="Q843" i="2"/>
  <c r="AH843" i="2" s="1"/>
  <c r="Q844" i="2"/>
  <c r="AH844" i="2" s="1"/>
  <c r="Q845" i="2"/>
  <c r="AH845" i="2" s="1"/>
  <c r="G48" i="37" s="1"/>
  <c r="Q846" i="2"/>
  <c r="AH846" i="2" s="1"/>
  <c r="Q847" i="2"/>
  <c r="AH847" i="2" s="1"/>
  <c r="Q848" i="2"/>
  <c r="AH848" i="2" s="1"/>
  <c r="Q849" i="2"/>
  <c r="AH849" i="2" s="1"/>
  <c r="Q850" i="2"/>
  <c r="AH850" i="2" s="1"/>
  <c r="Q851" i="2"/>
  <c r="AH851" i="2" s="1"/>
  <c r="Q852" i="2"/>
  <c r="AH852" i="2" s="1"/>
  <c r="Q853" i="2"/>
  <c r="AH853" i="2" s="1"/>
  <c r="Q854" i="2"/>
  <c r="AH854" i="2" s="1"/>
  <c r="Q855" i="2"/>
  <c r="AH855" i="2" s="1"/>
  <c r="Q856" i="2"/>
  <c r="AH856" i="2" s="1"/>
  <c r="Q857" i="2"/>
  <c r="AH857" i="2" s="1"/>
  <c r="Q858" i="2"/>
  <c r="AH858" i="2" s="1"/>
  <c r="Q859" i="2"/>
  <c r="AH859" i="2" s="1"/>
  <c r="Q860" i="2"/>
  <c r="AH860" i="2" s="1"/>
  <c r="Q861" i="2"/>
  <c r="AH861" i="2" s="1"/>
  <c r="Q862" i="2"/>
  <c r="AH862" i="2" s="1"/>
  <c r="Q863" i="2"/>
  <c r="AH863" i="2" s="1"/>
  <c r="Q864" i="2"/>
  <c r="AH864" i="2" s="1"/>
  <c r="Q865" i="2"/>
  <c r="AH865" i="2" s="1"/>
  <c r="Q866" i="2"/>
  <c r="AH866" i="2" s="1"/>
  <c r="Q867" i="2"/>
  <c r="AH867" i="2" s="1"/>
  <c r="Q868" i="2"/>
  <c r="AH868" i="2" s="1"/>
  <c r="Q869" i="2"/>
  <c r="AH869" i="2" s="1"/>
  <c r="Q870" i="2"/>
  <c r="AH870" i="2" s="1"/>
  <c r="Q871" i="2"/>
  <c r="AH871" i="2" s="1"/>
  <c r="Q872" i="2"/>
  <c r="AH872" i="2" s="1"/>
  <c r="Q873" i="2"/>
  <c r="AH873" i="2" s="1"/>
  <c r="Q874" i="2"/>
  <c r="AH874" i="2" s="1"/>
  <c r="Q875" i="2"/>
  <c r="AH875" i="2" s="1"/>
  <c r="Q876" i="2"/>
  <c r="AH876" i="2" s="1"/>
  <c r="Q877" i="2"/>
  <c r="AH877" i="2" s="1"/>
  <c r="Q878" i="2"/>
  <c r="AH878" i="2" s="1"/>
  <c r="Q879" i="2"/>
  <c r="AH879" i="2" s="1"/>
  <c r="Q880" i="2"/>
  <c r="AH880" i="2" s="1"/>
  <c r="E40" i="37" s="1"/>
  <c r="Q881" i="2"/>
  <c r="AH881" i="2" s="1"/>
  <c r="F40" i="37" s="1"/>
  <c r="Q882" i="2"/>
  <c r="AH882" i="2" s="1"/>
  <c r="Q883" i="2"/>
  <c r="AH883" i="2" s="1"/>
  <c r="Q884" i="2"/>
  <c r="AH884" i="2" s="1"/>
  <c r="Q885" i="2"/>
  <c r="AH885" i="2" s="1"/>
  <c r="Q886" i="2"/>
  <c r="AH886" i="2" s="1"/>
  <c r="Q887" i="2"/>
  <c r="AH887" i="2" s="1"/>
  <c r="L40" i="37" s="1"/>
  <c r="Q888" i="2"/>
  <c r="AH888" i="2" s="1"/>
  <c r="Q889" i="2"/>
  <c r="AH889" i="2" s="1"/>
  <c r="Q890" i="2"/>
  <c r="AH890" i="2" s="1"/>
  <c r="Q891" i="2"/>
  <c r="AH891" i="2" s="1"/>
  <c r="Q892" i="2"/>
  <c r="AH892" i="2" s="1"/>
  <c r="Q893" i="2"/>
  <c r="AH893" i="2" s="1"/>
  <c r="Q894" i="2"/>
  <c r="AH894" i="2" s="1"/>
  <c r="Q895" i="2"/>
  <c r="AH895" i="2" s="1"/>
  <c r="Q896" i="2"/>
  <c r="AH896" i="2" s="1"/>
  <c r="Q897" i="2"/>
  <c r="AH897" i="2" s="1"/>
  <c r="Q898" i="2"/>
  <c r="AH898" i="2" s="1"/>
  <c r="Q899" i="2"/>
  <c r="AH899" i="2" s="1"/>
  <c r="Q900" i="2"/>
  <c r="AH900" i="2" s="1"/>
  <c r="I40" i="37" s="1"/>
  <c r="Q901" i="2"/>
  <c r="AH901" i="2" s="1"/>
  <c r="Q902" i="2"/>
  <c r="AH902" i="2" s="1"/>
  <c r="Q903" i="2"/>
  <c r="AH903" i="2" s="1"/>
  <c r="Q904" i="2"/>
  <c r="AH904" i="2" s="1"/>
  <c r="Q905" i="2"/>
  <c r="AH905" i="2" s="1"/>
  <c r="Q906" i="2"/>
  <c r="AH906" i="2" s="1"/>
  <c r="Q907" i="2"/>
  <c r="AH907" i="2" s="1"/>
  <c r="Q908" i="2"/>
  <c r="AH908" i="2" s="1"/>
  <c r="Q909" i="2"/>
  <c r="AH909" i="2" s="1"/>
  <c r="Q910" i="2"/>
  <c r="AH910" i="2" s="1"/>
  <c r="Q911" i="2"/>
  <c r="AH911" i="2" s="1"/>
  <c r="Q912" i="2"/>
  <c r="AH912" i="2" s="1"/>
  <c r="Q913" i="2"/>
  <c r="AH913" i="2" s="1"/>
  <c r="Q914" i="2"/>
  <c r="AH914" i="2" s="1"/>
  <c r="G40" i="37" s="1"/>
  <c r="Q915" i="2"/>
  <c r="AH915" i="2" s="1"/>
  <c r="Q916" i="2"/>
  <c r="AH916" i="2" s="1"/>
  <c r="Q917" i="2"/>
  <c r="AH917" i="2" s="1"/>
  <c r="Q918" i="2"/>
  <c r="AH918" i="2" s="1"/>
  <c r="Q919" i="2"/>
  <c r="AH919" i="2" s="1"/>
  <c r="Q920" i="2"/>
  <c r="AH920" i="2" s="1"/>
  <c r="Q921" i="2"/>
  <c r="AH921" i="2" s="1"/>
  <c r="Q922" i="2"/>
  <c r="AH922" i="2" s="1"/>
  <c r="Q923" i="2"/>
  <c r="AH923" i="2" s="1"/>
  <c r="Q924" i="2"/>
  <c r="AH924" i="2" s="1"/>
  <c r="Q925" i="2"/>
  <c r="AH925" i="2" s="1"/>
  <c r="Q926" i="2"/>
  <c r="AH926" i="2" s="1"/>
  <c r="Q927" i="2"/>
  <c r="AH927" i="2" s="1"/>
  <c r="Q928" i="2"/>
  <c r="AH928" i="2" s="1"/>
  <c r="Q929" i="2"/>
  <c r="AH929" i="2" s="1"/>
  <c r="Q930" i="2"/>
  <c r="AH930" i="2" s="1"/>
  <c r="Q931" i="2"/>
  <c r="AH931" i="2" s="1"/>
  <c r="Q932" i="2"/>
  <c r="AH932" i="2" s="1"/>
  <c r="Q933" i="2"/>
  <c r="AH933" i="2" s="1"/>
  <c r="Q934" i="2"/>
  <c r="AH934" i="2" s="1"/>
  <c r="Q935" i="2"/>
  <c r="AH935" i="2" s="1"/>
  <c r="Q936" i="2"/>
  <c r="AH936" i="2" s="1"/>
  <c r="Q937" i="2"/>
  <c r="AH937" i="2" s="1"/>
  <c r="Q938" i="2"/>
  <c r="AH938" i="2" s="1"/>
  <c r="Q939" i="2"/>
  <c r="AH939" i="2" s="1"/>
  <c r="Q940" i="2"/>
  <c r="AH940" i="2" s="1"/>
  <c r="Q941" i="2"/>
  <c r="AH941" i="2" s="1"/>
  <c r="Q942" i="2"/>
  <c r="AH942" i="2" s="1"/>
  <c r="Q943" i="2"/>
  <c r="AH943" i="2" s="1"/>
  <c r="Q944" i="2"/>
  <c r="AH944" i="2" s="1"/>
  <c r="Q945" i="2"/>
  <c r="AH945" i="2" s="1"/>
  <c r="Q946" i="2"/>
  <c r="AH946" i="2" s="1"/>
  <c r="Q947" i="2"/>
  <c r="AH947" i="2" s="1"/>
  <c r="Q948" i="2"/>
  <c r="AH948" i="2" s="1"/>
  <c r="Q949" i="2"/>
  <c r="AH949" i="2" s="1"/>
  <c r="Q950" i="2"/>
  <c r="AH950" i="2" s="1"/>
  <c r="Q951" i="2"/>
  <c r="AH951" i="2" s="1"/>
  <c r="Q952" i="2"/>
  <c r="AH952" i="2" s="1"/>
  <c r="Q953" i="2"/>
  <c r="AH953" i="2" s="1"/>
  <c r="Q954" i="2"/>
  <c r="AH954" i="2" s="1"/>
  <c r="Q955" i="2"/>
  <c r="AH955" i="2" s="1"/>
  <c r="Q956" i="2"/>
  <c r="AH956" i="2" s="1"/>
  <c r="Q957" i="2"/>
  <c r="AH957" i="2" s="1"/>
  <c r="Q958" i="2"/>
  <c r="AH958" i="2" s="1"/>
  <c r="Q959" i="2"/>
  <c r="AH959" i="2" s="1"/>
  <c r="Q960" i="2"/>
  <c r="AH960" i="2" s="1"/>
  <c r="Q961" i="2"/>
  <c r="AH961" i="2" s="1"/>
  <c r="Q962" i="2"/>
  <c r="AH962" i="2" s="1"/>
  <c r="Q963" i="2"/>
  <c r="AH963" i="2" s="1"/>
  <c r="Q964" i="2"/>
  <c r="AH964" i="2" s="1"/>
  <c r="Q965" i="2"/>
  <c r="AH965" i="2" s="1"/>
  <c r="Q966" i="2"/>
  <c r="AH966" i="2" s="1"/>
  <c r="Q967" i="2"/>
  <c r="AH967" i="2" s="1"/>
  <c r="Q968" i="2"/>
  <c r="AH968" i="2" s="1"/>
  <c r="Q969" i="2"/>
  <c r="AH969" i="2" s="1"/>
  <c r="Q970" i="2"/>
  <c r="AH970" i="2" s="1"/>
  <c r="Q971" i="2"/>
  <c r="AH971" i="2" s="1"/>
  <c r="Q972" i="2"/>
  <c r="AH972" i="2" s="1"/>
  <c r="Q973" i="2"/>
  <c r="AH973" i="2" s="1"/>
  <c r="Q974" i="2"/>
  <c r="AH974" i="2" s="1"/>
  <c r="Q975" i="2"/>
  <c r="AH975" i="2" s="1"/>
  <c r="Q976" i="2"/>
  <c r="AH976" i="2" s="1"/>
  <c r="Q977" i="2"/>
  <c r="AH977" i="2" s="1"/>
  <c r="Q978" i="2"/>
  <c r="AH978" i="2" s="1"/>
  <c r="Q979" i="2"/>
  <c r="AH979" i="2" s="1"/>
  <c r="J40" i="37" s="1"/>
  <c r="J52" i="37" s="1"/>
  <c r="Q980" i="2"/>
  <c r="AH980" i="2" s="1"/>
  <c r="Q981" i="2"/>
  <c r="AH981" i="2" s="1"/>
  <c r="Q982" i="2"/>
  <c r="AH982" i="2" s="1"/>
  <c r="Q983" i="2"/>
  <c r="AH983" i="2" s="1"/>
  <c r="Q984" i="2"/>
  <c r="AH984" i="2" s="1"/>
  <c r="Q985" i="2"/>
  <c r="AH985" i="2" s="1"/>
  <c r="Q986" i="2"/>
  <c r="AH986" i="2" s="1"/>
  <c r="Q987" i="2"/>
  <c r="AH987" i="2" s="1"/>
  <c r="Q988" i="2"/>
  <c r="AH988" i="2" s="1"/>
  <c r="Q989" i="2"/>
  <c r="AH989" i="2" s="1"/>
  <c r="Q990" i="2"/>
  <c r="AH990" i="2" s="1"/>
  <c r="Q991" i="2"/>
  <c r="AH991" i="2" s="1"/>
  <c r="Q992" i="2"/>
  <c r="AH992" i="2" s="1"/>
  <c r="Q993" i="2"/>
  <c r="AH993" i="2" s="1"/>
  <c r="Q994" i="2"/>
  <c r="AH994" i="2" s="1"/>
  <c r="Q995" i="2"/>
  <c r="AH995" i="2" s="1"/>
  <c r="Q996" i="2"/>
  <c r="AH996" i="2" s="1"/>
  <c r="Q997" i="2"/>
  <c r="AH997" i="2" s="1"/>
  <c r="Q998" i="2"/>
  <c r="AH998" i="2" s="1"/>
  <c r="Q999" i="2"/>
  <c r="AH999" i="2" s="1"/>
  <c r="Q1000" i="2"/>
  <c r="AH1000" i="2" s="1"/>
  <c r="Q1001" i="2"/>
  <c r="AH1001" i="2" s="1"/>
  <c r="Q1002" i="2"/>
  <c r="AH1002" i="2" s="1"/>
  <c r="Q1003" i="2"/>
  <c r="AH1003" i="2" s="1"/>
  <c r="Q1004" i="2"/>
  <c r="AH1004" i="2" s="1"/>
  <c r="Q1005" i="2"/>
  <c r="AH1005" i="2" s="1"/>
  <c r="Q1006" i="2"/>
  <c r="AH1006" i="2" s="1"/>
  <c r="Q1007" i="2"/>
  <c r="AH1007" i="2" s="1"/>
  <c r="Q1008" i="2"/>
  <c r="AH1008" i="2" s="1"/>
  <c r="F47" i="37" s="1"/>
  <c r="Q1009" i="2"/>
  <c r="AH1009" i="2" s="1"/>
  <c r="Q1010" i="2"/>
  <c r="AH1010" i="2" s="1"/>
  <c r="Q1011" i="2"/>
  <c r="AH1011" i="2" s="1"/>
  <c r="Q1012" i="2"/>
  <c r="AH1012" i="2" s="1"/>
  <c r="Q1013" i="2"/>
  <c r="AH1013" i="2" s="1"/>
  <c r="Q1014" i="2"/>
  <c r="AH1014" i="2" s="1"/>
  <c r="Q1015" i="2"/>
  <c r="AH1015" i="2" s="1"/>
  <c r="Q1016" i="2"/>
  <c r="AH1016" i="2" s="1"/>
  <c r="Q1017" i="2"/>
  <c r="AH1017" i="2" s="1"/>
  <c r="G47" i="37" s="1"/>
  <c r="Q1018" i="2"/>
  <c r="AH1018" i="2" s="1"/>
  <c r="Q1019" i="2"/>
  <c r="AH1019" i="2" s="1"/>
  <c r="Q1020" i="2"/>
  <c r="AH1020" i="2" s="1"/>
  <c r="Q1021" i="2"/>
  <c r="AH1021" i="2" s="1"/>
  <c r="Q1022" i="2"/>
  <c r="AH1022" i="2" s="1"/>
  <c r="Q1023" i="2"/>
  <c r="AH1023" i="2" s="1"/>
  <c r="K47" i="37" s="1"/>
  <c r="Q1024" i="2"/>
  <c r="AH1024" i="2" s="1"/>
  <c r="E47" i="37" s="1"/>
  <c r="Q1025" i="2"/>
  <c r="AH1025" i="2" s="1"/>
  <c r="Q1026" i="2"/>
  <c r="AH1026" i="2" s="1"/>
  <c r="Q1027" i="2"/>
  <c r="AH1027" i="2" s="1"/>
  <c r="Q1028" i="2"/>
  <c r="AH1028" i="2" s="1"/>
  <c r="Q1029" i="2"/>
  <c r="AH1029" i="2" s="1"/>
  <c r="Q1030" i="2"/>
  <c r="AH1030" i="2" s="1"/>
  <c r="Q1031" i="2"/>
  <c r="AH1031" i="2" s="1"/>
  <c r="Q1032" i="2"/>
  <c r="AH1032" i="2" s="1"/>
  <c r="Q1033" i="2"/>
  <c r="AH1033" i="2" s="1"/>
  <c r="Q1034" i="2"/>
  <c r="AH1034" i="2" s="1"/>
  <c r="Q1035" i="2"/>
  <c r="AH1035" i="2" s="1"/>
  <c r="Q1036" i="2"/>
  <c r="AH1036" i="2" s="1"/>
  <c r="Q1037" i="2"/>
  <c r="AH1037" i="2" s="1"/>
  <c r="Q1038" i="2"/>
  <c r="AH1038" i="2" s="1"/>
  <c r="Q1039" i="2"/>
  <c r="AH1039" i="2" s="1"/>
  <c r="Q1040" i="2"/>
  <c r="AH1040" i="2" s="1"/>
  <c r="Q1041" i="2"/>
  <c r="AH1041" i="2" s="1"/>
  <c r="Q1042" i="2"/>
  <c r="AH1042" i="2" s="1"/>
  <c r="Q1043" i="2"/>
  <c r="AH1043" i="2" s="1"/>
  <c r="Q1044" i="2"/>
  <c r="AH1044" i="2" s="1"/>
  <c r="Q1045" i="2"/>
  <c r="AH1045" i="2" s="1"/>
  <c r="Q1046" i="2"/>
  <c r="AH1046" i="2" s="1"/>
  <c r="Q1047" i="2"/>
  <c r="AH1047" i="2" s="1"/>
  <c r="Q1048" i="2"/>
  <c r="AH1048" i="2" s="1"/>
  <c r="Q1049" i="2"/>
  <c r="AH1049" i="2" s="1"/>
  <c r="Q1050" i="2"/>
  <c r="AH1050" i="2" s="1"/>
  <c r="Q1051" i="2"/>
  <c r="AH1051" i="2" s="1"/>
  <c r="Q1052" i="2"/>
  <c r="AH1052" i="2" s="1"/>
  <c r="Q1053" i="2"/>
  <c r="AH1053" i="2" s="1"/>
  <c r="Q1054" i="2"/>
  <c r="AH1054" i="2" s="1"/>
  <c r="Q1055" i="2"/>
  <c r="AH1055" i="2" s="1"/>
  <c r="Q1056" i="2"/>
  <c r="AH1056" i="2" s="1"/>
  <c r="Q1057" i="2"/>
  <c r="AH1057" i="2" s="1"/>
  <c r="Q1058" i="2"/>
  <c r="AH1058" i="2" s="1"/>
  <c r="Q1059" i="2"/>
  <c r="AH1059" i="2" s="1"/>
  <c r="Q1060" i="2"/>
  <c r="AH1060" i="2" s="1"/>
  <c r="Q1061" i="2"/>
  <c r="AH1061" i="2" s="1"/>
  <c r="Q1062" i="2"/>
  <c r="AH1062" i="2" s="1"/>
  <c r="Q1063" i="2"/>
  <c r="AH1063" i="2" s="1"/>
  <c r="Q1064" i="2"/>
  <c r="AH1064" i="2" s="1"/>
  <c r="Q1065" i="2"/>
  <c r="AH1065" i="2" s="1"/>
  <c r="Q1066" i="2"/>
  <c r="AH1066" i="2" s="1"/>
  <c r="Q1067" i="2"/>
  <c r="AH1067" i="2" s="1"/>
  <c r="Q1068" i="2"/>
  <c r="AH1068" i="2" s="1"/>
  <c r="Q1069" i="2"/>
  <c r="AH1069" i="2" s="1"/>
  <c r="Q1070" i="2"/>
  <c r="AH1070" i="2" s="1"/>
  <c r="Q1071" i="2"/>
  <c r="AH1071" i="2" s="1"/>
  <c r="Q1072" i="2"/>
  <c r="AH1072" i="2" s="1"/>
  <c r="Q1073" i="2"/>
  <c r="AH1073" i="2" s="1"/>
  <c r="Q1074" i="2"/>
  <c r="AH1074" i="2" s="1"/>
  <c r="Q1075" i="2"/>
  <c r="AH1075" i="2" s="1"/>
  <c r="I47" i="37" s="1"/>
  <c r="Q1076" i="2"/>
  <c r="AH1076" i="2" s="1"/>
  <c r="Q1077" i="2"/>
  <c r="AH1077" i="2" s="1"/>
  <c r="Q1078" i="2"/>
  <c r="AH1078" i="2" s="1"/>
  <c r="Q1079" i="2"/>
  <c r="AH1079" i="2" s="1"/>
  <c r="Q1080" i="2"/>
  <c r="AH1080" i="2" s="1"/>
  <c r="Q1081" i="2"/>
  <c r="AH1081" i="2" s="1"/>
  <c r="Q1082" i="2"/>
  <c r="AH1082" i="2" s="1"/>
  <c r="Q1083" i="2"/>
  <c r="AH1083" i="2" s="1"/>
  <c r="Q1084" i="2"/>
  <c r="AH1084" i="2" s="1"/>
  <c r="Q1085" i="2"/>
  <c r="AH1085" i="2" s="1"/>
  <c r="Q1086" i="2"/>
  <c r="AH1086" i="2" s="1"/>
  <c r="Q1087" i="2"/>
  <c r="AH1087" i="2" s="1"/>
  <c r="Q1088" i="2"/>
  <c r="AH1088" i="2" s="1"/>
  <c r="Q1089" i="2"/>
  <c r="AH1089" i="2" s="1"/>
  <c r="Q1090" i="2"/>
  <c r="AH1090" i="2" s="1"/>
  <c r="Q1091" i="2"/>
  <c r="AH1091" i="2" s="1"/>
  <c r="Q1092" i="2"/>
  <c r="AH1092" i="2" s="1"/>
  <c r="Q1093" i="2"/>
  <c r="AH1093" i="2" s="1"/>
  <c r="Q1094" i="2"/>
  <c r="AH1094" i="2" s="1"/>
  <c r="Q1095" i="2"/>
  <c r="AH1095" i="2" s="1"/>
  <c r="Q1096" i="2"/>
  <c r="AH1096" i="2" s="1"/>
  <c r="Q1097" i="2"/>
  <c r="AH1097" i="2" s="1"/>
  <c r="Q1098" i="2"/>
  <c r="AH1098" i="2" s="1"/>
  <c r="Q1099" i="2"/>
  <c r="AH1099" i="2" s="1"/>
  <c r="Q1100" i="2"/>
  <c r="AH1100" i="2" s="1"/>
  <c r="Q1101" i="2"/>
  <c r="AH1101" i="2" s="1"/>
  <c r="Q1102" i="2"/>
  <c r="AH1102" i="2" s="1"/>
  <c r="Q1103" i="2"/>
  <c r="AH1103" i="2" s="1"/>
  <c r="Q1104" i="2"/>
  <c r="AH1104" i="2" s="1"/>
  <c r="Q1105" i="2"/>
  <c r="AH1105" i="2" s="1"/>
  <c r="Q1106" i="2"/>
  <c r="AH1106" i="2" s="1"/>
  <c r="Q1107" i="2"/>
  <c r="AH1107" i="2" s="1"/>
  <c r="Q1108" i="2"/>
  <c r="AH1108" i="2" s="1"/>
  <c r="Q1109" i="2"/>
  <c r="AH1109" i="2" s="1"/>
  <c r="Q1110" i="2"/>
  <c r="AH1110" i="2" s="1"/>
  <c r="Q1111" i="2"/>
  <c r="AH1111" i="2" s="1"/>
  <c r="Q1112" i="2"/>
  <c r="AH1112" i="2" s="1"/>
  <c r="Q1113" i="2"/>
  <c r="AH1113" i="2" s="1"/>
  <c r="Q1114" i="2"/>
  <c r="AH1114" i="2" s="1"/>
  <c r="Q1115" i="2"/>
  <c r="AH1115" i="2" s="1"/>
  <c r="D40" i="37" s="1"/>
  <c r="Q1116" i="2"/>
  <c r="AH1116" i="2" s="1"/>
  <c r="Q1117" i="2"/>
  <c r="AH1117" i="2" s="1"/>
  <c r="Q1118" i="2"/>
  <c r="AH1118" i="2" s="1"/>
  <c r="Q1119" i="2"/>
  <c r="AH1119" i="2" s="1"/>
  <c r="Q1120" i="2"/>
  <c r="AH1120" i="2" s="1"/>
  <c r="Q1121" i="2"/>
  <c r="AH1121" i="2" s="1"/>
  <c r="Q1122" i="2"/>
  <c r="AH1122" i="2" s="1"/>
  <c r="Q1123" i="2"/>
  <c r="AH1123" i="2" s="1"/>
  <c r="Q1124" i="2"/>
  <c r="AH1124" i="2" s="1"/>
  <c r="Q1125" i="2"/>
  <c r="AH1125" i="2" s="1"/>
  <c r="Q1126" i="2"/>
  <c r="AH1126" i="2" s="1"/>
  <c r="Q1127" i="2"/>
  <c r="AH1127" i="2" s="1"/>
  <c r="Q1128" i="2"/>
  <c r="AH1128" i="2" s="1"/>
  <c r="Q1129" i="2"/>
  <c r="AH1129" i="2" s="1"/>
  <c r="Q1130" i="2"/>
  <c r="AH1130" i="2" s="1"/>
  <c r="Q1131" i="2"/>
  <c r="AH1131" i="2" s="1"/>
  <c r="Q1132" i="2"/>
  <c r="AH1132" i="2" s="1"/>
  <c r="Q1133" i="2"/>
  <c r="AH1133" i="2" s="1"/>
  <c r="Q1134" i="2"/>
  <c r="AH1134" i="2" s="1"/>
  <c r="Q1135" i="2"/>
  <c r="AH1135" i="2" s="1"/>
  <c r="Q1136" i="2"/>
  <c r="AH1136" i="2" s="1"/>
  <c r="Q1137" i="2"/>
  <c r="AH1137" i="2" s="1"/>
  <c r="Q1138" i="2"/>
  <c r="AH1138" i="2" s="1"/>
  <c r="Q1139" i="2"/>
  <c r="AH1139" i="2" s="1"/>
  <c r="Q1140" i="2"/>
  <c r="AH1140" i="2" s="1"/>
  <c r="Q1141" i="2"/>
  <c r="AH1141" i="2" s="1"/>
  <c r="Q1142" i="2"/>
  <c r="AH1142" i="2" s="1"/>
  <c r="Q1143" i="2"/>
  <c r="AH1143" i="2" s="1"/>
  <c r="Q1144" i="2"/>
  <c r="AH1144" i="2" s="1"/>
  <c r="Q1145" i="2"/>
  <c r="AH1145" i="2" s="1"/>
  <c r="Q1146" i="2"/>
  <c r="AH1146" i="2" s="1"/>
  <c r="Q1147" i="2"/>
  <c r="AH1147" i="2" s="1"/>
  <c r="Q1148" i="2"/>
  <c r="AH1148" i="2" s="1"/>
  <c r="Q1149" i="2"/>
  <c r="AH1149" i="2" s="1"/>
  <c r="Q1150" i="2"/>
  <c r="AH1150" i="2" s="1"/>
  <c r="Q1151" i="2"/>
  <c r="AH1151" i="2" s="1"/>
  <c r="Q1152" i="2"/>
  <c r="AH1152" i="2" s="1"/>
  <c r="Q1153" i="2"/>
  <c r="AH1153" i="2" s="1"/>
  <c r="Q1154" i="2"/>
  <c r="AH1154" i="2" s="1"/>
  <c r="Q1155" i="2"/>
  <c r="AH1155" i="2" s="1"/>
  <c r="Q1156" i="2"/>
  <c r="AH1156" i="2" s="1"/>
  <c r="Q1157" i="2"/>
  <c r="AH1157" i="2" s="1"/>
  <c r="Q1158" i="2"/>
  <c r="AH1158" i="2" s="1"/>
  <c r="Q1159" i="2"/>
  <c r="AH1159" i="2" s="1"/>
  <c r="Q1160" i="2"/>
  <c r="AH1160" i="2" s="1"/>
  <c r="Q1161" i="2"/>
  <c r="AH1161" i="2" s="1"/>
  <c r="Q1162" i="2"/>
  <c r="AH1162" i="2" s="1"/>
  <c r="Q1163" i="2"/>
  <c r="AH1163" i="2" s="1"/>
  <c r="Q1164" i="2"/>
  <c r="AH1164" i="2" s="1"/>
  <c r="Q1165" i="2"/>
  <c r="AH1165" i="2" s="1"/>
  <c r="Q1166" i="2"/>
  <c r="AH1166" i="2" s="1"/>
  <c r="Q1167" i="2"/>
  <c r="AH1167" i="2" s="1"/>
  <c r="Q1168" i="2"/>
  <c r="AH1168" i="2" s="1"/>
  <c r="Q3" i="2"/>
  <c r="AH3" i="2" s="1"/>
  <c r="Q4" i="2"/>
  <c r="AH4" i="2" s="1"/>
  <c r="Q5" i="2"/>
  <c r="AH5" i="2" s="1"/>
  <c r="Q6" i="2"/>
  <c r="AH6" i="2" s="1"/>
  <c r="F46" i="37" s="1"/>
  <c r="Q7" i="2"/>
  <c r="AH7" i="2" s="1"/>
  <c r="Q8" i="2"/>
  <c r="AH8" i="2" s="1"/>
  <c r="Q9" i="2"/>
  <c r="AH9" i="2" s="1"/>
  <c r="Q10" i="2"/>
  <c r="AH10" i="2" s="1"/>
  <c r="Q11" i="2"/>
  <c r="AH11" i="2" s="1"/>
  <c r="Q12" i="2"/>
  <c r="AH12" i="2" s="1"/>
  <c r="Q13" i="2"/>
  <c r="AH13" i="2" s="1"/>
  <c r="Q14" i="2"/>
  <c r="AH14" i="2" s="1"/>
  <c r="Q15" i="2"/>
  <c r="AH15" i="2" s="1"/>
  <c r="Q16" i="2"/>
  <c r="AH16" i="2" s="1"/>
  <c r="Q17" i="2"/>
  <c r="AH17" i="2" s="1"/>
  <c r="Q18" i="2"/>
  <c r="AH18" i="2" s="1"/>
  <c r="D46" i="37" s="1"/>
  <c r="Q19" i="2"/>
  <c r="AH19" i="2" s="1"/>
  <c r="Q20" i="2"/>
  <c r="AH20" i="2" s="1"/>
  <c r="I46" i="37" s="1"/>
  <c r="Q21" i="2"/>
  <c r="AH21" i="2" s="1"/>
  <c r="Q22" i="2"/>
  <c r="AH22" i="2" s="1"/>
  <c r="Q23" i="2"/>
  <c r="AH23" i="2" s="1"/>
  <c r="L45" i="37" s="1"/>
  <c r="Q24" i="2"/>
  <c r="AH24" i="2" s="1"/>
  <c r="K45" i="37" s="1"/>
  <c r="Q25" i="2"/>
  <c r="AH25" i="2" s="1"/>
  <c r="Q26" i="2"/>
  <c r="AH26" i="2" s="1"/>
  <c r="Q27" i="2"/>
  <c r="AH27" i="2" s="1"/>
  <c r="F45" i="37" s="1"/>
  <c r="Q28" i="2"/>
  <c r="AH28" i="2" s="1"/>
  <c r="Q2" i="2"/>
  <c r="AH2" i="2" s="1"/>
  <c r="C2" i="7"/>
  <c r="C11" i="7"/>
  <c r="C10" i="7"/>
  <c r="C9" i="7"/>
  <c r="C8" i="7"/>
  <c r="C7" i="7"/>
  <c r="C6" i="7"/>
  <c r="C5" i="7"/>
  <c r="C4" i="7"/>
  <c r="C3" i="7"/>
  <c r="R2" i="2"/>
  <c r="I14" i="37" s="1"/>
  <c r="AI215" i="2" a="1"/>
  <c r="AI215" i="2" s="1"/>
  <c r="AI218" i="2" a="1"/>
  <c r="AI218" i="2" s="1"/>
  <c r="AI242" i="2" a="1"/>
  <c r="AI242" i="2" s="1"/>
  <c r="AI250" i="2" a="1"/>
  <c r="AI250" i="2" s="1"/>
  <c r="AI273" i="2" a="1"/>
  <c r="AI273" i="2" s="1"/>
  <c r="AI308" i="2" a="1"/>
  <c r="AI308" i="2" s="1"/>
  <c r="AI314" i="2" a="1"/>
  <c r="AI314" i="2" s="1"/>
  <c r="AI315" i="2" a="1"/>
  <c r="AI315" i="2" s="1"/>
  <c r="AI326" i="2" a="1"/>
  <c r="AI326" i="2" s="1"/>
  <c r="AI421" i="2" a="1"/>
  <c r="AI421" i="2" s="1"/>
  <c r="AI429" i="2" a="1"/>
  <c r="AI429" i="2" s="1"/>
  <c r="AI456" i="2" a="1"/>
  <c r="AI456" i="2" s="1"/>
  <c r="AI477" i="2" a="1"/>
  <c r="AI477" i="2" s="1"/>
  <c r="AI510" i="2" a="1"/>
  <c r="AI510" i="2" s="1"/>
  <c r="AI514" i="2" a="1"/>
  <c r="AI514" i="2" s="1"/>
  <c r="AI543" i="2" a="1"/>
  <c r="AI543" i="2" s="1"/>
  <c r="AI558" i="2" a="1"/>
  <c r="AI558" i="2" s="1"/>
  <c r="AI559" i="2" a="1"/>
  <c r="AI559" i="2" s="1"/>
  <c r="AI561" i="2" a="1"/>
  <c r="AI561" i="2" s="1"/>
  <c r="AI562" i="2" a="1"/>
  <c r="AI562" i="2" s="1"/>
  <c r="AI563" i="2" a="1"/>
  <c r="AI563" i="2" s="1"/>
  <c r="AI564" i="2" a="1"/>
  <c r="AI564" i="2" s="1"/>
  <c r="AI565" i="2" a="1"/>
  <c r="AI565" i="2" s="1"/>
  <c r="AI566" i="2" a="1"/>
  <c r="AI566" i="2" s="1"/>
  <c r="AI569" i="2" a="1"/>
  <c r="AI569" i="2" s="1"/>
  <c r="AI574" i="2" a="1"/>
  <c r="AI574" i="2" s="1"/>
  <c r="AI585" i="2" a="1"/>
  <c r="AI585" i="2" s="1"/>
  <c r="AI586" i="2" a="1"/>
  <c r="AI586" i="2" s="1"/>
  <c r="AI600" i="2" a="1"/>
  <c r="AI600" i="2" s="1"/>
  <c r="AI603" i="2" a="1"/>
  <c r="AI603" i="2" s="1"/>
  <c r="AI604" i="2" a="1"/>
  <c r="AI604" i="2" s="1"/>
  <c r="AI605" i="2" a="1"/>
  <c r="AI605" i="2" s="1"/>
  <c r="AI606" i="2" a="1"/>
  <c r="AI606" i="2" s="1"/>
  <c r="AI608" i="2" a="1"/>
  <c r="AI608" i="2" s="1"/>
  <c r="AI610" i="2" a="1"/>
  <c r="AI610" i="2" s="1"/>
  <c r="AI614" i="2" a="1"/>
  <c r="AI614" i="2" s="1"/>
  <c r="AI615" i="2" a="1"/>
  <c r="AI615" i="2" s="1"/>
  <c r="AI617" i="2" a="1"/>
  <c r="AI617" i="2" s="1"/>
  <c r="AI619" i="2" a="1"/>
  <c r="AI619" i="2" s="1"/>
  <c r="AI620" i="2" a="1"/>
  <c r="AI620" i="2" s="1"/>
  <c r="AI626" i="2" a="1"/>
  <c r="AI626" i="2" s="1"/>
  <c r="AI645" i="2" a="1"/>
  <c r="AI645" i="2" s="1"/>
  <c r="AI669" i="2" a="1"/>
  <c r="AI669" i="2" s="1"/>
  <c r="AI675" i="2" a="1"/>
  <c r="AI675" i="2" s="1"/>
  <c r="AI679" i="2" a="1"/>
  <c r="AI679" i="2" s="1"/>
  <c r="AI725" i="2" a="1"/>
  <c r="AI725" i="2" s="1"/>
  <c r="AI728" i="2" a="1"/>
  <c r="AI728" i="2" s="1"/>
  <c r="AI742" i="2" a="1"/>
  <c r="AI742" i="2" s="1"/>
  <c r="AI759" i="2" a="1"/>
  <c r="AI759" i="2" s="1"/>
  <c r="AI767" i="2" a="1"/>
  <c r="AI767" i="2" s="1"/>
  <c r="AI786" i="2" a="1"/>
  <c r="AI786" i="2" s="1"/>
  <c r="AI868" i="2" a="1"/>
  <c r="AI868" i="2" s="1"/>
  <c r="AI950" i="2" a="1"/>
  <c r="AI950" i="2" s="1"/>
  <c r="AI1041" i="2" a="1"/>
  <c r="AI1041" i="2" s="1"/>
  <c r="AI1089" i="2" a="1"/>
  <c r="AI1089" i="2" s="1"/>
  <c r="AI1129" i="2" a="1"/>
  <c r="AI1129" i="2" s="1"/>
  <c r="AI2" i="2" a="1"/>
  <c r="AI2" i="2" s="1"/>
  <c r="L2" i="5"/>
  <c r="L3" i="5"/>
  <c r="L4" i="5"/>
  <c r="L5" i="5"/>
  <c r="AI4" i="2" s="1" a="1"/>
  <c r="AI4" i="2" s="1"/>
  <c r="L6" i="5"/>
  <c r="L7" i="5"/>
  <c r="L8" i="5"/>
  <c r="AI5" i="2" s="1" a="1"/>
  <c r="AI5" i="2" s="1"/>
  <c r="L9" i="5"/>
  <c r="AI6" i="2" s="1" a="1"/>
  <c r="AI6" i="2" s="1"/>
  <c r="L10" i="5"/>
  <c r="AI7" i="2" s="1" a="1"/>
  <c r="AI7" i="2" s="1"/>
  <c r="L11" i="5"/>
  <c r="AI8" i="2" s="1" a="1"/>
  <c r="AI8" i="2" s="1"/>
  <c r="L12" i="5"/>
  <c r="AI9" i="2" s="1" a="1"/>
  <c r="AI9" i="2" s="1"/>
  <c r="L13" i="5"/>
  <c r="AI10" i="2" s="1" a="1"/>
  <c r="AI10" i="2" s="1"/>
  <c r="L14" i="5"/>
  <c r="AI11" i="2" s="1" a="1"/>
  <c r="AI11" i="2" s="1"/>
  <c r="L15" i="5"/>
  <c r="AI12" i="2" s="1" a="1"/>
  <c r="AI12" i="2" s="1"/>
  <c r="L16" i="5"/>
  <c r="AI13" i="2" s="1" a="1"/>
  <c r="AI13" i="2" s="1"/>
  <c r="L17" i="5"/>
  <c r="AI14" i="2" s="1" a="1"/>
  <c r="AI14" i="2" s="1"/>
  <c r="L18" i="5"/>
  <c r="AI15" i="2" s="1" a="1"/>
  <c r="AI15" i="2" s="1"/>
  <c r="L19" i="5"/>
  <c r="L20" i="5"/>
  <c r="L21" i="5"/>
  <c r="L22" i="5"/>
  <c r="AI17" i="2" s="1" a="1"/>
  <c r="AI17" i="2" s="1"/>
  <c r="L23" i="5"/>
  <c r="AI18" i="2" s="1" a="1"/>
  <c r="AI18" i="2" s="1"/>
  <c r="L24" i="5"/>
  <c r="AI19" i="2" s="1" a="1"/>
  <c r="AI19" i="2" s="1"/>
  <c r="L25" i="5"/>
  <c r="AI20" i="2" s="1" a="1"/>
  <c r="AI20" i="2" s="1"/>
  <c r="L26" i="5"/>
  <c r="AI21" i="2" s="1" a="1"/>
  <c r="AI21" i="2" s="1"/>
  <c r="L27" i="5"/>
  <c r="L28" i="5"/>
  <c r="AI22" i="2" s="1" a="1"/>
  <c r="AI22" i="2" s="1"/>
  <c r="L29" i="5"/>
  <c r="L30" i="5"/>
  <c r="AI23" i="2" s="1" a="1"/>
  <c r="AI23" i="2" s="1"/>
  <c r="L31" i="5"/>
  <c r="L32" i="5"/>
  <c r="L33" i="5"/>
  <c r="AI24" i="2" s="1" a="1"/>
  <c r="AI24" i="2" s="1"/>
  <c r="L34" i="5"/>
  <c r="AI25" i="2" s="1" a="1"/>
  <c r="AI25" i="2" s="1"/>
  <c r="L35" i="5"/>
  <c r="AI26" i="2" s="1" a="1"/>
  <c r="AI26" i="2" s="1"/>
  <c r="L36" i="5"/>
  <c r="AI27" i="2" s="1" a="1"/>
  <c r="AI27" i="2" s="1"/>
  <c r="L37" i="5"/>
  <c r="AI28" i="2" s="1" a="1"/>
  <c r="AI28" i="2" s="1"/>
  <c r="L38" i="5"/>
  <c r="AI29" i="2" s="1" a="1"/>
  <c r="AI29" i="2" s="1"/>
  <c r="L39" i="5"/>
  <c r="AI30" i="2" s="1" a="1"/>
  <c r="AI30" i="2" s="1"/>
  <c r="L40" i="5"/>
  <c r="AI32" i="2" s="1" a="1"/>
  <c r="AI32" i="2" s="1"/>
  <c r="L41" i="5"/>
  <c r="L42" i="5"/>
  <c r="L43" i="5"/>
  <c r="L44" i="5"/>
  <c r="L45" i="5"/>
  <c r="L46" i="5"/>
  <c r="L47" i="5"/>
  <c r="AI34" i="2" s="1" a="1"/>
  <c r="AI34" i="2" s="1"/>
  <c r="L48" i="5"/>
  <c r="AI35" i="2" s="1" a="1"/>
  <c r="AI35" i="2" s="1"/>
  <c r="L49" i="5"/>
  <c r="AI36" i="2" s="1" a="1"/>
  <c r="AI36" i="2" s="1"/>
  <c r="L50" i="5"/>
  <c r="AI37" i="2" s="1" a="1"/>
  <c r="AI37" i="2" s="1"/>
  <c r="L51" i="5"/>
  <c r="AI38" i="2" s="1" a="1"/>
  <c r="AI38" i="2" s="1"/>
  <c r="L52" i="5"/>
  <c r="AI39" i="2" s="1" a="1"/>
  <c r="AI39" i="2" s="1"/>
  <c r="L53" i="5"/>
  <c r="AI40" i="2" s="1" a="1"/>
  <c r="AI40" i="2" s="1"/>
  <c r="L54" i="5"/>
  <c r="AI41" i="2" s="1" a="1"/>
  <c r="AI41" i="2" s="1"/>
  <c r="L55" i="5"/>
  <c r="L56" i="5"/>
  <c r="L57" i="5"/>
  <c r="L58" i="5"/>
  <c r="AI43" i="2" s="1" a="1"/>
  <c r="AI43" i="2" s="1"/>
  <c r="L59" i="5"/>
  <c r="AI44" i="2" s="1" a="1"/>
  <c r="AI44" i="2" s="1"/>
  <c r="L60" i="5"/>
  <c r="AI45" i="2" s="1" a="1"/>
  <c r="AI45" i="2" s="1"/>
  <c r="L61" i="5"/>
  <c r="AI46" i="2" s="1" a="1"/>
  <c r="AI46" i="2" s="1"/>
  <c r="L62" i="5"/>
  <c r="AI47" i="2" s="1" a="1"/>
  <c r="AI47" i="2" s="1"/>
  <c r="L63" i="5"/>
  <c r="L64" i="5"/>
  <c r="L65" i="5"/>
  <c r="AI49" i="2" s="1" a="1"/>
  <c r="AI49" i="2" s="1"/>
  <c r="L66" i="5"/>
  <c r="AI50" i="2" s="1" a="1"/>
  <c r="AI50" i="2" s="1"/>
  <c r="L67" i="5"/>
  <c r="L68" i="5"/>
  <c r="L69" i="5"/>
  <c r="L70" i="5"/>
  <c r="L71" i="5"/>
  <c r="AI55" i="2" s="1" a="1"/>
  <c r="AI55" i="2" s="1"/>
  <c r="L72" i="5"/>
  <c r="L73" i="5"/>
  <c r="L74" i="5"/>
  <c r="L75" i="5"/>
  <c r="AI57" i="2" s="1" a="1"/>
  <c r="AI57" i="2" s="1"/>
  <c r="L76" i="5"/>
  <c r="L77" i="5"/>
  <c r="L78" i="5"/>
  <c r="AI60" i="2" s="1" a="1"/>
  <c r="AI60" i="2" s="1"/>
  <c r="L79" i="5"/>
  <c r="AI61" i="2" s="1" a="1"/>
  <c r="AI61" i="2" s="1"/>
  <c r="L80" i="5"/>
  <c r="AI62" i="2" s="1" a="1"/>
  <c r="AI62" i="2" s="1"/>
  <c r="L81" i="5"/>
  <c r="L82" i="5"/>
  <c r="L83" i="5"/>
  <c r="L84" i="5"/>
  <c r="L85" i="5"/>
  <c r="L86" i="5"/>
  <c r="L87" i="5"/>
  <c r="L88" i="5"/>
  <c r="AI65" i="2" s="1" a="1"/>
  <c r="AI65" i="2" s="1"/>
  <c r="L89" i="5"/>
  <c r="AI66" i="2" s="1" a="1"/>
  <c r="AI66" i="2" s="1"/>
  <c r="L90" i="5"/>
  <c r="AI67" i="2" s="1" a="1"/>
  <c r="AI67" i="2" s="1"/>
  <c r="L91" i="5"/>
  <c r="AI68" i="2" s="1" a="1"/>
  <c r="AI68" i="2" s="1"/>
  <c r="L92" i="5"/>
  <c r="AI69" i="2" s="1" a="1"/>
  <c r="AI69" i="2" s="1"/>
  <c r="L93" i="5"/>
  <c r="AI70" i="2" s="1" a="1"/>
  <c r="AI70" i="2" s="1"/>
  <c r="L94" i="5"/>
  <c r="AI71" i="2" s="1" a="1"/>
  <c r="AI71" i="2" s="1"/>
  <c r="L95" i="5"/>
  <c r="AI72" i="2" s="1" a="1"/>
  <c r="AI72" i="2" s="1"/>
  <c r="L96" i="5"/>
  <c r="AI73" i="2" s="1" a="1"/>
  <c r="AI73" i="2" s="1"/>
  <c r="L97" i="5"/>
  <c r="AI74" i="2" s="1" a="1"/>
  <c r="AI74" i="2" s="1"/>
  <c r="L98" i="5"/>
  <c r="AI75" i="2" s="1" a="1"/>
  <c r="AI75" i="2" s="1"/>
  <c r="L99" i="5"/>
  <c r="AI76" i="2" s="1" a="1"/>
  <c r="AI76" i="2" s="1"/>
  <c r="L100" i="5"/>
  <c r="L101" i="5"/>
  <c r="AI80" i="2" s="1" a="1"/>
  <c r="AI80" i="2" s="1"/>
  <c r="L102" i="5"/>
  <c r="AI81" i="2" s="1" a="1"/>
  <c r="AI81" i="2" s="1"/>
  <c r="L103" i="5"/>
  <c r="AI82" i="2" s="1" a="1"/>
  <c r="AI82" i="2" s="1"/>
  <c r="L104" i="5"/>
  <c r="AI83" i="2" s="1" a="1"/>
  <c r="AI83" i="2" s="1"/>
  <c r="L105" i="5"/>
  <c r="AI84" i="2" s="1" a="1"/>
  <c r="AI84" i="2" s="1"/>
  <c r="L106" i="5"/>
  <c r="AI85" i="2" s="1" a="1"/>
  <c r="AI85" i="2" s="1"/>
  <c r="L107" i="5"/>
  <c r="AI86" i="2" s="1" a="1"/>
  <c r="AI86" i="2" s="1"/>
  <c r="L108" i="5"/>
  <c r="L109" i="5"/>
  <c r="L110" i="5"/>
  <c r="L111" i="5"/>
  <c r="AI88" i="2" s="1" a="1"/>
  <c r="AI88" i="2" s="1"/>
  <c r="L112" i="5"/>
  <c r="L113" i="5"/>
  <c r="AI90" i="2" s="1" a="1"/>
  <c r="AI90" i="2" s="1"/>
  <c r="L114" i="5"/>
  <c r="AI91" i="2" s="1" a="1"/>
  <c r="AI91" i="2" s="1"/>
  <c r="L115" i="5"/>
  <c r="AI92" i="2" s="1" a="1"/>
  <c r="AI92" i="2" s="1"/>
  <c r="L116" i="5"/>
  <c r="AI93" i="2" s="1" a="1"/>
  <c r="AI93" i="2" s="1"/>
  <c r="L117" i="5"/>
  <c r="L118" i="5"/>
  <c r="L119" i="5"/>
  <c r="L120" i="5"/>
  <c r="L121" i="5"/>
  <c r="AI95" i="2" s="1" a="1"/>
  <c r="AI95" i="2" s="1"/>
  <c r="L122" i="5"/>
  <c r="AI96" i="2" s="1" a="1"/>
  <c r="AI96" i="2" s="1"/>
  <c r="L123" i="5"/>
  <c r="AI97" i="2" s="1" a="1"/>
  <c r="AI97" i="2" s="1"/>
  <c r="L124" i="5"/>
  <c r="AI98" i="2" s="1" a="1"/>
  <c r="AI98" i="2" s="1"/>
  <c r="L125" i="5"/>
  <c r="AI99" i="2" s="1" a="1"/>
  <c r="AI99" i="2" s="1"/>
  <c r="L126" i="5"/>
  <c r="AI100" i="2" s="1" a="1"/>
  <c r="AI100" i="2" s="1"/>
  <c r="L127" i="5"/>
  <c r="L128" i="5"/>
  <c r="L129" i="5"/>
  <c r="L130" i="5"/>
  <c r="AI102" i="2" s="1" a="1"/>
  <c r="AI102" i="2" s="1"/>
  <c r="L131" i="5"/>
  <c r="AI103" i="2" s="1" a="1"/>
  <c r="AI103" i="2" s="1"/>
  <c r="L132" i="5"/>
  <c r="AI104" i="2" s="1" a="1"/>
  <c r="AI104" i="2" s="1"/>
  <c r="L133" i="5"/>
  <c r="L134" i="5"/>
  <c r="L135" i="5"/>
  <c r="L136" i="5"/>
  <c r="AI106" i="2" s="1" a="1"/>
  <c r="AI106" i="2" s="1"/>
  <c r="L137" i="5"/>
  <c r="AI107" i="2" s="1" a="1"/>
  <c r="AI107" i="2" s="1"/>
  <c r="L138" i="5"/>
  <c r="AI108" i="2" s="1" a="1"/>
  <c r="AI108" i="2" s="1"/>
  <c r="L139" i="5"/>
  <c r="AI109" i="2" s="1" a="1"/>
  <c r="AI109" i="2" s="1"/>
  <c r="L140" i="5"/>
  <c r="AI110" i="2" s="1" a="1"/>
  <c r="AI110" i="2" s="1"/>
  <c r="L141" i="5"/>
  <c r="AI111" i="2" s="1" a="1"/>
  <c r="AI111" i="2" s="1"/>
  <c r="L142" i="5"/>
  <c r="AI112" i="2" s="1" a="1"/>
  <c r="AI112" i="2" s="1"/>
  <c r="L143" i="5"/>
  <c r="AI113" i="2" s="1" a="1"/>
  <c r="AI113" i="2" s="1"/>
  <c r="L144" i="5"/>
  <c r="AI114" i="2" s="1" a="1"/>
  <c r="AI114" i="2" s="1"/>
  <c r="L145" i="5"/>
  <c r="AI115" i="2" s="1" a="1"/>
  <c r="AI115" i="2" s="1"/>
  <c r="L146" i="5"/>
  <c r="AI116" i="2" s="1" a="1"/>
  <c r="AI116" i="2" s="1"/>
  <c r="L147" i="5"/>
  <c r="AI117" i="2" s="1" a="1"/>
  <c r="AI117" i="2" s="1"/>
  <c r="L148" i="5"/>
  <c r="AI118" i="2" s="1" a="1"/>
  <c r="AI118" i="2" s="1"/>
  <c r="L149" i="5"/>
  <c r="AI120" i="2" s="1" a="1"/>
  <c r="AI120" i="2" s="1"/>
  <c r="L150" i="5"/>
  <c r="AI121" i="2" s="1" a="1"/>
  <c r="AI121" i="2" s="1"/>
  <c r="L151" i="5"/>
  <c r="AI122" i="2" s="1" a="1"/>
  <c r="AI122" i="2" s="1"/>
  <c r="L152" i="5"/>
  <c r="AI123" i="2" s="1" a="1"/>
  <c r="AI123" i="2" s="1"/>
  <c r="L153" i="5"/>
  <c r="AI124" i="2" s="1" a="1"/>
  <c r="AI124" i="2" s="1"/>
  <c r="L154" i="5"/>
  <c r="AI125" i="2" s="1" a="1"/>
  <c r="AI125" i="2" s="1"/>
  <c r="L155" i="5"/>
  <c r="AI126" i="2" s="1" a="1"/>
  <c r="AI126" i="2" s="1"/>
  <c r="L156" i="5"/>
  <c r="AI127" i="2" s="1" a="1"/>
  <c r="AI127" i="2" s="1"/>
  <c r="L157" i="5"/>
  <c r="AI128" i="2" s="1" a="1"/>
  <c r="AI128" i="2" s="1"/>
  <c r="L158" i="5"/>
  <c r="L159" i="5"/>
  <c r="L160" i="5"/>
  <c r="L161" i="5"/>
  <c r="AI130" i="2" s="1" a="1"/>
  <c r="AI130" i="2" s="1"/>
  <c r="L162" i="5"/>
  <c r="AI131" i="2" s="1" a="1"/>
  <c r="AI131" i="2" s="1"/>
  <c r="L163" i="5"/>
  <c r="AI132" i="2" s="1" a="1"/>
  <c r="AI132" i="2" s="1"/>
  <c r="L164" i="5"/>
  <c r="AI134" i="2" s="1" a="1"/>
  <c r="AI134" i="2" s="1"/>
  <c r="L165" i="5"/>
  <c r="AI135" i="2" s="1" a="1"/>
  <c r="AI135" i="2" s="1"/>
  <c r="L166" i="5"/>
  <c r="AI136" i="2" s="1" a="1"/>
  <c r="AI136" i="2" s="1"/>
  <c r="L167" i="5"/>
  <c r="AI137" i="2" s="1" a="1"/>
  <c r="AI137" i="2" s="1"/>
  <c r="L168" i="5"/>
  <c r="AI138" i="2" s="1" a="1"/>
  <c r="AI138" i="2" s="1"/>
  <c r="L169" i="5"/>
  <c r="AI139" i="2" s="1" a="1"/>
  <c r="AI139" i="2" s="1"/>
  <c r="L170" i="5"/>
  <c r="AI140" i="2" s="1" a="1"/>
  <c r="AI140" i="2" s="1"/>
  <c r="L171" i="5"/>
  <c r="AI141" i="2" s="1" a="1"/>
  <c r="AI141" i="2" s="1"/>
  <c r="L172" i="5"/>
  <c r="AI142" i="2" s="1" a="1"/>
  <c r="AI142" i="2" s="1"/>
  <c r="L173" i="5"/>
  <c r="AI143" i="2" s="1" a="1"/>
  <c r="AI143" i="2" s="1"/>
  <c r="L174" i="5"/>
  <c r="AI144" i="2" s="1" a="1"/>
  <c r="AI144" i="2" s="1"/>
  <c r="L175" i="5"/>
  <c r="AI145" i="2" s="1" a="1"/>
  <c r="AI145" i="2" s="1"/>
  <c r="L176" i="5"/>
  <c r="AI146" i="2" s="1" a="1"/>
  <c r="AI146" i="2" s="1"/>
  <c r="L177" i="5"/>
  <c r="AI147" i="2" s="1" a="1"/>
  <c r="AI147" i="2" s="1"/>
  <c r="L178" i="5"/>
  <c r="AI148" i="2" s="1" a="1"/>
  <c r="AI148" i="2" s="1"/>
  <c r="L179" i="5"/>
  <c r="AI149" i="2" s="1" a="1"/>
  <c r="AI149" i="2" s="1"/>
  <c r="L180" i="5"/>
  <c r="AI150" i="2" s="1" a="1"/>
  <c r="AI150" i="2" s="1"/>
  <c r="L181" i="5"/>
  <c r="AI151" i="2" s="1" a="1"/>
  <c r="AI151" i="2" s="1"/>
  <c r="L182" i="5"/>
  <c r="AI152" i="2" s="1" a="1"/>
  <c r="AI152" i="2" s="1"/>
  <c r="L183" i="5"/>
  <c r="AI153" i="2" s="1" a="1"/>
  <c r="AI153" i="2" s="1"/>
  <c r="L184" i="5"/>
  <c r="AI154" i="2" s="1" a="1"/>
  <c r="AI154" i="2" s="1"/>
  <c r="L185" i="5"/>
  <c r="AI155" i="2" s="1" a="1"/>
  <c r="AI155" i="2" s="1"/>
  <c r="L186" i="5"/>
  <c r="AI156" i="2" s="1" a="1"/>
  <c r="AI156" i="2" s="1"/>
  <c r="L187" i="5"/>
  <c r="AI157" i="2" s="1" a="1"/>
  <c r="AI157" i="2" s="1"/>
  <c r="L188" i="5"/>
  <c r="AI158" i="2" s="1" a="1"/>
  <c r="AI158" i="2" s="1"/>
  <c r="L189" i="5"/>
  <c r="L190" i="5"/>
  <c r="AI160" i="2" s="1" a="1"/>
  <c r="AI160" i="2" s="1"/>
  <c r="L191" i="5"/>
  <c r="L192" i="5"/>
  <c r="L193" i="5"/>
  <c r="L194" i="5"/>
  <c r="L195" i="5"/>
  <c r="L196" i="5"/>
  <c r="AI164" i="2" s="1" a="1"/>
  <c r="AI164" i="2" s="1"/>
  <c r="L197" i="5"/>
  <c r="AI165" i="2" s="1" a="1"/>
  <c r="AI165" i="2" s="1"/>
  <c r="L198" i="5"/>
  <c r="AI166" i="2" s="1" a="1"/>
  <c r="AI166" i="2" s="1"/>
  <c r="L199" i="5"/>
  <c r="AI167" i="2" s="1" a="1"/>
  <c r="AI167" i="2" s="1"/>
  <c r="L200" i="5"/>
  <c r="AI168" i="2" s="1" a="1"/>
  <c r="AI168" i="2" s="1"/>
  <c r="L201" i="5"/>
  <c r="L202" i="5"/>
  <c r="L203" i="5"/>
  <c r="L204" i="5"/>
  <c r="AI171" i="2" s="1" a="1"/>
  <c r="AI171" i="2" s="1"/>
  <c r="L205" i="5"/>
  <c r="AI172" i="2" s="1" a="1"/>
  <c r="AI172" i="2" s="1"/>
  <c r="L206" i="5"/>
  <c r="AI173" i="2" s="1" a="1"/>
  <c r="AI173" i="2" s="1"/>
  <c r="L207" i="5"/>
  <c r="AI174" i="2" s="1" a="1"/>
  <c r="AI174" i="2" s="1"/>
  <c r="L208" i="5"/>
  <c r="AI175" i="2" s="1" a="1"/>
  <c r="AI175" i="2" s="1"/>
  <c r="L209" i="5"/>
  <c r="AI176" i="2" s="1" a="1"/>
  <c r="AI176" i="2" s="1"/>
  <c r="L210" i="5"/>
  <c r="AI177" i="2" s="1" a="1"/>
  <c r="AI177" i="2" s="1"/>
  <c r="L211" i="5"/>
  <c r="AI178" i="2" s="1" a="1"/>
  <c r="AI178" i="2" s="1"/>
  <c r="L212" i="5"/>
  <c r="AI179" i="2" s="1" a="1"/>
  <c r="AI179" i="2" s="1"/>
  <c r="L213" i="5"/>
  <c r="AI180" i="2" s="1" a="1"/>
  <c r="AI180" i="2" s="1"/>
  <c r="L214" i="5"/>
  <c r="AI181" i="2" s="1" a="1"/>
  <c r="AI181" i="2" s="1"/>
  <c r="L215" i="5"/>
  <c r="AI182" i="2" s="1" a="1"/>
  <c r="AI182" i="2" s="1"/>
  <c r="L216" i="5"/>
  <c r="AI183" i="2" s="1" a="1"/>
  <c r="AI183" i="2" s="1"/>
  <c r="L217" i="5"/>
  <c r="AI184" i="2" s="1" a="1"/>
  <c r="AI184" i="2" s="1"/>
  <c r="L218" i="5"/>
  <c r="AI185" i="2" s="1" a="1"/>
  <c r="AI185" i="2" s="1"/>
  <c r="L219" i="5"/>
  <c r="AI186" i="2" s="1" a="1"/>
  <c r="AI186" i="2" s="1"/>
  <c r="L220" i="5"/>
  <c r="AI187" i="2" s="1" a="1"/>
  <c r="AI187" i="2" s="1"/>
  <c r="L221" i="5"/>
  <c r="AI188" i="2" s="1" a="1"/>
  <c r="AI188" i="2" s="1"/>
  <c r="L222" i="5"/>
  <c r="L223" i="5"/>
  <c r="L224" i="5"/>
  <c r="L225" i="5"/>
  <c r="AI190" i="2" s="1" a="1"/>
  <c r="AI190" i="2" s="1"/>
  <c r="L226" i="5"/>
  <c r="AI191" i="2" s="1" a="1"/>
  <c r="AI191" i="2" s="1"/>
  <c r="L227" i="5"/>
  <c r="AI192" i="2" s="1" a="1"/>
  <c r="AI192" i="2" s="1"/>
  <c r="L228" i="5"/>
  <c r="AI193" i="2" s="1" a="1"/>
  <c r="AI193" i="2" s="1"/>
  <c r="L229" i="5"/>
  <c r="AI194" i="2" s="1" a="1"/>
  <c r="AI194" i="2" s="1"/>
  <c r="L230" i="5"/>
  <c r="AI195" i="2" s="1" a="1"/>
  <c r="AI195" i="2" s="1"/>
  <c r="L231" i="5"/>
  <c r="AI196" i="2" s="1" a="1"/>
  <c r="AI196" i="2" s="1"/>
  <c r="L232" i="5"/>
  <c r="AI197" i="2" s="1" a="1"/>
  <c r="AI197" i="2" s="1"/>
  <c r="L233" i="5"/>
  <c r="AI198" i="2" s="1" a="1"/>
  <c r="AI198" i="2" s="1"/>
  <c r="L234" i="5"/>
  <c r="AI199" i="2" s="1" a="1"/>
  <c r="AI199" i="2" s="1"/>
  <c r="L235" i="5"/>
  <c r="AI200" i="2" s="1" a="1"/>
  <c r="AI200" i="2" s="1"/>
  <c r="L236" i="5"/>
  <c r="L237" i="5"/>
  <c r="L238" i="5"/>
  <c r="L239" i="5"/>
  <c r="L240" i="5"/>
  <c r="AI203" i="2" s="1" a="1"/>
  <c r="AI203" i="2" s="1"/>
  <c r="L241" i="5"/>
  <c r="AI204" i="2" s="1" a="1"/>
  <c r="AI204" i="2" s="1"/>
  <c r="L242" i="5"/>
  <c r="AI205" i="2" s="1" a="1"/>
  <c r="AI205" i="2" s="1"/>
  <c r="L243" i="5"/>
  <c r="AI206" i="2" s="1" a="1"/>
  <c r="AI206" i="2" s="1"/>
  <c r="L244" i="5"/>
  <c r="AI207" i="2" s="1" a="1"/>
  <c r="AI207" i="2" s="1"/>
  <c r="L245" i="5"/>
  <c r="AI208" i="2" s="1" a="1"/>
  <c r="AI208" i="2" s="1"/>
  <c r="L246" i="5"/>
  <c r="AI209" i="2" s="1" a="1"/>
  <c r="AI209" i="2" s="1"/>
  <c r="L247" i="5"/>
  <c r="AI210" i="2" s="1" a="1"/>
  <c r="AI210" i="2" s="1"/>
  <c r="L248" i="5"/>
  <c r="AI211" i="2" s="1" a="1"/>
  <c r="AI211" i="2" s="1"/>
  <c r="L249" i="5"/>
  <c r="AI212" i="2" s="1" a="1"/>
  <c r="AI212" i="2" s="1"/>
  <c r="L250" i="5"/>
  <c r="AI213" i="2" s="1" a="1"/>
  <c r="AI213" i="2" s="1"/>
  <c r="L251" i="5"/>
  <c r="AI214" i="2" s="1" a="1"/>
  <c r="AI214" i="2" s="1"/>
  <c r="L252" i="5"/>
  <c r="AI216" i="2" s="1" a="1"/>
  <c r="AI216" i="2" s="1"/>
  <c r="L253" i="5"/>
  <c r="AI217" i="2" s="1" a="1"/>
  <c r="AI217" i="2" s="1"/>
  <c r="L254" i="5"/>
  <c r="L255" i="5"/>
  <c r="AI219" i="2" s="1" a="1"/>
  <c r="AI219" i="2" s="1"/>
  <c r="L256" i="5"/>
  <c r="AI220" i="2" s="1" a="1"/>
  <c r="AI220" i="2" s="1"/>
  <c r="L257" i="5"/>
  <c r="AI221" i="2" s="1" a="1"/>
  <c r="AI221" i="2" s="1"/>
  <c r="L258" i="5"/>
  <c r="AI222" i="2" s="1" a="1"/>
  <c r="AI222" i="2" s="1"/>
  <c r="L259" i="5"/>
  <c r="L260" i="5"/>
  <c r="AI223" i="2" s="1" a="1"/>
  <c r="AI223" i="2" s="1"/>
  <c r="L261" i="5"/>
  <c r="AI224" i="2" s="1" a="1"/>
  <c r="AI224" i="2" s="1"/>
  <c r="L262" i="5"/>
  <c r="L263" i="5"/>
  <c r="L264" i="5"/>
  <c r="L265" i="5"/>
  <c r="AI226" i="2" s="1" a="1"/>
  <c r="AI226" i="2" s="1"/>
  <c r="L266" i="5"/>
  <c r="AI227" i="2" s="1" a="1"/>
  <c r="AI227" i="2" s="1"/>
  <c r="L267" i="5"/>
  <c r="AI228" i="2" s="1" a="1"/>
  <c r="AI228" i="2" s="1"/>
  <c r="L268" i="5"/>
  <c r="AI229" i="2" s="1" a="1"/>
  <c r="AI229" i="2" s="1"/>
  <c r="L269" i="5"/>
  <c r="AI230" i="2" s="1" a="1"/>
  <c r="AI230" i="2" s="1"/>
  <c r="L270" i="5"/>
  <c r="AI231" i="2" s="1" a="1"/>
  <c r="AI231" i="2" s="1"/>
  <c r="L271" i="5"/>
  <c r="AI232" i="2" s="1" a="1"/>
  <c r="AI232" i="2" s="1"/>
  <c r="L272" i="5"/>
  <c r="AI233" i="2" s="1" a="1"/>
  <c r="AI233" i="2" s="1"/>
  <c r="L273" i="5"/>
  <c r="AI234" i="2" s="1" a="1"/>
  <c r="AI234" i="2" s="1"/>
  <c r="L274" i="5"/>
  <c r="AI235" i="2" s="1" a="1"/>
  <c r="AI235" i="2" s="1"/>
  <c r="L275" i="5"/>
  <c r="AI236" i="2" s="1" a="1"/>
  <c r="AI236" i="2" s="1"/>
  <c r="L276" i="5"/>
  <c r="AI237" i="2" s="1" a="1"/>
  <c r="AI237" i="2" s="1"/>
  <c r="L277" i="5"/>
  <c r="AI238" i="2" s="1" a="1"/>
  <c r="AI238" i="2" s="1"/>
  <c r="L278" i="5"/>
  <c r="AI239" i="2" s="1" a="1"/>
  <c r="AI239" i="2" s="1"/>
  <c r="L279" i="5"/>
  <c r="AI240" i="2" s="1" a="1"/>
  <c r="AI240" i="2" s="1"/>
  <c r="L280" i="5"/>
  <c r="AI241" i="2" s="1" a="1"/>
  <c r="AI241" i="2" s="1"/>
  <c r="L281" i="5"/>
  <c r="AI243" i="2" s="1" a="1"/>
  <c r="AI243" i="2" s="1"/>
  <c r="L282" i="5"/>
  <c r="AI244" i="2" s="1" a="1"/>
  <c r="AI244" i="2" s="1"/>
  <c r="L283" i="5"/>
  <c r="AI245" i="2" s="1" a="1"/>
  <c r="AI245" i="2" s="1"/>
  <c r="L284" i="5"/>
  <c r="AI246" i="2" s="1" a="1"/>
  <c r="AI246" i="2" s="1"/>
  <c r="L285" i="5"/>
  <c r="AI247" i="2" s="1" a="1"/>
  <c r="AI247" i="2" s="1"/>
  <c r="L286" i="5"/>
  <c r="AI248" i="2" s="1" a="1"/>
  <c r="AI248" i="2" s="1"/>
  <c r="L287" i="5"/>
  <c r="AI249" i="2" s="1" a="1"/>
  <c r="AI249" i="2" s="1"/>
  <c r="L288" i="5"/>
  <c r="AI251" i="2" s="1" a="1"/>
  <c r="AI251" i="2" s="1"/>
  <c r="L289" i="5"/>
  <c r="AI252" i="2" s="1" a="1"/>
  <c r="AI252" i="2" s="1"/>
  <c r="L290" i="5"/>
  <c r="AI253" i="2" s="1" a="1"/>
  <c r="AI253" i="2" s="1"/>
  <c r="L291" i="5"/>
  <c r="AI254" i="2" s="1" a="1"/>
  <c r="AI254" i="2" s="1"/>
  <c r="L292" i="5"/>
  <c r="L293" i="5"/>
  <c r="L294" i="5"/>
  <c r="L295" i="5"/>
  <c r="L296" i="5"/>
  <c r="L297" i="5"/>
  <c r="L298" i="5"/>
  <c r="AI256" i="2" s="1" a="1"/>
  <c r="AI256" i="2" s="1"/>
  <c r="L299" i="5"/>
  <c r="AI257" i="2" s="1" a="1"/>
  <c r="AI257" i="2" s="1"/>
  <c r="L300" i="5"/>
  <c r="AI258" i="2" s="1" a="1"/>
  <c r="AI258" i="2" s="1"/>
  <c r="L301" i="5"/>
  <c r="AI259" i="2" s="1" a="1"/>
  <c r="AI259" i="2" s="1"/>
  <c r="L302" i="5"/>
  <c r="AI260" i="2" s="1" a="1"/>
  <c r="AI260" i="2" s="1"/>
  <c r="L303" i="5"/>
  <c r="AI261" i="2" s="1" a="1"/>
  <c r="AI261" i="2" s="1"/>
  <c r="L304" i="5"/>
  <c r="AI262" i="2" s="1" a="1"/>
  <c r="AI262" i="2" s="1"/>
  <c r="L305" i="5"/>
  <c r="AI263" i="2" s="1" a="1"/>
  <c r="AI263" i="2" s="1"/>
  <c r="L306" i="5"/>
  <c r="AI264" i="2" s="1" a="1"/>
  <c r="AI264" i="2" s="1"/>
  <c r="L307" i="5"/>
  <c r="AI265" i="2" s="1" a="1"/>
  <c r="AI265" i="2" s="1"/>
  <c r="L308" i="5"/>
  <c r="AI266" i="2" s="1" a="1"/>
  <c r="AI266" i="2" s="1"/>
  <c r="L309" i="5"/>
  <c r="AI267" i="2" s="1" a="1"/>
  <c r="AI267" i="2" s="1"/>
  <c r="L310" i="5"/>
  <c r="AI268" i="2" s="1" a="1"/>
  <c r="AI268" i="2" s="1"/>
  <c r="L311" i="5"/>
  <c r="AI269" i="2" s="1" a="1"/>
  <c r="AI269" i="2" s="1"/>
  <c r="L312" i="5"/>
  <c r="AI270" i="2" s="1" a="1"/>
  <c r="AI270" i="2" s="1"/>
  <c r="L313" i="5"/>
  <c r="AI271" i="2" s="1" a="1"/>
  <c r="AI271" i="2" s="1"/>
  <c r="L314" i="5"/>
  <c r="L315" i="5"/>
  <c r="L316" i="5"/>
  <c r="L317" i="5"/>
  <c r="AI274" i="2" s="1" a="1"/>
  <c r="AI274" i="2" s="1"/>
  <c r="L318" i="5"/>
  <c r="AI275" i="2" s="1" a="1"/>
  <c r="AI275" i="2" s="1"/>
  <c r="L319" i="5"/>
  <c r="AI276" i="2" s="1" a="1"/>
  <c r="AI276" i="2" s="1"/>
  <c r="L320" i="5"/>
  <c r="AI277" i="2" s="1" a="1"/>
  <c r="AI277" i="2" s="1"/>
  <c r="L321" i="5"/>
  <c r="AI278" i="2" s="1" a="1"/>
  <c r="AI278" i="2" s="1"/>
  <c r="L322" i="5"/>
  <c r="AI279" i="2" s="1" a="1"/>
  <c r="AI279" i="2" s="1"/>
  <c r="L323" i="5"/>
  <c r="AI280" i="2" s="1" a="1"/>
  <c r="AI280" i="2" s="1"/>
  <c r="L324" i="5"/>
  <c r="AI281" i="2" s="1" a="1"/>
  <c r="AI281" i="2" s="1"/>
  <c r="L325" i="5"/>
  <c r="AI282" i="2" s="1" a="1"/>
  <c r="AI282" i="2" s="1"/>
  <c r="L326" i="5"/>
  <c r="AI283" i="2" s="1" a="1"/>
  <c r="AI283" i="2" s="1"/>
  <c r="L327" i="5"/>
  <c r="AI284" i="2" s="1" a="1"/>
  <c r="AI284" i="2" s="1"/>
  <c r="L328" i="5"/>
  <c r="AI285" i="2" s="1" a="1"/>
  <c r="AI285" i="2" s="1"/>
  <c r="L329" i="5"/>
  <c r="AI286" i="2" s="1" a="1"/>
  <c r="AI286" i="2" s="1"/>
  <c r="L330" i="5"/>
  <c r="AI288" i="2" s="1" a="1"/>
  <c r="AI288" i="2" s="1"/>
  <c r="L331" i="5"/>
  <c r="AI289" i="2" s="1" a="1"/>
  <c r="AI289" i="2" s="1"/>
  <c r="L332" i="5"/>
  <c r="AI290" i="2" s="1" a="1"/>
  <c r="AI290" i="2" s="1"/>
  <c r="L333" i="5"/>
  <c r="AI291" i="2" s="1" a="1"/>
  <c r="AI291" i="2" s="1"/>
  <c r="L334" i="5"/>
  <c r="AI292" i="2" s="1" a="1"/>
  <c r="AI292" i="2" s="1"/>
  <c r="L335" i="5"/>
  <c r="AI293" i="2" s="1" a="1"/>
  <c r="AI293" i="2" s="1"/>
  <c r="L336" i="5"/>
  <c r="AI294" i="2" s="1" a="1"/>
  <c r="AI294" i="2" s="1"/>
  <c r="L337" i="5"/>
  <c r="AI295" i="2" s="1" a="1"/>
  <c r="AI295" i="2" s="1"/>
  <c r="L338" i="5"/>
  <c r="AI296" i="2" s="1" a="1"/>
  <c r="AI296" i="2" s="1"/>
  <c r="L339" i="5"/>
  <c r="AI297" i="2" s="1" a="1"/>
  <c r="AI297" i="2" s="1"/>
  <c r="L340" i="5"/>
  <c r="AI298" i="2" s="1" a="1"/>
  <c r="AI298" i="2" s="1"/>
  <c r="L341" i="5"/>
  <c r="AI299" i="2" s="1" a="1"/>
  <c r="AI299" i="2" s="1"/>
  <c r="L342" i="5"/>
  <c r="AI300" i="2" s="1" a="1"/>
  <c r="AI300" i="2" s="1"/>
  <c r="L343" i="5"/>
  <c r="AI301" i="2" s="1" a="1"/>
  <c r="AI301" i="2" s="1"/>
  <c r="L344" i="5"/>
  <c r="AI302" i="2" s="1" a="1"/>
  <c r="AI302" i="2" s="1"/>
  <c r="L345" i="5"/>
  <c r="AI303" i="2" s="1" a="1"/>
  <c r="AI303" i="2" s="1"/>
  <c r="L346" i="5"/>
  <c r="AI304" i="2" s="1" a="1"/>
  <c r="AI304" i="2" s="1"/>
  <c r="L347" i="5"/>
  <c r="AI305" i="2" s="1" a="1"/>
  <c r="AI305" i="2" s="1"/>
  <c r="L348" i="5"/>
  <c r="AI306" i="2" s="1" a="1"/>
  <c r="AI306" i="2" s="1"/>
  <c r="L349" i="5"/>
  <c r="AI307" i="2" s="1" a="1"/>
  <c r="AI307" i="2" s="1"/>
  <c r="L350" i="5"/>
  <c r="AI309" i="2" s="1" a="1"/>
  <c r="AI309" i="2" s="1"/>
  <c r="L351" i="5"/>
  <c r="AI310" i="2" s="1" a="1"/>
  <c r="AI310" i="2" s="1"/>
  <c r="L352" i="5"/>
  <c r="L353" i="5"/>
  <c r="L354" i="5"/>
  <c r="L355" i="5"/>
  <c r="L356" i="5"/>
  <c r="L357" i="5"/>
  <c r="L358" i="5"/>
  <c r="L359" i="5"/>
  <c r="L360" i="5"/>
  <c r="AI313" i="2" s="1" a="1"/>
  <c r="AI313" i="2" s="1"/>
  <c r="L361" i="5"/>
  <c r="AI316" i="2" s="1" a="1"/>
  <c r="AI316" i="2" s="1"/>
  <c r="L362" i="5"/>
  <c r="AI317" i="2" s="1" a="1"/>
  <c r="AI317" i="2" s="1"/>
  <c r="L363" i="5"/>
  <c r="AI318" i="2" s="1" a="1"/>
  <c r="AI318" i="2" s="1"/>
  <c r="L364" i="5"/>
  <c r="AI319" i="2" s="1" a="1"/>
  <c r="AI319" i="2" s="1"/>
  <c r="L365" i="5"/>
  <c r="AI320" i="2" s="1" a="1"/>
  <c r="AI320" i="2" s="1"/>
  <c r="L366" i="5"/>
  <c r="AI321" i="2" s="1" a="1"/>
  <c r="AI321" i="2" s="1"/>
  <c r="L367" i="5"/>
  <c r="AI322" i="2" s="1" a="1"/>
  <c r="AI322" i="2" s="1"/>
  <c r="L368" i="5"/>
  <c r="AI323" i="2" s="1" a="1"/>
  <c r="AI323" i="2" s="1"/>
  <c r="L369" i="5"/>
  <c r="AI324" i="2" s="1" a="1"/>
  <c r="AI324" i="2" s="1"/>
  <c r="L370" i="5"/>
  <c r="AI325" i="2" s="1" a="1"/>
  <c r="AI325" i="2" s="1"/>
  <c r="L371" i="5"/>
  <c r="AI327" i="2" s="1" a="1"/>
  <c r="AI327" i="2" s="1"/>
  <c r="L372" i="5"/>
  <c r="AI328" i="2" s="1" a="1"/>
  <c r="AI328" i="2" s="1"/>
  <c r="L373" i="5"/>
  <c r="AI329" i="2" s="1" a="1"/>
  <c r="AI329" i="2" s="1"/>
  <c r="L374" i="5"/>
  <c r="AI330" i="2" s="1" a="1"/>
  <c r="AI330" i="2" s="1"/>
  <c r="L375" i="5"/>
  <c r="AI331" i="2" s="1" a="1"/>
  <c r="AI331" i="2" s="1"/>
  <c r="L376" i="5"/>
  <c r="AI332" i="2" s="1" a="1"/>
  <c r="AI332" i="2" s="1"/>
  <c r="L377" i="5"/>
  <c r="AI333" i="2" s="1" a="1"/>
  <c r="AI333" i="2" s="1"/>
  <c r="L378" i="5"/>
  <c r="AI334" i="2" s="1" a="1"/>
  <c r="AI334" i="2" s="1"/>
  <c r="L379" i="5"/>
  <c r="AI335" i="2" s="1" a="1"/>
  <c r="AI335" i="2" s="1"/>
  <c r="L380" i="5"/>
  <c r="AI336" i="2" s="1" a="1"/>
  <c r="AI336" i="2" s="1"/>
  <c r="L381" i="5"/>
  <c r="AI337" i="2" s="1" a="1"/>
  <c r="AI337" i="2" s="1"/>
  <c r="L382" i="5"/>
  <c r="AI338" i="2" s="1" a="1"/>
  <c r="AI338" i="2" s="1"/>
  <c r="L383" i="5"/>
  <c r="AI339" i="2" s="1" a="1"/>
  <c r="AI339" i="2" s="1"/>
  <c r="L384" i="5"/>
  <c r="L385" i="5"/>
  <c r="AI340" i="2" s="1" a="1"/>
  <c r="AI340" i="2" s="1"/>
  <c r="L386" i="5"/>
  <c r="AI341" i="2" s="1" a="1"/>
  <c r="AI341" i="2" s="1"/>
  <c r="L387" i="5"/>
  <c r="AI342" i="2" s="1" a="1"/>
  <c r="AI342" i="2" s="1"/>
  <c r="L388" i="5"/>
  <c r="AI343" i="2" s="1" a="1"/>
  <c r="AI343" i="2" s="1"/>
  <c r="L389" i="5"/>
  <c r="L390" i="5"/>
  <c r="L391" i="5"/>
  <c r="L392" i="5"/>
  <c r="AI345" i="2" s="1" a="1"/>
  <c r="AI345" i="2" s="1"/>
  <c r="L393" i="5"/>
  <c r="AI346" i="2" s="1" a="1"/>
  <c r="AI346" i="2" s="1"/>
  <c r="L394" i="5"/>
  <c r="AI347" i="2" s="1" a="1"/>
  <c r="AI347" i="2" s="1"/>
  <c r="L395" i="5"/>
  <c r="AI348" i="2" s="1" a="1"/>
  <c r="AI348" i="2" s="1"/>
  <c r="L396" i="5"/>
  <c r="AI349" i="2" s="1" a="1"/>
  <c r="AI349" i="2" s="1"/>
  <c r="L397" i="5"/>
  <c r="AI350" i="2" s="1" a="1"/>
  <c r="AI350" i="2" s="1"/>
  <c r="L398" i="5"/>
  <c r="AI351" i="2" s="1" a="1"/>
  <c r="AI351" i="2" s="1"/>
  <c r="L399" i="5"/>
  <c r="AI352" i="2" s="1" a="1"/>
  <c r="AI352" i="2" s="1"/>
  <c r="L400" i="5"/>
  <c r="AI353" i="2" s="1" a="1"/>
  <c r="AI353" i="2" s="1"/>
  <c r="L401" i="5"/>
  <c r="AI354" i="2" s="1" a="1"/>
  <c r="AI354" i="2" s="1"/>
  <c r="L402" i="5"/>
  <c r="AI355" i="2" s="1" a="1"/>
  <c r="AI355" i="2" s="1"/>
  <c r="L403" i="5"/>
  <c r="AI356" i="2" s="1" a="1"/>
  <c r="AI356" i="2" s="1"/>
  <c r="L404" i="5"/>
  <c r="AI357" i="2" s="1" a="1"/>
  <c r="AI357" i="2" s="1"/>
  <c r="L405" i="5"/>
  <c r="AI358" i="2" s="1" a="1"/>
  <c r="AI358" i="2" s="1"/>
  <c r="L406" i="5"/>
  <c r="AI359" i="2" s="1" a="1"/>
  <c r="AI359" i="2" s="1"/>
  <c r="L407" i="5"/>
  <c r="AI360" i="2" s="1" a="1"/>
  <c r="AI360" i="2" s="1"/>
  <c r="L408" i="5"/>
  <c r="AI361" i="2" s="1" a="1"/>
  <c r="AI361" i="2" s="1"/>
  <c r="L409" i="5"/>
  <c r="AI362" i="2" s="1" a="1"/>
  <c r="AI362" i="2" s="1"/>
  <c r="L410" i="5"/>
  <c r="AI363" i="2" s="1" a="1"/>
  <c r="AI363" i="2" s="1"/>
  <c r="L411" i="5"/>
  <c r="AI364" i="2" s="1" a="1"/>
  <c r="AI364" i="2" s="1"/>
  <c r="L412" i="5"/>
  <c r="AI365" i="2" s="1" a="1"/>
  <c r="AI365" i="2" s="1"/>
  <c r="L413" i="5"/>
  <c r="AI366" i="2" s="1" a="1"/>
  <c r="AI366" i="2" s="1"/>
  <c r="L414" i="5"/>
  <c r="L415" i="5"/>
  <c r="L416" i="5"/>
  <c r="L417" i="5"/>
  <c r="L418" i="5"/>
  <c r="L419" i="5"/>
  <c r="AI370" i="2" s="1" a="1"/>
  <c r="AI370" i="2" s="1"/>
  <c r="L420" i="5"/>
  <c r="AI371" i="2" s="1" a="1"/>
  <c r="AI371" i="2" s="1"/>
  <c r="L421" i="5"/>
  <c r="AI372" i="2" s="1" a="1"/>
  <c r="AI372" i="2" s="1"/>
  <c r="L422" i="5"/>
  <c r="AI374" i="2" s="1" a="1"/>
  <c r="AI374" i="2" s="1"/>
  <c r="L423" i="5"/>
  <c r="AI375" i="2" s="1" a="1"/>
  <c r="AI375" i="2" s="1"/>
  <c r="L424" i="5"/>
  <c r="AI376" i="2" s="1" a="1"/>
  <c r="AI376" i="2" s="1"/>
  <c r="L425" i="5"/>
  <c r="AI377" i="2" s="1" a="1"/>
  <c r="AI377" i="2" s="1"/>
  <c r="L426" i="5"/>
  <c r="AI378" i="2" s="1" a="1"/>
  <c r="AI378" i="2" s="1"/>
  <c r="L427" i="5"/>
  <c r="AI379" i="2" s="1" a="1"/>
  <c r="AI379" i="2" s="1"/>
  <c r="L428" i="5"/>
  <c r="AI380" i="2" s="1" a="1"/>
  <c r="AI380" i="2" s="1"/>
  <c r="L429" i="5"/>
  <c r="AI381" i="2" s="1" a="1"/>
  <c r="AI381" i="2" s="1"/>
  <c r="L430" i="5"/>
  <c r="AI382" i="2" s="1" a="1"/>
  <c r="AI382" i="2" s="1"/>
  <c r="L431" i="5"/>
  <c r="AI383" i="2" s="1" a="1"/>
  <c r="AI383" i="2" s="1"/>
  <c r="L432" i="5"/>
  <c r="AI384" i="2" s="1" a="1"/>
  <c r="AI384" i="2" s="1"/>
  <c r="L433" i="5"/>
  <c r="AI385" i="2" s="1" a="1"/>
  <c r="AI385" i="2" s="1"/>
  <c r="L434" i="5"/>
  <c r="AI386" i="2" s="1" a="1"/>
  <c r="AI386" i="2" s="1"/>
  <c r="L435" i="5"/>
  <c r="AI387" i="2" s="1" a="1"/>
  <c r="AI387" i="2" s="1"/>
  <c r="L436" i="5"/>
  <c r="AI388" i="2" s="1" a="1"/>
  <c r="AI388" i="2" s="1"/>
  <c r="L437" i="5"/>
  <c r="AI389" i="2" s="1" a="1"/>
  <c r="AI389" i="2" s="1"/>
  <c r="L438" i="5"/>
  <c r="AI390" i="2" s="1" a="1"/>
  <c r="AI390" i="2" s="1"/>
  <c r="L439" i="5"/>
  <c r="AI391" i="2" s="1" a="1"/>
  <c r="AI391" i="2" s="1"/>
  <c r="L440" i="5"/>
  <c r="AI392" i="2" s="1" a="1"/>
  <c r="AI392" i="2" s="1"/>
  <c r="L441" i="5"/>
  <c r="AI393" i="2" s="1" a="1"/>
  <c r="AI393" i="2" s="1"/>
  <c r="L442" i="5"/>
  <c r="AI394" i="2" s="1" a="1"/>
  <c r="AI394" i="2" s="1"/>
  <c r="L443" i="5"/>
  <c r="AI395" i="2" s="1" a="1"/>
  <c r="AI395" i="2" s="1"/>
  <c r="L444" i="5"/>
  <c r="AI396" i="2" s="1" a="1"/>
  <c r="AI396" i="2" s="1"/>
  <c r="L445" i="5"/>
  <c r="AI397" i="2" s="1" a="1"/>
  <c r="AI397" i="2" s="1"/>
  <c r="L446" i="5"/>
  <c r="AI398" i="2" s="1" a="1"/>
  <c r="AI398" i="2" s="1"/>
  <c r="L447" i="5"/>
  <c r="AI399" i="2" s="1" a="1"/>
  <c r="AI399" i="2" s="1"/>
  <c r="L448" i="5"/>
  <c r="AI400" i="2" s="1" a="1"/>
  <c r="AI400" i="2" s="1"/>
  <c r="L449" i="5"/>
  <c r="AI401" i="2" s="1" a="1"/>
  <c r="AI401" i="2" s="1"/>
  <c r="L450" i="5"/>
  <c r="AI402" i="2" s="1" a="1"/>
  <c r="AI402" i="2" s="1"/>
  <c r="L451" i="5"/>
  <c r="AI403" i="2" s="1" a="1"/>
  <c r="AI403" i="2" s="1"/>
  <c r="L452" i="5"/>
  <c r="AI404" i="2" s="1" a="1"/>
  <c r="AI404" i="2" s="1"/>
  <c r="L453" i="5"/>
  <c r="AI405" i="2" s="1" a="1"/>
  <c r="AI405" i="2" s="1"/>
  <c r="L454" i="5"/>
  <c r="AI406" i="2" s="1" a="1"/>
  <c r="AI406" i="2" s="1"/>
  <c r="L455" i="5"/>
  <c r="AI407" i="2" s="1" a="1"/>
  <c r="AI407" i="2" s="1"/>
  <c r="L456" i="5"/>
  <c r="L457" i="5"/>
  <c r="L458" i="5"/>
  <c r="L459" i="5"/>
  <c r="AI409" i="2" s="1" a="1"/>
  <c r="AI409" i="2" s="1"/>
  <c r="L460" i="5"/>
  <c r="AI410" i="2" s="1" a="1"/>
  <c r="AI410" i="2" s="1"/>
  <c r="L461" i="5"/>
  <c r="AI411" i="2" s="1" a="1"/>
  <c r="AI411" i="2" s="1"/>
  <c r="L462" i="5"/>
  <c r="AI412" i="2" s="1" a="1"/>
  <c r="AI412" i="2" s="1"/>
  <c r="L463" i="5"/>
  <c r="AI413" i="2" s="1" a="1"/>
  <c r="AI413" i="2" s="1"/>
  <c r="L464" i="5"/>
  <c r="AI414" i="2" s="1" a="1"/>
  <c r="AI414" i="2" s="1"/>
  <c r="L465" i="5"/>
  <c r="AI415" i="2" s="1" a="1"/>
  <c r="AI415" i="2" s="1"/>
  <c r="L466" i="5"/>
  <c r="AI416" i="2" s="1" a="1"/>
  <c r="AI416" i="2" s="1"/>
  <c r="L467" i="5"/>
  <c r="AI417" i="2" s="1" a="1"/>
  <c r="AI417" i="2" s="1"/>
  <c r="L468" i="5"/>
  <c r="AI418" i="2" s="1" a="1"/>
  <c r="AI418" i="2" s="1"/>
  <c r="L469" i="5"/>
  <c r="L470" i="5"/>
  <c r="AI420" i="2" s="1" a="1"/>
  <c r="AI420" i="2" s="1"/>
  <c r="L471" i="5"/>
  <c r="AI422" i="2" s="1" a="1"/>
  <c r="AI422" i="2" s="1"/>
  <c r="L472" i="5"/>
  <c r="AI423" i="2" s="1" a="1"/>
  <c r="AI423" i="2" s="1"/>
  <c r="L473" i="5"/>
  <c r="AI424" i="2" s="1" a="1"/>
  <c r="AI424" i="2" s="1"/>
  <c r="L474" i="5"/>
  <c r="AI425" i="2" s="1" a="1"/>
  <c r="AI425" i="2" s="1"/>
  <c r="L475" i="5"/>
  <c r="AI426" i="2" s="1" a="1"/>
  <c r="AI426" i="2" s="1"/>
  <c r="L476" i="5"/>
  <c r="AI427" i="2" s="1" a="1"/>
  <c r="AI427" i="2" s="1"/>
  <c r="L477" i="5"/>
  <c r="AI428" i="2" s="1" a="1"/>
  <c r="AI428" i="2" s="1"/>
  <c r="L478" i="5"/>
  <c r="L479" i="5"/>
  <c r="L480" i="5"/>
  <c r="L481" i="5"/>
  <c r="AI431" i="2" s="1" a="1"/>
  <c r="AI431" i="2" s="1"/>
  <c r="L482" i="5"/>
  <c r="AI432" i="2" s="1" a="1"/>
  <c r="AI432" i="2" s="1"/>
  <c r="L483" i="5"/>
  <c r="L484" i="5"/>
  <c r="L485" i="5"/>
  <c r="L486" i="5"/>
  <c r="AI434" i="2" s="1" a="1"/>
  <c r="AI434" i="2" s="1"/>
  <c r="L487" i="5"/>
  <c r="L488" i="5"/>
  <c r="L489" i="5"/>
  <c r="L490" i="5"/>
  <c r="AI436" i="2" s="1" a="1"/>
  <c r="AI436" i="2" s="1"/>
  <c r="L491" i="5"/>
  <c r="AI437" i="2" s="1" a="1"/>
  <c r="AI437" i="2" s="1"/>
  <c r="L492" i="5"/>
  <c r="AI438" i="2" s="1" a="1"/>
  <c r="AI438" i="2" s="1"/>
  <c r="L493" i="5"/>
  <c r="AI439" i="2" s="1" a="1"/>
  <c r="AI439" i="2" s="1"/>
  <c r="L494" i="5"/>
  <c r="AI440" i="2" s="1" a="1"/>
  <c r="AI440" i="2" s="1"/>
  <c r="L495" i="5"/>
  <c r="AI441" i="2" s="1" a="1"/>
  <c r="AI441" i="2" s="1"/>
  <c r="L496" i="5"/>
  <c r="AI442" i="2" s="1" a="1"/>
  <c r="AI442" i="2" s="1"/>
  <c r="L497" i="5"/>
  <c r="AI443" i="2" s="1" a="1"/>
  <c r="AI443" i="2" s="1"/>
  <c r="L498" i="5"/>
  <c r="AI444" i="2" s="1" a="1"/>
  <c r="AI444" i="2" s="1"/>
  <c r="L499" i="5"/>
  <c r="AI445" i="2" s="1" a="1"/>
  <c r="AI445" i="2" s="1"/>
  <c r="L500" i="5"/>
  <c r="AI446" i="2" s="1" a="1"/>
  <c r="AI446" i="2" s="1"/>
  <c r="L501" i="5"/>
  <c r="AI447" i="2" s="1" a="1"/>
  <c r="AI447" i="2" s="1"/>
  <c r="L502" i="5"/>
  <c r="AI448" i="2" s="1" a="1"/>
  <c r="AI448" i="2" s="1"/>
  <c r="L503" i="5"/>
  <c r="AI449" i="2" s="1" a="1"/>
  <c r="AI449" i="2" s="1"/>
  <c r="L504" i="5"/>
  <c r="AI450" i="2" s="1" a="1"/>
  <c r="AI450" i="2" s="1"/>
  <c r="L505" i="5"/>
  <c r="AI451" i="2" s="1" a="1"/>
  <c r="AI451" i="2" s="1"/>
  <c r="L506" i="5"/>
  <c r="AI452" i="2" s="1" a="1"/>
  <c r="AI452" i="2" s="1"/>
  <c r="L507" i="5"/>
  <c r="AI453" i="2" s="1" a="1"/>
  <c r="AI453" i="2" s="1"/>
  <c r="L508" i="5"/>
  <c r="AI454" i="2" s="1" a="1"/>
  <c r="AI454" i="2" s="1"/>
  <c r="L509" i="5"/>
  <c r="AI455" i="2" s="1" a="1"/>
  <c r="AI455" i="2" s="1"/>
  <c r="L510" i="5"/>
  <c r="AI457" i="2" s="1" a="1"/>
  <c r="AI457" i="2" s="1"/>
  <c r="L511" i="5"/>
  <c r="AI458" i="2" s="1" a="1"/>
  <c r="AI458" i="2" s="1"/>
  <c r="L512" i="5"/>
  <c r="AI459" i="2" s="1" a="1"/>
  <c r="AI459" i="2" s="1"/>
  <c r="L513" i="5"/>
  <c r="AI460" i="2" s="1" a="1"/>
  <c r="AI460" i="2" s="1"/>
  <c r="L514" i="5"/>
  <c r="AI461" i="2" s="1" a="1"/>
  <c r="AI461" i="2" s="1"/>
  <c r="L515" i="5"/>
  <c r="AI462" i="2" s="1" a="1"/>
  <c r="AI462" i="2" s="1"/>
  <c r="L516" i="5"/>
  <c r="AI463" i="2" s="1" a="1"/>
  <c r="AI463" i="2" s="1"/>
  <c r="L517" i="5"/>
  <c r="AI464" i="2" s="1" a="1"/>
  <c r="AI464" i="2" s="1"/>
  <c r="L518" i="5"/>
  <c r="AI465" i="2" s="1" a="1"/>
  <c r="AI465" i="2" s="1"/>
  <c r="L519" i="5"/>
  <c r="AI466" i="2" s="1" a="1"/>
  <c r="AI466" i="2" s="1"/>
  <c r="L520" i="5"/>
  <c r="AI467" i="2" s="1" a="1"/>
  <c r="AI467" i="2" s="1"/>
  <c r="L521" i="5"/>
  <c r="AI468" i="2" s="1" a="1"/>
  <c r="AI468" i="2" s="1"/>
  <c r="L522" i="5"/>
  <c r="AI469" i="2" s="1" a="1"/>
  <c r="AI469" i="2" s="1"/>
  <c r="L523" i="5"/>
  <c r="AI470" i="2" s="1" a="1"/>
  <c r="AI470" i="2" s="1"/>
  <c r="L524" i="5"/>
  <c r="AI471" i="2" s="1" a="1"/>
  <c r="AI471" i="2" s="1"/>
  <c r="L525" i="5"/>
  <c r="AI472" i="2" s="1" a="1"/>
  <c r="AI472" i="2" s="1"/>
  <c r="L526" i="5"/>
  <c r="AI473" i="2" s="1" a="1"/>
  <c r="AI473" i="2" s="1"/>
  <c r="L527" i="5"/>
  <c r="AI474" i="2" s="1" a="1"/>
  <c r="AI474" i="2" s="1"/>
  <c r="L528" i="5"/>
  <c r="AI475" i="2" s="1" a="1"/>
  <c r="AI475" i="2" s="1"/>
  <c r="L529" i="5"/>
  <c r="AI476" i="2" s="1" a="1"/>
  <c r="AI476" i="2" s="1"/>
  <c r="L530" i="5"/>
  <c r="AI478" i="2" s="1" a="1"/>
  <c r="AI478" i="2" s="1"/>
  <c r="L531" i="5"/>
  <c r="AI479" i="2" s="1" a="1"/>
  <c r="AI479" i="2" s="1"/>
  <c r="L532" i="5"/>
  <c r="AI480" i="2" s="1" a="1"/>
  <c r="AI480" i="2" s="1"/>
  <c r="L533" i="5"/>
  <c r="AI481" i="2" s="1" a="1"/>
  <c r="AI481" i="2" s="1"/>
  <c r="L534" i="5"/>
  <c r="AI482" i="2" s="1" a="1"/>
  <c r="AI482" i="2" s="1"/>
  <c r="L535" i="5"/>
  <c r="AI483" i="2" s="1" a="1"/>
  <c r="AI483" i="2" s="1"/>
  <c r="L536" i="5"/>
  <c r="L537" i="5"/>
  <c r="L538" i="5"/>
  <c r="L539" i="5"/>
  <c r="AI485" i="2" s="1" a="1"/>
  <c r="AI485" i="2" s="1"/>
  <c r="L540" i="5"/>
  <c r="AI486" i="2" s="1" a="1"/>
  <c r="AI486" i="2" s="1"/>
  <c r="L541" i="5"/>
  <c r="AI487" i="2" s="1" a="1"/>
  <c r="AI487" i="2" s="1"/>
  <c r="L542" i="5"/>
  <c r="AI488" i="2" s="1" a="1"/>
  <c r="AI488" i="2" s="1"/>
  <c r="L543" i="5"/>
  <c r="AI489" i="2" s="1" a="1"/>
  <c r="AI489" i="2" s="1"/>
  <c r="L544" i="5"/>
  <c r="AI490" i="2" s="1" a="1"/>
  <c r="AI490" i="2" s="1"/>
  <c r="L545" i="5"/>
  <c r="AI491" i="2" s="1" a="1"/>
  <c r="AI491" i="2" s="1"/>
  <c r="L546" i="5"/>
  <c r="AI492" i="2" s="1" a="1"/>
  <c r="AI492" i="2" s="1"/>
  <c r="L547" i="5"/>
  <c r="AI493" i="2" s="1" a="1"/>
  <c r="AI493" i="2" s="1"/>
  <c r="L548" i="5"/>
  <c r="AI494" i="2" s="1" a="1"/>
  <c r="AI494" i="2" s="1"/>
  <c r="L549" i="5"/>
  <c r="AI495" i="2" s="1" a="1"/>
  <c r="AI495" i="2" s="1"/>
  <c r="L550" i="5"/>
  <c r="AI496" i="2" s="1" a="1"/>
  <c r="AI496" i="2" s="1"/>
  <c r="L551" i="5"/>
  <c r="AI497" i="2" s="1" a="1"/>
  <c r="AI497" i="2" s="1"/>
  <c r="L552" i="5"/>
  <c r="AI498" i="2" s="1" a="1"/>
  <c r="AI498" i="2" s="1"/>
  <c r="L553" i="5"/>
  <c r="AI499" i="2" s="1" a="1"/>
  <c r="AI499" i="2" s="1"/>
  <c r="L554" i="5"/>
  <c r="AI500" i="2" s="1" a="1"/>
  <c r="AI500" i="2" s="1"/>
  <c r="L555" i="5"/>
  <c r="AI501" i="2" s="1" a="1"/>
  <c r="AI501" i="2" s="1"/>
  <c r="L556" i="5"/>
  <c r="AI502" i="2" s="1" a="1"/>
  <c r="AI502" i="2" s="1"/>
  <c r="L557" i="5"/>
  <c r="AI503" i="2" s="1" a="1"/>
  <c r="AI503" i="2" s="1"/>
  <c r="L558" i="5"/>
  <c r="AI504" i="2" s="1" a="1"/>
  <c r="AI504" i="2" s="1"/>
  <c r="L559" i="5"/>
  <c r="AI505" i="2" s="1" a="1"/>
  <c r="AI505" i="2" s="1"/>
  <c r="L560" i="5"/>
  <c r="AI506" i="2" s="1" a="1"/>
  <c r="AI506" i="2" s="1"/>
  <c r="L561" i="5"/>
  <c r="AI507" i="2" s="1" a="1"/>
  <c r="AI507" i="2" s="1"/>
  <c r="L562" i="5"/>
  <c r="AI508" i="2" s="1" a="1"/>
  <c r="AI508" i="2" s="1"/>
  <c r="L563" i="5"/>
  <c r="AI509" i="2" s="1" a="1"/>
  <c r="AI509" i="2" s="1"/>
  <c r="L564" i="5"/>
  <c r="AI511" i="2" s="1" a="1"/>
  <c r="AI511" i="2" s="1"/>
  <c r="L565" i="5"/>
  <c r="AI512" i="2" s="1" a="1"/>
  <c r="AI512" i="2" s="1"/>
  <c r="L566" i="5"/>
  <c r="AI513" i="2" s="1" a="1"/>
  <c r="AI513" i="2" s="1"/>
  <c r="L567" i="5"/>
  <c r="AI515" i="2" s="1" a="1"/>
  <c r="AI515" i="2" s="1"/>
  <c r="L568" i="5"/>
  <c r="AI516" i="2" s="1" a="1"/>
  <c r="AI516" i="2" s="1"/>
  <c r="L569" i="5"/>
  <c r="AI517" i="2" s="1" a="1"/>
  <c r="AI517" i="2" s="1"/>
  <c r="L570" i="5"/>
  <c r="AI518" i="2" s="1" a="1"/>
  <c r="AI518" i="2" s="1"/>
  <c r="L571" i="5"/>
  <c r="AI519" i="2" s="1" a="1"/>
  <c r="AI519" i="2" s="1"/>
  <c r="L572" i="5"/>
  <c r="AI520" i="2" s="1" a="1"/>
  <c r="AI520" i="2" s="1"/>
  <c r="L573" i="5"/>
  <c r="AI521" i="2" s="1" a="1"/>
  <c r="AI521" i="2" s="1"/>
  <c r="L574" i="5"/>
  <c r="AI522" i="2" s="1" a="1"/>
  <c r="AI522" i="2" s="1"/>
  <c r="L575" i="5"/>
  <c r="AI523" i="2" s="1" a="1"/>
  <c r="AI523" i="2" s="1"/>
  <c r="L576" i="5"/>
  <c r="AI524" i="2" s="1" a="1"/>
  <c r="AI524" i="2" s="1"/>
  <c r="L577" i="5"/>
  <c r="AI525" i="2" s="1" a="1"/>
  <c r="AI525" i="2" s="1"/>
  <c r="L578" i="5"/>
  <c r="AI526" i="2" s="1" a="1"/>
  <c r="AI526" i="2" s="1"/>
  <c r="L579" i="5"/>
  <c r="AI527" i="2" s="1" a="1"/>
  <c r="AI527" i="2" s="1"/>
  <c r="L580" i="5"/>
  <c r="AI528" i="2" s="1" a="1"/>
  <c r="AI528" i="2" s="1"/>
  <c r="L581" i="5"/>
  <c r="AI529" i="2" s="1" a="1"/>
  <c r="AI529" i="2" s="1"/>
  <c r="L582" i="5"/>
  <c r="AI530" i="2" s="1" a="1"/>
  <c r="AI530" i="2" s="1"/>
  <c r="L583" i="5"/>
  <c r="AI531" i="2" s="1" a="1"/>
  <c r="AI531" i="2" s="1"/>
  <c r="L584" i="5"/>
  <c r="AI532" i="2" s="1" a="1"/>
  <c r="AI532" i="2" s="1"/>
  <c r="L585" i="5"/>
  <c r="AI533" i="2" s="1" a="1"/>
  <c r="AI533" i="2" s="1"/>
  <c r="L586" i="5"/>
  <c r="AI534" i="2" s="1" a="1"/>
  <c r="AI534" i="2" s="1"/>
  <c r="L587" i="5"/>
  <c r="AI535" i="2" s="1" a="1"/>
  <c r="AI535" i="2" s="1"/>
  <c r="L588" i="5"/>
  <c r="AI536" i="2" s="1" a="1"/>
  <c r="AI536" i="2" s="1"/>
  <c r="L589" i="5"/>
  <c r="AI537" i="2" s="1" a="1"/>
  <c r="AI537" i="2" s="1"/>
  <c r="L590" i="5"/>
  <c r="AI538" i="2" s="1" a="1"/>
  <c r="AI538" i="2" s="1"/>
  <c r="L591" i="5"/>
  <c r="AI539" i="2" s="1" a="1"/>
  <c r="AI539" i="2" s="1"/>
  <c r="L592" i="5"/>
  <c r="AI540" i="2" s="1" a="1"/>
  <c r="AI540" i="2" s="1"/>
  <c r="L593" i="5"/>
  <c r="AI541" i="2" s="1" a="1"/>
  <c r="AI541" i="2" s="1"/>
  <c r="L594" i="5"/>
  <c r="AI542" i="2" s="1" a="1"/>
  <c r="AI542" i="2" s="1"/>
  <c r="L595" i="5"/>
  <c r="AI544" i="2" s="1" a="1"/>
  <c r="AI544" i="2" s="1"/>
  <c r="L596" i="5"/>
  <c r="AI545" i="2" s="1" a="1"/>
  <c r="AI545" i="2" s="1"/>
  <c r="L597" i="5"/>
  <c r="AI546" i="2" s="1" a="1"/>
  <c r="AI546" i="2" s="1"/>
  <c r="L598" i="5"/>
  <c r="AI547" i="2" s="1" a="1"/>
  <c r="AI547" i="2" s="1"/>
  <c r="L599" i="5"/>
  <c r="AI548" i="2" s="1" a="1"/>
  <c r="AI548" i="2" s="1"/>
  <c r="L600" i="5"/>
  <c r="AI549" i="2" s="1" a="1"/>
  <c r="AI549" i="2" s="1"/>
  <c r="L601" i="5"/>
  <c r="AI550" i="2" s="1" a="1"/>
  <c r="AI550" i="2" s="1"/>
  <c r="L602" i="5"/>
  <c r="AI551" i="2" s="1" a="1"/>
  <c r="AI551" i="2" s="1"/>
  <c r="L603" i="5"/>
  <c r="AI552" i="2" s="1" a="1"/>
  <c r="AI552" i="2" s="1"/>
  <c r="L604" i="5"/>
  <c r="AI553" i="2" s="1" a="1"/>
  <c r="AI553" i="2" s="1"/>
  <c r="L605" i="5"/>
  <c r="AI554" i="2" s="1" a="1"/>
  <c r="AI554" i="2" s="1"/>
  <c r="L606" i="5"/>
  <c r="AI555" i="2" s="1" a="1"/>
  <c r="AI555" i="2" s="1"/>
  <c r="L607" i="5"/>
  <c r="AI556" i="2" s="1" a="1"/>
  <c r="AI556" i="2" s="1"/>
  <c r="L608" i="5"/>
  <c r="AI557" i="2" s="1" a="1"/>
  <c r="AI557" i="2" s="1"/>
  <c r="L609" i="5"/>
  <c r="AI560" i="2" s="1" a="1"/>
  <c r="AI560" i="2" s="1"/>
  <c r="L610" i="5"/>
  <c r="AI567" i="2" s="1" a="1"/>
  <c r="AI567" i="2" s="1"/>
  <c r="L611" i="5"/>
  <c r="AI568" i="2" s="1" a="1"/>
  <c r="AI568" i="2" s="1"/>
  <c r="L612" i="5"/>
  <c r="AI570" i="2" s="1" a="1"/>
  <c r="AI570" i="2" s="1"/>
  <c r="L613" i="5"/>
  <c r="AI571" i="2" s="1" a="1"/>
  <c r="AI571" i="2" s="1"/>
  <c r="L614" i="5"/>
  <c r="AI572" i="2" s="1" a="1"/>
  <c r="AI572" i="2" s="1"/>
  <c r="L615" i="5"/>
  <c r="AI573" i="2" s="1" a="1"/>
  <c r="AI573" i="2" s="1"/>
  <c r="L616" i="5"/>
  <c r="AI575" i="2" s="1" a="1"/>
  <c r="AI575" i="2" s="1"/>
  <c r="L617" i="5"/>
  <c r="AI576" i="2" s="1" a="1"/>
  <c r="AI576" i="2" s="1"/>
  <c r="L618" i="5"/>
  <c r="AI577" i="2" s="1" a="1"/>
  <c r="AI577" i="2" s="1"/>
  <c r="L619" i="5"/>
  <c r="AI578" i="2" s="1" a="1"/>
  <c r="AI578" i="2" s="1"/>
  <c r="L620" i="5"/>
  <c r="AI579" i="2" s="1" a="1"/>
  <c r="AI579" i="2" s="1"/>
  <c r="L621" i="5"/>
  <c r="AI580" i="2" s="1" a="1"/>
  <c r="AI580" i="2" s="1"/>
  <c r="L622" i="5"/>
  <c r="AI581" i="2" s="1" a="1"/>
  <c r="AI581" i="2" s="1"/>
  <c r="L623" i="5"/>
  <c r="AI582" i="2" s="1" a="1"/>
  <c r="AI582" i="2" s="1"/>
  <c r="L624" i="5"/>
  <c r="AI583" i="2" s="1" a="1"/>
  <c r="AI583" i="2" s="1"/>
  <c r="L625" i="5"/>
  <c r="AI584" i="2" s="1" a="1"/>
  <c r="AI584" i="2" s="1"/>
  <c r="L626" i="5"/>
  <c r="L627" i="5"/>
  <c r="L628" i="5"/>
  <c r="L629" i="5"/>
  <c r="L630" i="5"/>
  <c r="AI588" i="2" s="1" a="1"/>
  <c r="AI588" i="2" s="1"/>
  <c r="L631" i="5"/>
  <c r="AI589" i="2" s="1" a="1"/>
  <c r="AI589" i="2" s="1"/>
  <c r="L632" i="5"/>
  <c r="AI590" i="2" s="1" a="1"/>
  <c r="AI590" i="2" s="1"/>
  <c r="L633" i="5"/>
  <c r="AI591" i="2" s="1" a="1"/>
  <c r="AI591" i="2" s="1"/>
  <c r="L634" i="5"/>
  <c r="AI592" i="2" s="1" a="1"/>
  <c r="AI592" i="2" s="1"/>
  <c r="L635" i="5"/>
  <c r="AI593" i="2" s="1" a="1"/>
  <c r="AI593" i="2" s="1"/>
  <c r="L636" i="5"/>
  <c r="AI594" i="2" s="1" a="1"/>
  <c r="AI594" i="2" s="1"/>
  <c r="L637" i="5"/>
  <c r="AI595" i="2" s="1" a="1"/>
  <c r="AI595" i="2" s="1"/>
  <c r="L638" i="5"/>
  <c r="AI596" i="2" s="1" a="1"/>
  <c r="AI596" i="2" s="1"/>
  <c r="L639" i="5"/>
  <c r="AI597" i="2" s="1" a="1"/>
  <c r="AI597" i="2" s="1"/>
  <c r="L640" i="5"/>
  <c r="AI598" i="2" s="1" a="1"/>
  <c r="AI598" i="2" s="1"/>
  <c r="L641" i="5"/>
  <c r="AI599" i="2" s="1" a="1"/>
  <c r="AI599" i="2" s="1"/>
  <c r="L642" i="5"/>
  <c r="AI601" i="2" s="1" a="1"/>
  <c r="AI601" i="2" s="1"/>
  <c r="L643" i="5"/>
  <c r="AI602" i="2" s="1" a="1"/>
  <c r="AI602" i="2" s="1"/>
  <c r="L644" i="5"/>
  <c r="AI607" i="2" s="1" a="1"/>
  <c r="AI607" i="2" s="1"/>
  <c r="L645" i="5"/>
  <c r="AI609" i="2" s="1" a="1"/>
  <c r="AI609" i="2" s="1"/>
  <c r="AI611" i="2" a="1"/>
  <c r="AI611" i="2" s="1"/>
  <c r="L647" i="5"/>
  <c r="AI612" i="2" s="1" a="1"/>
  <c r="AI612" i="2" s="1"/>
  <c r="L648" i="5"/>
  <c r="AI613" i="2" s="1" a="1"/>
  <c r="AI613" i="2" s="1"/>
  <c r="L649" i="5"/>
  <c r="AI616" i="2" s="1" a="1"/>
  <c r="AI616" i="2" s="1"/>
  <c r="L650" i="5"/>
  <c r="AI618" i="2" s="1" a="1"/>
  <c r="AI618" i="2" s="1"/>
  <c r="L651" i="5"/>
  <c r="AI621" i="2" s="1" a="1"/>
  <c r="AI621" i="2" s="1"/>
  <c r="L652" i="5"/>
  <c r="AI622" i="2" s="1" a="1"/>
  <c r="AI622" i="2" s="1"/>
  <c r="L653" i="5"/>
  <c r="AI623" i="2" s="1" a="1"/>
  <c r="AI623" i="2" s="1"/>
  <c r="L654" i="5"/>
  <c r="AI624" i="2" s="1" a="1"/>
  <c r="AI624" i="2" s="1"/>
  <c r="L655" i="5"/>
  <c r="AI625" i="2" s="1" a="1"/>
  <c r="AI625" i="2" s="1"/>
  <c r="L656" i="5"/>
  <c r="AI627" i="2" s="1" a="1"/>
  <c r="AI627" i="2" s="1"/>
  <c r="L657" i="5"/>
  <c r="L658" i="5"/>
  <c r="L659" i="5"/>
  <c r="L660" i="5"/>
  <c r="AI629" i="2" s="1" a="1"/>
  <c r="AI629" i="2" s="1"/>
  <c r="L661" i="5"/>
  <c r="AI630" i="2" s="1" a="1"/>
  <c r="AI630" i="2" s="1"/>
  <c r="L662" i="5"/>
  <c r="AI631" i="2" s="1" a="1"/>
  <c r="AI631" i="2" s="1"/>
  <c r="L663" i="5"/>
  <c r="AI632" i="2" s="1" a="1"/>
  <c r="AI632" i="2" s="1"/>
  <c r="L664" i="5"/>
  <c r="AI633" i="2" s="1" a="1"/>
  <c r="AI633" i="2" s="1"/>
  <c r="L665" i="5"/>
  <c r="AI634" i="2" s="1" a="1"/>
  <c r="AI634" i="2" s="1"/>
  <c r="L666" i="5"/>
  <c r="AI635" i="2" s="1" a="1"/>
  <c r="AI635" i="2" s="1"/>
  <c r="L667" i="5"/>
  <c r="AI636" i="2" s="1" a="1"/>
  <c r="AI636" i="2" s="1"/>
  <c r="L668" i="5"/>
  <c r="AI637" i="2" s="1" a="1"/>
  <c r="AI637" i="2" s="1"/>
  <c r="L669" i="5"/>
  <c r="AI638" i="2" s="1" a="1"/>
  <c r="AI638" i="2" s="1"/>
  <c r="L670" i="5"/>
  <c r="AI639" i="2" s="1" a="1"/>
  <c r="AI639" i="2" s="1"/>
  <c r="L671" i="5"/>
  <c r="AI640" i="2" s="1" a="1"/>
  <c r="AI640" i="2" s="1"/>
  <c r="L672" i="5"/>
  <c r="AI641" i="2" s="1" a="1"/>
  <c r="AI641" i="2" s="1"/>
  <c r="L673" i="5"/>
  <c r="AI642" i="2" s="1" a="1"/>
  <c r="AI642" i="2" s="1"/>
  <c r="L674" i="5"/>
  <c r="AI643" i="2" s="1" a="1"/>
  <c r="AI643" i="2" s="1"/>
  <c r="L675" i="5"/>
  <c r="AI644" i="2" s="1" a="1"/>
  <c r="AI644" i="2" s="1"/>
  <c r="L676" i="5"/>
  <c r="L677" i="5"/>
  <c r="AI646" i="2" s="1" a="1"/>
  <c r="AI646" i="2" s="1"/>
  <c r="L678" i="5"/>
  <c r="AI647" i="2" s="1" a="1"/>
  <c r="AI647" i="2" s="1"/>
  <c r="L679" i="5"/>
  <c r="AI648" i="2" s="1" a="1"/>
  <c r="AI648" i="2" s="1"/>
  <c r="L680" i="5"/>
  <c r="AI649" i="2" s="1" a="1"/>
  <c r="AI649" i="2" s="1"/>
  <c r="L681" i="5"/>
  <c r="L682" i="5"/>
  <c r="L683" i="5"/>
  <c r="L684" i="5"/>
  <c r="AI651" i="2" s="1" a="1"/>
  <c r="AI651" i="2" s="1"/>
  <c r="L685" i="5"/>
  <c r="AI652" i="2" s="1" a="1"/>
  <c r="AI652" i="2" s="1"/>
  <c r="L686" i="5"/>
  <c r="AI653" i="2" s="1" a="1"/>
  <c r="AI653" i="2" s="1"/>
  <c r="L687" i="5"/>
  <c r="AI654" i="2" s="1" a="1"/>
  <c r="AI654" i="2" s="1"/>
  <c r="L688" i="5"/>
  <c r="L689" i="5"/>
  <c r="L690" i="5"/>
  <c r="L691" i="5"/>
  <c r="L692" i="5"/>
  <c r="L693" i="5"/>
  <c r="AI656" i="2" s="1" a="1"/>
  <c r="AI656" i="2" s="1"/>
  <c r="L694" i="5"/>
  <c r="AI657" i="2" s="1" a="1"/>
  <c r="AI657" i="2" s="1"/>
  <c r="L695" i="5"/>
  <c r="AI658" i="2" s="1" a="1"/>
  <c r="AI658" i="2" s="1"/>
  <c r="L696" i="5"/>
  <c r="AI659" i="2" s="1" a="1"/>
  <c r="AI659" i="2" s="1"/>
  <c r="L697" i="5"/>
  <c r="AI660" i="2" s="1" a="1"/>
  <c r="AI660" i="2" s="1"/>
  <c r="L698" i="5"/>
  <c r="AI661" i="2" s="1" a="1"/>
  <c r="AI661" i="2" s="1"/>
  <c r="L699" i="5"/>
  <c r="AI662" i="2" s="1" a="1"/>
  <c r="AI662" i="2" s="1"/>
  <c r="L700" i="5"/>
  <c r="AI663" i="2" s="1" a="1"/>
  <c r="AI663" i="2" s="1"/>
  <c r="L701" i="5"/>
  <c r="L702" i="5"/>
  <c r="L703" i="5"/>
  <c r="AI665" i="2" s="1" a="1"/>
  <c r="AI665" i="2" s="1"/>
  <c r="L704" i="5"/>
  <c r="AI666" i="2" s="1" a="1"/>
  <c r="AI666" i="2" s="1"/>
  <c r="L705" i="5"/>
  <c r="AI667" i="2" s="1" a="1"/>
  <c r="AI667" i="2" s="1"/>
  <c r="L706" i="5"/>
  <c r="AI668" i="2" s="1" a="1"/>
  <c r="AI668" i="2" s="1"/>
  <c r="L707" i="5"/>
  <c r="AI670" i="2" s="1" a="1"/>
  <c r="AI670" i="2" s="1"/>
  <c r="L708" i="5"/>
  <c r="AI671" i="2" s="1" a="1"/>
  <c r="AI671" i="2" s="1"/>
  <c r="L709" i="5"/>
  <c r="L710" i="5"/>
  <c r="L711" i="5"/>
  <c r="L712" i="5"/>
  <c r="AI673" i="2" s="1" a="1"/>
  <c r="AI673" i="2" s="1"/>
  <c r="L713" i="5"/>
  <c r="AI674" i="2" s="1" a="1"/>
  <c r="AI674" i="2" s="1"/>
  <c r="L714" i="5"/>
  <c r="AI676" i="2" s="1" a="1"/>
  <c r="AI676" i="2" s="1"/>
  <c r="L715" i="5"/>
  <c r="AI677" i="2" s="1" a="1"/>
  <c r="AI677" i="2" s="1"/>
  <c r="L716" i="5"/>
  <c r="AI678" i="2" s="1" a="1"/>
  <c r="AI678" i="2" s="1"/>
  <c r="L717" i="5"/>
  <c r="AI680" i="2" s="1" a="1"/>
  <c r="AI680" i="2" s="1"/>
  <c r="L718" i="5"/>
  <c r="AI681" i="2" s="1" a="1"/>
  <c r="AI681" i="2" s="1"/>
  <c r="L719" i="5"/>
  <c r="AI682" i="2" s="1" a="1"/>
  <c r="AI682" i="2" s="1"/>
  <c r="L720" i="5"/>
  <c r="AI683" i="2" s="1" a="1"/>
  <c r="AI683" i="2" s="1"/>
  <c r="L721" i="5"/>
  <c r="AI684" i="2" s="1" a="1"/>
  <c r="AI684" i="2" s="1"/>
  <c r="L722" i="5"/>
  <c r="AI685" i="2" s="1" a="1"/>
  <c r="AI685" i="2" s="1"/>
  <c r="L723" i="5"/>
  <c r="L724" i="5"/>
  <c r="L725" i="5"/>
  <c r="AI687" i="2" s="1" a="1"/>
  <c r="AI687" i="2" s="1"/>
  <c r="L726" i="5"/>
  <c r="AI688" i="2" s="1" a="1"/>
  <c r="AI688" i="2" s="1"/>
  <c r="L727" i="5"/>
  <c r="AI689" i="2" s="1" a="1"/>
  <c r="AI689" i="2" s="1"/>
  <c r="L728" i="5"/>
  <c r="AI690" i="2" s="1" a="1"/>
  <c r="AI690" i="2" s="1"/>
  <c r="L729" i="5"/>
  <c r="L730" i="5"/>
  <c r="L731" i="5"/>
  <c r="L732" i="5"/>
  <c r="AI692" i="2" s="1" a="1"/>
  <c r="AI692" i="2" s="1"/>
  <c r="L733" i="5"/>
  <c r="AI693" i="2" s="1" a="1"/>
  <c r="AI693" i="2" s="1"/>
  <c r="L734" i="5"/>
  <c r="AI694" i="2" s="1" a="1"/>
  <c r="AI694" i="2" s="1"/>
  <c r="L735" i="5"/>
  <c r="AI695" i="2" s="1" a="1"/>
  <c r="AI695" i="2" s="1"/>
  <c r="L736" i="5"/>
  <c r="AI696" i="2" s="1" a="1"/>
  <c r="AI696" i="2" s="1"/>
  <c r="L737" i="5"/>
  <c r="AI697" i="2" s="1" a="1"/>
  <c r="AI697" i="2" s="1"/>
  <c r="L738" i="5"/>
  <c r="AI698" i="2" s="1" a="1"/>
  <c r="AI698" i="2" s="1"/>
  <c r="L739" i="5"/>
  <c r="AI699" i="2" s="1" a="1"/>
  <c r="AI699" i="2" s="1"/>
  <c r="L740" i="5"/>
  <c r="AI700" i="2" s="1" a="1"/>
  <c r="AI700" i="2" s="1"/>
  <c r="L741" i="5"/>
  <c r="AI701" i="2" s="1" a="1"/>
  <c r="AI701" i="2" s="1"/>
  <c r="L742" i="5"/>
  <c r="AI702" i="2" s="1" a="1"/>
  <c r="AI702" i="2" s="1"/>
  <c r="L743" i="5"/>
  <c r="L744" i="5"/>
  <c r="L745" i="5"/>
  <c r="L746" i="5"/>
  <c r="AI704" i="2" s="1" a="1"/>
  <c r="AI704" i="2" s="1"/>
  <c r="L747" i="5"/>
  <c r="AI705" i="2" s="1" a="1"/>
  <c r="AI705" i="2" s="1"/>
  <c r="L748" i="5"/>
  <c r="AI706" i="2" s="1" a="1"/>
  <c r="AI706" i="2" s="1"/>
  <c r="L749" i="5"/>
  <c r="AI707" i="2" s="1" a="1"/>
  <c r="AI707" i="2" s="1"/>
  <c r="L750" i="5"/>
  <c r="AI708" i="2" s="1" a="1"/>
  <c r="AI708" i="2" s="1"/>
  <c r="L751" i="5"/>
  <c r="AI709" i="2" s="1" a="1"/>
  <c r="AI709" i="2" s="1"/>
  <c r="L752" i="5"/>
  <c r="AI710" i="2" s="1" a="1"/>
  <c r="AI710" i="2" s="1"/>
  <c r="L753" i="5"/>
  <c r="AI711" i="2" s="1" a="1"/>
  <c r="AI711" i="2" s="1"/>
  <c r="L754" i="5"/>
  <c r="L755" i="5"/>
  <c r="L756" i="5"/>
  <c r="L757" i="5"/>
  <c r="L758" i="5"/>
  <c r="L759" i="5"/>
  <c r="L760" i="5"/>
  <c r="AI714" i="2" s="1" a="1"/>
  <c r="AI714" i="2" s="1"/>
  <c r="L761" i="5"/>
  <c r="AI715" i="2" s="1" a="1"/>
  <c r="AI715" i="2" s="1"/>
  <c r="L762" i="5"/>
  <c r="AI716" i="2" s="1" a="1"/>
  <c r="AI716" i="2" s="1"/>
  <c r="L763" i="5"/>
  <c r="AI717" i="2" s="1" a="1"/>
  <c r="AI717" i="2" s="1"/>
  <c r="L764" i="5"/>
  <c r="AI718" i="2" s="1" a="1"/>
  <c r="AI718" i="2" s="1"/>
  <c r="L765" i="5"/>
  <c r="AI719" i="2" s="1" a="1"/>
  <c r="AI719" i="2" s="1"/>
  <c r="L766" i="5"/>
  <c r="AI720" i="2" s="1" a="1"/>
  <c r="AI720" i="2" s="1"/>
  <c r="L767" i="5"/>
  <c r="AI721" i="2" s="1" a="1"/>
  <c r="AI721" i="2" s="1"/>
  <c r="L768" i="5"/>
  <c r="AI722" i="2" s="1" a="1"/>
  <c r="AI722" i="2" s="1"/>
  <c r="L769" i="5"/>
  <c r="AI723" i="2" s="1" a="1"/>
  <c r="AI723" i="2" s="1"/>
  <c r="L770" i="5"/>
  <c r="AI724" i="2" s="1" a="1"/>
  <c r="AI724" i="2" s="1"/>
  <c r="L771" i="5"/>
  <c r="AI726" i="2" s="1" a="1"/>
  <c r="AI726" i="2" s="1"/>
  <c r="L772" i="5"/>
  <c r="AI727" i="2" s="1" a="1"/>
  <c r="AI727" i="2" s="1"/>
  <c r="L773" i="5"/>
  <c r="L774" i="5"/>
  <c r="AI730" i="2" s="1" a="1"/>
  <c r="AI730" i="2" s="1"/>
  <c r="L775" i="5"/>
  <c r="AI731" i="2" s="1" a="1"/>
  <c r="AI731" i="2" s="1"/>
  <c r="L776" i="5"/>
  <c r="AI732" i="2" s="1" a="1"/>
  <c r="AI732" i="2" s="1"/>
  <c r="L777" i="5"/>
  <c r="AI733" i="2" s="1" a="1"/>
  <c r="AI733" i="2" s="1"/>
  <c r="L778" i="5"/>
  <c r="AI734" i="2" s="1" a="1"/>
  <c r="AI734" i="2" s="1"/>
  <c r="L779" i="5"/>
  <c r="L780" i="5"/>
  <c r="L781" i="5"/>
  <c r="L782" i="5"/>
  <c r="AI736" i="2" s="1" a="1"/>
  <c r="AI736" i="2" s="1"/>
  <c r="L783" i="5"/>
  <c r="AI737" i="2" s="1" a="1"/>
  <c r="AI737" i="2" s="1"/>
  <c r="L784" i="5"/>
  <c r="AI738" i="2" s="1" a="1"/>
  <c r="AI738" i="2" s="1"/>
  <c r="L785" i="5"/>
  <c r="AI739" i="2" s="1" a="1"/>
  <c r="AI739" i="2" s="1"/>
  <c r="L786" i="5"/>
  <c r="AI740" i="2" s="1" a="1"/>
  <c r="AI740" i="2" s="1"/>
  <c r="L787" i="5"/>
  <c r="AI741" i="2" s="1" a="1"/>
  <c r="AI741" i="2" s="1"/>
  <c r="AI743" i="2" a="1"/>
  <c r="AI743" i="2" s="1"/>
  <c r="L789" i="5"/>
  <c r="AI744" i="2" s="1" a="1"/>
  <c r="AI744" i="2" s="1"/>
  <c r="L790" i="5"/>
  <c r="AI745" i="2" s="1" a="1"/>
  <c r="AI745" i="2" s="1"/>
  <c r="L791" i="5"/>
  <c r="AI746" i="2" s="1" a="1"/>
  <c r="AI746" i="2" s="1"/>
  <c r="L792" i="5"/>
  <c r="AI747" i="2" s="1" a="1"/>
  <c r="AI747" i="2" s="1"/>
  <c r="L793" i="5"/>
  <c r="AI748" i="2" s="1" a="1"/>
  <c r="AI748" i="2" s="1"/>
  <c r="L794" i="5"/>
  <c r="AI749" i="2" s="1" a="1"/>
  <c r="AI749" i="2" s="1"/>
  <c r="L795" i="5"/>
  <c r="L796" i="5"/>
  <c r="L797" i="5"/>
  <c r="L798" i="5"/>
  <c r="AI751" i="2" s="1" a="1"/>
  <c r="AI751" i="2" s="1"/>
  <c r="L799" i="5"/>
  <c r="L800" i="5"/>
  <c r="L801" i="5"/>
  <c r="L802" i="5"/>
  <c r="AI753" i="2" s="1" a="1"/>
  <c r="AI753" i="2" s="1"/>
  <c r="L803" i="5"/>
  <c r="AI754" i="2" s="1" a="1"/>
  <c r="AI754" i="2" s="1"/>
  <c r="L804" i="5"/>
  <c r="AI755" i="2" s="1" a="1"/>
  <c r="AI755" i="2" s="1"/>
  <c r="L805" i="5"/>
  <c r="L806" i="5"/>
  <c r="L807" i="5"/>
  <c r="L808" i="5"/>
  <c r="AI757" i="2" s="1" a="1"/>
  <c r="AI757" i="2" s="1"/>
  <c r="L809" i="5"/>
  <c r="AI758" i="2" s="1" a="1"/>
  <c r="AI758" i="2" s="1"/>
  <c r="L810" i="5"/>
  <c r="AI760" i="2" s="1" a="1"/>
  <c r="AI760" i="2" s="1"/>
  <c r="L811" i="5"/>
  <c r="AI761" i="2" s="1" a="1"/>
  <c r="AI761" i="2" s="1"/>
  <c r="L812" i="5"/>
  <c r="AI762" i="2" s="1" a="1"/>
  <c r="AI762" i="2" s="1"/>
  <c r="L813" i="5"/>
  <c r="AI763" i="2" s="1" a="1"/>
  <c r="AI763" i="2" s="1"/>
  <c r="L814" i="5"/>
  <c r="AI764" i="2" s="1" a="1"/>
  <c r="AI764" i="2" s="1"/>
  <c r="L815" i="5"/>
  <c r="AI765" i="2" s="1" a="1"/>
  <c r="AI765" i="2" s="1"/>
  <c r="L816" i="5"/>
  <c r="AI766" i="2" s="1" a="1"/>
  <c r="AI766" i="2" s="1"/>
  <c r="L817" i="5"/>
  <c r="AI768" i="2" s="1" a="1"/>
  <c r="AI768" i="2" s="1"/>
  <c r="L818" i="5"/>
  <c r="AI769" i="2" s="1" a="1"/>
  <c r="AI769" i="2" s="1"/>
  <c r="L819" i="5"/>
  <c r="AI770" i="2" s="1" a="1"/>
  <c r="AI770" i="2" s="1"/>
  <c r="L820" i="5"/>
  <c r="AI771" i="2" s="1" a="1"/>
  <c r="AI771" i="2" s="1"/>
  <c r="L821" i="5"/>
  <c r="AI772" i="2" s="1" a="1"/>
  <c r="AI772" i="2" s="1"/>
  <c r="L822" i="5"/>
  <c r="AI773" i="2" s="1" a="1"/>
  <c r="AI773" i="2" s="1"/>
  <c r="L823" i="5"/>
  <c r="AI774" i="2" s="1" a="1"/>
  <c r="AI774" i="2" s="1"/>
  <c r="L824" i="5"/>
  <c r="AI775" i="2" s="1" a="1"/>
  <c r="AI775" i="2" s="1"/>
  <c r="L825" i="5"/>
  <c r="AI776" i="2" s="1" a="1"/>
  <c r="AI776" i="2" s="1"/>
  <c r="L826" i="5"/>
  <c r="AI777" i="2" s="1" a="1"/>
  <c r="AI777" i="2" s="1"/>
  <c r="L827" i="5"/>
  <c r="AI778" i="2" s="1" a="1"/>
  <c r="AI778" i="2" s="1"/>
  <c r="L828" i="5"/>
  <c r="AI779" i="2" s="1" a="1"/>
  <c r="AI779" i="2" s="1"/>
  <c r="L829" i="5"/>
  <c r="AI780" i="2" s="1" a="1"/>
  <c r="AI780" i="2" s="1"/>
  <c r="L830" i="5"/>
  <c r="AI781" i="2" s="1" a="1"/>
  <c r="AI781" i="2" s="1"/>
  <c r="L831" i="5"/>
  <c r="AI782" i="2" s="1" a="1"/>
  <c r="AI782" i="2" s="1"/>
  <c r="L832" i="5"/>
  <c r="AI783" i="2" s="1" a="1"/>
  <c r="AI783" i="2" s="1"/>
  <c r="L833" i="5"/>
  <c r="AI784" i="2" s="1" a="1"/>
  <c r="AI784" i="2" s="1"/>
  <c r="L834" i="5"/>
  <c r="AI785" i="2" s="1" a="1"/>
  <c r="AI785" i="2" s="1"/>
  <c r="L835" i="5"/>
  <c r="AI787" i="2" s="1" a="1"/>
  <c r="AI787" i="2" s="1"/>
  <c r="L836" i="5"/>
  <c r="AI788" i="2" s="1" a="1"/>
  <c r="AI788" i="2" s="1"/>
  <c r="L837" i="5"/>
  <c r="AI789" i="2" s="1" a="1"/>
  <c r="AI789" i="2" s="1"/>
  <c r="L838" i="5"/>
  <c r="AI790" i="2" s="1" a="1"/>
  <c r="AI790" i="2" s="1"/>
  <c r="L839" i="5"/>
  <c r="AI791" i="2" s="1" a="1"/>
  <c r="AI791" i="2" s="1"/>
  <c r="L840" i="5"/>
  <c r="AI792" i="2" s="1" a="1"/>
  <c r="AI792" i="2" s="1"/>
  <c r="L841" i="5"/>
  <c r="AI793" i="2" s="1" a="1"/>
  <c r="AI793" i="2" s="1"/>
  <c r="L842" i="5"/>
  <c r="AI794" i="2" s="1" a="1"/>
  <c r="AI794" i="2" s="1"/>
  <c r="L843" i="5"/>
  <c r="AI795" i="2" s="1" a="1"/>
  <c r="AI795" i="2" s="1"/>
  <c r="L844" i="5"/>
  <c r="AI796" i="2" s="1" a="1"/>
  <c r="AI796" i="2" s="1"/>
  <c r="L845" i="5"/>
  <c r="AI797" i="2" s="1" a="1"/>
  <c r="AI797" i="2" s="1"/>
  <c r="L846" i="5"/>
  <c r="AI798" i="2" s="1" a="1"/>
  <c r="AI798" i="2" s="1"/>
  <c r="L847" i="5"/>
  <c r="AI799" i="2" s="1" a="1"/>
  <c r="AI799" i="2" s="1"/>
  <c r="L848" i="5"/>
  <c r="AI800" i="2" s="1" a="1"/>
  <c r="AI800" i="2" s="1"/>
  <c r="L849" i="5"/>
  <c r="AI801" i="2" s="1" a="1"/>
  <c r="AI801" i="2" s="1"/>
  <c r="L850" i="5"/>
  <c r="AI802" i="2" s="1" a="1"/>
  <c r="AI802" i="2" s="1"/>
  <c r="L851" i="5"/>
  <c r="L852" i="5"/>
  <c r="L853" i="5"/>
  <c r="AI803" i="2" s="1" a="1"/>
  <c r="AI803" i="2" s="1"/>
  <c r="L854" i="5"/>
  <c r="AI804" i="2" s="1" a="1"/>
  <c r="AI804" i="2" s="1"/>
  <c r="L855" i="5"/>
  <c r="AI805" i="2" s="1" a="1"/>
  <c r="AI805" i="2" s="1"/>
  <c r="L856" i="5"/>
  <c r="L857" i="5"/>
  <c r="L858" i="5"/>
  <c r="AI807" i="2" s="1" a="1"/>
  <c r="AI807" i="2" s="1"/>
  <c r="L859" i="5"/>
  <c r="AI808" i="2" s="1" a="1"/>
  <c r="AI808" i="2" s="1"/>
  <c r="L860" i="5"/>
  <c r="AI809" i="2" s="1" a="1"/>
  <c r="AI809" i="2" s="1"/>
  <c r="L861" i="5"/>
  <c r="AI810" i="2" s="1" a="1"/>
  <c r="AI810" i="2" s="1"/>
  <c r="L862" i="5"/>
  <c r="AI811" i="2" s="1" a="1"/>
  <c r="AI811" i="2" s="1"/>
  <c r="L863" i="5"/>
  <c r="L864" i="5"/>
  <c r="AI812" i="2" s="1" a="1"/>
  <c r="AI812" i="2" s="1"/>
  <c r="L865" i="5"/>
  <c r="AI813" i="2" s="1" a="1"/>
  <c r="AI813" i="2" s="1"/>
  <c r="L866" i="5"/>
  <c r="AI814" i="2" s="1" a="1"/>
  <c r="AI814" i="2" s="1"/>
  <c r="L867" i="5"/>
  <c r="AI815" i="2" s="1" a="1"/>
  <c r="AI815" i="2" s="1"/>
  <c r="L868" i="5"/>
  <c r="AI816" i="2" s="1" a="1"/>
  <c r="AI816" i="2" s="1"/>
  <c r="L869" i="5"/>
  <c r="AI817" i="2" s="1" a="1"/>
  <c r="AI817" i="2" s="1"/>
  <c r="L870" i="5"/>
  <c r="AI818" i="2" s="1" a="1"/>
  <c r="AI818" i="2" s="1"/>
  <c r="L871" i="5"/>
  <c r="AI819" i="2" s="1" a="1"/>
  <c r="AI819" i="2" s="1"/>
  <c r="L872" i="5"/>
  <c r="AI820" i="2" s="1" a="1"/>
  <c r="AI820" i="2" s="1"/>
  <c r="L873" i="5"/>
  <c r="AI821" i="2" s="1" a="1"/>
  <c r="AI821" i="2" s="1"/>
  <c r="L874" i="5"/>
  <c r="AI822" i="2" s="1" a="1"/>
  <c r="AI822" i="2" s="1"/>
  <c r="L875" i="5"/>
  <c r="AI823" i="2" s="1" a="1"/>
  <c r="AI823" i="2" s="1"/>
  <c r="L876" i="5"/>
  <c r="AI824" i="2" s="1" a="1"/>
  <c r="AI824" i="2" s="1"/>
  <c r="L877" i="5"/>
  <c r="AI825" i="2" s="1" a="1"/>
  <c r="AI825" i="2" s="1"/>
  <c r="L878" i="5"/>
  <c r="AI826" i="2" s="1" a="1"/>
  <c r="AI826" i="2" s="1"/>
  <c r="L879" i="5"/>
  <c r="AI827" i="2" s="1" a="1"/>
  <c r="AI827" i="2" s="1"/>
  <c r="L880" i="5"/>
  <c r="AI828" i="2" s="1" a="1"/>
  <c r="AI828" i="2" s="1"/>
  <c r="L881" i="5"/>
  <c r="AI829" i="2" s="1" a="1"/>
  <c r="AI829" i="2" s="1"/>
  <c r="L882" i="5"/>
  <c r="AI830" i="2" s="1" a="1"/>
  <c r="AI830" i="2" s="1"/>
  <c r="L883" i="5"/>
  <c r="AI831" i="2" s="1" a="1"/>
  <c r="AI831" i="2" s="1"/>
  <c r="L884" i="5"/>
  <c r="AI832" i="2" s="1" a="1"/>
  <c r="AI832" i="2" s="1"/>
  <c r="L885" i="5"/>
  <c r="AI833" i="2" s="1" a="1"/>
  <c r="AI833" i="2" s="1"/>
  <c r="L886" i="5"/>
  <c r="AI834" i="2" s="1" a="1"/>
  <c r="AI834" i="2" s="1"/>
  <c r="L887" i="5"/>
  <c r="AI835" i="2" s="1" a="1"/>
  <c r="AI835" i="2" s="1"/>
  <c r="L888" i="5"/>
  <c r="AI836" i="2" s="1" a="1"/>
  <c r="AI836" i="2" s="1"/>
  <c r="L889" i="5"/>
  <c r="L890" i="5"/>
  <c r="L891" i="5"/>
  <c r="L892" i="5"/>
  <c r="AI838" i="2" s="1" a="1"/>
  <c r="AI838" i="2" s="1"/>
  <c r="L893" i="5"/>
  <c r="AI839" i="2" s="1" a="1"/>
  <c r="AI839" i="2" s="1"/>
  <c r="L894" i="5"/>
  <c r="AI840" i="2" s="1" a="1"/>
  <c r="AI840" i="2" s="1"/>
  <c r="L895" i="5"/>
  <c r="AI841" i="2" s="1" a="1"/>
  <c r="AI841" i="2" s="1"/>
  <c r="L896" i="5"/>
  <c r="AI842" i="2" s="1" a="1"/>
  <c r="AI842" i="2" s="1"/>
  <c r="L897" i="5"/>
  <c r="AI843" i="2" s="1" a="1"/>
  <c r="AI843" i="2" s="1"/>
  <c r="L898" i="5"/>
  <c r="AI844" i="2" s="1" a="1"/>
  <c r="AI844" i="2" s="1"/>
  <c r="L899" i="5"/>
  <c r="AI845" i="2" s="1" a="1"/>
  <c r="AI845" i="2" s="1"/>
  <c r="L900" i="5"/>
  <c r="AI846" i="2" s="1" a="1"/>
  <c r="AI846" i="2" s="1"/>
  <c r="L901" i="5"/>
  <c r="AI847" i="2" s="1" a="1"/>
  <c r="AI847" i="2" s="1"/>
  <c r="L902" i="5"/>
  <c r="AI848" i="2" s="1" a="1"/>
  <c r="AI848" i="2" s="1"/>
  <c r="L903" i="5"/>
  <c r="AI849" i="2" s="1" a="1"/>
  <c r="AI849" i="2" s="1"/>
  <c r="L904" i="5"/>
  <c r="AI850" i="2" s="1" a="1"/>
  <c r="AI850" i="2" s="1"/>
  <c r="L905" i="5"/>
  <c r="AI851" i="2" s="1" a="1"/>
  <c r="AI851" i="2" s="1"/>
  <c r="L906" i="5"/>
  <c r="AI852" i="2" s="1" a="1"/>
  <c r="AI852" i="2" s="1"/>
  <c r="L907" i="5"/>
  <c r="AI853" i="2" s="1" a="1"/>
  <c r="AI853" i="2" s="1"/>
  <c r="L908" i="5"/>
  <c r="AI854" i="2" s="1" a="1"/>
  <c r="AI854" i="2" s="1"/>
  <c r="L909" i="5"/>
  <c r="AI855" i="2" s="1" a="1"/>
  <c r="AI855" i="2" s="1"/>
  <c r="L910" i="5"/>
  <c r="AI856" i="2" s="1" a="1"/>
  <c r="AI856" i="2" s="1"/>
  <c r="L911" i="5"/>
  <c r="L912" i="5"/>
  <c r="L913" i="5"/>
  <c r="AI858" i="2" s="1" a="1"/>
  <c r="AI858" i="2" s="1"/>
  <c r="L914" i="5"/>
  <c r="AI859" i="2" s="1" a="1"/>
  <c r="AI859" i="2" s="1"/>
  <c r="L915" i="5"/>
  <c r="AI860" i="2" s="1" a="1"/>
  <c r="AI860" i="2" s="1"/>
  <c r="L916" i="5"/>
  <c r="AI861" i="2" s="1" a="1"/>
  <c r="AI861" i="2" s="1"/>
  <c r="L917" i="5"/>
  <c r="AI862" i="2" s="1" a="1"/>
  <c r="AI862" i="2" s="1"/>
  <c r="L918" i="5"/>
  <c r="AI863" i="2" s="1" a="1"/>
  <c r="AI863" i="2" s="1"/>
  <c r="L919" i="5"/>
  <c r="L920" i="5"/>
  <c r="L921" i="5"/>
  <c r="AI865" i="2" s="1" a="1"/>
  <c r="AI865" i="2" s="1"/>
  <c r="L922" i="5"/>
  <c r="AI866" i="2" s="1" a="1"/>
  <c r="AI866" i="2" s="1"/>
  <c r="L923" i="5"/>
  <c r="AI867" i="2" s="1" a="1"/>
  <c r="AI867" i="2" s="1"/>
  <c r="L924" i="5"/>
  <c r="AI869" i="2" s="1" a="1"/>
  <c r="AI869" i="2" s="1"/>
  <c r="L925" i="5"/>
  <c r="AI870" i="2" s="1" a="1"/>
  <c r="AI870" i="2" s="1"/>
  <c r="L926" i="5"/>
  <c r="AI871" i="2" s="1" a="1"/>
  <c r="AI871" i="2" s="1"/>
  <c r="L927" i="5"/>
  <c r="AI872" i="2" s="1" a="1"/>
  <c r="AI872" i="2" s="1"/>
  <c r="L928" i="5"/>
  <c r="AI873" i="2" s="1" a="1"/>
  <c r="AI873" i="2" s="1"/>
  <c r="L929" i="5"/>
  <c r="AI874" i="2" s="1" a="1"/>
  <c r="AI874" i="2" s="1"/>
  <c r="L930" i="5"/>
  <c r="AI875" i="2" s="1" a="1"/>
  <c r="AI875" i="2" s="1"/>
  <c r="L931" i="5"/>
  <c r="AI876" i="2" s="1" a="1"/>
  <c r="AI876" i="2" s="1"/>
  <c r="L932" i="5"/>
  <c r="AI877" i="2" s="1" a="1"/>
  <c r="AI877" i="2" s="1"/>
  <c r="L933" i="5"/>
  <c r="AI878" i="2" s="1" a="1"/>
  <c r="AI878" i="2" s="1"/>
  <c r="L934" i="5"/>
  <c r="AI879" i="2" s="1" a="1"/>
  <c r="AI879" i="2" s="1"/>
  <c r="L935" i="5"/>
  <c r="AI880" i="2" s="1" a="1"/>
  <c r="AI880" i="2" s="1"/>
  <c r="L936" i="5"/>
  <c r="AI881" i="2" s="1" a="1"/>
  <c r="AI881" i="2" s="1"/>
  <c r="L937" i="5"/>
  <c r="AI882" i="2" s="1" a="1"/>
  <c r="AI882" i="2" s="1"/>
  <c r="L938" i="5"/>
  <c r="AI883" i="2" s="1" a="1"/>
  <c r="AI883" i="2" s="1"/>
  <c r="L939" i="5"/>
  <c r="AI884" i="2" s="1" a="1"/>
  <c r="AI884" i="2" s="1"/>
  <c r="L940" i="5"/>
  <c r="AI885" i="2" s="1" a="1"/>
  <c r="AI885" i="2" s="1"/>
  <c r="L941" i="5"/>
  <c r="AI886" i="2" s="1" a="1"/>
  <c r="AI886" i="2" s="1"/>
  <c r="L942" i="5"/>
  <c r="AI887" i="2" s="1" a="1"/>
  <c r="AI887" i="2" s="1"/>
  <c r="L943" i="5"/>
  <c r="AI888" i="2" s="1" a="1"/>
  <c r="AI888" i="2" s="1"/>
  <c r="L944" i="5"/>
  <c r="AI889" i="2" s="1" a="1"/>
  <c r="AI889" i="2" s="1"/>
  <c r="L945" i="5"/>
  <c r="AI890" i="2" s="1" a="1"/>
  <c r="AI890" i="2" s="1"/>
  <c r="L946" i="5"/>
  <c r="AI891" i="2" s="1" a="1"/>
  <c r="AI891" i="2" s="1"/>
  <c r="L947" i="5"/>
  <c r="AI892" i="2" s="1" a="1"/>
  <c r="AI892" i="2" s="1"/>
  <c r="L948" i="5"/>
  <c r="AI893" i="2" s="1" a="1"/>
  <c r="AI893" i="2" s="1"/>
  <c r="L949" i="5"/>
  <c r="AI894" i="2" s="1" a="1"/>
  <c r="AI894" i="2" s="1"/>
  <c r="L950" i="5"/>
  <c r="AI895" i="2" s="1" a="1"/>
  <c r="AI895" i="2" s="1"/>
  <c r="L951" i="5"/>
  <c r="AI896" i="2" s="1" a="1"/>
  <c r="AI896" i="2" s="1"/>
  <c r="L952" i="5"/>
  <c r="AI897" i="2" s="1" a="1"/>
  <c r="AI897" i="2" s="1"/>
  <c r="L953" i="5"/>
  <c r="AI898" i="2" s="1" a="1"/>
  <c r="AI898" i="2" s="1"/>
  <c r="L954" i="5"/>
  <c r="AI899" i="2" s="1" a="1"/>
  <c r="AI899" i="2" s="1"/>
  <c r="L955" i="5"/>
  <c r="AI900" i="2" s="1" a="1"/>
  <c r="AI900" i="2" s="1"/>
  <c r="L956" i="5"/>
  <c r="AI901" i="2" s="1" a="1"/>
  <c r="AI901" i="2" s="1"/>
  <c r="L957" i="5"/>
  <c r="L958" i="5"/>
  <c r="L959" i="5"/>
  <c r="L960" i="5"/>
  <c r="AI903" i="2" s="1" a="1"/>
  <c r="AI903" i="2" s="1"/>
  <c r="L961" i="5"/>
  <c r="AI904" i="2" s="1" a="1"/>
  <c r="AI904" i="2" s="1"/>
  <c r="L962" i="5"/>
  <c r="AI905" i="2" s="1" a="1"/>
  <c r="AI905" i="2" s="1"/>
  <c r="L963" i="5"/>
  <c r="AI906" i="2" s="1" a="1"/>
  <c r="AI906" i="2" s="1"/>
  <c r="L964" i="5"/>
  <c r="AI907" i="2" s="1" a="1"/>
  <c r="AI907" i="2" s="1"/>
  <c r="L965" i="5"/>
  <c r="AI908" i="2" s="1" a="1"/>
  <c r="AI908" i="2" s="1"/>
  <c r="L966" i="5"/>
  <c r="L967" i="5"/>
  <c r="L968" i="5"/>
  <c r="L969" i="5"/>
  <c r="L970" i="5"/>
  <c r="AI910" i="2" s="1" a="1"/>
  <c r="AI910" i="2" s="1"/>
  <c r="L971" i="5"/>
  <c r="AI911" i="2" s="1" a="1"/>
  <c r="AI911" i="2" s="1"/>
  <c r="L972" i="5"/>
  <c r="L973" i="5"/>
  <c r="AI913" i="2" s="1" a="1"/>
  <c r="AI913" i="2" s="1"/>
  <c r="L974" i="5"/>
  <c r="AI914" i="2" s="1" a="1"/>
  <c r="AI914" i="2" s="1"/>
  <c r="L975" i="5"/>
  <c r="AI915" i="2" s="1" a="1"/>
  <c r="AI915" i="2" s="1"/>
  <c r="L976" i="5"/>
  <c r="AI916" i="2" s="1" a="1"/>
  <c r="AI916" i="2" s="1"/>
  <c r="L977" i="5"/>
  <c r="AI917" i="2" s="1" a="1"/>
  <c r="AI917" i="2" s="1"/>
  <c r="L978" i="5"/>
  <c r="AI918" i="2" s="1" a="1"/>
  <c r="AI918" i="2" s="1"/>
  <c r="L979" i="5"/>
  <c r="AI919" i="2" s="1" a="1"/>
  <c r="AI919" i="2" s="1"/>
  <c r="L980" i="5"/>
  <c r="AI920" i="2" s="1" a="1"/>
  <c r="AI920" i="2" s="1"/>
  <c r="L981" i="5"/>
  <c r="AI921" i="2" s="1" a="1"/>
  <c r="AI921" i="2" s="1"/>
  <c r="L982" i="5"/>
  <c r="AI922" i="2" s="1" a="1"/>
  <c r="AI922" i="2" s="1"/>
  <c r="L983" i="5"/>
  <c r="AI923" i="2" s="1" a="1"/>
  <c r="AI923" i="2" s="1"/>
  <c r="L984" i="5"/>
  <c r="AI924" i="2" s="1" a="1"/>
  <c r="AI924" i="2" s="1"/>
  <c r="L985" i="5"/>
  <c r="AI925" i="2" s="1" a="1"/>
  <c r="AI925" i="2" s="1"/>
  <c r="L986" i="5"/>
  <c r="AI926" i="2" s="1" a="1"/>
  <c r="AI926" i="2" s="1"/>
  <c r="L987" i="5"/>
  <c r="AI927" i="2" s="1" a="1"/>
  <c r="AI927" i="2" s="1"/>
  <c r="L988" i="5"/>
  <c r="AI928" i="2" s="1" a="1"/>
  <c r="AI928" i="2" s="1"/>
  <c r="L989" i="5"/>
  <c r="AI929" i="2" s="1" a="1"/>
  <c r="AI929" i="2" s="1"/>
  <c r="L990" i="5"/>
  <c r="AI930" i="2" s="1" a="1"/>
  <c r="AI930" i="2" s="1"/>
  <c r="L991" i="5"/>
  <c r="AI931" i="2" s="1" a="1"/>
  <c r="AI931" i="2" s="1"/>
  <c r="L992" i="5"/>
  <c r="AI932" i="2" s="1" a="1"/>
  <c r="AI932" i="2" s="1"/>
  <c r="L993" i="5"/>
  <c r="AI933" i="2" s="1" a="1"/>
  <c r="AI933" i="2" s="1"/>
  <c r="L994" i="5"/>
  <c r="AI934" i="2" s="1" a="1"/>
  <c r="AI934" i="2" s="1"/>
  <c r="L995" i="5"/>
  <c r="AI935" i="2" s="1" a="1"/>
  <c r="AI935" i="2" s="1"/>
  <c r="L996" i="5"/>
  <c r="AI936" i="2" s="1" a="1"/>
  <c r="AI936" i="2" s="1"/>
  <c r="L997" i="5"/>
  <c r="AI937" i="2" s="1" a="1"/>
  <c r="AI937" i="2" s="1"/>
  <c r="L998" i="5"/>
  <c r="AI938" i="2" s="1" a="1"/>
  <c r="AI938" i="2" s="1"/>
  <c r="L999" i="5"/>
  <c r="AI939" i="2" s="1" a="1"/>
  <c r="AI939" i="2" s="1"/>
  <c r="L1000" i="5"/>
  <c r="AI940" i="2" s="1" a="1"/>
  <c r="AI940" i="2" s="1"/>
  <c r="L1001" i="5"/>
  <c r="AI941" i="2" s="1" a="1"/>
  <c r="AI941" i="2" s="1"/>
  <c r="L1002" i="5"/>
  <c r="AI942" i="2" s="1" a="1"/>
  <c r="AI942" i="2" s="1"/>
  <c r="L1003" i="5"/>
  <c r="AI943" i="2" s="1" a="1"/>
  <c r="AI943" i="2" s="1"/>
  <c r="L1004" i="5"/>
  <c r="AI944" i="2" s="1" a="1"/>
  <c r="AI944" i="2" s="1"/>
  <c r="L1005" i="5"/>
  <c r="AI945" i="2" s="1" a="1"/>
  <c r="AI945" i="2" s="1"/>
  <c r="L1006" i="5"/>
  <c r="AI946" i="2" s="1" a="1"/>
  <c r="AI946" i="2" s="1"/>
  <c r="L1007" i="5"/>
  <c r="AI947" i="2" s="1" a="1"/>
  <c r="AI947" i="2" s="1"/>
  <c r="L1008" i="5"/>
  <c r="AI948" i="2" s="1" a="1"/>
  <c r="AI948" i="2" s="1"/>
  <c r="L1009" i="5"/>
  <c r="AI949" i="2" s="1" a="1"/>
  <c r="AI949" i="2" s="1"/>
  <c r="L1010" i="5"/>
  <c r="AI951" i="2" s="1" a="1"/>
  <c r="AI951" i="2" s="1"/>
  <c r="L1011" i="5"/>
  <c r="AI952" i="2" s="1" a="1"/>
  <c r="AI952" i="2" s="1"/>
  <c r="L1012" i="5"/>
  <c r="AI953" i="2" s="1" a="1"/>
  <c r="AI953" i="2" s="1"/>
  <c r="L1013" i="5"/>
  <c r="AI954" i="2" s="1" a="1"/>
  <c r="AI954" i="2" s="1"/>
  <c r="L1014" i="5"/>
  <c r="AI955" i="2" s="1" a="1"/>
  <c r="AI955" i="2" s="1"/>
  <c r="L1015" i="5"/>
  <c r="AI956" i="2" s="1" a="1"/>
  <c r="AI956" i="2" s="1"/>
  <c r="L1016" i="5"/>
  <c r="AI957" i="2" s="1" a="1"/>
  <c r="AI957" i="2" s="1"/>
  <c r="L1017" i="5"/>
  <c r="AI958" i="2" s="1" a="1"/>
  <c r="AI958" i="2" s="1"/>
  <c r="L1018" i="5"/>
  <c r="AI959" i="2" s="1" a="1"/>
  <c r="AI959" i="2" s="1"/>
  <c r="L1019" i="5"/>
  <c r="AI960" i="2" s="1" a="1"/>
  <c r="AI960" i="2" s="1"/>
  <c r="L1020" i="5"/>
  <c r="AI961" i="2" s="1" a="1"/>
  <c r="AI961" i="2" s="1"/>
  <c r="L1021" i="5"/>
  <c r="AI962" i="2" s="1" a="1"/>
  <c r="AI962" i="2" s="1"/>
  <c r="L1022" i="5"/>
  <c r="AI963" i="2" s="1" a="1"/>
  <c r="AI963" i="2" s="1"/>
  <c r="L1023" i="5"/>
  <c r="AI964" i="2" s="1" a="1"/>
  <c r="AI964" i="2" s="1"/>
  <c r="L1024" i="5"/>
  <c r="AI965" i="2" s="1" a="1"/>
  <c r="AI965" i="2" s="1"/>
  <c r="L1025" i="5"/>
  <c r="AI966" i="2" s="1" a="1"/>
  <c r="AI966" i="2" s="1"/>
  <c r="L1026" i="5"/>
  <c r="AI967" i="2" s="1" a="1"/>
  <c r="AI967" i="2" s="1"/>
  <c r="L1027" i="5"/>
  <c r="AI968" i="2" s="1" a="1"/>
  <c r="AI968" i="2" s="1"/>
  <c r="L1028" i="5"/>
  <c r="AI969" i="2" s="1" a="1"/>
  <c r="AI969" i="2" s="1"/>
  <c r="L1029" i="5"/>
  <c r="AI970" i="2" s="1" a="1"/>
  <c r="AI970" i="2" s="1"/>
  <c r="L1030" i="5"/>
  <c r="AI971" i="2" s="1" a="1"/>
  <c r="AI971" i="2" s="1"/>
  <c r="L1031" i="5"/>
  <c r="AI972" i="2" s="1" a="1"/>
  <c r="AI972" i="2" s="1"/>
  <c r="L1032" i="5"/>
  <c r="AI973" i="2" s="1" a="1"/>
  <c r="AI973" i="2" s="1"/>
  <c r="L1033" i="5"/>
  <c r="AI974" i="2" s="1" a="1"/>
  <c r="AI974" i="2" s="1"/>
  <c r="L1034" i="5"/>
  <c r="AI975" i="2" s="1" a="1"/>
  <c r="AI975" i="2" s="1"/>
  <c r="L1035" i="5"/>
  <c r="AI976" i="2" s="1" a="1"/>
  <c r="AI976" i="2" s="1"/>
  <c r="L1036" i="5"/>
  <c r="AI977" i="2" s="1" a="1"/>
  <c r="AI977" i="2" s="1"/>
  <c r="L1037" i="5"/>
  <c r="AI978" i="2" s="1" a="1"/>
  <c r="AI978" i="2" s="1"/>
  <c r="L1038" i="5"/>
  <c r="AI979" i="2" s="1" a="1"/>
  <c r="AI979" i="2" s="1"/>
  <c r="L1039" i="5"/>
  <c r="AI980" i="2" s="1" a="1"/>
  <c r="AI980" i="2" s="1"/>
  <c r="L1040" i="5"/>
  <c r="AI981" i="2" s="1" a="1"/>
  <c r="AI981" i="2" s="1"/>
  <c r="L1041" i="5"/>
  <c r="AI982" i="2" s="1" a="1"/>
  <c r="AI982" i="2" s="1"/>
  <c r="L1042" i="5"/>
  <c r="AI983" i="2" s="1" a="1"/>
  <c r="AI983" i="2" s="1"/>
  <c r="L1043" i="5"/>
  <c r="AI984" i="2" s="1" a="1"/>
  <c r="AI984" i="2" s="1"/>
  <c r="L1044" i="5"/>
  <c r="AI985" i="2" s="1" a="1"/>
  <c r="AI985" i="2" s="1"/>
  <c r="L1045" i="5"/>
  <c r="AI986" i="2" s="1" a="1"/>
  <c r="AI986" i="2" s="1"/>
  <c r="L1046" i="5"/>
  <c r="AI987" i="2" s="1" a="1"/>
  <c r="AI987" i="2" s="1"/>
  <c r="L1047" i="5"/>
  <c r="AI988" i="2" s="1" a="1"/>
  <c r="AI988" i="2" s="1"/>
  <c r="L1048" i="5"/>
  <c r="AI989" i="2" s="1" a="1"/>
  <c r="AI989" i="2" s="1"/>
  <c r="L1049" i="5"/>
  <c r="AI990" i="2" s="1" a="1"/>
  <c r="AI990" i="2" s="1"/>
  <c r="L1050" i="5"/>
  <c r="AI991" i="2" s="1" a="1"/>
  <c r="AI991" i="2" s="1"/>
  <c r="L1051" i="5"/>
  <c r="AI992" i="2" s="1" a="1"/>
  <c r="AI992" i="2" s="1"/>
  <c r="L1052" i="5"/>
  <c r="AI993" i="2" s="1" a="1"/>
  <c r="AI993" i="2" s="1"/>
  <c r="L1053" i="5"/>
  <c r="AI994" i="2" s="1" a="1"/>
  <c r="AI994" i="2" s="1"/>
  <c r="L1054" i="5"/>
  <c r="AI995" i="2" s="1" a="1"/>
  <c r="AI995" i="2" s="1"/>
  <c r="L1055" i="5"/>
  <c r="AI996" i="2" s="1" a="1"/>
  <c r="AI996" i="2" s="1"/>
  <c r="L1056" i="5"/>
  <c r="AI997" i="2" s="1" a="1"/>
  <c r="AI997" i="2" s="1"/>
  <c r="L1057" i="5"/>
  <c r="AI998" i="2" s="1" a="1"/>
  <c r="AI998" i="2" s="1"/>
  <c r="L1058" i="5"/>
  <c r="AI999" i="2" s="1" a="1"/>
  <c r="AI999" i="2" s="1"/>
  <c r="L1059" i="5"/>
  <c r="AI1000" i="2" s="1" a="1"/>
  <c r="AI1000" i="2" s="1"/>
  <c r="L1060" i="5"/>
  <c r="AI1001" i="2" s="1" a="1"/>
  <c r="AI1001" i="2" s="1"/>
  <c r="L1061" i="5"/>
  <c r="AI1002" i="2" s="1" a="1"/>
  <c r="AI1002" i="2" s="1"/>
  <c r="L1062" i="5"/>
  <c r="AI1003" i="2" s="1" a="1"/>
  <c r="AI1003" i="2" s="1"/>
  <c r="L1063" i="5"/>
  <c r="AI1004" i="2" s="1" a="1"/>
  <c r="AI1004" i="2" s="1"/>
  <c r="L1064" i="5"/>
  <c r="AI1005" i="2" s="1" a="1"/>
  <c r="AI1005" i="2" s="1"/>
  <c r="L1065" i="5"/>
  <c r="AI1006" i="2" s="1" a="1"/>
  <c r="AI1006" i="2" s="1"/>
  <c r="L1066" i="5"/>
  <c r="AI1007" i="2" s="1" a="1"/>
  <c r="AI1007" i="2" s="1"/>
  <c r="L1067" i="5"/>
  <c r="AI1008" i="2" s="1" a="1"/>
  <c r="AI1008" i="2" s="1"/>
  <c r="L1068" i="5"/>
  <c r="AI1009" i="2" s="1" a="1"/>
  <c r="AI1009" i="2" s="1"/>
  <c r="L1069" i="5"/>
  <c r="AI1010" i="2" s="1" a="1"/>
  <c r="AI1010" i="2" s="1"/>
  <c r="L1070" i="5"/>
  <c r="AI1011" i="2" s="1" a="1"/>
  <c r="AI1011" i="2" s="1"/>
  <c r="L1071" i="5"/>
  <c r="AI1012" i="2" s="1" a="1"/>
  <c r="AI1012" i="2" s="1"/>
  <c r="L1072" i="5"/>
  <c r="AI1013" i="2" s="1" a="1"/>
  <c r="AI1013" i="2" s="1"/>
  <c r="L1073" i="5"/>
  <c r="AI1014" i="2" s="1" a="1"/>
  <c r="AI1014" i="2" s="1"/>
  <c r="L1074" i="5"/>
  <c r="AI1015" i="2" s="1" a="1"/>
  <c r="AI1015" i="2" s="1"/>
  <c r="L1075" i="5"/>
  <c r="AI1016" i="2" s="1" a="1"/>
  <c r="AI1016" i="2" s="1"/>
  <c r="L1076" i="5"/>
  <c r="AI1017" i="2" s="1" a="1"/>
  <c r="AI1017" i="2" s="1"/>
  <c r="L1077" i="5"/>
  <c r="AI1018" i="2" s="1" a="1"/>
  <c r="AI1018" i="2" s="1"/>
  <c r="L1078" i="5"/>
  <c r="AI1019" i="2" s="1" a="1"/>
  <c r="AI1019" i="2" s="1"/>
  <c r="L1079" i="5"/>
  <c r="L1080" i="5"/>
  <c r="AI1020" i="2" s="1" a="1"/>
  <c r="AI1020" i="2" s="1"/>
  <c r="L1081" i="5"/>
  <c r="AI1021" i="2" s="1" a="1"/>
  <c r="AI1021" i="2" s="1"/>
  <c r="L1082" i="5"/>
  <c r="AI1022" i="2" s="1" a="1"/>
  <c r="AI1022" i="2" s="1"/>
  <c r="L1083" i="5"/>
  <c r="L1084" i="5"/>
  <c r="L1085" i="5"/>
  <c r="L1086" i="5"/>
  <c r="AI1023" i="2" s="1" a="1"/>
  <c r="AI1023" i="2" s="1"/>
  <c r="L1087" i="5"/>
  <c r="L1088" i="5"/>
  <c r="L1089" i="5"/>
  <c r="L1090" i="5"/>
  <c r="L1091" i="5"/>
  <c r="L1092" i="5"/>
  <c r="AI1027" i="2" s="1" a="1"/>
  <c r="AI1027" i="2" s="1"/>
  <c r="L1093" i="5"/>
  <c r="AI1028" i="2" s="1" a="1"/>
  <c r="AI1028" i="2" s="1"/>
  <c r="L1094" i="5"/>
  <c r="AI1029" i="2" s="1" a="1"/>
  <c r="AI1029" i="2" s="1"/>
  <c r="L1095" i="5"/>
  <c r="AI1030" i="2" s="1" a="1"/>
  <c r="AI1030" i="2" s="1"/>
  <c r="L1096" i="5"/>
  <c r="AI1031" i="2" s="1" a="1"/>
  <c r="AI1031" i="2" s="1"/>
  <c r="L1097" i="5"/>
  <c r="AI1032" i="2" s="1" a="1"/>
  <c r="AI1032" i="2" s="1"/>
  <c r="L1098" i="5"/>
  <c r="AI1033" i="2" s="1" a="1"/>
  <c r="AI1033" i="2" s="1"/>
  <c r="L1099" i="5"/>
  <c r="AI1034" i="2" s="1" a="1"/>
  <c r="AI1034" i="2" s="1"/>
  <c r="L1100" i="5"/>
  <c r="AI1035" i="2" s="1" a="1"/>
  <c r="AI1035" i="2" s="1"/>
  <c r="L1101" i="5"/>
  <c r="AI1036" i="2" s="1" a="1"/>
  <c r="AI1036" i="2" s="1"/>
  <c r="L1102" i="5"/>
  <c r="AI1037" i="2" s="1" a="1"/>
  <c r="AI1037" i="2" s="1"/>
  <c r="L1103" i="5"/>
  <c r="AI1038" i="2" s="1" a="1"/>
  <c r="AI1038" i="2" s="1"/>
  <c r="L1104" i="5"/>
  <c r="AI1039" i="2" s="1" a="1"/>
  <c r="AI1039" i="2" s="1"/>
  <c r="L1105" i="5"/>
  <c r="AI1040" i="2" s="1" a="1"/>
  <c r="AI1040" i="2" s="1"/>
  <c r="L1106" i="5"/>
  <c r="AI1042" i="2" s="1" a="1"/>
  <c r="AI1042" i="2" s="1"/>
  <c r="L1107" i="5"/>
  <c r="AI1043" i="2" s="1" a="1"/>
  <c r="AI1043" i="2" s="1"/>
  <c r="L1108" i="5"/>
  <c r="AI1044" i="2" s="1" a="1"/>
  <c r="AI1044" i="2" s="1"/>
  <c r="L1109" i="5"/>
  <c r="AI1045" i="2" s="1" a="1"/>
  <c r="AI1045" i="2" s="1"/>
  <c r="L1110" i="5"/>
  <c r="AI1046" i="2" s="1" a="1"/>
  <c r="AI1046" i="2" s="1"/>
  <c r="L1111" i="5"/>
  <c r="AI1047" i="2" s="1" a="1"/>
  <c r="AI1047" i="2" s="1"/>
  <c r="L1112" i="5"/>
  <c r="AI1048" i="2" s="1" a="1"/>
  <c r="AI1048" i="2" s="1"/>
  <c r="L1113" i="5"/>
  <c r="AI1049" i="2" s="1" a="1"/>
  <c r="AI1049" i="2" s="1"/>
  <c r="L1114" i="5"/>
  <c r="AI1050" i="2" s="1" a="1"/>
  <c r="AI1050" i="2" s="1"/>
  <c r="L1115" i="5"/>
  <c r="AI1051" i="2" s="1" a="1"/>
  <c r="AI1051" i="2" s="1"/>
  <c r="L1116" i="5"/>
  <c r="AI1052" i="2" s="1" a="1"/>
  <c r="AI1052" i="2" s="1"/>
  <c r="L1117" i="5"/>
  <c r="AI1053" i="2" s="1" a="1"/>
  <c r="AI1053" i="2" s="1"/>
  <c r="L1118" i="5"/>
  <c r="AI1054" i="2" s="1" a="1"/>
  <c r="AI1054" i="2" s="1"/>
  <c r="L1119" i="5"/>
  <c r="L1120" i="5"/>
  <c r="L1121" i="5"/>
  <c r="AI1056" i="2" s="1" a="1"/>
  <c r="AI1056" i="2" s="1"/>
  <c r="L1122" i="5"/>
  <c r="AI1057" i="2" s="1" a="1"/>
  <c r="AI1057" i="2" s="1"/>
  <c r="L1123" i="5"/>
  <c r="AI1058" i="2" s="1" a="1"/>
  <c r="AI1058" i="2" s="1"/>
  <c r="L1124" i="5"/>
  <c r="AI1059" i="2" s="1" a="1"/>
  <c r="AI1059" i="2" s="1"/>
  <c r="L1125" i="5"/>
  <c r="AI1060" i="2" s="1" a="1"/>
  <c r="AI1060" i="2" s="1"/>
  <c r="L1126" i="5"/>
  <c r="AI1061" i="2" s="1" a="1"/>
  <c r="AI1061" i="2" s="1"/>
  <c r="L1127" i="5"/>
  <c r="AI1062" i="2" s="1" a="1"/>
  <c r="AI1062" i="2" s="1"/>
  <c r="L1128" i="5"/>
  <c r="AI1063" i="2" s="1" a="1"/>
  <c r="AI1063" i="2" s="1"/>
  <c r="L1129" i="5"/>
  <c r="AI1064" i="2" s="1" a="1"/>
  <c r="AI1064" i="2" s="1"/>
  <c r="L1130" i="5"/>
  <c r="AI1065" i="2" s="1" a="1"/>
  <c r="AI1065" i="2" s="1"/>
  <c r="L1131" i="5"/>
  <c r="AI1066" i="2" s="1" a="1"/>
  <c r="AI1066" i="2" s="1"/>
  <c r="L1132" i="5"/>
  <c r="AI1067" i="2" s="1" a="1"/>
  <c r="AI1067" i="2" s="1"/>
  <c r="L1133" i="5"/>
  <c r="AI1068" i="2" s="1" a="1"/>
  <c r="AI1068" i="2" s="1"/>
  <c r="L1134" i="5"/>
  <c r="AI1069" i="2" s="1" a="1"/>
  <c r="AI1069" i="2" s="1"/>
  <c r="L1135" i="5"/>
  <c r="AI1070" i="2" s="1" a="1"/>
  <c r="AI1070" i="2" s="1"/>
  <c r="L1136" i="5"/>
  <c r="AI1071" i="2" s="1" a="1"/>
  <c r="AI1071" i="2" s="1"/>
  <c r="L1137" i="5"/>
  <c r="AI1072" i="2" s="1" a="1"/>
  <c r="AI1072" i="2" s="1"/>
  <c r="L1138" i="5"/>
  <c r="AI1073" i="2" s="1" a="1"/>
  <c r="AI1073" i="2" s="1"/>
  <c r="L1139" i="5"/>
  <c r="AI1074" i="2" s="1" a="1"/>
  <c r="AI1074" i="2" s="1"/>
  <c r="L1140" i="5"/>
  <c r="AI1075" i="2" s="1" a="1"/>
  <c r="AI1075" i="2" s="1"/>
  <c r="L1141" i="5"/>
  <c r="AI1076" i="2" s="1" a="1"/>
  <c r="AI1076" i="2" s="1"/>
  <c r="L1142" i="5"/>
  <c r="AI1077" i="2" s="1" a="1"/>
  <c r="AI1077" i="2" s="1"/>
  <c r="L1143" i="5"/>
  <c r="AI1078" i="2" s="1" a="1"/>
  <c r="AI1078" i="2" s="1"/>
  <c r="L1144" i="5"/>
  <c r="AI1079" i="2" s="1" a="1"/>
  <c r="AI1079" i="2" s="1"/>
  <c r="L1145" i="5"/>
  <c r="AI1080" i="2" s="1" a="1"/>
  <c r="AI1080" i="2" s="1"/>
  <c r="L1146" i="5"/>
  <c r="AI1081" i="2" s="1" a="1"/>
  <c r="AI1081" i="2" s="1"/>
  <c r="L1147" i="5"/>
  <c r="AI1082" i="2" s="1" a="1"/>
  <c r="AI1082" i="2" s="1"/>
  <c r="L1148" i="5"/>
  <c r="AI1083" i="2" s="1" a="1"/>
  <c r="AI1083" i="2" s="1"/>
  <c r="L1149" i="5"/>
  <c r="AI1084" i="2" s="1" a="1"/>
  <c r="AI1084" i="2" s="1"/>
  <c r="L1150" i="5"/>
  <c r="AI1085" i="2" s="1" a="1"/>
  <c r="AI1085" i="2" s="1"/>
  <c r="L1151" i="5"/>
  <c r="AI1086" i="2" s="1" a="1"/>
  <c r="AI1086" i="2" s="1"/>
  <c r="L1152" i="5"/>
  <c r="AI1087" i="2" s="1" a="1"/>
  <c r="AI1087" i="2" s="1"/>
  <c r="L1153" i="5"/>
  <c r="AI1088" i="2" s="1" a="1"/>
  <c r="AI1088" i="2" s="1"/>
  <c r="L1154" i="5"/>
  <c r="AI1090" i="2" s="1" a="1"/>
  <c r="AI1090" i="2" s="1"/>
  <c r="L1155" i="5"/>
  <c r="AI1091" i="2" s="1" a="1"/>
  <c r="AI1091" i="2" s="1"/>
  <c r="L1156" i="5"/>
  <c r="AI1092" i="2" s="1" a="1"/>
  <c r="AI1092" i="2" s="1"/>
  <c r="L1157" i="5"/>
  <c r="AI1093" i="2" s="1" a="1"/>
  <c r="AI1093" i="2" s="1"/>
  <c r="L1158" i="5"/>
  <c r="AI1094" i="2" s="1" a="1"/>
  <c r="AI1094" i="2" s="1"/>
  <c r="L1159" i="5"/>
  <c r="AI1095" i="2" s="1" a="1"/>
  <c r="AI1095" i="2" s="1"/>
  <c r="L1160" i="5"/>
  <c r="AI1096" i="2" s="1" a="1"/>
  <c r="AI1096" i="2" s="1"/>
  <c r="L1161" i="5"/>
  <c r="AI1097" i="2" s="1" a="1"/>
  <c r="AI1097" i="2" s="1"/>
  <c r="L1162" i="5"/>
  <c r="AI1098" i="2" s="1" a="1"/>
  <c r="AI1098" i="2" s="1"/>
  <c r="L1163" i="5"/>
  <c r="L1164" i="5"/>
  <c r="L1165" i="5"/>
  <c r="L1166" i="5"/>
  <c r="AI1100" i="2" s="1" a="1"/>
  <c r="AI1100" i="2" s="1"/>
  <c r="L1167" i="5"/>
  <c r="AI1101" i="2" s="1" a="1"/>
  <c r="AI1101" i="2" s="1"/>
  <c r="L1168" i="5"/>
  <c r="AI1102" i="2" s="1" a="1"/>
  <c r="AI1102" i="2" s="1"/>
  <c r="L1169" i="5"/>
  <c r="L1170" i="5"/>
  <c r="L1171" i="5"/>
  <c r="L1172" i="5"/>
  <c r="AI1104" i="2" s="1" a="1"/>
  <c r="AI1104" i="2" s="1"/>
  <c r="L1173" i="5"/>
  <c r="AI1105" i="2" s="1" a="1"/>
  <c r="AI1105" i="2" s="1"/>
  <c r="L1174" i="5"/>
  <c r="AI1106" i="2" s="1" a="1"/>
  <c r="AI1106" i="2" s="1"/>
  <c r="L1175" i="5"/>
  <c r="AI1107" i="2" s="1" a="1"/>
  <c r="AI1107" i="2" s="1"/>
  <c r="L1176" i="5"/>
  <c r="AI1108" i="2" s="1" a="1"/>
  <c r="AI1108" i="2" s="1"/>
  <c r="L1177" i="5"/>
  <c r="AI1109" i="2" s="1" a="1"/>
  <c r="AI1109" i="2" s="1"/>
  <c r="L1178" i="5"/>
  <c r="AI1110" i="2" s="1" a="1"/>
  <c r="AI1110" i="2" s="1"/>
  <c r="L1179" i="5"/>
  <c r="AI1111" i="2" s="1" a="1"/>
  <c r="AI1111" i="2" s="1"/>
  <c r="L1180" i="5"/>
  <c r="AI1112" i="2" s="1" a="1"/>
  <c r="AI1112" i="2" s="1"/>
  <c r="L1181" i="5"/>
  <c r="AI1113" i="2" s="1" a="1"/>
  <c r="AI1113" i="2" s="1"/>
  <c r="L1182" i="5"/>
  <c r="AI1114" i="2" s="1" a="1"/>
  <c r="AI1114" i="2" s="1"/>
  <c r="L1183" i="5"/>
  <c r="AI1115" i="2" s="1" a="1"/>
  <c r="AI1115" i="2" s="1"/>
  <c r="L1184" i="5"/>
  <c r="L1185" i="5"/>
  <c r="L1186" i="5"/>
  <c r="L1187" i="5"/>
  <c r="AI1117" i="2" s="1" a="1"/>
  <c r="AI1117" i="2" s="1"/>
  <c r="L1188" i="5"/>
  <c r="AI1118" i="2" s="1" a="1"/>
  <c r="AI1118" i="2" s="1"/>
  <c r="L1189" i="5"/>
  <c r="AI1119" i="2" s="1" a="1"/>
  <c r="AI1119" i="2" s="1"/>
  <c r="L1190" i="5"/>
  <c r="AI1120" i="2" s="1" a="1"/>
  <c r="AI1120" i="2" s="1"/>
  <c r="L1191" i="5"/>
  <c r="AI1121" i="2" s="1" a="1"/>
  <c r="AI1121" i="2" s="1"/>
  <c r="L1192" i="5"/>
  <c r="AI1122" i="2" s="1" a="1"/>
  <c r="AI1122" i="2" s="1"/>
  <c r="L1193" i="5"/>
  <c r="AI1123" i="2" s="1" a="1"/>
  <c r="AI1123" i="2" s="1"/>
  <c r="L1194" i="5"/>
  <c r="AI1124" i="2" s="1" a="1"/>
  <c r="AI1124" i="2" s="1"/>
  <c r="L1195" i="5"/>
  <c r="AI1125" i="2" s="1" a="1"/>
  <c r="AI1125" i="2" s="1"/>
  <c r="L1196" i="5"/>
  <c r="AI1126" i="2" s="1" a="1"/>
  <c r="AI1126" i="2" s="1"/>
  <c r="L1197" i="5"/>
  <c r="AI1127" i="2" s="1" a="1"/>
  <c r="AI1127" i="2" s="1"/>
  <c r="L1198" i="5"/>
  <c r="AI1128" i="2" s="1" a="1"/>
  <c r="AI1128" i="2" s="1"/>
  <c r="L1199" i="5"/>
  <c r="AI1130" i="2" s="1" a="1"/>
  <c r="AI1130" i="2" s="1"/>
  <c r="L1200" i="5"/>
  <c r="AI1131" i="2" s="1" a="1"/>
  <c r="AI1131" i="2" s="1"/>
  <c r="L1201" i="5"/>
  <c r="AI1132" i="2" s="1" a="1"/>
  <c r="AI1132" i="2" s="1"/>
  <c r="L1202" i="5"/>
  <c r="AI1133" i="2" s="1" a="1"/>
  <c r="AI1133" i="2" s="1"/>
  <c r="L1203" i="5"/>
  <c r="AI1134" i="2" s="1" a="1"/>
  <c r="AI1134" i="2" s="1"/>
  <c r="L1204" i="5"/>
  <c r="AI1135" i="2" s="1" a="1"/>
  <c r="AI1135" i="2" s="1"/>
  <c r="L1205" i="5"/>
  <c r="AI1136" i="2" s="1" a="1"/>
  <c r="AI1136" i="2" s="1"/>
  <c r="L1206" i="5"/>
  <c r="AI1137" i="2" s="1" a="1"/>
  <c r="AI1137" i="2" s="1"/>
  <c r="L1207" i="5"/>
  <c r="AI1138" i="2" s="1" a="1"/>
  <c r="AI1138" i="2" s="1"/>
  <c r="L1208" i="5"/>
  <c r="AI1139" i="2" s="1" a="1"/>
  <c r="AI1139" i="2" s="1"/>
  <c r="L1209" i="5"/>
  <c r="AI1140" i="2" s="1" a="1"/>
  <c r="AI1140" i="2" s="1"/>
  <c r="L1210" i="5"/>
  <c r="AI1141" i="2" s="1" a="1"/>
  <c r="AI1141" i="2" s="1"/>
  <c r="L1211" i="5"/>
  <c r="AI1142" i="2" s="1" a="1"/>
  <c r="AI1142" i="2" s="1"/>
  <c r="L1212" i="5"/>
  <c r="AI1143" i="2" s="1" a="1"/>
  <c r="AI1143" i="2" s="1"/>
  <c r="L1213" i="5"/>
  <c r="AI1144" i="2" s="1" a="1"/>
  <c r="AI1144" i="2" s="1"/>
  <c r="L1214" i="5"/>
  <c r="AI1145" i="2" s="1" a="1"/>
  <c r="AI1145" i="2" s="1"/>
  <c r="L1215" i="5"/>
  <c r="L1216" i="5"/>
  <c r="L1217" i="5"/>
  <c r="L1218" i="5"/>
  <c r="AI1147" i="2" s="1" a="1"/>
  <c r="AI1147" i="2" s="1"/>
  <c r="L1219" i="5"/>
  <c r="AI1148" i="2" s="1" a="1"/>
  <c r="AI1148" i="2" s="1"/>
  <c r="L1220" i="5"/>
  <c r="AI1149" i="2" s="1" a="1"/>
  <c r="AI1149" i="2" s="1"/>
  <c r="L1221" i="5"/>
  <c r="AI1150" i="2" s="1" a="1"/>
  <c r="AI1150" i="2" s="1"/>
  <c r="L1222" i="5"/>
  <c r="AI1151" i="2" s="1" a="1"/>
  <c r="AI1151" i="2" s="1"/>
  <c r="L1223" i="5"/>
  <c r="AI1152" i="2" s="1" a="1"/>
  <c r="AI1152" i="2" s="1"/>
  <c r="L1224" i="5"/>
  <c r="AI1153" i="2" s="1" a="1"/>
  <c r="AI1153" i="2" s="1"/>
  <c r="L1225" i="5"/>
  <c r="AI1154" i="2" s="1" a="1"/>
  <c r="AI1154" i="2" s="1"/>
  <c r="L1226" i="5"/>
  <c r="AI1155" i="2" s="1" a="1"/>
  <c r="AI1155" i="2" s="1"/>
  <c r="L1227" i="5"/>
  <c r="AI1156" i="2" s="1" a="1"/>
  <c r="AI1156" i="2" s="1"/>
  <c r="L1228" i="5"/>
  <c r="AI1157" i="2" s="1" a="1"/>
  <c r="AI1157" i="2" s="1"/>
  <c r="L1229" i="5"/>
  <c r="AI1158" i="2" s="1" a="1"/>
  <c r="AI1158" i="2" s="1"/>
  <c r="L1230" i="5"/>
  <c r="AI1159" i="2" s="1" a="1"/>
  <c r="AI1159" i="2" s="1"/>
  <c r="L1231" i="5"/>
  <c r="AI1160" i="2" s="1" a="1"/>
  <c r="AI1160" i="2" s="1"/>
  <c r="L1232" i="5"/>
  <c r="AI1161" i="2" s="1" a="1"/>
  <c r="AI1161" i="2" s="1"/>
  <c r="L1233" i="5"/>
  <c r="AI1162" i="2" s="1" a="1"/>
  <c r="AI1162" i="2" s="1"/>
  <c r="L1234" i="5"/>
  <c r="AI1163" i="2" s="1" a="1"/>
  <c r="AI1163" i="2" s="1"/>
  <c r="L1235" i="5"/>
  <c r="AI1164" i="2" s="1" a="1"/>
  <c r="AI1164" i="2" s="1"/>
  <c r="L1236" i="5"/>
  <c r="L1237" i="5"/>
  <c r="L1238" i="5"/>
  <c r="L1239" i="5"/>
  <c r="AI1166" i="2" s="1" a="1"/>
  <c r="AI1166" i="2" s="1"/>
  <c r="L1240" i="5"/>
  <c r="AI1167" i="2" s="1" a="1"/>
  <c r="AI1167" i="2" s="1"/>
  <c r="L1241" i="5"/>
  <c r="AI1168" i="2" s="1" a="1"/>
  <c r="AI1168" i="2" s="1"/>
  <c r="AU8" i="19" l="1"/>
  <c r="AV8" i="19"/>
  <c r="AS8" i="19"/>
  <c r="AI587" i="2" a="1"/>
  <c r="AI587" i="2" s="1"/>
  <c r="AI272" i="2" a="1"/>
  <c r="AI272" i="2" s="1"/>
  <c r="AI225" i="2" a="1"/>
  <c r="AI225" i="2" s="1"/>
  <c r="AI189" i="2" a="1"/>
  <c r="AI189" i="2" s="1"/>
  <c r="E61" i="37"/>
  <c r="L66" i="37"/>
  <c r="L61" i="37"/>
  <c r="K60" i="37"/>
  <c r="K74" i="37"/>
  <c r="K66" i="37"/>
  <c r="I73" i="37"/>
  <c r="I69" i="37"/>
  <c r="I61" i="37"/>
  <c r="I62" i="37"/>
  <c r="G65" i="37"/>
  <c r="F65" i="37"/>
  <c r="F73" i="37"/>
  <c r="F66" i="37"/>
  <c r="F62" i="37"/>
  <c r="F63" i="37"/>
  <c r="K46" i="37"/>
  <c r="B46" i="37" s="1"/>
  <c r="C14" i="37"/>
  <c r="C13" i="37"/>
  <c r="I45" i="37"/>
  <c r="B45" i="37" s="1"/>
  <c r="L47" i="37"/>
  <c r="B47" i="37" s="1"/>
  <c r="C15" i="37"/>
  <c r="K40" i="37"/>
  <c r="B40" i="37" s="1"/>
  <c r="C8" i="37"/>
  <c r="K48" i="37"/>
  <c r="B48" i="37" s="1"/>
  <c r="C16" i="37"/>
  <c r="K42" i="37"/>
  <c r="B42" i="37" s="1"/>
  <c r="C10" i="37"/>
  <c r="C52" i="37"/>
  <c r="K44" i="37"/>
  <c r="B44" i="37" s="1"/>
  <c r="C12" i="37"/>
  <c r="E52" i="37"/>
  <c r="K35" i="37"/>
  <c r="C3" i="37"/>
  <c r="L49" i="37"/>
  <c r="B49" i="37" s="1"/>
  <c r="C17" i="37"/>
  <c r="L41" i="37"/>
  <c r="B41" i="37" s="1"/>
  <c r="C9" i="37"/>
  <c r="L39" i="37"/>
  <c r="B39" i="37" s="1"/>
  <c r="C7" i="37"/>
  <c r="L43" i="37"/>
  <c r="B43" i="37" s="1"/>
  <c r="C11" i="37"/>
  <c r="D52" i="37"/>
  <c r="K36" i="37"/>
  <c r="B36" i="37" s="1"/>
  <c r="C4" i="37"/>
  <c r="F50" i="37"/>
  <c r="B50" i="37" s="1"/>
  <c r="C18" i="37"/>
  <c r="L37" i="37"/>
  <c r="B37" i="37" s="1"/>
  <c r="C5" i="37"/>
  <c r="K38" i="37"/>
  <c r="B38" i="37" s="1"/>
  <c r="C6" i="37"/>
  <c r="L65" i="37"/>
  <c r="L67" i="37"/>
  <c r="L64" i="37"/>
  <c r="L68" i="37"/>
  <c r="L63" i="37"/>
  <c r="K72" i="37"/>
  <c r="K73" i="37"/>
  <c r="K70" i="37"/>
  <c r="Q52" i="7"/>
  <c r="K71" i="37"/>
  <c r="P52" i="7"/>
  <c r="J52" i="7"/>
  <c r="I52" i="7"/>
  <c r="I66" i="37"/>
  <c r="G66" i="37"/>
  <c r="G62" i="37"/>
  <c r="F60" i="37"/>
  <c r="F64" i="37"/>
  <c r="D17" i="37"/>
  <c r="E74" i="37"/>
  <c r="E68" i="37"/>
  <c r="D8" i="37"/>
  <c r="D65" i="37"/>
  <c r="D4" i="37"/>
  <c r="D61" i="37"/>
  <c r="D13" i="37"/>
  <c r="F70" i="37"/>
  <c r="D16" i="37"/>
  <c r="E73" i="37"/>
  <c r="D9" i="37"/>
  <c r="E66" i="37"/>
  <c r="P45" i="7"/>
  <c r="J45" i="7"/>
  <c r="B3" i="9" s="1"/>
  <c r="D71" i="37"/>
  <c r="D14" i="37"/>
  <c r="Q45" i="7"/>
  <c r="I45" i="7"/>
  <c r="K45" i="7" s="1"/>
  <c r="I51" i="7"/>
  <c r="Q51" i="7"/>
  <c r="P51" i="7"/>
  <c r="J51" i="7"/>
  <c r="B9" i="9" s="1"/>
  <c r="J65" i="37"/>
  <c r="J77" i="37" s="1"/>
  <c r="L74" i="37"/>
  <c r="L75" i="37"/>
  <c r="P53" i="7"/>
  <c r="J53" i="7"/>
  <c r="B14" i="9" s="1"/>
  <c r="I53" i="7"/>
  <c r="Q53" i="7"/>
  <c r="L70" i="37"/>
  <c r="K67" i="37"/>
  <c r="K75" i="37"/>
  <c r="K62" i="37"/>
  <c r="I72" i="37"/>
  <c r="I75" i="37"/>
  <c r="I63" i="37"/>
  <c r="I70" i="37"/>
  <c r="F72" i="37"/>
  <c r="F67" i="37"/>
  <c r="F69" i="37"/>
  <c r="Q47" i="7"/>
  <c r="I47" i="7"/>
  <c r="F71" i="37"/>
  <c r="P47" i="7"/>
  <c r="J47" i="7"/>
  <c r="B5" i="9" s="1"/>
  <c r="E75" i="37"/>
  <c r="D18" i="37"/>
  <c r="D7" i="37"/>
  <c r="D64" i="37"/>
  <c r="H60" i="37"/>
  <c r="H77" i="37" s="1"/>
  <c r="P49" i="7"/>
  <c r="J49" i="7"/>
  <c r="B7" i="9" s="1"/>
  <c r="I49" i="7"/>
  <c r="Q49" i="7"/>
  <c r="Q48" i="7"/>
  <c r="G63" i="37"/>
  <c r="P48" i="7"/>
  <c r="J48" i="7"/>
  <c r="B6" i="9" s="1"/>
  <c r="I48" i="7"/>
  <c r="L72" i="37"/>
  <c r="L62" i="37"/>
  <c r="K65" i="37"/>
  <c r="K69" i="37"/>
  <c r="K64" i="37"/>
  <c r="K68" i="37"/>
  <c r="K61" i="37"/>
  <c r="K63" i="37"/>
  <c r="I65" i="37"/>
  <c r="I68" i="37"/>
  <c r="P50" i="7"/>
  <c r="J50" i="7"/>
  <c r="B8" i="9" s="1"/>
  <c r="I71" i="37"/>
  <c r="I50" i="7"/>
  <c r="Q50" i="7"/>
  <c r="G72" i="37"/>
  <c r="F74" i="37"/>
  <c r="F68" i="37"/>
  <c r="F61" i="37"/>
  <c r="F75" i="37"/>
  <c r="E72" i="37"/>
  <c r="D15" i="37"/>
  <c r="E65" i="37"/>
  <c r="D10" i="37"/>
  <c r="E67" i="37"/>
  <c r="E69" i="37"/>
  <c r="D3" i="37"/>
  <c r="E60" i="37"/>
  <c r="E64" i="37"/>
  <c r="D5" i="37"/>
  <c r="E62" i="37"/>
  <c r="P46" i="7"/>
  <c r="J46" i="7"/>
  <c r="B4" i="9" s="1"/>
  <c r="E63" i="37"/>
  <c r="Q46" i="7"/>
  <c r="I46" i="7"/>
  <c r="D6" i="37"/>
  <c r="D11" i="37"/>
  <c r="D68" i="37"/>
  <c r="Q44" i="7"/>
  <c r="J44" i="7"/>
  <c r="I44" i="7"/>
  <c r="D12" i="37"/>
  <c r="C69" i="37"/>
  <c r="P44" i="7"/>
  <c r="AI419" i="2" a="1"/>
  <c r="AI419" i="2" s="1"/>
  <c r="AI368" i="2" a="1"/>
  <c r="AI368" i="2" s="1"/>
  <c r="AI367" i="2" a="1"/>
  <c r="AI367" i="2" s="1"/>
  <c r="AI3" i="2" a="1"/>
  <c r="AI3" i="2" s="1"/>
  <c r="I8" i="7"/>
  <c r="I5" i="7"/>
  <c r="J11" i="7"/>
  <c r="P11" i="7"/>
  <c r="P5" i="7"/>
  <c r="J7" i="7"/>
  <c r="P7" i="7"/>
  <c r="I7" i="7"/>
  <c r="J10" i="7"/>
  <c r="I3" i="7"/>
  <c r="J8" i="7"/>
  <c r="C8" i="9" s="1"/>
  <c r="Q11" i="7"/>
  <c r="J9" i="7"/>
  <c r="P9" i="7"/>
  <c r="P3" i="7"/>
  <c r="P8" i="7"/>
  <c r="I2" i="7"/>
  <c r="Q2" i="7"/>
  <c r="P6" i="7"/>
  <c r="I4" i="7"/>
  <c r="P10" i="7"/>
  <c r="I6" i="7"/>
  <c r="Q3" i="7"/>
  <c r="I9" i="7"/>
  <c r="Q4" i="7"/>
  <c r="I10" i="7"/>
  <c r="Q5" i="7"/>
  <c r="I11" i="7"/>
  <c r="Q6" i="7"/>
  <c r="J2" i="7"/>
  <c r="Q7" i="7"/>
  <c r="J3" i="7"/>
  <c r="P2" i="7"/>
  <c r="Q8" i="7"/>
  <c r="J4" i="7"/>
  <c r="Q9" i="7"/>
  <c r="J5" i="7"/>
  <c r="C5" i="9" s="1"/>
  <c r="P4" i="7"/>
  <c r="Q10" i="7"/>
  <c r="J6" i="7"/>
  <c r="B9" i="7"/>
  <c r="D9" i="7" s="1"/>
  <c r="AI101" i="2" a="1"/>
  <c r="AI101" i="2" s="1"/>
  <c r="AI713" i="2" a="1"/>
  <c r="AI713" i="2" s="1"/>
  <c r="B2" i="7"/>
  <c r="D2" i="7" s="1"/>
  <c r="B6" i="7"/>
  <c r="D6" i="7" s="1"/>
  <c r="B11" i="7"/>
  <c r="D11" i="7" s="1"/>
  <c r="B10" i="7"/>
  <c r="D10" i="7" s="1"/>
  <c r="AI1116" i="2" a="1"/>
  <c r="AI1116" i="2" s="1"/>
  <c r="AI1165" i="2" a="1"/>
  <c r="AI1165" i="2" s="1"/>
  <c r="AI1146" i="2" a="1"/>
  <c r="AI1146" i="2" s="1"/>
  <c r="AI1099" i="2" a="1"/>
  <c r="AI1099" i="2" s="1"/>
  <c r="AI48" i="2" a="1"/>
  <c r="AI48" i="2" s="1"/>
  <c r="AI1103" i="2" a="1"/>
  <c r="AI1103" i="2" s="1"/>
  <c r="AI902" i="2" a="1"/>
  <c r="AI902" i="2" s="1"/>
  <c r="AI691" i="2" a="1"/>
  <c r="AI691" i="2" s="1"/>
  <c r="AI672" i="2" a="1"/>
  <c r="AI672" i="2" s="1"/>
  <c r="AI664" i="2" a="1"/>
  <c r="AI664" i="2" s="1"/>
  <c r="AI650" i="2" a="1"/>
  <c r="AI650" i="2" s="1"/>
  <c r="AI344" i="2" a="1"/>
  <c r="AI344" i="2" s="1"/>
  <c r="AI163" i="2" a="1"/>
  <c r="AI163" i="2" s="1"/>
  <c r="AI806" i="2" a="1"/>
  <c r="AI806" i="2" s="1"/>
  <c r="AI655" i="2" a="1"/>
  <c r="AI655" i="2" s="1"/>
  <c r="AI484" i="2" a="1"/>
  <c r="AI484" i="2" s="1"/>
  <c r="AI408" i="2" a="1"/>
  <c r="AI408" i="2" s="1"/>
  <c r="AI369" i="2" a="1"/>
  <c r="AI369" i="2" s="1"/>
  <c r="AI311" i="2" a="1"/>
  <c r="AI311" i="2" s="1"/>
  <c r="AI255" i="2" a="1"/>
  <c r="AI255" i="2" s="1"/>
  <c r="AI201" i="2" a="1"/>
  <c r="AI201" i="2" s="1"/>
  <c r="AI87" i="2" a="1"/>
  <c r="AI87" i="2" s="1"/>
  <c r="AI56" i="2" a="1"/>
  <c r="AI56" i="2" s="1"/>
  <c r="AI1055" i="2" a="1"/>
  <c r="AI1055" i="2" s="1"/>
  <c r="AI864" i="2" a="1"/>
  <c r="AI864" i="2" s="1"/>
  <c r="AI857" i="2" a="1"/>
  <c r="AI857" i="2" s="1"/>
  <c r="AI752" i="2" a="1"/>
  <c r="AI752" i="2" s="1"/>
  <c r="AI750" i="2" a="1"/>
  <c r="AI750" i="2" s="1"/>
  <c r="AI735" i="2" a="1"/>
  <c r="AI735" i="2" s="1"/>
  <c r="AI703" i="2" a="1"/>
  <c r="AI703" i="2" s="1"/>
  <c r="AI686" i="2" a="1"/>
  <c r="AI686" i="2" s="1"/>
  <c r="AI435" i="2" a="1"/>
  <c r="AI435" i="2" s="1"/>
  <c r="AI433" i="2" a="1"/>
  <c r="AI433" i="2" s="1"/>
  <c r="AI312" i="2" a="1"/>
  <c r="AI312" i="2" s="1"/>
  <c r="AI42" i="2" a="1"/>
  <c r="AI42" i="2" s="1"/>
  <c r="AI16" i="2" a="1"/>
  <c r="AI16" i="2" s="1"/>
  <c r="AI909" i="2" a="1"/>
  <c r="AI909" i="2" s="1"/>
  <c r="AI712" i="2" a="1"/>
  <c r="AI712" i="2" s="1"/>
  <c r="AI430" i="2" a="1"/>
  <c r="AI430" i="2" s="1"/>
  <c r="AI129" i="2" a="1"/>
  <c r="AI129" i="2" s="1"/>
  <c r="AI64" i="2" a="1"/>
  <c r="AI64" i="2" s="1"/>
  <c r="AI837" i="2" a="1"/>
  <c r="AI837" i="2" s="1"/>
  <c r="AI756" i="2" a="1"/>
  <c r="AI756" i="2" s="1"/>
  <c r="AI628" i="2" a="1"/>
  <c r="AI628" i="2" s="1"/>
  <c r="AI105" i="2" a="1"/>
  <c r="AI105" i="2" s="1"/>
  <c r="AI94" i="2" a="1"/>
  <c r="AI94" i="2" s="1"/>
  <c r="AI63" i="2" a="1"/>
  <c r="AI63" i="2" s="1"/>
  <c r="AI33" i="2" a="1"/>
  <c r="B5" i="7"/>
  <c r="D5" i="7" s="1"/>
  <c r="B8" i="7"/>
  <c r="B4" i="7"/>
  <c r="D4" i="7" s="1"/>
  <c r="B7" i="7"/>
  <c r="D7" i="7" s="1"/>
  <c r="B3" i="7"/>
  <c r="D3" i="7" s="1"/>
  <c r="C13" i="7"/>
  <c r="C14" i="9" l="1"/>
  <c r="B11" i="9"/>
  <c r="C11" i="9" s="1"/>
  <c r="B13" i="9"/>
  <c r="B12" i="9"/>
  <c r="B10" i="9"/>
  <c r="C10" i="9" s="1"/>
  <c r="C15" i="9" s="1"/>
  <c r="B67" i="37"/>
  <c r="K53" i="7"/>
  <c r="B66" i="37"/>
  <c r="B73" i="37"/>
  <c r="B63" i="37"/>
  <c r="K77" i="37"/>
  <c r="K50" i="7"/>
  <c r="B72" i="37"/>
  <c r="L77" i="37"/>
  <c r="K49" i="7"/>
  <c r="B64" i="37"/>
  <c r="R51" i="7"/>
  <c r="B74" i="37"/>
  <c r="G77" i="37"/>
  <c r="I77" i="37"/>
  <c r="C22" i="37"/>
  <c r="L52" i="37"/>
  <c r="K52" i="37"/>
  <c r="I52" i="37"/>
  <c r="F52" i="37"/>
  <c r="B35" i="37"/>
  <c r="B52" i="37" s="1"/>
  <c r="B2" i="9"/>
  <c r="B15" i="9" s="1"/>
  <c r="J55" i="7"/>
  <c r="R48" i="7"/>
  <c r="R47" i="7"/>
  <c r="B70" i="37"/>
  <c r="B65" i="37"/>
  <c r="R52" i="7"/>
  <c r="R50" i="7"/>
  <c r="R45" i="7"/>
  <c r="P55" i="7"/>
  <c r="R44" i="7"/>
  <c r="C4" i="9"/>
  <c r="B69" i="37"/>
  <c r="C77" i="37"/>
  <c r="Q55" i="7"/>
  <c r="K46" i="7"/>
  <c r="R46" i="7"/>
  <c r="E77" i="37"/>
  <c r="B60" i="37"/>
  <c r="K51" i="7"/>
  <c r="B71" i="37"/>
  <c r="I55" i="7"/>
  <c r="K55" i="7" s="1"/>
  <c r="K44" i="7"/>
  <c r="B68" i="37"/>
  <c r="B62" i="37"/>
  <c r="D22" i="37"/>
  <c r="K48" i="7"/>
  <c r="R49" i="7"/>
  <c r="B75" i="37"/>
  <c r="K47" i="7"/>
  <c r="R53" i="7"/>
  <c r="D77" i="37"/>
  <c r="B61" i="37"/>
  <c r="F77" i="37"/>
  <c r="K52" i="7"/>
  <c r="R3" i="7"/>
  <c r="S3" i="7" s="1"/>
  <c r="R9" i="7"/>
  <c r="S9" i="7" s="1"/>
  <c r="R2" i="7"/>
  <c r="S2" i="7" s="1"/>
  <c r="R7" i="7"/>
  <c r="S7" i="7" s="1"/>
  <c r="K11" i="7"/>
  <c r="K2" i="7"/>
  <c r="K7" i="7"/>
  <c r="K9" i="7"/>
  <c r="K5" i="7"/>
  <c r="K3" i="7"/>
  <c r="R5" i="7"/>
  <c r="S5" i="7" s="1"/>
  <c r="R6" i="7"/>
  <c r="S6" i="7" s="1"/>
  <c r="R8" i="7"/>
  <c r="S8" i="7" s="1"/>
  <c r="K6" i="7"/>
  <c r="K4" i="7"/>
  <c r="K8" i="7"/>
  <c r="R11" i="7"/>
  <c r="S11" i="7" s="1"/>
  <c r="R4" i="7"/>
  <c r="S4" i="7" s="1"/>
  <c r="Q13" i="7"/>
  <c r="R10" i="7"/>
  <c r="S10" i="7" s="1"/>
  <c r="J13" i="7"/>
  <c r="K10" i="7"/>
  <c r="P13" i="7"/>
  <c r="AI33" i="2"/>
  <c r="I13" i="7"/>
  <c r="B13" i="7"/>
  <c r="D13" i="7" s="1"/>
  <c r="D8" i="7"/>
  <c r="E13" i="7" s="1"/>
  <c r="B77" i="37" l="1"/>
  <c r="K57" i="7"/>
  <c r="S13" i="7"/>
  <c r="R57" i="7"/>
  <c r="R55" i="7"/>
  <c r="K15" i="7"/>
  <c r="R13" i="7"/>
  <c r="R15" i="7"/>
  <c r="K1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<sst xmlns="http://schemas.openxmlformats.org/spreadsheetml/2006/main" count="88719" uniqueCount="11969">
  <si>
    <t>_id</t>
  </si>
  <si>
    <t>temporary</t>
  </si>
  <si>
    <t>removeable</t>
  </si>
  <si>
    <t>bicycle</t>
  </si>
  <si>
    <t>detour</t>
  </si>
  <si>
    <t>status</t>
  </si>
  <si>
    <t>images</t>
  </si>
  <si>
    <t>position</t>
  </si>
  <si>
    <t>description</t>
  </si>
  <si>
    <t>wheelchair</t>
  </si>
  <si>
    <t>height</t>
  </si>
  <si>
    <t>numberOfSteps</t>
  </si>
  <si>
    <t>stepHeight</t>
  </si>
  <si>
    <t>createdAt</t>
  </si>
  <si>
    <t>updatedAt</t>
  </si>
  <si>
    <t>__v</t>
  </si>
  <si>
    <t>barrier_type</t>
  </si>
  <si>
    <t>barrier_type_name</t>
  </si>
  <si>
    <t>user</t>
  </si>
  <si>
    <t>updated_by</t>
  </si>
  <si>
    <t>spaceLeft</t>
  </si>
  <si>
    <t>endDate</t>
  </si>
  <si>
    <t>wheelchairRamp</t>
  </si>
  <si>
    <t>surface</t>
  </si>
  <si>
    <t>width</t>
  </si>
  <si>
    <t>runningSlopeDeg</t>
  </si>
  <si>
    <t>crossSlopeDeg</t>
  </si>
  <si>
    <t>area</t>
  </si>
  <si>
    <t>start_time</t>
  </si>
  <si>
    <t>image_urls</t>
  </si>
  <si>
    <t>62a33c120e5664001919613c</t>
  </si>
  <si>
    <t>toReview</t>
  </si>
  <si>
    <t>[62a33c380e5664001919613d]</t>
  </si>
  <si>
    <t>[47.37028, 8.53360]</t>
  </si>
  <si>
    <t>Steigung Richtung Bahnhof Selnau</t>
  </si>
  <si>
    <t/>
  </si>
  <si>
    <t>6283fa2e89aa3b001259f3ca</t>
  </si>
  <si>
    <t>problematic_way</t>
  </si>
  <si>
    <t>6294763dab1db8001dd01df1</t>
  </si>
  <si>
    <t>L</t>
  </si>
  <si>
    <t>62a33f240e56640019196142</t>
  </si>
  <si>
    <t>[62a33f390e56640019196143]</t>
  </si>
  <si>
    <t>[47.37055, 8.53263]</t>
  </si>
  <si>
    <t>62a340d40e56640019196145</t>
  </si>
  <si>
    <t>[62a340f40e56640019196146, 62a341170e56640019196148, 62a3411c0e5664001919614a]</t>
  </si>
  <si>
    <t>[47.36938, 8.53032]</t>
  </si>
  <si>
    <t>Steigung Richtung Freigutstrasse</t>
  </si>
  <si>
    <t>62a3425a0e5664001919614c</t>
  </si>
  <si>
    <t>[62a342670e5664001919614d]</t>
  </si>
  <si>
    <t>[47.36935, 8.52997]</t>
  </si>
  <si>
    <t>Gefälle Richtung Sihlhölzlistrasse</t>
  </si>
  <si>
    <t>62a3430a0e5664001919614f</t>
  </si>
  <si>
    <t>[62a3431a0e56640019196150]</t>
  </si>
  <si>
    <t>[47.36910, 8.52990]</t>
  </si>
  <si>
    <t>614de7609ebcfc0013c74a7d</t>
  </si>
  <si>
    <t>stair</t>
  </si>
  <si>
    <t>62a343e50e56640019196152</t>
  </si>
  <si>
    <t>[62a343f30e56640019196153]</t>
  </si>
  <si>
    <t>[47.36902, 8.53066]</t>
  </si>
  <si>
    <t>Gefälle Richtung Holzgasse</t>
  </si>
  <si>
    <t>62a344690e56640019196155</t>
  </si>
  <si>
    <t>[62a344750e56640019196156]</t>
  </si>
  <si>
    <t>[47.36941, 8.53085]</t>
  </si>
  <si>
    <t>Gefälle Richtung Sihlamtstrasse</t>
  </si>
  <si>
    <t>62a345230e56640019196158</t>
  </si>
  <si>
    <t>[62a345320e56640019196159]</t>
  </si>
  <si>
    <t>[47.36948, 8.53089]</t>
  </si>
  <si>
    <t>Richtung Strasse</t>
  </si>
  <si>
    <t>62a3470c0e5664001919615b</t>
  </si>
  <si>
    <t>[62a347290e5664001919615c]</t>
  </si>
  <si>
    <t>[47.36945, 8.53143]</t>
  </si>
  <si>
    <t>Steigung Richtung Holzgasse</t>
  </si>
  <si>
    <t>62a349330e5664001919615e</t>
  </si>
  <si>
    <t>[62a3493f0e5664001919615f]</t>
  </si>
  <si>
    <t>[47.36900, 8.53074]</t>
  </si>
  <si>
    <t>Gefälle Richtung Selnaustrasse</t>
  </si>
  <si>
    <t>62a34a810e56640019196161</t>
  </si>
  <si>
    <t>[62a34a8a0e56640019196162]</t>
  </si>
  <si>
    <t>[47.36861, 8.53102]</t>
  </si>
  <si>
    <t>62a34aef0e56640019196164</t>
  </si>
  <si>
    <t>[62a34afd0e56640019196165]</t>
  </si>
  <si>
    <t>[47.36850, 8.53096]</t>
  </si>
  <si>
    <t>Gefälle Richtung Tödistrasse</t>
  </si>
  <si>
    <t>62a34b7d0e56640019196167</t>
  </si>
  <si>
    <t>[62a34b8b0e56640019196168]</t>
  </si>
  <si>
    <t>[47.36896, 8.53220]</t>
  </si>
  <si>
    <t>Querneigung Abfall Richtung Strasse</t>
  </si>
  <si>
    <t>62a34c310e5664001919616a</t>
  </si>
  <si>
    <t>[62a34c3e0e5664001919616b]</t>
  </si>
  <si>
    <t>[47.36898, 8.53255]</t>
  </si>
  <si>
    <t>Abfall Richtung Strasse</t>
  </si>
  <si>
    <t>62a34d770e5664001919616d</t>
  </si>
  <si>
    <t>[62a34d820e5664001919616e, 62a34d950e56640019196170, 62a34d9b0e56640019196172]</t>
  </si>
  <si>
    <t>[47.36813, 8.53314]</t>
  </si>
  <si>
    <t>62a34df20e56640019196174</t>
  </si>
  <si>
    <t>[62a34dff0e56640019196175]</t>
  </si>
  <si>
    <t>[47.36833, 8.53372]</t>
  </si>
  <si>
    <t>62a350950e56640019196177</t>
  </si>
  <si>
    <t>[62a350e40e56640019196179]</t>
  </si>
  <si>
    <t>[47.36926, 8.53246]</t>
  </si>
  <si>
    <t>614de7509ebcfc0013c74a7b</t>
  </si>
  <si>
    <t>bollard</t>
  </si>
  <si>
    <t>62a352bb0e5664001919617b</t>
  </si>
  <si>
    <t>[62a352c30e5664001919617c]</t>
  </si>
  <si>
    <t>[47.36918, 8.53390]</t>
  </si>
  <si>
    <t>62a354f20e5664001919617e</t>
  </si>
  <si>
    <t>[62a355230e5664001919617f]</t>
  </si>
  <si>
    <t>[47.36916, 8.53494]</t>
  </si>
  <si>
    <t>Mauerecke</t>
  </si>
  <si>
    <t>626297d56f8972001ac55b80</t>
  </si>
  <si>
    <t>block</t>
  </si>
  <si>
    <t>62a740dbdee3b600125b6066</t>
  </si>
  <si>
    <t>[62a740e4dee3b600125b6067]</t>
  </si>
  <si>
    <t>[47.37053, 8.53848]</t>
  </si>
  <si>
    <t>Restaurant</t>
  </si>
  <si>
    <t>K</t>
  </si>
  <si>
    <t>62a7416cdee3b600125b606c</t>
  </si>
  <si>
    <t>[62a74179dee3b600125b606d]</t>
  </si>
  <si>
    <t>[47.37030, 8.53809]</t>
  </si>
  <si>
    <t>Baustelle</t>
  </si>
  <si>
    <t>62a7429adee3b600125b6072</t>
  </si>
  <si>
    <t>draft</t>
  </si>
  <si>
    <t>[62a742a5dee3b600125b6073]</t>
  </si>
  <si>
    <t>[47.37005, 8.53774]</t>
  </si>
  <si>
    <t>62864ea77ed34300194f3748</t>
  </si>
  <si>
    <t>cross_drain</t>
  </si>
  <si>
    <t>62a7445edee3b600125b607b</t>
  </si>
  <si>
    <t>[62a74467dee3b600125b607c]</t>
  </si>
  <si>
    <t>[47.36917, 8.53762]</t>
  </si>
  <si>
    <t>62a74532dee3b600125b607e</t>
  </si>
  <si>
    <t>[62a7454ddee3b600125b607f]</t>
  </si>
  <si>
    <t>[47.36926, 8.53745]</t>
  </si>
  <si>
    <t>62a74673dee3b600125b6081</t>
  </si>
  <si>
    <t>[62a7467fdee3b600125b6082]</t>
  </si>
  <si>
    <t>[47.36905, 8.53667]</t>
  </si>
  <si>
    <t>Gefälle Richtung Bleicherweg</t>
  </si>
  <si>
    <t>62a746b5dee3b600125b6084</t>
  </si>
  <si>
    <t>[62a746bfdee3b600125b6085]</t>
  </si>
  <si>
    <t>[47.36898, 8.53683]</t>
  </si>
  <si>
    <t>62a74717dee3b600125b6087</t>
  </si>
  <si>
    <t>[62a74722dee3b600125b6088]</t>
  </si>
  <si>
    <t>[47.36875, 8.53743]</t>
  </si>
  <si>
    <t>62a7475ddee3b600125b608a</t>
  </si>
  <si>
    <t>[62a7476cdee3b600125b608b]</t>
  </si>
  <si>
    <t>[47.36871, 8.53742]</t>
  </si>
  <si>
    <t>62a74835dee3b600125b608d</t>
  </si>
  <si>
    <t>[62a7483fdee3b600125b608e]</t>
  </si>
  <si>
    <t>[47.36907, 8.53560]</t>
  </si>
  <si>
    <t>62a74903dee3b600125b6090</t>
  </si>
  <si>
    <t>[]</t>
  </si>
  <si>
    <t>[47.37021, 8.53471]</t>
  </si>
  <si>
    <t>62a7492bdee3b600125b6091</t>
  </si>
  <si>
    <t>[62a74934dee3b600125b6092]</t>
  </si>
  <si>
    <t>[47.37021, 8.53460]</t>
  </si>
  <si>
    <t>62a7494cdee3b600125b6094</t>
  </si>
  <si>
    <t>[62a74956dee3b600125b6095, 62a7496bdee3b600125b6097, 62a749a7dee3b600125b6099, 62a749a7dee3b600125b609b, 62a749a7dee3b600125b609c, 62a749a7dee3b600125b609d]</t>
  </si>
  <si>
    <t>[47.37028, 8.53454]</t>
  </si>
  <si>
    <t>Treppe mit 3 Abschnitten/Windungen</t>
  </si>
  <si>
    <t>62a74aefdee3b600125b60a1</t>
  </si>
  <si>
    <t>[62a74af8dee3b600125b60a2]</t>
  </si>
  <si>
    <t>[47.36982, 8.53577]</t>
  </si>
  <si>
    <t>62a74bb8dee3b600125b60a4</t>
  </si>
  <si>
    <t>[62a74bc6dee3b600125b60a5]</t>
  </si>
  <si>
    <t>[47.37011, 8.53630]</t>
  </si>
  <si>
    <t>im gesamten Park</t>
  </si>
  <si>
    <t>Kies</t>
  </si>
  <si>
    <t>62a74cd4dee3b600125b60a7</t>
  </si>
  <si>
    <t>[62a74ce2dee3b600125b60a8]</t>
  </si>
  <si>
    <t>[47.37028, 8.53581]</t>
  </si>
  <si>
    <t>62a74dcedee3b600125b60aa</t>
  </si>
  <si>
    <t>[62a74ddfdee3b600125b60ab]</t>
  </si>
  <si>
    <t>[47.37017, 8.53761]</t>
  </si>
  <si>
    <t>62a75236dee3b600125b60ad</t>
  </si>
  <si>
    <t>[62a7523edee3b600125b60ae]</t>
  </si>
  <si>
    <t>[47.37105, 8.53817]</t>
  </si>
  <si>
    <t>62a755e5dee3b600125b60b0</t>
  </si>
  <si>
    <t>[62a755f2dee3b600125b60b1]</t>
  </si>
  <si>
    <t>[47.37219, 8.53738]</t>
  </si>
  <si>
    <t>62a7563bdee3b600125b60b3</t>
  </si>
  <si>
    <t>[62a7564cdee3b600125b60b4]</t>
  </si>
  <si>
    <t>[47.37192, 8.53691]</t>
  </si>
  <si>
    <t>62a75707dee3b600125b60b6</t>
  </si>
  <si>
    <t>[62a75716dee3b600125b60b7]</t>
  </si>
  <si>
    <t>[47.37134, 8.53600]</t>
  </si>
  <si>
    <t>62a75728dee3b600125b60b9</t>
  </si>
  <si>
    <t>[62a7576ddee3b600125b60ba, 62a75774dee3b600125b60bc, 62a75776dee3b600125b60be]</t>
  </si>
  <si>
    <t>[47.37123, 8.53615]</t>
  </si>
  <si>
    <t>62a75908dee3b600125b60c0</t>
  </si>
  <si>
    <t>[62a7591cdee3b600125b60c1]</t>
  </si>
  <si>
    <t>[47.37177, 8.53398]</t>
  </si>
  <si>
    <t>Steigung Richtung Talstrasse</t>
  </si>
  <si>
    <t>62a7597edee3b600125b60c3</t>
  </si>
  <si>
    <t>[62a75987dee3b600125b60c4]</t>
  </si>
  <si>
    <t>[47.37190, 8.53353]</t>
  </si>
  <si>
    <t>62a75c12dee3b600125b60c6</t>
  </si>
  <si>
    <t>[62a75c1adee3b600125b60c7]</t>
  </si>
  <si>
    <t>[47.37241, 8.53454]</t>
  </si>
  <si>
    <t>62a75f17dee3b600125b60c9</t>
  </si>
  <si>
    <t>[62a75f23dee3b600125b60ca]</t>
  </si>
  <si>
    <t>[47.37304, 8.53637]</t>
  </si>
  <si>
    <t>62a7603cdee3b600125b60cc</t>
  </si>
  <si>
    <t>[62a76056dee3b600125b60cd]</t>
  </si>
  <si>
    <t>[47.37270, 8.53420]</t>
  </si>
  <si>
    <t>62ac8287dee3b600125b60df</t>
  </si>
  <si>
    <t>[62ac8299dee3b600125b60e0, 62ac8327dee3b600125b60e2]</t>
  </si>
  <si>
    <t>[47.37734, 8.54801]</t>
  </si>
  <si>
    <t>gefälle</t>
  </si>
  <si>
    <t>D</t>
  </si>
  <si>
    <t>62ac8697dee3b600125b60e4</t>
  </si>
  <si>
    <t>[62ac86a2dee3b600125b60e5]</t>
  </si>
  <si>
    <t>[47.37670, 8.54619]</t>
  </si>
  <si>
    <t>62ac8785dee3b600125b60e7</t>
  </si>
  <si>
    <t>[62ac8792dee3b600125b60e8]</t>
  </si>
  <si>
    <t>[47.37536, 8.54699]</t>
  </si>
  <si>
    <t>62ac8a9ddee3b600125b60ee</t>
  </si>
  <si>
    <t>[47.37539, 8.54711]</t>
  </si>
  <si>
    <t>62ac8a9ddee3b600125b60f3</t>
  </si>
  <si>
    <t>[47.37528, 8.54715]</t>
  </si>
  <si>
    <t>62ac8aa5dee3b600125b60fa</t>
  </si>
  <si>
    <t>[47.37534, 8.54722]</t>
  </si>
  <si>
    <t>62ac8aa6dee3b600125b60ff</t>
  </si>
  <si>
    <t>[47.37473, 8.54751]</t>
  </si>
  <si>
    <t>62ac8afedee3b600125b6104</t>
  </si>
  <si>
    <t>[62ac8b07dee3b600125b6105]</t>
  </si>
  <si>
    <t>[47.37486, 8.54747]</t>
  </si>
  <si>
    <t>62ac8b99dee3b600125b6107</t>
  </si>
  <si>
    <t>[62ac8baedee3b600125b6108, 62ac8bb0dee3b600125b610a, 62ac8bb6dee3b600125b610c]</t>
  </si>
  <si>
    <t>[47.37573, 8.54865]</t>
  </si>
  <si>
    <t>2023-12-31</t>
  </si>
  <si>
    <t>62ac8edfdee3b600125b610e</t>
  </si>
  <si>
    <t>[62ac8f29dee3b600125b610f]</t>
  </si>
  <si>
    <t>[47.37508, 8.54750]</t>
  </si>
  <si>
    <t>62ac9176dee3b600125b6115</t>
  </si>
  <si>
    <t>[47.37443, 8.54767]</t>
  </si>
  <si>
    <t>62ac9176dee3b600125b6119</t>
  </si>
  <si>
    <t>[47.37423, 8.54755]</t>
  </si>
  <si>
    <t>62ac9176dee3b600125b611a</t>
  </si>
  <si>
    <t>[62ac91a9dee3b600125b611d]</t>
  </si>
  <si>
    <t>[47.37411, 8.54726]</t>
  </si>
  <si>
    <t>62ac91d7dee3b600125b611f</t>
  </si>
  <si>
    <t>[62ac91efdee3b600125b6120]</t>
  </si>
  <si>
    <t>[47.37404, 8.54705]</t>
  </si>
  <si>
    <t>62ac9216dee3b600125b6122</t>
  </si>
  <si>
    <t>[62ac9239dee3b600125b6123]</t>
  </si>
  <si>
    <t>[47.37399, 8.54690]</t>
  </si>
  <si>
    <t>62ac92e9dee3b600125b6125</t>
  </si>
  <si>
    <t>[62ac9318dee3b600125b6126, 62ac9333dee3b600125b6128, 62ac9333dee3b600125b612a, 62ac934edee3b600125b612c, 62ac934edee3b600125b612e]</t>
  </si>
  <si>
    <t>[47.37311, 8.54764]</t>
  </si>
  <si>
    <t>steigung, querneigung rechts</t>
  </si>
  <si>
    <t>62ac942cdee3b600125b6130</t>
  </si>
  <si>
    <t>[62ac9440dee3b600125b6131, 62ac9494dee3b600125b6133]</t>
  </si>
  <si>
    <t>[47.37352, 8.54808]</t>
  </si>
  <si>
    <t>62ac94d6dee3b600125b6135</t>
  </si>
  <si>
    <t>[62ac94e7dee3b600125b6136]</t>
  </si>
  <si>
    <t>[47.37400, 8.54795]</t>
  </si>
  <si>
    <t>62ac95cadee3b600125b6138</t>
  </si>
  <si>
    <t>[62ac95d7dee3b600125b6139]</t>
  </si>
  <si>
    <t>[47.37396, 8.54803]</t>
  </si>
  <si>
    <t>62ac9693dee3b600125b613b</t>
  </si>
  <si>
    <t>[62ac96a0dee3b600125b613c]</t>
  </si>
  <si>
    <t>[47.37322, 8.54794]</t>
  </si>
  <si>
    <t>62ac97d2dee3b600125b613e</t>
  </si>
  <si>
    <t>[62ac97ebdee3b600125b613f]</t>
  </si>
  <si>
    <t>[47.37264, 8.54744]</t>
  </si>
  <si>
    <t>detour on the car road</t>
  </si>
  <si>
    <t>614de7599ebcfc0013c74a7c</t>
  </si>
  <si>
    <t>kerb</t>
  </si>
  <si>
    <t>62ac9852dee3b600125b6141</t>
  </si>
  <si>
    <t>[62ac986ddee3b600125b6142]</t>
  </si>
  <si>
    <t>[47.37262, 8.54750]</t>
  </si>
  <si>
    <t>only detour is the road to the side</t>
  </si>
  <si>
    <t>62ac9cb7dee3b600125b6144</t>
  </si>
  <si>
    <t>[62ac9cd1dee3b600125b6145]</t>
  </si>
  <si>
    <t>[47.37274, 8.54747]</t>
  </si>
  <si>
    <t>tram station</t>
  </si>
  <si>
    <t>62ac9e69dee3b600125b6147</t>
  </si>
  <si>
    <t>[62ac9e74dee3b600125b6148]</t>
  </si>
  <si>
    <t>[47.37261, 8.54745]</t>
  </si>
  <si>
    <t>detour is on the ride</t>
  </si>
  <si>
    <t>62ac9e96dee3b600125b614a</t>
  </si>
  <si>
    <t>[62ac9ea0dee3b600125b614b]</t>
  </si>
  <si>
    <t>detour on the road</t>
  </si>
  <si>
    <t>62ac9edbdee3b600125b614d</t>
  </si>
  <si>
    <t>[62ac9ef5dee3b600125b614e]</t>
  </si>
  <si>
    <t>[47.37294, 8.54729]</t>
  </si>
  <si>
    <t>62ac9f0adee3b600125b6150</t>
  </si>
  <si>
    <t>[62ac9f17dee3b600125b6151]</t>
  </si>
  <si>
    <t>[47.37294, 8.54726]</t>
  </si>
  <si>
    <t>62ac9fd0dee3b600125b6153</t>
  </si>
  <si>
    <t>[62ac9ff7dee3b600125b6154]</t>
  </si>
  <si>
    <t>[47.37172, 8.54789]</t>
  </si>
  <si>
    <t>62aca078dee3b600125b6156</t>
  </si>
  <si>
    <t>[62aca08cdee3b600125b6157]</t>
  </si>
  <si>
    <t>[47.37208, 8.54859]</t>
  </si>
  <si>
    <t>querneigung links</t>
  </si>
  <si>
    <t>62aca1c7dee3b600125b615a</t>
  </si>
  <si>
    <t>[47.37221, 8.54860]</t>
  </si>
  <si>
    <t>62aca3d4dee3b600125b615c</t>
  </si>
  <si>
    <t>[47.37215, 8.54910]</t>
  </si>
  <si>
    <t>62aca3d6dee3b600125b6161</t>
  </si>
  <si>
    <t>[47.37163, 8.54794]</t>
  </si>
  <si>
    <t>62aca4a5dee3b600125b6163</t>
  </si>
  <si>
    <t>[62aca4b4dee3b600125b6164]</t>
  </si>
  <si>
    <t>[47.37105, 8.54816]</t>
  </si>
  <si>
    <t>62b41a31945c4c0019aa662d</t>
  </si>
  <si>
    <t>[62b41a3d945c4c0019aa662e]</t>
  </si>
  <si>
    <t>[47.37288, 8.54729]</t>
  </si>
  <si>
    <t>62b41a6b945c4c0019aa6630</t>
  </si>
  <si>
    <t>[62b41a82945c4c0019aa6631]</t>
  </si>
  <si>
    <t>[47.37293, 8.54726]</t>
  </si>
  <si>
    <t>62b41ac3945c4c0019aa6633</t>
  </si>
  <si>
    <t>[62b41adb945c4c0019aa6634]</t>
  </si>
  <si>
    <t>[47.37296, 8.54726]</t>
  </si>
  <si>
    <t>tram rails</t>
  </si>
  <si>
    <t>62b41b3b945c4c0019aa6636</t>
  </si>
  <si>
    <t>[62b41b56945c4c0019aa6637]</t>
  </si>
  <si>
    <t>[47.37294, 8.54731]</t>
  </si>
  <si>
    <t>62b41b90945c4c0019aa6639</t>
  </si>
  <si>
    <t>[62b41b9e945c4c0019aa663a]</t>
  </si>
  <si>
    <t>[47.37261, 8.54748]</t>
  </si>
  <si>
    <t>62b41c41945c4c0019aa663c</t>
  </si>
  <si>
    <t>[62b41c50945c4c0019aa663d]</t>
  </si>
  <si>
    <t>[47.37278, 8.54784]</t>
  </si>
  <si>
    <t>62b41fc6945c4c0019aa663f</t>
  </si>
  <si>
    <t>[62b41fd1945c4c0019aa6640, 62b42013945c4c0019aa6642, 62b4201e945c4c0019aa6644]</t>
  </si>
  <si>
    <t>[47.37204, 8.54928]</t>
  </si>
  <si>
    <t>62b4205e945c4c0019aa6646</t>
  </si>
  <si>
    <t>[62b42067945c4c0019aa6647]</t>
  </si>
  <si>
    <t>[47.37219, 8.54945]</t>
  </si>
  <si>
    <t>62b42145945c4c0019aa664b</t>
  </si>
  <si>
    <t>[47.37262, 8.55028]</t>
  </si>
  <si>
    <t>62b42145945c4c0019aa664c</t>
  </si>
  <si>
    <t>[62b4219b945c4c0019aa664f]</t>
  </si>
  <si>
    <t>[47.37250, 8.55020]</t>
  </si>
  <si>
    <t>62b42be5945c4c0019aa6651</t>
  </si>
  <si>
    <t>[62b42bee945c4c0019aa6652]</t>
  </si>
  <si>
    <t>[47.37340, 8.54949]</t>
  </si>
  <si>
    <t>62b42c1c945c4c0019aa6654</t>
  </si>
  <si>
    <t>[62b42c24945c4c0019aa6655]</t>
  </si>
  <si>
    <t>[47.37331, 8.54954]</t>
  </si>
  <si>
    <t>62b42c9b945c4c0019aa6657</t>
  </si>
  <si>
    <t>[62b42ca3945c4c0019aa6658]</t>
  </si>
  <si>
    <t>[47.37336, 8.55001]</t>
  </si>
  <si>
    <t>62b42dbb945c4c0019aa665a</t>
  </si>
  <si>
    <t>[62b42dc3945c4c0019aa665b, 62b42dda945c4c0019aa665d, 62b42dde945c4c0019aa665f]</t>
  </si>
  <si>
    <t>[47.37532, 8.54918]</t>
  </si>
  <si>
    <t>62b42fd4945c4c0019aa6666</t>
  </si>
  <si>
    <t>[62b42ff4945c4c0019aa6667]</t>
  </si>
  <si>
    <t>[47.37670, 8.54622]</t>
  </si>
  <si>
    <t>62b43086945c4c0019aa6669</t>
  </si>
  <si>
    <t>[62b4309e945c4c0019aa666a]</t>
  </si>
  <si>
    <t>[47.37707, 8.54721]</t>
  </si>
  <si>
    <t>tram tracks</t>
  </si>
  <si>
    <t>62b430c6945c4c0019aa666c</t>
  </si>
  <si>
    <t>[62b430d1945c4c0019aa666d]</t>
  </si>
  <si>
    <t>[47.37708, 8.54720]</t>
  </si>
  <si>
    <t>62b4314b945c4c0019aa666f</t>
  </si>
  <si>
    <t>[62b43153945c4c0019aa6670]</t>
  </si>
  <si>
    <t>[47.37748, 8.54831]</t>
  </si>
  <si>
    <t>62b431cf945c4c0019aa6672</t>
  </si>
  <si>
    <t>[62b43213945c4c0019aa6673]</t>
  </si>
  <si>
    <t>[47.37702, 8.54851]</t>
  </si>
  <si>
    <t>62b43244945c4c0019aa6675</t>
  </si>
  <si>
    <t>[62b43253945c4c0019aa6676]</t>
  </si>
  <si>
    <t>[47.37654, 8.54875]</t>
  </si>
  <si>
    <t>62b43264945c4c0019aa6678</t>
  </si>
  <si>
    <t>[62b43273945c4c0019aa6679, 62b432d2945c4c0019aa667b, 62b432db945c4c0019aa667d]</t>
  </si>
  <si>
    <t>[47.37651, 8.54887]</t>
  </si>
  <si>
    <t>half of path is gravel</t>
  </si>
  <si>
    <t>half gravel &amp; half asphalt</t>
  </si>
  <si>
    <t>62b43343945c4c0019aa667f</t>
  </si>
  <si>
    <t>[62b4334e945c4c0019aa6680]</t>
  </si>
  <si>
    <t>[47.37583, 8.54903]</t>
  </si>
  <si>
    <t>62b43379945c4c0019aa6682</t>
  </si>
  <si>
    <t>[62b43392945c4c0019aa6683]</t>
  </si>
  <si>
    <t>[47.37557, 8.54918]</t>
  </si>
  <si>
    <t>62b43410945c4c0019aa6685</t>
  </si>
  <si>
    <t>[62b4342a945c4c0019aa6686]</t>
  </si>
  <si>
    <t>[47.37457, 8.54962]</t>
  </si>
  <si>
    <t>62b4349f945c4c0019aa6688</t>
  </si>
  <si>
    <t>[62b434ab945c4c0019aa6689, 62b434be945c4c0019aa668b, 62b434c5945c4c0019aa668d]</t>
  </si>
  <si>
    <t>[47.37404, 8.54994]</t>
  </si>
  <si>
    <t>62b4353e945c4c0019aa668f</t>
  </si>
  <si>
    <t>[62b43554945c4c0019aa6690]</t>
  </si>
  <si>
    <t>[47.37315, 8.55020]</t>
  </si>
  <si>
    <t>62b4359a945c4c0019aa6692</t>
  </si>
  <si>
    <t>[62b435a3945c4c0019aa6693]</t>
  </si>
  <si>
    <t>[47.37273, 8.55038]</t>
  </si>
  <si>
    <t>62b435dd945c4c0019aa6695</t>
  </si>
  <si>
    <t>[62b435ed945c4c0019aa6696]</t>
  </si>
  <si>
    <t>[47.37251, 8.55050]</t>
  </si>
  <si>
    <t>62b43658945c4c0019aa6698</t>
  </si>
  <si>
    <t>[62b43661945c4c0019aa6699]</t>
  </si>
  <si>
    <t>[47.37213, 8.55074]</t>
  </si>
  <si>
    <t>62b4367c945c4c0019aa669b</t>
  </si>
  <si>
    <t>[62b4368d945c4c0019aa669c]</t>
  </si>
  <si>
    <t>[47.37204, 8.55064]</t>
  </si>
  <si>
    <t>62b43707945c4c0019aa669e</t>
  </si>
  <si>
    <t>[62b43710945c4c0019aa669f]</t>
  </si>
  <si>
    <t>[47.37149, 8.55018]</t>
  </si>
  <si>
    <t>62b4376c945c4c0019aa66a1</t>
  </si>
  <si>
    <t>[62b4377d945c4c0019aa66a2]</t>
  </si>
  <si>
    <t>[47.37105, 8.54992]</t>
  </si>
  <si>
    <t>62b437bf945c4c0019aa66a4</t>
  </si>
  <si>
    <t>[62b437ca945c4c0019aa66a5]</t>
  </si>
  <si>
    <t>[47.37058, 8.54935]</t>
  </si>
  <si>
    <t>62b439f2945c4c0019aa66a7</t>
  </si>
  <si>
    <t>[62b43a04945c4c0019aa66a8]</t>
  </si>
  <si>
    <t>[47.37166, 8.54769]</t>
  </si>
  <si>
    <t>62b43a90945c4c0019aa66aa</t>
  </si>
  <si>
    <t>[62b43a99945c4c0019aa66ab]</t>
  </si>
  <si>
    <t>[47.37307, 8.54718]</t>
  </si>
  <si>
    <t>62b43ac8945c4c0019aa66ad</t>
  </si>
  <si>
    <t>[62b43ad0945c4c0019aa66ae]</t>
  </si>
  <si>
    <t>[47.37312, 8.54728]</t>
  </si>
  <si>
    <t>construction site</t>
  </si>
  <si>
    <t>6244424a6e65df0013e3ea01</t>
  </si>
  <si>
    <t>other</t>
  </si>
  <si>
    <t>62b43af8945c4c0019aa66b0</t>
  </si>
  <si>
    <t>[62b43b29945c4c0019aa66b1]</t>
  </si>
  <si>
    <t>[47.37310, 8.54737]</t>
  </si>
  <si>
    <t>62b43b44945c4c0019aa66b3</t>
  </si>
  <si>
    <t>[62b43b8f945c4c0019aa66b4]</t>
  </si>
  <si>
    <t>[47.37308, 8.54737]</t>
  </si>
  <si>
    <t>62b43c18945c4c0019aa66b6</t>
  </si>
  <si>
    <t>[47.37397, 8.54662]</t>
  </si>
  <si>
    <t>62b43c49945c4c0019aa66b7</t>
  </si>
  <si>
    <t>[62b43c57945c4c0019aa66b8]</t>
  </si>
  <si>
    <t>[47.37395, 8.54657]</t>
  </si>
  <si>
    <t>62b43c7a945c4c0019aa66ba</t>
  </si>
  <si>
    <t>[62b43c85945c4c0019aa66bb]</t>
  </si>
  <si>
    <t>[47.37399, 8.54640]</t>
  </si>
  <si>
    <t>62b43ce3945c4c0019aa66bd</t>
  </si>
  <si>
    <t>[62b43cf6945c4c0019aa66be]</t>
  </si>
  <si>
    <t>[47.37472, 8.54581]</t>
  </si>
  <si>
    <t>62b43d18945c4c0019aa66c0</t>
  </si>
  <si>
    <t>[62b43d26945c4c0019aa66c1]</t>
  </si>
  <si>
    <t>[47.37478, 8.54588]</t>
  </si>
  <si>
    <t>2023-12-23</t>
  </si>
  <si>
    <t>62b43d58945c4c0019aa66c3</t>
  </si>
  <si>
    <t>[62b43d67945c4c0019aa66c4]</t>
  </si>
  <si>
    <t>[47.37473, 8.54590]</t>
  </si>
  <si>
    <t>construction</t>
  </si>
  <si>
    <t>62b43daa945c4c0019aa66c6</t>
  </si>
  <si>
    <t>[62b43db2945c4c0019aa66c7]</t>
  </si>
  <si>
    <t>[47.37474, 8.54589]</t>
  </si>
  <si>
    <t>62b43edf945c4c0019aa66c9</t>
  </si>
  <si>
    <t>[62b43ee6945c4c0019aa66ca]</t>
  </si>
  <si>
    <t>[47.37397, 8.54656]</t>
  </si>
  <si>
    <t>62b43f0d945c4c0019aa66cc</t>
  </si>
  <si>
    <t>[62b43f29945c4c0019aa66cd]</t>
  </si>
  <si>
    <t>[47.37393, 8.54674]</t>
  </si>
  <si>
    <t>62b43f58945c4c0019aa66cf</t>
  </si>
  <si>
    <t>[62b43f5f945c4c0019aa66d0]</t>
  </si>
  <si>
    <t>[47.37398, 8.54676]</t>
  </si>
  <si>
    <t>62b43fce945c4c0019aa66d2</t>
  </si>
  <si>
    <t>[62b43fe8945c4c0019aa66d3, 62b44078945c4c0019aa66d5, 62b44081945c4c0019aa66d7]</t>
  </si>
  <si>
    <t>[47.37520, 8.54629]</t>
  </si>
  <si>
    <t>62b4408d945c4c0019aa66d9</t>
  </si>
  <si>
    <t>[62b440a2945c4c0019aa66da]</t>
  </si>
  <si>
    <t>[47.37540, 8.54684]</t>
  </si>
  <si>
    <t>62b4411e945c4c0019aa66dc</t>
  </si>
  <si>
    <t>[62b44131945c4c0019aa66dd]</t>
  </si>
  <si>
    <t>[47.37523, 8.54645]</t>
  </si>
  <si>
    <t>62b442a9945c4c0019aa66df</t>
  </si>
  <si>
    <t>[62b442b4945c4c0019aa66e0]</t>
  </si>
  <si>
    <t>[47.37623, 8.54513]</t>
  </si>
  <si>
    <t>62b44306945c4c0019aa66e2</t>
  </si>
  <si>
    <t>[47.37643, 8.54494]</t>
  </si>
  <si>
    <t>62b44349945c4c0019aa66e3</t>
  </si>
  <si>
    <t>[62b44352945c4c0019aa66e4]</t>
  </si>
  <si>
    <t>[47.37638, 8.54493]</t>
  </si>
  <si>
    <t>62b4438c945c4c0019aa66e6</t>
  </si>
  <si>
    <t>[62b443a0945c4c0019aa66e7]</t>
  </si>
  <si>
    <t>[47.37614, 8.54506]</t>
  </si>
  <si>
    <t>shield</t>
  </si>
  <si>
    <t>62b44406945c4c0019aa66e9</t>
  </si>
  <si>
    <t>[62b44411945c4c0019aa66ea]</t>
  </si>
  <si>
    <t>[47.37573, 8.54532]</t>
  </si>
  <si>
    <t>signpost</t>
  </si>
  <si>
    <t>62b4455e945c4c0019aa66ec</t>
  </si>
  <si>
    <t>[62b44575945c4c0019aa66ed]</t>
  </si>
  <si>
    <t>[47.37666, 8.54475]</t>
  </si>
  <si>
    <t>62b445a0945c4c0019aa66ef</t>
  </si>
  <si>
    <t>[62b445b1945c4c0019aa66f0]</t>
  </si>
  <si>
    <t>[47.37651, 8.54483]</t>
  </si>
  <si>
    <t>62b445e0945c4c0019aa66f2</t>
  </si>
  <si>
    <t>[62b445f4945c4c0019aa66f3]</t>
  </si>
  <si>
    <t>[47.37672, 8.54453]</t>
  </si>
  <si>
    <t>62b56568945c4c0019aa66f6</t>
  </si>
  <si>
    <t>[62b56574945c4c0019aa66f7]</t>
  </si>
  <si>
    <t>[47.37683, 8.54319]</t>
  </si>
  <si>
    <t>C</t>
  </si>
  <si>
    <t>62b56607945c4c0019aa66f9</t>
  </si>
  <si>
    <t>[62b56628945c4c0019aa66fa]</t>
  </si>
  <si>
    <t>[47.37634, 8.54360]</t>
  </si>
  <si>
    <t>62b56635945c4c0019aa66fc</t>
  </si>
  <si>
    <t>[62b56652945c4c0019aa66fd]</t>
  </si>
  <si>
    <t>[47.37634, 8.54364]</t>
  </si>
  <si>
    <t>62b5665a945c4c0019aa66ff</t>
  </si>
  <si>
    <t>[62b56664945c4c0019aa6700]</t>
  </si>
  <si>
    <t>[47.37634, 8.54361]</t>
  </si>
  <si>
    <t>62b56683945c4c0019aa6702</t>
  </si>
  <si>
    <t>[62b5668e945c4c0019aa6703]</t>
  </si>
  <si>
    <t>[47.37633, 8.54368]</t>
  </si>
  <si>
    <t>62b5669b945c4c0019aa6705</t>
  </si>
  <si>
    <t>[62b566a2945c4c0019aa6706]</t>
  </si>
  <si>
    <t>[47.37633, 8.54371]</t>
  </si>
  <si>
    <t>62b566b2945c4c0019aa6708</t>
  </si>
  <si>
    <t>[62b566bf945c4c0019aa6709]</t>
  </si>
  <si>
    <t>[47.37633, 8.54374]</t>
  </si>
  <si>
    <t>62b566e0945c4c0019aa670b</t>
  </si>
  <si>
    <t>[62b56719945c4c0019aa670c]</t>
  </si>
  <si>
    <t>[47.37667, 8.54352]</t>
  </si>
  <si>
    <t>62b5672f945c4c0019aa670e</t>
  </si>
  <si>
    <t>[62b56739945c4c0019aa670f]</t>
  </si>
  <si>
    <t>[47.37665, 8.54380]</t>
  </si>
  <si>
    <t>62b56752945c4c0019aa6711</t>
  </si>
  <si>
    <t>[62b56766945c4c0019aa6712]</t>
  </si>
  <si>
    <t>[47.37674, 8.54355]</t>
  </si>
  <si>
    <t>62b56783945c4c0019aa6714</t>
  </si>
  <si>
    <t>[62b5678e945c4c0019aa6715]</t>
  </si>
  <si>
    <t>[47.37682, 8.54349]</t>
  </si>
  <si>
    <t>62b567eb945c4c0019aa6717</t>
  </si>
  <si>
    <t>[62b567f9945c4c0019aa6718]</t>
  </si>
  <si>
    <t>[47.37689, 8.54353]</t>
  </si>
  <si>
    <t>bus stop</t>
  </si>
  <si>
    <t>62b56826945c4c0019aa671a</t>
  </si>
  <si>
    <t>[62b5683a945c4c0019aa671b]</t>
  </si>
  <si>
    <t>[47.37694, 8.54392]</t>
  </si>
  <si>
    <t>bench at bus stop</t>
  </si>
  <si>
    <t>62b56871945c4c0019aa671e</t>
  </si>
  <si>
    <t>[62b5687d945c4c0019aa671f]</t>
  </si>
  <si>
    <t>[47.37691, 8.54406]</t>
  </si>
  <si>
    <t>62b568ab945c4c0019aa6721</t>
  </si>
  <si>
    <t>[62b568c9945c4c0019aa6722]</t>
  </si>
  <si>
    <t>[47.37691, 8.54410]</t>
  </si>
  <si>
    <t>62b568d4945c4c0019aa6724</t>
  </si>
  <si>
    <t>[62b568e7945c4c0019aa6725]</t>
  </si>
  <si>
    <t>[47.37690, 8.54413]</t>
  </si>
  <si>
    <t>detour on the road (right side)</t>
  </si>
  <si>
    <t>62b5695e945c4c0019aa6727</t>
  </si>
  <si>
    <t>[62b56965945c4c0019aa6728]</t>
  </si>
  <si>
    <t>[47.37683, 8.54417]</t>
  </si>
  <si>
    <t>62b56980945c4c0019aa672a</t>
  </si>
  <si>
    <t>[62b5698f945c4c0019aa672b]</t>
  </si>
  <si>
    <t>[47.37685, 8.54417]</t>
  </si>
  <si>
    <t>62b56a2a945c4c0019aa672d</t>
  </si>
  <si>
    <t>[62b56a3f945c4c0019aa672e]</t>
  </si>
  <si>
    <t>[47.37658, 8.54396]</t>
  </si>
  <si>
    <t>62b56aea945c4c0019aa6732</t>
  </si>
  <si>
    <t>[47.37670, 8.54448]</t>
  </si>
  <si>
    <t>62b56afe945c4c0019aa6734</t>
  </si>
  <si>
    <t>[62b56b06945c4c0019aa6735]</t>
  </si>
  <si>
    <t>[47.37671, 8.54452]</t>
  </si>
  <si>
    <t>62b56c03945c4c0019aa6737</t>
  </si>
  <si>
    <t>[47.37570, 8.54508]</t>
  </si>
  <si>
    <t>construction sign</t>
  </si>
  <si>
    <t>62b56c03945c4c0019aa673b</t>
  </si>
  <si>
    <t>[47.37622, 8.54476]</t>
  </si>
  <si>
    <t>62b56c38945c4c0019aa6741</t>
  </si>
  <si>
    <t>[62b56c42945c4c0019aa6742, 62b56cba945c4c0019aa6744, 62b56cbf945c4c0019aa6746]</t>
  </si>
  <si>
    <t>[47.37569, 8.54510]</t>
  </si>
  <si>
    <t>baustellen signal</t>
  </si>
  <si>
    <t>2023-12-24</t>
  </si>
  <si>
    <t>62b56ce7945c4c0019aa6748</t>
  </si>
  <si>
    <t>[62b56cef945c4c0019aa6749]</t>
  </si>
  <si>
    <t>[47.37556, 8.54491]</t>
  </si>
  <si>
    <t>62b56d64945c4c0019aa674b</t>
  </si>
  <si>
    <t>[62b56d6f945c4c0019aa674c]</t>
  </si>
  <si>
    <t>[47.37557, 8.54517]</t>
  </si>
  <si>
    <t>62b56d8c945c4c0019aa674e</t>
  </si>
  <si>
    <t>[62b56d95945c4c0019aa674f]</t>
  </si>
  <si>
    <t>[47.37530, 8.54532]</t>
  </si>
  <si>
    <t>62b56dd8945c4c0019aa6751</t>
  </si>
  <si>
    <t>[62b56df0945c4c0019aa6752]</t>
  </si>
  <si>
    <t>[47.37506, 8.54531]</t>
  </si>
  <si>
    <t>62b56e01945c4c0019aa6754</t>
  </si>
  <si>
    <t>[62b56e0a945c4c0019aa6755]</t>
  </si>
  <si>
    <t>[47.37507, 8.54546]</t>
  </si>
  <si>
    <t>62b56fb3945c4c0019aa675e</t>
  </si>
  <si>
    <t>[47.37485, 8.54478]</t>
  </si>
  <si>
    <t>62b56fb4945c4c0019aa6764</t>
  </si>
  <si>
    <t>[47.37501, 8.54543]</t>
  </si>
  <si>
    <t>steigung richtung hirschengraben</t>
  </si>
  <si>
    <t>62b56fb4945c4c0019aa6765</t>
  </si>
  <si>
    <t>[62b56ffb945c4c0019aa6769]</t>
  </si>
  <si>
    <t>[47.37461, 8.54563]</t>
  </si>
  <si>
    <t>gefälle richtung zäringerstrasse</t>
  </si>
  <si>
    <t>62b57014945c4c0019aa676b</t>
  </si>
  <si>
    <t>[62b57029945c4c0019aa676c]</t>
  </si>
  <si>
    <t>[47.37459, 8.54574]</t>
  </si>
  <si>
    <t>62b570a0945c4c0019aa676e</t>
  </si>
  <si>
    <t>[62b570a8945c4c0019aa676f]</t>
  </si>
  <si>
    <t>[47.37427, 8.54485]</t>
  </si>
  <si>
    <t>62b570c9945c4c0019aa6771</t>
  </si>
  <si>
    <t>[62b570d3945c4c0019aa6772]</t>
  </si>
  <si>
    <t>[47.37435, 8.54477]</t>
  </si>
  <si>
    <t>steigung richtung mühlegasse</t>
  </si>
  <si>
    <t>62b5710c945c4c0019aa6774</t>
  </si>
  <si>
    <t>[62b57120945c4c0019aa6775]</t>
  </si>
  <si>
    <t>[47.37429, 8.54470]</t>
  </si>
  <si>
    <t>steigung richtung seilergraben</t>
  </si>
  <si>
    <t>62b57197945c4c0019aa6777</t>
  </si>
  <si>
    <t>[62b5719f945c4c0019aa6778]</t>
  </si>
  <si>
    <t>[47.37448, 8.54474]</t>
  </si>
  <si>
    <t>62b57251945c4c0019aa677a</t>
  </si>
  <si>
    <t>[62b57259945c4c0019aa677b]</t>
  </si>
  <si>
    <t>[47.37488, 8.54471]</t>
  </si>
  <si>
    <t>62b57294945c4c0019aa677d</t>
  </si>
  <si>
    <t>[62b5729f945c4c0019aa677e]</t>
  </si>
  <si>
    <t>[47.37528, 8.54467]</t>
  </si>
  <si>
    <t>62b572da945c4c0019aa6780</t>
  </si>
  <si>
    <t>[62b572e5945c4c0019aa6781]</t>
  </si>
  <si>
    <t>[47.37573, 8.54464]</t>
  </si>
  <si>
    <t>62b57338945c4c0019aa6783</t>
  </si>
  <si>
    <t>[62b5733f945c4c0019aa6784]</t>
  </si>
  <si>
    <t>[47.37619, 8.54450]</t>
  </si>
  <si>
    <t>62b57368945c4c0019aa6786</t>
  </si>
  <si>
    <t>[62b57382945c4c0019aa6787]</t>
  </si>
  <si>
    <t>[47.37594, 8.54431]</t>
  </si>
  <si>
    <t>gefälle richtung niederdorfstrasse</t>
  </si>
  <si>
    <t>62b573a8945c4c0019aa6789</t>
  </si>
  <si>
    <t>[62b573f4945c4c0019aa678a]</t>
  </si>
  <si>
    <t>[47.37598, 8.54439]</t>
  </si>
  <si>
    <t>alternative strasse daneben</t>
  </si>
  <si>
    <t>62b57425945c4c0019aa678c</t>
  </si>
  <si>
    <t>[62b5742c945c4c0019aa678d]</t>
  </si>
  <si>
    <t>[47.37580, 8.54451]</t>
  </si>
  <si>
    <t>62b57456945c4c0019aa678f</t>
  </si>
  <si>
    <t>[62b57469945c4c0019aa6790]</t>
  </si>
  <si>
    <t>[47.37552, 8.54435]</t>
  </si>
  <si>
    <t>62b574b8945c4c0019aa6792</t>
  </si>
  <si>
    <t>[62b574c4945c4c0019aa6793]</t>
  </si>
  <si>
    <t>[47.37521, 8.54455]</t>
  </si>
  <si>
    <t>62b5750b945c4c0019aa6795</t>
  </si>
  <si>
    <t>[62b57518945c4c0019aa6796]</t>
  </si>
  <si>
    <t>[47.37482, 8.54444]</t>
  </si>
  <si>
    <t>62b57568945c4c0019aa6798</t>
  </si>
  <si>
    <t>[62b57570945c4c0019aa6799]</t>
  </si>
  <si>
    <t>[47.37480, 8.54404]</t>
  </si>
  <si>
    <t>62b575b0945c4c0019aa679b</t>
  </si>
  <si>
    <t>[62b575bc945c4c0019aa679c]</t>
  </si>
  <si>
    <t>[47.37468, 8.54458]</t>
  </si>
  <si>
    <t>62b575f2945c4c0019aa679e</t>
  </si>
  <si>
    <t>[62b5760c945c4c0019aa679f, 62b57622945c4c0019aa67a1, 62b57628945c4c0019aa67a3]</t>
  </si>
  <si>
    <t>[47.37450, 8.54414]</t>
  </si>
  <si>
    <t>62b576aa945c4c0019aa67a5</t>
  </si>
  <si>
    <t>[62b576ba945c4c0019aa67a6]</t>
  </si>
  <si>
    <t>[47.37423, 8.54455]</t>
  </si>
  <si>
    <t>62b576dd945c4c0019aa67a8</t>
  </si>
  <si>
    <t>[62b576eb945c4c0019aa67a9]</t>
  </si>
  <si>
    <t>[47.37416, 8.54444]</t>
  </si>
  <si>
    <t>62b57718945c4c0019aa67ab</t>
  </si>
  <si>
    <t>[62b57723945c4c0019aa67ac]</t>
  </si>
  <si>
    <t>[47.37421, 8.54436]</t>
  </si>
  <si>
    <t>62b5777c945c4c0019aa67ae</t>
  </si>
  <si>
    <t>[62b57783945c4c0019aa67af]</t>
  </si>
  <si>
    <t>[47.37426, 8.54380]</t>
  </si>
  <si>
    <t>62b577bb945c4c0019aa67b1</t>
  </si>
  <si>
    <t>[62b577c9945c4c0019aa67b2]</t>
  </si>
  <si>
    <t>[47.37470, 8.54362]</t>
  </si>
  <si>
    <t>gefälle richtung limmatquai</t>
  </si>
  <si>
    <t>62b57813945c4c0019aa67b4</t>
  </si>
  <si>
    <t>[62b5782e945c4c0019aa67b5]</t>
  </si>
  <si>
    <t>[47.37516, 8.54399]</t>
  </si>
  <si>
    <t>62b57873945c4c0019aa67b7</t>
  </si>
  <si>
    <t>[62b57880945c4c0019aa67b8]</t>
  </si>
  <si>
    <t>[47.37541, 8.54373]</t>
  </si>
  <si>
    <t>62b5792f945c4c0019aa67ba</t>
  </si>
  <si>
    <t>[62b5793d945c4c0019aa67bb]</t>
  </si>
  <si>
    <t>[47.37663, 8.54417]</t>
  </si>
  <si>
    <t>62b5798a945c4c0019aa67bd</t>
  </si>
  <si>
    <t>[62b57a80945c4c0019aa67be]</t>
  </si>
  <si>
    <t>[47.37443, 8.54304]</t>
  </si>
  <si>
    <t>tramschienen</t>
  </si>
  <si>
    <t>62b57b19945c4c0019aa67c0</t>
  </si>
  <si>
    <t>[62b57b21945c4c0019aa67c1]</t>
  </si>
  <si>
    <t>[47.37523, 8.54318]</t>
  </si>
  <si>
    <t>62b57b63945c4c0019aa67c3</t>
  </si>
  <si>
    <t>[62b57b6f945c4c0019aa67c4]</t>
  </si>
  <si>
    <t>[47.37546, 8.54337]</t>
  </si>
  <si>
    <t>62b57b82945c4c0019aa67c6</t>
  </si>
  <si>
    <t>[62b57c05945c4c0019aa67c7, 62b57c13945c4c0019aa67c9, 62b57c1a945c4c0019aa67cb]</t>
  </si>
  <si>
    <t>[47.37618, 8.54361]</t>
  </si>
  <si>
    <t>62b6c07b945c4c0019aa67d0</t>
  </si>
  <si>
    <t>[47.37686, 8.54648]</t>
  </si>
  <si>
    <t>eingang polybahn</t>
  </si>
  <si>
    <t>P</t>
  </si>
  <si>
    <t>62b6c0db945c4c0019aa67d3</t>
  </si>
  <si>
    <t>[62b6c0e2945c4c0019aa67d4]</t>
  </si>
  <si>
    <t>[47.37731, 8.54632]</t>
  </si>
  <si>
    <t>62b6c107945c4c0019aa67d6</t>
  </si>
  <si>
    <t>[62b6c10f945c4c0019aa67d7]</t>
  </si>
  <si>
    <t>62b6c159945c4c0019aa67d9</t>
  </si>
  <si>
    <t>[62b6c160945c4c0019aa67da]</t>
  </si>
  <si>
    <t>[47.37738, 8.54616]</t>
  </si>
  <si>
    <t>62b6c226945c4c0019aa67dc</t>
  </si>
  <si>
    <t>[62b6c22f945c4c0019aa67dd]</t>
  </si>
  <si>
    <t>[47.37836, 8.54553]</t>
  </si>
  <si>
    <t>gefälle richtung weinbergstrasse</t>
  </si>
  <si>
    <t>62b6c270945c4c0019aa67df</t>
  </si>
  <si>
    <t>[62b6c27a945c4c0019aa67e0]</t>
  </si>
  <si>
    <t>[47.37836, 8.54564]</t>
  </si>
  <si>
    <t>62b6c287945c4c0019aa67e2</t>
  </si>
  <si>
    <t>[62b6c28e945c4c0019aa67e3]</t>
  </si>
  <si>
    <t>[47.37836, 8.54565]</t>
  </si>
  <si>
    <t>62b6c2cb945c4c0019aa67e5</t>
  </si>
  <si>
    <t>[62b6c2d2945c4c0019aa67e6]</t>
  </si>
  <si>
    <t>[47.37851, 8.54543]</t>
  </si>
  <si>
    <t>62b6c30e945c4c0019aa67e8</t>
  </si>
  <si>
    <t>[62b6c327945c4c0019aa67e9]</t>
  </si>
  <si>
    <t>[47.37884, 8.54532]</t>
  </si>
  <si>
    <t>62b6c335945c4c0019aa67eb</t>
  </si>
  <si>
    <t>[62b6c358945c4c0019aa67ec]</t>
  </si>
  <si>
    <t>[47.37884, 8.54533]</t>
  </si>
  <si>
    <t>62b6c3c3945c4c0019aa67ee</t>
  </si>
  <si>
    <t>[62b6c3cc945c4c0019aa67ef]</t>
  </si>
  <si>
    <t>[47.37916, 8.54489]</t>
  </si>
  <si>
    <t>62b6c3dc945c4c0019aa67f1</t>
  </si>
  <si>
    <t>[62b6c3eb945c4c0019aa67f2]</t>
  </si>
  <si>
    <t>[47.37917, 8.54488]</t>
  </si>
  <si>
    <t>62b6c431945c4c0019aa67f4</t>
  </si>
  <si>
    <t>[62b6c43a945c4c0019aa67f5]</t>
  </si>
  <si>
    <t>[47.37914, 8.54505]</t>
  </si>
  <si>
    <t>steigung richtung tannenstrasse</t>
  </si>
  <si>
    <t>62b6c4c1945c4c0019aa67f7</t>
  </si>
  <si>
    <t>[47.37856, 8.54563]</t>
  </si>
  <si>
    <t>62b6c543945c4c0019aa67f8</t>
  </si>
  <si>
    <t>[62b6c54c945c4c0019aa67f9]</t>
  </si>
  <si>
    <t>[47.37818, 8.54590]</t>
  </si>
  <si>
    <t>62b6c62a945c4c0019aa67fb</t>
  </si>
  <si>
    <t>[62b6c634945c4c0019aa67fc]</t>
  </si>
  <si>
    <t>[47.37902, 8.54462]</t>
  </si>
  <si>
    <t>62b6c69f945c4c0019aa6801</t>
  </si>
  <si>
    <t>[47.37901, 8.54455]</t>
  </si>
  <si>
    <t>steigung richtung leonhardstrasse</t>
  </si>
  <si>
    <t>62b6c748945c4c0019aa6802</t>
  </si>
  <si>
    <t>[62b6c750945c4c0019aa6803]</t>
  </si>
  <si>
    <t>[47.37857, 8.54438]</t>
  </si>
  <si>
    <t>gefälle richtung seilergraben</t>
  </si>
  <si>
    <t>62b6c808945c4c0019aa6805</t>
  </si>
  <si>
    <t>[62b6c80e945c4c0019aa6806]</t>
  </si>
  <si>
    <t>[47.37752, 8.54418]</t>
  </si>
  <si>
    <t>62b6c843945c4c0019aa6808</t>
  </si>
  <si>
    <t>[62b6c854945c4c0019aa6809]</t>
  </si>
  <si>
    <t>[47.37710, 8.54427]</t>
  </si>
  <si>
    <t>62b6c865945c4c0019aa680b</t>
  </si>
  <si>
    <t>[62b6c8ad945c4c0019aa680c, 62b6c8b4945c4c0019aa680e]</t>
  </si>
  <si>
    <t>[47.37709, 8.54419]</t>
  </si>
  <si>
    <t>62b6c96a945c4c0019aa6810</t>
  </si>
  <si>
    <t>[62b6c970945c4c0019aa6811]</t>
  </si>
  <si>
    <t>[47.37700, 8.54441]</t>
  </si>
  <si>
    <t>62b6c9d8945c4c0019aa6813</t>
  </si>
  <si>
    <t>[62b6c9df945c4c0019aa6814]</t>
  </si>
  <si>
    <t>[47.37716, 8.54417]</t>
  </si>
  <si>
    <t>62b6caba945c4c0019aa6816</t>
  </si>
  <si>
    <t>[62b6caed945c4c0019aa6817, 62b6caf4945c4c0019aa6819, 62b6caf6945c4c0019aa681b]</t>
  </si>
  <si>
    <t>[47.37873, 8.54397]</t>
  </si>
  <si>
    <t>privater parkplatz, alternative strasse links</t>
  </si>
  <si>
    <t>62b6cb32945c4c0019aa681d</t>
  </si>
  <si>
    <t>[62b6cb38945c4c0019aa681e]</t>
  </si>
  <si>
    <t>[47.37877, 8.54397]</t>
  </si>
  <si>
    <t>62b6cb76945c4c0019aa6820</t>
  </si>
  <si>
    <t>[62b6cb7d945c4c0019aa6821]</t>
  </si>
  <si>
    <t>[47.37871, 8.54419]</t>
  </si>
  <si>
    <t>steigung richtung haldenegg</t>
  </si>
  <si>
    <t>62b6cba7945c4c0019aa6823</t>
  </si>
  <si>
    <t>[62b6cbcb945c4c0019aa6824]</t>
  </si>
  <si>
    <t>[47.37883, 8.54418]</t>
  </si>
  <si>
    <t>62b6cc2b945c4c0019aa6826</t>
  </si>
  <si>
    <t>[62b6cc3e945c4c0019aa6827]</t>
  </si>
  <si>
    <t>[47.37886, 8.54408]</t>
  </si>
  <si>
    <t>steigung richtung weinbergstrasse</t>
  </si>
  <si>
    <t>62b6cc8a945c4c0019aa6829</t>
  </si>
  <si>
    <t>[62b6ccd9945c4c0019aa682a]</t>
  </si>
  <si>
    <t>[47.37885, 8.54381]</t>
  </si>
  <si>
    <t>62b6cdaa945c4c0019aa682c</t>
  </si>
  <si>
    <t>[62b6cdb3945c4c0019aa682d]</t>
  </si>
  <si>
    <t>[47.37773, 8.54377]</t>
  </si>
  <si>
    <t>62b6cdc9945c4c0019aa682f</t>
  </si>
  <si>
    <t>[62b6cdd1945c4c0019aa6830]</t>
  </si>
  <si>
    <t>[47.37767, 8.54395]</t>
  </si>
  <si>
    <t>62b6ce04945c4c0019aa6832</t>
  </si>
  <si>
    <t>[62b6ce1b945c4c0019aa6833]</t>
  </si>
  <si>
    <t>[47.37772, 8.54419]</t>
  </si>
  <si>
    <t>62b6cf0b945c4c0019aa6836</t>
  </si>
  <si>
    <t>[62b6cf1f945c4c0019aa6837]</t>
  </si>
  <si>
    <t>[47.37707, 8.54409]</t>
  </si>
  <si>
    <t>62b6d082945c4c0019aa6839</t>
  </si>
  <si>
    <t>[62b6d08a945c4c0019aa683a]</t>
  </si>
  <si>
    <t>[47.37719, 8.54381]</t>
  </si>
  <si>
    <t>B</t>
  </si>
  <si>
    <t>62b6d153945c4c0019aa683c</t>
  </si>
  <si>
    <t>[62b6d15b945c4c0019aa683d]</t>
  </si>
  <si>
    <t>[47.37761, 8.54338]</t>
  </si>
  <si>
    <t>62b6d186945c4c0019aa683f</t>
  </si>
  <si>
    <t>[62b6d18e945c4c0019aa6840]</t>
  </si>
  <si>
    <t>[47.37763, 8.54322]</t>
  </si>
  <si>
    <t>62b6d1a9945c4c0019aa6842</t>
  </si>
  <si>
    <t>[62b6d1c6945c4c0019aa6843]</t>
  </si>
  <si>
    <t>[47.37768, 8.54323]</t>
  </si>
  <si>
    <t>62b6d21f945c4c0019aa6845</t>
  </si>
  <si>
    <t>[62b6d250945c4c0019aa6846]</t>
  </si>
  <si>
    <t>[47.37811, 8.54353]</t>
  </si>
  <si>
    <t>62b6d2ce945c4c0019aa6848</t>
  </si>
  <si>
    <t>[62b6d2d5945c4c0019aa6849]</t>
  </si>
  <si>
    <t>[47.37875, 8.54344]</t>
  </si>
  <si>
    <t>62b6d452945c4c0019aa684b</t>
  </si>
  <si>
    <t>[62b6d45a945c4c0019aa684c]</t>
  </si>
  <si>
    <t>[47.37979, 8.54271]</t>
  </si>
  <si>
    <t>62b6d4d8945c4c0019aa684e</t>
  </si>
  <si>
    <t>[47.37874, 8.54312]</t>
  </si>
  <si>
    <t>62b6d4f4945c4c0019aa684f</t>
  </si>
  <si>
    <t>[62b6d4fb945c4c0019aa6850]</t>
  </si>
  <si>
    <t>[47.37858, 8.54330]</t>
  </si>
  <si>
    <t>62b6d567945c4c0019aa6852</t>
  </si>
  <si>
    <t>[62b6d570945c4c0019aa6853]</t>
  </si>
  <si>
    <t>[47.37862, 8.54271]</t>
  </si>
  <si>
    <t>62b6d582945c4c0019aa6855</t>
  </si>
  <si>
    <t>[62b6d58c945c4c0019aa6856]</t>
  </si>
  <si>
    <t>[47.37870, 8.54267]</t>
  </si>
  <si>
    <t>62b6d5b5945c4c0019aa6858</t>
  </si>
  <si>
    <t>[62b6d5bd945c4c0019aa6859]</t>
  </si>
  <si>
    <t>62b6d634945c4c0019aa685b</t>
  </si>
  <si>
    <t>[62b6d63a945c4c0019aa685c]</t>
  </si>
  <si>
    <t>[47.37889, 8.54273]</t>
  </si>
  <si>
    <t>62b6d6b9945c4c0019aa685e</t>
  </si>
  <si>
    <t>[62b6d6dd945c4c0019aa685f]</t>
  </si>
  <si>
    <t>[47.37966, 8.54245]</t>
  </si>
  <si>
    <t>62b6d6e6945c4c0019aa6861</t>
  </si>
  <si>
    <t>[62b6d701945c4c0019aa6862]</t>
  </si>
  <si>
    <t>[47.37957, 8.54240]</t>
  </si>
  <si>
    <t>62b6d7ea945c4c0019aa6864</t>
  </si>
  <si>
    <t>[47.37829, 8.54282]</t>
  </si>
  <si>
    <t>62b6d84f945c4c0019aa6865</t>
  </si>
  <si>
    <t>[62b6d868945c4c0019aa6866]</t>
  </si>
  <si>
    <t>[47.37798, 8.54299]</t>
  </si>
  <si>
    <t>restaurantschild</t>
  </si>
  <si>
    <t>2022-10-31</t>
  </si>
  <si>
    <t>62b6d8bb945c4c0019aa6868</t>
  </si>
  <si>
    <t>[62b6d8c4945c4c0019aa6869]</t>
  </si>
  <si>
    <t>[47.37748, 8.54324]</t>
  </si>
  <si>
    <t>62b6dc73945c4c0019aa686b</t>
  </si>
  <si>
    <t>[62b6dc7b945c4c0019aa686c]</t>
  </si>
  <si>
    <t>[47.37847, 8.54128]</t>
  </si>
  <si>
    <t>62b6dcb2945c4c0019aa686e</t>
  </si>
  <si>
    <t>[62b6dcc7945c4c0019aa686f]</t>
  </si>
  <si>
    <t>[47.37853, 8.54168]</t>
  </si>
  <si>
    <t>62b6dd19945c4c0019aa6871</t>
  </si>
  <si>
    <t>[62b6dd26945c4c0019aa6872, 62b6dd4d945c4c0019aa6874, 62b6dd63945c4c0019aa6876, 62b6dd82945c4c0019aa6878, 62b6ddab945c4c0019aa687a]</t>
  </si>
  <si>
    <t>[47.37843, 8.54166]</t>
  </si>
  <si>
    <t>110cm auf der rechten seite, alternative strasse links</t>
  </si>
  <si>
    <t>62b6dec8945c4c0019aa687f</t>
  </si>
  <si>
    <t>[62b6deeb945c4c0019aa6880]</t>
  </si>
  <si>
    <t>[47.37876, 8.54225]</t>
  </si>
  <si>
    <t>62b6def9945c4c0019aa6882</t>
  </si>
  <si>
    <t>[62b6df19945c4c0019aa6883]</t>
  </si>
  <si>
    <t>[47.37865, 8.54229]</t>
  </si>
  <si>
    <t>62b6df2e945c4c0019aa6885</t>
  </si>
  <si>
    <t>[62b6df36945c4c0019aa6886]</t>
  </si>
  <si>
    <t>[47.37855, 8.54233]</t>
  </si>
  <si>
    <t>62b6e086945c4c0019aa6888</t>
  </si>
  <si>
    <t>[62b6e08e945c4c0019aa6889]</t>
  </si>
  <si>
    <t>[47.37852, 8.54223]</t>
  </si>
  <si>
    <t>62b6e0b1945c4c0019aa688b</t>
  </si>
  <si>
    <t>[62b6e0b8945c4c0019aa688c]</t>
  </si>
  <si>
    <t>[47.37850, 8.54259]</t>
  </si>
  <si>
    <t>62b6e109945c4c0019aa688e</t>
  </si>
  <si>
    <t>[62b6e110945c4c0019aa688f]</t>
  </si>
  <si>
    <t>[47.37820, 8.54266]</t>
  </si>
  <si>
    <t>62b6e1b3945c4c0019aa6891</t>
  </si>
  <si>
    <t>[62b6e1bc945c4c0019aa6892]</t>
  </si>
  <si>
    <t>[47.37690, 8.54318]</t>
  </si>
  <si>
    <t>62b6e1d9945c4c0019aa6894</t>
  </si>
  <si>
    <t>[62b6e1e0945c4c0019aa6895]</t>
  </si>
  <si>
    <t>[47.37699, 8.54330]</t>
  </si>
  <si>
    <t>62b6e1ea945c4c0019aa6897</t>
  </si>
  <si>
    <t>[62b6e1ff945c4c0019aa6898]</t>
  </si>
  <si>
    <t>[47.37700, 8.54328]</t>
  </si>
  <si>
    <t>bordstein steil absteigend</t>
  </si>
  <si>
    <t>62b6e245945c4c0019aa689a</t>
  </si>
  <si>
    <t>[62b6e27b945c4c0019aa689b]</t>
  </si>
  <si>
    <t>[47.37690, 8.54319]</t>
  </si>
  <si>
    <t>62b6e28f945c4c0019aa689d</t>
  </si>
  <si>
    <t>[62b6e29f945c4c0019aa689e]</t>
  </si>
  <si>
    <t>[47.37683, 8.54320]</t>
  </si>
  <si>
    <t>62b6e30b945c4c0019aa68a0</t>
  </si>
  <si>
    <t>[62b6e310945c4c0019aa68a1]</t>
  </si>
  <si>
    <t>[47.37693, 8.54210]</t>
  </si>
  <si>
    <t>62b6e355945c4c0019aa68a3</t>
  </si>
  <si>
    <t>[62b6e362945c4c0019aa68a4]</t>
  </si>
  <si>
    <t>[47.37709, 8.54207]</t>
  </si>
  <si>
    <t>62b6e3c4945c4c0019aa68a6</t>
  </si>
  <si>
    <t>[62b6e3cc945c4c0019aa68a7]</t>
  </si>
  <si>
    <t>[47.37756, 8.54205]</t>
  </si>
  <si>
    <t>busstop</t>
  </si>
  <si>
    <t>62b6e3ef945c4c0019aa68a9</t>
  </si>
  <si>
    <t>[62b6e3f7945c4c0019aa68aa]</t>
  </si>
  <si>
    <t>[47.37731, 8.54204]</t>
  </si>
  <si>
    <t>62b6e44b945c4c0019aa68ac</t>
  </si>
  <si>
    <t>[62b6e454945c4c0019aa68ad]</t>
  </si>
  <si>
    <t>[47.37799, 8.54197]</t>
  </si>
  <si>
    <t>62b6e48b945c4c0019aa68af</t>
  </si>
  <si>
    <t>[62b6e493945c4c0019aa68b0, 62b6e496945c4c0019aa68b2, 62b6e498945c4c0019aa68b4]</t>
  </si>
  <si>
    <t>[47.37821, 8.54193]</t>
  </si>
  <si>
    <t>gefälle richtung treppe</t>
  </si>
  <si>
    <t>62b6e4ba945c4c0019aa68b6</t>
  </si>
  <si>
    <t>[47.37826, 8.54185]</t>
  </si>
  <si>
    <t>62b6e503945c4c0019aa68b7</t>
  </si>
  <si>
    <t>[62b6e50e945c4c0019aa68b8]</t>
  </si>
  <si>
    <t>[47.37836, 8.54186]</t>
  </si>
  <si>
    <t>62b6e5a0945c4c0019aa68ba</t>
  </si>
  <si>
    <t>[62b6e5f2945c4c0019aa68bb]</t>
  </si>
  <si>
    <t>[47.37787, 8.54173]</t>
  </si>
  <si>
    <t>62b6e5ff945c4c0019aa68bd</t>
  </si>
  <si>
    <t>[62b6e60d945c4c0019aa68be]</t>
  </si>
  <si>
    <t>[47.37805, 8.54163]</t>
  </si>
  <si>
    <t>62b6e66c945c4c0019aa68c0</t>
  </si>
  <si>
    <t>[62b6e678945c4c0019aa68c1]</t>
  </si>
  <si>
    <t>[47.37715, 8.54163]</t>
  </si>
  <si>
    <t>62b6e6ad945c4c0019aa68c3</t>
  </si>
  <si>
    <t>[62b6e6d8945c4c0019aa68c4]</t>
  </si>
  <si>
    <t>[47.37718, 8.54136]</t>
  </si>
  <si>
    <t>62b6e6e8945c4c0019aa68c6</t>
  </si>
  <si>
    <t>[62b6e6f3945c4c0019aa68c7]</t>
  </si>
  <si>
    <t>[47.37716, 8.54137]</t>
  </si>
  <si>
    <t>rolltreppe abwärts zum bahnhof</t>
  </si>
  <si>
    <t>62b6e771945c4c0019aa68c9</t>
  </si>
  <si>
    <t>[62b6e778945c4c0019aa68ca]</t>
  </si>
  <si>
    <t>[47.37765, 8.54172]</t>
  </si>
  <si>
    <t>62b6e797945c4c0019aa68cc</t>
  </si>
  <si>
    <t>[62b6e7b4945c4c0019aa68cd]</t>
  </si>
  <si>
    <t>[47.37809, 8.54152]</t>
  </si>
  <si>
    <t>62b6e7cb945c4c0019aa68cf</t>
  </si>
  <si>
    <t>[62b6e7e4945c4c0019aa68d0]</t>
  </si>
  <si>
    <t>[47.37813, 8.54164]</t>
  </si>
  <si>
    <t>62bac0d64e78270019b4e406</t>
  </si>
  <si>
    <t>[62bac0e44e78270019b4e407]</t>
  </si>
  <si>
    <t>[47.37002, 8.53915]</t>
  </si>
  <si>
    <t>Tramschienen</t>
  </si>
  <si>
    <t>I</t>
  </si>
  <si>
    <t>62bac1104e78270019b4e409</t>
  </si>
  <si>
    <t>[62bac1184e78270019b4e40a]</t>
  </si>
  <si>
    <t>[47.37007, 8.53925]</t>
  </si>
  <si>
    <t>62bac1424e78270019b4e40c</t>
  </si>
  <si>
    <t>[62bac14e4e78270019b4e40d]</t>
  </si>
  <si>
    <t>[47.36988, 8.53913]</t>
  </si>
  <si>
    <t>62bac1ad4e78270019b4e40f</t>
  </si>
  <si>
    <t>[62bac1b54e78270019b4e410]</t>
  </si>
  <si>
    <t>[47.36966, 8.53938]</t>
  </si>
  <si>
    <t>62bac1c44e78270019b4e412</t>
  </si>
  <si>
    <t>[47.36957, 8.53927]</t>
  </si>
  <si>
    <t>62bac1fd4e78270019b4e413</t>
  </si>
  <si>
    <t>[62bac20d4e78270019b4e414]</t>
  </si>
  <si>
    <t>[47.36959, 8.53859]</t>
  </si>
  <si>
    <t xml:space="preserve">
Tramschienen</t>
  </si>
  <si>
    <t>62bac2264e78270019b4e416</t>
  </si>
  <si>
    <t>[62bac2314e78270019b4e417]</t>
  </si>
  <si>
    <t>[47.36950, 8.53866]</t>
  </si>
  <si>
    <t>62bac2534e78270019b4e419</t>
  </si>
  <si>
    <t>[62bac2604e78270019b4e41a]</t>
  </si>
  <si>
    <t>[47.36954, 8.53842]</t>
  </si>
  <si>
    <t>62bac34d4e78270019b4e41c</t>
  </si>
  <si>
    <t>[62bac3584e78270019b4e41d]</t>
  </si>
  <si>
    <t>[47.36927, 8.53827]</t>
  </si>
  <si>
    <t>62bac3844e78270019b4e41f</t>
  </si>
  <si>
    <t>[62bac3984e78270019b4e420]</t>
  </si>
  <si>
    <t>[47.36904, 8.53810]</t>
  </si>
  <si>
    <t>Tramschienn</t>
  </si>
  <si>
    <t>62bac3cf4e78270019b4e422</t>
  </si>
  <si>
    <t>[62bac3d64e78270019b4e423]</t>
  </si>
  <si>
    <t>[47.36894, 8.53795]</t>
  </si>
  <si>
    <t>62bac4744e78270019b4e425</t>
  </si>
  <si>
    <t>[62bac4824e78270019b4e426]</t>
  </si>
  <si>
    <t>[47.36858, 8.53762]</t>
  </si>
  <si>
    <t>62bac5684e78270019b4e428</t>
  </si>
  <si>
    <t>[62bac5984e78270019b4e429]</t>
  </si>
  <si>
    <t>[47.36808, 8.53873]</t>
  </si>
  <si>
    <t>2023-06-28</t>
  </si>
  <si>
    <t>62bac66b4e78270019b4e42b</t>
  </si>
  <si>
    <t>[62bac67a4e78270019b4e42c]</t>
  </si>
  <si>
    <t>[47.36884, 8.53827]</t>
  </si>
  <si>
    <t>62bac81a4e78270019b4e42e</t>
  </si>
  <si>
    <t>[62bac8224e78270019b4e42f]</t>
  </si>
  <si>
    <t>[47.36774, 8.53932]</t>
  </si>
  <si>
    <t>62bac8b44e78270019b4e431</t>
  </si>
  <si>
    <t>[62bac8c44e78270019b4e432]</t>
  </si>
  <si>
    <t>[47.36785, 8.53985]</t>
  </si>
  <si>
    <t>62bac8e84e78270019b4e434</t>
  </si>
  <si>
    <t>[62bac8f04e78270019b4e435]</t>
  </si>
  <si>
    <t>[47.36797, 8.53992]</t>
  </si>
  <si>
    <t>62bac9454e78270019b4e437</t>
  </si>
  <si>
    <t>[62bac94d4e78270019b4e438]</t>
  </si>
  <si>
    <t>[47.36862, 8.53957]</t>
  </si>
  <si>
    <t>62bac9c74e78270019b4e43a</t>
  </si>
  <si>
    <t>[62bac9cf4e78270019b4e43b]</t>
  </si>
  <si>
    <t>[47.36918, 8.53901]</t>
  </si>
  <si>
    <t>62baca0a4e78270019b4e43d</t>
  </si>
  <si>
    <t>[62baca104e78270019b4e43e]</t>
  </si>
  <si>
    <t>[47.36916, 8.53861]</t>
  </si>
  <si>
    <t>62bacaee4e78270019b4e440</t>
  </si>
  <si>
    <t>[62bacaf54e78270019b4e441]</t>
  </si>
  <si>
    <t>[47.37000, 8.53959]</t>
  </si>
  <si>
    <t>Richtung Münsterhof</t>
  </si>
  <si>
    <t>62bacb764e78270019b4e443</t>
  </si>
  <si>
    <t>[62bacb7d4e78270019b4e444]</t>
  </si>
  <si>
    <t>[47.37009, 8.54101]</t>
  </si>
  <si>
    <t>Pflastersteinplatz</t>
  </si>
  <si>
    <t>62bacc024e78270019b4e446</t>
  </si>
  <si>
    <t>[62bacc0e4e78270019b4e447]</t>
  </si>
  <si>
    <t>[47.37059, 8.54115]</t>
  </si>
  <si>
    <t>Steigung Richtung In Gassen</t>
  </si>
  <si>
    <t>62bacc564e78270019b4e449</t>
  </si>
  <si>
    <t>[62bacc5f4e78270019b4e44a]</t>
  </si>
  <si>
    <t>[47.37057, 8.54155]</t>
  </si>
  <si>
    <t>Pflasterstein mit grossen Lücken</t>
  </si>
  <si>
    <t>62bacdbf4e78270019b4e44c</t>
  </si>
  <si>
    <t>[62bacdd54e78270019b4e44d]</t>
  </si>
  <si>
    <t>[47.36991, 8.54188]</t>
  </si>
  <si>
    <t>keine Rampe aber Alternativweg vorhanden</t>
  </si>
  <si>
    <t>62bace394e78270019b4e44f</t>
  </si>
  <si>
    <t>[47.36990, 8.54172]</t>
  </si>
  <si>
    <t>Keine Rampe aber Alternativweg vorhanden</t>
  </si>
  <si>
    <t>62baceca4e78270019b4e450</t>
  </si>
  <si>
    <t>[62baced14e78270019b4e451]</t>
  </si>
  <si>
    <t>[47.36990, 8.54196]</t>
  </si>
  <si>
    <t>Steigung Richtung Brücke</t>
  </si>
  <si>
    <t>62bacf3b4e78270019b4e453</t>
  </si>
  <si>
    <t>[62bacf434e78270019b4e454]</t>
  </si>
  <si>
    <t>[47.36979, 8.54193]</t>
  </si>
  <si>
    <t>Stigung Richtung Brücke</t>
  </si>
  <si>
    <t>62bacf6a4e78270019b4e456</t>
  </si>
  <si>
    <t>[62bacf724e78270019b4e457, 62bacf794e78270019b4e459, 62bacf7f4e78270019b4e45b]</t>
  </si>
  <si>
    <t>[47.36987, 8.54204]</t>
  </si>
  <si>
    <t>62bad00b4e78270019b4e45d</t>
  </si>
  <si>
    <t>[62bad0164e78270019b4e45e, 62bad01d4e78270019b4e460, 62bad0224e78270019b4e462, 62bad0484e78270019b4e464, 62bad0484e78270019b4e466]</t>
  </si>
  <si>
    <t>[47.36974, 8.54017]</t>
  </si>
  <si>
    <t>Baustelle mit Alternativweg mit Rampe</t>
  </si>
  <si>
    <t>62bad0994e78270019b4e468</t>
  </si>
  <si>
    <t>[62bad0a84e78270019b4e469]</t>
  </si>
  <si>
    <t>[47.36968, 8.53969]</t>
  </si>
  <si>
    <t>62bad0e94e78270019b4e46b</t>
  </si>
  <si>
    <t>[47.36959, 8.53947]</t>
  </si>
  <si>
    <t>62bad1a54e78270019b4e46c</t>
  </si>
  <si>
    <t>[47.36954, 8.54056]</t>
  </si>
  <si>
    <t>62bad2164e78270019b4e46d</t>
  </si>
  <si>
    <t>[62bad21d4e78270019b4e46e]</t>
  </si>
  <si>
    <t>[47.36894, 8.54037]</t>
  </si>
  <si>
    <t>62bad2994e78270019b4e470</t>
  </si>
  <si>
    <t>[62bad2a34e78270019b4e471]</t>
  </si>
  <si>
    <t>[47.36882, 8.54007]</t>
  </si>
  <si>
    <t>62bad3604e78270019b4e473</t>
  </si>
  <si>
    <t>[62bad36e4e78270019b4e474]</t>
  </si>
  <si>
    <t>[47.36853, 8.54050]</t>
  </si>
  <si>
    <t>62bad37b4e78270019b4e476</t>
  </si>
  <si>
    <t>[62bad3884e78270019b4e477]</t>
  </si>
  <si>
    <t>[47.36852, 8.54051]</t>
  </si>
  <si>
    <t>62bad4274e78270019b4e479</t>
  </si>
  <si>
    <t>[62bad4314e78270019b4e47a]</t>
  </si>
  <si>
    <t>[47.36827, 8.54046]</t>
  </si>
  <si>
    <t>62bad43d4e78270019b4e47c</t>
  </si>
  <si>
    <t>[62bad4484e78270019b4e47d]</t>
  </si>
  <si>
    <t>[47.36827, 8.54045]</t>
  </si>
  <si>
    <t>62bad4c54e78270019b4e47f</t>
  </si>
  <si>
    <t>[62bad4d14e78270019b4e480]</t>
  </si>
  <si>
    <t>[47.36835, 8.54026]</t>
  </si>
  <si>
    <t>62bad4df4e78270019b4e482</t>
  </si>
  <si>
    <t>[62bad4ea4e78270019b4e483]</t>
  </si>
  <si>
    <t>62bad6464e78270019b4e485</t>
  </si>
  <si>
    <t>[62bad64c4e78270019b4e486]</t>
  </si>
  <si>
    <t>[47.36926, 8.54082]</t>
  </si>
  <si>
    <t>62bad7d54e78270019b4e488</t>
  </si>
  <si>
    <t>[62bad7e04e78270019b4e489]</t>
  </si>
  <si>
    <t>[47.36741, 8.54154]</t>
  </si>
  <si>
    <t>62bad80a4e78270019b4e48b</t>
  </si>
  <si>
    <t>[47.36814, 8.54144]</t>
  </si>
  <si>
    <t>62bad8314e78270019b4e48c</t>
  </si>
  <si>
    <t>[62bad8544e78270019b4e48d]</t>
  </si>
  <si>
    <t>[47.36814, 8.54146]</t>
  </si>
  <si>
    <t>Weg grundsätzlich zu schmal und Alternativweg blockiert (weitere Barriere)</t>
  </si>
  <si>
    <t>62bad9c74e78270019b4e48f</t>
  </si>
  <si>
    <t>[62bad9cf4e78270019b4e490]</t>
  </si>
  <si>
    <t>[47.36778, 8.54171]</t>
  </si>
  <si>
    <t>Alternativweg kurz auf der Strasse fahren zur Kreuzung Börsenstrasse/Stadthausquai</t>
  </si>
  <si>
    <t>62badab04e78270019b4e492</t>
  </si>
  <si>
    <t>[62badacc4e78270019b4e493]</t>
  </si>
  <si>
    <t>[47.36778, 8.54001]</t>
  </si>
  <si>
    <t>62badae04e78270019b4e495</t>
  </si>
  <si>
    <t>[62badaec4e78270019b4e496]</t>
  </si>
  <si>
    <t>[47.36778, 8.53977]</t>
  </si>
  <si>
    <t>Baustelle mit Alternativweg auf anderer Strassenseite</t>
  </si>
  <si>
    <t>62badb864e78270019b4e498</t>
  </si>
  <si>
    <t>[62badb954e78270019b4e499]</t>
  </si>
  <si>
    <t>[47.36767, 8.53909]</t>
  </si>
  <si>
    <t>Alternativweg 2m weiter</t>
  </si>
  <si>
    <t>62badbc54e78270019b4e49b</t>
  </si>
  <si>
    <t>[62badbd74e78270019b4e49c]</t>
  </si>
  <si>
    <t>[47.36751, 8.53853]</t>
  </si>
  <si>
    <t>Baustelle mit Alternativweg andere Strassenseite</t>
  </si>
  <si>
    <t>62badc7c4e78270019b4e49e</t>
  </si>
  <si>
    <t>[62badc8f4e78270019b4e49f]</t>
  </si>
  <si>
    <t>[47.36707, 8.53967]</t>
  </si>
  <si>
    <t>62badd454e78270019b4e4a1</t>
  </si>
  <si>
    <t>[62badd594e78270019b4e4a2]</t>
  </si>
  <si>
    <t>[47.36608, 8.53987]</t>
  </si>
  <si>
    <t>Rampe</t>
  </si>
  <si>
    <t>62baddee4e78270019b4e4a4</t>
  </si>
  <si>
    <t>[62baddf54e78270019b4e4a5]</t>
  </si>
  <si>
    <t>[47.36584, 8.54007]</t>
  </si>
  <si>
    <t>Rampe nach unten</t>
  </si>
  <si>
    <t>62bade0e4e78270019b4e4a7</t>
  </si>
  <si>
    <t>[62bade1a4e78270019b4e4a8]</t>
  </si>
  <si>
    <t>[47.36584, 8.54016]</t>
  </si>
  <si>
    <t>62bee4f64e78270019b4e4aa</t>
  </si>
  <si>
    <t>[62bee4fd4e78270019b4e4ab]</t>
  </si>
  <si>
    <t>[47.37424, 8.54299]</t>
  </si>
  <si>
    <t>E</t>
  </si>
  <si>
    <t>62bee57b4e78270019b4e4ad</t>
  </si>
  <si>
    <t>[62bee5844e78270019b4e4ae]</t>
  </si>
  <si>
    <t>[47.37418, 8.54395]</t>
  </si>
  <si>
    <t>62bee5fd4e78270019b4e4b0</t>
  </si>
  <si>
    <t>[62bee6234e78270019b4e4b1]</t>
  </si>
  <si>
    <t>[47.37425, 8.54495]</t>
  </si>
  <si>
    <t>baustelle</t>
  </si>
  <si>
    <t>62beeaf24e78270019b4e4b6</t>
  </si>
  <si>
    <t>[62beeafb4e78270019b4e4b7]</t>
  </si>
  <si>
    <t>[47.37364, 8.54530]</t>
  </si>
  <si>
    <t>gefälle richtung zähringerplatz</t>
  </si>
  <si>
    <t>62beeb244e78270019b4e4b9</t>
  </si>
  <si>
    <t>[62beeb2e4e78270019b4e4ba]</t>
  </si>
  <si>
    <t>[47.37368, 8.54514]</t>
  </si>
  <si>
    <t>62beeb864e78270019b4e4bc</t>
  </si>
  <si>
    <t>[62beeb9a4e78270019b4e4bd]</t>
  </si>
  <si>
    <t>[47.37372, 8.54500]</t>
  </si>
  <si>
    <t>62beebcb4e78270019b4e4bf</t>
  </si>
  <si>
    <t>[62beebd54e78270019b4e4c0]</t>
  </si>
  <si>
    <t>[47.37371, 8.54492]</t>
  </si>
  <si>
    <t>62beec224e78270019b4e4c2</t>
  </si>
  <si>
    <t>[62beec2f4e78270019b4e4c3, 62beec404e78270019b4e4c5, 62beec4a4e78270019b4e4c7]</t>
  </si>
  <si>
    <t>[47.37396, 8.54511]</t>
  </si>
  <si>
    <t>steigung richtung chorgasse</t>
  </si>
  <si>
    <t>62beecc04e78270019b4e4c9</t>
  </si>
  <si>
    <t>[62beeccb4e78270019b4e4ca]</t>
  </si>
  <si>
    <t>[47.37414, 8.54463]</t>
  </si>
  <si>
    <t>62beecee4e78270019b4e4cc</t>
  </si>
  <si>
    <t>[62beecfe4e78270019b4e4cd]</t>
  </si>
  <si>
    <t>[47.37393, 8.54450]</t>
  </si>
  <si>
    <t>62beed384e78270019b4e4cf</t>
  </si>
  <si>
    <t>[62beed414e78270019b4e4d0]</t>
  </si>
  <si>
    <t>[47.37380, 8.54407]</t>
  </si>
  <si>
    <t>62beeda14e78270019b4e4d2</t>
  </si>
  <si>
    <t>[62beedaa4e78270019b4e4d3]</t>
  </si>
  <si>
    <t>[47.37389, 8.54464]</t>
  </si>
  <si>
    <t>62beee424e78270019b4e4d5</t>
  </si>
  <si>
    <t>[62beee534e78270019b4e4d6]</t>
  </si>
  <si>
    <t>[47.37355, 8.54491]</t>
  </si>
  <si>
    <t>62beef1a4e78270019b4e4d8</t>
  </si>
  <si>
    <t>[62beef214e78270019b4e4d9]</t>
  </si>
  <si>
    <t>[47.37346, 8.54518]</t>
  </si>
  <si>
    <t>62beef744e78270019b4e4db</t>
  </si>
  <si>
    <t>[62beef7f4e78270019b4e4dc]</t>
  </si>
  <si>
    <t>[47.37359, 8.54557]</t>
  </si>
  <si>
    <t>62beefd64e78270019b4e4de</t>
  </si>
  <si>
    <t>[62beefec4e78270019b4e4df]</t>
  </si>
  <si>
    <t>[47.37380, 8.54617]</t>
  </si>
  <si>
    <t>62bef0084e78270019b4e4e1</t>
  </si>
  <si>
    <t>[62bef0154e78270019b4e4e2]</t>
  </si>
  <si>
    <t>[47.37376, 8.54630]</t>
  </si>
  <si>
    <t>weg auf der linken seite</t>
  </si>
  <si>
    <t>62bef03e4e78270019b4e4e4</t>
  </si>
  <si>
    <t>[62bef0594e78270019b4e4e5]</t>
  </si>
  <si>
    <t>[47.37378, 8.54632]</t>
  </si>
  <si>
    <t>steigung richtung neumarkt</t>
  </si>
  <si>
    <t>62bef0c54e78270019b4e4e7</t>
  </si>
  <si>
    <t>[62bef0ce4e78270019b4e4e8]</t>
  </si>
  <si>
    <t>[47.37320, 8.54680]</t>
  </si>
  <si>
    <t>gefälle richtung neumarkt</t>
  </si>
  <si>
    <t>62bef1124e78270019b4e4ea</t>
  </si>
  <si>
    <t>[62bef12b4e78270019b4e4eb]</t>
  </si>
  <si>
    <t>[47.37312, 8.54671]</t>
  </si>
  <si>
    <t>rampe auf der rechten seite</t>
  </si>
  <si>
    <t>62bef1554e78270019b4e4ed</t>
  </si>
  <si>
    <t>[62bef15c4e78270019b4e4ee]</t>
  </si>
  <si>
    <t>[47.37311, 8.54674]</t>
  </si>
  <si>
    <t>steigung richtung zähringerplatz</t>
  </si>
  <si>
    <t>62bef19c4e78270019b4e4f0</t>
  </si>
  <si>
    <t>[62bef1ac4e78270019b4e4f1]</t>
  </si>
  <si>
    <t>[47.37301, 8.54670]</t>
  </si>
  <si>
    <t>62bef2304e78270019b4e4f3</t>
  </si>
  <si>
    <t>[62bef2364e78270019b4e4f4]</t>
  </si>
  <si>
    <t>[47.37386, 8.54633]</t>
  </si>
  <si>
    <t>62bef2cd4e78270019b4e4f6</t>
  </si>
  <si>
    <t>[62bef2d44e78270019b4e4f7]</t>
  </si>
  <si>
    <t>[47.37299, 8.54707]</t>
  </si>
  <si>
    <t>62bef3084e78270019b4e4f9</t>
  </si>
  <si>
    <t>[62bef3144e78270019b4e4fa]</t>
  </si>
  <si>
    <t>[47.37299, 8.54695]</t>
  </si>
  <si>
    <t>gefälle richtung rindermarkt</t>
  </si>
  <si>
    <t>62bef34f4e78270019b4e4fc</t>
  </si>
  <si>
    <t>[62bef3574e78270019b4e4fd]</t>
  </si>
  <si>
    <t>[47.37294, 8.54679]</t>
  </si>
  <si>
    <t>62bef3c44e78270019b4e4ff</t>
  </si>
  <si>
    <t>[62bef3cc4e78270019b4e500]</t>
  </si>
  <si>
    <t>[47.37293, 8.54664]</t>
  </si>
  <si>
    <t>62bef4274e78270019b4e502</t>
  </si>
  <si>
    <t>[62bef42f4e78270019b4e503]</t>
  </si>
  <si>
    <t>[47.37275, 8.54609]</t>
  </si>
  <si>
    <t>62bef4ba4e78270019b4e505</t>
  </si>
  <si>
    <t>[62bef4c64e78270019b4e506]</t>
  </si>
  <si>
    <t>[47.37282, 8.54540]</t>
  </si>
  <si>
    <t>62bef4df4e78270019b4e508</t>
  </si>
  <si>
    <t>[62bef4ec4e78270019b4e509]</t>
  </si>
  <si>
    <t>[47.37283, 8.54538]</t>
  </si>
  <si>
    <t>62bef4fc4e78270019b4e50b</t>
  </si>
  <si>
    <t>[62bef5144e78270019b4e50c]</t>
  </si>
  <si>
    <t>[47.37278, 8.54524]</t>
  </si>
  <si>
    <t>steigung richtung froschaugasse</t>
  </si>
  <si>
    <t>62befe904e78270019b4e50e</t>
  </si>
  <si>
    <t>[62befe984e78270019b4e50f]</t>
  </si>
  <si>
    <t>[47.37245, 8.54495]</t>
  </si>
  <si>
    <t>steigung richtung marktgasse</t>
  </si>
  <si>
    <t>62befee94e78270019b4e511</t>
  </si>
  <si>
    <t>[62befef54e78270019b4e512, 62befefe4e78270019b4e514, 62beff074e78270019b4e516]</t>
  </si>
  <si>
    <t>[47.37232, 8.54437]</t>
  </si>
  <si>
    <t>62beff1b4e78270019b4e518</t>
  </si>
  <si>
    <t>[62beff324e78270019b4e519]</t>
  </si>
  <si>
    <t>[47.37217, 8.54441]</t>
  </si>
  <si>
    <t>62beffcf4e78270019b4e51b</t>
  </si>
  <si>
    <t>[62beffdc4e78270019b4e51c]</t>
  </si>
  <si>
    <t>[47.37204, 8.54394]</t>
  </si>
  <si>
    <t>steigung richtung spiegelgasse</t>
  </si>
  <si>
    <t>62bf00754e78270019b4e51e</t>
  </si>
  <si>
    <t>[62bf007f4e78270019b4e51f]</t>
  </si>
  <si>
    <t>[47.37211, 8.54501]</t>
  </si>
  <si>
    <t>kies</t>
  </si>
  <si>
    <t>62bf00ae4e78270019b4e521</t>
  </si>
  <si>
    <t>[47.37215, 8.54517]</t>
  </si>
  <si>
    <t>62bf00f64e78270019b4e522</t>
  </si>
  <si>
    <t>[62bf01144e78270019b4e523]</t>
  </si>
  <si>
    <t>[47.37223, 8.54552]</t>
  </si>
  <si>
    <t>62bf017d4e78270019b4e525</t>
  </si>
  <si>
    <t>[62bf01874e78270019b4e526]</t>
  </si>
  <si>
    <t>[47.37200, 8.54499]</t>
  </si>
  <si>
    <t>62bf01b54e78270019b4e528</t>
  </si>
  <si>
    <t>[62bf01c14e78270019b4e529]</t>
  </si>
  <si>
    <t>[47.37193, 8.54480]</t>
  </si>
  <si>
    <t>62bf01ed4e78270019b4e52b</t>
  </si>
  <si>
    <t>[62bf01f44e78270019b4e52c]</t>
  </si>
  <si>
    <t>[47.37203, 8.54497]</t>
  </si>
  <si>
    <t>62bf02814e78270019b4e52e</t>
  </si>
  <si>
    <t>[62bf028f4e78270019b4e52f]</t>
  </si>
  <si>
    <t>[47.37202, 8.54440]</t>
  </si>
  <si>
    <t>62bf02ca4e78270019b4e531</t>
  </si>
  <si>
    <t>[62bf02e34e78270019b4e532]</t>
  </si>
  <si>
    <t>[47.37188, 8.54409]</t>
  </si>
  <si>
    <t>62bf03004e78270019b4e534</t>
  </si>
  <si>
    <t>[62bf03114e78270019b4e535]</t>
  </si>
  <si>
    <t>[47.37186, 8.54396]</t>
  </si>
  <si>
    <t>steigung richtung leuengasse</t>
  </si>
  <si>
    <t>62bf04054e78270019b4e537</t>
  </si>
  <si>
    <t>[62bf040c4e78270019b4e538]</t>
  </si>
  <si>
    <t>[47.37131, 8.54354]</t>
  </si>
  <si>
    <t>62bf04494e78270019b4e53a</t>
  </si>
  <si>
    <t>[62bf047c4e78270019b4e53b]</t>
  </si>
  <si>
    <t>[47.37149, 8.54392]</t>
  </si>
  <si>
    <t>62bf04b64e78270019b4e53d</t>
  </si>
  <si>
    <t>[62bf04c84e78270019b4e53e]</t>
  </si>
  <si>
    <t>[47.37173, 8.54381]</t>
  </si>
  <si>
    <t>62bf04de4e78270019b4e540</t>
  </si>
  <si>
    <t>[62bf04f74e78270019b4e541]</t>
  </si>
  <si>
    <t>[47.37180, 8.54351]</t>
  </si>
  <si>
    <t>62bf05464e78270019b4e543</t>
  </si>
  <si>
    <t>[62bf05514e78270019b4e544]</t>
  </si>
  <si>
    <t>[47.37166, 8.54383]</t>
  </si>
  <si>
    <t>steigung richtung münstergasse</t>
  </si>
  <si>
    <t>62bf05a94e78270019b4e546</t>
  </si>
  <si>
    <t>[62bf05b04e78270019b4e547]</t>
  </si>
  <si>
    <t>[47.37167, 8.54360]</t>
  </si>
  <si>
    <t>62bf06074e78270019b4e549</t>
  </si>
  <si>
    <t>[62bf060f4e78270019b4e54a]</t>
  </si>
  <si>
    <t>[47.37156, 8.54389]</t>
  </si>
  <si>
    <t>62bf062c4e78270019b4e54c</t>
  </si>
  <si>
    <t>[62bf063d4e78270019b4e54d]</t>
  </si>
  <si>
    <t>[47.37156, 8.54406]</t>
  </si>
  <si>
    <t>62bf068c4e78270019b4e54f</t>
  </si>
  <si>
    <t>[62bf06944e78270019b4e550]</t>
  </si>
  <si>
    <t>[47.37133, 8.54362]</t>
  </si>
  <si>
    <t>62bf06bf4e78270019b4e552</t>
  </si>
  <si>
    <t>[62bf06cc4e78270019b4e553]</t>
  </si>
  <si>
    <t>[47.37128, 8.54352]</t>
  </si>
  <si>
    <t>rampe auf der linken seite</t>
  </si>
  <si>
    <t>62bf08d94e78270019b4e555</t>
  </si>
  <si>
    <t>[62bf08df4e78270019b4e556]</t>
  </si>
  <si>
    <t>[47.37154, 8.54308]</t>
  </si>
  <si>
    <t>62bf08fb4e78270019b4e558</t>
  </si>
  <si>
    <t>[62bf09034e78270019b4e559]</t>
  </si>
  <si>
    <t>[47.37158, 8.54322]</t>
  </si>
  <si>
    <t>62bf09154e78270019b4e55b</t>
  </si>
  <si>
    <t>[62bf091c4e78270019b4e55c]</t>
  </si>
  <si>
    <t>[47.37163, 8.54325]</t>
  </si>
  <si>
    <t>62bf093d4e78270019b4e55e</t>
  </si>
  <si>
    <t>[62bf094f4e78270019b4e55f]</t>
  </si>
  <si>
    <t>[47.37163, 8.54330]</t>
  </si>
  <si>
    <t>62bf09e54e78270019b4e561</t>
  </si>
  <si>
    <t>[62bf09ec4e78270019b4e562]</t>
  </si>
  <si>
    <t>[47.37205, 8.54365]</t>
  </si>
  <si>
    <t>62bf0a754e78270019b4e564</t>
  </si>
  <si>
    <t>[62bf0a7c4e78270019b4e565]</t>
  </si>
  <si>
    <t>[47.37230, 8.54308]</t>
  </si>
  <si>
    <t>62bf0aad4e78270019b4e567</t>
  </si>
  <si>
    <t>[62bf0ab44e78270019b4e568]</t>
  </si>
  <si>
    <t>[47.37250, 8.54333]</t>
  </si>
  <si>
    <t>steigung richtung niederdorfstrasse</t>
  </si>
  <si>
    <t>62bf0adb4e78270019b4e56a</t>
  </si>
  <si>
    <t>[62bf0ae64e78270019b4e56b]</t>
  </si>
  <si>
    <t>[47.37248, 8.54339]</t>
  </si>
  <si>
    <t>62bf0b364e78270019b4e56d</t>
  </si>
  <si>
    <t>[62bf0b3f4e78270019b4e56e]</t>
  </si>
  <si>
    <t>[47.37242, 8.54360]</t>
  </si>
  <si>
    <t>62bf0b514e78270019b4e570</t>
  </si>
  <si>
    <t>[62bf0b594e78270019b4e571]</t>
  </si>
  <si>
    <t>[47.37238, 8.54366]</t>
  </si>
  <si>
    <t>62bf0bbb4e78270019b4e573</t>
  </si>
  <si>
    <t>[62bf0bc74e78270019b4e574]</t>
  </si>
  <si>
    <t>[47.37254, 8.54375]</t>
  </si>
  <si>
    <t>umweg auf der linken seite</t>
  </si>
  <si>
    <t>62bf0c604e78270019b4e576</t>
  </si>
  <si>
    <t>[62bf0c664e78270019b4e577]</t>
  </si>
  <si>
    <t>[47.37262, 8.54380]</t>
  </si>
  <si>
    <t>62bf0c7d4e78270019b4e579</t>
  </si>
  <si>
    <t>[62bf0c874e78270019b4e57a]</t>
  </si>
  <si>
    <t>[47.37264, 8.54384]</t>
  </si>
  <si>
    <t>62bf0cbf4e78270019b4e57c</t>
  </si>
  <si>
    <t>[62bf0cc54e78270019b4e57d]</t>
  </si>
  <si>
    <t>[47.37269, 8.54377]</t>
  </si>
  <si>
    <t>gegälle richtung mühlegasse</t>
  </si>
  <si>
    <t>62bf0ce74e78270019b4e57f</t>
  </si>
  <si>
    <t>[62bf0ced4e78270019b4e580]</t>
  </si>
  <si>
    <t>[47.37282, 8.54362]</t>
  </si>
  <si>
    <t>62bf0d0a4e78270019b4e582</t>
  </si>
  <si>
    <t>[62bf0d124e78270019b4e583]</t>
  </si>
  <si>
    <t>[47.37281, 8.54350]</t>
  </si>
  <si>
    <t>62bf0d324e78270019b4e585</t>
  </si>
  <si>
    <t>[62bf0d454e78270019b4e586]</t>
  </si>
  <si>
    <t>[47.37285, 8.54337]</t>
  </si>
  <si>
    <t>62bf0d664e78270019b4e588</t>
  </si>
  <si>
    <t>[62bf0d924e78270019b4e589, 62bf0dad4e78270019b4e58b, 62bf0db44e78270019b4e58d]</t>
  </si>
  <si>
    <t>[47.37305, 8.54333]</t>
  </si>
  <si>
    <t>gefälle richtung rosengasse</t>
  </si>
  <si>
    <t>62bf0dca4e78270019b4e58f</t>
  </si>
  <si>
    <t>[62bf0de54e78270019b4e590]</t>
  </si>
  <si>
    <t>[47.37291, 8.54351]</t>
  </si>
  <si>
    <t>62bf0df14e78270019b4e592</t>
  </si>
  <si>
    <t>[62bf0dfc4e78270019b4e593]</t>
  </si>
  <si>
    <t>[47.37291, 8.54361]</t>
  </si>
  <si>
    <t>62bf0e434e78270019b4e595</t>
  </si>
  <si>
    <t>[62bf0e4a4e78270019b4e596]</t>
  </si>
  <si>
    <t>[47.37310, 8.54377]</t>
  </si>
  <si>
    <t>62bf0e584e78270019b4e598</t>
  </si>
  <si>
    <t>[62bf0ea34e78270019b4e599]</t>
  </si>
  <si>
    <t>[47.37318, 8.54350]</t>
  </si>
  <si>
    <t>62bf0edf4e78270019b4e59b</t>
  </si>
  <si>
    <t>[62bf0ee94e78270019b4e59c]</t>
  </si>
  <si>
    <t>[47.37339, 8.54342]</t>
  </si>
  <si>
    <t>62bf0f1e4e78270019b4e59e</t>
  </si>
  <si>
    <t>[62bf0f2c4e78270019b4e59f]</t>
  </si>
  <si>
    <t>[47.37352, 8.54372]</t>
  </si>
  <si>
    <t>62bf0f394e78270019b4e5a1</t>
  </si>
  <si>
    <t>[62bf0f504e78270019b4e5a2]</t>
  </si>
  <si>
    <t>[47.37353, 8.54334]</t>
  </si>
  <si>
    <t>62bf0fa04e78270019b4e5a4</t>
  </si>
  <si>
    <t>[62bf0fa74e78270019b4e5a5]</t>
  </si>
  <si>
    <t>[47.37370, 8.54349]</t>
  </si>
  <si>
    <t>62bf0fcb4e78270019b4e5a7</t>
  </si>
  <si>
    <t>[62bf0fd34e78270019b4e5a8]</t>
  </si>
  <si>
    <t>[47.37381, 8.54348]</t>
  </si>
  <si>
    <t>62bf10184e78270019b4e5aa</t>
  </si>
  <si>
    <t>[62bf10224e78270019b4e5ab]</t>
  </si>
  <si>
    <t>[47.37404, 8.54374]</t>
  </si>
  <si>
    <t>62bf10a74e78270019b4e5ad</t>
  </si>
  <si>
    <t>[62bf10b04e78270019b4e5ae]</t>
  </si>
  <si>
    <t>[47.37381, 8.54293]</t>
  </si>
  <si>
    <t>62bf117b4e78270019b4e5b0</t>
  </si>
  <si>
    <t>[62bf11834e78270019b4e5b1]</t>
  </si>
  <si>
    <t>[47.37222, 8.54280]</t>
  </si>
  <si>
    <t>62bf11b74e78270019b4e5b3</t>
  </si>
  <si>
    <t>[47.37218, 8.54285]</t>
  </si>
  <si>
    <t>62bf11ec4e78270019b4e5b4</t>
  </si>
  <si>
    <t>[62bf11f54e78270019b4e5b5]</t>
  </si>
  <si>
    <t>[47.37182, 8.54282]</t>
  </si>
  <si>
    <t>62bf120d4e78270019b4e5b7</t>
  </si>
  <si>
    <t>[62bf12144e78270019b4e5b8]</t>
  </si>
  <si>
    <t>[47.37178, 8.54289]</t>
  </si>
  <si>
    <t>62bf12444e78270019b4e5ba</t>
  </si>
  <si>
    <t>[62bf124f4e78270019b4e5bb]</t>
  </si>
  <si>
    <t>[47.37150, 8.54293]</t>
  </si>
  <si>
    <t>62bf12a74e78270019b4e5bd</t>
  </si>
  <si>
    <t>[62bf12ae4e78270019b4e5be]</t>
  </si>
  <si>
    <t>[47.37119, 8.54286]</t>
  </si>
  <si>
    <t>62bf12ed4e78270019b4e5c0</t>
  </si>
  <si>
    <t>[62bf12f34e78270019b4e5c1]</t>
  </si>
  <si>
    <t>[47.37169, 8.54264]</t>
  </si>
  <si>
    <t>62bf137c4e78270019b4e5c3</t>
  </si>
  <si>
    <t>[62bf13884e78270019b4e5c4]</t>
  </si>
  <si>
    <t>[47.37151, 8.54176]</t>
  </si>
  <si>
    <t>gefälle richtung storchengasse</t>
  </si>
  <si>
    <t>62bf14284e78270019b4e5c6</t>
  </si>
  <si>
    <t>[62bf142f4e78270019b4e5c7]</t>
  </si>
  <si>
    <t>[47.37178, 8.54276]</t>
  </si>
  <si>
    <t>62bf14834e78270019b4e5c9</t>
  </si>
  <si>
    <t>[47.37249, 8.54269]</t>
  </si>
  <si>
    <t>rampe ganz links am ende der treppe</t>
  </si>
  <si>
    <t>62bf14cc4e78270019b4e5ca</t>
  </si>
  <si>
    <t>[62bf14fa4e78270019b4e5cb, 62bf14fd4e78270019b4e5cd, 62bf15054e78270019b4e5cf]</t>
  </si>
  <si>
    <t>[47.37224, 8.54253]</t>
  </si>
  <si>
    <t>62bf15624e78270019b4e5d1</t>
  </si>
  <si>
    <t>[62bf15734e78270019b4e5d2]</t>
  </si>
  <si>
    <t>[47.37295, 8.54266]</t>
  </si>
  <si>
    <t>62bf15804e78270019b4e5d4</t>
  </si>
  <si>
    <t>[62bf158e4e78270019b4e5d5]</t>
  </si>
  <si>
    <t>[47.37311, 8.54268]</t>
  </si>
  <si>
    <t>62c3e8a59ddaa30019360b5f</t>
  </si>
  <si>
    <t>[62c3e8b09ddaa30019360b60, 62c3e8cc9ddaa30019360b62, 62c3e8d19ddaa30019360b64]</t>
  </si>
  <si>
    <t>[47.37668, 8.54486]</t>
  </si>
  <si>
    <t>62c3e8e59ddaa30019360b66</t>
  </si>
  <si>
    <t>[62c3e8fd9ddaa30019360b67]</t>
  </si>
  <si>
    <t>[47.37672, 8.54493]</t>
  </si>
  <si>
    <t>62c3e90a9ddaa30019360b69</t>
  </si>
  <si>
    <t>[62c3e9189ddaa30019360b6a, 62c3e91c9ddaa30019360b6c, 62c3e91f9ddaa30019360b6e]</t>
  </si>
  <si>
    <t>eine art velobarriere aber bei der treppe</t>
  </si>
  <si>
    <t>62c3e94e9ddaa30019360b70</t>
  </si>
  <si>
    <t>[62c3e9589ddaa30019360b71]</t>
  </si>
  <si>
    <t>[47.37674, 8.54508]</t>
  </si>
  <si>
    <t>62c3ea0c9ddaa30019360b73</t>
  </si>
  <si>
    <t>[62c3ea149ddaa30019360b74]</t>
  </si>
  <si>
    <t>[47.37711, 8.54484]</t>
  </si>
  <si>
    <t>62c3ea989ddaa30019360b76</t>
  </si>
  <si>
    <t>[62c3eaa19ddaa30019360b77]</t>
  </si>
  <si>
    <t>[47.37745, 8.54480]</t>
  </si>
  <si>
    <t>2023-12-05</t>
  </si>
  <si>
    <t>62c3eb2c9ddaa30019360b79</t>
  </si>
  <si>
    <t>[62c3eb349ddaa30019360b7a]</t>
  </si>
  <si>
    <t>[47.37771, 8.54492]</t>
  </si>
  <si>
    <t>steigung richtung sackgasse leohnardshalde</t>
  </si>
  <si>
    <t>62c3eb8b9ddaa30019360b7c</t>
  </si>
  <si>
    <t>[62c3eb9c9ddaa30019360b7d]</t>
  </si>
  <si>
    <t>[47.37744, 8.54515]</t>
  </si>
  <si>
    <t>62c3ebb79ddaa30019360b7f</t>
  </si>
  <si>
    <t>[62c3ebcf9ddaa30019360b80]</t>
  </si>
  <si>
    <t>[47.37742, 8.54493]</t>
  </si>
  <si>
    <t>62c3ecc49ddaa30019360b82</t>
  </si>
  <si>
    <t>[62c3eccc9ddaa30019360b83]</t>
  </si>
  <si>
    <t>[47.37796, 8.54474]</t>
  </si>
  <si>
    <t>62c3ed2d9ddaa30019360b85</t>
  </si>
  <si>
    <t>[62c3ed359ddaa30019360b86]</t>
  </si>
  <si>
    <t>[47.37820, 8.54482]</t>
  </si>
  <si>
    <t>62c3edbe9ddaa30019360b89</t>
  </si>
  <si>
    <t>[62c3edc39ddaa30019360b8a]</t>
  </si>
  <si>
    <t>[47.37808, 8.54480]</t>
  </si>
  <si>
    <t>gefälle richtung hirschengraben</t>
  </si>
  <si>
    <t>62c3f2e29ddaa30019360b8c</t>
  </si>
  <si>
    <t>[62c3f2f59ddaa30019360b8d]</t>
  </si>
  <si>
    <t>[47.37077, 8.54852]</t>
  </si>
  <si>
    <t>G</t>
  </si>
  <si>
    <t>62c3f32a9ddaa30019360b8f</t>
  </si>
  <si>
    <t>[62c3f3399ddaa30019360b90]</t>
  </si>
  <si>
    <t>[47.37075, 8.54860]</t>
  </si>
  <si>
    <t>busstation</t>
  </si>
  <si>
    <t>62c3f3519ddaa30019360b92</t>
  </si>
  <si>
    <t>[62c3f3699ddaa30019360b93]</t>
  </si>
  <si>
    <t>[47.37077, 8.54856]</t>
  </si>
  <si>
    <t>62c3f3aa9ddaa30019360b95</t>
  </si>
  <si>
    <t>[62c3f3b09ddaa30019360b96]</t>
  </si>
  <si>
    <t>[47.37072, 8.54868]</t>
  </si>
  <si>
    <t>tramstation</t>
  </si>
  <si>
    <t>62c3f3cf9ddaa30019360b98</t>
  </si>
  <si>
    <t>[62c3f3d99ddaa30019360b99]</t>
  </si>
  <si>
    <t>[47.37057, 8.54898]</t>
  </si>
  <si>
    <t>62c3f3fe9ddaa30019360b9b</t>
  </si>
  <si>
    <t>[62c3f4059ddaa30019360b9c]</t>
  </si>
  <si>
    <t>[47.37059, 8.54887]</t>
  </si>
  <si>
    <t>62c3f4239ddaa30019360b9e</t>
  </si>
  <si>
    <t>[62c3f43d9ddaa30019360b9f]</t>
  </si>
  <si>
    <t>[47.37074, 8.54851]</t>
  </si>
  <si>
    <t>62c3f5319ddaa30019360ba1</t>
  </si>
  <si>
    <t>[62c3f53b9ddaa30019360ba2]</t>
  </si>
  <si>
    <t>[47.37040, 8.54913]</t>
  </si>
  <si>
    <t>62c3f56c9ddaa30019360ba4</t>
  </si>
  <si>
    <t>[62c3f5729ddaa30019360ba5]</t>
  </si>
  <si>
    <t>[47.37016, 8.54892]</t>
  </si>
  <si>
    <t>62c3f5c69ddaa30019360ba7</t>
  </si>
  <si>
    <t>[62c3f5ce9ddaa30019360ba8]</t>
  </si>
  <si>
    <t>[47.37027, 8.54917]</t>
  </si>
  <si>
    <t>62c3f6109ddaa30019360baa</t>
  </si>
  <si>
    <t>[62c3f6169ddaa30019360bab]</t>
  </si>
  <si>
    <t>[47.36996, 8.54911]</t>
  </si>
  <si>
    <t>62c3f6a19ddaa30019360bad</t>
  </si>
  <si>
    <t>[47.36894, 8.55037]</t>
  </si>
  <si>
    <t>62c3f71d9ddaa30019360bae</t>
  </si>
  <si>
    <t>[62c3f7249ddaa30019360baf]</t>
  </si>
  <si>
    <t>[47.36864, 8.55059]</t>
  </si>
  <si>
    <t>62c3f7bf9ddaa30019360bb1</t>
  </si>
  <si>
    <t>[62c3f7c79ddaa30019360bb2]</t>
  </si>
  <si>
    <t>[47.36928, 8.54964]</t>
  </si>
  <si>
    <t>steigung richtung promenadengasse</t>
  </si>
  <si>
    <t>62c3f8349ddaa30019360bb4</t>
  </si>
  <si>
    <t>[62c3f83b9ddaa30019360bb5]</t>
  </si>
  <si>
    <t>[47.36905, 8.54913]</t>
  </si>
  <si>
    <t>62c3f8449ddaa30019360bb7</t>
  </si>
  <si>
    <t>[62c3f8569ddaa30019360bb8]</t>
  </si>
  <si>
    <t>[47.36906, 8.54911]</t>
  </si>
  <si>
    <t>62c3f8c29ddaa30019360bba</t>
  </si>
  <si>
    <t>[62c3f8c89ddaa30019360bbb]</t>
  </si>
  <si>
    <t>[47.36916, 8.54929]</t>
  </si>
  <si>
    <t>gefälle richtung zeltweg</t>
  </si>
  <si>
    <t>62c3f93e9ddaa30019360bbd</t>
  </si>
  <si>
    <t>[62c3f9479ddaa30019360bbe]</t>
  </si>
  <si>
    <t>[47.36967, 8.54931]</t>
  </si>
  <si>
    <t>62c3f98e9ddaa30019360bc0</t>
  </si>
  <si>
    <t>[62c3f9969ddaa30019360bc1]</t>
  </si>
  <si>
    <t>[47.37002, 8.54882]</t>
  </si>
  <si>
    <t>62c3f9d19ddaa30019360bc3</t>
  </si>
  <si>
    <t>[62c3f9db9ddaa30019360bc4]</t>
  </si>
  <si>
    <t>[47.36994, 8.54888]</t>
  </si>
  <si>
    <t>62c3fa009ddaa30019360bc6</t>
  </si>
  <si>
    <t>[62c3fa0b9ddaa30019360bc7]</t>
  </si>
  <si>
    <t>[47.36989, 8.54889]</t>
  </si>
  <si>
    <t>rampe am ende der treppe links</t>
  </si>
  <si>
    <t>62c3fa589ddaa30019360bc9</t>
  </si>
  <si>
    <t>[62c3fa609ddaa30019360bca]</t>
  </si>
  <si>
    <t>[47.36984, 8.54882]</t>
  </si>
  <si>
    <t>62c3fac19ddaa30019360bcc</t>
  </si>
  <si>
    <t>[62c3faea9ddaa30019360bcd]</t>
  </si>
  <si>
    <t>[47.36936, 8.54861]</t>
  </si>
  <si>
    <t>62c3fb3b9ddaa30019360bcf</t>
  </si>
  <si>
    <t>[62c3fb429ddaa30019360bd0]</t>
  </si>
  <si>
    <t>[47.36895, 8.54927]</t>
  </si>
  <si>
    <t>62c3fb9b9ddaa30019360bd2</t>
  </si>
  <si>
    <t>[62c3fbab9ddaa30019360bd3]</t>
  </si>
  <si>
    <t>[47.36826, 8.55036]</t>
  </si>
  <si>
    <t>62c3fbb89ddaa30019360bd5</t>
  </si>
  <si>
    <t>[62c3fbc69ddaa30019360bd6]</t>
  </si>
  <si>
    <t>[47.36822, 8.55034]</t>
  </si>
  <si>
    <t>62c3fbea9ddaa30019360bd8</t>
  </si>
  <si>
    <t>[62c3fbf29ddaa30019360bd9]</t>
  </si>
  <si>
    <t>[47.36825, 8.55021]</t>
  </si>
  <si>
    <t>62c3fc399ddaa30019360bdb</t>
  </si>
  <si>
    <t>[62c3fc419ddaa30019360bdc]</t>
  </si>
  <si>
    <t>[47.36857, 8.54975]</t>
  </si>
  <si>
    <t>62c3fcb49ddaa30019360bde</t>
  </si>
  <si>
    <t>[62c3fcba9ddaa30019360bdf]</t>
  </si>
  <si>
    <t>[47.36910, 8.54889]</t>
  </si>
  <si>
    <t>steigung richtung hohe promenade</t>
  </si>
  <si>
    <t>62c3fd1d9ddaa30019360be1</t>
  </si>
  <si>
    <t>[62c3fd269ddaa30019360be2]</t>
  </si>
  <si>
    <t>[47.36931, 8.54843]</t>
  </si>
  <si>
    <t>steigung richtung caroline-farner-weg</t>
  </si>
  <si>
    <t>62c3fd829ddaa30019360be4</t>
  </si>
  <si>
    <t>[62c3fd8b9ddaa30019360be5]</t>
  </si>
  <si>
    <t>[47.36871, 8.54798]</t>
  </si>
  <si>
    <t>baustelle?</t>
  </si>
  <si>
    <t>62c3fdf59ddaa30019360be7</t>
  </si>
  <si>
    <t>[62c3fdfd9ddaa30019360be8]</t>
  </si>
  <si>
    <t>[47.36883, 8.54798]</t>
  </si>
  <si>
    <t>gefälle richtung theaterstrasse</t>
  </si>
  <si>
    <t>62c3ff9a9ddaa30019360bea</t>
  </si>
  <si>
    <t>[47.36839, 8.54751]</t>
  </si>
  <si>
    <t>62c400139ddaa30019360beb</t>
  </si>
  <si>
    <t>[62c400199ddaa30019360bec]</t>
  </si>
  <si>
    <t>[47.36818, 8.54811]</t>
  </si>
  <si>
    <t>62c4002d9ddaa30019360bee</t>
  </si>
  <si>
    <t>[62c4003e9ddaa30019360bef]</t>
  </si>
  <si>
    <t>[47.36816, 8.54821]</t>
  </si>
  <si>
    <t>alternativer weg rechts</t>
  </si>
  <si>
    <t>62c400729ddaa30019360bf1</t>
  </si>
  <si>
    <t>[62c400799ddaa30019360bf2]</t>
  </si>
  <si>
    <t>[47.36827, 8.54815]</t>
  </si>
  <si>
    <t>62c400919ddaa30019360bf4</t>
  </si>
  <si>
    <t>[62c400999ddaa30019360bf5]</t>
  </si>
  <si>
    <t>[47.36832, 8.54808]</t>
  </si>
  <si>
    <t>62c400d59ddaa30019360bf7</t>
  </si>
  <si>
    <t>[62c400dd9ddaa30019360bf8]</t>
  </si>
  <si>
    <t>[47.36773, 8.54862]</t>
  </si>
  <si>
    <t>62c401a59ddaa30019360bfa</t>
  </si>
  <si>
    <t>[62c401ac9ddaa30019360bfb]</t>
  </si>
  <si>
    <t>[47.36747, 8.54926]</t>
  </si>
  <si>
    <t>gefälle richtung schanzengasse</t>
  </si>
  <si>
    <t>62c4033a9ddaa30019360bfd</t>
  </si>
  <si>
    <t>[62c403499ddaa30019360bfe, 62c403579ddaa30019360c00, 62c4035e9ddaa30019360c02]</t>
  </si>
  <si>
    <t>[47.36829, 8.54736]</t>
  </si>
  <si>
    <t>62c4038d9ddaa30019360c04</t>
  </si>
  <si>
    <t>[62c403939ddaa30019360c05]</t>
  </si>
  <si>
    <t>[47.36820, 8.54743]</t>
  </si>
  <si>
    <t>steigung richtung olgastrasse</t>
  </si>
  <si>
    <t>62c403cf9ddaa30019360c07</t>
  </si>
  <si>
    <t>[62c403d69ddaa30019360c08]</t>
  </si>
  <si>
    <t>[47.36788, 8.54769]</t>
  </si>
  <si>
    <t>gefälle richtung olgastrasse</t>
  </si>
  <si>
    <t>62c404239ddaa30019360c0a</t>
  </si>
  <si>
    <t>[62c4042d9ddaa30019360c0b]</t>
  </si>
  <si>
    <t>[47.36766, 8.54787]</t>
  </si>
  <si>
    <t>62c4043c9ddaa30019360c0d</t>
  </si>
  <si>
    <t>[62c404469ddaa30019360c0e]</t>
  </si>
  <si>
    <t>[47.36758, 8.54798]</t>
  </si>
  <si>
    <t>62c4048a9ddaa30019360c10</t>
  </si>
  <si>
    <t>[62c4049a9ddaa30019360c11]</t>
  </si>
  <si>
    <t>[47.36759, 8.54803]</t>
  </si>
  <si>
    <t>62c404c69ddaa30019360c13</t>
  </si>
  <si>
    <t>[62c404cb9ddaa30019360c14]</t>
  </si>
  <si>
    <t>[47.36750, 8.54809]</t>
  </si>
  <si>
    <t>62c405df9ddaa30019360c16</t>
  </si>
  <si>
    <t>[62c405ef9ddaa30019360c17]</t>
  </si>
  <si>
    <t>[47.36695, 8.54856]</t>
  </si>
  <si>
    <t>steigung richtung merkurstrasse</t>
  </si>
  <si>
    <t>62c4064d9ddaa30019360c19</t>
  </si>
  <si>
    <t>[62c406539ddaa30019360c1a]</t>
  </si>
  <si>
    <t>[47.36685, 8.54887]</t>
  </si>
  <si>
    <t>62c4069b9ddaa30019360c1c</t>
  </si>
  <si>
    <t>[62c406a19ddaa30019360c1d]</t>
  </si>
  <si>
    <t>[47.36688, 8.54896]</t>
  </si>
  <si>
    <t>62c406d79ddaa30019360c1f</t>
  </si>
  <si>
    <t>[62c406dd9ddaa30019360c20]</t>
  </si>
  <si>
    <t>[47.36671, 8.54926]</t>
  </si>
  <si>
    <t>62c406f99ddaa30019360c22</t>
  </si>
  <si>
    <t>[62c4070e9ddaa30019360c23]</t>
  </si>
  <si>
    <t>[47.36669, 8.54920]</t>
  </si>
  <si>
    <t xml:space="preserve">alternativer weg links </t>
  </si>
  <si>
    <t>62c407679ddaa30019360c25</t>
  </si>
  <si>
    <t>[62c4076e9ddaa30019360c26]</t>
  </si>
  <si>
    <t>[47.36663, 8.54937]</t>
  </si>
  <si>
    <t>steigung richtung zeltweg</t>
  </si>
  <si>
    <t>62c407d89ddaa30019360c28</t>
  </si>
  <si>
    <t>[62c407de9ddaa30019360c29]</t>
  </si>
  <si>
    <t>[47.36684, 8.54992]</t>
  </si>
  <si>
    <t>62c408489ddaa30019360c2b</t>
  </si>
  <si>
    <t>[62c4084e9ddaa30019360c2c]</t>
  </si>
  <si>
    <t>[47.36738, 8.55012]</t>
  </si>
  <si>
    <t>62c408ad9ddaa30019360c2e</t>
  </si>
  <si>
    <t>[62c408be9ddaa30019360c2f]</t>
  </si>
  <si>
    <t>[47.36781, 8.54987]</t>
  </si>
  <si>
    <t>62c4090f9ddaa30019360c31</t>
  </si>
  <si>
    <t>[62c409159ddaa30019360c32]</t>
  </si>
  <si>
    <t>[47.36827, 8.55050]</t>
  </si>
  <si>
    <t>62c409749ddaa30019360c34</t>
  </si>
  <si>
    <t>[62c4097a9ddaa30019360c35]</t>
  </si>
  <si>
    <t>[47.36843, 8.55062]</t>
  </si>
  <si>
    <t>steigung richtung stadelhoferstrasse</t>
  </si>
  <si>
    <t>62c40a039ddaa30019360c37</t>
  </si>
  <si>
    <t>[62c40a099ddaa30019360c38]</t>
  </si>
  <si>
    <t>[47.36809, 8.55016]</t>
  </si>
  <si>
    <t>62c40b0f9ddaa30019360c3a</t>
  </si>
  <si>
    <t>[62c40b149ddaa30019360c3b]</t>
  </si>
  <si>
    <t>[47.36674, 8.54965]</t>
  </si>
  <si>
    <t>gefälle richtung stadelhoferstrasse</t>
  </si>
  <si>
    <t>62c40b629ddaa30019360c3d</t>
  </si>
  <si>
    <t>[62c40b699ddaa30019360c3e]</t>
  </si>
  <si>
    <t>[47.36666, 8.54943]</t>
  </si>
  <si>
    <t>alternativer weg rechts am ende der treppe</t>
  </si>
  <si>
    <t>62c40bac9ddaa30019360c40</t>
  </si>
  <si>
    <t>[62c40bcb9ddaa30019360c41]</t>
  </si>
  <si>
    <t>[47.36656, 8.54910]</t>
  </si>
  <si>
    <t>62c40bdd9ddaa30019360c43</t>
  </si>
  <si>
    <t>[62c40be49ddaa30019360c44]</t>
  </si>
  <si>
    <t>[47.36651, 8.54906]</t>
  </si>
  <si>
    <t>62c40c239ddaa30019360c46</t>
  </si>
  <si>
    <t>[62c40c2c9ddaa30019360c47]</t>
  </si>
  <si>
    <t>[47.36640, 8.54890]</t>
  </si>
  <si>
    <t>steigung richtung schanzengasse</t>
  </si>
  <si>
    <t>62c40c8a9ddaa30019360c49</t>
  </si>
  <si>
    <t>[62c40c9e9ddaa30019360c4a]</t>
  </si>
  <si>
    <t>[47.36705, 8.54832]</t>
  </si>
  <si>
    <t>62c40caf9ddaa30019360c4c</t>
  </si>
  <si>
    <t>[62c40cbe9ddaa30019360c4d]</t>
  </si>
  <si>
    <t>[47.36708, 8.54828]</t>
  </si>
  <si>
    <t>62c40d049ddaa30019360c4f</t>
  </si>
  <si>
    <t>[47.36696, 8.54817]</t>
  </si>
  <si>
    <t>62c40d2c9ddaa30019360c50</t>
  </si>
  <si>
    <t>[62c40d339ddaa30019360c51]</t>
  </si>
  <si>
    <t>[47.36683, 8.54796]</t>
  </si>
  <si>
    <t>baustelle, umweg auf der anderen strassenseite</t>
  </si>
  <si>
    <t>62c40d989ddaa30019360c53</t>
  </si>
  <si>
    <t>[62c40d9d9ddaa30019360c54]</t>
  </si>
  <si>
    <t>[47.36692, 8.54801]</t>
  </si>
  <si>
    <t>62c40df39ddaa30019360c56</t>
  </si>
  <si>
    <t>[62c40e039ddaa30019360c57]</t>
  </si>
  <si>
    <t>[47.36736, 8.54795]</t>
  </si>
  <si>
    <t>62c40e3c9ddaa30019360c59</t>
  </si>
  <si>
    <t>[47.36726, 8.54804]</t>
  </si>
  <si>
    <t>62c40e8b9ddaa30019360c5a</t>
  </si>
  <si>
    <t>[62c40e959ddaa30019360c5b]</t>
  </si>
  <si>
    <t>[47.36760, 8.54789]</t>
  </si>
  <si>
    <t>62c40ee39ddaa30019360c5d</t>
  </si>
  <si>
    <t>[62c40eee9ddaa30019360c5e]</t>
  </si>
  <si>
    <t>[47.36754, 8.54770]</t>
  </si>
  <si>
    <t>62c40f579ddaa30019360c60</t>
  </si>
  <si>
    <t>[62c40f7b9ddaa30019360c61]</t>
  </si>
  <si>
    <t>[47.36727, 8.54804]</t>
  </si>
  <si>
    <t>62c40f999ddaa30019360c63</t>
  </si>
  <si>
    <t>[62c40fa39ddaa30019360c64]</t>
  </si>
  <si>
    <t>[47.36717, 8.54815]</t>
  </si>
  <si>
    <t>rolltreppe</t>
  </si>
  <si>
    <t>62c40fbc9ddaa30019360c66</t>
  </si>
  <si>
    <t>[62c40fd19ddaa30019360c67]</t>
  </si>
  <si>
    <t>[47.36718, 8.54815]</t>
  </si>
  <si>
    <t>62c410069ddaa30019360c69</t>
  </si>
  <si>
    <t>[62c410219ddaa30019360c6a]</t>
  </si>
  <si>
    <t>[47.36678, 8.54860]</t>
  </si>
  <si>
    <t>62c4102f9ddaa30019360c6c</t>
  </si>
  <si>
    <t>[62c410399ddaa30019360c6d]</t>
  </si>
  <si>
    <t>[47.36668, 8.54875]</t>
  </si>
  <si>
    <t>rolltreppen</t>
  </si>
  <si>
    <t>62c410829ddaa30019360c6f</t>
  </si>
  <si>
    <t>[62c410889ddaa30019360c70]</t>
  </si>
  <si>
    <t>[47.36651, 8.54864]</t>
  </si>
  <si>
    <t>62c410939ddaa30019360c72</t>
  </si>
  <si>
    <t>[62c4109f9ddaa30019360c73]</t>
  </si>
  <si>
    <t>[47.36669, 8.54841]</t>
  </si>
  <si>
    <t>62c410ea9ddaa30019360c75</t>
  </si>
  <si>
    <t>[62c411079ddaa30019360c76]</t>
  </si>
  <si>
    <t>[47.36712, 8.54781]</t>
  </si>
  <si>
    <t>62c411149ddaa30019360c78</t>
  </si>
  <si>
    <t>[62c4111f9ddaa30019360c79]</t>
  </si>
  <si>
    <t>62c411589ddaa30019360c7b</t>
  </si>
  <si>
    <t>[62c411739ddaa30019360c7c]</t>
  </si>
  <si>
    <t>[47.36746, 8.54747]</t>
  </si>
  <si>
    <t>62c412139ddaa30019360c7e</t>
  </si>
  <si>
    <t>[62c4121b9ddaa30019360c7f]</t>
  </si>
  <si>
    <t>[47.36630, 8.54878]</t>
  </si>
  <si>
    <t>62c412589ddaa30019360c81</t>
  </si>
  <si>
    <t>[62c412749ddaa30019360c82]</t>
  </si>
  <si>
    <t>[47.36631, 8.54878]</t>
  </si>
  <si>
    <t>62c412e59ddaa30019360c84</t>
  </si>
  <si>
    <t>[62c413049ddaa30019360c85]</t>
  </si>
  <si>
    <t>[47.36690, 8.54792]</t>
  </si>
  <si>
    <t>62c413f19ddaa30019360c87</t>
  </si>
  <si>
    <t>[62c414069ddaa30019360c88]</t>
  </si>
  <si>
    <t>[47.36825, 8.54719]</t>
  </si>
  <si>
    <t>steigung richtung olgaweg</t>
  </si>
  <si>
    <t>62c414629ddaa30019360c8a</t>
  </si>
  <si>
    <t>[62c4146a9ddaa30019360c8b]</t>
  </si>
  <si>
    <t>[47.36812, 8.54684]</t>
  </si>
  <si>
    <t>steigung richtung heimplatz</t>
  </si>
  <si>
    <t>62c57bab9ddaa30019360c8d</t>
  </si>
  <si>
    <t>[62c57bb59ddaa30019360c8e]</t>
  </si>
  <si>
    <t>[47.36667, 8.54275]</t>
  </si>
  <si>
    <t>62c57bf29ddaa30019360c90</t>
  </si>
  <si>
    <t>[62c57bfe9ddaa30019360c91]</t>
  </si>
  <si>
    <t>[47.36642, 8.54209]</t>
  </si>
  <si>
    <t>Keine Rampe aber Alternativweg daneben</t>
  </si>
  <si>
    <t>62c57c549ddaa30019360c93</t>
  </si>
  <si>
    <t>[62c57c5c9ddaa30019360c94]</t>
  </si>
  <si>
    <t>[47.36630, 8.54204]</t>
  </si>
  <si>
    <t>62c57c7f9ddaa30019360c96</t>
  </si>
  <si>
    <t>[62c57c8b9ddaa30019360c97]</t>
  </si>
  <si>
    <t>[47.36631, 8.54209]</t>
  </si>
  <si>
    <t>62c57cbb9ddaa30019360c99</t>
  </si>
  <si>
    <t>[62c57cca9ddaa30019360c9a]</t>
  </si>
  <si>
    <t>[47.36632, 8.54177]</t>
  </si>
  <si>
    <t>62c57d059ddaa30019360c9c</t>
  </si>
  <si>
    <t>[62c57d169ddaa30019360c9d]</t>
  </si>
  <si>
    <t>[47.36626, 8.54151]</t>
  </si>
  <si>
    <t>62c57d4b9ddaa30019360c9f</t>
  </si>
  <si>
    <t>[62c57d549ddaa30019360ca0]</t>
  </si>
  <si>
    <t>[47.36611, 8.54157]</t>
  </si>
  <si>
    <t>Gefälle Richtung Steg</t>
  </si>
  <si>
    <t>62c57db09ddaa30019360ca2</t>
  </si>
  <si>
    <t>[62c57dbb9ddaa30019360ca3]</t>
  </si>
  <si>
    <t>[47.36616, 8.54081]</t>
  </si>
  <si>
    <t>62c57ddf9ddaa30019360ca5</t>
  </si>
  <si>
    <t>[62c57de79ddaa30019360ca6]</t>
  </si>
  <si>
    <t>[47.36625, 8.54114]</t>
  </si>
  <si>
    <t>62c57df19ddaa30019360ca8</t>
  </si>
  <si>
    <t>[62c57dff9ddaa30019360ca9]</t>
  </si>
  <si>
    <t>[47.36613, 8.54114]</t>
  </si>
  <si>
    <t>62c57ec09ddaa30019360cab</t>
  </si>
  <si>
    <t>[62c57eca9ddaa30019360cac]</t>
  </si>
  <si>
    <t>[47.36624, 8.54045]</t>
  </si>
  <si>
    <t>62c57f0f9ddaa30019360cae</t>
  </si>
  <si>
    <t>[47.36646, 8.54050]</t>
  </si>
  <si>
    <t>62c57f459ddaa30019360caf</t>
  </si>
  <si>
    <t>[62c57f529ddaa30019360cb0]</t>
  </si>
  <si>
    <t>[47.36641, 8.54086]</t>
  </si>
  <si>
    <t>62c57fb99ddaa30019360cb2</t>
  </si>
  <si>
    <t>[62c57fc49ddaa30019360cb3]</t>
  </si>
  <si>
    <t>[47.36657, 8.54174]</t>
  </si>
  <si>
    <t>62c57fed9ddaa30019360cb5</t>
  </si>
  <si>
    <t>[62c580059ddaa30019360cb6]</t>
  </si>
  <si>
    <t>[47.36664, 8.54201]</t>
  </si>
  <si>
    <t>62c5801f9ddaa30019360cb8</t>
  </si>
  <si>
    <t>[62c580449ddaa30019360cb9]</t>
  </si>
  <si>
    <t>[47.36677, 8.54199]</t>
  </si>
  <si>
    <t>62c5808c9ddaa30019360cbb</t>
  </si>
  <si>
    <t>[62c580969ddaa30019360cbc]</t>
  </si>
  <si>
    <t>[47.36695, 8.54186]</t>
  </si>
  <si>
    <t>62c5810c9ddaa30019360cbe</t>
  </si>
  <si>
    <t>[62c581129ddaa30019360cbf]</t>
  </si>
  <si>
    <t>[47.36729, 8.54153]</t>
  </si>
  <si>
    <t>62c5814a9ddaa30019360cc1</t>
  </si>
  <si>
    <t>[62c5815c9ddaa30019360cc2]</t>
  </si>
  <si>
    <t>[47.36748, 8.54184]</t>
  </si>
  <si>
    <t>62c582369ddaa30019360cc4</t>
  </si>
  <si>
    <t>[62c5823e9ddaa30019360cc5]</t>
  </si>
  <si>
    <t>[47.36741, 8.54119]</t>
  </si>
  <si>
    <t>62c582d89ddaa30019360cc7</t>
  </si>
  <si>
    <t>[62c582e09ddaa30019360cc8]</t>
  </si>
  <si>
    <t>[47.36662, 8.54045]</t>
  </si>
  <si>
    <t>62c582f09ddaa30019360cca</t>
  </si>
  <si>
    <t>[62c583149ddaa30019360ccb]</t>
  </si>
  <si>
    <t>[47.36667, 8.54049]</t>
  </si>
  <si>
    <t>Alternative am anderen Ende der Bussta
tion</t>
  </si>
  <si>
    <t>62c583829ddaa30019360ccd</t>
  </si>
  <si>
    <t>[62c583899ddaa30019360cce]</t>
  </si>
  <si>
    <t>[47.36733, 8.54027]</t>
  </si>
  <si>
    <t>62c5843b9ddaa30019360cd0</t>
  </si>
  <si>
    <t>[62c584419ddaa30019360cd1]</t>
  </si>
  <si>
    <t>[47.36708, 8.53997]</t>
  </si>
  <si>
    <t>62c5845f9ddaa30019360cd3</t>
  </si>
  <si>
    <t>[62c5846a9ddaa30019360cd4]</t>
  </si>
  <si>
    <t>[47.36698, 8.54012]</t>
  </si>
  <si>
    <t>62c584cc9ddaa30019360cd6</t>
  </si>
  <si>
    <t>[62c584d79ddaa30019360cd7]</t>
  </si>
  <si>
    <t>[47.36736, 8.53956]</t>
  </si>
  <si>
    <t>2023-07-06</t>
  </si>
  <si>
    <t>62c589cf9ddaa30019360cda</t>
  </si>
  <si>
    <t>[47.37060, 8.53195]</t>
  </si>
  <si>
    <t>O</t>
  </si>
  <si>
    <t>62c589cf9ddaa30019360cdb</t>
  </si>
  <si>
    <t>62c589cf9ddaa30019360cdc</t>
  </si>
  <si>
    <t>[62c589e39ddaa30019360cde]</t>
  </si>
  <si>
    <t>[47.37043, 8.53096]</t>
  </si>
  <si>
    <t>Steigung Richtung Tunnelstrasse</t>
  </si>
  <si>
    <t>62c589cf9ddaa30019360cdd</t>
  </si>
  <si>
    <t>62c58a9a9ddaa30019360ce0</t>
  </si>
  <si>
    <t>[47.36928, 8.52975]</t>
  </si>
  <si>
    <t>Steigung Richtung Sihl</t>
  </si>
  <si>
    <t>62c58b139ddaa30019360ce1</t>
  </si>
  <si>
    <t>[47.36910, 8.52991]</t>
  </si>
  <si>
    <t>62c58b449ddaa30019360ce2</t>
  </si>
  <si>
    <t>[47.36915, 8.52981]</t>
  </si>
  <si>
    <t>62c58b9c9ddaa30019360ce3</t>
  </si>
  <si>
    <t>[47.36883, 8.52912]</t>
  </si>
  <si>
    <t>62c58c9f9ddaa30019360ce4</t>
  </si>
  <si>
    <t>[47.37100, 8.53121]</t>
  </si>
  <si>
    <t>62c58ccd9ddaa30019360ce5</t>
  </si>
  <si>
    <t>[62c58cfc9ddaa30019360ce6]</t>
  </si>
  <si>
    <t>[47.37089, 8.53144]</t>
  </si>
  <si>
    <t>62c58dda9ddaa30019360ce8</t>
  </si>
  <si>
    <t>[62c58de09ddaa30019360ce9]</t>
  </si>
  <si>
    <t>[47.37104, 8.53222]</t>
  </si>
  <si>
    <t>Steigung Richtung Selnaustrasse</t>
  </si>
  <si>
    <t>62c58e4a9ddaa30019360ceb</t>
  </si>
  <si>
    <t>[47.37157, 8.53284]</t>
  </si>
  <si>
    <t>62c58e949ddaa30019360cec</t>
  </si>
  <si>
    <t>[62c58ea69ddaa30019360ced]</t>
  </si>
  <si>
    <t>[47.37163, 8.53299]</t>
  </si>
  <si>
    <t>62c58ef59ddaa30019360cef</t>
  </si>
  <si>
    <t>[62c58efe9ddaa30019360cf0]</t>
  </si>
  <si>
    <t>[47.37201, 8.53336]</t>
  </si>
  <si>
    <t>62c58f799ddaa30019360cf2</t>
  </si>
  <si>
    <t>[62c58f809ddaa30019360cf3]</t>
  </si>
  <si>
    <t>[47.37221, 8.53349]</t>
  </si>
  <si>
    <t>62c58fbb9ddaa30019360cf5</t>
  </si>
  <si>
    <t>[62c58fc09ddaa30019360cf6]</t>
  </si>
  <si>
    <t>[47.37256, 8.53356]</t>
  </si>
  <si>
    <t>62c58fff9ddaa30019360cf8</t>
  </si>
  <si>
    <t>[47.37309, 8.53346]</t>
  </si>
  <si>
    <t>62c590789ddaa30019360cf9</t>
  </si>
  <si>
    <t>[62c5908d9ddaa30019360cfa]</t>
  </si>
  <si>
    <t>[47.37305, 8.53285]</t>
  </si>
  <si>
    <t>62c590a09ddaa30019360cfc</t>
  </si>
  <si>
    <t>[62c590a89ddaa30019360cfd]</t>
  </si>
  <si>
    <t>[47.37302, 8.53305]</t>
  </si>
  <si>
    <t>62c590df9ddaa30019360cff</t>
  </si>
  <si>
    <t>[62c590fc9ddaa30019360d00]</t>
  </si>
  <si>
    <t>[47.37269, 8.53280]</t>
  </si>
  <si>
    <t>62c591c49ddaa30019360d02</t>
  </si>
  <si>
    <t>[62c591d59ddaa30019360d03]</t>
  </si>
  <si>
    <t>[47.37205, 8.53236]</t>
  </si>
  <si>
    <t>62c592639ddaa30019360d05</t>
  </si>
  <si>
    <t>[62c5926b9ddaa30019360d06]</t>
  </si>
  <si>
    <t>[47.37122, 8.53147]</t>
  </si>
  <si>
    <t>62c5928d9ddaa30019360d08</t>
  </si>
  <si>
    <t>[62c592979ddaa30019360d09]</t>
  </si>
  <si>
    <t>[47.37122, 8.53128]</t>
  </si>
  <si>
    <t>62c593069ddaa30019360d0b</t>
  </si>
  <si>
    <t>[62c5930d9ddaa30019360d0c]</t>
  </si>
  <si>
    <t>[47.37154, 8.53143]</t>
  </si>
  <si>
    <t>62c594f19ddaa30019360d0e</t>
  </si>
  <si>
    <t>[62c594f99ddaa30019360d0f]</t>
  </si>
  <si>
    <t>[47.37574, 8.53504]</t>
  </si>
  <si>
    <t>Kiesplatz</t>
  </si>
  <si>
    <t>62c5954d9ddaa30019360d11</t>
  </si>
  <si>
    <t>[62c5957a9ddaa30019360d12]</t>
  </si>
  <si>
    <t>[47.37582, 8.53501]</t>
  </si>
  <si>
    <t>62c595d09ddaa30019360d14</t>
  </si>
  <si>
    <t>[62c595da9ddaa30019360d15]</t>
  </si>
  <si>
    <t>[47.37620, 8.53542]</t>
  </si>
  <si>
    <t>62c596019ddaa30019360d17</t>
  </si>
  <si>
    <t>[47.37626, 8.53585]</t>
  </si>
  <si>
    <t>62c596239ddaa30019360d18</t>
  </si>
  <si>
    <t>[47.37643, 8.53596]</t>
  </si>
  <si>
    <t>62c596699ddaa30019360d19</t>
  </si>
  <si>
    <t>[62c596779ddaa30019360d1a, 62c5967e9ddaa30019360d1c, 62c5967f9ddaa30019360d1e, 62c596819ddaa30019360d20]</t>
  </si>
  <si>
    <t>[47.37602, 8.53602]</t>
  </si>
  <si>
    <t>62c597069ddaa30019360d22</t>
  </si>
  <si>
    <t>[62c5970c9ddaa30019360d23]</t>
  </si>
  <si>
    <t>[47.37582, 8.53558]</t>
  </si>
  <si>
    <t>62c597e79ddaa30019360d25</t>
  </si>
  <si>
    <t>[62c597f29ddaa30019360d26]</t>
  </si>
  <si>
    <t>[47.37386, 8.53384]</t>
  </si>
  <si>
    <t>62c5983e9ddaa30019360d28</t>
  </si>
  <si>
    <t>[62c598499ddaa30019360d29]</t>
  </si>
  <si>
    <t>[47.37319, 8.53323]</t>
  </si>
  <si>
    <t>62c5989b9ddaa30019360d2b</t>
  </si>
  <si>
    <t>[62c598a59ddaa30019360d2c]</t>
  </si>
  <si>
    <t>[47.37318, 8.53353]</t>
  </si>
  <si>
    <t>62c598b99ddaa30019360d2e</t>
  </si>
  <si>
    <t>[62c598c19ddaa30019360d2f]</t>
  </si>
  <si>
    <t>[47.37332, 8.53353]</t>
  </si>
  <si>
    <t>Unregelmässige Steinflächen</t>
  </si>
  <si>
    <t>62c5991e9ddaa30019360d31</t>
  </si>
  <si>
    <t>[62c599259ddaa30019360d32]</t>
  </si>
  <si>
    <t>[47.37390, 8.53395]</t>
  </si>
  <si>
    <t>62c599819ddaa30019360d34</t>
  </si>
  <si>
    <t>[62c5998a9ddaa30019360d35]</t>
  </si>
  <si>
    <t>[47.37441, 8.53500]</t>
  </si>
  <si>
    <t>62c59a379ddaa30019360d37</t>
  </si>
  <si>
    <t>[62c59a419ddaa30019360d38]</t>
  </si>
  <si>
    <t>[47.37586, 8.53571]</t>
  </si>
  <si>
    <t>62c59a5b9ddaa30019360d3a</t>
  </si>
  <si>
    <t>[62c59a699ddaa30019360d3b]</t>
  </si>
  <si>
    <t>[47.37591, 8.53577]</t>
  </si>
  <si>
    <t>62c59a7d9ddaa30019360d3d</t>
  </si>
  <si>
    <t>[62c59a879ddaa30019360d3e]</t>
  </si>
  <si>
    <t>[47.37591, 8.53584]</t>
  </si>
  <si>
    <t>62c59a969ddaa30019360d40</t>
  </si>
  <si>
    <t>[62c59a9d9ddaa30019360d41]</t>
  </si>
  <si>
    <t>[47.37609, 8.53590]</t>
  </si>
  <si>
    <t>62c59aad9ddaa30019360d43</t>
  </si>
  <si>
    <t>[62c59ab69ddaa30019360d44]</t>
  </si>
  <si>
    <t>[47.37620, 8.53595]</t>
  </si>
  <si>
    <t>62c59fe59ddaa30019360d46</t>
  </si>
  <si>
    <t>[47.37867, 8.54169]</t>
  </si>
  <si>
    <t>Steigung Richtung Neumühlequai</t>
  </si>
  <si>
    <t>A</t>
  </si>
  <si>
    <t>62c5a0459ddaa30019360d47</t>
  </si>
  <si>
    <t>[62c5a04d9ddaa30019360d48]</t>
  </si>
  <si>
    <t>[47.37862, 8.54068]</t>
  </si>
  <si>
    <t>62c5a0809ddaa30019360d4a</t>
  </si>
  <si>
    <t>[62c5a0869ddaa30019360d4b]</t>
  </si>
  <si>
    <t>[47.37880, 8.54147]</t>
  </si>
  <si>
    <t>62c5a09c9ddaa30019360d4d</t>
  </si>
  <si>
    <t>[47.37893, 8.54142]</t>
  </si>
  <si>
    <t>62c5a0c09ddaa30019360d4e</t>
  </si>
  <si>
    <t>[47.37949, 8.54117]</t>
  </si>
  <si>
    <t>62c5a0d59ddaa30019360d4f</t>
  </si>
  <si>
    <t>[47.37949, 8.54131]</t>
  </si>
  <si>
    <t>62c5a10c9ddaa30019360d50</t>
  </si>
  <si>
    <t>[47.37968, 8.54102]</t>
  </si>
  <si>
    <t>62c5a14f9ddaa30019360d51</t>
  </si>
  <si>
    <t>[62c5a15b9ddaa30019360d52]</t>
  </si>
  <si>
    <t>[47.38034, 8.54055]</t>
  </si>
  <si>
    <t>62c5a16b9ddaa30019360d54</t>
  </si>
  <si>
    <t>[47.38044, 8.54060]</t>
  </si>
  <si>
    <t>62c5a1a89ddaa30019360d55</t>
  </si>
  <si>
    <t>[62c5a1b49ddaa30019360d56]</t>
  </si>
  <si>
    <t>[47.38074, 8.54026]</t>
  </si>
  <si>
    <t>62c5a1d19ddaa30019360d58</t>
  </si>
  <si>
    <t>[47.38111, 8.54000]</t>
  </si>
  <si>
    <t>62c5a1ef9ddaa30019360d59</t>
  </si>
  <si>
    <t>[62c5a1f79ddaa30019360d5a]</t>
  </si>
  <si>
    <t>[47.38114, 8.54012]</t>
  </si>
  <si>
    <t>62c5a20b9ddaa30019360d5c</t>
  </si>
  <si>
    <t>[62c5a2159ddaa30019360d5d]</t>
  </si>
  <si>
    <t>[47.38135, 8.53998]</t>
  </si>
  <si>
    <t>62c5a23a9ddaa30019360d5f</t>
  </si>
  <si>
    <t>[62c5a23f9ddaa30019360d60]</t>
  </si>
  <si>
    <t>[47.38163, 8.53969]</t>
  </si>
  <si>
    <t>62c5a2809ddaa30019360d62</t>
  </si>
  <si>
    <t>[47.38202, 8.53917]</t>
  </si>
  <si>
    <t>62c5a29b9ddaa30019360d63</t>
  </si>
  <si>
    <t>[47.38218, 8.53914]</t>
  </si>
  <si>
    <t>Steigung Richtung Drahtschmiedliweg</t>
  </si>
  <si>
    <t>62c5a2dc9ddaa30019360d64</t>
  </si>
  <si>
    <t>[62c5a2e59ddaa30019360d65]</t>
  </si>
  <si>
    <t>[47.38204, 8.53886]</t>
  </si>
  <si>
    <t>62c5a2fe9ddaa30019360d67</t>
  </si>
  <si>
    <t>[47.38198, 8.53892]</t>
  </si>
  <si>
    <t>62c5a3ee9ddaa30019360d68</t>
  </si>
  <si>
    <t>[62c5a3f59ddaa30019360d69]</t>
  </si>
  <si>
    <t>[47.38023, 8.53920]</t>
  </si>
  <si>
    <t>Steigung Richtung Platzspitz</t>
  </si>
  <si>
    <t>62c5a4419ddaa30019360d6b</t>
  </si>
  <si>
    <t>[47.38034, 8.53941]</t>
  </si>
  <si>
    <t>62c5a4c39ddaa30019360d6c</t>
  </si>
  <si>
    <t>[47.37961, 8.54057]</t>
  </si>
  <si>
    <t>Event</t>
  </si>
  <si>
    <t>62c5a5bf9ddaa30019360d6d</t>
  </si>
  <si>
    <t>[62c5a5c89ddaa30019360d6e]</t>
  </si>
  <si>
    <t>[47.37881, 8.53983]</t>
  </si>
  <si>
    <t>62c5a6159ddaa30019360d70</t>
  </si>
  <si>
    <t>[62c5a61c9ddaa30019360d71]</t>
  </si>
  <si>
    <t>[47.37900, 8.53920]</t>
  </si>
  <si>
    <t>Durchangsbreite bis zur Pflastersteinreihe</t>
  </si>
  <si>
    <t>626297ca6f8972001ac55b7f</t>
  </si>
  <si>
    <t>cycle_barrier</t>
  </si>
  <si>
    <t>62c5a6679ddaa30019360d73</t>
  </si>
  <si>
    <t>[62c5a6709ddaa30019360d74]</t>
  </si>
  <si>
    <t>[47.37899, 8.53919]</t>
  </si>
  <si>
    <t>Durchgangsbreite bis Rasenstück aber mit Querneigung</t>
  </si>
  <si>
    <t>62c5a7199ddaa30019360d76</t>
  </si>
  <si>
    <t>[62c5a7229ddaa30019360d77]</t>
  </si>
  <si>
    <t>[47.37900, 8.53916]</t>
  </si>
  <si>
    <t>Steigung Richtung Zollbrücke</t>
  </si>
  <si>
    <t>62c5a75a9ddaa30019360d79</t>
  </si>
  <si>
    <t>[62c5a7609ddaa30019360d7a]</t>
  </si>
  <si>
    <t>[47.37908, 8.53887]</t>
  </si>
  <si>
    <t>62c5a7949ddaa30019360d7c</t>
  </si>
  <si>
    <t>[47.37921, 8.53862]</t>
  </si>
  <si>
    <t>Steigung Richtung Museumsstrasse</t>
  </si>
  <si>
    <t>62c68ee09ddaa30019360d7d</t>
  </si>
  <si>
    <t>[62c68ee89ddaa30019360d7e]</t>
  </si>
  <si>
    <t>[47.37292, 8.53928]</t>
  </si>
  <si>
    <t>gefälle richtung bahnhofstrasse</t>
  </si>
  <si>
    <t>J</t>
  </si>
  <si>
    <t>62c68f859ddaa30019360d80</t>
  </si>
  <si>
    <t>[62c68f959ddaa30019360d81, 62c68f9f9ddaa30019360d83, 62c68fa49ddaa30019360d85]</t>
  </si>
  <si>
    <t>[47.37228, 8.53857]</t>
  </si>
  <si>
    <t>62c690269ddaa30019360d87</t>
  </si>
  <si>
    <t>[62c6902d9ddaa30019360d88]</t>
  </si>
  <si>
    <t>[47.37217, 8.53927]</t>
  </si>
  <si>
    <t>62c690689ddaa30019360d8a</t>
  </si>
  <si>
    <t>[62c6907e9ddaa30019360d8b]</t>
  </si>
  <si>
    <t>[47.37202, 8.53951]</t>
  </si>
  <si>
    <t>bordstein zum brunnen</t>
  </si>
  <si>
    <t>62c690b69ddaa30019360d8d</t>
  </si>
  <si>
    <t>[62c690c29ddaa30019360d8e]</t>
  </si>
  <si>
    <t>[47.37192, 8.53932]</t>
  </si>
  <si>
    <t>unregelmässiger pflasterstein</t>
  </si>
  <si>
    <t>pflaster</t>
  </si>
  <si>
    <t>62c691699ddaa30019360d90</t>
  </si>
  <si>
    <t>[62c691759ddaa30019360d91]</t>
  </si>
  <si>
    <t>[47.37195, 8.53984]</t>
  </si>
  <si>
    <t>steigung richtung augustinerhof</t>
  </si>
  <si>
    <t>62c691989ddaa30019360d93</t>
  </si>
  <si>
    <t>[62c691a19ddaa30019360d94]</t>
  </si>
  <si>
    <t>[47.37213, 8.53979]</t>
  </si>
  <si>
    <t>steigung richtung rennweg</t>
  </si>
  <si>
    <t>62c691e19ddaa30019360d96</t>
  </si>
  <si>
    <t>[62c691ec9ddaa30019360d97]</t>
  </si>
  <si>
    <t>[47.37237, 8.54008]</t>
  </si>
  <si>
    <t>62c6928a9ddaa30019360d99</t>
  </si>
  <si>
    <t>[62c692919ddaa30019360d9a]</t>
  </si>
  <si>
    <t>[47.37201, 8.54008]</t>
  </si>
  <si>
    <t>gefälle richtung augustinerhof</t>
  </si>
  <si>
    <t>62c693609ddaa30019360d9c</t>
  </si>
  <si>
    <t>[62c693679ddaa30019360d9d]</t>
  </si>
  <si>
    <t>[47.37194, 8.54034]</t>
  </si>
  <si>
    <t>steigung richtung st petershof</t>
  </si>
  <si>
    <t>62c6939f9ddaa30019360d9f</t>
  </si>
  <si>
    <t>[62c693a99ddaa30019360da0]</t>
  </si>
  <si>
    <t>[47.37195, 8.54063]</t>
  </si>
  <si>
    <t>gefälle richtung strehlgasse</t>
  </si>
  <si>
    <t>62c694329ddaa30019360da2</t>
  </si>
  <si>
    <t>[62c694399ddaa30019360da3]</t>
  </si>
  <si>
    <t>[47.37158, 8.54022]</t>
  </si>
  <si>
    <t>62c694ab9ddaa30019360da5</t>
  </si>
  <si>
    <t>[62c694b89ddaa30019360da6]</t>
  </si>
  <si>
    <t>[47.37173, 8.53979]</t>
  </si>
  <si>
    <t>gefälle richtung st peterstrasse</t>
  </si>
  <si>
    <t>62c695029ddaa30019360da8</t>
  </si>
  <si>
    <t>[62c6950a9ddaa30019360da9]</t>
  </si>
  <si>
    <t>[47.37153, 8.53972]</t>
  </si>
  <si>
    <t>62c6953d9ddaa30019360dab</t>
  </si>
  <si>
    <t>[62c695459ddaa30019360dac]</t>
  </si>
  <si>
    <t>[47.37121, 8.53971]</t>
  </si>
  <si>
    <t>62c695779ddaa30019360dae</t>
  </si>
  <si>
    <t>[62c695819ddaa30019360daf]</t>
  </si>
  <si>
    <t>[47.37108, 8.53966]</t>
  </si>
  <si>
    <t>62c695ab9ddaa30019360db1</t>
  </si>
  <si>
    <t>[62c695b29ddaa30019360db2]</t>
  </si>
  <si>
    <t>[47.37100, 8.53989]</t>
  </si>
  <si>
    <t>62c695e69ddaa30019360db4</t>
  </si>
  <si>
    <t>[62c695f39ddaa30019360db5]</t>
  </si>
  <si>
    <t>[47.37060, 8.53994]</t>
  </si>
  <si>
    <t>62c697799ddaa30019360dbd</t>
  </si>
  <si>
    <t>[47.37050, 8.54046]</t>
  </si>
  <si>
    <t>gefälle richtung münsterhof</t>
  </si>
  <si>
    <t>62c6977c9ddaa30019360dbe</t>
  </si>
  <si>
    <t>[62c697929ddaa30019360dc0]</t>
  </si>
  <si>
    <t>[47.37082, 8.54072]</t>
  </si>
  <si>
    <t>62c6981f9ddaa30019360dc2</t>
  </si>
  <si>
    <t>[62c6982b9ddaa30019360dc3]</t>
  </si>
  <si>
    <t>[47.37092, 8.54073]</t>
  </si>
  <si>
    <t>richtung kirche</t>
  </si>
  <si>
    <t>62c698439ddaa30019360dc5</t>
  </si>
  <si>
    <t>[62c6986a9ddaa30019360dc6]</t>
  </si>
  <si>
    <t>[47.37091, 8.54099]</t>
  </si>
  <si>
    <t>62c698a79ddaa30019360dc8</t>
  </si>
  <si>
    <t>[62c698ac9ddaa30019360dc9]</t>
  </si>
  <si>
    <t>[47.37079, 8.54111]</t>
  </si>
  <si>
    <t>gefälle richtung In Gassen</t>
  </si>
  <si>
    <t>62c699179ddaa30019360dcc</t>
  </si>
  <si>
    <t>[62c699279ddaa30019360dcd, 62c6992c9ddaa30019360dcf, 62c699369ddaa30019360dd1]</t>
  </si>
  <si>
    <t>[47.37089, 8.54118]</t>
  </si>
  <si>
    <t>62c699439ddaa30019360dd3</t>
  </si>
  <si>
    <t>[62c6994a9ddaa30019360dd4]</t>
  </si>
  <si>
    <t>[47.37103, 8.54154]</t>
  </si>
  <si>
    <t>62c699649ddaa30019360dd6</t>
  </si>
  <si>
    <t>[62c6996a9ddaa30019360dd7]</t>
  </si>
  <si>
    <t>[47.37085, 8.54131]</t>
  </si>
  <si>
    <t>62c69a389ddaa30019360dd9</t>
  </si>
  <si>
    <t>[62c69a519ddaa30019360dda]</t>
  </si>
  <si>
    <t>[47.37137, 8.54188]</t>
  </si>
  <si>
    <t>62c69a5c9ddaa30019360ddc</t>
  </si>
  <si>
    <t>[62c69a649ddaa30019360ddd]</t>
  </si>
  <si>
    <t>[47.37131, 8.54178]</t>
  </si>
  <si>
    <t>62c69ad59ddaa30019360ddf</t>
  </si>
  <si>
    <t>[62c69adf9ddaa30019360de0, 62c69aea9ddaa30019360de2, 62c69afd9ddaa30019360de4, 62c69afd9ddaa30019360de6, 62c69aff9ddaa30019360de8]</t>
  </si>
  <si>
    <t>[47.37126, 8.54136]</t>
  </si>
  <si>
    <t>gitter</t>
  </si>
  <si>
    <t>62c69b1b9ddaa30019360dea</t>
  </si>
  <si>
    <t>[62c69b259ddaa30019360deb]</t>
  </si>
  <si>
    <t>[47.37126, 8.54110]</t>
  </si>
  <si>
    <t>62c69b8e9ddaa30019360ded</t>
  </si>
  <si>
    <t>[62c69ba09ddaa30019360dee]</t>
  </si>
  <si>
    <t>[47.37101, 8.54108]</t>
  </si>
  <si>
    <t>62c69bf49ddaa30019360df0</t>
  </si>
  <si>
    <t>[62c69bfe9ddaa30019360df1]</t>
  </si>
  <si>
    <t>[47.37146, 8.54077]</t>
  </si>
  <si>
    <t>62c69c449ddaa30019360df3</t>
  </si>
  <si>
    <t>[62c69c539ddaa30019360df4]</t>
  </si>
  <si>
    <t>[47.37124, 8.54065]</t>
  </si>
  <si>
    <t>steigung richtung kirche</t>
  </si>
  <si>
    <t>62c69c639ddaa30019360df6</t>
  </si>
  <si>
    <t>[62c69c7c9ddaa30019360df7]</t>
  </si>
  <si>
    <t>[47.37148, 8.54063]</t>
  </si>
  <si>
    <t>62c69d7a9ddaa30019360df9</t>
  </si>
  <si>
    <t>[62c69d929ddaa30019360dfa]</t>
  </si>
  <si>
    <t>[47.37164, 8.54096]</t>
  </si>
  <si>
    <t>62c69dbf9ddaa30019360dfc</t>
  </si>
  <si>
    <t>[62c69de99ddaa30019360dfd]</t>
  </si>
  <si>
    <t>[47.37145, 8.54103]</t>
  </si>
  <si>
    <t>62c69dfc9ddaa30019360dff</t>
  </si>
  <si>
    <t>[62c69e049ddaa30019360e00]</t>
  </si>
  <si>
    <t>[47.37149, 8.54124]</t>
  </si>
  <si>
    <t>62c69e479ddaa30019360e02</t>
  </si>
  <si>
    <t>[62c69e619ddaa30019360e03, 62c69e669ddaa30019360e05]</t>
  </si>
  <si>
    <t>[47.37170, 8.54135]</t>
  </si>
  <si>
    <t>steigung richtung pfalzgasse</t>
  </si>
  <si>
    <t>62c69e8e9ddaa30019360e07</t>
  </si>
  <si>
    <t>[62c69e949ddaa30019360e08]</t>
  </si>
  <si>
    <t>[47.37180, 8.54124]</t>
  </si>
  <si>
    <t>62c69eb29ddaa30019360e0b</t>
  </si>
  <si>
    <t>[62c69eb89ddaa30019360e0c]</t>
  </si>
  <si>
    <t>[47.37176, 8.54103]</t>
  </si>
  <si>
    <t>62c69f1d9ddaa30019360e0e</t>
  </si>
  <si>
    <t>[62c69f529ddaa30019360e0f]</t>
  </si>
  <si>
    <t>[47.37183, 8.54093]</t>
  </si>
  <si>
    <t>gefälle richtung pfalzgasse</t>
  </si>
  <si>
    <t>62c69f629ddaa30019360e11</t>
  </si>
  <si>
    <t>[62c69f719ddaa30019360e12]</t>
  </si>
  <si>
    <t>[47.37190, 8.54097]</t>
  </si>
  <si>
    <t>62c69f989ddaa30019360e14</t>
  </si>
  <si>
    <t>[47.37187, 8.54112]</t>
  </si>
  <si>
    <t>gefälle richtung weinplatz</t>
  </si>
  <si>
    <t>62c6a0009ddaa30019360e15</t>
  </si>
  <si>
    <t>[62c6a00b9ddaa30019360e16]</t>
  </si>
  <si>
    <t>[47.37183, 8.54155]</t>
  </si>
  <si>
    <t>gefälle richtung rathausbrücke</t>
  </si>
  <si>
    <t>62c6a0479ddaa30019360e18</t>
  </si>
  <si>
    <t>[62c6a0519ddaa30019360e19]</t>
  </si>
  <si>
    <t>[47.37184, 8.54180]</t>
  </si>
  <si>
    <t>steigung richtung rathausbrücke</t>
  </si>
  <si>
    <t>62c6a07a9ddaa30019360e1b</t>
  </si>
  <si>
    <t>[62c6a0899ddaa30019360e1c, 62c6a0919ddaa30019360e1e, 62c6a0979ddaa30019360e20]</t>
  </si>
  <si>
    <t>[47.37195, 8.54185]</t>
  </si>
  <si>
    <t>62c6a0c09ddaa30019360e22</t>
  </si>
  <si>
    <t>[62c6a0c69ddaa30019360e23]</t>
  </si>
  <si>
    <t>[47.37207, 8.54185]</t>
  </si>
  <si>
    <t>62c6a0e99ddaa30019360e25</t>
  </si>
  <si>
    <t>[62c6a0f39ddaa30019360e26]</t>
  </si>
  <si>
    <t>[47.37213, 8.54166]</t>
  </si>
  <si>
    <t>62c6a11e9ddaa30019360e28</t>
  </si>
  <si>
    <t>[47.37206, 8.54149]</t>
  </si>
  <si>
    <t>steigung richtung strehlgasse</t>
  </si>
  <si>
    <t>62c6a1559ddaa30019360e29</t>
  </si>
  <si>
    <t>[62c6a1779ddaa30019360e2a]</t>
  </si>
  <si>
    <t>[47.37189, 8.54144]</t>
  </si>
  <si>
    <t>62c6a17f9ddaa30019360e2c</t>
  </si>
  <si>
    <t>[62c6a19c9ddaa30019360e2d]</t>
  </si>
  <si>
    <t>[47.37197, 8.54137]</t>
  </si>
  <si>
    <t>62c6a1b19ddaa30019360e2f</t>
  </si>
  <si>
    <t>[62c6a1bf9ddaa30019360e30]</t>
  </si>
  <si>
    <t>[47.37203, 8.54116]</t>
  </si>
  <si>
    <t>62c6a2409ddaa30019360e32</t>
  </si>
  <si>
    <t>[47.37214, 8.54081]</t>
  </si>
  <si>
    <t>62c6a2409ddaa30019360e33</t>
  </si>
  <si>
    <t>[62c6a2659ddaa30019360e34]</t>
  </si>
  <si>
    <t>[47.37221, 8.54059]</t>
  </si>
  <si>
    <t>62c6a2879ddaa30019360e36</t>
  </si>
  <si>
    <t>[62c6a28f9ddaa30019360e37]</t>
  </si>
  <si>
    <t>[47.37222, 8.54079]</t>
  </si>
  <si>
    <t>62c6a2f79ddaa30019360e39</t>
  </si>
  <si>
    <t>[62c6a2fd9ddaa30019360e3a]</t>
  </si>
  <si>
    <t>[47.37215, 8.54101]</t>
  </si>
  <si>
    <t>steigung richtung wohllebgasse</t>
  </si>
  <si>
    <t>62c6a3349ddaa30019360e3c</t>
  </si>
  <si>
    <t>[62c6a33c9ddaa30019360e3d]</t>
  </si>
  <si>
    <t>[47.37221, 8.54105]</t>
  </si>
  <si>
    <t>62c6a34b9ddaa30019360e3f</t>
  </si>
  <si>
    <t>[62c6a3569ddaa30019360e40]</t>
  </si>
  <si>
    <t>[47.37221, 8.54118]</t>
  </si>
  <si>
    <t>gefälle richtung limmat</t>
  </si>
  <si>
    <t>62c6a3959ddaa30019360e42</t>
  </si>
  <si>
    <t>[62c6a39e9ddaa30019360e43]</t>
  </si>
  <si>
    <t>[47.37224, 8.54136]</t>
  </si>
  <si>
    <t>62c6a3ca9ddaa30019360e45</t>
  </si>
  <si>
    <t>[62c6a3f19ddaa30019360e46, 62c6a4069ddaa30019360e48]</t>
  </si>
  <si>
    <t>[47.37224, 8.54130]</t>
  </si>
  <si>
    <t>62c6a40e9ddaa30019360e4a</t>
  </si>
  <si>
    <t>[62c6a4229ddaa30019360e4b]</t>
  </si>
  <si>
    <t>[47.37223, 8.54141]</t>
  </si>
  <si>
    <t>62c6a4369ddaa30019360e4d</t>
  </si>
  <si>
    <t>[62c6a4429ddaa30019360e4e]</t>
  </si>
  <si>
    <t>[47.37222, 8.54155]</t>
  </si>
  <si>
    <t>62c6a5389ddaa30019360e50</t>
  </si>
  <si>
    <t>[62c6a5419ddaa30019360e51]</t>
  </si>
  <si>
    <t>[47.37229, 8.54181]</t>
  </si>
  <si>
    <t>62c6a5679ddaa30019360e53</t>
  </si>
  <si>
    <t>[62c6a5aa9ddaa30019360e54]</t>
  </si>
  <si>
    <t>[47.37259, 8.54176]</t>
  </si>
  <si>
    <t>steigung richtung rudolf-brun-brücke</t>
  </si>
  <si>
    <t>62c6a5dc9ddaa30019360e56</t>
  </si>
  <si>
    <t>[62c6a5e69ddaa30019360e57, 62c6a6039ddaa30019360e59, 62c6a60a9ddaa30019360e5b]</t>
  </si>
  <si>
    <t>[47.37259, 8.54171]</t>
  </si>
  <si>
    <t>62c6a60f9ddaa30019360e5d</t>
  </si>
  <si>
    <t>[62c6a6239ddaa30019360e5e]</t>
  </si>
  <si>
    <t>[47.37257, 8.54165]</t>
  </si>
  <si>
    <t>62c6a64f9ddaa30019360e60</t>
  </si>
  <si>
    <t>[62c6a6579ddaa30019360e61]</t>
  </si>
  <si>
    <t>[47.37256, 8.54161]</t>
  </si>
  <si>
    <t>62c6a6609ddaa30019360e63</t>
  </si>
  <si>
    <t>[62c6a6829ddaa30019360e64]</t>
  </si>
  <si>
    <t>[47.37266, 8.54162]</t>
  </si>
  <si>
    <t>gefälle richtung rudolf-brun-brücke</t>
  </si>
  <si>
    <t>62c6a6c39ddaa30019360e66</t>
  </si>
  <si>
    <t>[62c6a6d89ddaa30019360e67]</t>
  </si>
  <si>
    <t>[47.37232, 8.54138]</t>
  </si>
  <si>
    <t>62c6a7169ddaa30019360e69</t>
  </si>
  <si>
    <t>[62c6a71e9ddaa30019360e6a]</t>
  </si>
  <si>
    <t>[47.37238, 8.54140]</t>
  </si>
  <si>
    <t>62c6a72b9ddaa30019360e6c</t>
  </si>
  <si>
    <t>[62c6a73f9ddaa30019360e6d]</t>
  </si>
  <si>
    <t>[47.37237, 8.54133]</t>
  </si>
  <si>
    <t>alternativer weg auf der rechten seite</t>
  </si>
  <si>
    <t>62c6a7de9ddaa30019360e6f</t>
  </si>
  <si>
    <t>[62c6a7eb9ddaa30019360e70]</t>
  </si>
  <si>
    <t>[47.37241, 8.54126]</t>
  </si>
  <si>
    <t>alternativer weg auf der linken seite</t>
  </si>
  <si>
    <t>62c6a80f9ddaa30019360e72</t>
  </si>
  <si>
    <t>[62c6a8169ddaa30019360e73]</t>
  </si>
  <si>
    <t>[47.37238, 8.54129]</t>
  </si>
  <si>
    <t>62c6a8329ddaa30019360e75</t>
  </si>
  <si>
    <t>[62c6a83c9ddaa30019360e76]</t>
  </si>
  <si>
    <t>[47.37238, 8.54117]</t>
  </si>
  <si>
    <t>alternativer weg links</t>
  </si>
  <si>
    <t>62c6a8669ddaa30019360e79</t>
  </si>
  <si>
    <t>[62c6a86c9ddaa30019360e7a]</t>
  </si>
  <si>
    <t>[47.37232, 8.54087]</t>
  </si>
  <si>
    <t>62c6a87e9ddaa30019360e7c</t>
  </si>
  <si>
    <t>[62c6a8859ddaa30019360e7d]</t>
  </si>
  <si>
    <t>[47.37246, 8.54072]</t>
  </si>
  <si>
    <t>steigung richtung lindenhof</t>
  </si>
  <si>
    <t>62c6a8b09ddaa30019360e7f</t>
  </si>
  <si>
    <t>[62c6a8bf9ddaa30019360e80, 62c6a9239ddaa30019360e82, 62c6a9299ddaa30019360e84]</t>
  </si>
  <si>
    <t>[47.37247, 8.54075]</t>
  </si>
  <si>
    <t>62c6a9319ddaa30019360e86</t>
  </si>
  <si>
    <t>[62c6a9459ddaa30019360e87]</t>
  </si>
  <si>
    <t>[47.37271, 8.54078]</t>
  </si>
  <si>
    <t>62c6a9619ddaa30019360e89</t>
  </si>
  <si>
    <t>[62c6a96c9ddaa30019360e8a]</t>
  </si>
  <si>
    <t>[47.37292, 8.54096]</t>
  </si>
  <si>
    <t>kiesplatz</t>
  </si>
  <si>
    <t>62c6a98f9ddaa30019360e8c</t>
  </si>
  <si>
    <t>[62c6a9a19ddaa30019360e8d]</t>
  </si>
  <si>
    <t>[47.37271, 8.54104]</t>
  </si>
  <si>
    <t>62c6a9bd9ddaa30019360e8f</t>
  </si>
  <si>
    <t>[62c6a9c49ddaa30019360e90]</t>
  </si>
  <si>
    <t>[47.37287, 8.54124]</t>
  </si>
  <si>
    <t>62c6aa019ddaa30019360e92</t>
  </si>
  <si>
    <t>[62c6aa089ddaa30019360e93]</t>
  </si>
  <si>
    <t>[47.37286, 8.54048]</t>
  </si>
  <si>
    <t>62c6aa109ddaa30019360e96</t>
  </si>
  <si>
    <t>[62c6aa1c9ddaa30019360e97]</t>
  </si>
  <si>
    <t>[47.37319, 8.54050]</t>
  </si>
  <si>
    <t>62c6aa479ddaa30019360e99</t>
  </si>
  <si>
    <t>[62c6aa879ddaa30019360e9a]</t>
  </si>
  <si>
    <t>[47.37254, 8.54044]</t>
  </si>
  <si>
    <t>62c6aa919ddaa30019360e9c</t>
  </si>
  <si>
    <t>[62c6aaca9ddaa30019360e9d]</t>
  </si>
  <si>
    <t>[47.37235, 8.54044]</t>
  </si>
  <si>
    <t>62c6ab5d9ddaa30019360e9f</t>
  </si>
  <si>
    <t>[62c6ab649ddaa30019360ea0, 62c6ab859ddaa30019360ea2, 62c6ab8b9ddaa30019360ea4]</t>
  </si>
  <si>
    <t>[47.37311, 8.53966]</t>
  </si>
  <si>
    <t>steigung richtung lindenhofstrasse</t>
  </si>
  <si>
    <t>62c6abe79ddaa30019360ea6</t>
  </si>
  <si>
    <t>[62c6abed9ddaa30019360ea7, 62c6ac0a9ddaa30019360ea9, 62c6ac119ddaa30019360eab]</t>
  </si>
  <si>
    <t>[47.37322, 8.54012]</t>
  </si>
  <si>
    <t>62c6ac199ddaa30019360ead</t>
  </si>
  <si>
    <t>[62c6ac269ddaa30019360eae]</t>
  </si>
  <si>
    <t>[47.37317, 8.54013]</t>
  </si>
  <si>
    <t>62c6ac369ddaa30019360eb0</t>
  </si>
  <si>
    <t>[62c6ac3e9ddaa30019360eb1]</t>
  </si>
  <si>
    <t>[47.37314, 8.54014]</t>
  </si>
  <si>
    <t>62c6ac7c9ddaa30019360eb3</t>
  </si>
  <si>
    <t>[62c6ac8a9ddaa30019360eb4]</t>
  </si>
  <si>
    <t>[47.37315, 8.54072]</t>
  </si>
  <si>
    <t>gefälle richtung lindenhofstrasse</t>
  </si>
  <si>
    <t>62c6aca59ddaa30019360eb6</t>
  </si>
  <si>
    <t>[62c6acb69ddaa30019360eb7]</t>
  </si>
  <si>
    <t>[47.37328, 8.54071]</t>
  </si>
  <si>
    <t>62c6acdd9ddaa30019360eb9</t>
  </si>
  <si>
    <t>[62c6ace89ddaa30019360eba]</t>
  </si>
  <si>
    <t>[47.37334, 8.54035]</t>
  </si>
  <si>
    <t>gefälle richtung rennweg</t>
  </si>
  <si>
    <t>62c6ad229ddaa30019360ebc</t>
  </si>
  <si>
    <t>[62c6ad2a9ddaa30019360ebd]</t>
  </si>
  <si>
    <t>[47.37338, 8.54082]</t>
  </si>
  <si>
    <t>62c6ae059ddaa30019360ebf</t>
  </si>
  <si>
    <t>[62c6ae149ddaa30019360ec0]</t>
  </si>
  <si>
    <t>[47.37335, 8.54100]</t>
  </si>
  <si>
    <t>gefälle richtung schipfe</t>
  </si>
  <si>
    <t>62c6ae5b9ddaa30019360ec2</t>
  </si>
  <si>
    <t>[62c6aecd9ddaa30019360ec5]</t>
  </si>
  <si>
    <t>[47.37323, 8.54136]</t>
  </si>
  <si>
    <t>62c6aecd9ddaa30019360ec3</t>
  </si>
  <si>
    <t>[62c6aeda9ddaa30019360ec7]</t>
  </si>
  <si>
    <t>[47.37310, 8.54160]</t>
  </si>
  <si>
    <t>62c6aeef9ddaa30019360ec9</t>
  </si>
  <si>
    <t>[62c6af249ddaa30019360eca]</t>
  </si>
  <si>
    <t>[47.37312, 8.54160]</t>
  </si>
  <si>
    <t>62c6af3b9ddaa30019360ecc</t>
  </si>
  <si>
    <t>[62c6af4c9ddaa30019360ecd]</t>
  </si>
  <si>
    <t>[47.37312, 8.54171]</t>
  </si>
  <si>
    <t>62c6afaa9ddaa30019360ecf</t>
  </si>
  <si>
    <t>[47.37344, 8.54178]</t>
  </si>
  <si>
    <t>62c6afe89ddaa30019360ed0</t>
  </si>
  <si>
    <t>[62c6aff09ddaa30019360ed1]</t>
  </si>
  <si>
    <t>[47.37368, 8.54183]</t>
  </si>
  <si>
    <t>62c6b02a9ddaa30019360ed3</t>
  </si>
  <si>
    <t>[62c6b0429ddaa30019360ed4]</t>
  </si>
  <si>
    <t>[47.37386, 8.54183]</t>
  </si>
  <si>
    <t>steigung richtung oetenbachgasse</t>
  </si>
  <si>
    <t>62c6b07e9ddaa30019360ed7</t>
  </si>
  <si>
    <t>[47.37382, 8.54192]</t>
  </si>
  <si>
    <t>62c6b1459ddaa30019360eda</t>
  </si>
  <si>
    <t>[47.37425, 8.54185]</t>
  </si>
  <si>
    <t>62c6b16b9ddaa30019360edc</t>
  </si>
  <si>
    <t>[62c6b1749ddaa30019360edd]</t>
  </si>
  <si>
    <t>[47.37431, 8.54199]</t>
  </si>
  <si>
    <t>62c6b1a09ddaa30019360edf</t>
  </si>
  <si>
    <t>[62c6b1ba9ddaa30019360ee0]</t>
  </si>
  <si>
    <t>[47.37432, 8.54174]</t>
  </si>
  <si>
    <t>62c6b20e9ddaa30019360ee2</t>
  </si>
  <si>
    <t>[62c6b21e9ddaa30019360ee3]</t>
  </si>
  <si>
    <t>[47.37417, 8.54155]</t>
  </si>
  <si>
    <t>62c6b2379ddaa30019360ee5</t>
  </si>
  <si>
    <t>[62c6b2409ddaa30019360ee6]</t>
  </si>
  <si>
    <t>[47.37405, 8.54173]</t>
  </si>
  <si>
    <t>62c6b34f9ddaa30019360eeb</t>
  </si>
  <si>
    <t>[62c6b3679ddaa30019360eec]</t>
  </si>
  <si>
    <t>[47.37350, 8.54080]</t>
  </si>
  <si>
    <t>62c6b3839ddaa30019360eee</t>
  </si>
  <si>
    <t>[62c6b39b9ddaa30019360eef, 62c6b3a39ddaa30019360ef1, 62c6b3b29ddaa30019360ef3]</t>
  </si>
  <si>
    <t>[47.37340, 8.54095]</t>
  </si>
  <si>
    <t>62c6b3df9ddaa30019360ef5</t>
  </si>
  <si>
    <t>[62c6b3ea9ddaa30019360ef6]</t>
  </si>
  <si>
    <t>gittertüre</t>
  </si>
  <si>
    <t>614de7449ebcfc0013c74a7a</t>
  </si>
  <si>
    <t>gate</t>
  </si>
  <si>
    <t>62c6b4a29ddaa30019360ef8</t>
  </si>
  <si>
    <t>[62c6b4ad9ddaa30019360ef9]</t>
  </si>
  <si>
    <t>[47.37350, 8.54081]</t>
  </si>
  <si>
    <t>gittertor</t>
  </si>
  <si>
    <t>62c6b4ef9ddaa30019360efb</t>
  </si>
  <si>
    <t>[62c6b4f89ddaa30019360efc]</t>
  </si>
  <si>
    <t>[47.37393, 8.54029]</t>
  </si>
  <si>
    <t>62c6b5089ddaa30019360efe</t>
  </si>
  <si>
    <t>[62c6b50f9ddaa30019360eff]</t>
  </si>
  <si>
    <t>[47.37390, 8.54015]</t>
  </si>
  <si>
    <t>62c6b5c69ddaa30019360f01</t>
  </si>
  <si>
    <t>[62c6b5d99ddaa30019360f02]</t>
  </si>
  <si>
    <t>[47.37393, 8.53968]</t>
  </si>
  <si>
    <t>ladenschild</t>
  </si>
  <si>
    <t>62c6b5fe9ddaa30019360f04</t>
  </si>
  <si>
    <t>[62c6b6049ddaa30019360f05]</t>
  </si>
  <si>
    <t>[47.37390, 8.53941]</t>
  </si>
  <si>
    <t>62c6c99b9ddaa30019360f09</t>
  </si>
  <si>
    <t>[47.37247, 8.54074]</t>
  </si>
  <si>
    <t>Alternative on the side</t>
  </si>
  <si>
    <t>628b54b197ef07001914d78a</t>
  </si>
  <si>
    <t>62cbd68d37a761001a52c547</t>
  </si>
  <si>
    <t>[62cbd69e37a761001a52c548]</t>
  </si>
  <si>
    <t>[47.36809, 8.54683]</t>
  </si>
  <si>
    <t>H</t>
  </si>
  <si>
    <t>62cbd6fa37a761001a52c54a</t>
  </si>
  <si>
    <t>[62cbd70c37a761001a52c54b]</t>
  </si>
  <si>
    <t>[47.36781, 8.54625]</t>
  </si>
  <si>
    <t>62cbd73437a761001a52c54d</t>
  </si>
  <si>
    <t>[62cbd73e37a761001a52c54e]</t>
  </si>
  <si>
    <t>[47.36778, 8.54619]</t>
  </si>
  <si>
    <t>62cbd79737a761001a52c550</t>
  </si>
  <si>
    <t>[62cbd91737a761001a52c551]</t>
  </si>
  <si>
    <t>[47.36728, 8.54685]</t>
  </si>
  <si>
    <t>62cbd93837a761001a52c553</t>
  </si>
  <si>
    <t>[62cbd94637a761001a52c554]</t>
  </si>
  <si>
    <t>[47.36728, 8.54697]</t>
  </si>
  <si>
    <t>steigung richtung bahnhof stadelhofen</t>
  </si>
  <si>
    <t>62cbd98837a761001a52c556</t>
  </si>
  <si>
    <t>[62cbd99537a761001a52c557]</t>
  </si>
  <si>
    <t>[47.36734, 8.54715]</t>
  </si>
  <si>
    <t>alternativer weg am ende der treppe links</t>
  </si>
  <si>
    <t>62cbd9ef37a761001a52c559</t>
  </si>
  <si>
    <t>[62cbd9fa37a761001a52c55a]</t>
  </si>
  <si>
    <t>[47.36710, 8.54716]</t>
  </si>
  <si>
    <t>62cbdac637a761001a52c55c</t>
  </si>
  <si>
    <t>[62cbdae737a761001a52c55d, 62cbdaeb37a761001a52c55f, 62cbdaf637a761001a52c561]</t>
  </si>
  <si>
    <t>[47.36715, 8.54698]</t>
  </si>
  <si>
    <t>62cbdb2537a761001a52c563</t>
  </si>
  <si>
    <t>[62cbdb3037a761001a52c564]</t>
  </si>
  <si>
    <t>[47.36701, 8.54712]</t>
  </si>
  <si>
    <t>62cbdbf137a761001a52c566</t>
  </si>
  <si>
    <t>[62cbdbf937a761001a52c567, 62cbdbff37a761001a52c569, 62cbdc0437a761001a52c56b]</t>
  </si>
  <si>
    <t>[47.36677, 8.54737]</t>
  </si>
  <si>
    <t>62cbdc4137a761001a52c56d</t>
  </si>
  <si>
    <t>[62cbdc4b37a761001a52c56e]</t>
  </si>
  <si>
    <t>[47.36672, 8.54768]</t>
  </si>
  <si>
    <t>62cbdc8537a761001a52c570</t>
  </si>
  <si>
    <t>[62cbdc9437a761001a52c571]</t>
  </si>
  <si>
    <t>[47.36671, 8.54775]</t>
  </si>
  <si>
    <t>62cbdcb437a761001a52c573</t>
  </si>
  <si>
    <t>[62cbdcc337a761001a52c574]</t>
  </si>
  <si>
    <t>[47.36659, 8.54783]</t>
  </si>
  <si>
    <t>62cbdd1937a761001a52c576</t>
  </si>
  <si>
    <t>[62cbdd2937a761001a52c577, 62cbdd4f37a761001a52c579, 62cbdd5737a761001a52c57b]</t>
  </si>
  <si>
    <t>[47.36661, 8.54853]</t>
  </si>
  <si>
    <t>alternativer weg ganz rechts und links der treppe</t>
  </si>
  <si>
    <t>62cbddd137a761001a52c57d</t>
  </si>
  <si>
    <t>[62cbdddd37a761001a52c57e]</t>
  </si>
  <si>
    <t>[47.36640, 8.54824]</t>
  </si>
  <si>
    <t>62cbddf737a761001a52c580</t>
  </si>
  <si>
    <t>[62cbde0537a761001a52c581]</t>
  </si>
  <si>
    <t>[47.36618, 8.54882]</t>
  </si>
  <si>
    <t>baustelle, trottoir gesperrt; alternativer weg auf der anderen strassenseite</t>
  </si>
  <si>
    <t>2023-12-11</t>
  </si>
  <si>
    <t>62cbde5e37a761001a52c583</t>
  </si>
  <si>
    <t>[47.36613, 8.54889]</t>
  </si>
  <si>
    <t>62cbdf6c37a761001a52c584</t>
  </si>
  <si>
    <t>[62cbdf7537a761001a52c585]</t>
  </si>
  <si>
    <t>[47.36520, 8.54787]</t>
  </si>
  <si>
    <t>62cbdfb937a761001a52c587</t>
  </si>
  <si>
    <t>[62cbdfc537a761001a52c588]</t>
  </si>
  <si>
    <t>[47.36557, 8.54737]</t>
  </si>
  <si>
    <t>62cbdfd837a761001a52c58a</t>
  </si>
  <si>
    <t>[62cbdfde37a761001a52c58b]</t>
  </si>
  <si>
    <t>[47.36568, 8.54738]</t>
  </si>
  <si>
    <t>62cbe03d37a761001a52c58d</t>
  </si>
  <si>
    <t>[62cbe04437a761001a52c58e]</t>
  </si>
  <si>
    <t>[47.36622, 8.54826]</t>
  </si>
  <si>
    <t>62cbe06737a761001a52c590</t>
  </si>
  <si>
    <t>[62cbe07337a761001a52c591]</t>
  </si>
  <si>
    <t>[47.36613, 8.54822]</t>
  </si>
  <si>
    <t>62cbe08737a761001a52c593</t>
  </si>
  <si>
    <t>[62cbe09337a761001a52c594]</t>
  </si>
  <si>
    <t>[47.36618, 8.54813]</t>
  </si>
  <si>
    <t>62cbe09a37a761001a52c596</t>
  </si>
  <si>
    <t>[62cbe0a537a761001a52c597]</t>
  </si>
  <si>
    <t>[47.36612, 8.54777]</t>
  </si>
  <si>
    <t>62cbe3d737a761001a52c599</t>
  </si>
  <si>
    <t>[47.36634, 8.54763]</t>
  </si>
  <si>
    <t>62cbe3e537a761001a52c59a</t>
  </si>
  <si>
    <t>[62cbe3f237a761001a52c59b]</t>
  </si>
  <si>
    <t>[47.36636, 8.54762]</t>
  </si>
  <si>
    <t>62cbe40a37a761001a52c59d</t>
  </si>
  <si>
    <t>[62cbe42437a761001a52c59e]</t>
  </si>
  <si>
    <t>[47.36626, 8.54767]</t>
  </si>
  <si>
    <t>62cbe46b37a761001a52c5a0</t>
  </si>
  <si>
    <t>[62cbe47237a761001a52c5a1]</t>
  </si>
  <si>
    <t>[47.36595, 8.54705]</t>
  </si>
  <si>
    <t>62cbe50537a761001a52c5a3</t>
  </si>
  <si>
    <t>[62cbe50d37a761001a52c5a4]</t>
  </si>
  <si>
    <t>[47.36659, 8.54741]</t>
  </si>
  <si>
    <t>62cbe5b737a761001a52c5a6</t>
  </si>
  <si>
    <t>[62cbe5be37a761001a52c5a7]</t>
  </si>
  <si>
    <t>[47.36675, 8.54628]</t>
  </si>
  <si>
    <t>schlaglöcher</t>
  </si>
  <si>
    <t>62cbe69d37a761001a52c5a9</t>
  </si>
  <si>
    <t>[62cbe6a837a761001a52c5aa]</t>
  </si>
  <si>
    <t>[47.36698, 8.54576]</t>
  </si>
  <si>
    <t>62cbe6f337a761001a52c5ac</t>
  </si>
  <si>
    <t>[62cbe6fb37a761001a52c5ad]</t>
  </si>
  <si>
    <t>[47.36737, 8.54604]</t>
  </si>
  <si>
    <t>62cbe79237a761001a52c5af</t>
  </si>
  <si>
    <t>[62cbe79837a761001a52c5b0]</t>
  </si>
  <si>
    <t>[47.36755, 8.54563]</t>
  </si>
  <si>
    <t>62cbe8a737a761001a52c5b2</t>
  </si>
  <si>
    <t>[62cbe8b637a761001a52c5b3]</t>
  </si>
  <si>
    <t>[47.36678, 8.54729]</t>
  </si>
  <si>
    <t>62cbe9ff37a761001a52c5b5</t>
  </si>
  <si>
    <t>[62cbea4937a761001a52c5b6]</t>
  </si>
  <si>
    <t>[47.36585, 8.54870]</t>
  </si>
  <si>
    <t>62cbeaa337a761001a52c5b8</t>
  </si>
  <si>
    <t>[62cbeaa837a761001a52c5b9]</t>
  </si>
  <si>
    <t>[47.36529, 8.54813]</t>
  </si>
  <si>
    <t>62cbeb0337a761001a52c5bb</t>
  </si>
  <si>
    <t>[62cbeb0837a761001a52c5bc]</t>
  </si>
  <si>
    <t>[47.36491, 8.54770]</t>
  </si>
  <si>
    <t>62cbebc637a761001a52c5be</t>
  </si>
  <si>
    <t>[62cbebd137a761001a52c5bf]</t>
  </si>
  <si>
    <t>[47.36436, 8.54575]</t>
  </si>
  <si>
    <t>62cbebef37a761001a52c5c1</t>
  </si>
  <si>
    <t>[62cbec0d37a761001a52c5c2]</t>
  </si>
  <si>
    <t>[47.36462, 8.54550]</t>
  </si>
  <si>
    <t>kleine pflasterstein weg</t>
  </si>
  <si>
    <t>62cbecbb37a761001a52c5c4</t>
  </si>
  <si>
    <t>[62cbecc437a761001a52c5c5]</t>
  </si>
  <si>
    <t>[47.36503, 8.54534]</t>
  </si>
  <si>
    <t>62cbece437a761001a52c5c7</t>
  </si>
  <si>
    <t>[62cbeced37a761001a52c5c8]</t>
  </si>
  <si>
    <t>[47.36534, 8.54516]</t>
  </si>
  <si>
    <t>62cbecf937a761001a52c5ca</t>
  </si>
  <si>
    <t>[62cbed0537a761001a52c5cb]</t>
  </si>
  <si>
    <t>[47.36539, 8.54504]</t>
  </si>
  <si>
    <t>pflasterstein mit kleinen steinen</t>
  </si>
  <si>
    <t>62cbed1c37a761001a52c5cd</t>
  </si>
  <si>
    <t>[62cbed2437a761001a52c5ce]</t>
  </si>
  <si>
    <t>[47.36561, 8.54502]</t>
  </si>
  <si>
    <t>62cbed3637a761001a52c5d0</t>
  </si>
  <si>
    <t>[47.36594, 8.54472]</t>
  </si>
  <si>
    <t>pflasterstein weg mit kleinen steinen</t>
  </si>
  <si>
    <t>62cbed7537a761001a52c5d1</t>
  </si>
  <si>
    <t>[62cbed7f37a761001a52c5d2]</t>
  </si>
  <si>
    <t>[47.36606, 8.54468]</t>
  </si>
  <si>
    <t>steigung richtung bellevue</t>
  </si>
  <si>
    <t>62cbedba37a761001a52c5d4</t>
  </si>
  <si>
    <t>[62cbedc837a761001a52c5d5]</t>
  </si>
  <si>
    <t>[47.36649, 8.54437]</t>
  </si>
  <si>
    <t>62cbedd637a761001a52c5d7</t>
  </si>
  <si>
    <t>[62cbede437a761001a52c5d8]</t>
  </si>
  <si>
    <t>[47.36644, 8.54442]</t>
  </si>
  <si>
    <t>62cbee0c37a761001a52c5da</t>
  </si>
  <si>
    <t>[62cbee1137a761001a52c5db]</t>
  </si>
  <si>
    <t>[47.36627, 8.54450]</t>
  </si>
  <si>
    <t>62cbee1837a761001a52c5dd</t>
  </si>
  <si>
    <t>[62cbee2037a761001a52c5de]</t>
  </si>
  <si>
    <t>[47.36635, 8.54446]</t>
  </si>
  <si>
    <t>62cbee2937a761001a52c5e0</t>
  </si>
  <si>
    <t>[62cbee3a37a761001a52c5e1]</t>
  </si>
  <si>
    <t>[47.36618, 8.54458]</t>
  </si>
  <si>
    <t>62cbee4737a761001a52c5e3</t>
  </si>
  <si>
    <t>[62cbee5137a761001a52c5e4]</t>
  </si>
  <si>
    <t>[47.36611, 8.54461]</t>
  </si>
  <si>
    <t>alternativer weg ganz rechts</t>
  </si>
  <si>
    <t>62cbeeb737a761001a52c5e6</t>
  </si>
  <si>
    <t>[62cbeec837a761001a52c5e7]</t>
  </si>
  <si>
    <t>[47.36671, 8.54428]</t>
  </si>
  <si>
    <t>62cbef1437a761001a52c5e9</t>
  </si>
  <si>
    <t>[62cbef2037a761001a52c5ea]</t>
  </si>
  <si>
    <t>[47.36685, 8.54402]</t>
  </si>
  <si>
    <t>gefälle richtung quaibrücke</t>
  </si>
  <si>
    <t>62cbef7737a761001a52c5ec</t>
  </si>
  <si>
    <t>[62cbefc237a761001a52c5ed]</t>
  </si>
  <si>
    <t>[47.36700, 8.54420]</t>
  </si>
  <si>
    <t>62cbefe837a761001a52c5ef</t>
  </si>
  <si>
    <t>[62cbeff037a761001a52c5f0]</t>
  </si>
  <si>
    <t>[47.36709, 8.54415]</t>
  </si>
  <si>
    <t>62cbf08d37a761001a52c5f2</t>
  </si>
  <si>
    <t>[62cbf09537a761001a52c5f3]</t>
  </si>
  <si>
    <t>[47.36679, 8.54450]</t>
  </si>
  <si>
    <t>62cbf11a37a761001a52c5f5</t>
  </si>
  <si>
    <t>[62cbf12137a761001a52c5f6]</t>
  </si>
  <si>
    <t>[47.36592, 8.54494]</t>
  </si>
  <si>
    <t>62cbf2f137a761001a52c5f8</t>
  </si>
  <si>
    <t>[62cbf2f937a761001a52c5f9]</t>
  </si>
  <si>
    <t>[47.36551, 8.54519]</t>
  </si>
  <si>
    <t>62cbf37437a761001a52c5fb</t>
  </si>
  <si>
    <t>[62cbf37a37a761001a52c5fc]</t>
  </si>
  <si>
    <t>[47.36467, 8.54567]</t>
  </si>
  <si>
    <t>62cbf43c37a761001a52c5fe</t>
  </si>
  <si>
    <t>[62cbf44337a761001a52c5ff, 62cbf44b37a761001a52c601, 62cbf45237a761001a52c603]</t>
  </si>
  <si>
    <t>[47.36446, 8.54662]</t>
  </si>
  <si>
    <t>62cbf49437a761001a52c605</t>
  </si>
  <si>
    <t>[62cbf4a137a761001a52c606]</t>
  </si>
  <si>
    <t>[47.36480, 8.54726]</t>
  </si>
  <si>
    <t>62cbf50437a761001a52c608</t>
  </si>
  <si>
    <t>[62cbf50c37a761001a52c609]</t>
  </si>
  <si>
    <t>[47.36535, 8.54686]</t>
  </si>
  <si>
    <t>62cbf54837a761001a52c60b</t>
  </si>
  <si>
    <t>[62cbf56037a761001a52c60c]</t>
  </si>
  <si>
    <t>[47.36520, 8.54642]</t>
  </si>
  <si>
    <t>62cbf5ae37a761001a52c60e</t>
  </si>
  <si>
    <t>[62cbf5b637a761001a52c60f, 62cbf5b837a761001a52c611]</t>
  </si>
  <si>
    <t>[47.36467, 8.54610]</t>
  </si>
  <si>
    <t>62cbf64f37a761001a52c613</t>
  </si>
  <si>
    <t>[62cbf65637a761001a52c614]</t>
  </si>
  <si>
    <t>[47.36503, 8.54767]</t>
  </si>
  <si>
    <t>62cbf6d537a761001a52c616</t>
  </si>
  <si>
    <t>[62cbf6da37a761001a52c617]</t>
  </si>
  <si>
    <t>[47.36574, 8.54712]</t>
  </si>
  <si>
    <t>62cbf75437a761001a52c619</t>
  </si>
  <si>
    <t>[62cbf75c37a761001a52c61a]</t>
  </si>
  <si>
    <t>[47.36666, 8.54569]</t>
  </si>
  <si>
    <t>62cbf7b637a761001a52c61c</t>
  </si>
  <si>
    <t>[62cbf7bf37a761001a52c61d]</t>
  </si>
  <si>
    <t>[47.36649, 8.54514]</t>
  </si>
  <si>
    <t>62cbf7f737a761001a52c61f</t>
  </si>
  <si>
    <t>[62cbf80337a761001a52c620, 62cbf80437a761001a52c622]</t>
  </si>
  <si>
    <t>[47.36684, 8.54457]</t>
  </si>
  <si>
    <t>62cbf81737a761001a52c624</t>
  </si>
  <si>
    <t>[62cbf82b37a761001a52c625]</t>
  </si>
  <si>
    <t>[47.36694, 8.54470]</t>
  </si>
  <si>
    <t>62cbf84137a761001a52c627</t>
  </si>
  <si>
    <t>[62cbf84c37a761001a52c628]</t>
  </si>
  <si>
    <t>[47.36705, 8.54456]</t>
  </si>
  <si>
    <t>62cbf89837a761001a52c62a</t>
  </si>
  <si>
    <t>[62cbf8a137a761001a52c62b]</t>
  </si>
  <si>
    <t>[47.36722, 8.54445]</t>
  </si>
  <si>
    <t>62cbf8e337a761001a52c62d</t>
  </si>
  <si>
    <t>[62cbf8f237a761001a52c62e]</t>
  </si>
  <si>
    <t>[47.36727, 8.54505]</t>
  </si>
  <si>
    <t>62cbf93637a761001a52c630</t>
  </si>
  <si>
    <t>[62cbf94137a761001a52c631]</t>
  </si>
  <si>
    <t>[47.36727, 8.54520]</t>
  </si>
  <si>
    <t>62cbf98f37a761001a52c633</t>
  </si>
  <si>
    <t>[62cbf99737a761001a52c634]</t>
  </si>
  <si>
    <t>[47.36748, 8.54531]</t>
  </si>
  <si>
    <t>62cbf9cb37a761001a52c636</t>
  </si>
  <si>
    <t>[62cbf9db37a761001a52c637]</t>
  </si>
  <si>
    <t>[47.36686, 8.54560]</t>
  </si>
  <si>
    <t>62cbf9ed37a761001a52c639</t>
  </si>
  <si>
    <t>[62cbf9f237a761001a52c63a]</t>
  </si>
  <si>
    <t>[47.36678, 8.54552]</t>
  </si>
  <si>
    <t>62cbfa1137a761001a52c63c</t>
  </si>
  <si>
    <t>[62cbfa1a37a761001a52c63d]</t>
  </si>
  <si>
    <t>[47.36671, 8.54561]</t>
  </si>
  <si>
    <t>62ce71c637a761001a52c63f</t>
  </si>
  <si>
    <t>[62ce71cd37a761001a52c640]</t>
  </si>
  <si>
    <t>[47.37679, 8.54166]</t>
  </si>
  <si>
    <t>N</t>
  </si>
  <si>
    <t>62ce722037a761001a52c642</t>
  </si>
  <si>
    <t>[62ce722837a761001a52c643]</t>
  </si>
  <si>
    <t>[47.37686, 8.54111]</t>
  </si>
  <si>
    <t>treppe zur bahnhofunterführung</t>
  </si>
  <si>
    <t>62ce72b537a761001a52c645</t>
  </si>
  <si>
    <t>[62ce72d737a761001a52c646]</t>
  </si>
  <si>
    <t>[47.37684, 8.53998]</t>
  </si>
  <si>
    <t>rolltreppe zur bahnhofsunterführung</t>
  </si>
  <si>
    <t>62ce72ea37a761001a52c648</t>
  </si>
  <si>
    <t>[62ce72f037a761001a52c649]</t>
  </si>
  <si>
    <t>[47.37684, 8.53994]</t>
  </si>
  <si>
    <t>rolltreppe zur bahnhofstrasse</t>
  </si>
  <si>
    <t>62ce72fe37a761001a52c64b</t>
  </si>
  <si>
    <t>[62ce730637a761001a52c64c]</t>
  </si>
  <si>
    <t>[47.37680, 8.54019]</t>
  </si>
  <si>
    <t>62ce735137a761001a52c64e</t>
  </si>
  <si>
    <t>[62ce735837a761001a52c64f]</t>
  </si>
  <si>
    <t>[47.37662, 8.53984]</t>
  </si>
  <si>
    <t>62ce745e37a761001a52c651</t>
  </si>
  <si>
    <t>[62ce746437a761001a52c652]</t>
  </si>
  <si>
    <t>[47.37630, 8.53988]</t>
  </si>
  <si>
    <t>62ce751937a761001a52c654</t>
  </si>
  <si>
    <t>[62ce751f37a761001a52c655]</t>
  </si>
  <si>
    <t>[47.37573, 8.53971]</t>
  </si>
  <si>
    <t>62ce758f37a761001a52c657</t>
  </si>
  <si>
    <t>[62ce759437a761001a52c658]</t>
  </si>
  <si>
    <t>[47.37582, 8.54034]</t>
  </si>
  <si>
    <t>62ce75f437a761001a52c65a</t>
  </si>
  <si>
    <t>[62ce75fb37a761001a52c65b]</t>
  </si>
  <si>
    <t>[47.37536, 8.53918]</t>
  </si>
  <si>
    <t>62ce767437a761001a52c65d</t>
  </si>
  <si>
    <t>[62ce768037a761001a52c65e]</t>
  </si>
  <si>
    <t>[47.37500, 8.53999]</t>
  </si>
  <si>
    <t>rampe auf der linken seite, neben fussgängerstreifen</t>
  </si>
  <si>
    <t>62ce76ec37a761001a52c660</t>
  </si>
  <si>
    <t>[62ce76f537a761001a52c661]</t>
  </si>
  <si>
    <t>[47.37505, 8.53920]</t>
  </si>
  <si>
    <t>62ce772437a761001a52c663</t>
  </si>
  <si>
    <t>[62ce772c37a761001a52c664]</t>
  </si>
  <si>
    <t>[47.37483, 8.53891]</t>
  </si>
  <si>
    <t>62ce777137a761001a52c666</t>
  </si>
  <si>
    <t>[62ce777637a761001a52c667]</t>
  </si>
  <si>
    <t>[47.37457, 8.53901]</t>
  </si>
  <si>
    <t>62ce778c37a761001a52c669</t>
  </si>
  <si>
    <t>[62ce779837a761001a52c66a]</t>
  </si>
  <si>
    <t>[47.37473, 8.53972]</t>
  </si>
  <si>
    <t>pflastersteinplatz</t>
  </si>
  <si>
    <t>62ce788b37a761001a52c66c</t>
  </si>
  <si>
    <t>[62ce789137a761001a52c66d]</t>
  </si>
  <si>
    <t>[47.37512, 8.54011]</t>
  </si>
  <si>
    <t>62ce793937a761001a52c66f</t>
  </si>
  <si>
    <t>[62ce797437a761001a52c670, 62ce797637a761001a52c672, 62ce797f37a761001a52c674]</t>
  </si>
  <si>
    <t>[47.37667, 8.54066]</t>
  </si>
  <si>
    <t>baustelle, umweg auf anderer strassenseite</t>
  </si>
  <si>
    <t>62ce79ad37a761001a52c676</t>
  </si>
  <si>
    <t>[62ce79b237a761001a52c677]</t>
  </si>
  <si>
    <t>[47.37629, 8.54085]</t>
  </si>
  <si>
    <t>62ce79e637a761001a52c679</t>
  </si>
  <si>
    <t>[62ce79ef37a761001a52c67a]</t>
  </si>
  <si>
    <t>[47.37607, 8.54119]</t>
  </si>
  <si>
    <t>62ce79f637a761001a52c67c</t>
  </si>
  <si>
    <t>[62ce79fd37a761001a52c67d]</t>
  </si>
  <si>
    <t>[47.37601, 8.54130]</t>
  </si>
  <si>
    <t>unebener pflastersteinplatz</t>
  </si>
  <si>
    <t>62ce7a1537a761001a52c67f</t>
  </si>
  <si>
    <t>[62ce7a2537a761001a52c680]</t>
  </si>
  <si>
    <t>[47.37611, 8.54132]</t>
  </si>
  <si>
    <t>terassentische, umweg rechts auf platz</t>
  </si>
  <si>
    <t>62ce7abd37a761001a52c682</t>
  </si>
  <si>
    <t>[62ce7ac637a761001a52c683]</t>
  </si>
  <si>
    <t>[47.37564, 8.54105]</t>
  </si>
  <si>
    <t>62ce7b2237a761001a52c685</t>
  </si>
  <si>
    <t>[62ce7b4437a761001a52c686]</t>
  </si>
  <si>
    <t>[47.37530, 8.54090]</t>
  </si>
  <si>
    <t>62ce7b5237a761001a52c688</t>
  </si>
  <si>
    <t>[62ce7b6537a761001a52c689]</t>
  </si>
  <si>
    <t>[47.37528, 8.54081]</t>
  </si>
  <si>
    <t>62ce7b7937a761001a52c68b</t>
  </si>
  <si>
    <t>[62ce7ba237a761001a52c68c]</t>
  </si>
  <si>
    <t>[47.37522, 8.54085]</t>
  </si>
  <si>
    <t>treppe verhindert durchgang</t>
  </si>
  <si>
    <t>62ce7be137a761001a52c68e</t>
  </si>
  <si>
    <t>[62ce7be637a761001a52c68f]</t>
  </si>
  <si>
    <t>[47.37517, 8.54052]</t>
  </si>
  <si>
    <t>62ce7c2c37a761001a52c691</t>
  </si>
  <si>
    <t>[62ce7c3037a761001a52c692]</t>
  </si>
  <si>
    <t>[47.37473, 8.54003]</t>
  </si>
  <si>
    <t>62ce7c4437a761001a52c694</t>
  </si>
  <si>
    <t>[62ce7c5237a761001a52c695]</t>
  </si>
  <si>
    <t>[47.37459, 8.54011]</t>
  </si>
  <si>
    <t>62ce7c5a37a761001a52c697</t>
  </si>
  <si>
    <t>[62ce7c6237a761001a52c698]</t>
  </si>
  <si>
    <t>[47.37461, 8.54021]</t>
  </si>
  <si>
    <t>kürzere treppenverzweigung, längere treppe hat 48 stufen</t>
  </si>
  <si>
    <t>62ce7d3937a761001a52c69a</t>
  </si>
  <si>
    <t>[62ce7d4337a761001a52c69b]</t>
  </si>
  <si>
    <t>[47.37429, 8.54019]</t>
  </si>
  <si>
    <t>kürzere treppenverzweigung, längere treppe hat 50 stufen</t>
  </si>
  <si>
    <t>62ce7ea537a761001a52c69d</t>
  </si>
  <si>
    <t>[62ce7eac37a761001a52c69e]</t>
  </si>
  <si>
    <t>[47.37441, 8.53928]</t>
  </si>
  <si>
    <t>62ce7f5237a761001a52c6a0</t>
  </si>
  <si>
    <t>[62ce7f6337a761001a52c6a1]</t>
  </si>
  <si>
    <t>[47.37404, 8.53874]</t>
  </si>
  <si>
    <t>62ce7f9c37a761001a52c6a3</t>
  </si>
  <si>
    <t>[62ce7fa237a761001a52c6a4]</t>
  </si>
  <si>
    <t>[47.37396, 8.53880]</t>
  </si>
  <si>
    <t>62ce7fef37a761001a52c6a6</t>
  </si>
  <si>
    <t>[62ce7ff737a761001a52c6a7]</t>
  </si>
  <si>
    <t>[47.37395, 8.53916]</t>
  </si>
  <si>
    <t>62ce805237a761001a52c6a9</t>
  </si>
  <si>
    <t>[62ce806337a761001a52c6aa]</t>
  </si>
  <si>
    <t>[47.37400, 8.54015]</t>
  </si>
  <si>
    <t>62ce80cd37a761001a52c6ac</t>
  </si>
  <si>
    <t>[62ce80e037a761001a52c6ad]</t>
  </si>
  <si>
    <t>[47.37461, 8.54035]</t>
  </si>
  <si>
    <t>bordstein schmaller auf der linken seite</t>
  </si>
  <si>
    <t>62ce815237a761001a52c6af</t>
  </si>
  <si>
    <t>[62ce815d37a761001a52c6b0, 62ce816537a761001a52c6b2]</t>
  </si>
  <si>
    <t>[47.37505, 8.54080]</t>
  </si>
  <si>
    <t>gefälle richtung werdmühlestrassw</t>
  </si>
  <si>
    <t>62ce81aa37a761001a52c6b4</t>
  </si>
  <si>
    <t>[62ce81b337a761001a52c6b5]</t>
  </si>
  <si>
    <t>[47.37514, 8.54095]</t>
  </si>
  <si>
    <t>62ce81e037a761001a52c6b7</t>
  </si>
  <si>
    <t>[62ce81ef37a761001a52c6b8]</t>
  </si>
  <si>
    <t>[47.37492, 8.54116]</t>
  </si>
  <si>
    <t>62ce821b37a761001a52c6ba</t>
  </si>
  <si>
    <t>[62ce822937a761001a52c6bb]</t>
  </si>
  <si>
    <t>[47.37489, 8.54083]</t>
  </si>
  <si>
    <t>62ce828a37a761001a52c6bd</t>
  </si>
  <si>
    <t>[62ce82c037a761001a52c6be]</t>
  </si>
  <si>
    <t>[47.37495, 8.54087]</t>
  </si>
  <si>
    <t>62ce82ea37a761001a52c6c0</t>
  </si>
  <si>
    <t>[62ce82f037a761001a52c6c1]</t>
  </si>
  <si>
    <t>[47.37488, 8.54069]</t>
  </si>
  <si>
    <t>62ce833b37a761001a52c6c3</t>
  </si>
  <si>
    <t>[62ce834037a761001a52c6c4]</t>
  </si>
  <si>
    <t>[47.37467, 8.54046]</t>
  </si>
  <si>
    <t>62ce839437a761001a52c6c6</t>
  </si>
  <si>
    <t>[62ce83ca37a761001a52c6c7, 62ce841537a761001a52c6c9]</t>
  </si>
  <si>
    <t>[47.37404, 8.54074]</t>
  </si>
  <si>
    <t>62ce842137a761001a52c6cb</t>
  </si>
  <si>
    <t>[62ce845737a761001a52c6cc]</t>
  </si>
  <si>
    <t>[47.37417, 8.54079]</t>
  </si>
  <si>
    <t>62ce846737a761001a52c6ce</t>
  </si>
  <si>
    <t>[62ce847c37a761001a52c6cf]</t>
  </si>
  <si>
    <t>[47.37422, 8.54078]</t>
  </si>
  <si>
    <t>62ce84c037a761001a52c6d1</t>
  </si>
  <si>
    <t>[62ce84c637a761001a52c6d2]</t>
  </si>
  <si>
    <t>[47.37428, 8.54086]</t>
  </si>
  <si>
    <t>62ce84f637a761001a52c6d4</t>
  </si>
  <si>
    <t>[47.37427, 8.54060]</t>
  </si>
  <si>
    <t>62ce855c37a761001a52c6d5</t>
  </si>
  <si>
    <t>[62ce856637a761001a52c6d6]</t>
  </si>
  <si>
    <t>[47.37409, 8.54137]</t>
  </si>
  <si>
    <t>gefälle richtung uraniastrasse</t>
  </si>
  <si>
    <t>62ce858a37a761001a52c6d8</t>
  </si>
  <si>
    <t>[62ce859137a761001a52c6d9]</t>
  </si>
  <si>
    <t>[47.37410, 8.54136]</t>
  </si>
  <si>
    <t>62ce868337a761001a52c6db</t>
  </si>
  <si>
    <t>[62ce869637a761001a52c6dc]</t>
  </si>
  <si>
    <t>[47.37548, 8.54205]</t>
  </si>
  <si>
    <t>62ce86a137a761001a52c6de</t>
  </si>
  <si>
    <t>[62ce86aa37a761001a52c6df]</t>
  </si>
  <si>
    <t>[47.37552, 8.54212]</t>
  </si>
  <si>
    <t>62ce86d037a761001a52c6e1</t>
  </si>
  <si>
    <t>[62ce86da37a761001a52c6e2]</t>
  </si>
  <si>
    <t>[47.37560, 8.54219]</t>
  </si>
  <si>
    <t>62ce870137a761001a52c6e4</t>
  </si>
  <si>
    <t>[62ce870b37a761001a52c6e5]</t>
  </si>
  <si>
    <t>[47.37563, 8.54213]</t>
  </si>
  <si>
    <t>steigung richtung mühlesteg</t>
  </si>
  <si>
    <t>62ce874137a761001a52c6e7</t>
  </si>
  <si>
    <t>[62ce874837a761001a52c6e8]</t>
  </si>
  <si>
    <t>[47.37565, 8.54211]</t>
  </si>
  <si>
    <t>gefälle richtung mühlesteg</t>
  </si>
  <si>
    <t>62ce880a37a761001a52c6ea</t>
  </si>
  <si>
    <t>[62ce880f37a761001a52c6eb]</t>
  </si>
  <si>
    <t>[47.37651, 8.54152]</t>
  </si>
  <si>
    <t>62ce897a37a761001a52c6ed</t>
  </si>
  <si>
    <t>[62ce897f37a761001a52c6ee]</t>
  </si>
  <si>
    <t>[47.37520, 8.54175]</t>
  </si>
  <si>
    <t>62ce898537a761001a52c6f0</t>
  </si>
  <si>
    <t>[62ce899137a761001a52c6f1]</t>
  </si>
  <si>
    <t>[47.37511, 8.54168]</t>
  </si>
  <si>
    <t>62d7a01222e03e00190130b1</t>
  </si>
  <si>
    <t>[62d7a01d22e03e00190130b2]</t>
  </si>
  <si>
    <t>[47.37106, 8.54287]</t>
  </si>
  <si>
    <t>F</t>
  </si>
  <si>
    <t>62d7a07b22e03e00190130b4</t>
  </si>
  <si>
    <t>[62d7a09322e03e00190130b5]</t>
  </si>
  <si>
    <t>[47.37093, 8.54290]</t>
  </si>
  <si>
    <t>62d7a0a022e03e00190130b7</t>
  </si>
  <si>
    <t>[62d7a0b122e03e00190130b8]</t>
  </si>
  <si>
    <t>[47.37089, 8.54286]</t>
  </si>
  <si>
    <t>62d7a0e022e03e00190130ba</t>
  </si>
  <si>
    <t>[62d7a0fd22e03e00190130bb]</t>
  </si>
  <si>
    <t>[47.37096, 8.54285]</t>
  </si>
  <si>
    <t>62d7a14a22e03e00190130bd</t>
  </si>
  <si>
    <t>[62d7a15722e03e00190130be]</t>
  </si>
  <si>
    <t>[47.37052, 8.54298]</t>
  </si>
  <si>
    <t>62d7a16522e03e00190130c0</t>
  </si>
  <si>
    <t>[62d7a17022e03e00190130c1]</t>
  </si>
  <si>
    <t>[47.37054, 8.54293]</t>
  </si>
  <si>
    <t>62d7a17a22e03e00190130c3</t>
  </si>
  <si>
    <t>[62d7a18222e03e00190130c4]</t>
  </si>
  <si>
    <t>[47.37049, 8.54294]</t>
  </si>
  <si>
    <t>62d7a1a122e03e00190130c6</t>
  </si>
  <si>
    <t>[62d7a1ac22e03e00190130c7]</t>
  </si>
  <si>
    <t>[47.37036, 8.54304]</t>
  </si>
  <si>
    <t>62d7a1ce22e03e00190130c9</t>
  </si>
  <si>
    <t>[62d7a1d622e03e00190130ca]</t>
  </si>
  <si>
    <t>[47.37027, 8.54320]</t>
  </si>
  <si>
    <t>62d7a26f22e03e00190130cc</t>
  </si>
  <si>
    <t>[62d7a27622e03e00190130cd]</t>
  </si>
  <si>
    <t>[47.37003, 8.54307]</t>
  </si>
  <si>
    <t>62d7a28a22e03e00190130cf</t>
  </si>
  <si>
    <t>[62d7a29322e03e00190130d0]</t>
  </si>
  <si>
    <t>[47.37000, 8.54318]</t>
  </si>
  <si>
    <t>62d7a2b622e03e00190130d2</t>
  </si>
  <si>
    <t>[62d7a2c122e03e00190130d3]</t>
  </si>
  <si>
    <t>[47.36995, 8.54314]</t>
  </si>
  <si>
    <t>62d7a31422e03e00190130d5</t>
  </si>
  <si>
    <t>[62d7a31a22e03e00190130d6]</t>
  </si>
  <si>
    <t>[47.36993, 8.54329]</t>
  </si>
  <si>
    <t>alternativer weg rechts um der ecke</t>
  </si>
  <si>
    <t>62d7a35922e03e00190130d8</t>
  </si>
  <si>
    <t>[62d7a35f22e03e00190130d9]</t>
  </si>
  <si>
    <t>[47.36990, 8.54331]</t>
  </si>
  <si>
    <t>alternativer weg rechts um die ecke</t>
  </si>
  <si>
    <t>62d7a38022e03e00190130db</t>
  </si>
  <si>
    <t>[62d7a38b22e03e00190130dc]</t>
  </si>
  <si>
    <t>[47.36988, 8.54330]</t>
  </si>
  <si>
    <t>62d7a3a122e03e00190130de</t>
  </si>
  <si>
    <t>[62d7a3bb22e03e00190130df]</t>
  </si>
  <si>
    <t>[47.36996, 8.54337]</t>
  </si>
  <si>
    <t>62d7a3d122e03e00190130e1</t>
  </si>
  <si>
    <t>[62d7a3d722e03e00190130e2]</t>
  </si>
  <si>
    <t>[47.36982, 8.54334]</t>
  </si>
  <si>
    <t>62d7a3e622e03e00190130e4</t>
  </si>
  <si>
    <t>[62d7a3ef22e03e00190130e5]</t>
  </si>
  <si>
    <t>[47.36977, 8.54337]</t>
  </si>
  <si>
    <t>rampe links am ende der treppe</t>
  </si>
  <si>
    <t>62d7a44a22e03e00190130e7</t>
  </si>
  <si>
    <t>[62d7a46a22e03e00190130e8]</t>
  </si>
  <si>
    <t>[47.36938, 8.54328]</t>
  </si>
  <si>
    <t>62d7a48222e03e00190130ea</t>
  </si>
  <si>
    <t>[62d7a48722e03e00190130eb]</t>
  </si>
  <si>
    <t>[47.36940, 8.54351]</t>
  </si>
  <si>
    <t>62d7a4e322e03e00190130ed</t>
  </si>
  <si>
    <t>[62d7a4e822e03e00190130ee]</t>
  </si>
  <si>
    <t>[47.36890, 8.54346]</t>
  </si>
  <si>
    <t>62d7a53922e03e00190130f0</t>
  </si>
  <si>
    <t>[62d7a55222e03e00190130f1]</t>
  </si>
  <si>
    <t>[47.36859, 8.54360]</t>
  </si>
  <si>
    <t>zutritt zur aussichtsplattform</t>
  </si>
  <si>
    <t>62d7a58d22e03e00190130f3</t>
  </si>
  <si>
    <t>[62d7a5d322e03e00190130f4]</t>
  </si>
  <si>
    <t>[47.36851, 8.54357]</t>
  </si>
  <si>
    <t>gefälle richtung wassertaxi</t>
  </si>
  <si>
    <t>62d7a63a22e03e00190130f6</t>
  </si>
  <si>
    <t>[62d7a64922e03e00190130f7, 62d7a65322e03e00190130f9, 62d7a65722e03e00190130fb]</t>
  </si>
  <si>
    <t>[47.36783, 8.54392]</t>
  </si>
  <si>
    <t>62d7a68622e03e00190130fd</t>
  </si>
  <si>
    <t>[62d7a69322e03e00190130fe]</t>
  </si>
  <si>
    <t>[47.36754, 8.54404]</t>
  </si>
  <si>
    <t>62d7a6c722e03e0019013100</t>
  </si>
  <si>
    <t>[62d7a6d622e03e0019013101]</t>
  </si>
  <si>
    <t>[47.36752, 8.54396]</t>
  </si>
  <si>
    <t>62d7a77522e03e0019013103</t>
  </si>
  <si>
    <t>[62d7a78222e03e0019013104]</t>
  </si>
  <si>
    <t>[47.36726, 8.54410]</t>
  </si>
  <si>
    <t>62d7a79622e03e0019013106</t>
  </si>
  <si>
    <t>[62d7a79d22e03e0019013107]</t>
  </si>
  <si>
    <t>[47.36713, 8.54391]</t>
  </si>
  <si>
    <t>62d7a7ce22e03e0019013109</t>
  </si>
  <si>
    <t>[62d7a7df22e03e001901310a]</t>
  </si>
  <si>
    <t>[47.36711, 8.54398]</t>
  </si>
  <si>
    <t>62d7a82722e03e001901310c</t>
  </si>
  <si>
    <t>[62d7a84022e03e001901310d]</t>
  </si>
  <si>
    <t>[47.36730, 8.54420]</t>
  </si>
  <si>
    <t>unebener pflasterstein</t>
  </si>
  <si>
    <t>62d7a88b22e03e001901310f</t>
  </si>
  <si>
    <t>[62d7a89422e03e0019013110, 62d7a89922e03e0019013112, 62d7a89b22e03e0019013114, 62d7a89d22e03e0019013116]</t>
  </si>
  <si>
    <t>[47.36725, 8.54431]</t>
  </si>
  <si>
    <t>62d7a8b722e03e0019013118</t>
  </si>
  <si>
    <t>[62d7a8c422e03e0019013119]</t>
  </si>
  <si>
    <t>[47.36721, 8.54445]</t>
  </si>
  <si>
    <t>62d7a92422e03e001901311b</t>
  </si>
  <si>
    <t>[62d7a92a22e03e001901311c]</t>
  </si>
  <si>
    <t>[47.36772, 8.54473]</t>
  </si>
  <si>
    <t>62d7a9d922e03e0019013121</t>
  </si>
  <si>
    <t>[47.36785, 8.54418]</t>
  </si>
  <si>
    <t>62d7a9d922e03e0019013122</t>
  </si>
  <si>
    <t>[62d7aa4b22e03e0019013124]</t>
  </si>
  <si>
    <t>[47.36753, 8.54505]</t>
  </si>
  <si>
    <t>62d7aa9322e03e0019013126</t>
  </si>
  <si>
    <t>[62d7aaa122e03e0019013127]</t>
  </si>
  <si>
    <t>[47.36784, 8.54495]</t>
  </si>
  <si>
    <t>baustelle mit alternativweg</t>
  </si>
  <si>
    <t>2023-12-20</t>
  </si>
  <si>
    <t>62d7aaf422e03e0019013129</t>
  </si>
  <si>
    <t>[62d7aafc22e03e001901312a]</t>
  </si>
  <si>
    <t>[47.36802, 8.54477]</t>
  </si>
  <si>
    <t>62d7ab5e22e03e001901312c</t>
  </si>
  <si>
    <t>[62d7ab6922e03e001901312d]</t>
  </si>
  <si>
    <t>[47.36877, 8.54393]</t>
  </si>
  <si>
    <t>62d7ab8422e03e001901312f</t>
  </si>
  <si>
    <t>[62d7ab8a22e03e0019013130]</t>
  </si>
  <si>
    <t>[47.36874, 8.54377]</t>
  </si>
  <si>
    <t>62d7ab9e22e03e0019013132</t>
  </si>
  <si>
    <t>[62d7aba722e03e0019013133]</t>
  </si>
  <si>
    <t>[47.36878, 8.54383]</t>
  </si>
  <si>
    <t>62d7abed22e03e0019013135</t>
  </si>
  <si>
    <t>[62d7abf422e03e0019013136]</t>
  </si>
  <si>
    <t>[47.36927, 8.54358]</t>
  </si>
  <si>
    <t>62d7ac4122e03e0019013138</t>
  </si>
  <si>
    <t>[62d7ac4c22e03e0019013139]</t>
  </si>
  <si>
    <t>[47.36974, 8.54352]</t>
  </si>
  <si>
    <t>62d7ac9f22e03e001901313b</t>
  </si>
  <si>
    <t>[62d7acaa22e03e001901313c]</t>
  </si>
  <si>
    <t>[47.37037, 8.54321]</t>
  </si>
  <si>
    <t>62d7ad2d22e03e001901313e</t>
  </si>
  <si>
    <t>[62d7ad3a22e03e001901313f]</t>
  </si>
  <si>
    <t>[47.37082, 8.54305]</t>
  </si>
  <si>
    <t>62d7ad4822e03e0019013141</t>
  </si>
  <si>
    <t>[62d7ad5122e03e0019013142]</t>
  </si>
  <si>
    <t>[47.37093, 8.54298]</t>
  </si>
  <si>
    <t>62d7ad8322e03e0019013144</t>
  </si>
  <si>
    <t>[62d7ad8b22e03e0019013145]</t>
  </si>
  <si>
    <t>[47.37110, 8.54318]</t>
  </si>
  <si>
    <t>62d7ae2e22e03e0019013147</t>
  </si>
  <si>
    <t>[62d7ae3c22e03e0019013148]</t>
  </si>
  <si>
    <t>[47.37135, 8.54407]</t>
  </si>
  <si>
    <t>62d7ae5522e03e001901314a</t>
  </si>
  <si>
    <t>[62d7ae6d22e03e001901314b]</t>
  </si>
  <si>
    <t>[47.37114, 8.54377]</t>
  </si>
  <si>
    <t>62d7af0622e03e001901314d</t>
  </si>
  <si>
    <t>[62d7af0d22e03e001901314e]</t>
  </si>
  <si>
    <t>[47.37075, 8.54362]</t>
  </si>
  <si>
    <t>steigung richtung römergasse</t>
  </si>
  <si>
    <t>62d7af3422e03e0019013150</t>
  </si>
  <si>
    <t>[62d7af5122e03e0019013151]</t>
  </si>
  <si>
    <t>[47.37066, 8.54373]</t>
  </si>
  <si>
    <t>62d7af8c22e03e0019013153</t>
  </si>
  <si>
    <t>[62d7af9a22e03e0019013154]</t>
  </si>
  <si>
    <t>[47.37046, 8.54401]</t>
  </si>
  <si>
    <t>62d7afb122e03e0019013156</t>
  </si>
  <si>
    <t>[62d7afc222e03e0019013157]</t>
  </si>
  <si>
    <t>[47.37045, 8.54381]</t>
  </si>
  <si>
    <t>62d7afda22e03e0019013159</t>
  </si>
  <si>
    <t>[62d7afe922e03e001901315a]</t>
  </si>
  <si>
    <t>[47.37049, 8.54398]</t>
  </si>
  <si>
    <t>62d7b03322e03e001901315c</t>
  </si>
  <si>
    <t>[62d7b03e22e03e001901315d]</t>
  </si>
  <si>
    <t>[47.37047, 8.54429]</t>
  </si>
  <si>
    <t>62d7b06722e03e001901315f</t>
  </si>
  <si>
    <t>[62d7b08822e03e0019013160]</t>
  </si>
  <si>
    <t>[47.37041, 8.54394]</t>
  </si>
  <si>
    <t>62d7b0b022e03e0019013162</t>
  </si>
  <si>
    <t>[62d7b0b722e03e0019013163]</t>
  </si>
  <si>
    <t>[47.37055, 8.54350]</t>
  </si>
  <si>
    <t>62d7b12922e03e0019013165</t>
  </si>
  <si>
    <t>[62d7b13122e03e0019013166]</t>
  </si>
  <si>
    <t>[47.36998, 8.54344]</t>
  </si>
  <si>
    <t>62d7b14322e03e0019013168</t>
  </si>
  <si>
    <t>[62d7b14f22e03e0019013169]</t>
  </si>
  <si>
    <t>[47.36995, 8.54351]</t>
  </si>
  <si>
    <t>62d7b1a622e03e001901316b</t>
  </si>
  <si>
    <t>[62d7b1ac22e03e001901316c]</t>
  </si>
  <si>
    <t>[47.37008, 8.54346]</t>
  </si>
  <si>
    <t>62d7b21722e03e001901316e</t>
  </si>
  <si>
    <t>[62d7b22222e03e001901316f]</t>
  </si>
  <si>
    <t>[47.37019, 8.54365]</t>
  </si>
  <si>
    <t>62d7b23d22e03e0019013171</t>
  </si>
  <si>
    <t>[62d7b24722e03e0019013172]</t>
  </si>
  <si>
    <t>[47.37019, 8.54368]</t>
  </si>
  <si>
    <t>steigung richtung zwingliplatz</t>
  </si>
  <si>
    <t>62d7b26c22e03e0019013174</t>
  </si>
  <si>
    <t>[62d7b28c22e03e0019013175]</t>
  </si>
  <si>
    <t>[47.37030, 8.54415]</t>
  </si>
  <si>
    <t>62d7b45322e03e0019013177</t>
  </si>
  <si>
    <t>[62d7b45d22e03e0019013178]</t>
  </si>
  <si>
    <t>[47.37026, 8.54426]</t>
  </si>
  <si>
    <t>62d7b49622e03e001901317a</t>
  </si>
  <si>
    <t>[62d7b4a122e03e001901317b]</t>
  </si>
  <si>
    <t>[47.37040, 8.54445]</t>
  </si>
  <si>
    <t>62d7b4c822e03e001901317d</t>
  </si>
  <si>
    <t>[62d7b4da22e03e001901317e]</t>
  </si>
  <si>
    <t>[47.37025, 8.54470]</t>
  </si>
  <si>
    <t>62d7b4e522e03e0019013180</t>
  </si>
  <si>
    <t>[62d7b4f022e03e0019013181]</t>
  </si>
  <si>
    <t>[47.37026, 8.54469]</t>
  </si>
  <si>
    <t>62d7b4f722e03e0019013183</t>
  </si>
  <si>
    <t>[62d7b50322e03e0019013184]</t>
  </si>
  <si>
    <t>[47.37020, 8.54476]</t>
  </si>
  <si>
    <t>62d7b52922e03e0019013186</t>
  </si>
  <si>
    <t>[62d7b53f22e03e0019013187]</t>
  </si>
  <si>
    <t>[47.36993, 8.54463]</t>
  </si>
  <si>
    <t>gefälle richtung grossmünsterplatz</t>
  </si>
  <si>
    <t>62d7b6e722e03e0019013189</t>
  </si>
  <si>
    <t>[62d7b6f722e03e001901318a]</t>
  </si>
  <si>
    <t>[47.36970, 8.54432]</t>
  </si>
  <si>
    <t>steigung richtung grossmünsterplatz</t>
  </si>
  <si>
    <t>62d7b72822e03e001901318c</t>
  </si>
  <si>
    <t>[62d7b72f22e03e001901318d]</t>
  </si>
  <si>
    <t>[47.36953, 8.54434]</t>
  </si>
  <si>
    <t>62d7b77322e03e001901318f</t>
  </si>
  <si>
    <t>[62d7b78322e03e0019013190]</t>
  </si>
  <si>
    <t>[47.36951, 8.54417]</t>
  </si>
  <si>
    <t>gefälle richtung schifflände</t>
  </si>
  <si>
    <t>62d7b7af22e03e0019013192</t>
  </si>
  <si>
    <t>[47.36955, 8.54409]</t>
  </si>
  <si>
    <t>62d7b85022e03e0019013193</t>
  </si>
  <si>
    <t>[62d7b85b22e03e0019013194]</t>
  </si>
  <si>
    <t>[47.36937, 8.54374]</t>
  </si>
  <si>
    <t>62d7b87d22e03e0019013196</t>
  </si>
  <si>
    <t>[62d7b88422e03e0019013197]</t>
  </si>
  <si>
    <t>[47.36943, 8.54386]</t>
  </si>
  <si>
    <t>steigung richtung kirchgasse</t>
  </si>
  <si>
    <t>62d7b8d822e03e0019013199</t>
  </si>
  <si>
    <t>[62d7b8e722e03e001901319a]</t>
  </si>
  <si>
    <t>[47.36920, 8.54374]</t>
  </si>
  <si>
    <t>62d7b94322e03e001901319c</t>
  </si>
  <si>
    <t>[62d7b94c22e03e001901319d]</t>
  </si>
  <si>
    <t>[47.36919, 8.54444]</t>
  </si>
  <si>
    <t>62d7b99922e03e001901319f</t>
  </si>
  <si>
    <t>[62d7b9a922e03e00190131a0]</t>
  </si>
  <si>
    <t>[47.36900, 8.54473]</t>
  </si>
  <si>
    <t>62d7b9f222e03e00190131a2</t>
  </si>
  <si>
    <t>[62d7ba0f22e03e00190131a3]</t>
  </si>
  <si>
    <t>[47.36899, 8.54517]</t>
  </si>
  <si>
    <t>62d7ba2f22e03e00190131a5</t>
  </si>
  <si>
    <t>[62d7ba3c22e03e00190131a6]</t>
  </si>
  <si>
    <t>[47.36874, 8.54509]</t>
  </si>
  <si>
    <t>62d7ba8022e03e00190131a8</t>
  </si>
  <si>
    <t>[62d7ba9a22e03e00190131a9]</t>
  </si>
  <si>
    <t>[47.36851, 8.54532]</t>
  </si>
  <si>
    <t>62d7bac522e03e00190131ab</t>
  </si>
  <si>
    <t>[62d7bad722e03e00190131ac]</t>
  </si>
  <si>
    <t>[47.36833, 8.54551]</t>
  </si>
  <si>
    <t>62d7bb3722e03e00190131ae</t>
  </si>
  <si>
    <t>[62d7bb3f22e03e00190131af]</t>
  </si>
  <si>
    <t>[47.36810, 8.54574]</t>
  </si>
  <si>
    <t>62d7bb8922e03e00190131b1</t>
  </si>
  <si>
    <t>[62d7bb9022e03e00190131b2]</t>
  </si>
  <si>
    <t>[47.36784, 8.54607]</t>
  </si>
  <si>
    <t>62d7bba022e03e00190131b4</t>
  </si>
  <si>
    <t>[62d7bba622e03e00190131b5]</t>
  </si>
  <si>
    <t>[47.36784, 8.54606]</t>
  </si>
  <si>
    <t>62d7bbca22e03e00190131b7</t>
  </si>
  <si>
    <t>[62d7bbd522e03e00190131b8]</t>
  </si>
  <si>
    <t>[47.36782, 8.54579]</t>
  </si>
  <si>
    <t>gefälle richtung bellevue</t>
  </si>
  <si>
    <t>62d7bc3822e03e00190131ba</t>
  </si>
  <si>
    <t>[62d7bc4a22e03e00190131bb]</t>
  </si>
  <si>
    <t>[47.36786, 8.54512]</t>
  </si>
  <si>
    <t>62d7bcc922e03e00190131bd</t>
  </si>
  <si>
    <t>[62d7bcd222e03e00190131be]</t>
  </si>
  <si>
    <t>[47.36843, 8.54469]</t>
  </si>
  <si>
    <t>62d7bd9222e03e00190131c0</t>
  </si>
  <si>
    <t>[62d7bd9822e03e00190131c1]</t>
  </si>
  <si>
    <t>[47.36852, 8.54443]</t>
  </si>
  <si>
    <t>62d7bdab22e03e00190131c3</t>
  </si>
  <si>
    <t>[62d7bdb322e03e00190131c4]</t>
  </si>
  <si>
    <t>[47.36914, 8.54397]</t>
  </si>
  <si>
    <t>62d7cb1922e03e00190131c7</t>
  </si>
  <si>
    <t>[62d7cb2022e03e00190131c8]</t>
  </si>
  <si>
    <t>[47.37001, 8.54480]</t>
  </si>
  <si>
    <t>62d7cb4d22e03e00190131ca</t>
  </si>
  <si>
    <t>[62d7cb5422e03e00190131cb]</t>
  </si>
  <si>
    <t>[47.37018, 8.54504]</t>
  </si>
  <si>
    <t>62d7cbfc22e03e00190131cd</t>
  </si>
  <si>
    <t>[62d7cc0322e03e00190131ce]</t>
  </si>
  <si>
    <t>[47.37072, 8.54675]</t>
  </si>
  <si>
    <t>62d7cc1622e03e00190131d0</t>
  </si>
  <si>
    <t>[62d7cc1e22e03e00190131d1]</t>
  </si>
  <si>
    <t>[47.37065, 8.54665]</t>
  </si>
  <si>
    <t>treppe zum brunnen</t>
  </si>
  <si>
    <t>62d7cc6d22e03e00190131d3</t>
  </si>
  <si>
    <t>[62d7cc7c22e03e00190131d4]</t>
  </si>
  <si>
    <t>[47.37084, 8.54657]</t>
  </si>
  <si>
    <t>62d7ccc122e03e00190131d6</t>
  </si>
  <si>
    <t>[62d7cccf22e03e00190131d7]</t>
  </si>
  <si>
    <t>[47.37073, 8.54661]</t>
  </si>
  <si>
    <t>62d7cd1b22e03e00190131d9</t>
  </si>
  <si>
    <t>[62d7cd2622e03e00190131da]</t>
  </si>
  <si>
    <t>[47.37069, 8.54666]</t>
  </si>
  <si>
    <t>62d7cd4722e03e00190131dc</t>
  </si>
  <si>
    <t>[62d7cd5f22e03e00190131dd]</t>
  </si>
  <si>
    <t>[47.37096, 8.54671]</t>
  </si>
  <si>
    <t>62d7cd8022e03e00190131df</t>
  </si>
  <si>
    <t>[62d7cd8b22e03e00190131e0]</t>
  </si>
  <si>
    <t>[47.37092, 8.54678]</t>
  </si>
  <si>
    <t>62d7cd9922e03e00190131e2</t>
  </si>
  <si>
    <t>[62d7cda922e03e00190131e3]</t>
  </si>
  <si>
    <t>[47.37079, 8.54701]</t>
  </si>
  <si>
    <t>62d7cdcd22e03e00190131e5</t>
  </si>
  <si>
    <t>[62d7cdd822e03e00190131e6]</t>
  </si>
  <si>
    <t>[47.37092, 8.54697]</t>
  </si>
  <si>
    <t>steigung richtung winkelwiese</t>
  </si>
  <si>
    <t>62d7ce5522e03e00190131e8</t>
  </si>
  <si>
    <t>[62d7cea022e03e00190131e9]</t>
  </si>
  <si>
    <t>[47.37131, 8.54706]</t>
  </si>
  <si>
    <t>rechts neben pflanze</t>
  </si>
  <si>
    <t>626297e26f8972001ac55b81</t>
  </si>
  <si>
    <t>planter</t>
  </si>
  <si>
    <t>62d7ceef22e03e00190131eb</t>
  </si>
  <si>
    <t>[62d7cf0a22e03e00190131ec]</t>
  </si>
  <si>
    <t>[47.37132, 8.54715]</t>
  </si>
  <si>
    <t>62d7cf2f22e03e00190131ee</t>
  </si>
  <si>
    <t>[62d7cf4222e03e00190131ef]</t>
  </si>
  <si>
    <t>[47.37132, 8.54726]</t>
  </si>
  <si>
    <t>62d7cf7522e03e00190131f1</t>
  </si>
  <si>
    <t>[62d7cf7b22e03e00190131f2]</t>
  </si>
  <si>
    <t>[47.37146, 8.54745]</t>
  </si>
  <si>
    <t>62d7cf9822e03e00190131f4</t>
  </si>
  <si>
    <t>[62d7cfa222e03e00190131f5]</t>
  </si>
  <si>
    <t>[47.37144, 8.54757]</t>
  </si>
  <si>
    <t>62d7cfad22e03e00190131f7</t>
  </si>
  <si>
    <t>[62d7cfc122e03e00190131f8]</t>
  </si>
  <si>
    <t>[47.37165, 8.54768]</t>
  </si>
  <si>
    <t>62d7cff622e03e00190131fa</t>
  </si>
  <si>
    <t>[62d7cfff22e03e00190131fb]</t>
  </si>
  <si>
    <t>[47.37189, 8.54749]</t>
  </si>
  <si>
    <t>62d7d08d22e03e00190131fd</t>
  </si>
  <si>
    <t>[62d7d09922e03e00190131fe]</t>
  </si>
  <si>
    <t>[47.37264, 8.54723]</t>
  </si>
  <si>
    <t>62d7d0a522e03e0019013200</t>
  </si>
  <si>
    <t>[62d7d0ad22e03e0019013201]</t>
  </si>
  <si>
    <t>[47.37259, 8.54739]</t>
  </si>
  <si>
    <t>62d7d0eb22e03e0019013203</t>
  </si>
  <si>
    <t>[62d7d10f22e03e0019013204]</t>
  </si>
  <si>
    <t>[47.37269, 8.54707]</t>
  </si>
  <si>
    <t>bordstein rechts und links</t>
  </si>
  <si>
    <t>62d7d16b22e03e0019013206</t>
  </si>
  <si>
    <t>[62d7d17122e03e0019013207]</t>
  </si>
  <si>
    <t>[47.37286, 8.54712]</t>
  </si>
  <si>
    <t>gefälle richtung neumarkt (gasse)</t>
  </si>
  <si>
    <t>62d7d1a922e03e0019013209</t>
  </si>
  <si>
    <t>[62d7d1b522e03e001901320a]</t>
  </si>
  <si>
    <t>[47.37288, 8.54698]</t>
  </si>
  <si>
    <t>62d7d20822e03e001901320c</t>
  </si>
  <si>
    <t>[62d7d23a22e03e001901320d]</t>
  </si>
  <si>
    <t>[47.37291, 8.54720]</t>
  </si>
  <si>
    <t>62d7d28e22e03e001901320f</t>
  </si>
  <si>
    <t>[62d7d29b22e03e0019013210]</t>
  </si>
  <si>
    <t>[47.37273, 8.54703]</t>
  </si>
  <si>
    <t>62d7d2cd22e03e0019013212</t>
  </si>
  <si>
    <t>[62d7d2e622e03e0019013213]</t>
  </si>
  <si>
    <t>[47.37233, 8.54710]</t>
  </si>
  <si>
    <t>gefälle richtung obergericht</t>
  </si>
  <si>
    <t>62d7d34922e03e0019013215</t>
  </si>
  <si>
    <t>[62d7d35222e03e0019013216]</t>
  </si>
  <si>
    <t>[47.37242, 8.54684]</t>
  </si>
  <si>
    <t>62d7d36222e03e0019013218</t>
  </si>
  <si>
    <t>[62d7d36c22e03e0019013219]</t>
  </si>
  <si>
    <t>[47.37253, 8.54701]</t>
  </si>
  <si>
    <t>62d7d3b422e03e001901321b</t>
  </si>
  <si>
    <t>[62d7d3c422e03e001901321c]</t>
  </si>
  <si>
    <t>[47.37295, 8.54697]</t>
  </si>
  <si>
    <t>gefälle richtung spiegelgasse</t>
  </si>
  <si>
    <t>62d7d3fb22e03e001901321e</t>
  </si>
  <si>
    <t>[62d7d40522e03e001901321f]</t>
  </si>
  <si>
    <t>[47.37291, 8.54695]</t>
  </si>
  <si>
    <t>62d7d42622e03e0019013221</t>
  </si>
  <si>
    <t>[62d7d44022e03e0019013222]</t>
  </si>
  <si>
    <t>[47.37292, 8.54682]</t>
  </si>
  <si>
    <t>62d7d53922e03e0019013224</t>
  </si>
  <si>
    <t>[62d7d54422e03e0019013225]</t>
  </si>
  <si>
    <t>[47.37165, 8.54448]</t>
  </si>
  <si>
    <t>62d7d56522e03e0019013228</t>
  </si>
  <si>
    <t>[62d7d56a22e03e0019013229]</t>
  </si>
  <si>
    <t>[47.37162, 8.54448]</t>
  </si>
  <si>
    <t>gefälle richtung münstergasse</t>
  </si>
  <si>
    <t>62d7d57d22e03e001901322b</t>
  </si>
  <si>
    <t>[62d7d58522e03e001901322c]</t>
  </si>
  <si>
    <t>[47.37163, 8.54441]</t>
  </si>
  <si>
    <t>62d7d58c22e03e001901322e</t>
  </si>
  <si>
    <t>[62d7d59722e03e001901322f]</t>
  </si>
  <si>
    <t>[47.37165, 8.54445]</t>
  </si>
  <si>
    <t>62d7d5a822e03e0019013231</t>
  </si>
  <si>
    <t>[62d7d5b522e03e0019013232]</t>
  </si>
  <si>
    <t>[47.37163, 8.54438]</t>
  </si>
  <si>
    <t>62d7d5c222e03e0019013234</t>
  </si>
  <si>
    <t>[62d7d5ce22e03e0019013235]</t>
  </si>
  <si>
    <t>[47.37162, 8.54434]</t>
  </si>
  <si>
    <t>62d7d5db22e03e0019013237</t>
  </si>
  <si>
    <t>[62d7d5e322e03e0019013238]</t>
  </si>
  <si>
    <t>[47.37157, 8.54438]</t>
  </si>
  <si>
    <t>62d7d5ec22e03e001901323a</t>
  </si>
  <si>
    <t>[62d7d60222e03e001901323b]</t>
  </si>
  <si>
    <t>[47.37150, 8.54422]</t>
  </si>
  <si>
    <t>62da465422e03e001901323d</t>
  </si>
  <si>
    <t>[62da465c22e03e001901323e]</t>
  </si>
  <si>
    <t>[47.37730, 8.53898]</t>
  </si>
  <si>
    <t>M</t>
  </si>
  <si>
    <t>62da468222e03e0019013240</t>
  </si>
  <si>
    <t>[62da469622e03e0019013241]</t>
  </si>
  <si>
    <t>[47.37721, 8.53906]</t>
  </si>
  <si>
    <t>rolltreppe zur tramstation</t>
  </si>
  <si>
    <t>62da46ad22e03e0019013243</t>
  </si>
  <si>
    <t>[62da46cb22e03e0019013244]</t>
  </si>
  <si>
    <t>[47.37716, 8.53925]</t>
  </si>
  <si>
    <t>62da46dd22e03e0019013246</t>
  </si>
  <si>
    <t>[62da46fb22e03e0019013247]</t>
  </si>
  <si>
    <t>[47.37710, 8.53947]</t>
  </si>
  <si>
    <t>62da472b22e03e0019013249</t>
  </si>
  <si>
    <t>[62da475422e03e001901324a]</t>
  </si>
  <si>
    <t>[47.37704, 8.53968]</t>
  </si>
  <si>
    <t>62da477f22e03e001901324c</t>
  </si>
  <si>
    <t>[62da478522e03e001901324d]</t>
  </si>
  <si>
    <t>[47.37706, 8.53983]</t>
  </si>
  <si>
    <t>62da47a522e03e001901324f</t>
  </si>
  <si>
    <t>[62da47b322e03e0019013250]</t>
  </si>
  <si>
    <t>[47.37717, 8.53973]</t>
  </si>
  <si>
    <t>62da47ca22e03e0019013252</t>
  </si>
  <si>
    <t>[62da47e522e03e0019013253]</t>
  </si>
  <si>
    <t>[47.37721, 8.53957]</t>
  </si>
  <si>
    <t>62da480522e03e0019013255</t>
  </si>
  <si>
    <t>[62da481022e03e0019013256]</t>
  </si>
  <si>
    <t>[47.37728, 8.53930]</t>
  </si>
  <si>
    <t>62da482122e03e0019013258</t>
  </si>
  <si>
    <t>[62da483d22e03e0019013259]</t>
  </si>
  <si>
    <t>[47.37734, 8.53910]</t>
  </si>
  <si>
    <t>62da488222e03e001901325b</t>
  </si>
  <si>
    <t>[62da488e22e03e001901325c]</t>
  </si>
  <si>
    <t>[47.37729, 8.54008]</t>
  </si>
  <si>
    <t>2022-09-30</t>
  </si>
  <si>
    <t>62da496d22e03e001901325e</t>
  </si>
  <si>
    <t>[62da497622e03e001901325f]</t>
  </si>
  <si>
    <t>[47.37746, 8.53870]</t>
  </si>
  <si>
    <t>62da49be22e03e0019013261</t>
  </si>
  <si>
    <t>[62da49df22e03e0019013262, 62da49e522e03e0019013264]</t>
  </si>
  <si>
    <t>[47.37740, 8.53859]</t>
  </si>
  <si>
    <t>62da49f422e03e0019013266</t>
  </si>
  <si>
    <t>[62da49fc22e03e0019013267]</t>
  </si>
  <si>
    <t>[47.37736, 8.53859]</t>
  </si>
  <si>
    <t>62da4b6a22e03e0019013269</t>
  </si>
  <si>
    <t>[62da4b7222e03e001901326a]</t>
  </si>
  <si>
    <t>[47.37781, 8.53789]</t>
  </si>
  <si>
    <t>62da4baa22e03e001901326c</t>
  </si>
  <si>
    <t>[62da4bb422e03e001901326d, 62da4bbf22e03e001901326f, 62da4bbf22e03e0019013271, 62da4bc422e03e0019013273]</t>
  </si>
  <si>
    <t>[47.37767, 8.53778]</t>
  </si>
  <si>
    <t>62da4c1022e03e0019013275</t>
  </si>
  <si>
    <t>[62da4c1922e03e0019013276]</t>
  </si>
  <si>
    <t>[47.37737, 8.53717]</t>
  </si>
  <si>
    <t>62da4cd422e03e0019013286</t>
  </si>
  <si>
    <t>[47.37668, 8.53663]</t>
  </si>
  <si>
    <t>62da4cd422e03e001901328c</t>
  </si>
  <si>
    <t>[47.37671, 8.53653]</t>
  </si>
  <si>
    <t>62da4cd422e03e0019013291</t>
  </si>
  <si>
    <t>[47.37668, 8.53665]</t>
  </si>
  <si>
    <t>62da4cd422e03e0019013293</t>
  </si>
  <si>
    <t>[62da4cdc22e03e0019013296]</t>
  </si>
  <si>
    <t>[47.37667, 8.53669]</t>
  </si>
  <si>
    <t>62da4d4622e03e0019013298</t>
  </si>
  <si>
    <t>[62da4d5122e03e0019013299]</t>
  </si>
  <si>
    <t>[47.37603, 8.53604]</t>
  </si>
  <si>
    <t>62da4d7422e03e001901329b</t>
  </si>
  <si>
    <t>[62da4d7a22e03e001901329c]</t>
  </si>
  <si>
    <t>[47.37594, 8.53628]</t>
  </si>
  <si>
    <t>62da4de522e03e001901329e</t>
  </si>
  <si>
    <t>[62da4ded22e03e001901329f]</t>
  </si>
  <si>
    <t>[47.37636, 8.53687]</t>
  </si>
  <si>
    <t>62da4e6722e03e00190132a1</t>
  </si>
  <si>
    <t>[62da4e6e22e03e00190132a2]</t>
  </si>
  <si>
    <t>[47.37641, 8.53699]</t>
  </si>
  <si>
    <t>62da4eba22e03e00190132a4</t>
  </si>
  <si>
    <t>[62da4ebf22e03e00190132a5]</t>
  </si>
  <si>
    <t>[47.37673, 8.53693]</t>
  </si>
  <si>
    <t>62da4f6322e03e00190132a7</t>
  </si>
  <si>
    <t>[62da4f9222e03e00190132a8]</t>
  </si>
  <si>
    <t>[47.37760, 8.53793]</t>
  </si>
  <si>
    <t>62da4fcb22e03e00190132aa</t>
  </si>
  <si>
    <t>[62da4fd622e03e00190132ab]</t>
  </si>
  <si>
    <t>[47.37768, 8.53806]</t>
  </si>
  <si>
    <t>62da505722e03e00190132ad</t>
  </si>
  <si>
    <t>[62da505d22e03e00190132ae]</t>
  </si>
  <si>
    <t>[47.37680, 8.53810]</t>
  </si>
  <si>
    <t>62da50cf22e03e00190132b0</t>
  </si>
  <si>
    <t>[62da50d822e03e00190132b1]</t>
  </si>
  <si>
    <t>[47.37618, 8.53752]</t>
  </si>
  <si>
    <t>62da50fb22e03e00190132b3</t>
  </si>
  <si>
    <t>[62da511e22e03e00190132b4]</t>
  </si>
  <si>
    <t>[47.37610, 8.53746]</t>
  </si>
  <si>
    <t>62da512d22e03e00190132b6</t>
  </si>
  <si>
    <t>[62da514322e03e00190132b7]</t>
  </si>
  <si>
    <t>[47.37611, 8.53742]</t>
  </si>
  <si>
    <t>62da515a22e03e00190132b9</t>
  </si>
  <si>
    <t>[62da516e22e03e00190132ba]</t>
  </si>
  <si>
    <t>[47.37603, 8.53744]</t>
  </si>
  <si>
    <t>62da51b222e03e00190132bc</t>
  </si>
  <si>
    <t>[62da51bc22e03e00190132bd]</t>
  </si>
  <si>
    <t>[47.37578, 8.53711]</t>
  </si>
  <si>
    <t>62da51c922e03e00190132bf</t>
  </si>
  <si>
    <t>[47.37573, 8.53715]</t>
  </si>
  <si>
    <t>62da52b522e03e00190132c0</t>
  </si>
  <si>
    <t>[62da52c222e03e00190132c1]</t>
  </si>
  <si>
    <t>[47.37577, 8.53648]</t>
  </si>
  <si>
    <t>62da531722e03e00190132c3</t>
  </si>
  <si>
    <t>[62da531e22e03e00190132c4]</t>
  </si>
  <si>
    <t>[47.37561, 8.53732]</t>
  </si>
  <si>
    <t>62da536022e03e00190132c6</t>
  </si>
  <si>
    <t>[62da536822e03e00190132c7]</t>
  </si>
  <si>
    <t>[47.37538, 8.53830]</t>
  </si>
  <si>
    <t>62da540122e03e00190132c9</t>
  </si>
  <si>
    <t>[62da540a22e03e00190132ca]</t>
  </si>
  <si>
    <t>[47.37592, 8.53804]</t>
  </si>
  <si>
    <t>baustelleo</t>
  </si>
  <si>
    <t>2022-12-22</t>
  </si>
  <si>
    <t>62da580822e03e00190132cc</t>
  </si>
  <si>
    <t>[62da580f22e03e00190132cd]</t>
  </si>
  <si>
    <t>[47.37660, 8.53851]</t>
  </si>
  <si>
    <t>62da585622e03e00190132cf</t>
  </si>
  <si>
    <t>[62da585c22e03e00190132d0]</t>
  </si>
  <si>
    <t>[47.37667, 8.53854]</t>
  </si>
  <si>
    <t>62da58c522e03e00190132d2</t>
  </si>
  <si>
    <t>[62da58ce22e03e00190132d3]</t>
  </si>
  <si>
    <t>[47.37710, 8.53858]</t>
  </si>
  <si>
    <t>62da58df22e03e00190132d5</t>
  </si>
  <si>
    <t>[62da58f822e03e00190132d6]</t>
  </si>
  <si>
    <t>[47.37717, 8.53882]</t>
  </si>
  <si>
    <t>62da590a22e03e00190132d8</t>
  </si>
  <si>
    <t>[62da590f22e03e00190132d9]</t>
  </si>
  <si>
    <t>[47.37710, 8.53908]</t>
  </si>
  <si>
    <t>62da5ad822e03e00190132db</t>
  </si>
  <si>
    <t>[62da5aeb22e03e00190132dc]</t>
  </si>
  <si>
    <t>[47.37629, 8.53830]</t>
  </si>
  <si>
    <t>62da5afd22e03e00190132de</t>
  </si>
  <si>
    <t>[62da5b0622e03e00190132df]</t>
  </si>
  <si>
    <t>[47.37631, 8.53824]</t>
  </si>
  <si>
    <t>62da5bde22e03e00190132e1</t>
  </si>
  <si>
    <t>[62da5be722e03e00190132e2]</t>
  </si>
  <si>
    <t>[47.37466, 8.53820]</t>
  </si>
  <si>
    <t>2023-12-22</t>
  </si>
  <si>
    <t>62da5c8322e03e00190132e4</t>
  </si>
  <si>
    <t>[62da5c8922e03e00190132e5]</t>
  </si>
  <si>
    <t>[47.37541, 8.53859]</t>
  </si>
  <si>
    <t>62da5d6622e03e00190132e7</t>
  </si>
  <si>
    <t>[62da5d6e22e03e00190132e8, 62da5e2122e03e00190132ea]</t>
  </si>
  <si>
    <t>[47.37692, 8.53975]</t>
  </si>
  <si>
    <t>62da5e2e22e03e00190132ec</t>
  </si>
  <si>
    <t>[62da5e4522e03e00190132ed]</t>
  </si>
  <si>
    <t>[47.37688, 8.53976]</t>
  </si>
  <si>
    <t>62da5e5222e03e00190132ef</t>
  </si>
  <si>
    <t>[62da5e5d22e03e00190132f0]</t>
  </si>
  <si>
    <t>[47.37686, 8.53981]</t>
  </si>
  <si>
    <t>62da5e9622e03e00190132f2</t>
  </si>
  <si>
    <t>[62da5e9d22e03e00190132f3]</t>
  </si>
  <si>
    <t>[47.37668, 8.53963]</t>
  </si>
  <si>
    <t>62da5eab22e03e00190132f5</t>
  </si>
  <si>
    <t>[62da5eba22e03e00190132f6]</t>
  </si>
  <si>
    <t>[47.37640, 8.53961]</t>
  </si>
  <si>
    <t>62da5ef522e03e00190132f8</t>
  </si>
  <si>
    <t>[62da5f0422e03e00190132f9]</t>
  </si>
  <si>
    <t>[47.37577, 8.53928]</t>
  </si>
  <si>
    <t>62da5f2322e03e00190132fb</t>
  </si>
  <si>
    <t>[62da5f2822e03e00190132fc]</t>
  </si>
  <si>
    <t>[47.37563, 8.53920]</t>
  </si>
  <si>
    <t>62da5f3e22e03e00190132fe</t>
  </si>
  <si>
    <t>[62da5f4322e03e00190132ff]</t>
  </si>
  <si>
    <t>[47.37553, 8.53906]</t>
  </si>
  <si>
    <t>62da5f5022e03e0019013301</t>
  </si>
  <si>
    <t>[62da5f5a22e03e0019013302]</t>
  </si>
  <si>
    <t>[47.37528, 8.53893]</t>
  </si>
  <si>
    <t>62da5f6322e03e0019013304</t>
  </si>
  <si>
    <t>[62da5f6f22e03e0019013305]</t>
  </si>
  <si>
    <t>[47.37519, 8.53889]</t>
  </si>
  <si>
    <t>62da5fb422e03e0019013307</t>
  </si>
  <si>
    <t>[62da5fba22e03e0019013308]</t>
  </si>
  <si>
    <t>[47.37488, 8.53871]</t>
  </si>
  <si>
    <t>62da60d622e03e001901330a</t>
  </si>
  <si>
    <t>[62da60dc22e03e001901330b]</t>
  </si>
  <si>
    <t>[47.37462, 8.53868]</t>
  </si>
  <si>
    <t>62da60ec22e03e001901330d</t>
  </si>
  <si>
    <t>[62da60f522e03e001901330e]</t>
  </si>
  <si>
    <t>[47.37463, 8.53850]</t>
  </si>
  <si>
    <t>62da615c22e03e0019013310</t>
  </si>
  <si>
    <t>[62da616122e03e0019013311]</t>
  </si>
  <si>
    <t>[47.37501, 8.53758]</t>
  </si>
  <si>
    <t>62da61d922e03e0019013313</t>
  </si>
  <si>
    <t>[62da61e022e03e0019013314]</t>
  </si>
  <si>
    <t>[47.37504, 8.53725]</t>
  </si>
  <si>
    <t>62da61f322e03e0019013316</t>
  </si>
  <si>
    <t>[62da620122e03e0019013317]</t>
  </si>
  <si>
    <t>[47.37498, 8.53712]</t>
  </si>
  <si>
    <t>62da621922e03e0019013319</t>
  </si>
  <si>
    <t>[62da622522e03e001901331a]</t>
  </si>
  <si>
    <t>[47.37498, 8.53709]</t>
  </si>
  <si>
    <t>62da629322e03e001901331c</t>
  </si>
  <si>
    <t>[62da62a422e03e001901331d]</t>
  </si>
  <si>
    <t>[47.37491, 8.53706]</t>
  </si>
  <si>
    <t>62da62b122e03e001901331f</t>
  </si>
  <si>
    <t>[62da62bc22e03e0019013320]</t>
  </si>
  <si>
    <t>[47.37497, 8.53709]</t>
  </si>
  <si>
    <t>62da62d122e03e0019013322</t>
  </si>
  <si>
    <t>[62da62da22e03e0019013323]</t>
  </si>
  <si>
    <t>[47.37490, 8.53707]</t>
  </si>
  <si>
    <t>62da630722e03e0019013325</t>
  </si>
  <si>
    <t>[62da631122e03e0019013326]</t>
  </si>
  <si>
    <t>[47.37485, 8.53708]</t>
  </si>
  <si>
    <t>strassenschild, enges trottoir</t>
  </si>
  <si>
    <t>2022-07-22</t>
  </si>
  <si>
    <t>62da636822e03e0019013328</t>
  </si>
  <si>
    <t>[62da636f22e03e0019013329]</t>
  </si>
  <si>
    <t>[47.37496, 8.53720]</t>
  </si>
  <si>
    <t>strassenschild, schmalles trottoir</t>
  </si>
  <si>
    <t>62da63e522e03e001901332b</t>
  </si>
  <si>
    <t>[62da63ea22e03e001901332c]</t>
  </si>
  <si>
    <t>[47.37478, 8.53714]</t>
  </si>
  <si>
    <t>steigung richtung uraniastrasse</t>
  </si>
  <si>
    <t>62da652f22e03e001901332e</t>
  </si>
  <si>
    <t>[62da653622e03e001901332f]</t>
  </si>
  <si>
    <t>[47.37379, 8.53565]</t>
  </si>
  <si>
    <t>62da659822e03e0019013331</t>
  </si>
  <si>
    <t>[62da659f22e03e0019013332]</t>
  </si>
  <si>
    <t>[47.37372, 8.53562]</t>
  </si>
  <si>
    <t>parkuhr</t>
  </si>
  <si>
    <t>62da65b922e03e0019013334</t>
  </si>
  <si>
    <t>[62da65bf22e03e0019013335]</t>
  </si>
  <si>
    <t>[47.37371, 8.53563]</t>
  </si>
  <si>
    <t>62da66cd22e03e0019013337</t>
  </si>
  <si>
    <t>[62da66df22e03e0019013338]</t>
  </si>
  <si>
    <t>[47.37341, 8.53623]</t>
  </si>
  <si>
    <t>62da671c22e03e001901333a</t>
  </si>
  <si>
    <t>[62da672222e03e001901333b]</t>
  </si>
  <si>
    <t>[47.37328, 8.53643]</t>
  </si>
  <si>
    <t>62da68fe22e03e001901333d</t>
  </si>
  <si>
    <t>[62da690722e03e001901333e]</t>
  </si>
  <si>
    <t>[47.37450, 8.53863]</t>
  </si>
  <si>
    <t>62da694522e03e0019013340</t>
  </si>
  <si>
    <t>[62da694a22e03e0019013341]</t>
  </si>
  <si>
    <t>[47.37409, 8.53819]</t>
  </si>
  <si>
    <t>62da6b0d22e03e0019013343</t>
  </si>
  <si>
    <t>[62da6b1422e03e0019013344]</t>
  </si>
  <si>
    <t>[47.37545, 8.53676]</t>
  </si>
  <si>
    <t>62da6b7922e03e0019013346</t>
  </si>
  <si>
    <t>[62da6b8122e03e0019013347]</t>
  </si>
  <si>
    <t>[47.37470, 8.53592]</t>
  </si>
  <si>
    <t>62da6c6022e03e0019013349</t>
  </si>
  <si>
    <t>[62da6c6a22e03e001901334a]</t>
  </si>
  <si>
    <t>[47.37361, 8.53490]</t>
  </si>
  <si>
    <t>62da6d9722e03e001901334c</t>
  </si>
  <si>
    <t>[62da6da122e03e001901334d]</t>
  </si>
  <si>
    <t>[47.37358, 8.53505]</t>
  </si>
  <si>
    <t>62e0e5e171331f001d559c48</t>
  </si>
  <si>
    <t>[47.37001, 8.54882]</t>
  </si>
  <si>
    <t>62e0e68a71331f001d559c49</t>
  </si>
  <si>
    <t>[62e0e69671331f001d559c4a]</t>
  </si>
  <si>
    <t>[47.37072, 8.54768]</t>
  </si>
  <si>
    <t>62e0e6d171331f001d559c4c</t>
  </si>
  <si>
    <t>[62e0e6e371331f001d559c4d]</t>
  </si>
  <si>
    <t>[47.37087, 8.54778]</t>
  </si>
  <si>
    <t>62e0e71d71331f001d559c4f</t>
  </si>
  <si>
    <t>[62e0e72871331f001d559c50]</t>
  </si>
  <si>
    <t>[47.37089, 8.54796]</t>
  </si>
  <si>
    <t>62e0e76271331f001d559c52</t>
  </si>
  <si>
    <t>[62e0e76c71331f001d559c53]</t>
  </si>
  <si>
    <t>[47.37078, 8.54806]</t>
  </si>
  <si>
    <t>alternativer weg rechts von der säule</t>
  </si>
  <si>
    <t>62e0e80e71331f001d559c55</t>
  </si>
  <si>
    <t>[62e0e81971331f001d559c56]</t>
  </si>
  <si>
    <t>[47.37117, 8.54747]</t>
  </si>
  <si>
    <t>pflasterstein</t>
  </si>
  <si>
    <t>62e0e86b71331f001d559c58</t>
  </si>
  <si>
    <t>[62e0e87171331f001d559c59]</t>
  </si>
  <si>
    <t>[47.37095, 8.54722]</t>
  </si>
  <si>
    <t>steigung richtung krautgartengasse</t>
  </si>
  <si>
    <t>62e0e8ca71331f001d559c5b</t>
  </si>
  <si>
    <t>[62e0e8d071331f001d559c5c]</t>
  </si>
  <si>
    <t>[47.37082, 8.54743]</t>
  </si>
  <si>
    <t>gefälle richtung kunsthaus</t>
  </si>
  <si>
    <t>62e0e8e571331f001d559c5e</t>
  </si>
  <si>
    <t>[62e0e8f071331f001d559c5f]</t>
  </si>
  <si>
    <t>[47.37085, 8.54721]</t>
  </si>
  <si>
    <t>62e0e91f71331f001d559c61</t>
  </si>
  <si>
    <t>[62e0e92871331f001d559c62]</t>
  </si>
  <si>
    <t>[47.37065, 8.54712]</t>
  </si>
  <si>
    <t>62e0e99d71331f001d559c64</t>
  </si>
  <si>
    <t>[62e0e9a671331f001d559c65, 62e0e9ad71331f001d559c67, 62e0e9ae71331f001d559c69]</t>
  </si>
  <si>
    <t>[47.36987, 8.54752]</t>
  </si>
  <si>
    <t>gefälle richtung rämistrasse</t>
  </si>
  <si>
    <t>62e0ed2e71331f001d559c6b</t>
  </si>
  <si>
    <t>[62e0ed3571331f001d559c6c]</t>
  </si>
  <si>
    <t>[47.37001, 8.54868]</t>
  </si>
  <si>
    <t>62e0ed6071331f001d559c6e</t>
  </si>
  <si>
    <t>[62e0ed6771331f001d559c6f]</t>
  </si>
  <si>
    <t>[47.36980, 8.54843]</t>
  </si>
  <si>
    <t>62e0edae71331f001d559c71</t>
  </si>
  <si>
    <t>[62e0edb771331f001d559c72]</t>
  </si>
  <si>
    <t>[47.36949, 8.54818]</t>
  </si>
  <si>
    <t>62e0eddd71331f001d559c74</t>
  </si>
  <si>
    <t>[62e0ede571331f001d559c75, 62e0eded71331f001d559c77, 62e0edf371331f001d559c79]</t>
  </si>
  <si>
    <t>[47.36924, 8.54809]</t>
  </si>
  <si>
    <t>62e0edfb71331f001d559c7b</t>
  </si>
  <si>
    <t>[62e0ee0471331f001d559c7c]</t>
  </si>
  <si>
    <t>[47.36925, 8.54792]</t>
  </si>
  <si>
    <t>62e0ee4071331f001d559c7e</t>
  </si>
  <si>
    <t>[62e0ee4771331f001d559c7f]</t>
  </si>
  <si>
    <t>[47.36899, 8.54772]</t>
  </si>
  <si>
    <t>62e0eeb971331f001d559c81</t>
  </si>
  <si>
    <t>[62e0eec471331f001d559c82]</t>
  </si>
  <si>
    <t>[47.36842, 8.54710]</t>
  </si>
  <si>
    <t>62e0ef0571331f001d559c84</t>
  </si>
  <si>
    <t>[62e0ef0d71331f001d559c85]</t>
  </si>
  <si>
    <t>[47.36840, 8.54674]</t>
  </si>
  <si>
    <t>steigung richtung trittligasse</t>
  </si>
  <si>
    <t>62e0ef4c71331f001d559c87</t>
  </si>
  <si>
    <t>[62e0ef5871331f001d559c88]</t>
  </si>
  <si>
    <t>[47.36854, 8.54646]</t>
  </si>
  <si>
    <t>62e0ef9b71331f001d559c8a</t>
  </si>
  <si>
    <t>[62e0efb071331f001d559c8b]</t>
  </si>
  <si>
    <t>[47.36835, 8.54640]</t>
  </si>
  <si>
    <t>gefälle richtung oberdorfstrasse</t>
  </si>
  <si>
    <t>62e0eff771331f001d559c8d</t>
  </si>
  <si>
    <t>[62e0f00371331f001d559c8e]</t>
  </si>
  <si>
    <t>[47.36806, 8.54611]</t>
  </si>
  <si>
    <t>62e0f01471331f001d559c90</t>
  </si>
  <si>
    <t>[62e0f02271331f001d559c91]</t>
  </si>
  <si>
    <t>[47.36815, 8.54614]</t>
  </si>
  <si>
    <t>parkplatz</t>
  </si>
  <si>
    <t>62e0f07771331f001d559c93</t>
  </si>
  <si>
    <t>[62e0f08271331f001d559c94]</t>
  </si>
  <si>
    <t>[47.36810, 8.54641]</t>
  </si>
  <si>
    <t>steigung richtung hirschgraben</t>
  </si>
  <si>
    <t>62e0f0bb71331f001d559c96</t>
  </si>
  <si>
    <t>[62e0f0ca71331f001d559c97]</t>
  </si>
  <si>
    <t>[47.36819, 8.54659]</t>
  </si>
  <si>
    <t>62e0f10d71331f001d559c99</t>
  </si>
  <si>
    <t>[62e0f11d71331f001d559c9a]</t>
  </si>
  <si>
    <t>[47.36830, 8.54667]</t>
  </si>
  <si>
    <t>62e0f15071331f001d559c9c</t>
  </si>
  <si>
    <t>[62e0f15671331f001d559c9d]</t>
  </si>
  <si>
    <t>[47.36831, 8.54652]</t>
  </si>
  <si>
    <t>62e0f16271331f001d559c9f</t>
  </si>
  <si>
    <t>[62e0f17171331f001d559ca0, 62e0f18971331f001d559ca2, 62e0f18d71331f001d559ca4]</t>
  </si>
  <si>
    <t>[47.36829, 8.54646]</t>
  </si>
  <si>
    <t>62e0f23771331f001d559ca6</t>
  </si>
  <si>
    <t>[62e0f24271331f001d559ca7]</t>
  </si>
  <si>
    <t>[47.36939, 8.54775]</t>
  </si>
  <si>
    <t>steigung richtung manessebrunnen</t>
  </si>
  <si>
    <t>62e0f2de71331f001d559ca9</t>
  </si>
  <si>
    <t>[62e0f2ef71331f001d559caa]</t>
  </si>
  <si>
    <t>[47.37049, 8.54686]</t>
  </si>
  <si>
    <t>62e0f35971331f001d559cac</t>
  </si>
  <si>
    <t>[62e0f36071331f001d559cad]</t>
  </si>
  <si>
    <t>[47.37057, 8.54688]</t>
  </si>
  <si>
    <t>62e0f39471331f001d559caf</t>
  </si>
  <si>
    <t>[62e0f39e71331f001d559cb0]</t>
  </si>
  <si>
    <t>[47.37047, 8.54676]</t>
  </si>
  <si>
    <t>baustelle, alternativer weg auf der strasse</t>
  </si>
  <si>
    <t>2022-12-27</t>
  </si>
  <si>
    <t>62e0f3c471331f001d559cb2</t>
  </si>
  <si>
    <t>[62e0f3ca71331f001d559cb3]</t>
  </si>
  <si>
    <t>[47.37056, 8.54672]</t>
  </si>
  <si>
    <t>62e0f3ec71331f001d559cb5</t>
  </si>
  <si>
    <t>[62e0f3f671331f001d559cb6]</t>
  </si>
  <si>
    <t>[47.37063, 8.54670]</t>
  </si>
  <si>
    <t>62e0f42f71331f001d559cb8</t>
  </si>
  <si>
    <t>[62e0f43671331f001d559cb9]</t>
  </si>
  <si>
    <t>[47.37037, 8.54683]</t>
  </si>
  <si>
    <t>62e0f49a71331f001d559cbb</t>
  </si>
  <si>
    <t>[62e0f4a971331f001d559cbc]</t>
  </si>
  <si>
    <t>[47.36983, 8.54691]</t>
  </si>
  <si>
    <t>62e0f4d271331f001d559cbe</t>
  </si>
  <si>
    <t>[62e0f4de71331f001d559cbf]</t>
  </si>
  <si>
    <t>[47.36968, 8.54659]</t>
  </si>
  <si>
    <t>62e0f51a71331f001d559cc1</t>
  </si>
  <si>
    <t>[62e0f52171331f001d559cc2]</t>
  </si>
  <si>
    <t>[47.36978, 8.54656]</t>
  </si>
  <si>
    <t>62e0f57e71331f001d559cc4</t>
  </si>
  <si>
    <t>[62e0f5a071331f001d559cc5]</t>
  </si>
  <si>
    <t>[47.36972, 8.54624]</t>
  </si>
  <si>
    <t>62e0f5cf71331f001d559cc7</t>
  </si>
  <si>
    <t>[62e0f5dc71331f001d559cc8]</t>
  </si>
  <si>
    <t>[47.36991, 8.54632]</t>
  </si>
  <si>
    <t>gefälle richtung kirchgasse</t>
  </si>
  <si>
    <t>62e0f62471331f001d559cca</t>
  </si>
  <si>
    <t>[47.36993, 8.54600]</t>
  </si>
  <si>
    <t>62e0f66c71331f001d559ccb</t>
  </si>
  <si>
    <t>[62e0f67371331f001d559ccc]</t>
  </si>
  <si>
    <t>[47.36990, 8.54585]</t>
  </si>
  <si>
    <t>62e0f6b671331f001d559cce</t>
  </si>
  <si>
    <t>[62e0f6be71331f001d559ccf]</t>
  </si>
  <si>
    <t>[47.36999, 8.54576]</t>
  </si>
  <si>
    <t>62e0f6f271331f001d559cd1</t>
  </si>
  <si>
    <t>[62e0f6f871331f001d559cd2]</t>
  </si>
  <si>
    <t>[47.36994, 8.54555]</t>
  </si>
  <si>
    <t>gefälle richtung neustadtgasse</t>
  </si>
  <si>
    <t>62e0f7c371331f001d559cd4</t>
  </si>
  <si>
    <t>[62e0f7d371331f001d559cd5]</t>
  </si>
  <si>
    <t>[47.36935, 8.54542]</t>
  </si>
  <si>
    <t>62e0f7f571331f001d559cd7</t>
  </si>
  <si>
    <t>[62e0f85771331f001d559cd8]</t>
  </si>
  <si>
    <t>[47.36911, 8.54498]</t>
  </si>
  <si>
    <t>62e0f86171331f001d559cda</t>
  </si>
  <si>
    <t>[62e0f87c71331f001d559cdb]</t>
  </si>
  <si>
    <t>[47.36927, 8.54531]</t>
  </si>
  <si>
    <t>62e0f8f571331f001d559cdd</t>
  </si>
  <si>
    <t>[62e0f8fb71331f001d559cde]</t>
  </si>
  <si>
    <t>[47.36952, 8.54555]</t>
  </si>
  <si>
    <t>62e0f91971331f001d559ce0</t>
  </si>
  <si>
    <t>[62e0f92b71331f001d559ce1]</t>
  </si>
  <si>
    <t>[47.36958, 8.54541]</t>
  </si>
  <si>
    <t>steigung richtung brunnen</t>
  </si>
  <si>
    <t>62e0f95371331f001d559ce3</t>
  </si>
  <si>
    <t>[62e0f95f71331f001d559ce4]</t>
  </si>
  <si>
    <t>[47.36959, 8.54533]</t>
  </si>
  <si>
    <t>62e0f97471331f001d559ce6</t>
  </si>
  <si>
    <t>[62e0f98671331f001d559ce7]</t>
  </si>
  <si>
    <t>[47.36962, 8.54528]</t>
  </si>
  <si>
    <t>62e0f9c471331f001d559ce9</t>
  </si>
  <si>
    <t>[62e0f9e471331f001d559cea]</t>
  </si>
  <si>
    <t>[47.36955, 8.54517]</t>
  </si>
  <si>
    <t>gullideckel</t>
  </si>
  <si>
    <t>62e0fa3c71331f001d559cec</t>
  </si>
  <si>
    <t>[62e0fa4371331f001d559ced]</t>
  </si>
  <si>
    <t>[47.36945, 8.54497]</t>
  </si>
  <si>
    <t>62e0fad171331f001d559cef</t>
  </si>
  <si>
    <t>[62e0fad771331f001d559cf0]</t>
  </si>
  <si>
    <t>[47.36986, 8.54521]</t>
  </si>
  <si>
    <t>62e0fb0371331f001d559cf2</t>
  </si>
  <si>
    <t>[62e0fb0a71331f001d559cf3]</t>
  </si>
  <si>
    <t>[47.36997, 8.54491]</t>
  </si>
  <si>
    <t>62e0fb9671331f001d559cf5</t>
  </si>
  <si>
    <t>[62e0fbaf71331f001d559cf6]</t>
  </si>
  <si>
    <t>[47.37080, 8.54456]</t>
  </si>
  <si>
    <t>steigung richtung obere zäune</t>
  </si>
  <si>
    <t>62e0fbe371331f001d559cf8</t>
  </si>
  <si>
    <t>[62e0fbf371331f001d559cf9]</t>
  </si>
  <si>
    <t>[47.37089, 8.54521]</t>
  </si>
  <si>
    <t>62e0fc7571331f001d559cfb</t>
  </si>
  <si>
    <t>[62e0fc8071331f001d559cfc, 62e0fc9671331f001d559cfe, 62e0fc9a71331f001d559d00]</t>
  </si>
  <si>
    <t>[47.37119, 8.54424]</t>
  </si>
  <si>
    <t>62e0fca971331f001d559d02</t>
  </si>
  <si>
    <t>[62e0fcb471331f001d559d03]</t>
  </si>
  <si>
    <t>[47.37113, 8.54441]</t>
  </si>
  <si>
    <t>62e0fd5a71331f001d559d05</t>
  </si>
  <si>
    <t>[62e0fd6271331f001d559d06]</t>
  </si>
  <si>
    <t>[47.37172, 8.54471]</t>
  </si>
  <si>
    <t>62e0fdaf71331f001d559d08</t>
  </si>
  <si>
    <t>[62e0fdb671331f001d559d09]</t>
  </si>
  <si>
    <t>[47.37151, 8.54509]</t>
  </si>
  <si>
    <t>62e0fe6871331f001d559d0b</t>
  </si>
  <si>
    <t>[62e0fe6f71331f001d559d0c]</t>
  </si>
  <si>
    <t>[47.37114, 8.54660]</t>
  </si>
  <si>
    <t>62e0feb771331f001d559d0e</t>
  </si>
  <si>
    <t>[62e0fef471331f001d559d0f]</t>
  </si>
  <si>
    <t>[47.37170, 8.54563]</t>
  </si>
  <si>
    <t>62e0ff1f71331f001d559d11</t>
  </si>
  <si>
    <t>[62e0ff2471331f001d559d12]</t>
  </si>
  <si>
    <t>[47.37202, 8.54532]</t>
  </si>
  <si>
    <t>62e0ff5271331f001d559d14</t>
  </si>
  <si>
    <t>[62e0ff5d71331f001d559d15]</t>
  </si>
  <si>
    <t>[47.37195, 8.54543]</t>
  </si>
  <si>
    <t>62e0ff8671331f001d559d17</t>
  </si>
  <si>
    <t>[62e0ff8e71331f001d559d18]</t>
  </si>
  <si>
    <t>[47.37176, 8.54560]</t>
  </si>
  <si>
    <t>62e0ffb371331f001d559d1a</t>
  </si>
  <si>
    <t>[62e0ffcf71331f001d559d1b]</t>
  </si>
  <si>
    <t>[47.37160, 8.54597]</t>
  </si>
  <si>
    <t>62e1001371331f001d559d1d</t>
  </si>
  <si>
    <t>[62e1001b71331f001d559d1e]</t>
  </si>
  <si>
    <t>[47.37193, 8.54622]</t>
  </si>
  <si>
    <t>62e1004971331f001d559d20</t>
  </si>
  <si>
    <t>[62e1006171331f001d559d21]</t>
  </si>
  <si>
    <t>[47.37197, 8.54630]</t>
  </si>
  <si>
    <t>62e1006971331f001d559d23</t>
  </si>
  <si>
    <t>[62e1007471331f001d559d24]</t>
  </si>
  <si>
    <t>kiesweg</t>
  </si>
  <si>
    <t>62e1008b71331f001d559d26</t>
  </si>
  <si>
    <t>[62e1009a71331f001d559d27]</t>
  </si>
  <si>
    <t>[47.37197, 8.54634]</t>
  </si>
  <si>
    <t>62e100b971331f001d559d29</t>
  </si>
  <si>
    <t>[62e100c371331f001d559d2a]</t>
  </si>
  <si>
    <t>[47.37198, 8.54607]</t>
  </si>
  <si>
    <t>62e100d571331f001d559d2c</t>
  </si>
  <si>
    <t>[62e100e171331f001d559d2d]</t>
  </si>
  <si>
    <t>[47.37206, 8.54622]</t>
  </si>
  <si>
    <t>62e100fb71331f001d559d2f</t>
  </si>
  <si>
    <t>[62e1010171331f001d559d30]</t>
  </si>
  <si>
    <t>[47.37200, 8.54609]</t>
  </si>
  <si>
    <t>62e1012171331f001d559d32</t>
  </si>
  <si>
    <t>[62e1012a71331f001d559d33]</t>
  </si>
  <si>
    <t>[47.37203, 8.54618]</t>
  </si>
  <si>
    <t>62e101bf71331f001d559d35</t>
  </si>
  <si>
    <t>[62e101cb71331f001d559d36]</t>
  </si>
  <si>
    <t>[47.37214, 8.54608]</t>
  </si>
  <si>
    <t>62e1020f71331f001d559d38</t>
  </si>
  <si>
    <t>[62e1021c71331f001d559d39, 62e1022571331f001d559d3b, 62e1022c71331f001d559d3d]</t>
  </si>
  <si>
    <t>[47.37227, 8.54601]</t>
  </si>
  <si>
    <t>62e1026c71331f001d559d3f</t>
  </si>
  <si>
    <t>[62e1027671331f001d559d40]</t>
  </si>
  <si>
    <t>[47.37227, 8.54645]</t>
  </si>
  <si>
    <t>62e102c471331f001d559d42</t>
  </si>
  <si>
    <t>[62e102ce71331f001d559d43]</t>
  </si>
  <si>
    <t>[47.37243, 8.54670]</t>
  </si>
  <si>
    <t>62e1031571331f001d559d45</t>
  </si>
  <si>
    <t>[62e1031c71331f001d559d46]</t>
  </si>
  <si>
    <t>[47.37270, 8.54680]</t>
  </si>
  <si>
    <t>cafe schild</t>
  </si>
  <si>
    <t>2022-10-27</t>
  </si>
  <si>
    <t>Number of barriers per area</t>
  </si>
  <si>
    <t>Time per area (vom Google Drive)</t>
  </si>
  <si>
    <t>Total</t>
  </si>
  <si>
    <t>Sum of barriers</t>
  </si>
  <si>
    <t>Sum of time</t>
  </si>
  <si>
    <t>Average time per barrier</t>
  </si>
  <si>
    <t>barrier type</t>
  </si>
  <si>
    <t>sum time</t>
  </si>
  <si>
    <t>number of barriers</t>
  </si>
  <si>
    <t>time per barrier</t>
  </si>
  <si>
    <t>url</t>
  </si>
  <si>
    <t>name</t>
  </si>
  <si>
    <t>hash</t>
  </si>
  <si>
    <t>ref</t>
  </si>
  <si>
    <t>kind</t>
  </si>
  <si>
    <t>field</t>
  </si>
  <si>
    <t>direct_url</t>
  </si>
  <si>
    <t>62a33c380e5664001919613d</t>
  </si>
  <si>
    <t>/uploads/image_9bb0a72b83.jpg</t>
  </si>
  <si>
    <t>thumbnail_image.jpg</t>
  </si>
  <si>
    <t>thumbnail_image_9bb0a72b83</t>
  </si>
  <si>
    <t>62a33c380e5664001919613e</t>
  </si>
  <si>
    <t>Barrier</t>
  </si>
  <si>
    <t>62a33cc90e56640019196140</t>
  </si>
  <si>
    <t>/uploads/image_7ca8b61f41.jpg</t>
  </si>
  <si>
    <t>thumbnail_image_7ca8b61f41</t>
  </si>
  <si>
    <t>62a33cc90e56640019196141</t>
  </si>
  <si>
    <t>62a33cb00e5664001919613f</t>
  </si>
  <si>
    <t>62a33f390e56640019196143</t>
  </si>
  <si>
    <t>/uploads/image_9bf1894f17.jpg</t>
  </si>
  <si>
    <t>thumbnail_image_9bf1894f17</t>
  </si>
  <si>
    <t>62a33f390e56640019196144</t>
  </si>
  <si>
    <t>62a340f40e56640019196146</t>
  </si>
  <si>
    <t>/uploads/image_54fdcec3b6.jpg</t>
  </si>
  <si>
    <t>thumbnail_image_54fdcec3b6</t>
  </si>
  <si>
    <t>62a340f40e56640019196147</t>
  </si>
  <si>
    <t>62a341170e56640019196148</t>
  </si>
  <si>
    <t>/uploads/image_d2e1fb23a4.jpg</t>
  </si>
  <si>
    <t>thumbnail_image_d2e1fb23a4</t>
  </si>
  <si>
    <t>62a341170e56640019196149</t>
  </si>
  <si>
    <t>62a3411c0e5664001919614a</t>
  </si>
  <si>
    <t>/uploads/image_b442596837.jpg</t>
  </si>
  <si>
    <t>thumbnail_image_b442596837</t>
  </si>
  <si>
    <t>62a3411c0e5664001919614b</t>
  </si>
  <si>
    <t>62a342670e5664001919614d</t>
  </si>
  <si>
    <t>/uploads/image_f80a569732.jpg</t>
  </si>
  <si>
    <t>thumbnail_image_f80a569732</t>
  </si>
  <si>
    <t>62a342670e5664001919614e</t>
  </si>
  <si>
    <t>62a3431a0e56640019196150</t>
  </si>
  <si>
    <t>/uploads/image_a84be3d520.jpg</t>
  </si>
  <si>
    <t>thumbnail_image_a84be3d520</t>
  </si>
  <si>
    <t>62a3431a0e56640019196151</t>
  </si>
  <si>
    <t>62a343f30e56640019196153</t>
  </si>
  <si>
    <t>/uploads/image_b89b10b22b.jpg</t>
  </si>
  <si>
    <t>thumbnail_image_b89b10b22b</t>
  </si>
  <si>
    <t>62a343f30e56640019196154</t>
  </si>
  <si>
    <t>62a344750e56640019196156</t>
  </si>
  <si>
    <t>/uploads/image_72a0ffa662.jpg</t>
  </si>
  <si>
    <t>thumbnail_image_72a0ffa662</t>
  </si>
  <si>
    <t>62a344750e56640019196157</t>
  </si>
  <si>
    <t>62a345320e56640019196159</t>
  </si>
  <si>
    <t>/uploads/image_46da3a6436.jpg</t>
  </si>
  <si>
    <t>thumbnail_image_46da3a6436</t>
  </si>
  <si>
    <t>62a345320e5664001919615a</t>
  </si>
  <si>
    <t>62a347290e5664001919615c</t>
  </si>
  <si>
    <t>/uploads/image_349d2dacb5.jpg</t>
  </si>
  <si>
    <t>thumbnail_image_349d2dacb5</t>
  </si>
  <si>
    <t>62a347290e5664001919615d</t>
  </si>
  <si>
    <t>62a3493f0e5664001919615f</t>
  </si>
  <si>
    <t>/uploads/image_066789b706.jpg</t>
  </si>
  <si>
    <t>thumbnail_image_066789b706</t>
  </si>
  <si>
    <t>62a3493f0e56640019196160</t>
  </si>
  <si>
    <t>62a34a8a0e56640019196162</t>
  </si>
  <si>
    <t>/uploads/image_4a664284f9.jpg</t>
  </si>
  <si>
    <t>thumbnail_image_4a664284f9</t>
  </si>
  <si>
    <t>62a34a8a0e56640019196163</t>
  </si>
  <si>
    <t>62a34afd0e56640019196165</t>
  </si>
  <si>
    <t>/uploads/image_42412724a3.jpg</t>
  </si>
  <si>
    <t>thumbnail_image_42412724a3</t>
  </si>
  <si>
    <t>62a34afd0e56640019196166</t>
  </si>
  <si>
    <t>62a34b8b0e56640019196168</t>
  </si>
  <si>
    <t>/uploads/image_a887fcb055.jpg</t>
  </si>
  <si>
    <t>thumbnail_image_a887fcb055</t>
  </si>
  <si>
    <t>62a34b8b0e56640019196169</t>
  </si>
  <si>
    <t>62a34c3e0e5664001919616b</t>
  </si>
  <si>
    <t>/uploads/image_d473243d5e.jpg</t>
  </si>
  <si>
    <t>thumbnail_image_d473243d5e</t>
  </si>
  <si>
    <t>62a34c3e0e5664001919616c</t>
  </si>
  <si>
    <t>62a34d820e5664001919616e</t>
  </si>
  <si>
    <t>/uploads/image_00c9f6d3ad.jpg</t>
  </si>
  <si>
    <t>thumbnail_image_00c9f6d3ad</t>
  </si>
  <si>
    <t>62a34d820e5664001919616f</t>
  </si>
  <si>
    <t>62a34d950e56640019196170</t>
  </si>
  <si>
    <t>/uploads/image_3a6a3c84e7.jpg</t>
  </si>
  <si>
    <t>thumbnail_image_3a6a3c84e7</t>
  </si>
  <si>
    <t>62a34d950e56640019196171</t>
  </si>
  <si>
    <t>62a34d9b0e56640019196172</t>
  </si>
  <si>
    <t>/uploads/image_a3e7accf1f.jpg</t>
  </si>
  <si>
    <t>thumbnail_image_a3e7accf1f</t>
  </si>
  <si>
    <t>62a34d9b0e56640019196173</t>
  </si>
  <si>
    <t>62a34dff0e56640019196175</t>
  </si>
  <si>
    <t>/uploads/image_675e0592f7.jpg</t>
  </si>
  <si>
    <t>thumbnail_image_675e0592f7</t>
  </si>
  <si>
    <t>62a34dff0e56640019196176</t>
  </si>
  <si>
    <t>62a350e40e56640019196179</t>
  </si>
  <si>
    <t>/uploads/image_cefb1ee2ed.jpg</t>
  </si>
  <si>
    <t>thumbnail_image_cefb1ee2ed</t>
  </si>
  <si>
    <t>62a350e40e5664001919617a</t>
  </si>
  <si>
    <t>62a352c30e5664001919617c</t>
  </si>
  <si>
    <t>/uploads/image_eff5c5269f.jpg</t>
  </si>
  <si>
    <t>thumbnail_image_eff5c5269f</t>
  </si>
  <si>
    <t>62a352c30e5664001919617d</t>
  </si>
  <si>
    <t>62a355230e5664001919617f</t>
  </si>
  <si>
    <t>/uploads/image_c99d485fbc.jpg</t>
  </si>
  <si>
    <t>thumbnail_image_c99d485fbc</t>
  </si>
  <si>
    <t>62a355230e56640019196180</t>
  </si>
  <si>
    <t>62a740e4dee3b600125b6067</t>
  </si>
  <si>
    <t>/uploads/image_fab5f899eb.jpg</t>
  </si>
  <si>
    <t>thumbnail_image_fab5f899eb</t>
  </si>
  <si>
    <t>62a740e4dee3b600125b6068</t>
  </si>
  <si>
    <t>62a74121dee3b600125b606a</t>
  </si>
  <si>
    <t>/uploads/image_c8f988be2a.jpg</t>
  </si>
  <si>
    <t>thumbnail_image_c8f988be2a</t>
  </si>
  <si>
    <t>62a74121dee3b600125b606b</t>
  </si>
  <si>
    <t>62a74111dee3b600125b6069</t>
  </si>
  <si>
    <t>62a74179dee3b600125b606d</t>
  </si>
  <si>
    <t>/uploads/image_cdbcb30da0.jpg</t>
  </si>
  <si>
    <t>thumbnail_image_cdbcb30da0</t>
  </si>
  <si>
    <t>62a74179dee3b600125b606e</t>
  </si>
  <si>
    <t>62a741badee3b600125b6070</t>
  </si>
  <si>
    <t>/uploads/image_2d318ba97d.jpg</t>
  </si>
  <si>
    <t>thumbnail_image_2d318ba97d</t>
  </si>
  <si>
    <t>62a741badee3b600125b6071</t>
  </si>
  <si>
    <t>62a741a0dee3b600125b606f</t>
  </si>
  <si>
    <t>62a742a5dee3b600125b6073</t>
  </si>
  <si>
    <t>/uploads/image_7db5bb5de1.jpg</t>
  </si>
  <si>
    <t>thumbnail_image_7db5bb5de1</t>
  </si>
  <si>
    <t>62a742a5dee3b600125b6074</t>
  </si>
  <si>
    <t>62a74302dee3b600125b6076</t>
  </si>
  <si>
    <t>/uploads/image_08cb888b47.jpg</t>
  </si>
  <si>
    <t>thumbnail_image_08cb888b47</t>
  </si>
  <si>
    <t>62a74302dee3b600125b6077</t>
  </si>
  <si>
    <t>62a742e8dee3b600125b6075</t>
  </si>
  <si>
    <t>62a74458dee3b600125b6079</t>
  </si>
  <si>
    <t>/uploads/image_889d7fc812.jpg</t>
  </si>
  <si>
    <t>thumbnail_image_889d7fc812</t>
  </si>
  <si>
    <t>62a74458dee3b600125b607a</t>
  </si>
  <si>
    <t>62a74420dee3b600125b6078</t>
  </si>
  <si>
    <t>62a74467dee3b600125b607c</t>
  </si>
  <si>
    <t>/uploads/image_37fbf7ac3c.jpg</t>
  </si>
  <si>
    <t>thumbnail_image_37fbf7ac3c</t>
  </si>
  <si>
    <t>62a74467dee3b600125b607d</t>
  </si>
  <si>
    <t>62a7454ddee3b600125b607f</t>
  </si>
  <si>
    <t>/uploads/image_79d75f713b.jpg</t>
  </si>
  <si>
    <t>thumbnail_image_79d75f713b</t>
  </si>
  <si>
    <t>62a7454ddee3b600125b6080</t>
  </si>
  <si>
    <t>62a7467fdee3b600125b6082</t>
  </si>
  <si>
    <t>/uploads/image_70df7c4951.jpg</t>
  </si>
  <si>
    <t>thumbnail_image_70df7c4951</t>
  </si>
  <si>
    <t>62a7467fdee3b600125b6083</t>
  </si>
  <si>
    <t>62a746bfdee3b600125b6085</t>
  </si>
  <si>
    <t>/uploads/image_6e622dc13d.jpg</t>
  </si>
  <si>
    <t>thumbnail_image_6e622dc13d</t>
  </si>
  <si>
    <t>62a746bfdee3b600125b6086</t>
  </si>
  <si>
    <t>62a74722dee3b600125b6088</t>
  </si>
  <si>
    <t>/uploads/image_d8c70e3094.jpg</t>
  </si>
  <si>
    <t>thumbnail_image_d8c70e3094</t>
  </si>
  <si>
    <t>62a74722dee3b600125b6089</t>
  </si>
  <si>
    <t>62a7476cdee3b600125b608b</t>
  </si>
  <si>
    <t>/uploads/image_d09e469fc7.jpg</t>
  </si>
  <si>
    <t>thumbnail_image_d09e469fc7</t>
  </si>
  <si>
    <t>62a7476cdee3b600125b608c</t>
  </si>
  <si>
    <t>62a7483fdee3b600125b608e</t>
  </si>
  <si>
    <t>/uploads/image_c98bbdb195.jpg</t>
  </si>
  <si>
    <t>thumbnail_image_c98bbdb195</t>
  </si>
  <si>
    <t>62a7483fdee3b600125b608f</t>
  </si>
  <si>
    <t>62a74934dee3b600125b6092</t>
  </si>
  <si>
    <t>/uploads/image_5c8d7a529e.jpg</t>
  </si>
  <si>
    <t>thumbnail_image_5c8d7a529e</t>
  </si>
  <si>
    <t>62a74934dee3b600125b6093</t>
  </si>
  <si>
    <t>62a74956dee3b600125b6095</t>
  </si>
  <si>
    <t>/uploads/image_9c168e3d54.jpg</t>
  </si>
  <si>
    <t>thumbnail_image_9c168e3d54</t>
  </si>
  <si>
    <t>62a74956dee3b600125b6096</t>
  </si>
  <si>
    <t>62a7496bdee3b600125b6097</t>
  </si>
  <si>
    <t>/uploads/image_ba15c251dc.jpg</t>
  </si>
  <si>
    <t>thumbnail_image_ba15c251dc</t>
  </si>
  <si>
    <t>62a7496bdee3b600125b6098</t>
  </si>
  <si>
    <t>62a749a7dee3b600125b6099</t>
  </si>
  <si>
    <t>/uploads/image_b0abf4778b.jpg</t>
  </si>
  <si>
    <t>thumbnail_image_b0abf4778b</t>
  </si>
  <si>
    <t>62a749a7dee3b600125b609a</t>
  </si>
  <si>
    <t>62a749a7dee3b600125b609b</t>
  </si>
  <si>
    <t>/uploads/image_c5b3711126.jpg</t>
  </si>
  <si>
    <t>thumbnail_image_c5b3711126</t>
  </si>
  <si>
    <t>62a749a7dee3b600125b609e</t>
  </si>
  <si>
    <t>62a749a7dee3b600125b609c</t>
  </si>
  <si>
    <t>/uploads/image_1b1e235937.jpg</t>
  </si>
  <si>
    <t>thumbnail_image_1b1e235937</t>
  </si>
  <si>
    <t>62a749a7dee3b600125b609f</t>
  </si>
  <si>
    <t>62a749a7dee3b600125b609d</t>
  </si>
  <si>
    <t>/uploads/image_1bef6e46d6.jpg</t>
  </si>
  <si>
    <t>thumbnail_image_1bef6e46d6</t>
  </si>
  <si>
    <t>62a749a7dee3b600125b60a0</t>
  </si>
  <si>
    <t>62a74af8dee3b600125b60a2</t>
  </si>
  <si>
    <t>/uploads/image_432269963f.jpg</t>
  </si>
  <si>
    <t>thumbnail_image_432269963f</t>
  </si>
  <si>
    <t>62a74af8dee3b600125b60a3</t>
  </si>
  <si>
    <t>62a74bc6dee3b600125b60a5</t>
  </si>
  <si>
    <t>/uploads/image_6c32c2e33b.jpg</t>
  </si>
  <si>
    <t>thumbnail_image_6c32c2e33b</t>
  </si>
  <si>
    <t>62a74bc6dee3b600125b60a6</t>
  </si>
  <si>
    <t>62a74ce2dee3b600125b60a8</t>
  </si>
  <si>
    <t>/uploads/image_6c0187308a.jpg</t>
  </si>
  <si>
    <t>thumbnail_image_6c0187308a</t>
  </si>
  <si>
    <t>62a74ce2dee3b600125b60a9</t>
  </si>
  <si>
    <t>62a74ddfdee3b600125b60ab</t>
  </si>
  <si>
    <t>/uploads/image_022527c2d2.jpg</t>
  </si>
  <si>
    <t>thumbnail_image_022527c2d2</t>
  </si>
  <si>
    <t>62a74ddfdee3b600125b60ac</t>
  </si>
  <si>
    <t>62a7523edee3b600125b60ae</t>
  </si>
  <si>
    <t>/uploads/image_5697cab031.jpg</t>
  </si>
  <si>
    <t>thumbnail_image_5697cab031</t>
  </si>
  <si>
    <t>62a7523edee3b600125b60af</t>
  </si>
  <si>
    <t>62a755f2dee3b600125b60b1</t>
  </si>
  <si>
    <t>/uploads/image_a95e26d087.jpg</t>
  </si>
  <si>
    <t>thumbnail_image_a95e26d087</t>
  </si>
  <si>
    <t>62a755f2dee3b600125b60b2</t>
  </si>
  <si>
    <t>62a7564cdee3b600125b60b4</t>
  </si>
  <si>
    <t>/uploads/image_9375810496.jpg</t>
  </si>
  <si>
    <t>thumbnail_image_9375810496</t>
  </si>
  <si>
    <t>62a7564cdee3b600125b60b5</t>
  </si>
  <si>
    <t>62a75716dee3b600125b60b7</t>
  </si>
  <si>
    <t>/uploads/image_a8de5bebd8.jpg</t>
  </si>
  <si>
    <t>thumbnail_image_a8de5bebd8</t>
  </si>
  <si>
    <t>62a75716dee3b600125b60b8</t>
  </si>
  <si>
    <t>62a7576ddee3b600125b60ba</t>
  </si>
  <si>
    <t>/uploads/image_102206aabb.jpg</t>
  </si>
  <si>
    <t>thumbnail_image_102206aabb</t>
  </si>
  <si>
    <t>62a7576ddee3b600125b60bb</t>
  </si>
  <si>
    <t>62a75774dee3b600125b60bc</t>
  </si>
  <si>
    <t>/uploads/image_23a768453c.jpg</t>
  </si>
  <si>
    <t>thumbnail_image_23a768453c</t>
  </si>
  <si>
    <t>62a75774dee3b600125b60bd</t>
  </si>
  <si>
    <t>62a75776dee3b600125b60be</t>
  </si>
  <si>
    <t>/uploads/image_81e005141b.jpg</t>
  </si>
  <si>
    <t>thumbnail_image_81e005141b</t>
  </si>
  <si>
    <t>62a75776dee3b600125b60bf</t>
  </si>
  <si>
    <t>62a7591cdee3b600125b60c1</t>
  </si>
  <si>
    <t>/uploads/image_dfe8680e38.jpg</t>
  </si>
  <si>
    <t>thumbnail_image_dfe8680e38</t>
  </si>
  <si>
    <t>62a7591cdee3b600125b60c2</t>
  </si>
  <si>
    <t>62a75987dee3b600125b60c4</t>
  </si>
  <si>
    <t>/uploads/image_74fce68de2.jpg</t>
  </si>
  <si>
    <t>thumbnail_image_74fce68de2</t>
  </si>
  <si>
    <t>62a75987dee3b600125b60c5</t>
  </si>
  <si>
    <t>62a75c1adee3b600125b60c7</t>
  </si>
  <si>
    <t>/uploads/image_0f3c4eab73.jpg</t>
  </si>
  <si>
    <t>thumbnail_image_0f3c4eab73</t>
  </si>
  <si>
    <t>62a75c1adee3b600125b60c8</t>
  </si>
  <si>
    <t>62a75f23dee3b600125b60ca</t>
  </si>
  <si>
    <t>/uploads/image_0dbfc1fad3.jpg</t>
  </si>
  <si>
    <t>thumbnail_image_0dbfc1fad3</t>
  </si>
  <si>
    <t>62a75f23dee3b600125b60cb</t>
  </si>
  <si>
    <t>62a76056dee3b600125b60cd</t>
  </si>
  <si>
    <t>/uploads/image_0e5013af98.jpg</t>
  </si>
  <si>
    <t>thumbnail_image_0e5013af98</t>
  </si>
  <si>
    <t>62a76056dee3b600125b60ce</t>
  </si>
  <si>
    <t>62ac8299dee3b600125b60e0</t>
  </si>
  <si>
    <t>/uploads/image_ca8c0d9592.jpg</t>
  </si>
  <si>
    <t>thumbnail_image_ca8c0d9592</t>
  </si>
  <si>
    <t>62ac8299dee3b600125b60e1</t>
  </si>
  <si>
    <t>62ac8327dee3b600125b60e2</t>
  </si>
  <si>
    <t>/uploads/image_633a9470f2.jpg</t>
  </si>
  <si>
    <t>thumbnail_image_633a9470f2</t>
  </si>
  <si>
    <t>62ac8328dee3b600125b60e3</t>
  </si>
  <si>
    <t>62ac86a2dee3b600125b60e5</t>
  </si>
  <si>
    <t>/uploads/image_c343e6af60.jpg</t>
  </si>
  <si>
    <t>thumbnail_image_c343e6af60</t>
  </si>
  <si>
    <t>62ac86a2dee3b600125b60e6</t>
  </si>
  <si>
    <t>62ac8792dee3b600125b60e8</t>
  </si>
  <si>
    <t>/uploads/image_e83ff19fa4.jpg</t>
  </si>
  <si>
    <t>thumbnail_image_e83ff19fa4</t>
  </si>
  <si>
    <t>62ac8792dee3b600125b60e9</t>
  </si>
  <si>
    <t>62ac8a9fdee3b600125b60f4</t>
  </si>
  <si>
    <t>/uploads/image_6807e6c119.jpg</t>
  </si>
  <si>
    <t>thumbnail_image_6807e6c119</t>
  </si>
  <si>
    <t>62ac8a9fdee3b600125b60f5</t>
  </si>
  <si>
    <t>/uploads/image_f4055ce506.jpg</t>
  </si>
  <si>
    <t>thumbnail_image_f4055ce506</t>
  </si>
  <si>
    <t>62ac8aa6dee3b600125b6102</t>
  </si>
  <si>
    <t>/uploads/image_52fbd2085f.jpg</t>
  </si>
  <si>
    <t>thumbnail_image_52fbd2085f</t>
  </si>
  <si>
    <t>62ac8aa6dee3b600125b6103</t>
  </si>
  <si>
    <t>/uploads/image_1eee62558f.jpg</t>
  </si>
  <si>
    <t>thumbnail_image_1eee62558f</t>
  </si>
  <si>
    <t>62ac8b07dee3b600125b6105</t>
  </si>
  <si>
    <t>/uploads/image_d3214206bf.jpg</t>
  </si>
  <si>
    <t>thumbnail_image_d3214206bf</t>
  </si>
  <si>
    <t>62ac8b07dee3b600125b6106</t>
  </si>
  <si>
    <t>62ac8baedee3b600125b6108</t>
  </si>
  <si>
    <t>/uploads/image_c5d187c231.jpg</t>
  </si>
  <si>
    <t>thumbnail_image_c5d187c231</t>
  </si>
  <si>
    <t>62ac8baedee3b600125b6109</t>
  </si>
  <si>
    <t>62ac8bb0dee3b600125b610a</t>
  </si>
  <si>
    <t>/uploads/image_e4538ee3f9.jpg</t>
  </si>
  <si>
    <t>thumbnail_image_e4538ee3f9</t>
  </si>
  <si>
    <t>62ac8bb0dee3b600125b610b</t>
  </si>
  <si>
    <t>62ac8bb6dee3b600125b610c</t>
  </si>
  <si>
    <t>/uploads/image_b29120d548.jpg</t>
  </si>
  <si>
    <t>thumbnail_image_b29120d548</t>
  </si>
  <si>
    <t>62ac8bb6dee3b600125b610d</t>
  </si>
  <si>
    <t>62ac8f29dee3b600125b610f</t>
  </si>
  <si>
    <t>/uploads/image_fde92c76be.jpg</t>
  </si>
  <si>
    <t>thumbnail_image_fde92c76be</t>
  </si>
  <si>
    <t>62ac8f29dee3b600125b6110</t>
  </si>
  <si>
    <t>62ac9177dee3b600125b611b</t>
  </si>
  <si>
    <t>/uploads/image_fbc3176896.jpg</t>
  </si>
  <si>
    <t>thumbnail_image_fbc3176896</t>
  </si>
  <si>
    <t>62ac9177dee3b600125b611c</t>
  </si>
  <si>
    <t>/uploads/image_1f84314c1f.jpg</t>
  </si>
  <si>
    <t>thumbnail_image_1f84314c1f</t>
  </si>
  <si>
    <t>62ac91a9dee3b600125b611d</t>
  </si>
  <si>
    <t>/uploads/image_95cf72b454.jpg</t>
  </si>
  <si>
    <t>thumbnail_image_95cf72b454</t>
  </si>
  <si>
    <t>62ac91a9dee3b600125b611e</t>
  </si>
  <si>
    <t>62ac91efdee3b600125b6120</t>
  </si>
  <si>
    <t>/uploads/image_b69bd742ab.jpg</t>
  </si>
  <si>
    <t>thumbnail_image_b69bd742ab</t>
  </si>
  <si>
    <t>62ac91efdee3b600125b6121</t>
  </si>
  <si>
    <t>62ac9239dee3b600125b6123</t>
  </si>
  <si>
    <t>/uploads/image_123f0e927a.jpg</t>
  </si>
  <si>
    <t>thumbnail_image_123f0e927a</t>
  </si>
  <si>
    <t>62ac9239dee3b600125b6124</t>
  </si>
  <si>
    <t>62ac9318dee3b600125b6126</t>
  </si>
  <si>
    <t>/uploads/image_bca53250bd.jpg</t>
  </si>
  <si>
    <t>thumbnail_image_bca53250bd</t>
  </si>
  <si>
    <t>62ac9318dee3b600125b6127</t>
  </si>
  <si>
    <t>62ac9333dee3b600125b6128</t>
  </si>
  <si>
    <t>/uploads/image_e69040e7ba.jpg</t>
  </si>
  <si>
    <t>thumbnail_image_e69040e7ba</t>
  </si>
  <si>
    <t>62ac9333dee3b600125b6129</t>
  </si>
  <si>
    <t>62ac9333dee3b600125b612a</t>
  </si>
  <si>
    <t>/uploads/image_43c529a4be.jpg</t>
  </si>
  <si>
    <t>thumbnail_image_43c529a4be</t>
  </si>
  <si>
    <t>62ac9333dee3b600125b612b</t>
  </si>
  <si>
    <t>62ac934edee3b600125b612c</t>
  </si>
  <si>
    <t>/uploads/image_bff841bd1c.jpg</t>
  </si>
  <si>
    <t>thumbnail_image_bff841bd1c</t>
  </si>
  <si>
    <t>62ac934edee3b600125b612d</t>
  </si>
  <si>
    <t>62ac934edee3b600125b612e</t>
  </si>
  <si>
    <t>/uploads/image_db027b745a.jpg</t>
  </si>
  <si>
    <t>thumbnail_image_db027b745a</t>
  </si>
  <si>
    <t>62ac934edee3b600125b612f</t>
  </si>
  <si>
    <t>62ac9440dee3b600125b6131</t>
  </si>
  <si>
    <t>/uploads/image_73b5485ae4.jpg</t>
  </si>
  <si>
    <t>thumbnail_image_73b5485ae4</t>
  </si>
  <si>
    <t>62ac9440dee3b600125b6132</t>
  </si>
  <si>
    <t>62ac9494dee3b600125b6133</t>
  </si>
  <si>
    <t>/uploads/image_99e56be21f.jpg</t>
  </si>
  <si>
    <t>thumbnail_image_99e56be21f</t>
  </si>
  <si>
    <t>62ac9494dee3b600125b6134</t>
  </si>
  <si>
    <t>62ac94e7dee3b600125b6136</t>
  </si>
  <si>
    <t>/uploads/image_2935e23d9c.jpg</t>
  </si>
  <si>
    <t>thumbnail_image_2935e23d9c</t>
  </si>
  <si>
    <t>62ac94e7dee3b600125b6137</t>
  </si>
  <si>
    <t>62ac95d7dee3b600125b6139</t>
  </si>
  <si>
    <t>/uploads/image_44862f3000.jpg</t>
  </si>
  <si>
    <t>thumbnail_image_44862f3000</t>
  </si>
  <si>
    <t>62ac95d7dee3b600125b613a</t>
  </si>
  <si>
    <t>62ac96a0dee3b600125b613c</t>
  </si>
  <si>
    <t>/uploads/image_c1ac07306c.jpg</t>
  </si>
  <si>
    <t>thumbnail_image_c1ac07306c</t>
  </si>
  <si>
    <t>62ac96a0dee3b600125b613d</t>
  </si>
  <si>
    <t>62ac97ebdee3b600125b613f</t>
  </si>
  <si>
    <t>/uploads/image_15d9f58198.jpg</t>
  </si>
  <si>
    <t>thumbnail_image_15d9f58198</t>
  </si>
  <si>
    <t>62ac97ecdee3b600125b6140</t>
  </si>
  <si>
    <t>62ac986ddee3b600125b6142</t>
  </si>
  <si>
    <t>/uploads/image_a8c07a28f0.jpg</t>
  </si>
  <si>
    <t>thumbnail_image_a8c07a28f0</t>
  </si>
  <si>
    <t>62ac986ddee3b600125b6143</t>
  </si>
  <si>
    <t>62ac9cd1dee3b600125b6145</t>
  </si>
  <si>
    <t>/uploads/image_2eeaafe0fb.jpg</t>
  </si>
  <si>
    <t>thumbnail_image_2eeaafe0fb</t>
  </si>
  <si>
    <t>62ac9cd1dee3b600125b6146</t>
  </si>
  <si>
    <t>62ac9e74dee3b600125b6148</t>
  </si>
  <si>
    <t>/uploads/image_d8d935ad86.jpg</t>
  </si>
  <si>
    <t>thumbnail_image_d8d935ad86</t>
  </si>
  <si>
    <t>62ac9e74dee3b600125b6149</t>
  </si>
  <si>
    <t>62ac9ea0dee3b600125b614b</t>
  </si>
  <si>
    <t>/uploads/image_d32ca51927.jpg</t>
  </si>
  <si>
    <t>thumbnail_image_d32ca51927</t>
  </si>
  <si>
    <t>62ac9ea0dee3b600125b614c</t>
  </si>
  <si>
    <t>62ac9ef5dee3b600125b614e</t>
  </si>
  <si>
    <t>/uploads/image_eded844f1c.jpg</t>
  </si>
  <si>
    <t>thumbnail_image_eded844f1c</t>
  </si>
  <si>
    <t>62ac9ef5dee3b600125b614f</t>
  </si>
  <si>
    <t>62ac9f17dee3b600125b6151</t>
  </si>
  <si>
    <t>/uploads/image_6dd9cf3d29.jpg</t>
  </si>
  <si>
    <t>thumbnail_image_6dd9cf3d29</t>
  </si>
  <si>
    <t>62ac9f17dee3b600125b6152</t>
  </si>
  <si>
    <t>62ac9ff7dee3b600125b6154</t>
  </si>
  <si>
    <t>/uploads/image_926c8b452e.jpg</t>
  </si>
  <si>
    <t>thumbnail_image_926c8b452e</t>
  </si>
  <si>
    <t>62ac9ff7dee3b600125b6155</t>
  </si>
  <si>
    <t>62aca08cdee3b600125b6157</t>
  </si>
  <si>
    <t>/uploads/image_b5cd027fba.jpg</t>
  </si>
  <si>
    <t>thumbnail_image_b5cd027fba</t>
  </si>
  <si>
    <t>62aca08cdee3b600125b6158</t>
  </si>
  <si>
    <t>62aca3d7dee3b600125b6162</t>
  </si>
  <si>
    <t>/uploads/image_7904845d35.jpg</t>
  </si>
  <si>
    <t>thumbnail_image_7904845d35</t>
  </si>
  <si>
    <t>62aca4b4dee3b600125b6164</t>
  </si>
  <si>
    <t>/uploads/image_42159cd4a0.jpg</t>
  </si>
  <si>
    <t>thumbnail_image_42159cd4a0</t>
  </si>
  <si>
    <t>62aca4b4dee3b600125b6165</t>
  </si>
  <si>
    <t>62b41a3d945c4c0019aa662e</t>
  </si>
  <si>
    <t>/uploads/image_a03eb0e5b0.jpg</t>
  </si>
  <si>
    <t>thumbnail_image_a03eb0e5b0</t>
  </si>
  <si>
    <t>62b41a3d945c4c0019aa662f</t>
  </si>
  <si>
    <t>62b41a82945c4c0019aa6631</t>
  </si>
  <si>
    <t>/uploads/image_14f55dc056.jpg</t>
  </si>
  <si>
    <t>thumbnail_image_14f55dc056</t>
  </si>
  <si>
    <t>62b41a82945c4c0019aa6632</t>
  </si>
  <si>
    <t>62b41adb945c4c0019aa6634</t>
  </si>
  <si>
    <t>/uploads/image_28990cb158.jpg</t>
  </si>
  <si>
    <t>thumbnail_image_28990cb158</t>
  </si>
  <si>
    <t>62b41adb945c4c0019aa6635</t>
  </si>
  <si>
    <t>62b41b56945c4c0019aa6637</t>
  </si>
  <si>
    <t>/uploads/image_dd78c7a38b.jpg</t>
  </si>
  <si>
    <t>thumbnail_image_dd78c7a38b</t>
  </si>
  <si>
    <t>62b41b56945c4c0019aa6638</t>
  </si>
  <si>
    <t>62b41b9e945c4c0019aa663a</t>
  </si>
  <si>
    <t>/uploads/image_e9a5ef78e5.jpg</t>
  </si>
  <si>
    <t>thumbnail_image_e9a5ef78e5</t>
  </si>
  <si>
    <t>62b41b9e945c4c0019aa663b</t>
  </si>
  <si>
    <t>62b41c50945c4c0019aa663d</t>
  </si>
  <si>
    <t>/uploads/image_8bdcc766ac.jpg</t>
  </si>
  <si>
    <t>thumbnail_image_8bdcc766ac</t>
  </si>
  <si>
    <t>62b41c50945c4c0019aa663e</t>
  </si>
  <si>
    <t>62b41fd1945c4c0019aa6640</t>
  </si>
  <si>
    <t>/uploads/image_43008b892b.jpg</t>
  </si>
  <si>
    <t>thumbnail_image_43008b892b</t>
  </si>
  <si>
    <t>62b41fd1945c4c0019aa6641</t>
  </si>
  <si>
    <t>62b42013945c4c0019aa6642</t>
  </si>
  <si>
    <t>/uploads/image_cd3834f9ab.jpg</t>
  </si>
  <si>
    <t>thumbnail_image_cd3834f9ab</t>
  </si>
  <si>
    <t>62b42013945c4c0019aa6643</t>
  </si>
  <si>
    <t>62b4201e945c4c0019aa6644</t>
  </si>
  <si>
    <t>/uploads/image_6574041a87.jpg</t>
  </si>
  <si>
    <t>thumbnail_image_6574041a87</t>
  </si>
  <si>
    <t>62b4201e945c4c0019aa6645</t>
  </si>
  <si>
    <t>62b42067945c4c0019aa6647</t>
  </si>
  <si>
    <t>/uploads/image_d2a179154e.jpg</t>
  </si>
  <si>
    <t>thumbnail_image_d2a179154e</t>
  </si>
  <si>
    <t>62b42067945c4c0019aa6648</t>
  </si>
  <si>
    <t>62b42145945c4c0019aa664e</t>
  </si>
  <si>
    <t>/uploads/image_8a244dc044.jpg</t>
  </si>
  <si>
    <t>thumbnail_image_8a244dc044</t>
  </si>
  <si>
    <t>62b4219b945c4c0019aa664f</t>
  </si>
  <si>
    <t>/uploads/image_9a49b597dd.jpg</t>
  </si>
  <si>
    <t>thumbnail_image_9a49b597dd</t>
  </si>
  <si>
    <t>62b4219b945c4c0019aa6650</t>
  </si>
  <si>
    <t>62b42bee945c4c0019aa6652</t>
  </si>
  <si>
    <t>/uploads/image_e4c603bfae.jpg</t>
  </si>
  <si>
    <t>thumbnail_image_e4c603bfae</t>
  </si>
  <si>
    <t>62b42bee945c4c0019aa6653</t>
  </si>
  <si>
    <t>62b42c24945c4c0019aa6655</t>
  </si>
  <si>
    <t>/uploads/image_bcbefb246b.jpg</t>
  </si>
  <si>
    <t>thumbnail_image_bcbefb246b</t>
  </si>
  <si>
    <t>62b42c24945c4c0019aa6656</t>
  </si>
  <si>
    <t>62b42ca3945c4c0019aa6658</t>
  </si>
  <si>
    <t>/uploads/image_41e13c57da.jpg</t>
  </si>
  <si>
    <t>thumbnail_image_41e13c57da</t>
  </si>
  <si>
    <t>62b42ca3945c4c0019aa6659</t>
  </si>
  <si>
    <t>62b42dc3945c4c0019aa665b</t>
  </si>
  <si>
    <t>/uploads/image_aeecb5f65b.jpg</t>
  </si>
  <si>
    <t>thumbnail_image_aeecb5f65b</t>
  </si>
  <si>
    <t>62b42dc3945c4c0019aa665c</t>
  </si>
  <si>
    <t>62b42dda945c4c0019aa665d</t>
  </si>
  <si>
    <t>/uploads/image_002bf2d537.jpg</t>
  </si>
  <si>
    <t>thumbnail_image_002bf2d537</t>
  </si>
  <si>
    <t>62b42dda945c4c0019aa665e</t>
  </si>
  <si>
    <t>62b42dde945c4c0019aa665f</t>
  </si>
  <si>
    <t>/uploads/image_7e920bcd40.jpg</t>
  </si>
  <si>
    <t>thumbnail_image_7e920bcd40</t>
  </si>
  <si>
    <t>62b42dde945c4c0019aa6660</t>
  </si>
  <si>
    <t>62b42e35945c4c0019aa6662</t>
  </si>
  <si>
    <t>/uploads/image_865c6cd66d.jpg</t>
  </si>
  <si>
    <t>thumbnail_image_865c6cd66d</t>
  </si>
  <si>
    <t>62b42e35945c4c0019aa6663</t>
  </si>
  <si>
    <t>62b42e04945c4c0019aa6661</t>
  </si>
  <si>
    <t>62b42ff4945c4c0019aa6667</t>
  </si>
  <si>
    <t>/uploads/image_a2933f9718.jpg</t>
  </si>
  <si>
    <t>thumbnail_image_a2933f9718</t>
  </si>
  <si>
    <t>62b42ff4945c4c0019aa6668</t>
  </si>
  <si>
    <t>62b4309e945c4c0019aa666a</t>
  </si>
  <si>
    <t>/uploads/image_b1757bd236.jpg</t>
  </si>
  <si>
    <t>thumbnail_image_b1757bd236</t>
  </si>
  <si>
    <t>62b4309e945c4c0019aa666b</t>
  </si>
  <si>
    <t>62b430d1945c4c0019aa666d</t>
  </si>
  <si>
    <t>/uploads/image_a9fd137950.jpg</t>
  </si>
  <si>
    <t>thumbnail_image_a9fd137950</t>
  </si>
  <si>
    <t>62b430d1945c4c0019aa666e</t>
  </si>
  <si>
    <t>62b43153945c4c0019aa6670</t>
  </si>
  <si>
    <t>/uploads/image_156b9ed517.jpg</t>
  </si>
  <si>
    <t>thumbnail_image_156b9ed517</t>
  </si>
  <si>
    <t>62b43153945c4c0019aa6671</t>
  </si>
  <si>
    <t>62b43213945c4c0019aa6673</t>
  </si>
  <si>
    <t>/uploads/image_4a164c4a6a.jpg</t>
  </si>
  <si>
    <t>thumbnail_image_4a164c4a6a</t>
  </si>
  <si>
    <t>62b43213945c4c0019aa6674</t>
  </si>
  <si>
    <t>62b43253945c4c0019aa6676</t>
  </si>
  <si>
    <t>/uploads/image_a3d1b2ab46.jpg</t>
  </si>
  <si>
    <t>thumbnail_image_a3d1b2ab46</t>
  </si>
  <si>
    <t>62b43253945c4c0019aa6677</t>
  </si>
  <si>
    <t>62b43273945c4c0019aa6679</t>
  </si>
  <si>
    <t>/uploads/image_bc3ddac8ce.jpg</t>
  </si>
  <si>
    <t>thumbnail_image_bc3ddac8ce</t>
  </si>
  <si>
    <t>62b43273945c4c0019aa667a</t>
  </si>
  <si>
    <t>62b432d2945c4c0019aa667b</t>
  </si>
  <si>
    <t>/uploads/image_1af2eb30ea.jpg</t>
  </si>
  <si>
    <t>thumbnail_image_1af2eb30ea</t>
  </si>
  <si>
    <t>62b432d2945c4c0019aa667c</t>
  </si>
  <si>
    <t>62b432db945c4c0019aa667d</t>
  </si>
  <si>
    <t>/uploads/image_aa764a326e.jpg</t>
  </si>
  <si>
    <t>thumbnail_image_aa764a326e</t>
  </si>
  <si>
    <t>62b432db945c4c0019aa667e</t>
  </si>
  <si>
    <t>62b4334e945c4c0019aa6680</t>
  </si>
  <si>
    <t>/uploads/image_c659c95aa0.jpg</t>
  </si>
  <si>
    <t>thumbnail_image_c659c95aa0</t>
  </si>
  <si>
    <t>62b4334e945c4c0019aa6681</t>
  </si>
  <si>
    <t>62b43392945c4c0019aa6683</t>
  </si>
  <si>
    <t>/uploads/image_05970481c6.jpg</t>
  </si>
  <si>
    <t>thumbnail_image_05970481c6</t>
  </si>
  <si>
    <t>62b43392945c4c0019aa6684</t>
  </si>
  <si>
    <t>62b4342a945c4c0019aa6686</t>
  </si>
  <si>
    <t>/uploads/image_3e2c6b1ef6.jpg</t>
  </si>
  <si>
    <t>thumbnail_image_3e2c6b1ef6</t>
  </si>
  <si>
    <t>62b4342a945c4c0019aa6687</t>
  </si>
  <si>
    <t>62b434ab945c4c0019aa6689</t>
  </si>
  <si>
    <t>/uploads/image_ce5917e524.jpg</t>
  </si>
  <si>
    <t>thumbnail_image_ce5917e524</t>
  </si>
  <si>
    <t>62b434ab945c4c0019aa668a</t>
  </si>
  <si>
    <t>62b434be945c4c0019aa668b</t>
  </si>
  <si>
    <t>/uploads/image_b7a8659bb1.jpg</t>
  </si>
  <si>
    <t>thumbnail_image_b7a8659bb1</t>
  </si>
  <si>
    <t>62b434be945c4c0019aa668c</t>
  </si>
  <si>
    <t>62b434c5945c4c0019aa668d</t>
  </si>
  <si>
    <t>/uploads/image_de4ab1e3eb.jpg</t>
  </si>
  <si>
    <t>thumbnail_image_de4ab1e3eb</t>
  </si>
  <si>
    <t>62b434c5945c4c0019aa668e</t>
  </si>
  <si>
    <t>62b43554945c4c0019aa6690</t>
  </si>
  <si>
    <t>/uploads/image_7dd5039d16.jpg</t>
  </si>
  <si>
    <t>thumbnail_image_7dd5039d16</t>
  </si>
  <si>
    <t>62b43554945c4c0019aa6691</t>
  </si>
  <si>
    <t>62b435a3945c4c0019aa6693</t>
  </si>
  <si>
    <t>/uploads/image_65f5d35a97.jpg</t>
  </si>
  <si>
    <t>thumbnail_image_65f5d35a97</t>
  </si>
  <si>
    <t>62b435a3945c4c0019aa6694</t>
  </si>
  <si>
    <t>62b435ed945c4c0019aa6696</t>
  </si>
  <si>
    <t>/uploads/image_9ec98c5059.jpg</t>
  </si>
  <si>
    <t>thumbnail_image_9ec98c5059</t>
  </si>
  <si>
    <t>62b435ed945c4c0019aa6697</t>
  </si>
  <si>
    <t>62b43661945c4c0019aa6699</t>
  </si>
  <si>
    <t>/uploads/image_717282610d.jpg</t>
  </si>
  <si>
    <t>thumbnail_image_717282610d</t>
  </si>
  <si>
    <t>62b43661945c4c0019aa669a</t>
  </si>
  <si>
    <t>62b4368d945c4c0019aa669c</t>
  </si>
  <si>
    <t>/uploads/image_e57143dd04.jpg</t>
  </si>
  <si>
    <t>thumbnail_image_e57143dd04</t>
  </si>
  <si>
    <t>62b4368d945c4c0019aa669d</t>
  </si>
  <si>
    <t>62b43710945c4c0019aa669f</t>
  </si>
  <si>
    <t>/uploads/image_78dfe5e03c.jpg</t>
  </si>
  <si>
    <t>thumbnail_image_78dfe5e03c</t>
  </si>
  <si>
    <t>62b43710945c4c0019aa66a0</t>
  </si>
  <si>
    <t>62b4377d945c4c0019aa66a2</t>
  </si>
  <si>
    <t>/uploads/image_1acde03522.jpg</t>
  </si>
  <si>
    <t>thumbnail_image_1acde03522</t>
  </si>
  <si>
    <t>62b4377d945c4c0019aa66a3</t>
  </si>
  <si>
    <t>62b437ca945c4c0019aa66a5</t>
  </si>
  <si>
    <t>/uploads/image_b4e05fc41b.jpg</t>
  </si>
  <si>
    <t>thumbnail_image_b4e05fc41b</t>
  </si>
  <si>
    <t>62b437ca945c4c0019aa66a6</t>
  </si>
  <si>
    <t>62b43a04945c4c0019aa66a8</t>
  </si>
  <si>
    <t>/uploads/image_d5fba32172.jpg</t>
  </si>
  <si>
    <t>thumbnail_image_d5fba32172</t>
  </si>
  <si>
    <t>62b43a04945c4c0019aa66a9</t>
  </si>
  <si>
    <t>62b43a99945c4c0019aa66ab</t>
  </si>
  <si>
    <t>/uploads/image_e6436be012.jpg</t>
  </si>
  <si>
    <t>thumbnail_image_e6436be012</t>
  </si>
  <si>
    <t>62b43a99945c4c0019aa66ac</t>
  </si>
  <si>
    <t>62b43ad0945c4c0019aa66ae</t>
  </si>
  <si>
    <t>/uploads/image_eb213cd848.jpg</t>
  </si>
  <si>
    <t>thumbnail_image_eb213cd848</t>
  </si>
  <si>
    <t>62b43ad0945c4c0019aa66af</t>
  </si>
  <si>
    <t>62b43b29945c4c0019aa66b1</t>
  </si>
  <si>
    <t>/uploads/image_757fa91bb5.jpg</t>
  </si>
  <si>
    <t>thumbnail_image_757fa91bb5</t>
  </si>
  <si>
    <t>62b43b29945c4c0019aa66b2</t>
  </si>
  <si>
    <t>62b43b8f945c4c0019aa66b4</t>
  </si>
  <si>
    <t>/uploads/image_da993b08fb.jpg</t>
  </si>
  <si>
    <t>thumbnail_image_da993b08fb</t>
  </si>
  <si>
    <t>62b43b8f945c4c0019aa66b5</t>
  </si>
  <si>
    <t>62b43c57945c4c0019aa66b8</t>
  </si>
  <si>
    <t>/uploads/image_aadd7555ca.jpg</t>
  </si>
  <si>
    <t>thumbnail_image_aadd7555ca</t>
  </si>
  <si>
    <t>62b43c57945c4c0019aa66b9</t>
  </si>
  <si>
    <t>62b43c85945c4c0019aa66bb</t>
  </si>
  <si>
    <t>/uploads/image_7ee329b7f0.jpg</t>
  </si>
  <si>
    <t>thumbnail_image_7ee329b7f0</t>
  </si>
  <si>
    <t>62b43c85945c4c0019aa66bc</t>
  </si>
  <si>
    <t>62b43cf6945c4c0019aa66be</t>
  </si>
  <si>
    <t>/uploads/image_92774da0e1.jpg</t>
  </si>
  <si>
    <t>thumbnail_image_92774da0e1</t>
  </si>
  <si>
    <t>62b43cf6945c4c0019aa66bf</t>
  </si>
  <si>
    <t>62b43d26945c4c0019aa66c1</t>
  </si>
  <si>
    <t>/uploads/image_b2a7e15663.jpg</t>
  </si>
  <si>
    <t>thumbnail_image_b2a7e15663</t>
  </si>
  <si>
    <t>62b43d26945c4c0019aa66c2</t>
  </si>
  <si>
    <t>62b43d67945c4c0019aa66c4</t>
  </si>
  <si>
    <t>/uploads/image_522949da79.jpg</t>
  </si>
  <si>
    <t>thumbnail_image_522949da79</t>
  </si>
  <si>
    <t>62b43d67945c4c0019aa66c5</t>
  </si>
  <si>
    <t>62b43db2945c4c0019aa66c7</t>
  </si>
  <si>
    <t>/uploads/image_05842ec0aa.jpg</t>
  </si>
  <si>
    <t>thumbnail_image_05842ec0aa</t>
  </si>
  <si>
    <t>62b43db2945c4c0019aa66c8</t>
  </si>
  <si>
    <t>62b43ee6945c4c0019aa66ca</t>
  </si>
  <si>
    <t>/uploads/image_998d41fa22.jpg</t>
  </si>
  <si>
    <t>thumbnail_image_998d41fa22</t>
  </si>
  <si>
    <t>62b43ee6945c4c0019aa66cb</t>
  </si>
  <si>
    <t>62b43f29945c4c0019aa66cd</t>
  </si>
  <si>
    <t>/uploads/image_9d43654148.jpg</t>
  </si>
  <si>
    <t>thumbnail_image_9d43654148</t>
  </si>
  <si>
    <t>62b43f29945c4c0019aa66ce</t>
  </si>
  <si>
    <t>62b43f5f945c4c0019aa66d0</t>
  </si>
  <si>
    <t>/uploads/image_874531f686.jpg</t>
  </si>
  <si>
    <t>thumbnail_image_874531f686</t>
  </si>
  <si>
    <t>62b43f5f945c4c0019aa66d1</t>
  </si>
  <si>
    <t>62b43fe8945c4c0019aa66d3</t>
  </si>
  <si>
    <t>/uploads/image_2374e1f72c.jpg</t>
  </si>
  <si>
    <t>thumbnail_image_2374e1f72c</t>
  </si>
  <si>
    <t>62b43fe8945c4c0019aa66d4</t>
  </si>
  <si>
    <t>62b44078945c4c0019aa66d5</t>
  </si>
  <si>
    <t>/uploads/image_1e4eeb6dad.jpg</t>
  </si>
  <si>
    <t>thumbnail_image_1e4eeb6dad</t>
  </si>
  <si>
    <t>62b44078945c4c0019aa66d6</t>
  </si>
  <si>
    <t>62b44081945c4c0019aa66d7</t>
  </si>
  <si>
    <t>/uploads/image_da4be39618.jpg</t>
  </si>
  <si>
    <t>thumbnail_image_da4be39618</t>
  </si>
  <si>
    <t>62b44081945c4c0019aa66d8</t>
  </si>
  <si>
    <t>62b440a2945c4c0019aa66da</t>
  </si>
  <si>
    <t>/uploads/image_e8e79a5073.jpg</t>
  </si>
  <si>
    <t>thumbnail_image_e8e79a5073</t>
  </si>
  <si>
    <t>62b440a2945c4c0019aa66db</t>
  </si>
  <si>
    <t>62b44131945c4c0019aa66dd</t>
  </si>
  <si>
    <t>/uploads/image_2c6cb6178e.jpg</t>
  </si>
  <si>
    <t>thumbnail_image_2c6cb6178e</t>
  </si>
  <si>
    <t>62b44131945c4c0019aa66de</t>
  </si>
  <si>
    <t>62b442b4945c4c0019aa66e0</t>
  </si>
  <si>
    <t>/uploads/image_cb0f0c4fc0.jpg</t>
  </si>
  <si>
    <t>thumbnail_image_cb0f0c4fc0</t>
  </si>
  <si>
    <t>62b442b4945c4c0019aa66e1</t>
  </si>
  <si>
    <t>62b44352945c4c0019aa66e4</t>
  </si>
  <si>
    <t>/uploads/image_0d74217a2a.jpg</t>
  </si>
  <si>
    <t>thumbnail_image_0d74217a2a</t>
  </si>
  <si>
    <t>62b44352945c4c0019aa66e5</t>
  </si>
  <si>
    <t>62b443a0945c4c0019aa66e7</t>
  </si>
  <si>
    <t>/uploads/image_22b723b877.jpg</t>
  </si>
  <si>
    <t>thumbnail_image_22b723b877</t>
  </si>
  <si>
    <t>62b443a0945c4c0019aa66e8</t>
  </si>
  <si>
    <t>62b44411945c4c0019aa66ea</t>
  </si>
  <si>
    <t>/uploads/image_4f216f42b0.jpg</t>
  </si>
  <si>
    <t>thumbnail_image_4f216f42b0</t>
  </si>
  <si>
    <t>62b44411945c4c0019aa66eb</t>
  </si>
  <si>
    <t>62b44575945c4c0019aa66ed</t>
  </si>
  <si>
    <t>/uploads/image_6e136d631a.jpg</t>
  </si>
  <si>
    <t>thumbnail_image_6e136d631a</t>
  </si>
  <si>
    <t>62b44575945c4c0019aa66ee</t>
  </si>
  <si>
    <t>62b445b1945c4c0019aa66f0</t>
  </si>
  <si>
    <t>/uploads/image_b266c864ea.jpg</t>
  </si>
  <si>
    <t>thumbnail_image_b266c864ea</t>
  </si>
  <si>
    <t>62b445b1945c4c0019aa66f1</t>
  </si>
  <si>
    <t>62b445f4945c4c0019aa66f3</t>
  </si>
  <si>
    <t>/uploads/image_ff22712385.jpg</t>
  </si>
  <si>
    <t>thumbnail_image_ff22712385</t>
  </si>
  <si>
    <t>62b445f4945c4c0019aa66f4</t>
  </si>
  <si>
    <t>62b56574945c4c0019aa66f7</t>
  </si>
  <si>
    <t>/uploads/image_c58d1cbb04.jpg</t>
  </si>
  <si>
    <t>thumbnail_image_c58d1cbb04</t>
  </si>
  <si>
    <t>62b56574945c4c0019aa66f8</t>
  </si>
  <si>
    <t>62b56628945c4c0019aa66fa</t>
  </si>
  <si>
    <t>/uploads/image_20b334a758.jpg</t>
  </si>
  <si>
    <t>thumbnail_image_20b334a758</t>
  </si>
  <si>
    <t>62b56628945c4c0019aa66fb</t>
  </si>
  <si>
    <t>62b56652945c4c0019aa66fd</t>
  </si>
  <si>
    <t>/uploads/image_f5b9eefbc1.jpg</t>
  </si>
  <si>
    <t>thumbnail_image_f5b9eefbc1</t>
  </si>
  <si>
    <t>62b56652945c4c0019aa66fe</t>
  </si>
  <si>
    <t>62b56664945c4c0019aa6700</t>
  </si>
  <si>
    <t>/uploads/image_f66725936e.jpg</t>
  </si>
  <si>
    <t>thumbnail_image_f66725936e</t>
  </si>
  <si>
    <t>62b56664945c4c0019aa6701</t>
  </si>
  <si>
    <t>62b5668e945c4c0019aa6703</t>
  </si>
  <si>
    <t>/uploads/image_98029e43fa.jpg</t>
  </si>
  <si>
    <t>thumbnail_image_98029e43fa</t>
  </si>
  <si>
    <t>62b5668e945c4c0019aa6704</t>
  </si>
  <si>
    <t>62b566a2945c4c0019aa6706</t>
  </si>
  <si>
    <t>/uploads/image_dc3daeb79a.jpg</t>
  </si>
  <si>
    <t>thumbnail_image_dc3daeb79a</t>
  </si>
  <si>
    <t>62b566a2945c4c0019aa6707</t>
  </si>
  <si>
    <t>62b566bf945c4c0019aa6709</t>
  </si>
  <si>
    <t>/uploads/image_f43d2d39b9.jpg</t>
  </si>
  <si>
    <t>thumbnail_image_f43d2d39b9</t>
  </si>
  <si>
    <t>62b566bf945c4c0019aa670a</t>
  </si>
  <si>
    <t>62b56719945c4c0019aa670c</t>
  </si>
  <si>
    <t>/uploads/image_4a03c4709b.jpg</t>
  </si>
  <si>
    <t>thumbnail_image_4a03c4709b</t>
  </si>
  <si>
    <t>62b56719945c4c0019aa670d</t>
  </si>
  <si>
    <t>62b56739945c4c0019aa670f</t>
  </si>
  <si>
    <t>/uploads/image_9ecd06830b.jpg</t>
  </si>
  <si>
    <t>thumbnail_image_9ecd06830b</t>
  </si>
  <si>
    <t>62b56739945c4c0019aa6710</t>
  </si>
  <si>
    <t>62b56766945c4c0019aa6712</t>
  </si>
  <si>
    <t>/uploads/image_364fb167ea.jpg</t>
  </si>
  <si>
    <t>thumbnail_image_364fb167ea</t>
  </si>
  <si>
    <t>62b56766945c4c0019aa6713</t>
  </si>
  <si>
    <t>62b5678e945c4c0019aa6715</t>
  </si>
  <si>
    <t>/uploads/image_6d691e7485.jpg</t>
  </si>
  <si>
    <t>thumbnail_image_6d691e7485</t>
  </si>
  <si>
    <t>62b5678e945c4c0019aa6716</t>
  </si>
  <si>
    <t>62b567f9945c4c0019aa6718</t>
  </si>
  <si>
    <t>/uploads/image_afcaa3f3ab.jpg</t>
  </si>
  <si>
    <t>thumbnail_image_afcaa3f3ab</t>
  </si>
  <si>
    <t>62b567f9945c4c0019aa6719</t>
  </si>
  <si>
    <t>62b5683a945c4c0019aa671b</t>
  </si>
  <si>
    <t>/uploads/image_ba35088fc9.jpg</t>
  </si>
  <si>
    <t>thumbnail_image_ba35088fc9</t>
  </si>
  <si>
    <t>62b5683a945c4c0019aa671c</t>
  </si>
  <si>
    <t>62b5687d945c4c0019aa671f</t>
  </si>
  <si>
    <t>/uploads/image_36cf73874c.jpg</t>
  </si>
  <si>
    <t>thumbnail_image_36cf73874c</t>
  </si>
  <si>
    <t>62b5687d945c4c0019aa6720</t>
  </si>
  <si>
    <t>62b568c9945c4c0019aa6722</t>
  </si>
  <si>
    <t>/uploads/image_633b3265e6.jpg</t>
  </si>
  <si>
    <t>thumbnail_image_633b3265e6</t>
  </si>
  <si>
    <t>62b568c9945c4c0019aa6723</t>
  </si>
  <si>
    <t>62b568e7945c4c0019aa6725</t>
  </si>
  <si>
    <t>/uploads/image_522998313d.jpg</t>
  </si>
  <si>
    <t>thumbnail_image_522998313d</t>
  </si>
  <si>
    <t>62b568e7945c4c0019aa6726</t>
  </si>
  <si>
    <t>62b56965945c4c0019aa6728</t>
  </si>
  <si>
    <t>/uploads/image_41aa1349c5.jpg</t>
  </si>
  <si>
    <t>thumbnail_image_41aa1349c5</t>
  </si>
  <si>
    <t>62b56965945c4c0019aa6729</t>
  </si>
  <si>
    <t>62b5698f945c4c0019aa672b</t>
  </si>
  <si>
    <t>/uploads/image_0597e19243.jpg</t>
  </si>
  <si>
    <t>thumbnail_image_0597e19243</t>
  </si>
  <si>
    <t>62b5698f945c4c0019aa672c</t>
  </si>
  <si>
    <t>62b56a3f945c4c0019aa672e</t>
  </si>
  <si>
    <t>/uploads/image_4aa55ae6f7.jpg</t>
  </si>
  <si>
    <t>thumbnail_image_4aa55ae6f7</t>
  </si>
  <si>
    <t>62b56a3f945c4c0019aa672f</t>
  </si>
  <si>
    <t>62b56aea945c4c0019aa6733</t>
  </si>
  <si>
    <t>/uploads/image_8492ad144a.jpg</t>
  </si>
  <si>
    <t>thumbnail_image_8492ad144a</t>
  </si>
  <si>
    <t>62b56b06945c4c0019aa6735</t>
  </si>
  <si>
    <t>/uploads/image_5797a69dd7.jpg</t>
  </si>
  <si>
    <t>thumbnail_image_5797a69dd7</t>
  </si>
  <si>
    <t>62b56b06945c4c0019aa6736</t>
  </si>
  <si>
    <t>62b56c06945c4c0019aa673f</t>
  </si>
  <si>
    <t>/uploads/image_2e67e64733.jpg</t>
  </si>
  <si>
    <t>thumbnail_image_2e67e64733</t>
  </si>
  <si>
    <t>62b56c07945c4c0019aa6740</t>
  </si>
  <si>
    <t>/uploads/image_1833212ecd.jpg</t>
  </si>
  <si>
    <t>thumbnail_image_1833212ecd</t>
  </si>
  <si>
    <t>62b56c42945c4c0019aa6742</t>
  </si>
  <si>
    <t>/uploads/image_4dfde82fd3.jpg</t>
  </si>
  <si>
    <t>thumbnail_image_4dfde82fd3</t>
  </si>
  <si>
    <t>62b56c42945c4c0019aa6743</t>
  </si>
  <si>
    <t>62b56cba945c4c0019aa6744</t>
  </si>
  <si>
    <t>/uploads/image_a2de2d37e7.jpg</t>
  </si>
  <si>
    <t>thumbnail_image_a2de2d37e7</t>
  </si>
  <si>
    <t>62b56cba945c4c0019aa6745</t>
  </si>
  <si>
    <t>62b56cbf945c4c0019aa6746</t>
  </si>
  <si>
    <t>/uploads/image_703fb51126.jpg</t>
  </si>
  <si>
    <t>thumbnail_image_703fb51126</t>
  </si>
  <si>
    <t>62b56cbf945c4c0019aa6747</t>
  </si>
  <si>
    <t>62b56cef945c4c0019aa6749</t>
  </si>
  <si>
    <t>/uploads/image_cdeaec269b.jpg</t>
  </si>
  <si>
    <t>thumbnail_image_cdeaec269b</t>
  </si>
  <si>
    <t>62b56cef945c4c0019aa674a</t>
  </si>
  <si>
    <t>62b56d6f945c4c0019aa674c</t>
  </si>
  <si>
    <t>/uploads/image_ee9dd3afb9.jpg</t>
  </si>
  <si>
    <t>thumbnail_image_ee9dd3afb9</t>
  </si>
  <si>
    <t>62b56d6f945c4c0019aa674d</t>
  </si>
  <si>
    <t>62b56d95945c4c0019aa674f</t>
  </si>
  <si>
    <t>/uploads/image_c1ef8c731f.jpg</t>
  </si>
  <si>
    <t>thumbnail_image_c1ef8c731f</t>
  </si>
  <si>
    <t>62b56d95945c4c0019aa6750</t>
  </si>
  <si>
    <t>62b56df0945c4c0019aa6752</t>
  </si>
  <si>
    <t>/uploads/image_ce410f2002.jpg</t>
  </si>
  <si>
    <t>thumbnail_image_ce410f2002</t>
  </si>
  <si>
    <t>62b56df0945c4c0019aa6753</t>
  </si>
  <si>
    <t>62b56e0a945c4c0019aa6755</t>
  </si>
  <si>
    <t>/uploads/image_ed1f7c7bff.jpg</t>
  </si>
  <si>
    <t>thumbnail_image_ed1f7c7bff</t>
  </si>
  <si>
    <t>62b56e0a945c4c0019aa6756</t>
  </si>
  <si>
    <t>62b56fb6945c4c0019aa6766</t>
  </si>
  <si>
    <t>/uploads/image_e20c26abcb.jpg</t>
  </si>
  <si>
    <t>thumbnail_image_e20c26abcb</t>
  </si>
  <si>
    <t>62b56fb6945c4c0019aa6767</t>
  </si>
  <si>
    <t>/uploads/image_ada3cf4b9a.jpg</t>
  </si>
  <si>
    <t>thumbnail_image_ada3cf4b9a</t>
  </si>
  <si>
    <t>62b56fb6945c4c0019aa6768</t>
  </si>
  <si>
    <t>/uploads/image_c8bc66d33f.jpg</t>
  </si>
  <si>
    <t>thumbnail_image_c8bc66d33f</t>
  </si>
  <si>
    <t>62b56ffb945c4c0019aa6769</t>
  </si>
  <si>
    <t>/uploads/image_034c5f39e4.jpg</t>
  </si>
  <si>
    <t>thumbnail_image_034c5f39e4</t>
  </si>
  <si>
    <t>62b56ffb945c4c0019aa676a</t>
  </si>
  <si>
    <t>62b57029945c4c0019aa676c</t>
  </si>
  <si>
    <t>/uploads/image_6bf0a227c6.jpg</t>
  </si>
  <si>
    <t>thumbnail_image_6bf0a227c6</t>
  </si>
  <si>
    <t>62b57029945c4c0019aa676d</t>
  </si>
  <si>
    <t>62b570a8945c4c0019aa676f</t>
  </si>
  <si>
    <t>/uploads/image_0ab6363229.jpg</t>
  </si>
  <si>
    <t>thumbnail_image_0ab6363229</t>
  </si>
  <si>
    <t>62b570a8945c4c0019aa6770</t>
  </si>
  <si>
    <t>62b570d3945c4c0019aa6772</t>
  </si>
  <si>
    <t>/uploads/image_a579125529.jpg</t>
  </si>
  <si>
    <t>thumbnail_image_a579125529</t>
  </si>
  <si>
    <t>62b570d3945c4c0019aa6773</t>
  </si>
  <si>
    <t>62b57120945c4c0019aa6775</t>
  </si>
  <si>
    <t>/uploads/image_e44f00fe75.jpg</t>
  </si>
  <si>
    <t>thumbnail_image_e44f00fe75</t>
  </si>
  <si>
    <t>62b57120945c4c0019aa6776</t>
  </si>
  <si>
    <t>62b5719f945c4c0019aa6778</t>
  </si>
  <si>
    <t>/uploads/image_9d044ff222.jpg</t>
  </si>
  <si>
    <t>thumbnail_image_9d044ff222</t>
  </si>
  <si>
    <t>62b5719f945c4c0019aa6779</t>
  </si>
  <si>
    <t>62b57259945c4c0019aa677b</t>
  </si>
  <si>
    <t>/uploads/image_d3b42d8531.jpg</t>
  </si>
  <si>
    <t>thumbnail_image_d3b42d8531</t>
  </si>
  <si>
    <t>62b57259945c4c0019aa677c</t>
  </si>
  <si>
    <t>62b5729f945c4c0019aa677e</t>
  </si>
  <si>
    <t>/uploads/image_7d2e4ba699.jpg</t>
  </si>
  <si>
    <t>thumbnail_image_7d2e4ba699</t>
  </si>
  <si>
    <t>62b5729f945c4c0019aa677f</t>
  </si>
  <si>
    <t>62b572e5945c4c0019aa6781</t>
  </si>
  <si>
    <t>/uploads/image_ff37bfe6d8.jpg</t>
  </si>
  <si>
    <t>thumbnail_image_ff37bfe6d8</t>
  </si>
  <si>
    <t>62b572e5945c4c0019aa6782</t>
  </si>
  <si>
    <t>62b5733f945c4c0019aa6784</t>
  </si>
  <si>
    <t>/uploads/image_81eb563d8a.jpg</t>
  </si>
  <si>
    <t>thumbnail_image_81eb563d8a</t>
  </si>
  <si>
    <t>62b5733f945c4c0019aa6785</t>
  </si>
  <si>
    <t>62b57382945c4c0019aa6787</t>
  </si>
  <si>
    <t>/uploads/image_3fd9fba916.jpg</t>
  </si>
  <si>
    <t>thumbnail_image_3fd9fba916</t>
  </si>
  <si>
    <t>62b57382945c4c0019aa6788</t>
  </si>
  <si>
    <t>62b573f4945c4c0019aa678a</t>
  </si>
  <si>
    <t>/uploads/image_4e45c06b66.jpg</t>
  </si>
  <si>
    <t>thumbnail_image_4e45c06b66</t>
  </si>
  <si>
    <t>62b573f4945c4c0019aa678b</t>
  </si>
  <si>
    <t>62b5742c945c4c0019aa678d</t>
  </si>
  <si>
    <t>/uploads/image_190aa2b755.jpg</t>
  </si>
  <si>
    <t>thumbnail_image_190aa2b755</t>
  </si>
  <si>
    <t>62b5742c945c4c0019aa678e</t>
  </si>
  <si>
    <t>62b57469945c4c0019aa6790</t>
  </si>
  <si>
    <t>/uploads/image_d218ed28cb.jpg</t>
  </si>
  <si>
    <t>thumbnail_image_d218ed28cb</t>
  </si>
  <si>
    <t>62b57469945c4c0019aa6791</t>
  </si>
  <si>
    <t>62b574c4945c4c0019aa6793</t>
  </si>
  <si>
    <t>/uploads/image_1bab8335b6.jpg</t>
  </si>
  <si>
    <t>thumbnail_image_1bab8335b6</t>
  </si>
  <si>
    <t>62b574c4945c4c0019aa6794</t>
  </si>
  <si>
    <t>62b57518945c4c0019aa6796</t>
  </si>
  <si>
    <t>/uploads/image_aa29cbf1bc.jpg</t>
  </si>
  <si>
    <t>thumbnail_image_aa29cbf1bc</t>
  </si>
  <si>
    <t>62b57518945c4c0019aa6797</t>
  </si>
  <si>
    <t>62b57570945c4c0019aa6799</t>
  </si>
  <si>
    <t>/uploads/image_bc3c385e41.jpg</t>
  </si>
  <si>
    <t>thumbnail_image_bc3c385e41</t>
  </si>
  <si>
    <t>62b57570945c4c0019aa679a</t>
  </si>
  <si>
    <t>62b575bc945c4c0019aa679c</t>
  </si>
  <si>
    <t>/uploads/image_da8d2054e3.jpg</t>
  </si>
  <si>
    <t>thumbnail_image_da8d2054e3</t>
  </si>
  <si>
    <t>62b575bc945c4c0019aa679d</t>
  </si>
  <si>
    <t>62b5760c945c4c0019aa679f</t>
  </si>
  <si>
    <t>/uploads/image_536b00a68e.jpg</t>
  </si>
  <si>
    <t>thumbnail_image_536b00a68e</t>
  </si>
  <si>
    <t>62b5760c945c4c0019aa67a0</t>
  </si>
  <si>
    <t>62b57622945c4c0019aa67a1</t>
  </si>
  <si>
    <t>/uploads/image_a1d58c27e0.jpg</t>
  </si>
  <si>
    <t>thumbnail_image_a1d58c27e0</t>
  </si>
  <si>
    <t>62b57622945c4c0019aa67a2</t>
  </si>
  <si>
    <t>62b57628945c4c0019aa67a3</t>
  </si>
  <si>
    <t>/uploads/image_5b4e7fb563.jpg</t>
  </si>
  <si>
    <t>thumbnail_image_5b4e7fb563</t>
  </si>
  <si>
    <t>62b57628945c4c0019aa67a4</t>
  </si>
  <si>
    <t>62b576ba945c4c0019aa67a6</t>
  </si>
  <si>
    <t>/uploads/image_56c9188754.jpg</t>
  </si>
  <si>
    <t>thumbnail_image_56c9188754</t>
  </si>
  <si>
    <t>62b576ba945c4c0019aa67a7</t>
  </si>
  <si>
    <t>62b576eb945c4c0019aa67a9</t>
  </si>
  <si>
    <t>/uploads/image_6296df424e.jpg</t>
  </si>
  <si>
    <t>thumbnail_image_6296df424e</t>
  </si>
  <si>
    <t>62b576eb945c4c0019aa67aa</t>
  </si>
  <si>
    <t>62b57723945c4c0019aa67ac</t>
  </si>
  <si>
    <t>/uploads/image_8a53df9d18.jpg</t>
  </si>
  <si>
    <t>thumbnail_image_8a53df9d18</t>
  </si>
  <si>
    <t>62b57723945c4c0019aa67ad</t>
  </si>
  <si>
    <t>62b57783945c4c0019aa67af</t>
  </si>
  <si>
    <t>/uploads/image_9e9eb09f84.jpg</t>
  </si>
  <si>
    <t>thumbnail_image_9e9eb09f84</t>
  </si>
  <si>
    <t>62b57783945c4c0019aa67b0</t>
  </si>
  <si>
    <t>62b577c9945c4c0019aa67b2</t>
  </si>
  <si>
    <t>/uploads/image_b0254bac4b.jpg</t>
  </si>
  <si>
    <t>thumbnail_image_b0254bac4b</t>
  </si>
  <si>
    <t>62b577c9945c4c0019aa67b3</t>
  </si>
  <si>
    <t>62b5782e945c4c0019aa67b5</t>
  </si>
  <si>
    <t>/uploads/image_1ad429564f.jpg</t>
  </si>
  <si>
    <t>thumbnail_image_1ad429564f</t>
  </si>
  <si>
    <t>62b5782e945c4c0019aa67b6</t>
  </si>
  <si>
    <t>62b57880945c4c0019aa67b8</t>
  </si>
  <si>
    <t>/uploads/image_24c6e119a5.jpg</t>
  </si>
  <si>
    <t>thumbnail_image_24c6e119a5</t>
  </si>
  <si>
    <t>62b57880945c4c0019aa67b9</t>
  </si>
  <si>
    <t>62b5793d945c4c0019aa67bb</t>
  </si>
  <si>
    <t>/uploads/image_5dd00282c8.jpg</t>
  </si>
  <si>
    <t>thumbnail_image_5dd00282c8</t>
  </si>
  <si>
    <t>62b5793d945c4c0019aa67bc</t>
  </si>
  <si>
    <t>62b57a80945c4c0019aa67be</t>
  </si>
  <si>
    <t>/uploads/image_4872644012.jpg</t>
  </si>
  <si>
    <t>thumbnail_image_4872644012</t>
  </si>
  <si>
    <t>62b57a80945c4c0019aa67bf</t>
  </si>
  <si>
    <t>62b57b21945c4c0019aa67c1</t>
  </si>
  <si>
    <t>/uploads/image_11c17a6bd6.jpg</t>
  </si>
  <si>
    <t>thumbnail_image_11c17a6bd6</t>
  </si>
  <si>
    <t>62b57b21945c4c0019aa67c2</t>
  </si>
  <si>
    <t>62b57b6f945c4c0019aa67c4</t>
  </si>
  <si>
    <t>/uploads/image_454a74c90f.jpg</t>
  </si>
  <si>
    <t>thumbnail_image_454a74c90f</t>
  </si>
  <si>
    <t>62b57b6f945c4c0019aa67c5</t>
  </si>
  <si>
    <t>62b57c05945c4c0019aa67c7</t>
  </si>
  <si>
    <t>/uploads/image_57a0180172.jpg</t>
  </si>
  <si>
    <t>thumbnail_image_57a0180172</t>
  </si>
  <si>
    <t>62b57c05945c4c0019aa67c8</t>
  </si>
  <si>
    <t>62b57c13945c4c0019aa67c9</t>
  </si>
  <si>
    <t>/uploads/image_72a32899a4.jpg</t>
  </si>
  <si>
    <t>thumbnail_image_72a32899a4</t>
  </si>
  <si>
    <t>62b57c13945c4c0019aa67ca</t>
  </si>
  <si>
    <t>62b57c1a945c4c0019aa67cb</t>
  </si>
  <si>
    <t>/uploads/image_7a7f223006.jpg</t>
  </si>
  <si>
    <t>thumbnail_image_7a7f223006</t>
  </si>
  <si>
    <t>62b57c1a945c4c0019aa67cc</t>
  </si>
  <si>
    <t>62b6c07d945c4c0019aa67d2</t>
  </si>
  <si>
    <t>/uploads/image_ac301ebf1a.jpg</t>
  </si>
  <si>
    <t>thumbnail_image_ac301ebf1a</t>
  </si>
  <si>
    <t>62b6c0e2945c4c0019aa67d4</t>
  </si>
  <si>
    <t>/uploads/image_cc59af072c.jpg</t>
  </si>
  <si>
    <t>thumbnail_image_cc59af072c</t>
  </si>
  <si>
    <t>62b6c0e2945c4c0019aa67d5</t>
  </si>
  <si>
    <t>62b6c10f945c4c0019aa67d7</t>
  </si>
  <si>
    <t>/uploads/image_f6bc713561.jpg</t>
  </si>
  <si>
    <t>thumbnail_image_f6bc713561</t>
  </si>
  <si>
    <t>62b6c10f945c4c0019aa67d8</t>
  </si>
  <si>
    <t>62b6c160945c4c0019aa67da</t>
  </si>
  <si>
    <t>/uploads/image_93b0f673aa.jpg</t>
  </si>
  <si>
    <t>thumbnail_image_93b0f673aa</t>
  </si>
  <si>
    <t>62b6c160945c4c0019aa67db</t>
  </si>
  <si>
    <t>62b6c22f945c4c0019aa67dd</t>
  </si>
  <si>
    <t>/uploads/image_cd25afe1fd.jpg</t>
  </si>
  <si>
    <t>thumbnail_image_cd25afe1fd</t>
  </si>
  <si>
    <t>62b6c22f945c4c0019aa67de</t>
  </si>
  <si>
    <t>62b6c27a945c4c0019aa67e0</t>
  </si>
  <si>
    <t>/uploads/image_da13e43304.jpg</t>
  </si>
  <si>
    <t>thumbnail_image_da13e43304</t>
  </si>
  <si>
    <t>62b6c27a945c4c0019aa67e1</t>
  </si>
  <si>
    <t>62b6c28e945c4c0019aa67e3</t>
  </si>
  <si>
    <t>/uploads/image_6e29e1e8af.jpg</t>
  </si>
  <si>
    <t>thumbnail_image_6e29e1e8af</t>
  </si>
  <si>
    <t>62b6c28e945c4c0019aa67e4</t>
  </si>
  <si>
    <t>62b6c2d2945c4c0019aa67e6</t>
  </si>
  <si>
    <t>/uploads/image_59c8e9dbf1.jpg</t>
  </si>
  <si>
    <t>thumbnail_image_59c8e9dbf1</t>
  </si>
  <si>
    <t>62b6c2d2945c4c0019aa67e7</t>
  </si>
  <si>
    <t>62b6c327945c4c0019aa67e9</t>
  </si>
  <si>
    <t>/uploads/image_bbb5aa1808.jpg</t>
  </si>
  <si>
    <t>thumbnail_image_bbb5aa1808</t>
  </si>
  <si>
    <t>62b6c327945c4c0019aa67ea</t>
  </si>
  <si>
    <t>62b6c358945c4c0019aa67ec</t>
  </si>
  <si>
    <t>/uploads/image_a943d11898.jpg</t>
  </si>
  <si>
    <t>thumbnail_image_a943d11898</t>
  </si>
  <si>
    <t>62b6c358945c4c0019aa67ed</t>
  </si>
  <si>
    <t>62b6c3cc945c4c0019aa67ef</t>
  </si>
  <si>
    <t>/uploads/image_a3ad5bab2f.jpg</t>
  </si>
  <si>
    <t>thumbnail_image_a3ad5bab2f</t>
  </si>
  <si>
    <t>62b6c3cc945c4c0019aa67f0</t>
  </si>
  <si>
    <t>62b6c3eb945c4c0019aa67f2</t>
  </si>
  <si>
    <t>/uploads/image_45847ccc92.jpg</t>
  </si>
  <si>
    <t>thumbnail_image_45847ccc92</t>
  </si>
  <si>
    <t>62b6c3eb945c4c0019aa67f3</t>
  </si>
  <si>
    <t>62b6c43a945c4c0019aa67f5</t>
  </si>
  <si>
    <t>/uploads/image_aff2253283.jpg</t>
  </si>
  <si>
    <t>thumbnail_image_aff2253283</t>
  </si>
  <si>
    <t>62b6c43a945c4c0019aa67f6</t>
  </si>
  <si>
    <t>62b6c54c945c4c0019aa67f9</t>
  </si>
  <si>
    <t>/uploads/image_632cc81bca.jpg</t>
  </si>
  <si>
    <t>thumbnail_image_632cc81bca</t>
  </si>
  <si>
    <t>62b6c54c945c4c0019aa67fa</t>
  </si>
  <si>
    <t>62b6c634945c4c0019aa67fc</t>
  </si>
  <si>
    <t>/uploads/image_8e98b9f75d.jpg</t>
  </si>
  <si>
    <t>thumbnail_image_8e98b9f75d</t>
  </si>
  <si>
    <t>62b6c634945c4c0019aa67fd</t>
  </si>
  <si>
    <t>62b6c654945c4c0019aa67ff</t>
  </si>
  <si>
    <t>/uploads/image_2aa1eaec44.jpg</t>
  </si>
  <si>
    <t>thumbnail_image_2aa1eaec44</t>
  </si>
  <si>
    <t>62b6c654945c4c0019aa6800</t>
  </si>
  <si>
    <t>62b6c645945c4c0019aa67fe</t>
  </si>
  <si>
    <t>62b6c750945c4c0019aa6803</t>
  </si>
  <si>
    <t>/uploads/image_be10a4baad.jpg</t>
  </si>
  <si>
    <t>thumbnail_image_be10a4baad</t>
  </si>
  <si>
    <t>62b6c750945c4c0019aa6804</t>
  </si>
  <si>
    <t>62b6c80e945c4c0019aa6806</t>
  </si>
  <si>
    <t>/uploads/image_df40740495.jpg</t>
  </si>
  <si>
    <t>thumbnail_image_df40740495</t>
  </si>
  <si>
    <t>62b6c80e945c4c0019aa6807</t>
  </si>
  <si>
    <t>62b6c854945c4c0019aa6809</t>
  </si>
  <si>
    <t>/uploads/image_3b61a7da55.jpg</t>
  </si>
  <si>
    <t>thumbnail_image_3b61a7da55</t>
  </si>
  <si>
    <t>62b6c854945c4c0019aa680a</t>
  </si>
  <si>
    <t>62b6c8ad945c4c0019aa680c</t>
  </si>
  <si>
    <t>/uploads/image_90d29160c9.jpg</t>
  </si>
  <si>
    <t>thumbnail_image_90d29160c9</t>
  </si>
  <si>
    <t>62b6c8ad945c4c0019aa680d</t>
  </si>
  <si>
    <t>62b6c8b4945c4c0019aa680e</t>
  </si>
  <si>
    <t>/uploads/image_d55350cb8b.jpg</t>
  </si>
  <si>
    <t>thumbnail_image_d55350cb8b</t>
  </si>
  <si>
    <t>62b6c8b4945c4c0019aa680f</t>
  </si>
  <si>
    <t>62b6c970945c4c0019aa6811</t>
  </si>
  <si>
    <t>/uploads/image_7810bcd817.jpg</t>
  </si>
  <si>
    <t>thumbnail_image_7810bcd817</t>
  </si>
  <si>
    <t>62b6c970945c4c0019aa6812</t>
  </si>
  <si>
    <t>62b6c9df945c4c0019aa6814</t>
  </si>
  <si>
    <t>/uploads/image_fd7c6a3fe7.jpg</t>
  </si>
  <si>
    <t>thumbnail_image_fd7c6a3fe7</t>
  </si>
  <si>
    <t>62b6c9df945c4c0019aa6815</t>
  </si>
  <si>
    <t>62b6caed945c4c0019aa6817</t>
  </si>
  <si>
    <t>/uploads/image_55b623c2ea.jpg</t>
  </si>
  <si>
    <t>thumbnail_image_55b623c2ea</t>
  </si>
  <si>
    <t>62b6caed945c4c0019aa6818</t>
  </si>
  <si>
    <t>62b6caf4945c4c0019aa6819</t>
  </si>
  <si>
    <t>/uploads/image_c4aa2cd922.jpg</t>
  </si>
  <si>
    <t>thumbnail_image_c4aa2cd922</t>
  </si>
  <si>
    <t>62b6caf4945c4c0019aa681a</t>
  </si>
  <si>
    <t>62b6caf6945c4c0019aa681b</t>
  </si>
  <si>
    <t>/uploads/image_30489e6162.jpg</t>
  </si>
  <si>
    <t>thumbnail_image_30489e6162</t>
  </si>
  <si>
    <t>62b6caf6945c4c0019aa681c</t>
  </si>
  <si>
    <t>62b6cb38945c4c0019aa681e</t>
  </si>
  <si>
    <t>/uploads/image_bedca5f6cb.jpg</t>
  </si>
  <si>
    <t>thumbnail_image_bedca5f6cb</t>
  </si>
  <si>
    <t>62b6cb38945c4c0019aa681f</t>
  </si>
  <si>
    <t>62b6cb7d945c4c0019aa6821</t>
  </si>
  <si>
    <t>/uploads/image_3d08f60ab2.jpg</t>
  </si>
  <si>
    <t>thumbnail_image_3d08f60ab2</t>
  </si>
  <si>
    <t>62b6cb7d945c4c0019aa6822</t>
  </si>
  <si>
    <t>62b6cbcb945c4c0019aa6824</t>
  </si>
  <si>
    <t>/uploads/image_ca0b42a928.jpg</t>
  </si>
  <si>
    <t>thumbnail_image_ca0b42a928</t>
  </si>
  <si>
    <t>62b6cbcb945c4c0019aa6825</t>
  </si>
  <si>
    <t>62b6cc3e945c4c0019aa6827</t>
  </si>
  <si>
    <t>/uploads/image_e87a6a55a4.jpg</t>
  </si>
  <si>
    <t>thumbnail_image_e87a6a55a4</t>
  </si>
  <si>
    <t>62b6cc3e945c4c0019aa6828</t>
  </si>
  <si>
    <t>62b6ccd9945c4c0019aa682a</t>
  </si>
  <si>
    <t>/uploads/image_be4c8fd9f2.jpg</t>
  </si>
  <si>
    <t>thumbnail_image_be4c8fd9f2</t>
  </si>
  <si>
    <t>62b6ccd9945c4c0019aa682b</t>
  </si>
  <si>
    <t>62b6cdb3945c4c0019aa682d</t>
  </si>
  <si>
    <t>/uploads/image_95f1cf4e6f.jpg</t>
  </si>
  <si>
    <t>thumbnail_image_95f1cf4e6f</t>
  </si>
  <si>
    <t>62b6cdb3945c4c0019aa682e</t>
  </si>
  <si>
    <t>62b6cdd1945c4c0019aa6830</t>
  </si>
  <si>
    <t>/uploads/image_2ffe322280.jpg</t>
  </si>
  <si>
    <t>thumbnail_image_2ffe322280</t>
  </si>
  <si>
    <t>62b6cdd1945c4c0019aa6831</t>
  </si>
  <si>
    <t>62b6ce1b945c4c0019aa6833</t>
  </si>
  <si>
    <t>/uploads/image_83a01c5196.jpg</t>
  </si>
  <si>
    <t>thumbnail_image_83a01c5196</t>
  </si>
  <si>
    <t>62b6ce1b945c4c0019aa6834</t>
  </si>
  <si>
    <t>62b6cf1f945c4c0019aa6837</t>
  </si>
  <si>
    <t>/uploads/image_1b8711be80.jpg</t>
  </si>
  <si>
    <t>thumbnail_image_1b8711be80</t>
  </si>
  <si>
    <t>62b6cf1f945c4c0019aa6838</t>
  </si>
  <si>
    <t>62b6d08a945c4c0019aa683a</t>
  </si>
  <si>
    <t>/uploads/image_04f14e174a.jpg</t>
  </si>
  <si>
    <t>thumbnail_image_04f14e174a</t>
  </si>
  <si>
    <t>62b6d08a945c4c0019aa683b</t>
  </si>
  <si>
    <t>62b6d15b945c4c0019aa683d</t>
  </si>
  <si>
    <t>/uploads/image_58170f5254.jpg</t>
  </si>
  <si>
    <t>thumbnail_image_58170f5254</t>
  </si>
  <si>
    <t>62b6d15b945c4c0019aa683e</t>
  </si>
  <si>
    <t>62b6d18e945c4c0019aa6840</t>
  </si>
  <si>
    <t>/uploads/image_3ba6dfcdde.jpg</t>
  </si>
  <si>
    <t>thumbnail_image_3ba6dfcdde</t>
  </si>
  <si>
    <t>62b6d18e945c4c0019aa6841</t>
  </si>
  <si>
    <t>62b6d1c6945c4c0019aa6843</t>
  </si>
  <si>
    <t>/uploads/image_065f71efda.jpg</t>
  </si>
  <si>
    <t>thumbnail_image_065f71efda</t>
  </si>
  <si>
    <t>62b6d1c6945c4c0019aa6844</t>
  </si>
  <si>
    <t>62b6d250945c4c0019aa6846</t>
  </si>
  <si>
    <t>/uploads/image_1c9d6ba850.jpg</t>
  </si>
  <si>
    <t>thumbnail_image_1c9d6ba850</t>
  </si>
  <si>
    <t>62b6d250945c4c0019aa6847</t>
  </si>
  <si>
    <t>62b6d2d5945c4c0019aa6849</t>
  </si>
  <si>
    <t>/uploads/image_ed123c83f9.jpg</t>
  </si>
  <si>
    <t>thumbnail_image_ed123c83f9</t>
  </si>
  <si>
    <t>62b6d2d5945c4c0019aa684a</t>
  </si>
  <si>
    <t>62b6d45a945c4c0019aa684c</t>
  </si>
  <si>
    <t>/uploads/image_42d4320cd5.jpg</t>
  </si>
  <si>
    <t>thumbnail_image_42d4320cd5</t>
  </si>
  <si>
    <t>62b6d45a945c4c0019aa684d</t>
  </si>
  <si>
    <t>62b6d4fb945c4c0019aa6850</t>
  </si>
  <si>
    <t>/uploads/image_546204e6d8.jpg</t>
  </si>
  <si>
    <t>thumbnail_image_546204e6d8</t>
  </si>
  <si>
    <t>62b6d4fb945c4c0019aa6851</t>
  </si>
  <si>
    <t>62b6d570945c4c0019aa6853</t>
  </si>
  <si>
    <t>/uploads/image_f51daa4549.jpg</t>
  </si>
  <si>
    <t>thumbnail_image_f51daa4549</t>
  </si>
  <si>
    <t>62b6d570945c4c0019aa6854</t>
  </si>
  <si>
    <t>62b6d58c945c4c0019aa6856</t>
  </si>
  <si>
    <t>/uploads/image_d7fb528a58.jpg</t>
  </si>
  <si>
    <t>thumbnail_image_d7fb528a58</t>
  </si>
  <si>
    <t>62b6d58c945c4c0019aa6857</t>
  </si>
  <si>
    <t>62b6d5bd945c4c0019aa6859</t>
  </si>
  <si>
    <t>/uploads/image_397d08c4ba.jpg</t>
  </si>
  <si>
    <t>thumbnail_image_397d08c4ba</t>
  </si>
  <si>
    <t>62b6d5bd945c4c0019aa685a</t>
  </si>
  <si>
    <t>62b6d63a945c4c0019aa685c</t>
  </si>
  <si>
    <t>/uploads/image_f915fc48fa.jpg</t>
  </si>
  <si>
    <t>thumbnail_image_f915fc48fa</t>
  </si>
  <si>
    <t>62b6d63a945c4c0019aa685d</t>
  </si>
  <si>
    <t>62b6d6dd945c4c0019aa685f</t>
  </si>
  <si>
    <t>/uploads/image_0442f28b0d.jpg</t>
  </si>
  <si>
    <t>thumbnail_image_0442f28b0d</t>
  </si>
  <si>
    <t>62b6d6dd945c4c0019aa6860</t>
  </si>
  <si>
    <t>62b6d701945c4c0019aa6862</t>
  </si>
  <si>
    <t>/uploads/image_2f179e197a.jpg</t>
  </si>
  <si>
    <t>thumbnail_image_2f179e197a</t>
  </si>
  <si>
    <t>62b6d701945c4c0019aa6863</t>
  </si>
  <si>
    <t>62b6d868945c4c0019aa6866</t>
  </si>
  <si>
    <t>/uploads/image_711381d4f1.jpg</t>
  </si>
  <si>
    <t>thumbnail_image_711381d4f1</t>
  </si>
  <si>
    <t>62b6d868945c4c0019aa6867</t>
  </si>
  <si>
    <t>62b6d8c4945c4c0019aa6869</t>
  </si>
  <si>
    <t>/uploads/image_2c6dc2432d.jpg</t>
  </si>
  <si>
    <t>thumbnail_image_2c6dc2432d</t>
  </si>
  <si>
    <t>62b6d8c4945c4c0019aa686a</t>
  </si>
  <si>
    <t>62b6dc7b945c4c0019aa686c</t>
  </si>
  <si>
    <t>/uploads/image_1415e00117.jpg</t>
  </si>
  <si>
    <t>thumbnail_image_1415e00117</t>
  </si>
  <si>
    <t>62b6dc7b945c4c0019aa686d</t>
  </si>
  <si>
    <t>62b6dcc7945c4c0019aa686f</t>
  </si>
  <si>
    <t>/uploads/image_608efd541c.jpg</t>
  </si>
  <si>
    <t>thumbnail_image_608efd541c</t>
  </si>
  <si>
    <t>62b6dcc7945c4c0019aa6870</t>
  </si>
  <si>
    <t>62b6dd26945c4c0019aa6872</t>
  </si>
  <si>
    <t>/uploads/image_9147ca44b1.jpg</t>
  </si>
  <si>
    <t>thumbnail_image_9147ca44b1</t>
  </si>
  <si>
    <t>62b6dd26945c4c0019aa6873</t>
  </si>
  <si>
    <t>62b6dd4d945c4c0019aa6874</t>
  </si>
  <si>
    <t>/uploads/image_664a5ba702.jpg</t>
  </si>
  <si>
    <t>thumbnail_image_664a5ba702</t>
  </si>
  <si>
    <t>62b6dd4d945c4c0019aa6875</t>
  </si>
  <si>
    <t>62b6dd63945c4c0019aa6876</t>
  </si>
  <si>
    <t>/uploads/image_71c2437d6b.jpg</t>
  </si>
  <si>
    <t>thumbnail_image_71c2437d6b</t>
  </si>
  <si>
    <t>62b6dd63945c4c0019aa6877</t>
  </si>
  <si>
    <t>62b6dd82945c4c0019aa6878</t>
  </si>
  <si>
    <t>/uploads/image_9074cb4de1.jpg</t>
  </si>
  <si>
    <t>thumbnail_image_9074cb4de1</t>
  </si>
  <si>
    <t>62b6dd82945c4c0019aa6879</t>
  </si>
  <si>
    <t>62b6ddab945c4c0019aa687a</t>
  </si>
  <si>
    <t>/uploads/image_15da14c605.jpg</t>
  </si>
  <si>
    <t>thumbnail_image_15da14c605</t>
  </si>
  <si>
    <t>62b6ddab945c4c0019aa687b</t>
  </si>
  <si>
    <t>62b6de37945c4c0019aa687d</t>
  </si>
  <si>
    <t>/uploads/image_4ccbfcc893.jpg</t>
  </si>
  <si>
    <t>thumbnail_image_4ccbfcc893</t>
  </si>
  <si>
    <t>62b6de37945c4c0019aa687e</t>
  </si>
  <si>
    <t>62b6de27945c4c0019aa687c</t>
  </si>
  <si>
    <t>62b6deeb945c4c0019aa6880</t>
  </si>
  <si>
    <t>/uploads/image_b12e8b0e50.jpg</t>
  </si>
  <si>
    <t>thumbnail_image_b12e8b0e50</t>
  </si>
  <si>
    <t>62b6deeb945c4c0019aa6881</t>
  </si>
  <si>
    <t>62b6df19945c4c0019aa6883</t>
  </si>
  <si>
    <t>/uploads/image_c499bb8585.jpg</t>
  </si>
  <si>
    <t>thumbnail_image_c499bb8585</t>
  </si>
  <si>
    <t>62b6df19945c4c0019aa6884</t>
  </si>
  <si>
    <t>62b6df36945c4c0019aa6886</t>
  </si>
  <si>
    <t>/uploads/image_ae24200eec.jpg</t>
  </si>
  <si>
    <t>thumbnail_image_ae24200eec</t>
  </si>
  <si>
    <t>62b6df36945c4c0019aa6887</t>
  </si>
  <si>
    <t>62b6e08e945c4c0019aa6889</t>
  </si>
  <si>
    <t>/uploads/image_e281b07ded.jpg</t>
  </si>
  <si>
    <t>thumbnail_image_e281b07ded</t>
  </si>
  <si>
    <t>62b6e08e945c4c0019aa688a</t>
  </si>
  <si>
    <t>62b6e0b8945c4c0019aa688c</t>
  </si>
  <si>
    <t>/uploads/image_313257b9ac.jpg</t>
  </si>
  <si>
    <t>thumbnail_image_313257b9ac</t>
  </si>
  <si>
    <t>62b6e0b8945c4c0019aa688d</t>
  </si>
  <si>
    <t>62b6e110945c4c0019aa688f</t>
  </si>
  <si>
    <t>/uploads/image_b5120e4cc7.jpg</t>
  </si>
  <si>
    <t>thumbnail_image_b5120e4cc7</t>
  </si>
  <si>
    <t>62b6e110945c4c0019aa6890</t>
  </si>
  <si>
    <t>62b6e1bc945c4c0019aa6892</t>
  </si>
  <si>
    <t>/uploads/image_51fac4ad8f.jpg</t>
  </si>
  <si>
    <t>thumbnail_image_51fac4ad8f</t>
  </si>
  <si>
    <t>62b6e1bc945c4c0019aa6893</t>
  </si>
  <si>
    <t>62b6e1e0945c4c0019aa6895</t>
  </si>
  <si>
    <t>/uploads/image_70fa4783ee.jpg</t>
  </si>
  <si>
    <t>thumbnail_image_70fa4783ee</t>
  </si>
  <si>
    <t>62b6e1e0945c4c0019aa6896</t>
  </si>
  <si>
    <t>62b6e1ff945c4c0019aa6898</t>
  </si>
  <si>
    <t>/uploads/image_0bee4741fa.jpg</t>
  </si>
  <si>
    <t>thumbnail_image_0bee4741fa</t>
  </si>
  <si>
    <t>62b6e1ff945c4c0019aa6899</t>
  </si>
  <si>
    <t>62b6e27b945c4c0019aa689b</t>
  </si>
  <si>
    <t>/uploads/image_9a034c945e.jpg</t>
  </si>
  <si>
    <t>thumbnail_image_9a034c945e</t>
  </si>
  <si>
    <t>62b6e27b945c4c0019aa689c</t>
  </si>
  <si>
    <t>62b6e29f945c4c0019aa689e</t>
  </si>
  <si>
    <t>/uploads/image_3f859db304.jpg</t>
  </si>
  <si>
    <t>thumbnail_image_3f859db304</t>
  </si>
  <si>
    <t>62b6e29f945c4c0019aa689f</t>
  </si>
  <si>
    <t>62b6e310945c4c0019aa68a1</t>
  </si>
  <si>
    <t>/uploads/image_f7f6e760b4.jpg</t>
  </si>
  <si>
    <t>thumbnail_image_f7f6e760b4</t>
  </si>
  <si>
    <t>62b6e310945c4c0019aa68a2</t>
  </si>
  <si>
    <t>62b6e362945c4c0019aa68a4</t>
  </si>
  <si>
    <t>/uploads/image_0728427b8d.jpg</t>
  </si>
  <si>
    <t>thumbnail_image_0728427b8d</t>
  </si>
  <si>
    <t>62b6e362945c4c0019aa68a5</t>
  </si>
  <si>
    <t>62b6e3cc945c4c0019aa68a7</t>
  </si>
  <si>
    <t>/uploads/image_669664cf97.jpg</t>
  </si>
  <si>
    <t>thumbnail_image_669664cf97</t>
  </si>
  <si>
    <t>62b6e3cc945c4c0019aa68a8</t>
  </si>
  <si>
    <t>62b6e3f7945c4c0019aa68aa</t>
  </si>
  <si>
    <t>/uploads/image_696ad1abc5.jpg</t>
  </si>
  <si>
    <t>thumbnail_image_696ad1abc5</t>
  </si>
  <si>
    <t>62b6e3f7945c4c0019aa68ab</t>
  </si>
  <si>
    <t>62b6e454945c4c0019aa68ad</t>
  </si>
  <si>
    <t>/uploads/image_790afb93fd.jpg</t>
  </si>
  <si>
    <t>thumbnail_image_790afb93fd</t>
  </si>
  <si>
    <t>62b6e454945c4c0019aa68ae</t>
  </si>
  <si>
    <t>62b6e493945c4c0019aa68b0</t>
  </si>
  <si>
    <t>/uploads/image_a8ace5af74.jpg</t>
  </si>
  <si>
    <t>thumbnail_image_a8ace5af74</t>
  </si>
  <si>
    <t>62b6e493945c4c0019aa68b1</t>
  </si>
  <si>
    <t>62b6e496945c4c0019aa68b2</t>
  </si>
  <si>
    <t>/uploads/image_1e03c82e24.jpg</t>
  </si>
  <si>
    <t>thumbnail_image_1e03c82e24</t>
  </si>
  <si>
    <t>62b6e496945c4c0019aa68b3</t>
  </si>
  <si>
    <t>62b6e498945c4c0019aa68b4</t>
  </si>
  <si>
    <t>/uploads/image_8b0d956b44.jpg</t>
  </si>
  <si>
    <t>thumbnail_image_8b0d956b44</t>
  </si>
  <si>
    <t>62b6e498945c4c0019aa68b5</t>
  </si>
  <si>
    <t>62b6e50e945c4c0019aa68b8</t>
  </si>
  <si>
    <t>/uploads/image_2d1d39d4bd.jpg</t>
  </si>
  <si>
    <t>thumbnail_image_2d1d39d4bd</t>
  </si>
  <si>
    <t>62b6e50e945c4c0019aa68b9</t>
  </si>
  <si>
    <t>62b6e5f2945c4c0019aa68bb</t>
  </si>
  <si>
    <t>/uploads/image_55a89c2c23.jpg</t>
  </si>
  <si>
    <t>thumbnail_image_55a89c2c23</t>
  </si>
  <si>
    <t>62b6e5f2945c4c0019aa68bc</t>
  </si>
  <si>
    <t>62b6e60d945c4c0019aa68be</t>
  </si>
  <si>
    <t>/uploads/image_cdbba1c6f3.jpg</t>
  </si>
  <si>
    <t>thumbnail_image_cdbba1c6f3</t>
  </si>
  <si>
    <t>62b6e60d945c4c0019aa68bf</t>
  </si>
  <si>
    <t>62b6e678945c4c0019aa68c1</t>
  </si>
  <si>
    <t>/uploads/image_712d99fa01.jpg</t>
  </si>
  <si>
    <t>thumbnail_image_712d99fa01</t>
  </si>
  <si>
    <t>62b6e678945c4c0019aa68c2</t>
  </si>
  <si>
    <t>62b6e6d8945c4c0019aa68c4</t>
  </si>
  <si>
    <t>/uploads/image_1f01e2c78b.jpg</t>
  </si>
  <si>
    <t>thumbnail_image_1f01e2c78b</t>
  </si>
  <si>
    <t>62b6e6d8945c4c0019aa68c5</t>
  </si>
  <si>
    <t>62b6e6f3945c4c0019aa68c7</t>
  </si>
  <si>
    <t>/uploads/image_1ffbde4c4e.jpg</t>
  </si>
  <si>
    <t>thumbnail_image_1ffbde4c4e</t>
  </si>
  <si>
    <t>62b6e6f3945c4c0019aa68c8</t>
  </si>
  <si>
    <t>62b6e778945c4c0019aa68ca</t>
  </si>
  <si>
    <t>/uploads/image_9afad9620f.jpg</t>
  </si>
  <si>
    <t>thumbnail_image_9afad9620f</t>
  </si>
  <si>
    <t>62b6e778945c4c0019aa68cb</t>
  </si>
  <si>
    <t>62b6e7b4945c4c0019aa68cd</t>
  </si>
  <si>
    <t>/uploads/image_524445c0b7.jpg</t>
  </si>
  <si>
    <t>thumbnail_image_524445c0b7</t>
  </si>
  <si>
    <t>62b6e7b4945c4c0019aa68ce</t>
  </si>
  <si>
    <t>62b6e7e4945c4c0019aa68d0</t>
  </si>
  <si>
    <t>/uploads/image_eb21750f53.jpg</t>
  </si>
  <si>
    <t>thumbnail_image_eb21750f53</t>
  </si>
  <si>
    <t>62b6e7e4945c4c0019aa68d1</t>
  </si>
  <si>
    <t>62bac0e44e78270019b4e407</t>
  </si>
  <si>
    <t>/uploads/image_de4088c070.jpg</t>
  </si>
  <si>
    <t>thumbnail_image_de4088c070</t>
  </si>
  <si>
    <t>62bac0e44e78270019b4e408</t>
  </si>
  <si>
    <t>62bac1184e78270019b4e40a</t>
  </si>
  <si>
    <t>/uploads/image_2419a4b7dd.jpg</t>
  </si>
  <si>
    <t>thumbnail_image_2419a4b7dd</t>
  </si>
  <si>
    <t>62bac1184e78270019b4e40b</t>
  </si>
  <si>
    <t>62bac14e4e78270019b4e40d</t>
  </si>
  <si>
    <t>/uploads/image_2a106c4a27.jpg</t>
  </si>
  <si>
    <t>thumbnail_image_2a106c4a27</t>
  </si>
  <si>
    <t>62bac14e4e78270019b4e40e</t>
  </si>
  <si>
    <t>62bac1b54e78270019b4e410</t>
  </si>
  <si>
    <t>/uploads/image_f6880c3506.jpg</t>
  </si>
  <si>
    <t>thumbnail_image_f6880c3506</t>
  </si>
  <si>
    <t>62bac1b54e78270019b4e411</t>
  </si>
  <si>
    <t>62bac20d4e78270019b4e414</t>
  </si>
  <si>
    <t>/uploads/image_ecd1d14fb7.jpg</t>
  </si>
  <si>
    <t>thumbnail_image_ecd1d14fb7</t>
  </si>
  <si>
    <t>62bac20d4e78270019b4e415</t>
  </si>
  <si>
    <t>62bac2314e78270019b4e417</t>
  </si>
  <si>
    <t>/uploads/image_38db06de9a.jpg</t>
  </si>
  <si>
    <t>thumbnail_image_38db06de9a</t>
  </si>
  <si>
    <t>62bac2314e78270019b4e418</t>
  </si>
  <si>
    <t>62bac2604e78270019b4e41a</t>
  </si>
  <si>
    <t>/uploads/image_b19958e9f3.jpg</t>
  </si>
  <si>
    <t>thumbnail_image_b19958e9f3</t>
  </si>
  <si>
    <t>62bac2604e78270019b4e41b</t>
  </si>
  <si>
    <t>62bac3584e78270019b4e41d</t>
  </si>
  <si>
    <t>/uploads/image_1d9eb9d2e9.jpg</t>
  </si>
  <si>
    <t>thumbnail_image_1d9eb9d2e9</t>
  </si>
  <si>
    <t>62bac3584e78270019b4e41e</t>
  </si>
  <si>
    <t>62bac3984e78270019b4e420</t>
  </si>
  <si>
    <t>/uploads/image_f8fffbf238.jpg</t>
  </si>
  <si>
    <t>thumbnail_image_f8fffbf238</t>
  </si>
  <si>
    <t>62bac3984e78270019b4e421</t>
  </si>
  <si>
    <t>62bac3d64e78270019b4e423</t>
  </si>
  <si>
    <t>/uploads/image_d5ca00fde4.jpg</t>
  </si>
  <si>
    <t>thumbnail_image_d5ca00fde4</t>
  </si>
  <si>
    <t>62bac3d64e78270019b4e424</t>
  </si>
  <si>
    <t>62bac4824e78270019b4e426</t>
  </si>
  <si>
    <t>/uploads/image_3704a418d9.jpg</t>
  </si>
  <si>
    <t>thumbnail_image_3704a418d9</t>
  </si>
  <si>
    <t>62bac4824e78270019b4e427</t>
  </si>
  <si>
    <t>62bac5984e78270019b4e429</t>
  </si>
  <si>
    <t>/uploads/image_830ddda15c.jpg</t>
  </si>
  <si>
    <t>thumbnail_image_830ddda15c</t>
  </si>
  <si>
    <t>62bac5984e78270019b4e42a</t>
  </si>
  <si>
    <t>62bac67a4e78270019b4e42c</t>
  </si>
  <si>
    <t>/uploads/image_971d1f2c83.jpg</t>
  </si>
  <si>
    <t>thumbnail_image_971d1f2c83</t>
  </si>
  <si>
    <t>62bac67a4e78270019b4e42d</t>
  </si>
  <si>
    <t>62bac8224e78270019b4e42f</t>
  </si>
  <si>
    <t>/uploads/image_22f69bbd11.jpg</t>
  </si>
  <si>
    <t>thumbnail_image_22f69bbd11</t>
  </si>
  <si>
    <t>62bac8224e78270019b4e430</t>
  </si>
  <si>
    <t>62bac8c44e78270019b4e432</t>
  </si>
  <si>
    <t>/uploads/image_6d0e7f8141.jpg</t>
  </si>
  <si>
    <t>thumbnail_image_6d0e7f8141</t>
  </si>
  <si>
    <t>62bac8c44e78270019b4e433</t>
  </si>
  <si>
    <t>62bac8f04e78270019b4e435</t>
  </si>
  <si>
    <t>/uploads/image_26a79253f5.jpg</t>
  </si>
  <si>
    <t>thumbnail_image_26a79253f5</t>
  </si>
  <si>
    <t>62bac8f04e78270019b4e436</t>
  </si>
  <si>
    <t>62bac94d4e78270019b4e438</t>
  </si>
  <si>
    <t>/uploads/image_015a214104.jpg</t>
  </si>
  <si>
    <t>thumbnail_image_015a214104</t>
  </si>
  <si>
    <t>62bac94d4e78270019b4e439</t>
  </si>
  <si>
    <t>62bac9cf4e78270019b4e43b</t>
  </si>
  <si>
    <t>/uploads/image_f4e0b41811.jpg</t>
  </si>
  <si>
    <t>thumbnail_image_f4e0b41811</t>
  </si>
  <si>
    <t>62bac9cf4e78270019b4e43c</t>
  </si>
  <si>
    <t>62baca104e78270019b4e43e</t>
  </si>
  <si>
    <t>/uploads/image_3fa76db336.jpg</t>
  </si>
  <si>
    <t>thumbnail_image_3fa76db336</t>
  </si>
  <si>
    <t>62baca104e78270019b4e43f</t>
  </si>
  <si>
    <t>62bacaf54e78270019b4e441</t>
  </si>
  <si>
    <t>/uploads/image_1b18cc35c5.jpg</t>
  </si>
  <si>
    <t>thumbnail_image_1b18cc35c5</t>
  </si>
  <si>
    <t>62bacaf54e78270019b4e442</t>
  </si>
  <si>
    <t>62bacb7d4e78270019b4e444</t>
  </si>
  <si>
    <t>/uploads/image_6dc3b54e2a.jpg</t>
  </si>
  <si>
    <t>thumbnail_image_6dc3b54e2a</t>
  </si>
  <si>
    <t>62bacb7d4e78270019b4e445</t>
  </si>
  <si>
    <t>62bacc0e4e78270019b4e447</t>
  </si>
  <si>
    <t>/uploads/image_549546d795.jpg</t>
  </si>
  <si>
    <t>thumbnail_image_549546d795</t>
  </si>
  <si>
    <t>62bacc0e4e78270019b4e448</t>
  </si>
  <si>
    <t>62bacc5f4e78270019b4e44a</t>
  </si>
  <si>
    <t>/uploads/image_8ba9a4c5d6.jpg</t>
  </si>
  <si>
    <t>thumbnail_image_8ba9a4c5d6</t>
  </si>
  <si>
    <t>62bacc5f4e78270019b4e44b</t>
  </si>
  <si>
    <t>62bacdd54e78270019b4e44d</t>
  </si>
  <si>
    <t>/uploads/image_46c9119e54.jpg</t>
  </si>
  <si>
    <t>thumbnail_image_46c9119e54</t>
  </si>
  <si>
    <t>62bacdd54e78270019b4e44e</t>
  </si>
  <si>
    <t>62baced14e78270019b4e451</t>
  </si>
  <si>
    <t>/uploads/image_cb69f37a0c.jpg</t>
  </si>
  <si>
    <t>thumbnail_image_cb69f37a0c</t>
  </si>
  <si>
    <t>62baced14e78270019b4e452</t>
  </si>
  <si>
    <t>62bacf434e78270019b4e454</t>
  </si>
  <si>
    <t>/uploads/image_460bcbd9ec.jpg</t>
  </si>
  <si>
    <t>thumbnail_image_460bcbd9ec</t>
  </si>
  <si>
    <t>62bacf434e78270019b4e455</t>
  </si>
  <si>
    <t>62bacf724e78270019b4e457</t>
  </si>
  <si>
    <t>/uploads/image_42ecb79fc1.jpg</t>
  </si>
  <si>
    <t>thumbnail_image_42ecb79fc1</t>
  </si>
  <si>
    <t>62bacf724e78270019b4e458</t>
  </si>
  <si>
    <t>62bacf794e78270019b4e459</t>
  </si>
  <si>
    <t>/uploads/image_f5a2d3fc85.jpg</t>
  </si>
  <si>
    <t>thumbnail_image_f5a2d3fc85</t>
  </si>
  <si>
    <t>62bacf794e78270019b4e45a</t>
  </si>
  <si>
    <t>62bacf7f4e78270019b4e45b</t>
  </si>
  <si>
    <t>/uploads/image_751b74b89a.jpg</t>
  </si>
  <si>
    <t>thumbnail_image_751b74b89a</t>
  </si>
  <si>
    <t>62bacf7f4e78270019b4e45c</t>
  </si>
  <si>
    <t>62bad0164e78270019b4e45e</t>
  </si>
  <si>
    <t>/uploads/image_f6bc9d3b7f.jpg</t>
  </si>
  <si>
    <t>thumbnail_image_f6bc9d3b7f</t>
  </si>
  <si>
    <t>62bad0164e78270019b4e45f</t>
  </si>
  <si>
    <t>62bad01d4e78270019b4e460</t>
  </si>
  <si>
    <t>/uploads/image_db7da66d48.jpg</t>
  </si>
  <si>
    <t>thumbnail_image_db7da66d48</t>
  </si>
  <si>
    <t>62bad01d4e78270019b4e461</t>
  </si>
  <si>
    <t>62bad0224e78270019b4e462</t>
  </si>
  <si>
    <t>/uploads/image_0cea7b2fea.jpg</t>
  </si>
  <si>
    <t>thumbnail_image_0cea7b2fea</t>
  </si>
  <si>
    <t>62bad0224e78270019b4e463</t>
  </si>
  <si>
    <t>62bad0484e78270019b4e464</t>
  </si>
  <si>
    <t>/uploads/image_f1a5582920.jpg</t>
  </si>
  <si>
    <t>thumbnail_image_f1a5582920</t>
  </si>
  <si>
    <t>62bad0484e78270019b4e465</t>
  </si>
  <si>
    <t>62bad0484e78270019b4e466</t>
  </si>
  <si>
    <t>/uploads/image_a36e6ef0bb.jpg</t>
  </si>
  <si>
    <t>thumbnail_image_a36e6ef0bb</t>
  </si>
  <si>
    <t>62bad0484e78270019b4e467</t>
  </si>
  <si>
    <t>62bad0a84e78270019b4e469</t>
  </si>
  <si>
    <t>/uploads/image_d3c00c8a50.jpg</t>
  </si>
  <si>
    <t>thumbnail_image_d3c00c8a50</t>
  </si>
  <si>
    <t>62bad0a84e78270019b4e46a</t>
  </si>
  <si>
    <t>62bad21d4e78270019b4e46e</t>
  </si>
  <si>
    <t>/uploads/image_e147ef8623.jpg</t>
  </si>
  <si>
    <t>thumbnail_image_e147ef8623</t>
  </si>
  <si>
    <t>62bad21d4e78270019b4e46f</t>
  </si>
  <si>
    <t>62bad2a34e78270019b4e471</t>
  </si>
  <si>
    <t>/uploads/image_e541d242a9.jpg</t>
  </si>
  <si>
    <t>thumbnail_image_e541d242a9</t>
  </si>
  <si>
    <t>62bad2a34e78270019b4e472</t>
  </si>
  <si>
    <t>62bad36e4e78270019b4e474</t>
  </si>
  <si>
    <t>/uploads/image_85823291b4.jpg</t>
  </si>
  <si>
    <t>thumbnail_image_85823291b4</t>
  </si>
  <si>
    <t>62bad36e4e78270019b4e475</t>
  </si>
  <si>
    <t>62bad3884e78270019b4e477</t>
  </si>
  <si>
    <t>/uploads/image_60285acb51.jpg</t>
  </si>
  <si>
    <t>thumbnail_image_60285acb51</t>
  </si>
  <si>
    <t>62bad3884e78270019b4e478</t>
  </si>
  <si>
    <t>62bad4314e78270019b4e47a</t>
  </si>
  <si>
    <t>/uploads/image_3aa89dbf0b.jpg</t>
  </si>
  <si>
    <t>thumbnail_image_3aa89dbf0b</t>
  </si>
  <si>
    <t>62bad4314e78270019b4e47b</t>
  </si>
  <si>
    <t>62bad4484e78270019b4e47d</t>
  </si>
  <si>
    <t>/uploads/image_92b55aba34.jpg</t>
  </si>
  <si>
    <t>thumbnail_image_92b55aba34</t>
  </si>
  <si>
    <t>62bad4484e78270019b4e47e</t>
  </si>
  <si>
    <t>62bad4d14e78270019b4e480</t>
  </si>
  <si>
    <t>/uploads/image_45161042d5.jpg</t>
  </si>
  <si>
    <t>thumbnail_image_45161042d5</t>
  </si>
  <si>
    <t>62bad4d14e78270019b4e481</t>
  </si>
  <si>
    <t>62bad4ea4e78270019b4e483</t>
  </si>
  <si>
    <t>/uploads/image_cd3f6295ca.jpg</t>
  </si>
  <si>
    <t>thumbnail_image_cd3f6295ca</t>
  </si>
  <si>
    <t>62bad4ea4e78270019b4e484</t>
  </si>
  <si>
    <t>62bad64c4e78270019b4e486</t>
  </si>
  <si>
    <t>/uploads/image_eca5af93a5.jpg</t>
  </si>
  <si>
    <t>thumbnail_image_eca5af93a5</t>
  </si>
  <si>
    <t>62bad64c4e78270019b4e487</t>
  </si>
  <si>
    <t>62bad7e04e78270019b4e489</t>
  </si>
  <si>
    <t>/uploads/image_0cbe3a9166.jpg</t>
  </si>
  <si>
    <t>thumbnail_image_0cbe3a9166</t>
  </si>
  <si>
    <t>62bad7e04e78270019b4e48a</t>
  </si>
  <si>
    <t>62bad8544e78270019b4e48d</t>
  </si>
  <si>
    <t>/uploads/image_75e11c74a0.jpg</t>
  </si>
  <si>
    <t>thumbnail_image_75e11c74a0</t>
  </si>
  <si>
    <t>62bad8544e78270019b4e48e</t>
  </si>
  <si>
    <t>62bad9cf4e78270019b4e490</t>
  </si>
  <si>
    <t>/uploads/image_78b295f9aa.jpg</t>
  </si>
  <si>
    <t>thumbnail_image_78b295f9aa</t>
  </si>
  <si>
    <t>62bad9cf4e78270019b4e491</t>
  </si>
  <si>
    <t>62badacc4e78270019b4e493</t>
  </si>
  <si>
    <t>/uploads/image_2d20b73a8e.jpg</t>
  </si>
  <si>
    <t>thumbnail_image_2d20b73a8e</t>
  </si>
  <si>
    <t>62badacc4e78270019b4e494</t>
  </si>
  <si>
    <t>62badaec4e78270019b4e496</t>
  </si>
  <si>
    <t>/uploads/image_1e9cfd9226.jpg</t>
  </si>
  <si>
    <t>thumbnail_image_1e9cfd9226</t>
  </si>
  <si>
    <t>62badaec4e78270019b4e497</t>
  </si>
  <si>
    <t>62badb954e78270019b4e499</t>
  </si>
  <si>
    <t>/uploads/image_a3fce11983.jpg</t>
  </si>
  <si>
    <t>thumbnail_image_a3fce11983</t>
  </si>
  <si>
    <t>62badb954e78270019b4e49a</t>
  </si>
  <si>
    <t>62badbd74e78270019b4e49c</t>
  </si>
  <si>
    <t>/uploads/image_77a8a27626.jpg</t>
  </si>
  <si>
    <t>thumbnail_image_77a8a27626</t>
  </si>
  <si>
    <t>62badbd74e78270019b4e49d</t>
  </si>
  <si>
    <t>62badc8f4e78270019b4e49f</t>
  </si>
  <si>
    <t>/uploads/image_16b9fe979c.jpg</t>
  </si>
  <si>
    <t>thumbnail_image_16b9fe979c</t>
  </si>
  <si>
    <t>62badc8f4e78270019b4e4a0</t>
  </si>
  <si>
    <t>62badd594e78270019b4e4a2</t>
  </si>
  <si>
    <t>/uploads/image_96feb448aa.jpg</t>
  </si>
  <si>
    <t>thumbnail_image_96feb448aa</t>
  </si>
  <si>
    <t>62badd594e78270019b4e4a3</t>
  </si>
  <si>
    <t>62baddf54e78270019b4e4a5</t>
  </si>
  <si>
    <t>/uploads/image_6225035019.jpg</t>
  </si>
  <si>
    <t>thumbnail_image_6225035019</t>
  </si>
  <si>
    <t>62baddf54e78270019b4e4a6</t>
  </si>
  <si>
    <t>62bade1a4e78270019b4e4a8</t>
  </si>
  <si>
    <t>/uploads/image_e3bbfdd26f.jpg</t>
  </si>
  <si>
    <t>thumbnail_image_e3bbfdd26f</t>
  </si>
  <si>
    <t>62bade1a4e78270019b4e4a9</t>
  </si>
  <si>
    <t>62bee4fd4e78270019b4e4ab</t>
  </si>
  <si>
    <t>/uploads/image_22c8cefe5b.jpg</t>
  </si>
  <si>
    <t>thumbnail_image_22c8cefe5b</t>
  </si>
  <si>
    <t>62bee4fd4e78270019b4e4ac</t>
  </si>
  <si>
    <t>62bee5844e78270019b4e4ae</t>
  </si>
  <si>
    <t>/uploads/image_60aa5133ad.jpg</t>
  </si>
  <si>
    <t>thumbnail_image_60aa5133ad</t>
  </si>
  <si>
    <t>62bee5844e78270019b4e4af</t>
  </si>
  <si>
    <t>62bee6234e78270019b4e4b1</t>
  </si>
  <si>
    <t>/uploads/image_29cacd0eb5.jpg</t>
  </si>
  <si>
    <t>thumbnail_image_29cacd0eb5</t>
  </si>
  <si>
    <t>62bee6234e78270019b4e4b2</t>
  </si>
  <si>
    <t>62bee6934e78270019b4e4b4</t>
  </si>
  <si>
    <t>/uploads/image_69a126cb61.jpg</t>
  </si>
  <si>
    <t>thumbnail_image_69a126cb61</t>
  </si>
  <si>
    <t>62bee6934e78270019b4e4b5</t>
  </si>
  <si>
    <t>62bee6874e78270019b4e4b3</t>
  </si>
  <si>
    <t>62beeafb4e78270019b4e4b7</t>
  </si>
  <si>
    <t>/uploads/image_96b6f999f2.jpg</t>
  </si>
  <si>
    <t>thumbnail_image_96b6f999f2</t>
  </si>
  <si>
    <t>62beeafb4e78270019b4e4b8</t>
  </si>
  <si>
    <t>62beeb2e4e78270019b4e4ba</t>
  </si>
  <si>
    <t>/uploads/image_c0bb41cefc.jpg</t>
  </si>
  <si>
    <t>thumbnail_image_c0bb41cefc</t>
  </si>
  <si>
    <t>62beeb2e4e78270019b4e4bb</t>
  </si>
  <si>
    <t>62beeb9a4e78270019b4e4bd</t>
  </si>
  <si>
    <t>/uploads/image_294a17f3d1.jpg</t>
  </si>
  <si>
    <t>thumbnail_image_294a17f3d1</t>
  </si>
  <si>
    <t>62beeb9a4e78270019b4e4be</t>
  </si>
  <si>
    <t>62beebd54e78270019b4e4c0</t>
  </si>
  <si>
    <t>/uploads/image_5edfed8991.jpg</t>
  </si>
  <si>
    <t>thumbnail_image_5edfed8991</t>
  </si>
  <si>
    <t>62beebd54e78270019b4e4c1</t>
  </si>
  <si>
    <t>62beec2f4e78270019b4e4c3</t>
  </si>
  <si>
    <t>/uploads/image_8e8328483d.jpg</t>
  </si>
  <si>
    <t>thumbnail_image_8e8328483d</t>
  </si>
  <si>
    <t>62beec2f4e78270019b4e4c4</t>
  </si>
  <si>
    <t>62beec404e78270019b4e4c5</t>
  </si>
  <si>
    <t>/uploads/image_efaf2b8fb1.jpg</t>
  </si>
  <si>
    <t>thumbnail_image_efaf2b8fb1</t>
  </si>
  <si>
    <t>62beec404e78270019b4e4c6</t>
  </si>
  <si>
    <t>62beec4a4e78270019b4e4c7</t>
  </si>
  <si>
    <t>/uploads/image_6fc824df33.jpg</t>
  </si>
  <si>
    <t>thumbnail_image_6fc824df33</t>
  </si>
  <si>
    <t>62beec4a4e78270019b4e4c8</t>
  </si>
  <si>
    <t>62beeccb4e78270019b4e4ca</t>
  </si>
  <si>
    <t>/uploads/image_a5320e6942.jpg</t>
  </si>
  <si>
    <t>thumbnail_image_a5320e6942</t>
  </si>
  <si>
    <t>62beeccb4e78270019b4e4cb</t>
  </si>
  <si>
    <t>62beecfe4e78270019b4e4cd</t>
  </si>
  <si>
    <t>/uploads/image_03aee8f82e.jpg</t>
  </si>
  <si>
    <t>thumbnail_image_03aee8f82e</t>
  </si>
  <si>
    <t>62beecfe4e78270019b4e4ce</t>
  </si>
  <si>
    <t>62beed414e78270019b4e4d0</t>
  </si>
  <si>
    <t>/uploads/image_04dd4a2fdb.jpg</t>
  </si>
  <si>
    <t>thumbnail_image_04dd4a2fdb</t>
  </si>
  <si>
    <t>62beed414e78270019b4e4d1</t>
  </si>
  <si>
    <t>62beedaa4e78270019b4e4d3</t>
  </si>
  <si>
    <t>/uploads/image_8caaefb113.jpg</t>
  </si>
  <si>
    <t>thumbnail_image_8caaefb113</t>
  </si>
  <si>
    <t>62beedaa4e78270019b4e4d4</t>
  </si>
  <si>
    <t>62beee534e78270019b4e4d6</t>
  </si>
  <si>
    <t>/uploads/image_25c7613308.jpg</t>
  </si>
  <si>
    <t>thumbnail_image_25c7613308</t>
  </si>
  <si>
    <t>62beee534e78270019b4e4d7</t>
  </si>
  <si>
    <t>62beef214e78270019b4e4d9</t>
  </si>
  <si>
    <t>/uploads/image_f5a776db64.jpg</t>
  </si>
  <si>
    <t>thumbnail_image_f5a776db64</t>
  </si>
  <si>
    <t>62beef214e78270019b4e4da</t>
  </si>
  <si>
    <t>62beef7f4e78270019b4e4dc</t>
  </si>
  <si>
    <t>/uploads/image_d77b117119.jpg</t>
  </si>
  <si>
    <t>thumbnail_image_d77b117119</t>
  </si>
  <si>
    <t>62beef7f4e78270019b4e4dd</t>
  </si>
  <si>
    <t>62beefec4e78270019b4e4df</t>
  </si>
  <si>
    <t>/uploads/image_b674532ac3.jpg</t>
  </si>
  <si>
    <t>thumbnail_image_b674532ac3</t>
  </si>
  <si>
    <t>62beefec4e78270019b4e4e0</t>
  </si>
  <si>
    <t>62bef0154e78270019b4e4e2</t>
  </si>
  <si>
    <t>/uploads/image_22e3ab48be.jpg</t>
  </si>
  <si>
    <t>thumbnail_image_22e3ab48be</t>
  </si>
  <si>
    <t>62bef0154e78270019b4e4e3</t>
  </si>
  <si>
    <t>62bef0594e78270019b4e4e5</t>
  </si>
  <si>
    <t>/uploads/image_6fd2f621d1.jpg</t>
  </si>
  <si>
    <t>thumbnail_image_6fd2f621d1</t>
  </si>
  <si>
    <t>62bef0594e78270019b4e4e6</t>
  </si>
  <si>
    <t>62bef0ce4e78270019b4e4e8</t>
  </si>
  <si>
    <t>/uploads/image_1cfa8ef212.jpg</t>
  </si>
  <si>
    <t>thumbnail_image_1cfa8ef212</t>
  </si>
  <si>
    <t>62bef0ce4e78270019b4e4e9</t>
  </si>
  <si>
    <t>62bef12b4e78270019b4e4eb</t>
  </si>
  <si>
    <t>/uploads/image_a4b3c73d90.jpg</t>
  </si>
  <si>
    <t>thumbnail_image_a4b3c73d90</t>
  </si>
  <si>
    <t>62bef12b4e78270019b4e4ec</t>
  </si>
  <si>
    <t>62bef15c4e78270019b4e4ee</t>
  </si>
  <si>
    <t>/uploads/image_a782fd7ad9.jpg</t>
  </si>
  <si>
    <t>thumbnail_image_a782fd7ad9</t>
  </si>
  <si>
    <t>62bef15c4e78270019b4e4ef</t>
  </si>
  <si>
    <t>62bef1ac4e78270019b4e4f1</t>
  </si>
  <si>
    <t>/uploads/image_90c7d43129.jpg</t>
  </si>
  <si>
    <t>thumbnail_image_90c7d43129</t>
  </si>
  <si>
    <t>62bef1ac4e78270019b4e4f2</t>
  </si>
  <si>
    <t>62bef2364e78270019b4e4f4</t>
  </si>
  <si>
    <t>/uploads/image_99a9949603.jpg</t>
  </si>
  <si>
    <t>thumbnail_image_99a9949603</t>
  </si>
  <si>
    <t>62bef2364e78270019b4e4f5</t>
  </si>
  <si>
    <t>62bef2d44e78270019b4e4f7</t>
  </si>
  <si>
    <t>/uploads/image_4d0089469d.jpg</t>
  </si>
  <si>
    <t>thumbnail_image_4d0089469d</t>
  </si>
  <si>
    <t>62bef2d44e78270019b4e4f8</t>
  </si>
  <si>
    <t>62bef3144e78270019b4e4fa</t>
  </si>
  <si>
    <t>/uploads/image_eb7454c6cd.jpg</t>
  </si>
  <si>
    <t>thumbnail_image_eb7454c6cd</t>
  </si>
  <si>
    <t>62bef3144e78270019b4e4fb</t>
  </si>
  <si>
    <t>62bef3574e78270019b4e4fd</t>
  </si>
  <si>
    <t>/uploads/image_397968c055.jpg</t>
  </si>
  <si>
    <t>thumbnail_image_397968c055</t>
  </si>
  <si>
    <t>62bef3574e78270019b4e4fe</t>
  </si>
  <si>
    <t>62bef3cc4e78270019b4e500</t>
  </si>
  <si>
    <t>/uploads/image_f4c762e3b2.jpg</t>
  </si>
  <si>
    <t>thumbnail_image_f4c762e3b2</t>
  </si>
  <si>
    <t>62bef3cc4e78270019b4e501</t>
  </si>
  <si>
    <t>62bef42f4e78270019b4e503</t>
  </si>
  <si>
    <t>/uploads/image_bdced4ed9d.jpg</t>
  </si>
  <si>
    <t>thumbnail_image_bdced4ed9d</t>
  </si>
  <si>
    <t>62bef42f4e78270019b4e504</t>
  </si>
  <si>
    <t>62bef4c64e78270019b4e506</t>
  </si>
  <si>
    <t>/uploads/image_7811c8c6f5.jpg</t>
  </si>
  <si>
    <t>thumbnail_image_7811c8c6f5</t>
  </si>
  <si>
    <t>62bef4c64e78270019b4e507</t>
  </si>
  <si>
    <t>62bef4ec4e78270019b4e509</t>
  </si>
  <si>
    <t>/uploads/image_b4cfe6ab8b.jpg</t>
  </si>
  <si>
    <t>thumbnail_image_b4cfe6ab8b</t>
  </si>
  <si>
    <t>62bef4ec4e78270019b4e50a</t>
  </si>
  <si>
    <t>62bef5144e78270019b4e50c</t>
  </si>
  <si>
    <t>/uploads/image_7c8ecb6266.jpg</t>
  </si>
  <si>
    <t>thumbnail_image_7c8ecb6266</t>
  </si>
  <si>
    <t>62bef5144e78270019b4e50d</t>
  </si>
  <si>
    <t>62befe984e78270019b4e50f</t>
  </si>
  <si>
    <t>/uploads/image_7155c90098.jpg</t>
  </si>
  <si>
    <t>thumbnail_image_7155c90098</t>
  </si>
  <si>
    <t>62befe984e78270019b4e510</t>
  </si>
  <si>
    <t>62befef54e78270019b4e512</t>
  </si>
  <si>
    <t>/uploads/image_1a36a312d6.jpg</t>
  </si>
  <si>
    <t>thumbnail_image_1a36a312d6</t>
  </si>
  <si>
    <t>62befef54e78270019b4e513</t>
  </si>
  <si>
    <t>62befefe4e78270019b4e514</t>
  </si>
  <si>
    <t>/uploads/image_0a402a6fb0.jpg</t>
  </si>
  <si>
    <t>thumbnail_image_0a402a6fb0</t>
  </si>
  <si>
    <t>62befefe4e78270019b4e515</t>
  </si>
  <si>
    <t>62beff074e78270019b4e516</t>
  </si>
  <si>
    <t>/uploads/image_1b6459303c.jpg</t>
  </si>
  <si>
    <t>thumbnail_image_1b6459303c</t>
  </si>
  <si>
    <t>62beff074e78270019b4e517</t>
  </si>
  <si>
    <t>62beff324e78270019b4e519</t>
  </si>
  <si>
    <t>/uploads/image_115487b03b.jpg</t>
  </si>
  <si>
    <t>thumbnail_image_115487b03b</t>
  </si>
  <si>
    <t>62beff324e78270019b4e51a</t>
  </si>
  <si>
    <t>62beffdc4e78270019b4e51c</t>
  </si>
  <si>
    <t>/uploads/image_3a36a6fc1c.jpg</t>
  </si>
  <si>
    <t>thumbnail_image_3a36a6fc1c</t>
  </si>
  <si>
    <t>62beffdc4e78270019b4e51d</t>
  </si>
  <si>
    <t>62bf007f4e78270019b4e51f</t>
  </si>
  <si>
    <t>/uploads/image_780eb1cba6.jpg</t>
  </si>
  <si>
    <t>thumbnail_image_780eb1cba6</t>
  </si>
  <si>
    <t>62bf007f4e78270019b4e520</t>
  </si>
  <si>
    <t>62bf01144e78270019b4e523</t>
  </si>
  <si>
    <t>/uploads/image_4d130f55d5.jpg</t>
  </si>
  <si>
    <t>thumbnail_image_4d130f55d5</t>
  </si>
  <si>
    <t>62bf01144e78270019b4e524</t>
  </si>
  <si>
    <t>62bf01874e78270019b4e526</t>
  </si>
  <si>
    <t>/uploads/image_769d102347.jpg</t>
  </si>
  <si>
    <t>thumbnail_image_769d102347</t>
  </si>
  <si>
    <t>62bf01874e78270019b4e527</t>
  </si>
  <si>
    <t>62bf01c14e78270019b4e529</t>
  </si>
  <si>
    <t>/uploads/image_dcafc1e64f.jpg</t>
  </si>
  <si>
    <t>thumbnail_image_dcafc1e64f</t>
  </si>
  <si>
    <t>62bf01c14e78270019b4e52a</t>
  </si>
  <si>
    <t>62bf01f44e78270019b4e52c</t>
  </si>
  <si>
    <t>/uploads/image_ecdec63850.jpg</t>
  </si>
  <si>
    <t>thumbnail_image_ecdec63850</t>
  </si>
  <si>
    <t>62bf01f44e78270019b4e52d</t>
  </si>
  <si>
    <t>62bf028f4e78270019b4e52f</t>
  </si>
  <si>
    <t>/uploads/image_ed110bff5b.jpg</t>
  </si>
  <si>
    <t>thumbnail_image_ed110bff5b</t>
  </si>
  <si>
    <t>62bf028f4e78270019b4e530</t>
  </si>
  <si>
    <t>62bf02e34e78270019b4e532</t>
  </si>
  <si>
    <t>/uploads/image_175d448fb0.jpg</t>
  </si>
  <si>
    <t>thumbnail_image_175d448fb0</t>
  </si>
  <si>
    <t>62bf02e34e78270019b4e533</t>
  </si>
  <si>
    <t>62bf03114e78270019b4e535</t>
  </si>
  <si>
    <t>/uploads/image_049213753d.jpg</t>
  </si>
  <si>
    <t>thumbnail_image_049213753d</t>
  </si>
  <si>
    <t>62bf03114e78270019b4e536</t>
  </si>
  <si>
    <t>62bf040c4e78270019b4e538</t>
  </si>
  <si>
    <t>/uploads/image_b7dcb27f69.jpg</t>
  </si>
  <si>
    <t>thumbnail_image_b7dcb27f69</t>
  </si>
  <si>
    <t>62bf040c4e78270019b4e539</t>
  </si>
  <si>
    <t>62bf047c4e78270019b4e53b</t>
  </si>
  <si>
    <t>/uploads/image_a71e1d2729.jpg</t>
  </si>
  <si>
    <t>thumbnail_image_a71e1d2729</t>
  </si>
  <si>
    <t>62bf047c4e78270019b4e53c</t>
  </si>
  <si>
    <t>62bf04c84e78270019b4e53e</t>
  </si>
  <si>
    <t>/uploads/image_4f2e5565cf.jpg</t>
  </si>
  <si>
    <t>thumbnail_image_4f2e5565cf</t>
  </si>
  <si>
    <t>62bf04c84e78270019b4e53f</t>
  </si>
  <si>
    <t>62bf04f74e78270019b4e541</t>
  </si>
  <si>
    <t>/uploads/image_e15f8dffd3.jpg</t>
  </si>
  <si>
    <t>thumbnail_image_e15f8dffd3</t>
  </si>
  <si>
    <t>62bf04f74e78270019b4e542</t>
  </si>
  <si>
    <t>62bf05514e78270019b4e544</t>
  </si>
  <si>
    <t>/uploads/image_da49e0f4ab.jpg</t>
  </si>
  <si>
    <t>thumbnail_image_da49e0f4ab</t>
  </si>
  <si>
    <t>62bf05514e78270019b4e545</t>
  </si>
  <si>
    <t>62bf05b04e78270019b4e547</t>
  </si>
  <si>
    <t>/uploads/image_c94c161581.jpg</t>
  </si>
  <si>
    <t>thumbnail_image_c94c161581</t>
  </si>
  <si>
    <t>62bf05b04e78270019b4e548</t>
  </si>
  <si>
    <t>62bf060f4e78270019b4e54a</t>
  </si>
  <si>
    <t>/uploads/image_7df7ded8d4.jpg</t>
  </si>
  <si>
    <t>thumbnail_image_7df7ded8d4</t>
  </si>
  <si>
    <t>62bf060f4e78270019b4e54b</t>
  </si>
  <si>
    <t>62bf063d4e78270019b4e54d</t>
  </si>
  <si>
    <t>/uploads/image_4031cd0d33.jpg</t>
  </si>
  <si>
    <t>thumbnail_image_4031cd0d33</t>
  </si>
  <si>
    <t>62bf063d4e78270019b4e54e</t>
  </si>
  <si>
    <t>62bf06944e78270019b4e550</t>
  </si>
  <si>
    <t>/uploads/image_25b5a1c49b.jpg</t>
  </si>
  <si>
    <t>thumbnail_image_25b5a1c49b</t>
  </si>
  <si>
    <t>62bf06944e78270019b4e551</t>
  </si>
  <si>
    <t>62bf06cc4e78270019b4e553</t>
  </si>
  <si>
    <t>/uploads/image_72668e2989.jpg</t>
  </si>
  <si>
    <t>thumbnail_image_72668e2989</t>
  </si>
  <si>
    <t>62bf06cc4e78270019b4e554</t>
  </si>
  <si>
    <t>62bf08df4e78270019b4e556</t>
  </si>
  <si>
    <t>/uploads/image_f98c3b8b4f.jpg</t>
  </si>
  <si>
    <t>thumbnail_image_f98c3b8b4f</t>
  </si>
  <si>
    <t>62bf08df4e78270019b4e557</t>
  </si>
  <si>
    <t>62bf09034e78270019b4e559</t>
  </si>
  <si>
    <t>/uploads/image_4036b29802.jpg</t>
  </si>
  <si>
    <t>thumbnail_image_4036b29802</t>
  </si>
  <si>
    <t>62bf09034e78270019b4e55a</t>
  </si>
  <si>
    <t>62bf091c4e78270019b4e55c</t>
  </si>
  <si>
    <t>/uploads/image_8249e16aee.jpg</t>
  </si>
  <si>
    <t>thumbnail_image_8249e16aee</t>
  </si>
  <si>
    <t>62bf091c4e78270019b4e55d</t>
  </si>
  <si>
    <t>62bf094f4e78270019b4e55f</t>
  </si>
  <si>
    <t>/uploads/image_45cace3675.jpg</t>
  </si>
  <si>
    <t>thumbnail_image_45cace3675</t>
  </si>
  <si>
    <t>62bf094f4e78270019b4e560</t>
  </si>
  <si>
    <t>62bf09ec4e78270019b4e562</t>
  </si>
  <si>
    <t>/uploads/image_e906d8b5e2.jpg</t>
  </si>
  <si>
    <t>thumbnail_image_e906d8b5e2</t>
  </si>
  <si>
    <t>62bf09ec4e78270019b4e563</t>
  </si>
  <si>
    <t>62bf0a7c4e78270019b4e565</t>
  </si>
  <si>
    <t>/uploads/image_52c6c52d29.jpg</t>
  </si>
  <si>
    <t>thumbnail_image_52c6c52d29</t>
  </si>
  <si>
    <t>62bf0a7c4e78270019b4e566</t>
  </si>
  <si>
    <t>62bf0ab44e78270019b4e568</t>
  </si>
  <si>
    <t>/uploads/image_790ec3c8c8.jpg</t>
  </si>
  <si>
    <t>thumbnail_image_790ec3c8c8</t>
  </si>
  <si>
    <t>62bf0ab44e78270019b4e569</t>
  </si>
  <si>
    <t>62bf0ae64e78270019b4e56b</t>
  </si>
  <si>
    <t>/uploads/image_02ffb63939.jpg</t>
  </si>
  <si>
    <t>thumbnail_image_02ffb63939</t>
  </si>
  <si>
    <t>62bf0ae64e78270019b4e56c</t>
  </si>
  <si>
    <t>62bf0b3f4e78270019b4e56e</t>
  </si>
  <si>
    <t>/uploads/image_3b59696394.jpg</t>
  </si>
  <si>
    <t>thumbnail_image_3b59696394</t>
  </si>
  <si>
    <t>62bf0b3f4e78270019b4e56f</t>
  </si>
  <si>
    <t>62bf0b594e78270019b4e571</t>
  </si>
  <si>
    <t>/uploads/image_75f17ffe30.jpg</t>
  </si>
  <si>
    <t>thumbnail_image_75f17ffe30</t>
  </si>
  <si>
    <t>62bf0b594e78270019b4e572</t>
  </si>
  <si>
    <t>62bf0bc74e78270019b4e574</t>
  </si>
  <si>
    <t>/uploads/image_681cb7f776.jpg</t>
  </si>
  <si>
    <t>thumbnail_image_681cb7f776</t>
  </si>
  <si>
    <t>62bf0bc74e78270019b4e575</t>
  </si>
  <si>
    <t>62bf0c664e78270019b4e577</t>
  </si>
  <si>
    <t>/uploads/image_8fd695d505.jpg</t>
  </si>
  <si>
    <t>thumbnail_image_8fd695d505</t>
  </si>
  <si>
    <t>62bf0c664e78270019b4e578</t>
  </si>
  <si>
    <t>62bf0c874e78270019b4e57a</t>
  </si>
  <si>
    <t>/uploads/image_e96a292af5.jpg</t>
  </si>
  <si>
    <t>thumbnail_image_e96a292af5</t>
  </si>
  <si>
    <t>62bf0c874e78270019b4e57b</t>
  </si>
  <si>
    <t>62bf0cc54e78270019b4e57d</t>
  </si>
  <si>
    <t>/uploads/image_1e3da3cd87.jpg</t>
  </si>
  <si>
    <t>thumbnail_image_1e3da3cd87</t>
  </si>
  <si>
    <t>62bf0cc54e78270019b4e57e</t>
  </si>
  <si>
    <t>62bf0ced4e78270019b4e580</t>
  </si>
  <si>
    <t>/uploads/image_6e4b851c28.jpg</t>
  </si>
  <si>
    <t>thumbnail_image_6e4b851c28</t>
  </si>
  <si>
    <t>62bf0ced4e78270019b4e581</t>
  </si>
  <si>
    <t>62bf0d124e78270019b4e583</t>
  </si>
  <si>
    <t>/uploads/image_1c6a2ff8b4.jpg</t>
  </si>
  <si>
    <t>thumbnail_image_1c6a2ff8b4</t>
  </si>
  <si>
    <t>62bf0d124e78270019b4e584</t>
  </si>
  <si>
    <t>62bf0d454e78270019b4e586</t>
  </si>
  <si>
    <t>/uploads/image_c1b22f60eb.jpg</t>
  </si>
  <si>
    <t>thumbnail_image_c1b22f60eb</t>
  </si>
  <si>
    <t>62bf0d454e78270019b4e587</t>
  </si>
  <si>
    <t>62bf0d924e78270019b4e589</t>
  </si>
  <si>
    <t>/uploads/image_c0e7a9b309.jpg</t>
  </si>
  <si>
    <t>thumbnail_image_c0e7a9b309</t>
  </si>
  <si>
    <t>62bf0d924e78270019b4e58a</t>
  </si>
  <si>
    <t>62bf0dad4e78270019b4e58b</t>
  </si>
  <si>
    <t>/uploads/image_72c9789ce4.jpg</t>
  </si>
  <si>
    <t>thumbnail_image_72c9789ce4</t>
  </si>
  <si>
    <t>62bf0dad4e78270019b4e58c</t>
  </si>
  <si>
    <t>62bf0db44e78270019b4e58d</t>
  </si>
  <si>
    <t>/uploads/image_3300be4ccf.jpg</t>
  </si>
  <si>
    <t>thumbnail_image_3300be4ccf</t>
  </si>
  <si>
    <t>62bf0db44e78270019b4e58e</t>
  </si>
  <si>
    <t>62bf0de54e78270019b4e590</t>
  </si>
  <si>
    <t>/uploads/image_b522bc248f.jpg</t>
  </si>
  <si>
    <t>thumbnail_image_b522bc248f</t>
  </si>
  <si>
    <t>62bf0de54e78270019b4e591</t>
  </si>
  <si>
    <t>62bf0dfc4e78270019b4e593</t>
  </si>
  <si>
    <t>/uploads/image_3995456074.jpg</t>
  </si>
  <si>
    <t>thumbnail_image_3995456074</t>
  </si>
  <si>
    <t>62bf0dfc4e78270019b4e594</t>
  </si>
  <si>
    <t>62bf0e4a4e78270019b4e596</t>
  </si>
  <si>
    <t>/uploads/image_7cb01dd3d4.jpg</t>
  </si>
  <si>
    <t>thumbnail_image_7cb01dd3d4</t>
  </si>
  <si>
    <t>62bf0e4a4e78270019b4e597</t>
  </si>
  <si>
    <t>62bf0ea34e78270019b4e599</t>
  </si>
  <si>
    <t>/uploads/image_d170a032da.jpg</t>
  </si>
  <si>
    <t>thumbnail_image_d170a032da</t>
  </si>
  <si>
    <t>62bf0ea34e78270019b4e59a</t>
  </si>
  <si>
    <t>62bf0ee94e78270019b4e59c</t>
  </si>
  <si>
    <t>/uploads/image_ee71bae5e1.jpg</t>
  </si>
  <si>
    <t>thumbnail_image_ee71bae5e1</t>
  </si>
  <si>
    <t>62bf0ee94e78270019b4e59d</t>
  </si>
  <si>
    <t>62bf0f2c4e78270019b4e59f</t>
  </si>
  <si>
    <t>/uploads/image_a01b751efd.jpg</t>
  </si>
  <si>
    <t>thumbnail_image_a01b751efd</t>
  </si>
  <si>
    <t>62bf0f2c4e78270019b4e5a0</t>
  </si>
  <si>
    <t>62bf0f504e78270019b4e5a2</t>
  </si>
  <si>
    <t>/uploads/image_869703eed6.jpg</t>
  </si>
  <si>
    <t>thumbnail_image_869703eed6</t>
  </si>
  <si>
    <t>62bf0f504e78270019b4e5a3</t>
  </si>
  <si>
    <t>62bf0fa74e78270019b4e5a5</t>
  </si>
  <si>
    <t>/uploads/image_e1f8846be0.jpg</t>
  </si>
  <si>
    <t>thumbnail_image_e1f8846be0</t>
  </si>
  <si>
    <t>62bf0fa74e78270019b4e5a6</t>
  </si>
  <si>
    <t>62bf0fd34e78270019b4e5a8</t>
  </si>
  <si>
    <t>/uploads/image_97910cfcb9.jpg</t>
  </si>
  <si>
    <t>thumbnail_image_97910cfcb9</t>
  </si>
  <si>
    <t>62bf0fd34e78270019b4e5a9</t>
  </si>
  <si>
    <t>62bf10224e78270019b4e5ab</t>
  </si>
  <si>
    <t>/uploads/image_879318b821.jpg</t>
  </si>
  <si>
    <t>thumbnail_image_879318b821</t>
  </si>
  <si>
    <t>62bf10224e78270019b4e5ac</t>
  </si>
  <si>
    <t>62bf10b04e78270019b4e5ae</t>
  </si>
  <si>
    <t>/uploads/image_7043446656.jpg</t>
  </si>
  <si>
    <t>thumbnail_image_7043446656</t>
  </si>
  <si>
    <t>62bf10b04e78270019b4e5af</t>
  </si>
  <si>
    <t>62bf11834e78270019b4e5b1</t>
  </si>
  <si>
    <t>/uploads/image_172b7e0c2c.jpg</t>
  </si>
  <si>
    <t>thumbnail_image_172b7e0c2c</t>
  </si>
  <si>
    <t>62bf11834e78270019b4e5b2</t>
  </si>
  <si>
    <t>62bf11f54e78270019b4e5b5</t>
  </si>
  <si>
    <t>/uploads/image_e1ee9eb060.jpg</t>
  </si>
  <si>
    <t>thumbnail_image_e1ee9eb060</t>
  </si>
  <si>
    <t>62bf11f54e78270019b4e5b6</t>
  </si>
  <si>
    <t>62bf12144e78270019b4e5b8</t>
  </si>
  <si>
    <t>/uploads/image_191c8ca5d7.jpg</t>
  </si>
  <si>
    <t>thumbnail_image_191c8ca5d7</t>
  </si>
  <si>
    <t>62bf12144e78270019b4e5b9</t>
  </si>
  <si>
    <t>62bf124f4e78270019b4e5bb</t>
  </si>
  <si>
    <t>/uploads/image_f2c0e3e086.jpg</t>
  </si>
  <si>
    <t>thumbnail_image_f2c0e3e086</t>
  </si>
  <si>
    <t>62bf124f4e78270019b4e5bc</t>
  </si>
  <si>
    <t>62bf12ae4e78270019b4e5be</t>
  </si>
  <si>
    <t>/uploads/image_ba6d48a651.jpg</t>
  </si>
  <si>
    <t>thumbnail_image_ba6d48a651</t>
  </si>
  <si>
    <t>62bf12ae4e78270019b4e5bf</t>
  </si>
  <si>
    <t>62bf12f34e78270019b4e5c1</t>
  </si>
  <si>
    <t>/uploads/image_85e7dfd788.jpg</t>
  </si>
  <si>
    <t>thumbnail_image_85e7dfd788</t>
  </si>
  <si>
    <t>62bf12f34e78270019b4e5c2</t>
  </si>
  <si>
    <t>62bf13884e78270019b4e5c4</t>
  </si>
  <si>
    <t>/uploads/image_433b81d2ef.jpg</t>
  </si>
  <si>
    <t>thumbnail_image_433b81d2ef</t>
  </si>
  <si>
    <t>62bf13884e78270019b4e5c5</t>
  </si>
  <si>
    <t>62bf142f4e78270019b4e5c7</t>
  </si>
  <si>
    <t>/uploads/image_f27fd60018.jpg</t>
  </si>
  <si>
    <t>thumbnail_image_f27fd60018</t>
  </si>
  <si>
    <t>62bf142f4e78270019b4e5c8</t>
  </si>
  <si>
    <t>62bf14fa4e78270019b4e5cb</t>
  </si>
  <si>
    <t>/uploads/image_f1d43362c9.jpg</t>
  </si>
  <si>
    <t>thumbnail_image_f1d43362c9</t>
  </si>
  <si>
    <t>62bf14fa4e78270019b4e5cc</t>
  </si>
  <si>
    <t>62bf14fd4e78270019b4e5cd</t>
  </si>
  <si>
    <t>/uploads/image_a88e01a58d.jpg</t>
  </si>
  <si>
    <t>thumbnail_image_a88e01a58d</t>
  </si>
  <si>
    <t>62bf14fd4e78270019b4e5ce</t>
  </si>
  <si>
    <t>62bf15054e78270019b4e5cf</t>
  </si>
  <si>
    <t>/uploads/image_b89156088b.jpg</t>
  </si>
  <si>
    <t>thumbnail_image_b89156088b</t>
  </si>
  <si>
    <t>62bf15054e78270019b4e5d0</t>
  </si>
  <si>
    <t>62bf15734e78270019b4e5d2</t>
  </si>
  <si>
    <t>/uploads/image_c40093ad4b.jpg</t>
  </si>
  <si>
    <t>thumbnail_image_c40093ad4b</t>
  </si>
  <si>
    <t>62bf15734e78270019b4e5d3</t>
  </si>
  <si>
    <t>62bf158e4e78270019b4e5d5</t>
  </si>
  <si>
    <t>/uploads/image_527f6ce9c3.jpg</t>
  </si>
  <si>
    <t>thumbnail_image_527f6ce9c3</t>
  </si>
  <si>
    <t>62bf158e4e78270019b4e5d6</t>
  </si>
  <si>
    <t>62c3e8b09ddaa30019360b60</t>
  </si>
  <si>
    <t>/uploads/image_e2b391ad6a.jpg</t>
  </si>
  <si>
    <t>thumbnail_image_e2b391ad6a</t>
  </si>
  <si>
    <t>62c3e8b09ddaa30019360b61</t>
  </si>
  <si>
    <t>62c3e8cc9ddaa30019360b62</t>
  </si>
  <si>
    <t>/uploads/image_41eab1762c.jpg</t>
  </si>
  <si>
    <t>thumbnail_image_41eab1762c</t>
  </si>
  <si>
    <t>62c3e8cc9ddaa30019360b63</t>
  </si>
  <si>
    <t>62c3e8d19ddaa30019360b64</t>
  </si>
  <si>
    <t>/uploads/image_a616306291.jpg</t>
  </si>
  <si>
    <t>thumbnail_image_a616306291</t>
  </si>
  <si>
    <t>62c3e8d19ddaa30019360b65</t>
  </si>
  <si>
    <t>62c3e8fd9ddaa30019360b67</t>
  </si>
  <si>
    <t>/uploads/image_4804273e6e.jpg</t>
  </si>
  <si>
    <t>thumbnail_image_4804273e6e</t>
  </si>
  <si>
    <t>62c3e8fd9ddaa30019360b68</t>
  </si>
  <si>
    <t>62c3e9189ddaa30019360b6a</t>
  </si>
  <si>
    <t>/uploads/image_07ab1348a2.jpg</t>
  </si>
  <si>
    <t>thumbnail_image_07ab1348a2</t>
  </si>
  <si>
    <t>62c3e9189ddaa30019360b6b</t>
  </si>
  <si>
    <t>62c3e91c9ddaa30019360b6c</t>
  </si>
  <si>
    <t>/uploads/image_a84d366ae6.jpg</t>
  </si>
  <si>
    <t>thumbnail_image_a84d366ae6</t>
  </si>
  <si>
    <t>62c3e91c9ddaa30019360b6d</t>
  </si>
  <si>
    <t>62c3e91f9ddaa30019360b6e</t>
  </si>
  <si>
    <t>/uploads/image_6fd39a4ee3.jpg</t>
  </si>
  <si>
    <t>thumbnail_image_6fd39a4ee3</t>
  </si>
  <si>
    <t>62c3e91f9ddaa30019360b6f</t>
  </si>
  <si>
    <t>62c3e9589ddaa30019360b71</t>
  </si>
  <si>
    <t>/uploads/image_a892743881.jpg</t>
  </si>
  <si>
    <t>thumbnail_image_a892743881</t>
  </si>
  <si>
    <t>62c3e9589ddaa30019360b72</t>
  </si>
  <si>
    <t>62c3ea149ddaa30019360b74</t>
  </si>
  <si>
    <t>/uploads/image_4bb8a3123a.jpg</t>
  </si>
  <si>
    <t>thumbnail_image_4bb8a3123a</t>
  </si>
  <si>
    <t>62c3ea149ddaa30019360b75</t>
  </si>
  <si>
    <t>62c3eaa19ddaa30019360b77</t>
  </si>
  <si>
    <t>/uploads/image_5ddfa60fe1.jpg</t>
  </si>
  <si>
    <t>thumbnail_image_5ddfa60fe1</t>
  </si>
  <si>
    <t>62c3eaa19ddaa30019360b78</t>
  </si>
  <si>
    <t>62c3eb349ddaa30019360b7a</t>
  </si>
  <si>
    <t>/uploads/image_d936b12e7a.jpg</t>
  </si>
  <si>
    <t>thumbnail_image_d936b12e7a</t>
  </si>
  <si>
    <t>62c3eb349ddaa30019360b7b</t>
  </si>
  <si>
    <t>62c3eb9c9ddaa30019360b7d</t>
  </si>
  <si>
    <t>/uploads/image_691e83768f.jpg</t>
  </si>
  <si>
    <t>thumbnail_image_691e83768f</t>
  </si>
  <si>
    <t>62c3eb9c9ddaa30019360b7e</t>
  </si>
  <si>
    <t>62c3ebcf9ddaa30019360b80</t>
  </si>
  <si>
    <t>/uploads/image_a30230e348.jpg</t>
  </si>
  <si>
    <t>thumbnail_image_a30230e348</t>
  </si>
  <si>
    <t>62c3ebcf9ddaa30019360b81</t>
  </si>
  <si>
    <t>62c3eccc9ddaa30019360b83</t>
  </si>
  <si>
    <t>/uploads/image_a9a2c9d331.jpg</t>
  </si>
  <si>
    <t>thumbnail_image_a9a2c9d331</t>
  </si>
  <si>
    <t>62c3eccc9ddaa30019360b84</t>
  </si>
  <si>
    <t>62c3ed359ddaa30019360b86</t>
  </si>
  <si>
    <t>/uploads/image_4c25a5b0c4.jpg</t>
  </si>
  <si>
    <t>thumbnail_image_4c25a5b0c4</t>
  </si>
  <si>
    <t>62c3ed359ddaa30019360b87</t>
  </si>
  <si>
    <t>62c3edc39ddaa30019360b8a</t>
  </si>
  <si>
    <t>/uploads/image_6d5b9191c5.jpg</t>
  </si>
  <si>
    <t>thumbnail_image_6d5b9191c5</t>
  </si>
  <si>
    <t>62c3edc39ddaa30019360b8b</t>
  </si>
  <si>
    <t>62c3f2f59ddaa30019360b8d</t>
  </si>
  <si>
    <t>/uploads/image_15732d0685.jpg</t>
  </si>
  <si>
    <t>thumbnail_image_15732d0685</t>
  </si>
  <si>
    <t>62c3f2f59ddaa30019360b8e</t>
  </si>
  <si>
    <t>62c3f3399ddaa30019360b90</t>
  </si>
  <si>
    <t>/uploads/image_f163e6f4b7.jpg</t>
  </si>
  <si>
    <t>thumbnail_image_f163e6f4b7</t>
  </si>
  <si>
    <t>62c3f3399ddaa30019360b91</t>
  </si>
  <si>
    <t>62c3f3699ddaa30019360b93</t>
  </si>
  <si>
    <t>/uploads/image_5d919b266e.jpg</t>
  </si>
  <si>
    <t>thumbnail_image_5d919b266e</t>
  </si>
  <si>
    <t>62c3f3699ddaa30019360b94</t>
  </si>
  <si>
    <t>62c3f3b09ddaa30019360b96</t>
  </si>
  <si>
    <t>/uploads/image_57fb5a1dc4.jpg</t>
  </si>
  <si>
    <t>thumbnail_image_57fb5a1dc4</t>
  </si>
  <si>
    <t>62c3f3b09ddaa30019360b97</t>
  </si>
  <si>
    <t>62c3f3d99ddaa30019360b99</t>
  </si>
  <si>
    <t>/uploads/image_b108d94da5.jpg</t>
  </si>
  <si>
    <t>thumbnail_image_b108d94da5</t>
  </si>
  <si>
    <t>62c3f3d99ddaa30019360b9a</t>
  </si>
  <si>
    <t>62c3f4059ddaa30019360b9c</t>
  </si>
  <si>
    <t>/uploads/image_c1f9ae3965.jpg</t>
  </si>
  <si>
    <t>thumbnail_image_c1f9ae3965</t>
  </si>
  <si>
    <t>62c3f4059ddaa30019360b9d</t>
  </si>
  <si>
    <t>62c3f43d9ddaa30019360b9f</t>
  </si>
  <si>
    <t>/uploads/image_fcae23e2c1.jpg</t>
  </si>
  <si>
    <t>thumbnail_image_fcae23e2c1</t>
  </si>
  <si>
    <t>62c3f43d9ddaa30019360ba0</t>
  </si>
  <si>
    <t>62c3f53b9ddaa30019360ba2</t>
  </si>
  <si>
    <t>/uploads/image_00d6c87233.jpg</t>
  </si>
  <si>
    <t>thumbnail_image_00d6c87233</t>
  </si>
  <si>
    <t>62c3f53b9ddaa30019360ba3</t>
  </si>
  <si>
    <t>62c3f5729ddaa30019360ba5</t>
  </si>
  <si>
    <t>/uploads/image_85627189d8.jpg</t>
  </si>
  <si>
    <t>thumbnail_image_85627189d8</t>
  </si>
  <si>
    <t>62c3f5729ddaa30019360ba6</t>
  </si>
  <si>
    <t>62c3f5ce9ddaa30019360ba8</t>
  </si>
  <si>
    <t>/uploads/image_bbf02d2bbc.jpg</t>
  </si>
  <si>
    <t>thumbnail_image_bbf02d2bbc</t>
  </si>
  <si>
    <t>62c3f5ce9ddaa30019360ba9</t>
  </si>
  <si>
    <t>62c3f6169ddaa30019360bab</t>
  </si>
  <si>
    <t>/uploads/image_d5d598a890.jpg</t>
  </si>
  <si>
    <t>thumbnail_image_d5d598a890</t>
  </si>
  <si>
    <t>62c3f6169ddaa30019360bac</t>
  </si>
  <si>
    <t>62c3f7249ddaa30019360baf</t>
  </si>
  <si>
    <t>/uploads/image_968c2977b7.jpg</t>
  </si>
  <si>
    <t>thumbnail_image_968c2977b7</t>
  </si>
  <si>
    <t>62c3f7249ddaa30019360bb0</t>
  </si>
  <si>
    <t>62c3f7c79ddaa30019360bb2</t>
  </si>
  <si>
    <t>/uploads/image_f82f39b16f.jpg</t>
  </si>
  <si>
    <t>thumbnail_image_f82f39b16f</t>
  </si>
  <si>
    <t>62c3f7c79ddaa30019360bb3</t>
  </si>
  <si>
    <t>62c3f83b9ddaa30019360bb5</t>
  </si>
  <si>
    <t>/uploads/image_c077838fa8.jpg</t>
  </si>
  <si>
    <t>thumbnail_image_c077838fa8</t>
  </si>
  <si>
    <t>62c3f83b9ddaa30019360bb6</t>
  </si>
  <si>
    <t>62c3f8569ddaa30019360bb8</t>
  </si>
  <si>
    <t>/uploads/image_8067414f13.jpg</t>
  </si>
  <si>
    <t>thumbnail_image_8067414f13</t>
  </si>
  <si>
    <t>62c3f8569ddaa30019360bb9</t>
  </si>
  <si>
    <t>62c3f8c89ddaa30019360bbb</t>
  </si>
  <si>
    <t>/uploads/image_3b917887c0.jpg</t>
  </si>
  <si>
    <t>thumbnail_image_3b917887c0</t>
  </si>
  <si>
    <t>62c3f8c89ddaa30019360bbc</t>
  </si>
  <si>
    <t>62c3f9479ddaa30019360bbe</t>
  </si>
  <si>
    <t>/uploads/image_017c164eb9.jpg</t>
  </si>
  <si>
    <t>thumbnail_image_017c164eb9</t>
  </si>
  <si>
    <t>62c3f9479ddaa30019360bbf</t>
  </si>
  <si>
    <t>62c3f9969ddaa30019360bc1</t>
  </si>
  <si>
    <t>/uploads/image_5423f2342f.jpg</t>
  </si>
  <si>
    <t>thumbnail_image_5423f2342f</t>
  </si>
  <si>
    <t>62c3f9969ddaa30019360bc2</t>
  </si>
  <si>
    <t>62c3f9db9ddaa30019360bc4</t>
  </si>
  <si>
    <t>/uploads/image_f5ffa1b420.jpg</t>
  </si>
  <si>
    <t>thumbnail_image_f5ffa1b420</t>
  </si>
  <si>
    <t>62c3f9db9ddaa30019360bc5</t>
  </si>
  <si>
    <t>62c3fa0b9ddaa30019360bc7</t>
  </si>
  <si>
    <t>/uploads/image_6b5ddddbc7.jpg</t>
  </si>
  <si>
    <t>thumbnail_image_6b5ddddbc7</t>
  </si>
  <si>
    <t>62c3fa0b9ddaa30019360bc8</t>
  </si>
  <si>
    <t>62c3fa609ddaa30019360bca</t>
  </si>
  <si>
    <t>/uploads/image_a771b0e672.jpg</t>
  </si>
  <si>
    <t>thumbnail_image_a771b0e672</t>
  </si>
  <si>
    <t>62c3fa609ddaa30019360bcb</t>
  </si>
  <si>
    <t>62c3faea9ddaa30019360bcd</t>
  </si>
  <si>
    <t>/uploads/image_0a199dffd6.jpg</t>
  </si>
  <si>
    <t>thumbnail_image_0a199dffd6</t>
  </si>
  <si>
    <t>62c3faea9ddaa30019360bce</t>
  </si>
  <si>
    <t>62c3fb429ddaa30019360bd0</t>
  </si>
  <si>
    <t>/uploads/image_4df11b92b9.jpg</t>
  </si>
  <si>
    <t>thumbnail_image_4df11b92b9</t>
  </si>
  <si>
    <t>62c3fb429ddaa30019360bd1</t>
  </si>
  <si>
    <t>62c3fbab9ddaa30019360bd3</t>
  </si>
  <si>
    <t>/uploads/image_eca861f4a0.jpg</t>
  </si>
  <si>
    <t>thumbnail_image_eca861f4a0</t>
  </si>
  <si>
    <t>62c3fbab9ddaa30019360bd4</t>
  </si>
  <si>
    <t>62c3fbc69ddaa30019360bd6</t>
  </si>
  <si>
    <t>/uploads/image_064aea87a9.jpg</t>
  </si>
  <si>
    <t>thumbnail_image_064aea87a9</t>
  </si>
  <si>
    <t>62c3fbc69ddaa30019360bd7</t>
  </si>
  <si>
    <t>62c3fbf29ddaa30019360bd9</t>
  </si>
  <si>
    <t>/uploads/image_18d7c22d02.jpg</t>
  </si>
  <si>
    <t>thumbnail_image_18d7c22d02</t>
  </si>
  <si>
    <t>62c3fbf29ddaa30019360bda</t>
  </si>
  <si>
    <t>62c3fc419ddaa30019360bdc</t>
  </si>
  <si>
    <t>/uploads/image_dff4a53983.jpg</t>
  </si>
  <si>
    <t>thumbnail_image_dff4a53983</t>
  </si>
  <si>
    <t>62c3fc419ddaa30019360bdd</t>
  </si>
  <si>
    <t>62c3fcba9ddaa30019360bdf</t>
  </si>
  <si>
    <t>/uploads/image_fca9e98f35.jpg</t>
  </si>
  <si>
    <t>thumbnail_image_fca9e98f35</t>
  </si>
  <si>
    <t>62c3fcba9ddaa30019360be0</t>
  </si>
  <si>
    <t>62c3fd269ddaa30019360be2</t>
  </si>
  <si>
    <t>/uploads/image_cfbb277621.jpg</t>
  </si>
  <si>
    <t>thumbnail_image_cfbb277621</t>
  </si>
  <si>
    <t>62c3fd269ddaa30019360be3</t>
  </si>
  <si>
    <t>62c3fd8b9ddaa30019360be5</t>
  </si>
  <si>
    <t>/uploads/image_3c264af965.jpg</t>
  </si>
  <si>
    <t>thumbnail_image_3c264af965</t>
  </si>
  <si>
    <t>62c3fd8b9ddaa30019360be6</t>
  </si>
  <si>
    <t>62c3fdfd9ddaa30019360be8</t>
  </si>
  <si>
    <t>/uploads/image_b436eceba6.jpg</t>
  </si>
  <si>
    <t>thumbnail_image_b436eceba6</t>
  </si>
  <si>
    <t>62c3fdfd9ddaa30019360be9</t>
  </si>
  <si>
    <t>62c400199ddaa30019360bec</t>
  </si>
  <si>
    <t>/uploads/image_ad88de3739.jpg</t>
  </si>
  <si>
    <t>thumbnail_image_ad88de3739</t>
  </si>
  <si>
    <t>62c400199ddaa30019360bed</t>
  </si>
  <si>
    <t>62c4003e9ddaa30019360bef</t>
  </si>
  <si>
    <t>/uploads/image_14c530c12f.jpg</t>
  </si>
  <si>
    <t>thumbnail_image_14c530c12f</t>
  </si>
  <si>
    <t>62c4003e9ddaa30019360bf0</t>
  </si>
  <si>
    <t>62c400799ddaa30019360bf2</t>
  </si>
  <si>
    <t>/uploads/image_e6bb5ef394.jpg</t>
  </si>
  <si>
    <t>thumbnail_image_e6bb5ef394</t>
  </si>
  <si>
    <t>62c400799ddaa30019360bf3</t>
  </si>
  <si>
    <t>62c400999ddaa30019360bf5</t>
  </si>
  <si>
    <t>/uploads/image_9b39dd5dbe.jpg</t>
  </si>
  <si>
    <t>thumbnail_image_9b39dd5dbe</t>
  </si>
  <si>
    <t>62c400999ddaa30019360bf6</t>
  </si>
  <si>
    <t>62c400dd9ddaa30019360bf8</t>
  </si>
  <si>
    <t>/uploads/image_bce5356297.jpg</t>
  </si>
  <si>
    <t>thumbnail_image_bce5356297</t>
  </si>
  <si>
    <t>62c400dd9ddaa30019360bf9</t>
  </si>
  <si>
    <t>62c401ac9ddaa30019360bfb</t>
  </si>
  <si>
    <t>/uploads/image_2a9c0b9c58.jpg</t>
  </si>
  <si>
    <t>thumbnail_image_2a9c0b9c58</t>
  </si>
  <si>
    <t>62c401ac9ddaa30019360bfc</t>
  </si>
  <si>
    <t>62c403499ddaa30019360bfe</t>
  </si>
  <si>
    <t>/uploads/image_3b5f04b681.jpg</t>
  </si>
  <si>
    <t>thumbnail_image_3b5f04b681</t>
  </si>
  <si>
    <t>62c403499ddaa30019360bff</t>
  </si>
  <si>
    <t>62c403579ddaa30019360c00</t>
  </si>
  <si>
    <t>/uploads/image_6ea24a17fd.jpg</t>
  </si>
  <si>
    <t>thumbnail_image_6ea24a17fd</t>
  </si>
  <si>
    <t>62c403579ddaa30019360c01</t>
  </si>
  <si>
    <t>62c4035e9ddaa30019360c02</t>
  </si>
  <si>
    <t>/uploads/image_8ae2d4778d.jpg</t>
  </si>
  <si>
    <t>thumbnail_image_8ae2d4778d</t>
  </si>
  <si>
    <t>62c4035e9ddaa30019360c03</t>
  </si>
  <si>
    <t>62c403939ddaa30019360c05</t>
  </si>
  <si>
    <t>/uploads/image_bdcf96c2bb.jpg</t>
  </si>
  <si>
    <t>thumbnail_image_bdcf96c2bb</t>
  </si>
  <si>
    <t>62c403939ddaa30019360c06</t>
  </si>
  <si>
    <t>62c403d69ddaa30019360c08</t>
  </si>
  <si>
    <t>/uploads/image_66c7d8e05b.jpg</t>
  </si>
  <si>
    <t>thumbnail_image_66c7d8e05b</t>
  </si>
  <si>
    <t>62c403d69ddaa30019360c09</t>
  </si>
  <si>
    <t>62c4042d9ddaa30019360c0b</t>
  </si>
  <si>
    <t>/uploads/image_0ec155530c.jpg</t>
  </si>
  <si>
    <t>thumbnail_image_0ec155530c</t>
  </si>
  <si>
    <t>62c4042d9ddaa30019360c0c</t>
  </si>
  <si>
    <t>62c404469ddaa30019360c0e</t>
  </si>
  <si>
    <t>/uploads/image_0de406b269.jpg</t>
  </si>
  <si>
    <t>thumbnail_image_0de406b269</t>
  </si>
  <si>
    <t>62c404469ddaa30019360c0f</t>
  </si>
  <si>
    <t>62c4049a9ddaa30019360c11</t>
  </si>
  <si>
    <t>/uploads/image_52aeb297eb.jpg</t>
  </si>
  <si>
    <t>thumbnail_image_52aeb297eb</t>
  </si>
  <si>
    <t>62c4049a9ddaa30019360c12</t>
  </si>
  <si>
    <t>62c404cb9ddaa30019360c14</t>
  </si>
  <si>
    <t>/uploads/image_e59fadd35c.jpg</t>
  </si>
  <si>
    <t>thumbnail_image_e59fadd35c</t>
  </si>
  <si>
    <t>62c404cb9ddaa30019360c15</t>
  </si>
  <si>
    <t>62c405ef9ddaa30019360c17</t>
  </si>
  <si>
    <t>/uploads/image_4244f5d5bd.jpg</t>
  </si>
  <si>
    <t>thumbnail_image_4244f5d5bd</t>
  </si>
  <si>
    <t>62c405ef9ddaa30019360c18</t>
  </si>
  <si>
    <t>62c406539ddaa30019360c1a</t>
  </si>
  <si>
    <t>/uploads/image_379e8166fb.jpg</t>
  </si>
  <si>
    <t>thumbnail_image_379e8166fb</t>
  </si>
  <si>
    <t>62c406539ddaa30019360c1b</t>
  </si>
  <si>
    <t>62c406a19ddaa30019360c1d</t>
  </si>
  <si>
    <t>/uploads/image_b7eb5989f5.jpg</t>
  </si>
  <si>
    <t>thumbnail_image_b7eb5989f5</t>
  </si>
  <si>
    <t>62c406a19ddaa30019360c1e</t>
  </si>
  <si>
    <t>62c406dd9ddaa30019360c20</t>
  </si>
  <si>
    <t>/uploads/image_2dc6f59ebc.jpg</t>
  </si>
  <si>
    <t>thumbnail_image_2dc6f59ebc</t>
  </si>
  <si>
    <t>62c406dd9ddaa30019360c21</t>
  </si>
  <si>
    <t>62c4070e9ddaa30019360c23</t>
  </si>
  <si>
    <t>/uploads/image_2aa6396a59.jpg</t>
  </si>
  <si>
    <t>thumbnail_image_2aa6396a59</t>
  </si>
  <si>
    <t>62c4070e9ddaa30019360c24</t>
  </si>
  <si>
    <t>62c4076e9ddaa30019360c26</t>
  </si>
  <si>
    <t>/uploads/image_39e87c3e21.jpg</t>
  </si>
  <si>
    <t>thumbnail_image_39e87c3e21</t>
  </si>
  <si>
    <t>62c4076e9ddaa30019360c27</t>
  </si>
  <si>
    <t>62c407de9ddaa30019360c29</t>
  </si>
  <si>
    <t>/uploads/image_2b52cf48d2.jpg</t>
  </si>
  <si>
    <t>thumbnail_image_2b52cf48d2</t>
  </si>
  <si>
    <t>62c407de9ddaa30019360c2a</t>
  </si>
  <si>
    <t>62c4084e9ddaa30019360c2c</t>
  </si>
  <si>
    <t>/uploads/image_3ddb2c9340.jpg</t>
  </si>
  <si>
    <t>thumbnail_image_3ddb2c9340</t>
  </si>
  <si>
    <t>62c4084e9ddaa30019360c2d</t>
  </si>
  <si>
    <t>62c408be9ddaa30019360c2f</t>
  </si>
  <si>
    <t>/uploads/image_2678e1698c.jpg</t>
  </si>
  <si>
    <t>thumbnail_image_2678e1698c</t>
  </si>
  <si>
    <t>62c408be9ddaa30019360c30</t>
  </si>
  <si>
    <t>62c409159ddaa30019360c32</t>
  </si>
  <si>
    <t>/uploads/image_c42d64c56d.jpg</t>
  </si>
  <si>
    <t>thumbnail_image_c42d64c56d</t>
  </si>
  <si>
    <t>62c409159ddaa30019360c33</t>
  </si>
  <si>
    <t>62c4097a9ddaa30019360c35</t>
  </si>
  <si>
    <t>/uploads/image_6f66d89fa9.jpg</t>
  </si>
  <si>
    <t>thumbnail_image_6f66d89fa9</t>
  </si>
  <si>
    <t>62c4097a9ddaa30019360c36</t>
  </si>
  <si>
    <t>62c40a099ddaa30019360c38</t>
  </si>
  <si>
    <t>/uploads/image_40b9be906b.jpg</t>
  </si>
  <si>
    <t>thumbnail_image_40b9be906b</t>
  </si>
  <si>
    <t>62c40a099ddaa30019360c39</t>
  </si>
  <si>
    <t>62c40b149ddaa30019360c3b</t>
  </si>
  <si>
    <t>/uploads/image_10c3f7c9ac.jpg</t>
  </si>
  <si>
    <t>thumbnail_image_10c3f7c9ac</t>
  </si>
  <si>
    <t>62c40b149ddaa30019360c3c</t>
  </si>
  <si>
    <t>62c40b699ddaa30019360c3e</t>
  </si>
  <si>
    <t>/uploads/image_062a830cc1.jpg</t>
  </si>
  <si>
    <t>thumbnail_image_062a830cc1</t>
  </si>
  <si>
    <t>62c40b699ddaa30019360c3f</t>
  </si>
  <si>
    <t>62c40bcb9ddaa30019360c41</t>
  </si>
  <si>
    <t>/uploads/image_f0c47098b1.jpg</t>
  </si>
  <si>
    <t>thumbnail_image_f0c47098b1</t>
  </si>
  <si>
    <t>62c40bcb9ddaa30019360c42</t>
  </si>
  <si>
    <t>62c40be49ddaa30019360c44</t>
  </si>
  <si>
    <t>/uploads/image_11ac842315.jpg</t>
  </si>
  <si>
    <t>thumbnail_image_11ac842315</t>
  </si>
  <si>
    <t>62c40be49ddaa30019360c45</t>
  </si>
  <si>
    <t>62c40c2c9ddaa30019360c47</t>
  </si>
  <si>
    <t>/uploads/image_2823e0914c.jpg</t>
  </si>
  <si>
    <t>thumbnail_image_2823e0914c</t>
  </si>
  <si>
    <t>62c40c2c9ddaa30019360c48</t>
  </si>
  <si>
    <t>62c40c9e9ddaa30019360c4a</t>
  </si>
  <si>
    <t>/uploads/image_2c392dbc32.jpg</t>
  </si>
  <si>
    <t>thumbnail_image_2c392dbc32</t>
  </si>
  <si>
    <t>62c40c9e9ddaa30019360c4b</t>
  </si>
  <si>
    <t>62c40cbe9ddaa30019360c4d</t>
  </si>
  <si>
    <t>/uploads/image_1dd39a3765.jpg</t>
  </si>
  <si>
    <t>thumbnail_image_1dd39a3765</t>
  </si>
  <si>
    <t>62c40cbe9ddaa30019360c4e</t>
  </si>
  <si>
    <t>62c40d339ddaa30019360c51</t>
  </si>
  <si>
    <t>/uploads/image_3b2a365ff9.jpg</t>
  </si>
  <si>
    <t>thumbnail_image_3b2a365ff9</t>
  </si>
  <si>
    <t>62c40d339ddaa30019360c52</t>
  </si>
  <si>
    <t>62c40d9d9ddaa30019360c54</t>
  </si>
  <si>
    <t>/uploads/image_6af1959915.jpg</t>
  </si>
  <si>
    <t>thumbnail_image_6af1959915</t>
  </si>
  <si>
    <t>62c40d9d9ddaa30019360c55</t>
  </si>
  <si>
    <t>62c40e039ddaa30019360c57</t>
  </si>
  <si>
    <t>/uploads/image_5625c46a05.jpg</t>
  </si>
  <si>
    <t>thumbnail_image_5625c46a05</t>
  </si>
  <si>
    <t>62c40e039ddaa30019360c58</t>
  </si>
  <si>
    <t>62c40e959ddaa30019360c5b</t>
  </si>
  <si>
    <t>/uploads/image_de46b9757d.jpg</t>
  </si>
  <si>
    <t>thumbnail_image_de46b9757d</t>
  </si>
  <si>
    <t>62c40e959ddaa30019360c5c</t>
  </si>
  <si>
    <t>62c40eee9ddaa30019360c5e</t>
  </si>
  <si>
    <t>/uploads/image_bf9cccdb30.jpg</t>
  </si>
  <si>
    <t>thumbnail_image_bf9cccdb30</t>
  </si>
  <si>
    <t>62c40eee9ddaa30019360c5f</t>
  </si>
  <si>
    <t>62c40f7b9ddaa30019360c61</t>
  </si>
  <si>
    <t>/uploads/image_c86d3ae718.jpg</t>
  </si>
  <si>
    <t>thumbnail_image_c86d3ae718</t>
  </si>
  <si>
    <t>62c40f7b9ddaa30019360c62</t>
  </si>
  <si>
    <t>62c40fa39ddaa30019360c64</t>
  </si>
  <si>
    <t>/uploads/image_92af603b5a.jpg</t>
  </si>
  <si>
    <t>thumbnail_image_92af603b5a</t>
  </si>
  <si>
    <t>62c40fa39ddaa30019360c65</t>
  </si>
  <si>
    <t>62c40fd19ddaa30019360c67</t>
  </si>
  <si>
    <t>/uploads/image_5a5b88b2cf.jpg</t>
  </si>
  <si>
    <t>thumbnail_image_5a5b88b2cf</t>
  </si>
  <si>
    <t>62c40fd29ddaa30019360c68</t>
  </si>
  <si>
    <t>62c410219ddaa30019360c6a</t>
  </si>
  <si>
    <t>/uploads/image_924fb67925.jpg</t>
  </si>
  <si>
    <t>thumbnail_image_924fb67925</t>
  </si>
  <si>
    <t>62c410219ddaa30019360c6b</t>
  </si>
  <si>
    <t>62c410399ddaa30019360c6d</t>
  </si>
  <si>
    <t>/uploads/image_bea4a917d9.jpg</t>
  </si>
  <si>
    <t>thumbnail_image_bea4a917d9</t>
  </si>
  <si>
    <t>62c410399ddaa30019360c6e</t>
  </si>
  <si>
    <t>62c410889ddaa30019360c70</t>
  </si>
  <si>
    <t>/uploads/image_79cac3a1b5.jpg</t>
  </si>
  <si>
    <t>thumbnail_image_79cac3a1b5</t>
  </si>
  <si>
    <t>62c410889ddaa30019360c71</t>
  </si>
  <si>
    <t>62c4109f9ddaa30019360c73</t>
  </si>
  <si>
    <t>/uploads/image_c77e880f3c.jpg</t>
  </si>
  <si>
    <t>thumbnail_image_c77e880f3c</t>
  </si>
  <si>
    <t>62c4109f9ddaa30019360c74</t>
  </si>
  <si>
    <t>62c411079ddaa30019360c76</t>
  </si>
  <si>
    <t>/uploads/image_9c66ff7236.jpg</t>
  </si>
  <si>
    <t>thumbnail_image_9c66ff7236</t>
  </si>
  <si>
    <t>62c411079ddaa30019360c77</t>
  </si>
  <si>
    <t>62c4111f9ddaa30019360c79</t>
  </si>
  <si>
    <t>/uploads/image_829f023702.jpg</t>
  </si>
  <si>
    <t>thumbnail_image_829f023702</t>
  </si>
  <si>
    <t>62c4111f9ddaa30019360c7a</t>
  </si>
  <si>
    <t>62c411739ddaa30019360c7c</t>
  </si>
  <si>
    <t>/uploads/image_cde6cfd24d.jpg</t>
  </si>
  <si>
    <t>thumbnail_image_cde6cfd24d</t>
  </si>
  <si>
    <t>62c411739ddaa30019360c7d</t>
  </si>
  <si>
    <t>62c4121b9ddaa30019360c7f</t>
  </si>
  <si>
    <t>/uploads/image_d7b853af6c.jpg</t>
  </si>
  <si>
    <t>thumbnail_image_d7b853af6c</t>
  </si>
  <si>
    <t>62c4121b9ddaa30019360c80</t>
  </si>
  <si>
    <t>62c412749ddaa30019360c82</t>
  </si>
  <si>
    <t>/uploads/image_20066d765d.jpg</t>
  </si>
  <si>
    <t>thumbnail_image_20066d765d</t>
  </si>
  <si>
    <t>62c412749ddaa30019360c83</t>
  </si>
  <si>
    <t>62c413049ddaa30019360c85</t>
  </si>
  <si>
    <t>/uploads/image_1ff66c9976.jpg</t>
  </si>
  <si>
    <t>thumbnail_image_1ff66c9976</t>
  </si>
  <si>
    <t>62c413049ddaa30019360c86</t>
  </si>
  <si>
    <t>62c414069ddaa30019360c88</t>
  </si>
  <si>
    <t>/uploads/image_e4101216b8.jpg</t>
  </si>
  <si>
    <t>thumbnail_image_e4101216b8</t>
  </si>
  <si>
    <t>62c414069ddaa30019360c89</t>
  </si>
  <si>
    <t>62c4146a9ddaa30019360c8b</t>
  </si>
  <si>
    <t>/uploads/image_2a21b6a114.jpg</t>
  </si>
  <si>
    <t>thumbnail_image_2a21b6a114</t>
  </si>
  <si>
    <t>62c4146a9ddaa30019360c8c</t>
  </si>
  <si>
    <t>62c57bb59ddaa30019360c8e</t>
  </si>
  <si>
    <t>/uploads/image_38bf99ba51.jpg</t>
  </si>
  <si>
    <t>thumbnail_image_38bf99ba51</t>
  </si>
  <si>
    <t>62c57bb59ddaa30019360c8f</t>
  </si>
  <si>
    <t>62c57bfe9ddaa30019360c91</t>
  </si>
  <si>
    <t>/uploads/image_7a561c1a7a.jpg</t>
  </si>
  <si>
    <t>thumbnail_image_7a561c1a7a</t>
  </si>
  <si>
    <t>62c57bfe9ddaa30019360c92</t>
  </si>
  <si>
    <t>62c57c5c9ddaa30019360c94</t>
  </si>
  <si>
    <t>/uploads/image_5b6e93cdee.jpg</t>
  </si>
  <si>
    <t>thumbnail_image_5b6e93cdee</t>
  </si>
  <si>
    <t>62c57c5c9ddaa30019360c95</t>
  </si>
  <si>
    <t>62c57c8b9ddaa30019360c97</t>
  </si>
  <si>
    <t>/uploads/image_01bc082a8e.jpg</t>
  </si>
  <si>
    <t>thumbnail_image_01bc082a8e</t>
  </si>
  <si>
    <t>62c57c8b9ddaa30019360c98</t>
  </si>
  <si>
    <t>62c57cca9ddaa30019360c9a</t>
  </si>
  <si>
    <t>/uploads/image_100187f24d.jpg</t>
  </si>
  <si>
    <t>thumbnail_image_100187f24d</t>
  </si>
  <si>
    <t>62c57cca9ddaa30019360c9b</t>
  </si>
  <si>
    <t>62c57d169ddaa30019360c9d</t>
  </si>
  <si>
    <t>/uploads/image_1600e86052.jpg</t>
  </si>
  <si>
    <t>thumbnail_image_1600e86052</t>
  </si>
  <si>
    <t>62c57d169ddaa30019360c9e</t>
  </si>
  <si>
    <t>62c57d549ddaa30019360ca0</t>
  </si>
  <si>
    <t>/uploads/image_99a1e605c7.jpg</t>
  </si>
  <si>
    <t>thumbnail_image_99a1e605c7</t>
  </si>
  <si>
    <t>62c57d549ddaa30019360ca1</t>
  </si>
  <si>
    <t>62c57dbb9ddaa30019360ca3</t>
  </si>
  <si>
    <t>/uploads/image_316d01a2a3.jpg</t>
  </si>
  <si>
    <t>thumbnail_image_316d01a2a3</t>
  </si>
  <si>
    <t>62c57dbb9ddaa30019360ca4</t>
  </si>
  <si>
    <t>62c57de79ddaa30019360ca6</t>
  </si>
  <si>
    <t>/uploads/image_ff88e7f40a.jpg</t>
  </si>
  <si>
    <t>thumbnail_image_ff88e7f40a</t>
  </si>
  <si>
    <t>62c57de79ddaa30019360ca7</t>
  </si>
  <si>
    <t>62c57dff9ddaa30019360ca9</t>
  </si>
  <si>
    <t>/uploads/image_3f20bcabe0.jpg</t>
  </si>
  <si>
    <t>thumbnail_image_3f20bcabe0</t>
  </si>
  <si>
    <t>62c57dff9ddaa30019360caa</t>
  </si>
  <si>
    <t>62c57eca9ddaa30019360cac</t>
  </si>
  <si>
    <t>/uploads/image_dee2a4ab1f.jpg</t>
  </si>
  <si>
    <t>thumbnail_image_dee2a4ab1f</t>
  </si>
  <si>
    <t>62c57eca9ddaa30019360cad</t>
  </si>
  <si>
    <t>62c57f529ddaa30019360cb0</t>
  </si>
  <si>
    <t>/uploads/image_3d5d55487b.jpg</t>
  </si>
  <si>
    <t>thumbnail_image_3d5d55487b</t>
  </si>
  <si>
    <t>62c57f529ddaa30019360cb1</t>
  </si>
  <si>
    <t>62c57fc49ddaa30019360cb3</t>
  </si>
  <si>
    <t>/uploads/image_7e37d73ce5.jpg</t>
  </si>
  <si>
    <t>thumbnail_image_7e37d73ce5</t>
  </si>
  <si>
    <t>62c57fc49ddaa30019360cb4</t>
  </si>
  <si>
    <t>62c580059ddaa30019360cb6</t>
  </si>
  <si>
    <t>/uploads/image_86ad1a2a63.jpg</t>
  </si>
  <si>
    <t>thumbnail_image_86ad1a2a63</t>
  </si>
  <si>
    <t>62c580059ddaa30019360cb7</t>
  </si>
  <si>
    <t>62c580449ddaa30019360cb9</t>
  </si>
  <si>
    <t>/uploads/image_34271b3fbd.jpg</t>
  </si>
  <si>
    <t>thumbnail_image_34271b3fbd</t>
  </si>
  <si>
    <t>62c580449ddaa30019360cba</t>
  </si>
  <si>
    <t>62c580969ddaa30019360cbc</t>
  </si>
  <si>
    <t>/uploads/image_70cb1f47db.jpg</t>
  </si>
  <si>
    <t>thumbnail_image_70cb1f47db</t>
  </si>
  <si>
    <t>62c580969ddaa30019360cbd</t>
  </si>
  <si>
    <t>62c581129ddaa30019360cbf</t>
  </si>
  <si>
    <t>/uploads/image_8ffd4f1225.jpg</t>
  </si>
  <si>
    <t>thumbnail_image_8ffd4f1225</t>
  </si>
  <si>
    <t>62c581129ddaa30019360cc0</t>
  </si>
  <si>
    <t>62c5815c9ddaa30019360cc2</t>
  </si>
  <si>
    <t>/uploads/image_5490c6c041.jpg</t>
  </si>
  <si>
    <t>thumbnail_image_5490c6c041</t>
  </si>
  <si>
    <t>62c5815c9ddaa30019360cc3</t>
  </si>
  <si>
    <t>62c5823e9ddaa30019360cc5</t>
  </si>
  <si>
    <t>/uploads/image_e20b402561.jpg</t>
  </si>
  <si>
    <t>thumbnail_image_e20b402561</t>
  </si>
  <si>
    <t>62c5823e9ddaa30019360cc6</t>
  </si>
  <si>
    <t>62c582e09ddaa30019360cc8</t>
  </si>
  <si>
    <t>/uploads/image_5ed43b4290.jpg</t>
  </si>
  <si>
    <t>thumbnail_image_5ed43b4290</t>
  </si>
  <si>
    <t>62c582e09ddaa30019360cc9</t>
  </si>
  <si>
    <t>62c583149ddaa30019360ccb</t>
  </si>
  <si>
    <t>/uploads/image_f93f4b0205.jpg</t>
  </si>
  <si>
    <t>thumbnail_image_f93f4b0205</t>
  </si>
  <si>
    <t>62c583149ddaa30019360ccc</t>
  </si>
  <si>
    <t>62c583899ddaa30019360cce</t>
  </si>
  <si>
    <t>/uploads/image_c5dd3a1913.jpg</t>
  </si>
  <si>
    <t>thumbnail_image_c5dd3a1913</t>
  </si>
  <si>
    <t>62c583899ddaa30019360ccf</t>
  </si>
  <si>
    <t>62c584419ddaa30019360cd1</t>
  </si>
  <si>
    <t>/uploads/image_5830eae2cd.jpg</t>
  </si>
  <si>
    <t>thumbnail_image_5830eae2cd</t>
  </si>
  <si>
    <t>62c584419ddaa30019360cd2</t>
  </si>
  <si>
    <t>62c5846a9ddaa30019360cd4</t>
  </si>
  <si>
    <t>/uploads/image_197ea622c2.jpg</t>
  </si>
  <si>
    <t>thumbnail_image_197ea622c2</t>
  </si>
  <si>
    <t>62c5846a9ddaa30019360cd5</t>
  </si>
  <si>
    <t>62c584d79ddaa30019360cd7</t>
  </si>
  <si>
    <t>/uploads/image_fcc0ac92d2.jpg</t>
  </si>
  <si>
    <t>thumbnail_image_fcc0ac92d2</t>
  </si>
  <si>
    <t>62c584d79ddaa30019360cd8</t>
  </si>
  <si>
    <t>62c589e39ddaa30019360cde</t>
  </si>
  <si>
    <t>/uploads/image_a71a51e7a3.jpg</t>
  </si>
  <si>
    <t>thumbnail_image_a71a51e7a3</t>
  </si>
  <si>
    <t>62c589e39ddaa30019360cdf</t>
  </si>
  <si>
    <t>62c58cfc9ddaa30019360ce6</t>
  </si>
  <si>
    <t>/uploads/image_067e74dcb0.jpg</t>
  </si>
  <si>
    <t>thumbnail_image_067e74dcb0</t>
  </si>
  <si>
    <t>62c58cfc9ddaa30019360ce7</t>
  </si>
  <si>
    <t>62c58de09ddaa30019360ce9</t>
  </si>
  <si>
    <t>/uploads/image_e1e728ba67.jpg</t>
  </si>
  <si>
    <t>thumbnail_image_e1e728ba67</t>
  </si>
  <si>
    <t>62c58de09ddaa30019360cea</t>
  </si>
  <si>
    <t>62c58ea69ddaa30019360ced</t>
  </si>
  <si>
    <t>/uploads/image_7584ac006f.jpg</t>
  </si>
  <si>
    <t>thumbnail_image_7584ac006f</t>
  </si>
  <si>
    <t>62c58ea69ddaa30019360cee</t>
  </si>
  <si>
    <t>62c58efe9ddaa30019360cf0</t>
  </si>
  <si>
    <t>/uploads/image_b0eb8569c0.jpg</t>
  </si>
  <si>
    <t>thumbnail_image_b0eb8569c0</t>
  </si>
  <si>
    <t>62c58efe9ddaa30019360cf1</t>
  </si>
  <si>
    <t>62c58f809ddaa30019360cf3</t>
  </si>
  <si>
    <t>/uploads/image_a75e426a2b.jpg</t>
  </si>
  <si>
    <t>thumbnail_image_a75e426a2b</t>
  </si>
  <si>
    <t>62c58f809ddaa30019360cf4</t>
  </si>
  <si>
    <t>62c58fc09ddaa30019360cf6</t>
  </si>
  <si>
    <t>/uploads/image_56fbe153f7.jpg</t>
  </si>
  <si>
    <t>thumbnail_image_56fbe153f7</t>
  </si>
  <si>
    <t>62c58fc09ddaa30019360cf7</t>
  </si>
  <si>
    <t>62c5908d9ddaa30019360cfa</t>
  </si>
  <si>
    <t>/uploads/image_e57ee236d9.jpg</t>
  </si>
  <si>
    <t>thumbnail_image_e57ee236d9</t>
  </si>
  <si>
    <t>62c5908d9ddaa30019360cfb</t>
  </si>
  <si>
    <t>62c590a89ddaa30019360cfd</t>
  </si>
  <si>
    <t>/uploads/image_886b70dc62.jpg</t>
  </si>
  <si>
    <t>thumbnail_image_886b70dc62</t>
  </si>
  <si>
    <t>62c590a89ddaa30019360cfe</t>
  </si>
  <si>
    <t>62c590fc9ddaa30019360d00</t>
  </si>
  <si>
    <t>/uploads/image_e6171e66d9.jpg</t>
  </si>
  <si>
    <t>thumbnail_image_e6171e66d9</t>
  </si>
  <si>
    <t>62c590fc9ddaa30019360d01</t>
  </si>
  <si>
    <t>62c591d59ddaa30019360d03</t>
  </si>
  <si>
    <t>/uploads/image_8db6bb7203.jpg</t>
  </si>
  <si>
    <t>thumbnail_image_8db6bb7203</t>
  </si>
  <si>
    <t>62c591d59ddaa30019360d04</t>
  </si>
  <si>
    <t>62c5926b9ddaa30019360d06</t>
  </si>
  <si>
    <t>/uploads/image_ae6e7d8740.jpg</t>
  </si>
  <si>
    <t>thumbnail_image_ae6e7d8740</t>
  </si>
  <si>
    <t>62c5926b9ddaa30019360d07</t>
  </si>
  <si>
    <t>62c592979ddaa30019360d09</t>
  </si>
  <si>
    <t>/uploads/image_6dfa3de0a9.jpg</t>
  </si>
  <si>
    <t>thumbnail_image_6dfa3de0a9</t>
  </si>
  <si>
    <t>62c592979ddaa30019360d0a</t>
  </si>
  <si>
    <t>62c5930d9ddaa30019360d0c</t>
  </si>
  <si>
    <t>/uploads/image_e4442200db.jpg</t>
  </si>
  <si>
    <t>thumbnail_image_e4442200db</t>
  </si>
  <si>
    <t>62c5930d9ddaa30019360d0d</t>
  </si>
  <si>
    <t>62c594f99ddaa30019360d0f</t>
  </si>
  <si>
    <t>/uploads/image_51d75da107.jpg</t>
  </si>
  <si>
    <t>thumbnail_image_51d75da107</t>
  </si>
  <si>
    <t>62c594f99ddaa30019360d10</t>
  </si>
  <si>
    <t>62c5957a9ddaa30019360d12</t>
  </si>
  <si>
    <t>/uploads/image_a0951f1e49.jpg</t>
  </si>
  <si>
    <t>thumbnail_image_a0951f1e49</t>
  </si>
  <si>
    <t>62c5957a9ddaa30019360d13</t>
  </si>
  <si>
    <t>62c595da9ddaa30019360d15</t>
  </si>
  <si>
    <t>/uploads/image_79a74afe1c.jpg</t>
  </si>
  <si>
    <t>thumbnail_image_79a74afe1c</t>
  </si>
  <si>
    <t>62c595da9ddaa30019360d16</t>
  </si>
  <si>
    <t>62c596779ddaa30019360d1a</t>
  </si>
  <si>
    <t>/uploads/image_6244ee00af.jpg</t>
  </si>
  <si>
    <t>thumbnail_image_6244ee00af</t>
  </si>
  <si>
    <t>62c596779ddaa30019360d1b</t>
  </si>
  <si>
    <t>62c5967e9ddaa30019360d1c</t>
  </si>
  <si>
    <t>/uploads/image_b8a720367f.jpg</t>
  </si>
  <si>
    <t>thumbnail_image_b8a720367f</t>
  </si>
  <si>
    <t>62c5967e9ddaa30019360d1d</t>
  </si>
  <si>
    <t>62c5967f9ddaa30019360d1e</t>
  </si>
  <si>
    <t>/uploads/image_0c0178f66c.jpg</t>
  </si>
  <si>
    <t>thumbnail_image_0c0178f66c</t>
  </si>
  <si>
    <t>62c5967f9ddaa30019360d1f</t>
  </si>
  <si>
    <t>62c596819ddaa30019360d20</t>
  </si>
  <si>
    <t>/uploads/image_35e35c5599.jpg</t>
  </si>
  <si>
    <t>thumbnail_image_35e35c5599</t>
  </si>
  <si>
    <t>62c596819ddaa30019360d21</t>
  </si>
  <si>
    <t>62c5970c9ddaa30019360d23</t>
  </si>
  <si>
    <t>/uploads/image_f6b2e86ac8.jpg</t>
  </si>
  <si>
    <t>thumbnail_image_f6b2e86ac8</t>
  </si>
  <si>
    <t>62c5970c9ddaa30019360d24</t>
  </si>
  <si>
    <t>62c597f29ddaa30019360d26</t>
  </si>
  <si>
    <t>/uploads/image_70d81dbf7d.jpg</t>
  </si>
  <si>
    <t>thumbnail_image_70d81dbf7d</t>
  </si>
  <si>
    <t>62c597f29ddaa30019360d27</t>
  </si>
  <si>
    <t>62c598499ddaa30019360d29</t>
  </si>
  <si>
    <t>/uploads/image_966307d892.jpg</t>
  </si>
  <si>
    <t>thumbnail_image_966307d892</t>
  </si>
  <si>
    <t>62c598499ddaa30019360d2a</t>
  </si>
  <si>
    <t>62c598a59ddaa30019360d2c</t>
  </si>
  <si>
    <t>/uploads/image_c48e261ca3.jpg</t>
  </si>
  <si>
    <t>thumbnail_image_c48e261ca3</t>
  </si>
  <si>
    <t>62c598a59ddaa30019360d2d</t>
  </si>
  <si>
    <t>62c598c19ddaa30019360d2f</t>
  </si>
  <si>
    <t>/uploads/image_b2539a7b73.jpg</t>
  </si>
  <si>
    <t>thumbnail_image_b2539a7b73</t>
  </si>
  <si>
    <t>62c598c19ddaa30019360d30</t>
  </si>
  <si>
    <t>62c599259ddaa30019360d32</t>
  </si>
  <si>
    <t>/uploads/image_0c7df4bee4.jpg</t>
  </si>
  <si>
    <t>thumbnail_image_0c7df4bee4</t>
  </si>
  <si>
    <t>62c599259ddaa30019360d33</t>
  </si>
  <si>
    <t>62c5998a9ddaa30019360d35</t>
  </si>
  <si>
    <t>/uploads/image_251adf6f8e.jpg</t>
  </si>
  <si>
    <t>thumbnail_image_251adf6f8e</t>
  </si>
  <si>
    <t>62c5998a9ddaa30019360d36</t>
  </si>
  <si>
    <t>62c59a419ddaa30019360d38</t>
  </si>
  <si>
    <t>/uploads/image_17294f505a.jpg</t>
  </si>
  <si>
    <t>thumbnail_image_17294f505a</t>
  </si>
  <si>
    <t>62c59a419ddaa30019360d39</t>
  </si>
  <si>
    <t>62c59a699ddaa30019360d3b</t>
  </si>
  <si>
    <t>/uploads/image_158cbe4ae2.jpg</t>
  </si>
  <si>
    <t>thumbnail_image_158cbe4ae2</t>
  </si>
  <si>
    <t>62c59a699ddaa30019360d3c</t>
  </si>
  <si>
    <t>62c59a879ddaa30019360d3e</t>
  </si>
  <si>
    <t>/uploads/image_29c2420d7a.jpg</t>
  </si>
  <si>
    <t>thumbnail_image_29c2420d7a</t>
  </si>
  <si>
    <t>62c59a879ddaa30019360d3f</t>
  </si>
  <si>
    <t>62c59a9d9ddaa30019360d41</t>
  </si>
  <si>
    <t>/uploads/image_9fb5b41537.jpg</t>
  </si>
  <si>
    <t>thumbnail_image_9fb5b41537</t>
  </si>
  <si>
    <t>62c59a9d9ddaa30019360d42</t>
  </si>
  <si>
    <t>62c59ab69ddaa30019360d44</t>
  </si>
  <si>
    <t>/uploads/image_8455ece0bb.jpg</t>
  </si>
  <si>
    <t>thumbnail_image_8455ece0bb</t>
  </si>
  <si>
    <t>62c59ab69ddaa30019360d45</t>
  </si>
  <si>
    <t>62c5a04d9ddaa30019360d48</t>
  </si>
  <si>
    <t>/uploads/image_c0334f877d.jpg</t>
  </si>
  <si>
    <t>thumbnail_image_c0334f877d</t>
  </si>
  <si>
    <t>62c5a04d9ddaa30019360d49</t>
  </si>
  <si>
    <t>62c5a0869ddaa30019360d4b</t>
  </si>
  <si>
    <t>/uploads/image_0140c63537.jpg</t>
  </si>
  <si>
    <t>thumbnail_image_0140c63537</t>
  </si>
  <si>
    <t>62c5a0869ddaa30019360d4c</t>
  </si>
  <si>
    <t>62c5a15b9ddaa30019360d52</t>
  </si>
  <si>
    <t>/uploads/image_e6af1d1420.jpg</t>
  </si>
  <si>
    <t>thumbnail_image_e6af1d1420</t>
  </si>
  <si>
    <t>62c5a15b9ddaa30019360d53</t>
  </si>
  <si>
    <t>62c5a1b49ddaa30019360d56</t>
  </si>
  <si>
    <t>/uploads/image_ccdbde2456.jpg</t>
  </si>
  <si>
    <t>thumbnail_image_ccdbde2456</t>
  </si>
  <si>
    <t>62c5a1b49ddaa30019360d57</t>
  </si>
  <si>
    <t>62c5a1f79ddaa30019360d5a</t>
  </si>
  <si>
    <t>/uploads/image_b6f565924b.jpg</t>
  </si>
  <si>
    <t>thumbnail_image_b6f565924b</t>
  </si>
  <si>
    <t>62c5a1f79ddaa30019360d5b</t>
  </si>
  <si>
    <t>62c5a2159ddaa30019360d5d</t>
  </si>
  <si>
    <t>/uploads/image_3f4ad86514.jpg</t>
  </si>
  <si>
    <t>thumbnail_image_3f4ad86514</t>
  </si>
  <si>
    <t>62c5a2159ddaa30019360d5e</t>
  </si>
  <si>
    <t>62c5a23f9ddaa30019360d60</t>
  </si>
  <si>
    <t>/uploads/image_5ab59b3bc9.jpg</t>
  </si>
  <si>
    <t>thumbnail_image_5ab59b3bc9</t>
  </si>
  <si>
    <t>62c5a23f9ddaa30019360d61</t>
  </si>
  <si>
    <t>62c5a2e59ddaa30019360d65</t>
  </si>
  <si>
    <t>/uploads/image_7f4537b076.jpg</t>
  </si>
  <si>
    <t>thumbnail_image_7f4537b076</t>
  </si>
  <si>
    <t>62c5a2e59ddaa30019360d66</t>
  </si>
  <si>
    <t>62c5a3f59ddaa30019360d69</t>
  </si>
  <si>
    <t>/uploads/image_ae1eaed561.jpg</t>
  </si>
  <si>
    <t>thumbnail_image_ae1eaed561</t>
  </si>
  <si>
    <t>62c5a3f59ddaa30019360d6a</t>
  </si>
  <si>
    <t>62c5a5c89ddaa30019360d6e</t>
  </si>
  <si>
    <t>/uploads/image_0a4e1e141a.jpg</t>
  </si>
  <si>
    <t>thumbnail_image_0a4e1e141a</t>
  </si>
  <si>
    <t>62c5a5c89ddaa30019360d6f</t>
  </si>
  <si>
    <t>62c5a61c9ddaa30019360d71</t>
  </si>
  <si>
    <t>/uploads/image_4ea574faf5.jpg</t>
  </si>
  <si>
    <t>thumbnail_image_4ea574faf5</t>
  </si>
  <si>
    <t>62c5a61c9ddaa30019360d72</t>
  </si>
  <si>
    <t>62c5a6709ddaa30019360d74</t>
  </si>
  <si>
    <t>/uploads/image_3277c43941.jpg</t>
  </si>
  <si>
    <t>thumbnail_image_3277c43941</t>
  </si>
  <si>
    <t>62c5a6709ddaa30019360d75</t>
  </si>
  <si>
    <t>62c5a7229ddaa30019360d77</t>
  </si>
  <si>
    <t>/uploads/image_9ef362505d.jpg</t>
  </si>
  <si>
    <t>thumbnail_image_9ef362505d</t>
  </si>
  <si>
    <t>62c5a7229ddaa30019360d78</t>
  </si>
  <si>
    <t>62c5a7609ddaa30019360d7a</t>
  </si>
  <si>
    <t>/uploads/image_7bdd9c52a6.jpg</t>
  </si>
  <si>
    <t>thumbnail_image_7bdd9c52a6</t>
  </si>
  <si>
    <t>62c5a7609ddaa30019360d7b</t>
  </si>
  <si>
    <t>62c68ee89ddaa30019360d7e</t>
  </si>
  <si>
    <t>/uploads/image_fa60b0c39a.jpg</t>
  </si>
  <si>
    <t>thumbnail_image_fa60b0c39a</t>
  </si>
  <si>
    <t>62c68ee89ddaa30019360d7f</t>
  </si>
  <si>
    <t>62c68f959ddaa30019360d81</t>
  </si>
  <si>
    <t>/uploads/image_03bdaaa262.jpg</t>
  </si>
  <si>
    <t>thumbnail_image_03bdaaa262</t>
  </si>
  <si>
    <t>62c68f959ddaa30019360d82</t>
  </si>
  <si>
    <t>62c68f9f9ddaa30019360d83</t>
  </si>
  <si>
    <t>/uploads/image_5d516e5b3a.jpg</t>
  </si>
  <si>
    <t>thumbnail_image_5d516e5b3a</t>
  </si>
  <si>
    <t>62c68f9f9ddaa30019360d84</t>
  </si>
  <si>
    <t>62c68fa49ddaa30019360d85</t>
  </si>
  <si>
    <t>/uploads/image_8096fe34b2.jpg</t>
  </si>
  <si>
    <t>thumbnail_image_8096fe34b2</t>
  </si>
  <si>
    <t>62c68fa49ddaa30019360d86</t>
  </si>
  <si>
    <t>62c6902d9ddaa30019360d88</t>
  </si>
  <si>
    <t>/uploads/image_f28f2885af.jpg</t>
  </si>
  <si>
    <t>thumbnail_image_f28f2885af</t>
  </si>
  <si>
    <t>62c6902d9ddaa30019360d89</t>
  </si>
  <si>
    <t>62c6907e9ddaa30019360d8b</t>
  </si>
  <si>
    <t>/uploads/image_cfff33c40d.jpg</t>
  </si>
  <si>
    <t>thumbnail_image_cfff33c40d</t>
  </si>
  <si>
    <t>62c6907e9ddaa30019360d8c</t>
  </si>
  <si>
    <t>62c690c29ddaa30019360d8e</t>
  </si>
  <si>
    <t>/uploads/image_495c6e4c1a.jpg</t>
  </si>
  <si>
    <t>thumbnail_image_495c6e4c1a</t>
  </si>
  <si>
    <t>62c690c29ddaa30019360d8f</t>
  </si>
  <si>
    <t>62c691759ddaa30019360d91</t>
  </si>
  <si>
    <t>/uploads/image_30d17d5359.jpg</t>
  </si>
  <si>
    <t>thumbnail_image_30d17d5359</t>
  </si>
  <si>
    <t>62c691759ddaa30019360d92</t>
  </si>
  <si>
    <t>62c691a19ddaa30019360d94</t>
  </si>
  <si>
    <t>/uploads/image_6cb6ebe531.jpg</t>
  </si>
  <si>
    <t>thumbnail_image_6cb6ebe531</t>
  </si>
  <si>
    <t>62c691a19ddaa30019360d95</t>
  </si>
  <si>
    <t>62c691ec9ddaa30019360d97</t>
  </si>
  <si>
    <t>/uploads/image_5c9b67abcb.jpg</t>
  </si>
  <si>
    <t>thumbnail_image_5c9b67abcb</t>
  </si>
  <si>
    <t>62c691ec9ddaa30019360d98</t>
  </si>
  <si>
    <t>62c692919ddaa30019360d9a</t>
  </si>
  <si>
    <t>/uploads/image_0cdb663923.jpg</t>
  </si>
  <si>
    <t>thumbnail_image_0cdb663923</t>
  </si>
  <si>
    <t>62c692919ddaa30019360d9b</t>
  </si>
  <si>
    <t>62c693679ddaa30019360d9d</t>
  </si>
  <si>
    <t>/uploads/image_401537fc82.jpg</t>
  </si>
  <si>
    <t>thumbnail_image_401537fc82</t>
  </si>
  <si>
    <t>62c693679ddaa30019360d9e</t>
  </si>
  <si>
    <t>62c693a99ddaa30019360da0</t>
  </si>
  <si>
    <t>/uploads/image_bbceb1c9f8.jpg</t>
  </si>
  <si>
    <t>thumbnail_image_bbceb1c9f8</t>
  </si>
  <si>
    <t>62c693a99ddaa30019360da1</t>
  </si>
  <si>
    <t>62c694399ddaa30019360da3</t>
  </si>
  <si>
    <t>/uploads/image_a8640625c0.jpg</t>
  </si>
  <si>
    <t>thumbnail_image_a8640625c0</t>
  </si>
  <si>
    <t>62c694399ddaa30019360da4</t>
  </si>
  <si>
    <t>62c694b89ddaa30019360da6</t>
  </si>
  <si>
    <t>/uploads/image_96376a92a9.jpg</t>
  </si>
  <si>
    <t>thumbnail_image_96376a92a9</t>
  </si>
  <si>
    <t>62c694b89ddaa30019360da7</t>
  </si>
  <si>
    <t>62c6950a9ddaa30019360da9</t>
  </si>
  <si>
    <t>/uploads/image_a1b17c2f5a.jpg</t>
  </si>
  <si>
    <t>thumbnail_image_a1b17c2f5a</t>
  </si>
  <si>
    <t>62c6950a9ddaa30019360daa</t>
  </si>
  <si>
    <t>62c695459ddaa30019360dac</t>
  </si>
  <si>
    <t>/uploads/image_b6f8de239f.jpg</t>
  </si>
  <si>
    <t>thumbnail_image_b6f8de239f</t>
  </si>
  <si>
    <t>62c695459ddaa30019360dad</t>
  </si>
  <si>
    <t>62c695819ddaa30019360daf</t>
  </si>
  <si>
    <t>/uploads/image_f90964e1dd.jpg</t>
  </si>
  <si>
    <t>thumbnail_image_f90964e1dd</t>
  </si>
  <si>
    <t>62c695819ddaa30019360db0</t>
  </si>
  <si>
    <t>62c695b29ddaa30019360db2</t>
  </si>
  <si>
    <t>/uploads/image_50f2272e58.jpg</t>
  </si>
  <si>
    <t>thumbnail_image_50f2272e58</t>
  </si>
  <si>
    <t>62c695b29ddaa30019360db3</t>
  </si>
  <si>
    <t>62c695f39ddaa30019360db5</t>
  </si>
  <si>
    <t>/uploads/image_45e731f7c1.jpg</t>
  </si>
  <si>
    <t>thumbnail_image_45e731f7c1</t>
  </si>
  <si>
    <t>62c695f39ddaa30019360db6</t>
  </si>
  <si>
    <t>62c6977c9ddaa30019360dbf</t>
  </si>
  <si>
    <t>/uploads/image_38eaf7026d.jpg</t>
  </si>
  <si>
    <t>thumbnail_image_38eaf7026d</t>
  </si>
  <si>
    <t>62c697929ddaa30019360dc0</t>
  </si>
  <si>
    <t>/uploads/image_0e1223719f.jpg</t>
  </si>
  <si>
    <t>thumbnail_image_0e1223719f</t>
  </si>
  <si>
    <t>62c697929ddaa30019360dc1</t>
  </si>
  <si>
    <t>62c6982b9ddaa30019360dc3</t>
  </si>
  <si>
    <t>/uploads/image_6050cefabf.jpg</t>
  </si>
  <si>
    <t>thumbnail_image_6050cefabf</t>
  </si>
  <si>
    <t>62c6982b9ddaa30019360dc4</t>
  </si>
  <si>
    <t>62c6986a9ddaa30019360dc6</t>
  </si>
  <si>
    <t>/uploads/image_50060d4d42.jpg</t>
  </si>
  <si>
    <t>thumbnail_image_50060d4d42</t>
  </si>
  <si>
    <t>62c6986a9ddaa30019360dc7</t>
  </si>
  <si>
    <t>62c698ac9ddaa30019360dc9</t>
  </si>
  <si>
    <t>/uploads/image_db40c1243e.jpg</t>
  </si>
  <si>
    <t>thumbnail_image_db40c1243e</t>
  </si>
  <si>
    <t>62c698ac9ddaa30019360dca</t>
  </si>
  <si>
    <t>62c699279ddaa30019360dcd</t>
  </si>
  <si>
    <t>/uploads/image_174fe86636.jpg</t>
  </si>
  <si>
    <t>thumbnail_image_174fe86636</t>
  </si>
  <si>
    <t>62c699279ddaa30019360dce</t>
  </si>
  <si>
    <t>62c6992c9ddaa30019360dcf</t>
  </si>
  <si>
    <t>/uploads/image_7844ffac04.jpg</t>
  </si>
  <si>
    <t>thumbnail_image_7844ffac04</t>
  </si>
  <si>
    <t>62c6992c9ddaa30019360dd0</t>
  </si>
  <si>
    <t>62c699369ddaa30019360dd1</t>
  </si>
  <si>
    <t>/uploads/image_28e3aae20d.jpg</t>
  </si>
  <si>
    <t>thumbnail_image_28e3aae20d</t>
  </si>
  <si>
    <t>62c699369ddaa30019360dd2</t>
  </si>
  <si>
    <t>62c6994a9ddaa30019360dd4</t>
  </si>
  <si>
    <t>/uploads/image_6062cefcb8.jpg</t>
  </si>
  <si>
    <t>thumbnail_image_6062cefcb8</t>
  </si>
  <si>
    <t>62c6994a9ddaa30019360dd5</t>
  </si>
  <si>
    <t>62c6996a9ddaa30019360dd7</t>
  </si>
  <si>
    <t>/uploads/image_518bd76aa1.jpg</t>
  </si>
  <si>
    <t>thumbnail_image_518bd76aa1</t>
  </si>
  <si>
    <t>62c6996a9ddaa30019360dd8</t>
  </si>
  <si>
    <t>62c69a519ddaa30019360dda</t>
  </si>
  <si>
    <t>/uploads/image_84c57c6047.jpg</t>
  </si>
  <si>
    <t>thumbnail_image_84c57c6047</t>
  </si>
  <si>
    <t>62c69a519ddaa30019360ddb</t>
  </si>
  <si>
    <t>62c69a649ddaa30019360ddd</t>
  </si>
  <si>
    <t>/uploads/image_32e2fdaa7d.jpg</t>
  </si>
  <si>
    <t>thumbnail_image_32e2fdaa7d</t>
  </si>
  <si>
    <t>62c69a649ddaa30019360dde</t>
  </si>
  <si>
    <t>62c69adf9ddaa30019360de0</t>
  </si>
  <si>
    <t>/uploads/image_cd250e5c87.jpg</t>
  </si>
  <si>
    <t>thumbnail_image_cd250e5c87</t>
  </si>
  <si>
    <t>62c69adf9ddaa30019360de1</t>
  </si>
  <si>
    <t>62c69aea9ddaa30019360de2</t>
  </si>
  <si>
    <t>/uploads/image_18df2581f1.jpg</t>
  </si>
  <si>
    <t>thumbnail_image_18df2581f1</t>
  </si>
  <si>
    <t>62c69aea9ddaa30019360de3</t>
  </si>
  <si>
    <t>62c69afd9ddaa30019360de4</t>
  </si>
  <si>
    <t>/uploads/image_731c63a7f9.jpg</t>
  </si>
  <si>
    <t>thumbnail_image_731c63a7f9</t>
  </si>
  <si>
    <t>62c69afd9ddaa30019360de5</t>
  </si>
  <si>
    <t>62c69afd9ddaa30019360de6</t>
  </si>
  <si>
    <t>/uploads/image_76788b2c6c.jpg</t>
  </si>
  <si>
    <t>thumbnail_image_76788b2c6c</t>
  </si>
  <si>
    <t>62c69afd9ddaa30019360de7</t>
  </si>
  <si>
    <t>62c69aff9ddaa30019360de8</t>
  </si>
  <si>
    <t>/uploads/image_a591ca1ac5.jpg</t>
  </si>
  <si>
    <t>thumbnail_image_a591ca1ac5</t>
  </si>
  <si>
    <t>62c69aff9ddaa30019360de9</t>
  </si>
  <si>
    <t>62c69b259ddaa30019360deb</t>
  </si>
  <si>
    <t>/uploads/image_823d6ea2a2.jpg</t>
  </si>
  <si>
    <t>thumbnail_image_823d6ea2a2</t>
  </si>
  <si>
    <t>62c69b259ddaa30019360dec</t>
  </si>
  <si>
    <t>62c69ba09ddaa30019360dee</t>
  </si>
  <si>
    <t>/uploads/image_ee34164a66.jpg</t>
  </si>
  <si>
    <t>thumbnail_image_ee34164a66</t>
  </si>
  <si>
    <t>62c69ba09ddaa30019360def</t>
  </si>
  <si>
    <t>62c69bfe9ddaa30019360df1</t>
  </si>
  <si>
    <t>/uploads/image_dcff59cd12.jpg</t>
  </si>
  <si>
    <t>thumbnail_image_dcff59cd12</t>
  </si>
  <si>
    <t>62c69bfe9ddaa30019360df2</t>
  </si>
  <si>
    <t>62c69c539ddaa30019360df4</t>
  </si>
  <si>
    <t>/uploads/image_47d57722c9.jpg</t>
  </si>
  <si>
    <t>thumbnail_image_47d57722c9</t>
  </si>
  <si>
    <t>62c69c539ddaa30019360df5</t>
  </si>
  <si>
    <t>62c69c7c9ddaa30019360df7</t>
  </si>
  <si>
    <t>/uploads/image_6e626693f8.jpg</t>
  </si>
  <si>
    <t>thumbnail_image_6e626693f8</t>
  </si>
  <si>
    <t>62c69c7c9ddaa30019360df8</t>
  </si>
  <si>
    <t>62c69d929ddaa30019360dfa</t>
  </si>
  <si>
    <t>/uploads/image_6713862226.jpg</t>
  </si>
  <si>
    <t>thumbnail_image_6713862226</t>
  </si>
  <si>
    <t>62c69d929ddaa30019360dfb</t>
  </si>
  <si>
    <t>62c69de99ddaa30019360dfd</t>
  </si>
  <si>
    <t>/uploads/image_669fec428b.jpg</t>
  </si>
  <si>
    <t>thumbnail_image_669fec428b</t>
  </si>
  <si>
    <t>62c69de99ddaa30019360dfe</t>
  </si>
  <si>
    <t>62c69e049ddaa30019360e00</t>
  </si>
  <si>
    <t>/uploads/image_42d93cdac5.jpg</t>
  </si>
  <si>
    <t>thumbnail_image_42d93cdac5</t>
  </si>
  <si>
    <t>62c69e049ddaa30019360e01</t>
  </si>
  <si>
    <t>62c69e619ddaa30019360e03</t>
  </si>
  <si>
    <t>/uploads/image_f72c831c1d.jpg</t>
  </si>
  <si>
    <t>thumbnail_image_f72c831c1d</t>
  </si>
  <si>
    <t>62c69e619ddaa30019360e04</t>
  </si>
  <si>
    <t>62c69e669ddaa30019360e05</t>
  </si>
  <si>
    <t>/uploads/image_98aa2c52d4.jpg</t>
  </si>
  <si>
    <t>thumbnail_image_98aa2c52d4</t>
  </si>
  <si>
    <t>62c69e669ddaa30019360e06</t>
  </si>
  <si>
    <t>62c69e949ddaa30019360e08</t>
  </si>
  <si>
    <t>/uploads/image_26646461ea.jpg</t>
  </si>
  <si>
    <t>thumbnail_image_26646461ea</t>
  </si>
  <si>
    <t>62c69e949ddaa30019360e09</t>
  </si>
  <si>
    <t>62c69eb89ddaa30019360e0c</t>
  </si>
  <si>
    <t>/uploads/image_3fd176fd95.jpg</t>
  </si>
  <si>
    <t>thumbnail_image_3fd176fd95</t>
  </si>
  <si>
    <t>62c69eb89ddaa30019360e0d</t>
  </si>
  <si>
    <t>62c69f529ddaa30019360e0f</t>
  </si>
  <si>
    <t>/uploads/image_db46a77188.jpg</t>
  </si>
  <si>
    <t>thumbnail_image_db46a77188</t>
  </si>
  <si>
    <t>62c69f529ddaa30019360e10</t>
  </si>
  <si>
    <t>62c69f719ddaa30019360e12</t>
  </si>
  <si>
    <t>/uploads/image_0045dd97ac.jpg</t>
  </si>
  <si>
    <t>thumbnail_image_0045dd97ac</t>
  </si>
  <si>
    <t>62c69f719ddaa30019360e13</t>
  </si>
  <si>
    <t>62c6a00b9ddaa30019360e16</t>
  </si>
  <si>
    <t>/uploads/image_61bad1e425.jpg</t>
  </si>
  <si>
    <t>thumbnail_image_61bad1e425</t>
  </si>
  <si>
    <t>62c6a00b9ddaa30019360e17</t>
  </si>
  <si>
    <t>62c6a0519ddaa30019360e19</t>
  </si>
  <si>
    <t>/uploads/image_5a322b700c.jpg</t>
  </si>
  <si>
    <t>thumbnail_image_5a322b700c</t>
  </si>
  <si>
    <t>62c6a0519ddaa30019360e1a</t>
  </si>
  <si>
    <t>62c6a0899ddaa30019360e1c</t>
  </si>
  <si>
    <t>/uploads/image_c66e5c06de.jpg</t>
  </si>
  <si>
    <t>thumbnail_image_c66e5c06de</t>
  </si>
  <si>
    <t>62c6a0899ddaa30019360e1d</t>
  </si>
  <si>
    <t>62c6a0919ddaa30019360e1e</t>
  </si>
  <si>
    <t>/uploads/image_062815b778.jpg</t>
  </si>
  <si>
    <t>thumbnail_image_062815b778</t>
  </si>
  <si>
    <t>62c6a0919ddaa30019360e1f</t>
  </si>
  <si>
    <t>62c6a0979ddaa30019360e20</t>
  </si>
  <si>
    <t>/uploads/image_01ac6b0b35.jpg</t>
  </si>
  <si>
    <t>thumbnail_image_01ac6b0b35</t>
  </si>
  <si>
    <t>62c6a0979ddaa30019360e21</t>
  </si>
  <si>
    <t>62c6a0c69ddaa30019360e23</t>
  </si>
  <si>
    <t>/uploads/image_32146c927f.jpg</t>
  </si>
  <si>
    <t>thumbnail_image_32146c927f</t>
  </si>
  <si>
    <t>62c6a0c69ddaa30019360e24</t>
  </si>
  <si>
    <t>62c6a0f39ddaa30019360e26</t>
  </si>
  <si>
    <t>/uploads/image_a6a38ca5d0.jpg</t>
  </si>
  <si>
    <t>thumbnail_image_a6a38ca5d0</t>
  </si>
  <si>
    <t>62c6a0f39ddaa30019360e27</t>
  </si>
  <si>
    <t>62c6a1779ddaa30019360e2a</t>
  </si>
  <si>
    <t>/uploads/image_66f52a3b22.jpg</t>
  </si>
  <si>
    <t>thumbnail_image_66f52a3b22</t>
  </si>
  <si>
    <t>62c6a1779ddaa30019360e2b</t>
  </si>
  <si>
    <t>62c6a19c9ddaa30019360e2d</t>
  </si>
  <si>
    <t>/uploads/image_37c7edf7c5.jpg</t>
  </si>
  <si>
    <t>thumbnail_image_37c7edf7c5</t>
  </si>
  <si>
    <t>62c6a19c9ddaa30019360e2e</t>
  </si>
  <si>
    <t>62c6a1bf9ddaa30019360e30</t>
  </si>
  <si>
    <t>/uploads/image_1b6bcadc71.jpg</t>
  </si>
  <si>
    <t>thumbnail_image_1b6bcadc71</t>
  </si>
  <si>
    <t>62c6a1bf9ddaa30019360e31</t>
  </si>
  <si>
    <t>62c6a2659ddaa30019360e34</t>
  </si>
  <si>
    <t>/uploads/image_8c8d290eb2.jpg</t>
  </si>
  <si>
    <t>thumbnail_image_8c8d290eb2</t>
  </si>
  <si>
    <t>62c6a2659ddaa30019360e35</t>
  </si>
  <si>
    <t>62c6a28f9ddaa30019360e37</t>
  </si>
  <si>
    <t>/uploads/image_c2c99c21f8.jpg</t>
  </si>
  <si>
    <t>thumbnail_image_c2c99c21f8</t>
  </si>
  <si>
    <t>62c6a28f9ddaa30019360e38</t>
  </si>
  <si>
    <t>62c6a2fd9ddaa30019360e3a</t>
  </si>
  <si>
    <t>/uploads/image_8e23dd3ab0.jpg</t>
  </si>
  <si>
    <t>thumbnail_image_8e23dd3ab0</t>
  </si>
  <si>
    <t>62c6a2fd9ddaa30019360e3b</t>
  </si>
  <si>
    <t>62c6a33c9ddaa30019360e3d</t>
  </si>
  <si>
    <t>/uploads/image_15f88e6b8d.jpg</t>
  </si>
  <si>
    <t>thumbnail_image_15f88e6b8d</t>
  </si>
  <si>
    <t>62c6a33c9ddaa30019360e3e</t>
  </si>
  <si>
    <t>62c6a3569ddaa30019360e40</t>
  </si>
  <si>
    <t>/uploads/image_ff2cc43d6c.jpg</t>
  </si>
  <si>
    <t>thumbnail_image_ff2cc43d6c</t>
  </si>
  <si>
    <t>62c6a3569ddaa30019360e41</t>
  </si>
  <si>
    <t>62c6a39e9ddaa30019360e43</t>
  </si>
  <si>
    <t>/uploads/image_6f7b0aadf9.jpg</t>
  </si>
  <si>
    <t>thumbnail_image_6f7b0aadf9</t>
  </si>
  <si>
    <t>62c6a39e9ddaa30019360e44</t>
  </si>
  <si>
    <t>62c6a3f19ddaa30019360e46</t>
  </si>
  <si>
    <t>/uploads/image_a7b9c13c7a.jpg</t>
  </si>
  <si>
    <t>thumbnail_image_a7b9c13c7a</t>
  </si>
  <si>
    <t>62c6a3f19ddaa30019360e47</t>
  </si>
  <si>
    <t>62c6a4069ddaa30019360e48</t>
  </si>
  <si>
    <t>/uploads/image_3df3445253.jpg</t>
  </si>
  <si>
    <t>thumbnail_image_3df3445253</t>
  </si>
  <si>
    <t>62c6a4069ddaa30019360e49</t>
  </si>
  <si>
    <t>62c6a4229ddaa30019360e4b</t>
  </si>
  <si>
    <t>/uploads/image_c798b41768.jpg</t>
  </si>
  <si>
    <t>thumbnail_image_c798b41768</t>
  </si>
  <si>
    <t>62c6a4229ddaa30019360e4c</t>
  </si>
  <si>
    <t>62c6a4429ddaa30019360e4e</t>
  </si>
  <si>
    <t>/uploads/image_1a1bb19fb5.jpg</t>
  </si>
  <si>
    <t>thumbnail_image_1a1bb19fb5</t>
  </si>
  <si>
    <t>62c6a4429ddaa30019360e4f</t>
  </si>
  <si>
    <t>62c6a5419ddaa30019360e51</t>
  </si>
  <si>
    <t>/uploads/image_7c4bb6f3b3.jpg</t>
  </si>
  <si>
    <t>thumbnail_image_7c4bb6f3b3</t>
  </si>
  <si>
    <t>62c6a5419ddaa30019360e52</t>
  </si>
  <si>
    <t>62c6a5aa9ddaa30019360e54</t>
  </si>
  <si>
    <t>/uploads/image_ff265609cb.jpg</t>
  </si>
  <si>
    <t>thumbnail_image_ff265609cb</t>
  </si>
  <si>
    <t>62c6a5aa9ddaa30019360e55</t>
  </si>
  <si>
    <t>62c6a5e69ddaa30019360e57</t>
  </si>
  <si>
    <t>/uploads/image_8934a3cca1.jpg</t>
  </si>
  <si>
    <t>thumbnail_image_8934a3cca1</t>
  </si>
  <si>
    <t>62c6a5e69ddaa30019360e58</t>
  </si>
  <si>
    <t>62c6a6039ddaa30019360e59</t>
  </si>
  <si>
    <t>/uploads/image_bd9eaafd70.jpg</t>
  </si>
  <si>
    <t>thumbnail_image_bd9eaafd70</t>
  </si>
  <si>
    <t>62c6a6039ddaa30019360e5a</t>
  </si>
  <si>
    <t>62c6a60a9ddaa30019360e5b</t>
  </si>
  <si>
    <t>/uploads/image_ffeb6843d1.jpg</t>
  </si>
  <si>
    <t>thumbnail_image_ffeb6843d1</t>
  </si>
  <si>
    <t>62c6a60a9ddaa30019360e5c</t>
  </si>
  <si>
    <t>62c6a6239ddaa30019360e5e</t>
  </si>
  <si>
    <t>/uploads/image_fb9677975b.jpg</t>
  </si>
  <si>
    <t>thumbnail_image_fb9677975b</t>
  </si>
  <si>
    <t>62c6a6239ddaa30019360e5f</t>
  </si>
  <si>
    <t>62c6a6579ddaa30019360e61</t>
  </si>
  <si>
    <t>/uploads/image_a92013c5db.jpg</t>
  </si>
  <si>
    <t>thumbnail_image_a92013c5db</t>
  </si>
  <si>
    <t>62c6a6579ddaa30019360e62</t>
  </si>
  <si>
    <t>62c6a6829ddaa30019360e64</t>
  </si>
  <si>
    <t>/uploads/image_62f98829c3.jpg</t>
  </si>
  <si>
    <t>thumbnail_image_62f98829c3</t>
  </si>
  <si>
    <t>62c6a6829ddaa30019360e65</t>
  </si>
  <si>
    <t>62c6a6d89ddaa30019360e67</t>
  </si>
  <si>
    <t>/uploads/image_9d6d3d8d8f.jpg</t>
  </si>
  <si>
    <t>thumbnail_image_9d6d3d8d8f</t>
  </si>
  <si>
    <t>62c6a6d89ddaa30019360e68</t>
  </si>
  <si>
    <t>62c6a71e9ddaa30019360e6a</t>
  </si>
  <si>
    <t>/uploads/image_958dd92e26.jpg</t>
  </si>
  <si>
    <t>thumbnail_image_958dd92e26</t>
  </si>
  <si>
    <t>62c6a71e9ddaa30019360e6b</t>
  </si>
  <si>
    <t>62c6a73f9ddaa30019360e6d</t>
  </si>
  <si>
    <t>/uploads/image_d2d7b43eb8.jpg</t>
  </si>
  <si>
    <t>thumbnail_image_d2d7b43eb8</t>
  </si>
  <si>
    <t>62c6a73f9ddaa30019360e6e</t>
  </si>
  <si>
    <t>62c6a7eb9ddaa30019360e70</t>
  </si>
  <si>
    <t>/uploads/image_271571783b.jpg</t>
  </si>
  <si>
    <t>thumbnail_image_271571783b</t>
  </si>
  <si>
    <t>62c6a7eb9ddaa30019360e71</t>
  </si>
  <si>
    <t>62c6a8169ddaa30019360e73</t>
  </si>
  <si>
    <t>/uploads/image_5e86d9d485.jpg</t>
  </si>
  <si>
    <t>thumbnail_image_5e86d9d485</t>
  </si>
  <si>
    <t>62c6a8169ddaa30019360e74</t>
  </si>
  <si>
    <t>62c6a83c9ddaa30019360e76</t>
  </si>
  <si>
    <t>/uploads/image_ab07c86726.jpg</t>
  </si>
  <si>
    <t>thumbnail_image_ab07c86726</t>
  </si>
  <si>
    <t>62c6a83c9ddaa30019360e77</t>
  </si>
  <si>
    <t>62c6a86c9ddaa30019360e7a</t>
  </si>
  <si>
    <t>/uploads/image_b797a0bb2b.jpg</t>
  </si>
  <si>
    <t>thumbnail_image_b797a0bb2b</t>
  </si>
  <si>
    <t>62c6a86c9ddaa30019360e7b</t>
  </si>
  <si>
    <t>62c6a8859ddaa30019360e7d</t>
  </si>
  <si>
    <t>/uploads/image_1cc8cbc27d.jpg</t>
  </si>
  <si>
    <t>thumbnail_image_1cc8cbc27d</t>
  </si>
  <si>
    <t>62c6a8859ddaa30019360e7e</t>
  </si>
  <si>
    <t>62c6a8bf9ddaa30019360e80</t>
  </si>
  <si>
    <t>/uploads/image_d8db1c1d62.jpg</t>
  </si>
  <si>
    <t>thumbnail_image_d8db1c1d62</t>
  </si>
  <si>
    <t>62c6a8bf9ddaa30019360e81</t>
  </si>
  <si>
    <t>62c6a9239ddaa30019360e82</t>
  </si>
  <si>
    <t>/uploads/image_571fe541c5.jpg</t>
  </si>
  <si>
    <t>thumbnail_image_571fe541c5</t>
  </si>
  <si>
    <t>62c6a9239ddaa30019360e83</t>
  </si>
  <si>
    <t>62c6a9299ddaa30019360e84</t>
  </si>
  <si>
    <t>/uploads/image_feab86357d.jpg</t>
  </si>
  <si>
    <t>thumbnail_image_feab86357d</t>
  </si>
  <si>
    <t>62c6a9299ddaa30019360e85</t>
  </si>
  <si>
    <t>62c6a9459ddaa30019360e87</t>
  </si>
  <si>
    <t>/uploads/image_721b41d8fe.jpg</t>
  </si>
  <si>
    <t>thumbnail_image_721b41d8fe</t>
  </si>
  <si>
    <t>62c6a9459ddaa30019360e88</t>
  </si>
  <si>
    <t>62c6a96c9ddaa30019360e8a</t>
  </si>
  <si>
    <t>/uploads/image_febb69cebe.jpg</t>
  </si>
  <si>
    <t>thumbnail_image_febb69cebe</t>
  </si>
  <si>
    <t>62c6a96c9ddaa30019360e8b</t>
  </si>
  <si>
    <t>62c6a9a19ddaa30019360e8d</t>
  </si>
  <si>
    <t>/uploads/image_9ca439cb04.jpg</t>
  </si>
  <si>
    <t>thumbnail_image_9ca439cb04</t>
  </si>
  <si>
    <t>62c6a9a19ddaa30019360e8e</t>
  </si>
  <si>
    <t>62c6a9c49ddaa30019360e90</t>
  </si>
  <si>
    <t>/uploads/image_2403657e16.jpg</t>
  </si>
  <si>
    <t>thumbnail_image_2403657e16</t>
  </si>
  <si>
    <t>62c6a9c49ddaa30019360e91</t>
  </si>
  <si>
    <t>62c6aa089ddaa30019360e93</t>
  </si>
  <si>
    <t>/uploads/image_3d24a73b0f.jpg</t>
  </si>
  <si>
    <t>thumbnail_image_3d24a73b0f</t>
  </si>
  <si>
    <t>62c6aa089ddaa30019360e94</t>
  </si>
  <si>
    <t>62c6aa1c9ddaa30019360e97</t>
  </si>
  <si>
    <t>/uploads/image_f60993838d.jpg</t>
  </si>
  <si>
    <t>thumbnail_image_f60993838d</t>
  </si>
  <si>
    <t>62c6aa1c9ddaa30019360e98</t>
  </si>
  <si>
    <t>62c6aa879ddaa30019360e9a</t>
  </si>
  <si>
    <t>/uploads/image_8902f60074.jpg</t>
  </si>
  <si>
    <t>thumbnail_image_8902f60074</t>
  </si>
  <si>
    <t>62c6aa879ddaa30019360e9b</t>
  </si>
  <si>
    <t>62c6aaca9ddaa30019360e9d</t>
  </si>
  <si>
    <t>/uploads/image_7ba1588813.jpg</t>
  </si>
  <si>
    <t>thumbnail_image_7ba1588813</t>
  </si>
  <si>
    <t>62c6aaca9ddaa30019360e9e</t>
  </si>
  <si>
    <t>62c6ab649ddaa30019360ea0</t>
  </si>
  <si>
    <t>/uploads/image_6ab9814bf1.jpg</t>
  </si>
  <si>
    <t>thumbnail_image_6ab9814bf1</t>
  </si>
  <si>
    <t>62c6ab649ddaa30019360ea1</t>
  </si>
  <si>
    <t>62c6ab859ddaa30019360ea2</t>
  </si>
  <si>
    <t>/uploads/image_07c7d67207.jpg</t>
  </si>
  <si>
    <t>thumbnail_image_07c7d67207</t>
  </si>
  <si>
    <t>62c6ab859ddaa30019360ea3</t>
  </si>
  <si>
    <t>62c6ab8b9ddaa30019360ea4</t>
  </si>
  <si>
    <t>/uploads/image_3510adf37e.jpg</t>
  </si>
  <si>
    <t>thumbnail_image_3510adf37e</t>
  </si>
  <si>
    <t>62c6ab8b9ddaa30019360ea5</t>
  </si>
  <si>
    <t>62c6abed9ddaa30019360ea7</t>
  </si>
  <si>
    <t>/uploads/image_161c9560a8.jpg</t>
  </si>
  <si>
    <t>thumbnail_image_161c9560a8</t>
  </si>
  <si>
    <t>62c6abed9ddaa30019360ea8</t>
  </si>
  <si>
    <t>62c6ac0a9ddaa30019360ea9</t>
  </si>
  <si>
    <t>/uploads/image_b7a4e21f95.jpg</t>
  </si>
  <si>
    <t>thumbnail_image_b7a4e21f95</t>
  </si>
  <si>
    <t>62c6ac0a9ddaa30019360eaa</t>
  </si>
  <si>
    <t>62c6ac119ddaa30019360eab</t>
  </si>
  <si>
    <t>/uploads/image_3d05487a82.jpg</t>
  </si>
  <si>
    <t>thumbnail_image_3d05487a82</t>
  </si>
  <si>
    <t>62c6ac119ddaa30019360eac</t>
  </si>
  <si>
    <t>62c6ac269ddaa30019360eae</t>
  </si>
  <si>
    <t>/uploads/image_4946403270.jpg</t>
  </si>
  <si>
    <t>thumbnail_image_4946403270</t>
  </si>
  <si>
    <t>62c6ac269ddaa30019360eaf</t>
  </si>
  <si>
    <t>62c6ac3e9ddaa30019360eb1</t>
  </si>
  <si>
    <t>/uploads/image_282859575e.jpg</t>
  </si>
  <si>
    <t>thumbnail_image_282859575e</t>
  </si>
  <si>
    <t>62c6ac3e9ddaa30019360eb2</t>
  </si>
  <si>
    <t>62c6ac8a9ddaa30019360eb4</t>
  </si>
  <si>
    <t>/uploads/image_272d503115.jpg</t>
  </si>
  <si>
    <t>thumbnail_image_272d503115</t>
  </si>
  <si>
    <t>62c6ac8a9ddaa30019360eb5</t>
  </si>
  <si>
    <t>62c6acb69ddaa30019360eb7</t>
  </si>
  <si>
    <t>/uploads/image_c2da7f6997.jpg</t>
  </si>
  <si>
    <t>thumbnail_image_c2da7f6997</t>
  </si>
  <si>
    <t>62c6acb69ddaa30019360eb8</t>
  </si>
  <si>
    <t>62c6ace89ddaa30019360eba</t>
  </si>
  <si>
    <t>/uploads/image_d8168d7777.jpg</t>
  </si>
  <si>
    <t>thumbnail_image_d8168d7777</t>
  </si>
  <si>
    <t>62c6ace89ddaa30019360ebb</t>
  </si>
  <si>
    <t>62c6ad2a9ddaa30019360ebd</t>
  </si>
  <si>
    <t>/uploads/image_80d9e47ca1.jpg</t>
  </si>
  <si>
    <t>thumbnail_image_80d9e47ca1</t>
  </si>
  <si>
    <t>62c6ad2a9ddaa30019360ebe</t>
  </si>
  <si>
    <t>62c6ae149ddaa30019360ec0</t>
  </si>
  <si>
    <t>/uploads/image_e77a28acad.jpg</t>
  </si>
  <si>
    <t>thumbnail_image_e77a28acad</t>
  </si>
  <si>
    <t>62c6ae149ddaa30019360ec1</t>
  </si>
  <si>
    <t>62c6aecd9ddaa30019360ec5</t>
  </si>
  <si>
    <t>/uploads/image_c7f3471e37.jpg</t>
  </si>
  <si>
    <t>thumbnail_image_c7f3471e37</t>
  </si>
  <si>
    <t>62c6aecd9ddaa30019360ec6</t>
  </si>
  <si>
    <t>62c6aeda9ddaa30019360ec7</t>
  </si>
  <si>
    <t>/uploads/image_369eb1e297.jpg</t>
  </si>
  <si>
    <t>thumbnail_image_369eb1e297</t>
  </si>
  <si>
    <t>62c6aeda9ddaa30019360ec8</t>
  </si>
  <si>
    <t>62c6af249ddaa30019360eca</t>
  </si>
  <si>
    <t>/uploads/image_91b50a128c.jpg</t>
  </si>
  <si>
    <t>thumbnail_image_91b50a128c</t>
  </si>
  <si>
    <t>62c6af249ddaa30019360ecb</t>
  </si>
  <si>
    <t>62c6af4c9ddaa30019360ecd</t>
  </si>
  <si>
    <t>/uploads/image_38a8b8c164.jpg</t>
  </si>
  <si>
    <t>thumbnail_image_38a8b8c164</t>
  </si>
  <si>
    <t>62c6af4c9ddaa30019360ece</t>
  </si>
  <si>
    <t>62c6aff09ddaa30019360ed1</t>
  </si>
  <si>
    <t>/uploads/image_07be750e3e.jpg</t>
  </si>
  <si>
    <t>thumbnail_image_07be750e3e</t>
  </si>
  <si>
    <t>62c6aff09ddaa30019360ed2</t>
  </si>
  <si>
    <t>62c6b0429ddaa30019360ed4</t>
  </si>
  <si>
    <t>/uploads/image_239c11ba76.jpg</t>
  </si>
  <si>
    <t>thumbnail_image_239c11ba76</t>
  </si>
  <si>
    <t>62c6b0429ddaa30019360ed5</t>
  </si>
  <si>
    <t>62c6b14c9ddaa30019360edb</t>
  </si>
  <si>
    <t>/uploads/image_4cbe84eeb8.jpg</t>
  </si>
  <si>
    <t>thumbnail_image_4cbe84eeb8</t>
  </si>
  <si>
    <t>62c6b1749ddaa30019360edd</t>
  </si>
  <si>
    <t>/uploads/image_00ac83cd26.jpg</t>
  </si>
  <si>
    <t>thumbnail_image_00ac83cd26</t>
  </si>
  <si>
    <t>62c6b1749ddaa30019360ede</t>
  </si>
  <si>
    <t>62c6b1ba9ddaa30019360ee0</t>
  </si>
  <si>
    <t>/uploads/image_aa6e70afc8.jpg</t>
  </si>
  <si>
    <t>thumbnail_image_aa6e70afc8</t>
  </si>
  <si>
    <t>62c6b1ba9ddaa30019360ee1</t>
  </si>
  <si>
    <t>62c6b21e9ddaa30019360ee3</t>
  </si>
  <si>
    <t>/uploads/image_5e427b1b1a.jpg</t>
  </si>
  <si>
    <t>thumbnail_image_5e427b1b1a</t>
  </si>
  <si>
    <t>62c6b21e9ddaa30019360ee4</t>
  </si>
  <si>
    <t>62c6b2409ddaa30019360ee6</t>
  </si>
  <si>
    <t>/uploads/image_d1e661217b.jpg</t>
  </si>
  <si>
    <t>thumbnail_image_d1e661217b</t>
  </si>
  <si>
    <t>62c6b2409ddaa30019360ee7</t>
  </si>
  <si>
    <t>62c6b3679ddaa30019360eec</t>
  </si>
  <si>
    <t>/uploads/image_e722ed92a6.jpg</t>
  </si>
  <si>
    <t>thumbnail_image_e722ed92a6</t>
  </si>
  <si>
    <t>62c6b3679ddaa30019360eed</t>
  </si>
  <si>
    <t>62c6b39b9ddaa30019360eef</t>
  </si>
  <si>
    <t>/uploads/image_983db9fb13.jpg</t>
  </si>
  <si>
    <t>thumbnail_image_983db9fb13</t>
  </si>
  <si>
    <t>62c6b39b9ddaa30019360ef0</t>
  </si>
  <si>
    <t>62c6b3a39ddaa30019360ef1</t>
  </si>
  <si>
    <t>/uploads/image_2378c2b09a.jpg</t>
  </si>
  <si>
    <t>thumbnail_image_2378c2b09a</t>
  </si>
  <si>
    <t>62c6b3a39ddaa30019360ef2</t>
  </si>
  <si>
    <t>62c6b3b29ddaa30019360ef3</t>
  </si>
  <si>
    <t>/uploads/image_ed818728ae.jpg</t>
  </si>
  <si>
    <t>thumbnail_image_ed818728ae</t>
  </si>
  <si>
    <t>62c6b3b29ddaa30019360ef4</t>
  </si>
  <si>
    <t>62c6b3ea9ddaa30019360ef6</t>
  </si>
  <si>
    <t>/uploads/image_3c93fd1d48.jpg</t>
  </si>
  <si>
    <t>thumbnail_image_3c93fd1d48</t>
  </si>
  <si>
    <t>62c6b3ea9ddaa30019360ef7</t>
  </si>
  <si>
    <t>62c6b4ad9ddaa30019360ef9</t>
  </si>
  <si>
    <t>/uploads/image_b2f7c6baaa.jpg</t>
  </si>
  <si>
    <t>thumbnail_image_b2f7c6baaa</t>
  </si>
  <si>
    <t>62c6b4ad9ddaa30019360efa</t>
  </si>
  <si>
    <t>62c6b4f89ddaa30019360efc</t>
  </si>
  <si>
    <t>/uploads/image_894fc183a8.jpg</t>
  </si>
  <si>
    <t>thumbnail_image_894fc183a8</t>
  </si>
  <si>
    <t>62c6b4f89ddaa30019360efd</t>
  </si>
  <si>
    <t>62c6b50f9ddaa30019360eff</t>
  </si>
  <si>
    <t>/uploads/image_5558547324.jpg</t>
  </si>
  <si>
    <t>thumbnail_image_5558547324</t>
  </si>
  <si>
    <t>62c6b50f9ddaa30019360f00</t>
  </si>
  <si>
    <t>62c6b5d99ddaa30019360f02</t>
  </si>
  <si>
    <t>/uploads/image_10b45aa099.jpg</t>
  </si>
  <si>
    <t>thumbnail_image_10b45aa099</t>
  </si>
  <si>
    <t>62c6b5d99ddaa30019360f03</t>
  </si>
  <si>
    <t>62c6b6049ddaa30019360f05</t>
  </si>
  <si>
    <t>/uploads/image_1150ffa954.jpg</t>
  </si>
  <si>
    <t>thumbnail_image_1150ffa954</t>
  </si>
  <si>
    <t>62c6b6049ddaa30019360f06</t>
  </si>
  <si>
    <t>62cbd69e37a761001a52c548</t>
  </si>
  <si>
    <t>/uploads/image_f1881e7e92.jpg</t>
  </si>
  <si>
    <t>thumbnail_image_f1881e7e92</t>
  </si>
  <si>
    <t>62cbd69e37a761001a52c549</t>
  </si>
  <si>
    <t>62cbd70c37a761001a52c54b</t>
  </si>
  <si>
    <t>/uploads/image_5ca671f43b.jpg</t>
  </si>
  <si>
    <t>thumbnail_image_5ca671f43b</t>
  </si>
  <si>
    <t>62cbd70c37a761001a52c54c</t>
  </si>
  <si>
    <t>62cbd73e37a761001a52c54e</t>
  </si>
  <si>
    <t>/uploads/image_e77dab452e.jpg</t>
  </si>
  <si>
    <t>thumbnail_image_e77dab452e</t>
  </si>
  <si>
    <t>62cbd73e37a761001a52c54f</t>
  </si>
  <si>
    <t>62cbd91737a761001a52c551</t>
  </si>
  <si>
    <t>/uploads/image_9b0696a237.jpg</t>
  </si>
  <si>
    <t>thumbnail_image_9b0696a237</t>
  </si>
  <si>
    <t>62cbd91737a761001a52c552</t>
  </si>
  <si>
    <t>62cbd94637a761001a52c554</t>
  </si>
  <si>
    <t>/uploads/image_c439cc9d3a.jpg</t>
  </si>
  <si>
    <t>thumbnail_image_c439cc9d3a</t>
  </si>
  <si>
    <t>62cbd94637a761001a52c555</t>
  </si>
  <si>
    <t>62cbd99537a761001a52c557</t>
  </si>
  <si>
    <t>/uploads/image_5f5eba2ce2.jpg</t>
  </si>
  <si>
    <t>thumbnail_image_5f5eba2ce2</t>
  </si>
  <si>
    <t>62cbd99537a761001a52c558</t>
  </si>
  <si>
    <t>62cbd9fa37a761001a52c55a</t>
  </si>
  <si>
    <t>/uploads/image_0046d9d7fe.jpg</t>
  </si>
  <si>
    <t>thumbnail_image_0046d9d7fe</t>
  </si>
  <si>
    <t>62cbd9fa37a761001a52c55b</t>
  </si>
  <si>
    <t>62cbdae737a761001a52c55d</t>
  </si>
  <si>
    <t>/uploads/image_b02f65c31b.jpg</t>
  </si>
  <si>
    <t>thumbnail_image_b02f65c31b</t>
  </si>
  <si>
    <t>62cbdae737a761001a52c55e</t>
  </si>
  <si>
    <t>62cbdaeb37a761001a52c55f</t>
  </si>
  <si>
    <t>/uploads/image_b14d351e31.jpg</t>
  </si>
  <si>
    <t>thumbnail_image_b14d351e31</t>
  </si>
  <si>
    <t>62cbdaeb37a761001a52c560</t>
  </si>
  <si>
    <t>62cbdaf637a761001a52c561</t>
  </si>
  <si>
    <t>/uploads/image_cf2ab2f06b.jpg</t>
  </si>
  <si>
    <t>thumbnail_image_cf2ab2f06b</t>
  </si>
  <si>
    <t>62cbdaf637a761001a52c562</t>
  </si>
  <si>
    <t>62cbdb3037a761001a52c564</t>
  </si>
  <si>
    <t>/uploads/image_4296321fbd.jpg</t>
  </si>
  <si>
    <t>thumbnail_image_4296321fbd</t>
  </si>
  <si>
    <t>62cbdb3037a761001a52c565</t>
  </si>
  <si>
    <t>62cbdbf937a761001a52c567</t>
  </si>
  <si>
    <t>/uploads/image_753ff242d1.jpg</t>
  </si>
  <si>
    <t>thumbnail_image_753ff242d1</t>
  </si>
  <si>
    <t>62cbdbf937a761001a52c568</t>
  </si>
  <si>
    <t>62cbdbff37a761001a52c569</t>
  </si>
  <si>
    <t>/uploads/image_835d2e1578.jpg</t>
  </si>
  <si>
    <t>thumbnail_image_835d2e1578</t>
  </si>
  <si>
    <t>62cbdbff37a761001a52c56a</t>
  </si>
  <si>
    <t>62cbdc0437a761001a52c56b</t>
  </si>
  <si>
    <t>/uploads/image_4513292328.jpg</t>
  </si>
  <si>
    <t>thumbnail_image_4513292328</t>
  </si>
  <si>
    <t>62cbdc0437a761001a52c56c</t>
  </si>
  <si>
    <t>62cbdc4b37a761001a52c56e</t>
  </si>
  <si>
    <t>/uploads/image_bced0466a6.jpg</t>
  </si>
  <si>
    <t>thumbnail_image_bced0466a6</t>
  </si>
  <si>
    <t>62cbdc4b37a761001a52c56f</t>
  </si>
  <si>
    <t>62cbdc9437a761001a52c571</t>
  </si>
  <si>
    <t>/uploads/image_57568a03ba.jpg</t>
  </si>
  <si>
    <t>thumbnail_image_57568a03ba</t>
  </si>
  <si>
    <t>62cbdc9437a761001a52c572</t>
  </si>
  <si>
    <t>62cbdcc337a761001a52c574</t>
  </si>
  <si>
    <t>/uploads/image_9c8c30357c.jpg</t>
  </si>
  <si>
    <t>thumbnail_image_9c8c30357c</t>
  </si>
  <si>
    <t>62cbdcc337a761001a52c575</t>
  </si>
  <si>
    <t>62cbdd2937a761001a52c577</t>
  </si>
  <si>
    <t>/uploads/image_ae54dd822c.jpg</t>
  </si>
  <si>
    <t>thumbnail_image_ae54dd822c</t>
  </si>
  <si>
    <t>62cbdd2937a761001a52c578</t>
  </si>
  <si>
    <t>62cbdd4f37a761001a52c579</t>
  </si>
  <si>
    <t>/uploads/image_024fc9efe1.jpg</t>
  </si>
  <si>
    <t>thumbnail_image_024fc9efe1</t>
  </si>
  <si>
    <t>62cbdd4f37a761001a52c57a</t>
  </si>
  <si>
    <t>62cbdd5737a761001a52c57b</t>
  </si>
  <si>
    <t>/uploads/image_0821b6979f.jpg</t>
  </si>
  <si>
    <t>thumbnail_image_0821b6979f</t>
  </si>
  <si>
    <t>62cbdd5737a761001a52c57c</t>
  </si>
  <si>
    <t>62cbdddd37a761001a52c57e</t>
  </si>
  <si>
    <t>/uploads/image_6e8fc72a9b.jpg</t>
  </si>
  <si>
    <t>thumbnail_image_6e8fc72a9b</t>
  </si>
  <si>
    <t>62cbdddd37a761001a52c57f</t>
  </si>
  <si>
    <t>62cbde0537a761001a52c581</t>
  </si>
  <si>
    <t>/uploads/image_ec9cc6fab4.jpg</t>
  </si>
  <si>
    <t>thumbnail_image_ec9cc6fab4</t>
  </si>
  <si>
    <t>62cbde0537a761001a52c582</t>
  </si>
  <si>
    <t>62cbdf7537a761001a52c585</t>
  </si>
  <si>
    <t>/uploads/image_e7ae573fa5.jpg</t>
  </si>
  <si>
    <t>thumbnail_image_e7ae573fa5</t>
  </si>
  <si>
    <t>62cbdf7537a761001a52c586</t>
  </si>
  <si>
    <t>62cbdfc537a761001a52c588</t>
  </si>
  <si>
    <t>/uploads/image_bd6c726a9f.jpg</t>
  </si>
  <si>
    <t>thumbnail_image_bd6c726a9f</t>
  </si>
  <si>
    <t>62cbdfc537a761001a52c589</t>
  </si>
  <si>
    <t>62cbdfde37a761001a52c58b</t>
  </si>
  <si>
    <t>/uploads/image_5091d18f89.jpg</t>
  </si>
  <si>
    <t>thumbnail_image_5091d18f89</t>
  </si>
  <si>
    <t>62cbdfde37a761001a52c58c</t>
  </si>
  <si>
    <t>62cbe04437a761001a52c58e</t>
  </si>
  <si>
    <t>/uploads/image_8b2bad4219.jpg</t>
  </si>
  <si>
    <t>thumbnail_image_8b2bad4219</t>
  </si>
  <si>
    <t>62cbe04437a761001a52c58f</t>
  </si>
  <si>
    <t>62cbe07337a761001a52c591</t>
  </si>
  <si>
    <t>/uploads/image_c24e86929c.jpg</t>
  </si>
  <si>
    <t>thumbnail_image_c24e86929c</t>
  </si>
  <si>
    <t>62cbe07337a761001a52c592</t>
  </si>
  <si>
    <t>62cbe09337a761001a52c594</t>
  </si>
  <si>
    <t>/uploads/image_cef39f89e3.jpg</t>
  </si>
  <si>
    <t>thumbnail_image_cef39f89e3</t>
  </si>
  <si>
    <t>62cbe09337a761001a52c595</t>
  </si>
  <si>
    <t>62cbe0a537a761001a52c597</t>
  </si>
  <si>
    <t>/uploads/image_cb76b51b5a.jpg</t>
  </si>
  <si>
    <t>thumbnail_image_cb76b51b5a</t>
  </si>
  <si>
    <t>62cbe0a537a761001a52c598</t>
  </si>
  <si>
    <t>62cbe3f237a761001a52c59b</t>
  </si>
  <si>
    <t>/uploads/image_5078131aaf.jpg</t>
  </si>
  <si>
    <t>thumbnail_image_5078131aaf</t>
  </si>
  <si>
    <t>62cbe3f237a761001a52c59c</t>
  </si>
  <si>
    <t>62cbe42437a761001a52c59e</t>
  </si>
  <si>
    <t>/uploads/image_ad866e7626.jpg</t>
  </si>
  <si>
    <t>thumbnail_image_ad866e7626</t>
  </si>
  <si>
    <t>62cbe42437a761001a52c59f</t>
  </si>
  <si>
    <t>62cbe47237a761001a52c5a1</t>
  </si>
  <si>
    <t>/uploads/image_eb9643d26e.jpg</t>
  </si>
  <si>
    <t>thumbnail_image_eb9643d26e</t>
  </si>
  <si>
    <t>62cbe47237a761001a52c5a2</t>
  </si>
  <si>
    <t>62cbe50d37a761001a52c5a4</t>
  </si>
  <si>
    <t>/uploads/image_18cc1e94f7.jpg</t>
  </si>
  <si>
    <t>thumbnail_image_18cc1e94f7</t>
  </si>
  <si>
    <t>62cbe50d37a761001a52c5a5</t>
  </si>
  <si>
    <t>62cbe5be37a761001a52c5a7</t>
  </si>
  <si>
    <t>/uploads/image_dd7990f93e.jpg</t>
  </si>
  <si>
    <t>thumbnail_image_dd7990f93e</t>
  </si>
  <si>
    <t>62cbe5be37a761001a52c5a8</t>
  </si>
  <si>
    <t>62cbe6a837a761001a52c5aa</t>
  </si>
  <si>
    <t>/uploads/image_8ae8a56067.jpg</t>
  </si>
  <si>
    <t>thumbnail_image_8ae8a56067</t>
  </si>
  <si>
    <t>62cbe6a837a761001a52c5ab</t>
  </si>
  <si>
    <t>62cbe6fb37a761001a52c5ad</t>
  </si>
  <si>
    <t>/uploads/image_1b9c5d8082.jpg</t>
  </si>
  <si>
    <t>thumbnail_image_1b9c5d8082</t>
  </si>
  <si>
    <t>62cbe6fb37a761001a52c5ae</t>
  </si>
  <si>
    <t>62cbe79837a761001a52c5b0</t>
  </si>
  <si>
    <t>/uploads/image_967e089da9.jpg</t>
  </si>
  <si>
    <t>thumbnail_image_967e089da9</t>
  </si>
  <si>
    <t>62cbe79837a761001a52c5b1</t>
  </si>
  <si>
    <t>62cbe8b637a761001a52c5b3</t>
  </si>
  <si>
    <t>/uploads/image_eafbd616fa.jpg</t>
  </si>
  <si>
    <t>thumbnail_image_eafbd616fa</t>
  </si>
  <si>
    <t>62cbe8b637a761001a52c5b4</t>
  </si>
  <si>
    <t>62cbea4937a761001a52c5b6</t>
  </si>
  <si>
    <t>/uploads/image_dd7ea34263.jpg</t>
  </si>
  <si>
    <t>thumbnail_image_dd7ea34263</t>
  </si>
  <si>
    <t>62cbea4937a761001a52c5b7</t>
  </si>
  <si>
    <t>62cbeaa837a761001a52c5b9</t>
  </si>
  <si>
    <t>/uploads/image_a1e777f3b0.jpg</t>
  </si>
  <si>
    <t>thumbnail_image_a1e777f3b0</t>
  </si>
  <si>
    <t>62cbeaa837a761001a52c5ba</t>
  </si>
  <si>
    <t>62cbeb0837a761001a52c5bc</t>
  </si>
  <si>
    <t>/uploads/image_1c23c98843.jpg</t>
  </si>
  <si>
    <t>thumbnail_image_1c23c98843</t>
  </si>
  <si>
    <t>62cbeb0837a761001a52c5bd</t>
  </si>
  <si>
    <t>62cbebd137a761001a52c5bf</t>
  </si>
  <si>
    <t>/uploads/image_b7e0fcd34f.jpg</t>
  </si>
  <si>
    <t>thumbnail_image_b7e0fcd34f</t>
  </si>
  <si>
    <t>62cbebd137a761001a52c5c0</t>
  </si>
  <si>
    <t>62cbec0d37a761001a52c5c2</t>
  </si>
  <si>
    <t>/uploads/image_e1108e3256.jpg</t>
  </si>
  <si>
    <t>thumbnail_image_e1108e3256</t>
  </si>
  <si>
    <t>62cbec0d37a761001a52c5c3</t>
  </si>
  <si>
    <t>62cbecc437a761001a52c5c5</t>
  </si>
  <si>
    <t>/uploads/image_c64e5e7909.jpg</t>
  </si>
  <si>
    <t>thumbnail_image_c64e5e7909</t>
  </si>
  <si>
    <t>62cbecc437a761001a52c5c6</t>
  </si>
  <si>
    <t>62cbeced37a761001a52c5c8</t>
  </si>
  <si>
    <t>/uploads/image_96ba30c85d.jpg</t>
  </si>
  <si>
    <t>thumbnail_image_96ba30c85d</t>
  </si>
  <si>
    <t>62cbeced37a761001a52c5c9</t>
  </si>
  <si>
    <t>62cbed0537a761001a52c5cb</t>
  </si>
  <si>
    <t>/uploads/image_bcbf709d88.jpg</t>
  </si>
  <si>
    <t>thumbnail_image_bcbf709d88</t>
  </si>
  <si>
    <t>62cbed0537a761001a52c5cc</t>
  </si>
  <si>
    <t>62cbed2437a761001a52c5ce</t>
  </si>
  <si>
    <t>/uploads/image_7c6c0ddf3a.jpg</t>
  </si>
  <si>
    <t>thumbnail_image_7c6c0ddf3a</t>
  </si>
  <si>
    <t>62cbed2437a761001a52c5cf</t>
  </si>
  <si>
    <t>62cbed7f37a761001a52c5d2</t>
  </si>
  <si>
    <t>/uploads/image_d606293a41.jpg</t>
  </si>
  <si>
    <t>thumbnail_image_d606293a41</t>
  </si>
  <si>
    <t>62cbed7f37a761001a52c5d3</t>
  </si>
  <si>
    <t>62cbedc837a761001a52c5d5</t>
  </si>
  <si>
    <t>/uploads/image_2db820d888.jpg</t>
  </si>
  <si>
    <t>thumbnail_image_2db820d888</t>
  </si>
  <si>
    <t>62cbedc837a761001a52c5d6</t>
  </si>
  <si>
    <t>62cbede437a761001a52c5d8</t>
  </si>
  <si>
    <t>/uploads/image_6805e1f7c3.jpg</t>
  </si>
  <si>
    <t>thumbnail_image_6805e1f7c3</t>
  </si>
  <si>
    <t>62cbede437a761001a52c5d9</t>
  </si>
  <si>
    <t>62cbee1137a761001a52c5db</t>
  </si>
  <si>
    <t>/uploads/image_552d55933e.jpg</t>
  </si>
  <si>
    <t>thumbnail_image_552d55933e</t>
  </si>
  <si>
    <t>62cbee1137a761001a52c5dc</t>
  </si>
  <si>
    <t>62cbee2037a761001a52c5de</t>
  </si>
  <si>
    <t>/uploads/image_4cc4432a33.jpg</t>
  </si>
  <si>
    <t>thumbnail_image_4cc4432a33</t>
  </si>
  <si>
    <t>62cbee2037a761001a52c5df</t>
  </si>
  <si>
    <t>62cbee3a37a761001a52c5e1</t>
  </si>
  <si>
    <t>/uploads/image_300e484c67.jpg</t>
  </si>
  <si>
    <t>thumbnail_image_300e484c67</t>
  </si>
  <si>
    <t>62cbee3a37a761001a52c5e2</t>
  </si>
  <si>
    <t>62cbee5137a761001a52c5e4</t>
  </si>
  <si>
    <t>/uploads/image_da0a625696.jpg</t>
  </si>
  <si>
    <t>thumbnail_image_da0a625696</t>
  </si>
  <si>
    <t>62cbee5137a761001a52c5e5</t>
  </si>
  <si>
    <t>62cbeec837a761001a52c5e7</t>
  </si>
  <si>
    <t>/uploads/image_5f7953f0a4.jpg</t>
  </si>
  <si>
    <t>thumbnail_image_5f7953f0a4</t>
  </si>
  <si>
    <t>62cbeec837a761001a52c5e8</t>
  </si>
  <si>
    <t>62cbef2037a761001a52c5ea</t>
  </si>
  <si>
    <t>/uploads/image_0c1a64ccbb.jpg</t>
  </si>
  <si>
    <t>thumbnail_image_0c1a64ccbb</t>
  </si>
  <si>
    <t>62cbef2037a761001a52c5eb</t>
  </si>
  <si>
    <t>62cbefc237a761001a52c5ed</t>
  </si>
  <si>
    <t>/uploads/image_c5b7473f92.jpg</t>
  </si>
  <si>
    <t>thumbnail_image_c5b7473f92</t>
  </si>
  <si>
    <t>62cbefc237a761001a52c5ee</t>
  </si>
  <si>
    <t>62cbeff037a761001a52c5f0</t>
  </si>
  <si>
    <t>/uploads/image_5bd7ff22ab.jpg</t>
  </si>
  <si>
    <t>thumbnail_image_5bd7ff22ab</t>
  </si>
  <si>
    <t>62cbeff037a761001a52c5f1</t>
  </si>
  <si>
    <t>62cbf09537a761001a52c5f3</t>
  </si>
  <si>
    <t>/uploads/image_ecf0ce945b.jpg</t>
  </si>
  <si>
    <t>thumbnail_image_ecf0ce945b</t>
  </si>
  <si>
    <t>62cbf09537a761001a52c5f4</t>
  </si>
  <si>
    <t>62cbf12137a761001a52c5f6</t>
  </si>
  <si>
    <t>/uploads/image_b879d427fe.jpg</t>
  </si>
  <si>
    <t>thumbnail_image_b879d427fe</t>
  </si>
  <si>
    <t>62cbf12137a761001a52c5f7</t>
  </si>
  <si>
    <t>62cbf2f937a761001a52c5f9</t>
  </si>
  <si>
    <t>/uploads/image_690bbaae1c.jpg</t>
  </si>
  <si>
    <t>thumbnail_image_690bbaae1c</t>
  </si>
  <si>
    <t>62cbf2f937a761001a52c5fa</t>
  </si>
  <si>
    <t>62cbf37a37a761001a52c5fc</t>
  </si>
  <si>
    <t>/uploads/image_8683d00517.jpg</t>
  </si>
  <si>
    <t>thumbnail_image_8683d00517</t>
  </si>
  <si>
    <t>62cbf37a37a761001a52c5fd</t>
  </si>
  <si>
    <t>62cbf44337a761001a52c5ff</t>
  </si>
  <si>
    <t>/uploads/image_5ee2f21502.jpg</t>
  </si>
  <si>
    <t>thumbnail_image_5ee2f21502</t>
  </si>
  <si>
    <t>62cbf44337a761001a52c600</t>
  </si>
  <si>
    <t>62cbf44b37a761001a52c601</t>
  </si>
  <si>
    <t>/uploads/image_c277f1fbdf.jpg</t>
  </si>
  <si>
    <t>thumbnail_image_c277f1fbdf</t>
  </si>
  <si>
    <t>62cbf44b37a761001a52c602</t>
  </si>
  <si>
    <t>62cbf45237a761001a52c603</t>
  </si>
  <si>
    <t>/uploads/image_1c84883525.jpg</t>
  </si>
  <si>
    <t>thumbnail_image_1c84883525</t>
  </si>
  <si>
    <t>62cbf45237a761001a52c604</t>
  </si>
  <si>
    <t>62cbf4a137a761001a52c606</t>
  </si>
  <si>
    <t>/uploads/image_2e56f866bd.jpg</t>
  </si>
  <si>
    <t>thumbnail_image_2e56f866bd</t>
  </si>
  <si>
    <t>62cbf4a137a761001a52c607</t>
  </si>
  <si>
    <t>62cbf50c37a761001a52c609</t>
  </si>
  <si>
    <t>/uploads/image_aa04b1e8ed.jpg</t>
  </si>
  <si>
    <t>thumbnail_image_aa04b1e8ed</t>
  </si>
  <si>
    <t>62cbf50c37a761001a52c60a</t>
  </si>
  <si>
    <t>62cbf56037a761001a52c60c</t>
  </si>
  <si>
    <t>/uploads/image_b8d9dfccf9.jpg</t>
  </si>
  <si>
    <t>thumbnail_image_b8d9dfccf9</t>
  </si>
  <si>
    <t>62cbf56037a761001a52c60d</t>
  </si>
  <si>
    <t>62cbf5b637a761001a52c60f</t>
  </si>
  <si>
    <t>/uploads/image_7ded56bf66.jpg</t>
  </si>
  <si>
    <t>thumbnail_image_7ded56bf66</t>
  </si>
  <si>
    <t>62cbf5b637a761001a52c610</t>
  </si>
  <si>
    <t>62cbf5b837a761001a52c611</t>
  </si>
  <si>
    <t>/uploads/image_2842c84097.jpg</t>
  </si>
  <si>
    <t>thumbnail_image_2842c84097</t>
  </si>
  <si>
    <t>62cbf5b837a761001a52c612</t>
  </si>
  <si>
    <t>62cbf65637a761001a52c614</t>
  </si>
  <si>
    <t>/uploads/image_f73d1879f2.jpg</t>
  </si>
  <si>
    <t>thumbnail_image_f73d1879f2</t>
  </si>
  <si>
    <t>62cbf65637a761001a52c615</t>
  </si>
  <si>
    <t>62cbf6da37a761001a52c617</t>
  </si>
  <si>
    <t>/uploads/image_9eca94974b.jpg</t>
  </si>
  <si>
    <t>thumbnail_image_9eca94974b</t>
  </si>
  <si>
    <t>62cbf6da37a761001a52c618</t>
  </si>
  <si>
    <t>62cbf75c37a761001a52c61a</t>
  </si>
  <si>
    <t>/uploads/image_764d93a35b.jpg</t>
  </si>
  <si>
    <t>thumbnail_image_764d93a35b</t>
  </si>
  <si>
    <t>62cbf75c37a761001a52c61b</t>
  </si>
  <si>
    <t>62cbf7bf37a761001a52c61d</t>
  </si>
  <si>
    <t>/uploads/image_b5f2ce2c26.jpg</t>
  </si>
  <si>
    <t>thumbnail_image_b5f2ce2c26</t>
  </si>
  <si>
    <t>62cbf7bf37a761001a52c61e</t>
  </si>
  <si>
    <t>62cbf80337a761001a52c620</t>
  </si>
  <si>
    <t>/uploads/image_83712987bf.jpg</t>
  </si>
  <si>
    <t>thumbnail_image_83712987bf</t>
  </si>
  <si>
    <t>62cbf80337a761001a52c621</t>
  </si>
  <si>
    <t>62cbf80437a761001a52c622</t>
  </si>
  <si>
    <t>/uploads/image_6fa3e9555b.jpg</t>
  </si>
  <si>
    <t>thumbnail_image_6fa3e9555b</t>
  </si>
  <si>
    <t>62cbf80437a761001a52c623</t>
  </si>
  <si>
    <t>62cbf82b37a761001a52c625</t>
  </si>
  <si>
    <t>/uploads/image_50d35549e4.jpg</t>
  </si>
  <si>
    <t>thumbnail_image_50d35549e4</t>
  </si>
  <si>
    <t>62cbf82b37a761001a52c626</t>
  </si>
  <si>
    <t>62cbf84c37a761001a52c628</t>
  </si>
  <si>
    <t>/uploads/image_a562e54252.jpg</t>
  </si>
  <si>
    <t>thumbnail_image_a562e54252</t>
  </si>
  <si>
    <t>62cbf84c37a761001a52c629</t>
  </si>
  <si>
    <t>62cbf8a137a761001a52c62b</t>
  </si>
  <si>
    <t>/uploads/image_49e4977de8.jpg</t>
  </si>
  <si>
    <t>thumbnail_image_49e4977de8</t>
  </si>
  <si>
    <t>62cbf8a137a761001a52c62c</t>
  </si>
  <si>
    <t>62cbf8f237a761001a52c62e</t>
  </si>
  <si>
    <t>/uploads/image_53e8fc0e98.jpg</t>
  </si>
  <si>
    <t>thumbnail_image_53e8fc0e98</t>
  </si>
  <si>
    <t>62cbf8f237a761001a52c62f</t>
  </si>
  <si>
    <t>62cbf94137a761001a52c631</t>
  </si>
  <si>
    <t>/uploads/image_e9cea09bb7.jpg</t>
  </si>
  <si>
    <t>thumbnail_image_e9cea09bb7</t>
  </si>
  <si>
    <t>62cbf94137a761001a52c632</t>
  </si>
  <si>
    <t>62cbf99737a761001a52c634</t>
  </si>
  <si>
    <t>/uploads/image_2594ca2b29.jpg</t>
  </si>
  <si>
    <t>thumbnail_image_2594ca2b29</t>
  </si>
  <si>
    <t>62cbf99737a761001a52c635</t>
  </si>
  <si>
    <t>62cbf9db37a761001a52c637</t>
  </si>
  <si>
    <t>/uploads/image_e90a038388.jpg</t>
  </si>
  <si>
    <t>thumbnail_image_e90a038388</t>
  </si>
  <si>
    <t>62cbf9db37a761001a52c638</t>
  </si>
  <si>
    <t>62cbf9f237a761001a52c63a</t>
  </si>
  <si>
    <t>/uploads/image_bfd8492c0e.jpg</t>
  </si>
  <si>
    <t>thumbnail_image_bfd8492c0e</t>
  </si>
  <si>
    <t>62cbf9f237a761001a52c63b</t>
  </si>
  <si>
    <t>62cbfa1a37a761001a52c63d</t>
  </si>
  <si>
    <t>/uploads/image_6041a76518.jpg</t>
  </si>
  <si>
    <t>thumbnail_image_6041a76518</t>
  </si>
  <si>
    <t>62cbfa1a37a761001a52c63e</t>
  </si>
  <si>
    <t>62ce71cd37a761001a52c640</t>
  </si>
  <si>
    <t>/uploads/image_995278cffd.jpg</t>
  </si>
  <si>
    <t>thumbnail_image_995278cffd</t>
  </si>
  <si>
    <t>62ce71cd37a761001a52c641</t>
  </si>
  <si>
    <t>62ce722837a761001a52c643</t>
  </si>
  <si>
    <t>/uploads/image_a0f9f7a92e.jpg</t>
  </si>
  <si>
    <t>thumbnail_image_a0f9f7a92e</t>
  </si>
  <si>
    <t>62ce722837a761001a52c644</t>
  </si>
  <si>
    <t>62ce72d737a761001a52c646</t>
  </si>
  <si>
    <t>/uploads/image_2d224ecedc.jpg</t>
  </si>
  <si>
    <t>thumbnail_image_2d224ecedc</t>
  </si>
  <si>
    <t>62ce72d737a761001a52c647</t>
  </si>
  <si>
    <t>62ce72f037a761001a52c649</t>
  </si>
  <si>
    <t>/uploads/image_afd7380c4c.jpg</t>
  </si>
  <si>
    <t>thumbnail_image_afd7380c4c</t>
  </si>
  <si>
    <t>62ce72f037a761001a52c64a</t>
  </si>
  <si>
    <t>62ce730637a761001a52c64c</t>
  </si>
  <si>
    <t>/uploads/image_85632f4ff6.jpg</t>
  </si>
  <si>
    <t>thumbnail_image_85632f4ff6</t>
  </si>
  <si>
    <t>62ce730637a761001a52c64d</t>
  </si>
  <si>
    <t>62ce735837a761001a52c64f</t>
  </si>
  <si>
    <t>/uploads/image_fee73f44fc.jpg</t>
  </si>
  <si>
    <t>thumbnail_image_fee73f44fc</t>
  </si>
  <si>
    <t>62ce735837a761001a52c650</t>
  </si>
  <si>
    <t>62ce746437a761001a52c652</t>
  </si>
  <si>
    <t>/uploads/image_734ff1bd79.jpg</t>
  </si>
  <si>
    <t>thumbnail_image_734ff1bd79</t>
  </si>
  <si>
    <t>62ce746437a761001a52c653</t>
  </si>
  <si>
    <t>62ce751f37a761001a52c655</t>
  </si>
  <si>
    <t>/uploads/image_55e0a36830.jpg</t>
  </si>
  <si>
    <t>thumbnail_image_55e0a36830</t>
  </si>
  <si>
    <t>62ce751f37a761001a52c656</t>
  </si>
  <si>
    <t>62ce759437a761001a52c658</t>
  </si>
  <si>
    <t>/uploads/image_834d90c07b.jpg</t>
  </si>
  <si>
    <t>thumbnail_image_834d90c07b</t>
  </si>
  <si>
    <t>62ce759437a761001a52c659</t>
  </si>
  <si>
    <t>62ce75fb37a761001a52c65b</t>
  </si>
  <si>
    <t>/uploads/image_76bd7561df.jpg</t>
  </si>
  <si>
    <t>thumbnail_image_76bd7561df</t>
  </si>
  <si>
    <t>62ce75fb37a761001a52c65c</t>
  </si>
  <si>
    <t>62ce768037a761001a52c65e</t>
  </si>
  <si>
    <t>/uploads/image_c98feed872.jpg</t>
  </si>
  <si>
    <t>thumbnail_image_c98feed872</t>
  </si>
  <si>
    <t>62ce768037a761001a52c65f</t>
  </si>
  <si>
    <t>62ce76f537a761001a52c661</t>
  </si>
  <si>
    <t>/uploads/image_b3e7bb27a7.jpg</t>
  </si>
  <si>
    <t>thumbnail_image_b3e7bb27a7</t>
  </si>
  <si>
    <t>62ce76f537a761001a52c662</t>
  </si>
  <si>
    <t>62ce772c37a761001a52c664</t>
  </si>
  <si>
    <t>/uploads/image_3b5f11a044.jpg</t>
  </si>
  <si>
    <t>thumbnail_image_3b5f11a044</t>
  </si>
  <si>
    <t>62ce772c37a761001a52c665</t>
  </si>
  <si>
    <t>62ce777637a761001a52c667</t>
  </si>
  <si>
    <t>/uploads/image_6f22069a00.jpg</t>
  </si>
  <si>
    <t>thumbnail_image_6f22069a00</t>
  </si>
  <si>
    <t>62ce777637a761001a52c668</t>
  </si>
  <si>
    <t>62ce779837a761001a52c66a</t>
  </si>
  <si>
    <t>/uploads/image_8e7b027c22.jpg</t>
  </si>
  <si>
    <t>thumbnail_image_8e7b027c22</t>
  </si>
  <si>
    <t>62ce779837a761001a52c66b</t>
  </si>
  <si>
    <t>62ce789137a761001a52c66d</t>
  </si>
  <si>
    <t>/uploads/image_caae17a719.jpg</t>
  </si>
  <si>
    <t>thumbnail_image_caae17a719</t>
  </si>
  <si>
    <t>62ce789137a761001a52c66e</t>
  </si>
  <si>
    <t>62ce797437a761001a52c670</t>
  </si>
  <si>
    <t>/uploads/image_658d70a275.jpg</t>
  </si>
  <si>
    <t>thumbnail_image_658d70a275</t>
  </si>
  <si>
    <t>62ce797437a761001a52c671</t>
  </si>
  <si>
    <t>62ce797637a761001a52c672</t>
  </si>
  <si>
    <t>/uploads/image_9e3600b87f.jpg</t>
  </si>
  <si>
    <t>thumbnail_image_9e3600b87f</t>
  </si>
  <si>
    <t>62ce797637a761001a52c673</t>
  </si>
  <si>
    <t>62ce797f37a761001a52c674</t>
  </si>
  <si>
    <t>/uploads/image_98684b06f1.jpg</t>
  </si>
  <si>
    <t>thumbnail_image_98684b06f1</t>
  </si>
  <si>
    <t>62ce797f37a761001a52c675</t>
  </si>
  <si>
    <t>62ce79b237a761001a52c677</t>
  </si>
  <si>
    <t>/uploads/image_956b0f3ece.jpg</t>
  </si>
  <si>
    <t>thumbnail_image_956b0f3ece</t>
  </si>
  <si>
    <t>62ce79b237a761001a52c678</t>
  </si>
  <si>
    <t>62ce79ef37a761001a52c67a</t>
  </si>
  <si>
    <t>/uploads/image_fc7a8af438.jpg</t>
  </si>
  <si>
    <t>thumbnail_image_fc7a8af438</t>
  </si>
  <si>
    <t>62ce79ef37a761001a52c67b</t>
  </si>
  <si>
    <t>62ce79fd37a761001a52c67d</t>
  </si>
  <si>
    <t>/uploads/image_2d584922c1.jpg</t>
  </si>
  <si>
    <t>thumbnail_image_2d584922c1</t>
  </si>
  <si>
    <t>62ce79fd37a761001a52c67e</t>
  </si>
  <si>
    <t>62ce7a2537a761001a52c680</t>
  </si>
  <si>
    <t>/uploads/image_5978296977.jpg</t>
  </si>
  <si>
    <t>thumbnail_image_5978296977</t>
  </si>
  <si>
    <t>62ce7a2537a761001a52c681</t>
  </si>
  <si>
    <t>62ce7ac637a761001a52c683</t>
  </si>
  <si>
    <t>/uploads/image_c4a8f7b56d.jpg</t>
  </si>
  <si>
    <t>thumbnail_image_c4a8f7b56d</t>
  </si>
  <si>
    <t>62ce7ac637a761001a52c684</t>
  </si>
  <si>
    <t>62ce7b4437a761001a52c686</t>
  </si>
  <si>
    <t>/uploads/image_9e41785778.jpg</t>
  </si>
  <si>
    <t>thumbnail_image_9e41785778</t>
  </si>
  <si>
    <t>62ce7b4437a761001a52c687</t>
  </si>
  <si>
    <t>62ce7b6537a761001a52c689</t>
  </si>
  <si>
    <t>/uploads/image_e6ad64810d.jpg</t>
  </si>
  <si>
    <t>thumbnail_image_e6ad64810d</t>
  </si>
  <si>
    <t>62ce7b6537a761001a52c68a</t>
  </si>
  <si>
    <t>62ce7ba237a761001a52c68c</t>
  </si>
  <si>
    <t>/uploads/image_10fe386e9a.jpg</t>
  </si>
  <si>
    <t>thumbnail_image_10fe386e9a</t>
  </si>
  <si>
    <t>62ce7ba237a761001a52c68d</t>
  </si>
  <si>
    <t>62ce7be637a761001a52c68f</t>
  </si>
  <si>
    <t>/uploads/image_6ee71d4303.jpg</t>
  </si>
  <si>
    <t>thumbnail_image_6ee71d4303</t>
  </si>
  <si>
    <t>62ce7be637a761001a52c690</t>
  </si>
  <si>
    <t>62ce7c3037a761001a52c692</t>
  </si>
  <si>
    <t>/uploads/image_19a321580c.jpg</t>
  </si>
  <si>
    <t>thumbnail_image_19a321580c</t>
  </si>
  <si>
    <t>62ce7c3037a761001a52c693</t>
  </si>
  <si>
    <t>62ce7c5237a761001a52c695</t>
  </si>
  <si>
    <t>/uploads/image_9d91473e26.jpg</t>
  </si>
  <si>
    <t>thumbnail_image_9d91473e26</t>
  </si>
  <si>
    <t>62ce7c5237a761001a52c696</t>
  </si>
  <si>
    <t>62ce7c6237a761001a52c698</t>
  </si>
  <si>
    <t>/uploads/image_636a3f92e8.jpg</t>
  </si>
  <si>
    <t>thumbnail_image_636a3f92e8</t>
  </si>
  <si>
    <t>62ce7c6237a761001a52c699</t>
  </si>
  <si>
    <t>62ce7d4337a761001a52c69b</t>
  </si>
  <si>
    <t>/uploads/image_70fcd55385.jpg</t>
  </si>
  <si>
    <t>thumbnail_image_70fcd55385</t>
  </si>
  <si>
    <t>62ce7d4337a761001a52c69c</t>
  </si>
  <si>
    <t>62ce7eac37a761001a52c69e</t>
  </si>
  <si>
    <t>/uploads/image_5591b37f25.jpg</t>
  </si>
  <si>
    <t>thumbnail_image_5591b37f25</t>
  </si>
  <si>
    <t>62ce7eac37a761001a52c69f</t>
  </si>
  <si>
    <t>62ce7f6337a761001a52c6a1</t>
  </si>
  <si>
    <t>/uploads/image_0b4399c025.jpg</t>
  </si>
  <si>
    <t>thumbnail_image_0b4399c025</t>
  </si>
  <si>
    <t>62ce7f6337a761001a52c6a2</t>
  </si>
  <si>
    <t>62ce7fa237a761001a52c6a4</t>
  </si>
  <si>
    <t>/uploads/image_f0ed631745.jpg</t>
  </si>
  <si>
    <t>thumbnail_image_f0ed631745</t>
  </si>
  <si>
    <t>62ce7fa237a761001a52c6a5</t>
  </si>
  <si>
    <t>62ce7ff737a761001a52c6a7</t>
  </si>
  <si>
    <t>/uploads/image_c4a9eada32.jpg</t>
  </si>
  <si>
    <t>thumbnail_image_c4a9eada32</t>
  </si>
  <si>
    <t>62ce7ff737a761001a52c6a8</t>
  </si>
  <si>
    <t>62ce806337a761001a52c6aa</t>
  </si>
  <si>
    <t>/uploads/image_b8ac19d063.jpg</t>
  </si>
  <si>
    <t>thumbnail_image_b8ac19d063</t>
  </si>
  <si>
    <t>62ce806337a761001a52c6ab</t>
  </si>
  <si>
    <t>62ce80e037a761001a52c6ad</t>
  </si>
  <si>
    <t>/uploads/image_a719467579.jpg</t>
  </si>
  <si>
    <t>thumbnail_image_a719467579</t>
  </si>
  <si>
    <t>62ce80e037a761001a52c6ae</t>
  </si>
  <si>
    <t>62ce815d37a761001a52c6b0</t>
  </si>
  <si>
    <t>/uploads/image_f7468e480e.jpg</t>
  </si>
  <si>
    <t>thumbnail_image_f7468e480e</t>
  </si>
  <si>
    <t>62ce815d37a761001a52c6b1</t>
  </si>
  <si>
    <t>62ce816537a761001a52c6b2</t>
  </si>
  <si>
    <t>/uploads/image_24326accba.jpg</t>
  </si>
  <si>
    <t>thumbnail_image_24326accba</t>
  </si>
  <si>
    <t>62ce816537a761001a52c6b3</t>
  </si>
  <si>
    <t>62ce81b337a761001a52c6b5</t>
  </si>
  <si>
    <t>/uploads/image_b427aa0acb.jpg</t>
  </si>
  <si>
    <t>thumbnail_image_b427aa0acb</t>
  </si>
  <si>
    <t>62ce81b337a761001a52c6b6</t>
  </si>
  <si>
    <t>62ce81ef37a761001a52c6b8</t>
  </si>
  <si>
    <t>/uploads/image_a75683b473.jpg</t>
  </si>
  <si>
    <t>thumbnail_image_a75683b473</t>
  </si>
  <si>
    <t>62ce81ef37a761001a52c6b9</t>
  </si>
  <si>
    <t>62ce822937a761001a52c6bb</t>
  </si>
  <si>
    <t>/uploads/image_dff3099ff7.jpg</t>
  </si>
  <si>
    <t>thumbnail_image_dff3099ff7</t>
  </si>
  <si>
    <t>62ce822937a761001a52c6bc</t>
  </si>
  <si>
    <t>62ce82c037a761001a52c6be</t>
  </si>
  <si>
    <t>/uploads/image_3a9fedec44.jpg</t>
  </si>
  <si>
    <t>thumbnail_image_3a9fedec44</t>
  </si>
  <si>
    <t>62ce82c037a761001a52c6bf</t>
  </si>
  <si>
    <t>62ce82f037a761001a52c6c1</t>
  </si>
  <si>
    <t>/uploads/image_84b6e6ca79.jpg</t>
  </si>
  <si>
    <t>thumbnail_image_84b6e6ca79</t>
  </si>
  <si>
    <t>62ce82f037a761001a52c6c2</t>
  </si>
  <si>
    <t>62ce834037a761001a52c6c4</t>
  </si>
  <si>
    <t>/uploads/image_3e1343efe2.jpg</t>
  </si>
  <si>
    <t>thumbnail_image_3e1343efe2</t>
  </si>
  <si>
    <t>62ce834037a761001a52c6c5</t>
  </si>
  <si>
    <t>62ce83ca37a761001a52c6c7</t>
  </si>
  <si>
    <t>/uploads/image_795ad7330a.jpg</t>
  </si>
  <si>
    <t>thumbnail_image_795ad7330a</t>
  </si>
  <si>
    <t>62ce83ca37a761001a52c6c8</t>
  </si>
  <si>
    <t>62ce841537a761001a52c6c9</t>
  </si>
  <si>
    <t>/uploads/image_b11d8719bd.jpg</t>
  </si>
  <si>
    <t>thumbnail_image_b11d8719bd</t>
  </si>
  <si>
    <t>62ce841537a761001a52c6ca</t>
  </si>
  <si>
    <t>62ce845737a761001a52c6cc</t>
  </si>
  <si>
    <t>/uploads/image_24a693f625.jpg</t>
  </si>
  <si>
    <t>thumbnail_image_24a693f625</t>
  </si>
  <si>
    <t>62ce845737a761001a52c6cd</t>
  </si>
  <si>
    <t>62ce847c37a761001a52c6cf</t>
  </si>
  <si>
    <t>/uploads/image_655a656cdf.jpg</t>
  </si>
  <si>
    <t>thumbnail_image_655a656cdf</t>
  </si>
  <si>
    <t>62ce847c37a761001a52c6d0</t>
  </si>
  <si>
    <t>62ce84c637a761001a52c6d2</t>
  </si>
  <si>
    <t>/uploads/image_8876b10918.jpg</t>
  </si>
  <si>
    <t>thumbnail_image_8876b10918</t>
  </si>
  <si>
    <t>62ce84c637a761001a52c6d3</t>
  </si>
  <si>
    <t>62ce856637a761001a52c6d6</t>
  </si>
  <si>
    <t>/uploads/image_ded05a5af4.jpg</t>
  </si>
  <si>
    <t>thumbnail_image_ded05a5af4</t>
  </si>
  <si>
    <t>62ce856637a761001a52c6d7</t>
  </si>
  <si>
    <t>62ce859137a761001a52c6d9</t>
  </si>
  <si>
    <t>/uploads/image_a55722d39d.jpg</t>
  </si>
  <si>
    <t>thumbnail_image_a55722d39d</t>
  </si>
  <si>
    <t>62ce859137a761001a52c6da</t>
  </si>
  <si>
    <t>62ce869637a761001a52c6dc</t>
  </si>
  <si>
    <t>/uploads/image_cf786a664d.jpg</t>
  </si>
  <si>
    <t>thumbnail_image_cf786a664d</t>
  </si>
  <si>
    <t>62ce869637a761001a52c6dd</t>
  </si>
  <si>
    <t>62ce86aa37a761001a52c6df</t>
  </si>
  <si>
    <t>/uploads/image_7322a66c8e.jpg</t>
  </si>
  <si>
    <t>thumbnail_image_7322a66c8e</t>
  </si>
  <si>
    <t>62ce86aa37a761001a52c6e0</t>
  </si>
  <si>
    <t>62ce86da37a761001a52c6e2</t>
  </si>
  <si>
    <t>/uploads/image_3597fee036.jpg</t>
  </si>
  <si>
    <t>thumbnail_image_3597fee036</t>
  </si>
  <si>
    <t>62ce86da37a761001a52c6e3</t>
  </si>
  <si>
    <t>62ce870b37a761001a52c6e5</t>
  </si>
  <si>
    <t>/uploads/image_f7507b3116.jpg</t>
  </si>
  <si>
    <t>thumbnail_image_f7507b3116</t>
  </si>
  <si>
    <t>62ce870b37a761001a52c6e6</t>
  </si>
  <si>
    <t>62ce874837a761001a52c6e8</t>
  </si>
  <si>
    <t>/uploads/image_013d8309a8.jpg</t>
  </si>
  <si>
    <t>thumbnail_image_013d8309a8</t>
  </si>
  <si>
    <t>62ce874837a761001a52c6e9</t>
  </si>
  <si>
    <t>62ce880f37a761001a52c6eb</t>
  </si>
  <si>
    <t>/uploads/image_e997d73104.jpg</t>
  </si>
  <si>
    <t>thumbnail_image_e997d73104</t>
  </si>
  <si>
    <t>62ce880f37a761001a52c6ec</t>
  </si>
  <si>
    <t>62ce897f37a761001a52c6ee</t>
  </si>
  <si>
    <t>/uploads/image_d83939e561.jpg</t>
  </si>
  <si>
    <t>thumbnail_image_d83939e561</t>
  </si>
  <si>
    <t>62ce897f37a761001a52c6ef</t>
  </si>
  <si>
    <t>62ce899137a761001a52c6f1</t>
  </si>
  <si>
    <t>/uploads/image_e372e0fca7.jpg</t>
  </si>
  <si>
    <t>thumbnail_image_e372e0fca7</t>
  </si>
  <si>
    <t>62ce899137a761001a52c6f2</t>
  </si>
  <si>
    <t>62d7a01d22e03e00190130b2</t>
  </si>
  <si>
    <t>/uploads/image_d74e9b6cf5.jpg</t>
  </si>
  <si>
    <t>thumbnail_image_d74e9b6cf5</t>
  </si>
  <si>
    <t>62d7a01d22e03e00190130b3</t>
  </si>
  <si>
    <t>62d7a09322e03e00190130b5</t>
  </si>
  <si>
    <t>/uploads/image_41b5ba1280.jpg</t>
  </si>
  <si>
    <t>thumbnail_image_41b5ba1280</t>
  </si>
  <si>
    <t>62d7a09322e03e00190130b6</t>
  </si>
  <si>
    <t>62d7a0b122e03e00190130b8</t>
  </si>
  <si>
    <t>/uploads/image_79ce8afbff.jpg</t>
  </si>
  <si>
    <t>thumbnail_image_79ce8afbff</t>
  </si>
  <si>
    <t>62d7a0b122e03e00190130b9</t>
  </si>
  <si>
    <t>62d7a0fd22e03e00190130bb</t>
  </si>
  <si>
    <t>/uploads/image_0a71de0d41.jpg</t>
  </si>
  <si>
    <t>thumbnail_image_0a71de0d41</t>
  </si>
  <si>
    <t>62d7a0fd22e03e00190130bc</t>
  </si>
  <si>
    <t>62d7a15722e03e00190130be</t>
  </si>
  <si>
    <t>/uploads/image_70d90058a2.jpg</t>
  </si>
  <si>
    <t>thumbnail_image_70d90058a2</t>
  </si>
  <si>
    <t>62d7a15722e03e00190130bf</t>
  </si>
  <si>
    <t>62d7a17022e03e00190130c1</t>
  </si>
  <si>
    <t>/uploads/image_51df2e3143.jpg</t>
  </si>
  <si>
    <t>thumbnail_image_51df2e3143</t>
  </si>
  <si>
    <t>62d7a17022e03e00190130c2</t>
  </si>
  <si>
    <t>62d7a18222e03e00190130c4</t>
  </si>
  <si>
    <t>/uploads/image_6bcd5c74fb.jpg</t>
  </si>
  <si>
    <t>thumbnail_image_6bcd5c74fb</t>
  </si>
  <si>
    <t>62d7a18222e03e00190130c5</t>
  </si>
  <si>
    <t>62d7a1ac22e03e00190130c7</t>
  </si>
  <si>
    <t>/uploads/image_42b9d1892e.jpg</t>
  </si>
  <si>
    <t>thumbnail_image_42b9d1892e</t>
  </si>
  <si>
    <t>62d7a1ac22e03e00190130c8</t>
  </si>
  <si>
    <t>62d7a1d622e03e00190130ca</t>
  </si>
  <si>
    <t>/uploads/image_a03e3db693.jpg</t>
  </si>
  <si>
    <t>thumbnail_image_a03e3db693</t>
  </si>
  <si>
    <t>62d7a1d622e03e00190130cb</t>
  </si>
  <si>
    <t>62d7a27622e03e00190130cd</t>
  </si>
  <si>
    <t>/uploads/image_c077099354.jpg</t>
  </si>
  <si>
    <t>thumbnail_image_c077099354</t>
  </si>
  <si>
    <t>62d7a27622e03e00190130ce</t>
  </si>
  <si>
    <t>62d7a29322e03e00190130d0</t>
  </si>
  <si>
    <t>/uploads/image_d59a4d5f32.jpg</t>
  </si>
  <si>
    <t>thumbnail_image_d59a4d5f32</t>
  </si>
  <si>
    <t>62d7a29322e03e00190130d1</t>
  </si>
  <si>
    <t>62d7a2c122e03e00190130d3</t>
  </si>
  <si>
    <t>/uploads/image_6d9e95231d.jpg</t>
  </si>
  <si>
    <t>thumbnail_image_6d9e95231d</t>
  </si>
  <si>
    <t>62d7a2c122e03e00190130d4</t>
  </si>
  <si>
    <t>62d7a31a22e03e00190130d6</t>
  </si>
  <si>
    <t>/uploads/image_d27383cc3e.jpg</t>
  </si>
  <si>
    <t>thumbnail_image_d27383cc3e</t>
  </si>
  <si>
    <t>62d7a31a22e03e00190130d7</t>
  </si>
  <si>
    <t>62d7a35f22e03e00190130d9</t>
  </si>
  <si>
    <t>/uploads/image_79bb357e43.jpg</t>
  </si>
  <si>
    <t>thumbnail_image_79bb357e43</t>
  </si>
  <si>
    <t>62d7a35f22e03e00190130da</t>
  </si>
  <si>
    <t>62d7a38b22e03e00190130dc</t>
  </si>
  <si>
    <t>/uploads/image_4f0cfc6621.jpg</t>
  </si>
  <si>
    <t>thumbnail_image_4f0cfc6621</t>
  </si>
  <si>
    <t>62d7a38b22e03e00190130dd</t>
  </si>
  <si>
    <t>62d7a3bb22e03e00190130df</t>
  </si>
  <si>
    <t>/uploads/image_004cbe811c.jpg</t>
  </si>
  <si>
    <t>thumbnail_image_004cbe811c</t>
  </si>
  <si>
    <t>62d7a3bb22e03e00190130e0</t>
  </si>
  <si>
    <t>62d7a3d722e03e00190130e2</t>
  </si>
  <si>
    <t>/uploads/image_2038c21de3.jpg</t>
  </si>
  <si>
    <t>thumbnail_image_2038c21de3</t>
  </si>
  <si>
    <t>62d7a3d722e03e00190130e3</t>
  </si>
  <si>
    <t>62d7a3ef22e03e00190130e5</t>
  </si>
  <si>
    <t>/uploads/image_8d21339ac7.jpg</t>
  </si>
  <si>
    <t>thumbnail_image_8d21339ac7</t>
  </si>
  <si>
    <t>62d7a3ef22e03e00190130e6</t>
  </si>
  <si>
    <t>62d7a46a22e03e00190130e8</t>
  </si>
  <si>
    <t>/uploads/image_badccb2845.jpg</t>
  </si>
  <si>
    <t>thumbnail_image_badccb2845</t>
  </si>
  <si>
    <t>62d7a46a22e03e00190130e9</t>
  </si>
  <si>
    <t>62d7a48722e03e00190130eb</t>
  </si>
  <si>
    <t>/uploads/image_05c795017b.jpg</t>
  </si>
  <si>
    <t>thumbnail_image_05c795017b</t>
  </si>
  <si>
    <t>62d7a48722e03e00190130ec</t>
  </si>
  <si>
    <t>62d7a4e822e03e00190130ee</t>
  </si>
  <si>
    <t>/uploads/image_8b80498c5d.jpg</t>
  </si>
  <si>
    <t>thumbnail_image_8b80498c5d</t>
  </si>
  <si>
    <t>62d7a4e822e03e00190130ef</t>
  </si>
  <si>
    <t>62d7a55222e03e00190130f1</t>
  </si>
  <si>
    <t>/uploads/image_10b591ef61.jpg</t>
  </si>
  <si>
    <t>thumbnail_image_10b591ef61</t>
  </si>
  <si>
    <t>62d7a55222e03e00190130f2</t>
  </si>
  <si>
    <t>62d7a5d322e03e00190130f4</t>
  </si>
  <si>
    <t>/uploads/image_0efc586d0b.jpg</t>
  </si>
  <si>
    <t>thumbnail_image_0efc586d0b</t>
  </si>
  <si>
    <t>62d7a5d322e03e00190130f5</t>
  </si>
  <si>
    <t>62d7a64922e03e00190130f7</t>
  </si>
  <si>
    <t>/uploads/image_e8aa624bb6.jpg</t>
  </si>
  <si>
    <t>thumbnail_image_e8aa624bb6</t>
  </si>
  <si>
    <t>62d7a64922e03e00190130f8</t>
  </si>
  <si>
    <t>62d7a65322e03e00190130f9</t>
  </si>
  <si>
    <t>/uploads/image_fba7a480b2.jpg</t>
  </si>
  <si>
    <t>thumbnail_image_fba7a480b2</t>
  </si>
  <si>
    <t>62d7a65322e03e00190130fa</t>
  </si>
  <si>
    <t>62d7a65722e03e00190130fb</t>
  </si>
  <si>
    <t>/uploads/image_30024d99c0.jpg</t>
  </si>
  <si>
    <t>thumbnail_image_30024d99c0</t>
  </si>
  <si>
    <t>62d7a65722e03e00190130fc</t>
  </si>
  <si>
    <t>62d7a69322e03e00190130fe</t>
  </si>
  <si>
    <t>/uploads/image_677a9f2b9e.jpg</t>
  </si>
  <si>
    <t>thumbnail_image_677a9f2b9e</t>
  </si>
  <si>
    <t>62d7a69322e03e00190130ff</t>
  </si>
  <si>
    <t>62d7a6d622e03e0019013101</t>
  </si>
  <si>
    <t>/uploads/image_7f7592d84e.jpg</t>
  </si>
  <si>
    <t>thumbnail_image_7f7592d84e</t>
  </si>
  <si>
    <t>62d7a6d622e03e0019013102</t>
  </si>
  <si>
    <t>62d7a78222e03e0019013104</t>
  </si>
  <si>
    <t>/uploads/image_5bd0152067.jpg</t>
  </si>
  <si>
    <t>thumbnail_image_5bd0152067</t>
  </si>
  <si>
    <t>62d7a78222e03e0019013105</t>
  </si>
  <si>
    <t>62d7a79d22e03e0019013107</t>
  </si>
  <si>
    <t>/uploads/image_06e1731d02.jpg</t>
  </si>
  <si>
    <t>thumbnail_image_06e1731d02</t>
  </si>
  <si>
    <t>62d7a79d22e03e0019013108</t>
  </si>
  <si>
    <t>62d7a7df22e03e001901310a</t>
  </si>
  <si>
    <t>/uploads/image_2f12426689.jpg</t>
  </si>
  <si>
    <t>thumbnail_image_2f12426689</t>
  </si>
  <si>
    <t>62d7a7df22e03e001901310b</t>
  </si>
  <si>
    <t>62d7a84022e03e001901310d</t>
  </si>
  <si>
    <t>/uploads/image_b88ad7bba1.jpg</t>
  </si>
  <si>
    <t>thumbnail_image_b88ad7bba1</t>
  </si>
  <si>
    <t>62d7a84022e03e001901310e</t>
  </si>
  <si>
    <t>62d7a89422e03e0019013110</t>
  </si>
  <si>
    <t>/uploads/image_6f71883ac6.jpg</t>
  </si>
  <si>
    <t>thumbnail_image_6f71883ac6</t>
  </si>
  <si>
    <t>62d7a89422e03e0019013111</t>
  </si>
  <si>
    <t>62d7a89922e03e0019013112</t>
  </si>
  <si>
    <t>/uploads/image_670cdb7f21.jpg</t>
  </si>
  <si>
    <t>thumbnail_image_670cdb7f21</t>
  </si>
  <si>
    <t>62d7a89922e03e0019013113</t>
  </si>
  <si>
    <t>62d7a89b22e03e0019013114</t>
  </si>
  <si>
    <t>/uploads/image_09415f0ad3.jpg</t>
  </si>
  <si>
    <t>thumbnail_image_09415f0ad3</t>
  </si>
  <si>
    <t>62d7a89b22e03e0019013115</t>
  </si>
  <si>
    <t>62d7a89d22e03e0019013116</t>
  </si>
  <si>
    <t>/uploads/image_52ec0d7b08.jpg</t>
  </si>
  <si>
    <t>thumbnail_image_52ec0d7b08</t>
  </si>
  <si>
    <t>62d7a89d22e03e0019013117</t>
  </si>
  <si>
    <t>62d7a8c422e03e0019013119</t>
  </si>
  <si>
    <t>/uploads/image_24906163fb.jpg</t>
  </si>
  <si>
    <t>thumbnail_image_24906163fb</t>
  </si>
  <si>
    <t>62d7a8c422e03e001901311a</t>
  </si>
  <si>
    <t>62d7a92a22e03e001901311c</t>
  </si>
  <si>
    <t>/uploads/image_460847880a.jpg</t>
  </si>
  <si>
    <t>thumbnail_image_460847880a</t>
  </si>
  <si>
    <t>62d7a92a22e03e001901311d</t>
  </si>
  <si>
    <t>62d7a9d922e03e0019013123</t>
  </si>
  <si>
    <t>/uploads/image_014d391dac.jpg</t>
  </si>
  <si>
    <t>thumbnail_image_014d391dac</t>
  </si>
  <si>
    <t>62d7aa4b22e03e0019013124</t>
  </si>
  <si>
    <t>/uploads/image_ba30abf8e8.jpg</t>
  </si>
  <si>
    <t>thumbnail_image_ba30abf8e8</t>
  </si>
  <si>
    <t>62d7aa4b22e03e0019013125</t>
  </si>
  <si>
    <t>62d7aaa122e03e0019013127</t>
  </si>
  <si>
    <t>/uploads/image_88bcb614a2.jpg</t>
  </si>
  <si>
    <t>thumbnail_image_88bcb614a2</t>
  </si>
  <si>
    <t>62d7aaa122e03e0019013128</t>
  </si>
  <si>
    <t>62d7aafc22e03e001901312a</t>
  </si>
  <si>
    <t>/uploads/image_121b19a0d5.jpg</t>
  </si>
  <si>
    <t>thumbnail_image_121b19a0d5</t>
  </si>
  <si>
    <t>62d7aafc22e03e001901312b</t>
  </si>
  <si>
    <t>62d7ab6922e03e001901312d</t>
  </si>
  <si>
    <t>/uploads/image_eb234a88d0.jpg</t>
  </si>
  <si>
    <t>thumbnail_image_eb234a88d0</t>
  </si>
  <si>
    <t>62d7ab6922e03e001901312e</t>
  </si>
  <si>
    <t>62d7ab8a22e03e0019013130</t>
  </si>
  <si>
    <t>/uploads/image_37e7bc08e5.jpg</t>
  </si>
  <si>
    <t>thumbnail_image_37e7bc08e5</t>
  </si>
  <si>
    <t>62d7ab8a22e03e0019013131</t>
  </si>
  <si>
    <t>62d7aba722e03e0019013133</t>
  </si>
  <si>
    <t>/uploads/image_611a83d717.jpg</t>
  </si>
  <si>
    <t>thumbnail_image_611a83d717</t>
  </si>
  <si>
    <t>62d7aba722e03e0019013134</t>
  </si>
  <si>
    <t>62d7abf422e03e0019013136</t>
  </si>
  <si>
    <t>/uploads/image_540c31de9c.jpg</t>
  </si>
  <si>
    <t>thumbnail_image_540c31de9c</t>
  </si>
  <si>
    <t>62d7abf422e03e0019013137</t>
  </si>
  <si>
    <t>62d7ac4c22e03e0019013139</t>
  </si>
  <si>
    <t>/uploads/image_465878ac99.jpg</t>
  </si>
  <si>
    <t>thumbnail_image_465878ac99</t>
  </si>
  <si>
    <t>62d7ac4c22e03e001901313a</t>
  </si>
  <si>
    <t>62d7acaa22e03e001901313c</t>
  </si>
  <si>
    <t>/uploads/image_80e4e67242.jpg</t>
  </si>
  <si>
    <t>thumbnail_image_80e4e67242</t>
  </si>
  <si>
    <t>62d7acaa22e03e001901313d</t>
  </si>
  <si>
    <t>62d7ad3a22e03e001901313f</t>
  </si>
  <si>
    <t>/uploads/image_614fdb3fa0.jpg</t>
  </si>
  <si>
    <t>thumbnail_image_614fdb3fa0</t>
  </si>
  <si>
    <t>62d7ad3a22e03e0019013140</t>
  </si>
  <si>
    <t>62d7ad5122e03e0019013142</t>
  </si>
  <si>
    <t>/uploads/image_59bf4d4620.jpg</t>
  </si>
  <si>
    <t>thumbnail_image_59bf4d4620</t>
  </si>
  <si>
    <t>62d7ad5122e03e0019013143</t>
  </si>
  <si>
    <t>62d7ad8b22e03e0019013145</t>
  </si>
  <si>
    <t>/uploads/image_0ccedfc53e.jpg</t>
  </si>
  <si>
    <t>thumbnail_image_0ccedfc53e</t>
  </si>
  <si>
    <t>62d7ad8b22e03e0019013146</t>
  </si>
  <si>
    <t>62d7ae3c22e03e0019013148</t>
  </si>
  <si>
    <t>/uploads/image_c9afd8e37e.jpg</t>
  </si>
  <si>
    <t>thumbnail_image_c9afd8e37e</t>
  </si>
  <si>
    <t>62d7ae3c22e03e0019013149</t>
  </si>
  <si>
    <t>62d7ae6d22e03e001901314b</t>
  </si>
  <si>
    <t>/uploads/image_037ee7a62d.jpg</t>
  </si>
  <si>
    <t>thumbnail_image_037ee7a62d</t>
  </si>
  <si>
    <t>62d7ae6d22e03e001901314c</t>
  </si>
  <si>
    <t>62d7af0d22e03e001901314e</t>
  </si>
  <si>
    <t>/uploads/image_8209e4bbce.jpg</t>
  </si>
  <si>
    <t>thumbnail_image_8209e4bbce</t>
  </si>
  <si>
    <t>62d7af0d22e03e001901314f</t>
  </si>
  <si>
    <t>62d7af5122e03e0019013151</t>
  </si>
  <si>
    <t>/uploads/image_d6c54e1b8d.jpg</t>
  </si>
  <si>
    <t>thumbnail_image_d6c54e1b8d</t>
  </si>
  <si>
    <t>62d7af5122e03e0019013152</t>
  </si>
  <si>
    <t>62d7af9a22e03e0019013154</t>
  </si>
  <si>
    <t>/uploads/image_1ed36d104e.jpg</t>
  </si>
  <si>
    <t>thumbnail_image_1ed36d104e</t>
  </si>
  <si>
    <t>62d7af9a22e03e0019013155</t>
  </si>
  <si>
    <t>62d7afc222e03e0019013157</t>
  </si>
  <si>
    <t>/uploads/image_5d954aaeda.jpg</t>
  </si>
  <si>
    <t>thumbnail_image_5d954aaeda</t>
  </si>
  <si>
    <t>62d7afc222e03e0019013158</t>
  </si>
  <si>
    <t>62d7afe922e03e001901315a</t>
  </si>
  <si>
    <t>/uploads/image_9e2da4387d.jpg</t>
  </si>
  <si>
    <t>thumbnail_image_9e2da4387d</t>
  </si>
  <si>
    <t>62d7afe922e03e001901315b</t>
  </si>
  <si>
    <t>62d7b03e22e03e001901315d</t>
  </si>
  <si>
    <t>/uploads/image_44e1c42be9.jpg</t>
  </si>
  <si>
    <t>thumbnail_image_44e1c42be9</t>
  </si>
  <si>
    <t>62d7b03e22e03e001901315e</t>
  </si>
  <si>
    <t>62d7b08822e03e0019013160</t>
  </si>
  <si>
    <t>/uploads/image_5045dc7292.jpg</t>
  </si>
  <si>
    <t>thumbnail_image_5045dc7292</t>
  </si>
  <si>
    <t>62d7b08822e03e0019013161</t>
  </si>
  <si>
    <t>62d7b0b722e03e0019013163</t>
  </si>
  <si>
    <t>/uploads/image_860cbe9589.jpg</t>
  </si>
  <si>
    <t>thumbnail_image_860cbe9589</t>
  </si>
  <si>
    <t>62d7b0b722e03e0019013164</t>
  </si>
  <si>
    <t>62d7b13122e03e0019013166</t>
  </si>
  <si>
    <t>/uploads/image_0310a27db5.jpg</t>
  </si>
  <si>
    <t>thumbnail_image_0310a27db5</t>
  </si>
  <si>
    <t>62d7b13122e03e0019013167</t>
  </si>
  <si>
    <t>62d7b14f22e03e0019013169</t>
  </si>
  <si>
    <t>/uploads/image_f84457a4be.jpg</t>
  </si>
  <si>
    <t>thumbnail_image_f84457a4be</t>
  </si>
  <si>
    <t>62d7b14f22e03e001901316a</t>
  </si>
  <si>
    <t>62d7b1ac22e03e001901316c</t>
  </si>
  <si>
    <t>/uploads/image_355dde41d3.jpg</t>
  </si>
  <si>
    <t>thumbnail_image_355dde41d3</t>
  </si>
  <si>
    <t>62d7b1ac22e03e001901316d</t>
  </si>
  <si>
    <t>62d7b22222e03e001901316f</t>
  </si>
  <si>
    <t>/uploads/image_347ed68ead.jpg</t>
  </si>
  <si>
    <t>thumbnail_image_347ed68ead</t>
  </si>
  <si>
    <t>62d7b22222e03e0019013170</t>
  </si>
  <si>
    <t>62d7b24722e03e0019013172</t>
  </si>
  <si>
    <t>/uploads/image_fa8e3dc733.jpg</t>
  </si>
  <si>
    <t>thumbnail_image_fa8e3dc733</t>
  </si>
  <si>
    <t>62d7b24722e03e0019013173</t>
  </si>
  <si>
    <t>62d7b28c22e03e0019013175</t>
  </si>
  <si>
    <t>/uploads/image_c6ae51fbc3.jpg</t>
  </si>
  <si>
    <t>thumbnail_image_c6ae51fbc3</t>
  </si>
  <si>
    <t>62d7b28c22e03e0019013176</t>
  </si>
  <si>
    <t>62d7b45d22e03e0019013178</t>
  </si>
  <si>
    <t>/uploads/image_877c39557d.jpg</t>
  </si>
  <si>
    <t>thumbnail_image_877c39557d</t>
  </si>
  <si>
    <t>62d7b45d22e03e0019013179</t>
  </si>
  <si>
    <t>62d7b4a122e03e001901317b</t>
  </si>
  <si>
    <t>/uploads/image_4bc7556363.jpg</t>
  </si>
  <si>
    <t>thumbnail_image_4bc7556363</t>
  </si>
  <si>
    <t>62d7b4a122e03e001901317c</t>
  </si>
  <si>
    <t>62d7b4da22e03e001901317e</t>
  </si>
  <si>
    <t>/uploads/image_f0689d7dc1.jpg</t>
  </si>
  <si>
    <t>thumbnail_image_f0689d7dc1</t>
  </si>
  <si>
    <t>62d7b4da22e03e001901317f</t>
  </si>
  <si>
    <t>62d7b4f022e03e0019013181</t>
  </si>
  <si>
    <t>/uploads/image_6e7cf06b1d.jpg</t>
  </si>
  <si>
    <t>thumbnail_image_6e7cf06b1d</t>
  </si>
  <si>
    <t>62d7b4f022e03e0019013182</t>
  </si>
  <si>
    <t>62d7b50322e03e0019013184</t>
  </si>
  <si>
    <t>/uploads/image_e5cf34dab2.jpg</t>
  </si>
  <si>
    <t>thumbnail_image_e5cf34dab2</t>
  </si>
  <si>
    <t>62d7b50322e03e0019013185</t>
  </si>
  <si>
    <t>62d7b53f22e03e0019013187</t>
  </si>
  <si>
    <t>/uploads/image_2b4d0b22c9.jpg</t>
  </si>
  <si>
    <t>thumbnail_image_2b4d0b22c9</t>
  </si>
  <si>
    <t>62d7b53f22e03e0019013188</t>
  </si>
  <si>
    <t>62d7b6f722e03e001901318a</t>
  </si>
  <si>
    <t>/uploads/image_9a5a2dc3e2.jpg</t>
  </si>
  <si>
    <t>thumbnail_image_9a5a2dc3e2</t>
  </si>
  <si>
    <t>62d7b6f722e03e001901318b</t>
  </si>
  <si>
    <t>62d7b72f22e03e001901318d</t>
  </si>
  <si>
    <t>/uploads/image_e42f4f5a26.jpg</t>
  </si>
  <si>
    <t>thumbnail_image_e42f4f5a26</t>
  </si>
  <si>
    <t>62d7b72f22e03e001901318e</t>
  </si>
  <si>
    <t>62d7b78322e03e0019013190</t>
  </si>
  <si>
    <t>/uploads/image_1b3c655780.jpg</t>
  </si>
  <si>
    <t>thumbnail_image_1b3c655780</t>
  </si>
  <si>
    <t>62d7b78322e03e0019013191</t>
  </si>
  <si>
    <t>62d7b85b22e03e0019013194</t>
  </si>
  <si>
    <t>/uploads/image_39cad3fbc9.jpg</t>
  </si>
  <si>
    <t>thumbnail_image_39cad3fbc9</t>
  </si>
  <si>
    <t>62d7b85b22e03e0019013195</t>
  </si>
  <si>
    <t>62d7b88422e03e0019013197</t>
  </si>
  <si>
    <t>/uploads/image_039fbe7d48.jpg</t>
  </si>
  <si>
    <t>thumbnail_image_039fbe7d48</t>
  </si>
  <si>
    <t>62d7b88422e03e0019013198</t>
  </si>
  <si>
    <t>62d7b8e722e03e001901319a</t>
  </si>
  <si>
    <t>/uploads/image_d820601663.jpg</t>
  </si>
  <si>
    <t>thumbnail_image_d820601663</t>
  </si>
  <si>
    <t>62d7b8e722e03e001901319b</t>
  </si>
  <si>
    <t>62d7b94c22e03e001901319d</t>
  </si>
  <si>
    <t>/uploads/image_02b5bfca19.jpg</t>
  </si>
  <si>
    <t>thumbnail_image_02b5bfca19</t>
  </si>
  <si>
    <t>62d7b94c22e03e001901319e</t>
  </si>
  <si>
    <t>62d7b9a922e03e00190131a0</t>
  </si>
  <si>
    <t>/uploads/image_4340e7fbaf.jpg</t>
  </si>
  <si>
    <t>thumbnail_image_4340e7fbaf</t>
  </si>
  <si>
    <t>62d7b9a922e03e00190131a1</t>
  </si>
  <si>
    <t>62d7ba0f22e03e00190131a3</t>
  </si>
  <si>
    <t>/uploads/image_38d42c4660.jpg</t>
  </si>
  <si>
    <t>thumbnail_image_38d42c4660</t>
  </si>
  <si>
    <t>62d7ba0f22e03e00190131a4</t>
  </si>
  <si>
    <t>62d7ba3c22e03e00190131a6</t>
  </si>
  <si>
    <t>/uploads/image_60de457eee.jpg</t>
  </si>
  <si>
    <t>thumbnail_image_60de457eee</t>
  </si>
  <si>
    <t>62d7ba3c22e03e00190131a7</t>
  </si>
  <si>
    <t>62d7ba9a22e03e00190131a9</t>
  </si>
  <si>
    <t>/uploads/image_dde59c9174.jpg</t>
  </si>
  <si>
    <t>thumbnail_image_dde59c9174</t>
  </si>
  <si>
    <t>62d7ba9a22e03e00190131aa</t>
  </si>
  <si>
    <t>62d7bad722e03e00190131ac</t>
  </si>
  <si>
    <t>/uploads/image_20873510e8.jpg</t>
  </si>
  <si>
    <t>thumbnail_image_20873510e8</t>
  </si>
  <si>
    <t>62d7bad722e03e00190131ad</t>
  </si>
  <si>
    <t>62d7bb3f22e03e00190131af</t>
  </si>
  <si>
    <t>/uploads/image_22498f1bd8.jpg</t>
  </si>
  <si>
    <t>thumbnail_image_22498f1bd8</t>
  </si>
  <si>
    <t>62d7bb3f22e03e00190131b0</t>
  </si>
  <si>
    <t>62d7bb9022e03e00190131b2</t>
  </si>
  <si>
    <t>/uploads/image_d2527159c2.jpg</t>
  </si>
  <si>
    <t>thumbnail_image_d2527159c2</t>
  </si>
  <si>
    <t>62d7bb9022e03e00190131b3</t>
  </si>
  <si>
    <t>62d7bba622e03e00190131b5</t>
  </si>
  <si>
    <t>/uploads/image_e66d2a3ad4.jpg</t>
  </si>
  <si>
    <t>thumbnail_image_e66d2a3ad4</t>
  </si>
  <si>
    <t>62d7bba622e03e00190131b6</t>
  </si>
  <si>
    <t>62d7bbd522e03e00190131b8</t>
  </si>
  <si>
    <t>/uploads/image_1a1bcf7538.jpg</t>
  </si>
  <si>
    <t>thumbnail_image_1a1bcf7538</t>
  </si>
  <si>
    <t>62d7bbd522e03e00190131b9</t>
  </si>
  <si>
    <t>62d7bc4a22e03e00190131bb</t>
  </si>
  <si>
    <t>/uploads/image_2650d2f53f.jpg</t>
  </si>
  <si>
    <t>thumbnail_image_2650d2f53f</t>
  </si>
  <si>
    <t>62d7bc4a22e03e00190131bc</t>
  </si>
  <si>
    <t>62d7bcd222e03e00190131be</t>
  </si>
  <si>
    <t>/uploads/image_da6aa8ef75.jpg</t>
  </si>
  <si>
    <t>thumbnail_image_da6aa8ef75</t>
  </si>
  <si>
    <t>62d7bcd222e03e00190131bf</t>
  </si>
  <si>
    <t>62d7bd9822e03e00190131c1</t>
  </si>
  <si>
    <t>/uploads/image_72f711926a.jpg</t>
  </si>
  <si>
    <t>thumbnail_image_72f711926a</t>
  </si>
  <si>
    <t>62d7bd9822e03e00190131c2</t>
  </si>
  <si>
    <t>62d7bdb322e03e00190131c4</t>
  </si>
  <si>
    <t>/uploads/image_7b3ee20341.jpg</t>
  </si>
  <si>
    <t>thumbnail_image_7b3ee20341</t>
  </si>
  <si>
    <t>62d7bdb322e03e00190131c5</t>
  </si>
  <si>
    <t>62d7cb2022e03e00190131c8</t>
  </si>
  <si>
    <t>/uploads/image_6bea6fdbfd.jpg</t>
  </si>
  <si>
    <t>thumbnail_image_6bea6fdbfd</t>
  </si>
  <si>
    <t>62d7cb2022e03e00190131c9</t>
  </si>
  <si>
    <t>62d7cb5422e03e00190131cb</t>
  </si>
  <si>
    <t>/uploads/image_8d74abcf7e.jpg</t>
  </si>
  <si>
    <t>thumbnail_image_8d74abcf7e</t>
  </si>
  <si>
    <t>62d7cb5422e03e00190131cc</t>
  </si>
  <si>
    <t>62d7cc0322e03e00190131ce</t>
  </si>
  <si>
    <t>/uploads/image_3312f32153.jpg</t>
  </si>
  <si>
    <t>thumbnail_image_3312f32153</t>
  </si>
  <si>
    <t>62d7cc0322e03e00190131cf</t>
  </si>
  <si>
    <t>62d7cc1e22e03e00190131d1</t>
  </si>
  <si>
    <t>/uploads/image_b2c108aaee.jpg</t>
  </si>
  <si>
    <t>thumbnail_image_b2c108aaee</t>
  </si>
  <si>
    <t>62d7cc1e22e03e00190131d2</t>
  </si>
  <si>
    <t>62d7cc7c22e03e00190131d4</t>
  </si>
  <si>
    <t>/uploads/image_e916c72d24.jpg</t>
  </si>
  <si>
    <t>thumbnail_image_e916c72d24</t>
  </si>
  <si>
    <t>62d7cc7c22e03e00190131d5</t>
  </si>
  <si>
    <t>62d7cccf22e03e00190131d7</t>
  </si>
  <si>
    <t>/uploads/image_5fa3c68c18.jpg</t>
  </si>
  <si>
    <t>thumbnail_image_5fa3c68c18</t>
  </si>
  <si>
    <t>62d7cccf22e03e00190131d8</t>
  </si>
  <si>
    <t>62d7cd2622e03e00190131da</t>
  </si>
  <si>
    <t>/uploads/image_76f14257e0.jpg</t>
  </si>
  <si>
    <t>thumbnail_image_76f14257e0</t>
  </si>
  <si>
    <t>62d7cd2622e03e00190131db</t>
  </si>
  <si>
    <t>62d7cd5f22e03e00190131dd</t>
  </si>
  <si>
    <t>/uploads/image_c6ddad5204.jpg</t>
  </si>
  <si>
    <t>thumbnail_image_c6ddad5204</t>
  </si>
  <si>
    <t>62d7cd5f22e03e00190131de</t>
  </si>
  <si>
    <t>62d7cd8b22e03e00190131e0</t>
  </si>
  <si>
    <t>/uploads/image_40c55c0410.jpg</t>
  </si>
  <si>
    <t>thumbnail_image_40c55c0410</t>
  </si>
  <si>
    <t>62d7cd8b22e03e00190131e1</t>
  </si>
  <si>
    <t>62d7cda922e03e00190131e3</t>
  </si>
  <si>
    <t>/uploads/image_4ea345d9da.jpg</t>
  </si>
  <si>
    <t>thumbnail_image_4ea345d9da</t>
  </si>
  <si>
    <t>62d7cda922e03e00190131e4</t>
  </si>
  <si>
    <t>62d7cdd822e03e00190131e6</t>
  </si>
  <si>
    <t>/uploads/image_ec6b5284cb.jpg</t>
  </si>
  <si>
    <t>thumbnail_image_ec6b5284cb</t>
  </si>
  <si>
    <t>62d7cdd822e03e00190131e7</t>
  </si>
  <si>
    <t>62d7cea022e03e00190131e9</t>
  </si>
  <si>
    <t>/uploads/image_c4b25becec.jpg</t>
  </si>
  <si>
    <t>thumbnail_image_c4b25becec</t>
  </si>
  <si>
    <t>62d7cea022e03e00190131ea</t>
  </si>
  <si>
    <t>62d7cf0a22e03e00190131ec</t>
  </si>
  <si>
    <t>/uploads/image_61cd6905ad.jpg</t>
  </si>
  <si>
    <t>thumbnail_image_61cd6905ad</t>
  </si>
  <si>
    <t>62d7cf0a22e03e00190131ed</t>
  </si>
  <si>
    <t>62d7cf4222e03e00190131ef</t>
  </si>
  <si>
    <t>/uploads/image_e4a20b4317.jpg</t>
  </si>
  <si>
    <t>thumbnail_image_e4a20b4317</t>
  </si>
  <si>
    <t>62d7cf4222e03e00190131f0</t>
  </si>
  <si>
    <t>62d7cf7b22e03e00190131f2</t>
  </si>
  <si>
    <t>/uploads/image_7d73bca4f3.jpg</t>
  </si>
  <si>
    <t>thumbnail_image_7d73bca4f3</t>
  </si>
  <si>
    <t>62d7cf7b22e03e00190131f3</t>
  </si>
  <si>
    <t>62d7cfa222e03e00190131f5</t>
  </si>
  <si>
    <t>/uploads/image_cd6ddfe783.jpg</t>
  </si>
  <si>
    <t>thumbnail_image_cd6ddfe783</t>
  </si>
  <si>
    <t>62d7cfa222e03e00190131f6</t>
  </si>
  <si>
    <t>62d7cfc122e03e00190131f8</t>
  </si>
  <si>
    <t>/uploads/image_1e8e3cab9c.jpg</t>
  </si>
  <si>
    <t>thumbnail_image_1e8e3cab9c</t>
  </si>
  <si>
    <t>62d7cfc122e03e00190131f9</t>
  </si>
  <si>
    <t>62d7cfff22e03e00190131fb</t>
  </si>
  <si>
    <t>/uploads/image_3865215a4d.jpg</t>
  </si>
  <si>
    <t>thumbnail_image_3865215a4d</t>
  </si>
  <si>
    <t>62d7cfff22e03e00190131fc</t>
  </si>
  <si>
    <t>62d7d09922e03e00190131fe</t>
  </si>
  <si>
    <t>/uploads/image_4a70aece79.jpg</t>
  </si>
  <si>
    <t>thumbnail_image_4a70aece79</t>
  </si>
  <si>
    <t>62d7d09922e03e00190131ff</t>
  </si>
  <si>
    <t>62d7d0ad22e03e0019013201</t>
  </si>
  <si>
    <t>/uploads/image_37c233851d.jpg</t>
  </si>
  <si>
    <t>thumbnail_image_37c233851d</t>
  </si>
  <si>
    <t>62d7d0ad22e03e0019013202</t>
  </si>
  <si>
    <t>62d7d10f22e03e0019013204</t>
  </si>
  <si>
    <t>/uploads/image_68197d9bbd.jpg</t>
  </si>
  <si>
    <t>thumbnail_image_68197d9bbd</t>
  </si>
  <si>
    <t>62d7d10f22e03e0019013205</t>
  </si>
  <si>
    <t>62d7d17122e03e0019013207</t>
  </si>
  <si>
    <t>/uploads/image_106074dddb.jpg</t>
  </si>
  <si>
    <t>thumbnail_image_106074dddb</t>
  </si>
  <si>
    <t>62d7d17122e03e0019013208</t>
  </si>
  <si>
    <t>62d7d1b522e03e001901320a</t>
  </si>
  <si>
    <t>/uploads/image_01bdad3614.jpg</t>
  </si>
  <si>
    <t>thumbnail_image_01bdad3614</t>
  </si>
  <si>
    <t>62d7d1b522e03e001901320b</t>
  </si>
  <si>
    <t>62d7d23a22e03e001901320d</t>
  </si>
  <si>
    <t>/uploads/image_7cb5822c56.jpg</t>
  </si>
  <si>
    <t>thumbnail_image_7cb5822c56</t>
  </si>
  <si>
    <t>62d7d23a22e03e001901320e</t>
  </si>
  <si>
    <t>62d7d29b22e03e0019013210</t>
  </si>
  <si>
    <t>/uploads/image_dc1a35b5de.jpg</t>
  </si>
  <si>
    <t>thumbnail_image_dc1a35b5de</t>
  </si>
  <si>
    <t>62d7d29b22e03e0019013211</t>
  </si>
  <si>
    <t>62d7d2e622e03e0019013213</t>
  </si>
  <si>
    <t>/uploads/image_11ce94a046.jpg</t>
  </si>
  <si>
    <t>thumbnail_image_11ce94a046</t>
  </si>
  <si>
    <t>62d7d2e622e03e0019013214</t>
  </si>
  <si>
    <t>62d7d35222e03e0019013216</t>
  </si>
  <si>
    <t>/uploads/image_c6f4b038d7.jpg</t>
  </si>
  <si>
    <t>thumbnail_image_c6f4b038d7</t>
  </si>
  <si>
    <t>62d7d35222e03e0019013217</t>
  </si>
  <si>
    <t>62d7d36c22e03e0019013219</t>
  </si>
  <si>
    <t>/uploads/image_19516fd663.jpg</t>
  </si>
  <si>
    <t>thumbnail_image_19516fd663</t>
  </si>
  <si>
    <t>62d7d36c22e03e001901321a</t>
  </si>
  <si>
    <t>62d7d3c422e03e001901321c</t>
  </si>
  <si>
    <t>/uploads/image_9650fba4bd.jpg</t>
  </si>
  <si>
    <t>thumbnail_image_9650fba4bd</t>
  </si>
  <si>
    <t>62d7d3c422e03e001901321d</t>
  </si>
  <si>
    <t>62d7d40522e03e001901321f</t>
  </si>
  <si>
    <t>/uploads/image_8ef31a465f.jpg</t>
  </si>
  <si>
    <t>thumbnail_image_8ef31a465f</t>
  </si>
  <si>
    <t>62d7d40522e03e0019013220</t>
  </si>
  <si>
    <t>62d7d44022e03e0019013222</t>
  </si>
  <si>
    <t>/uploads/image_a303ba0dce.jpg</t>
  </si>
  <si>
    <t>thumbnail_image_a303ba0dce</t>
  </si>
  <si>
    <t>62d7d44022e03e0019013223</t>
  </si>
  <si>
    <t>62d7d54422e03e0019013225</t>
  </si>
  <si>
    <t>/uploads/image_9bc5270470.jpg</t>
  </si>
  <si>
    <t>thumbnail_image_9bc5270470</t>
  </si>
  <si>
    <t>62d7d54422e03e0019013226</t>
  </si>
  <si>
    <t>62d7d56a22e03e0019013229</t>
  </si>
  <si>
    <t>/uploads/image_834891f56a.jpg</t>
  </si>
  <si>
    <t>thumbnail_image_834891f56a</t>
  </si>
  <si>
    <t>62d7d56a22e03e001901322a</t>
  </si>
  <si>
    <t>62d7d58522e03e001901322c</t>
  </si>
  <si>
    <t>/uploads/image_85e8723d58.jpg</t>
  </si>
  <si>
    <t>thumbnail_image_85e8723d58</t>
  </si>
  <si>
    <t>62d7d58522e03e001901322d</t>
  </si>
  <si>
    <t>62d7d59722e03e001901322f</t>
  </si>
  <si>
    <t>/uploads/image_751cb16cb0.jpg</t>
  </si>
  <si>
    <t>thumbnail_image_751cb16cb0</t>
  </si>
  <si>
    <t>62d7d59722e03e0019013230</t>
  </si>
  <si>
    <t>62d7d5b522e03e0019013232</t>
  </si>
  <si>
    <t>/uploads/image_842aa5f10e.jpg</t>
  </si>
  <si>
    <t>thumbnail_image_842aa5f10e</t>
  </si>
  <si>
    <t>62d7d5b522e03e0019013233</t>
  </si>
  <si>
    <t>62d7d5ce22e03e0019013235</t>
  </si>
  <si>
    <t>/uploads/image_4fc526e27b.jpg</t>
  </si>
  <si>
    <t>thumbnail_image_4fc526e27b</t>
  </si>
  <si>
    <t>62d7d5ce22e03e0019013236</t>
  </si>
  <si>
    <t>62d7d5e322e03e0019013238</t>
  </si>
  <si>
    <t>/uploads/image_6f594efe86.jpg</t>
  </si>
  <si>
    <t>thumbnail_image_6f594efe86</t>
  </si>
  <si>
    <t>62d7d5e322e03e0019013239</t>
  </si>
  <si>
    <t>62d7d60222e03e001901323b</t>
  </si>
  <si>
    <t>/uploads/image_29f4a7c5af.jpg</t>
  </si>
  <si>
    <t>thumbnail_image_29f4a7c5af</t>
  </si>
  <si>
    <t>62d7d60222e03e001901323c</t>
  </si>
  <si>
    <t>62da465c22e03e001901323e</t>
  </si>
  <si>
    <t>/uploads/image_ced4c627d3.jpg</t>
  </si>
  <si>
    <t>thumbnail_image_ced4c627d3</t>
  </si>
  <si>
    <t>62da465c22e03e001901323f</t>
  </si>
  <si>
    <t>62da469622e03e0019013241</t>
  </si>
  <si>
    <t>/uploads/image_a908a104cc.jpg</t>
  </si>
  <si>
    <t>thumbnail_image_a908a104cc</t>
  </si>
  <si>
    <t>62da469622e03e0019013242</t>
  </si>
  <si>
    <t>62da46cb22e03e0019013244</t>
  </si>
  <si>
    <t>/uploads/image_1a0304f754.jpg</t>
  </si>
  <si>
    <t>thumbnail_image_1a0304f754</t>
  </si>
  <si>
    <t>62da46cb22e03e0019013245</t>
  </si>
  <si>
    <t>62da46fb22e03e0019013247</t>
  </si>
  <si>
    <t>/uploads/image_289e8e094a.jpg</t>
  </si>
  <si>
    <t>thumbnail_image_289e8e094a</t>
  </si>
  <si>
    <t>62da46fb22e03e0019013248</t>
  </si>
  <si>
    <t>62da475422e03e001901324a</t>
  </si>
  <si>
    <t>/uploads/image_a1ecab09c4.jpg</t>
  </si>
  <si>
    <t>thumbnail_image_a1ecab09c4</t>
  </si>
  <si>
    <t>62da475422e03e001901324b</t>
  </si>
  <si>
    <t>62da478522e03e001901324d</t>
  </si>
  <si>
    <t>/uploads/image_5f9e9666cd.jpg</t>
  </si>
  <si>
    <t>thumbnail_image_5f9e9666cd</t>
  </si>
  <si>
    <t>62da478522e03e001901324e</t>
  </si>
  <si>
    <t>62da47b322e03e0019013250</t>
  </si>
  <si>
    <t>/uploads/image_4da9812a5a.jpg</t>
  </si>
  <si>
    <t>thumbnail_image_4da9812a5a</t>
  </si>
  <si>
    <t>62da47b322e03e0019013251</t>
  </si>
  <si>
    <t>62da47e522e03e0019013253</t>
  </si>
  <si>
    <t>/uploads/image_c1de1354e8.jpg</t>
  </si>
  <si>
    <t>thumbnail_image_c1de1354e8</t>
  </si>
  <si>
    <t>62da47e522e03e0019013254</t>
  </si>
  <si>
    <t>62da481022e03e0019013256</t>
  </si>
  <si>
    <t>/uploads/image_7917a93b1f.jpg</t>
  </si>
  <si>
    <t>thumbnail_image_7917a93b1f</t>
  </si>
  <si>
    <t>62da481022e03e0019013257</t>
  </si>
  <si>
    <t>62da483d22e03e0019013259</t>
  </si>
  <si>
    <t>/uploads/image_efb020b942.jpg</t>
  </si>
  <si>
    <t>thumbnail_image_efb020b942</t>
  </si>
  <si>
    <t>62da483d22e03e001901325a</t>
  </si>
  <si>
    <t>62da488e22e03e001901325c</t>
  </si>
  <si>
    <t>/uploads/image_3a7f5c15c1.jpg</t>
  </si>
  <si>
    <t>thumbnail_image_3a7f5c15c1</t>
  </si>
  <si>
    <t>62da488e22e03e001901325d</t>
  </si>
  <si>
    <t>62da497622e03e001901325f</t>
  </si>
  <si>
    <t>/uploads/image_eb622a0b1a.jpg</t>
  </si>
  <si>
    <t>thumbnail_image_eb622a0b1a</t>
  </si>
  <si>
    <t>62da497622e03e0019013260</t>
  </si>
  <si>
    <t>62da49df22e03e0019013262</t>
  </si>
  <si>
    <t>/uploads/image_88b47d2e58.jpg</t>
  </si>
  <si>
    <t>thumbnail_image_88b47d2e58</t>
  </si>
  <si>
    <t>62da49df22e03e0019013263</t>
  </si>
  <si>
    <t>62da49e522e03e0019013264</t>
  </si>
  <si>
    <t>/uploads/image_706dae97dd.jpg</t>
  </si>
  <si>
    <t>thumbnail_image_706dae97dd</t>
  </si>
  <si>
    <t>62da49e522e03e0019013265</t>
  </si>
  <si>
    <t>62da49fc22e03e0019013267</t>
  </si>
  <si>
    <t>/uploads/image_9a5dc04ee4.jpg</t>
  </si>
  <si>
    <t>thumbnail_image_9a5dc04ee4</t>
  </si>
  <si>
    <t>62da49fc22e03e0019013268</t>
  </si>
  <si>
    <t>62da4b7222e03e001901326a</t>
  </si>
  <si>
    <t>/uploads/image_8a74b4fd78.jpg</t>
  </si>
  <si>
    <t>thumbnail_image_8a74b4fd78</t>
  </si>
  <si>
    <t>62da4b7222e03e001901326b</t>
  </si>
  <si>
    <t>62da4bb422e03e001901326d</t>
  </si>
  <si>
    <t>/uploads/image_9bfa7018f4.jpg</t>
  </si>
  <si>
    <t>thumbnail_image_9bfa7018f4</t>
  </si>
  <si>
    <t>62da4bb422e03e001901326e</t>
  </si>
  <si>
    <t>62da4bbf22e03e001901326f</t>
  </si>
  <si>
    <t>/uploads/image_17ac00e297.jpg</t>
  </si>
  <si>
    <t>thumbnail_image_17ac00e297</t>
  </si>
  <si>
    <t>62da4bbf22e03e0019013270</t>
  </si>
  <si>
    <t>62da4bbf22e03e0019013271</t>
  </si>
  <si>
    <t>/uploads/image_f27724d65f.jpg</t>
  </si>
  <si>
    <t>thumbnail_image_f27724d65f</t>
  </si>
  <si>
    <t>62da4bbf22e03e0019013272</t>
  </si>
  <si>
    <t>62da4bc422e03e0019013273</t>
  </si>
  <si>
    <t>/uploads/image_f52a33c1f7.jpg</t>
  </si>
  <si>
    <t>thumbnail_image_f52a33c1f7</t>
  </si>
  <si>
    <t>62da4bc422e03e0019013274</t>
  </si>
  <si>
    <t>62da4c1922e03e0019013276</t>
  </si>
  <si>
    <t>/uploads/image_8392fcc851.jpg</t>
  </si>
  <si>
    <t>thumbnail_image_8392fcc851</t>
  </si>
  <si>
    <t>62da4c1922e03e0019013277</t>
  </si>
  <si>
    <t>62da4cd322e03e001901327f</t>
  </si>
  <si>
    <t>/uploads/image_9b14570add.jpg</t>
  </si>
  <si>
    <t>thumbnail_image_9b14570add</t>
  </si>
  <si>
    <t>62da4cd422e03e0019013284</t>
  </si>
  <si>
    <t>/uploads/image_188dc20c5d.jpg</t>
  </si>
  <si>
    <t>thumbnail_image_188dc20c5d</t>
  </si>
  <si>
    <t>62da4cd422e03e001901328a</t>
  </si>
  <si>
    <t>/uploads/image_e67480974f.jpg</t>
  </si>
  <si>
    <t>thumbnail_image_e67480974f</t>
  </si>
  <si>
    <t>62da4cd422e03e0019013294</t>
  </si>
  <si>
    <t>/uploads/image_34711472f6.jpg</t>
  </si>
  <si>
    <t>thumbnail_image_34711472f6</t>
  </si>
  <si>
    <t>62da4cd422e03e0019013295</t>
  </si>
  <si>
    <t>/uploads/image_fa71d57b03.jpg</t>
  </si>
  <si>
    <t>thumbnail_image_fa71d57b03</t>
  </si>
  <si>
    <t>62da4cdc22e03e0019013296</t>
  </si>
  <si>
    <t>/uploads/image_2bc50898c4.jpg</t>
  </si>
  <si>
    <t>thumbnail_image_2bc50898c4</t>
  </si>
  <si>
    <t>62da4cdc22e03e0019013297</t>
  </si>
  <si>
    <t>62da4d5122e03e0019013299</t>
  </si>
  <si>
    <t>/uploads/image_f6563660d7.jpg</t>
  </si>
  <si>
    <t>thumbnail_image_f6563660d7</t>
  </si>
  <si>
    <t>62da4d5122e03e001901329a</t>
  </si>
  <si>
    <t>62da4d7a22e03e001901329c</t>
  </si>
  <si>
    <t>/uploads/image_c9347e28a4.jpg</t>
  </si>
  <si>
    <t>thumbnail_image_c9347e28a4</t>
  </si>
  <si>
    <t>62da4d7a22e03e001901329d</t>
  </si>
  <si>
    <t>62da4ded22e03e001901329f</t>
  </si>
  <si>
    <t>/uploads/image_074480ac91.jpg</t>
  </si>
  <si>
    <t>thumbnail_image_074480ac91</t>
  </si>
  <si>
    <t>62da4ded22e03e00190132a0</t>
  </si>
  <si>
    <t>62da4e6e22e03e00190132a2</t>
  </si>
  <si>
    <t>/uploads/image_ee55eab9ac.jpg</t>
  </si>
  <si>
    <t>thumbnail_image_ee55eab9ac</t>
  </si>
  <si>
    <t>62da4e6e22e03e00190132a3</t>
  </si>
  <si>
    <t>62da4ebf22e03e00190132a5</t>
  </si>
  <si>
    <t>/uploads/image_0c657172c4.jpg</t>
  </si>
  <si>
    <t>thumbnail_image_0c657172c4</t>
  </si>
  <si>
    <t>62da4ebf22e03e00190132a6</t>
  </si>
  <si>
    <t>62da4f9222e03e00190132a8</t>
  </si>
  <si>
    <t>/uploads/image_037885e4cd.jpg</t>
  </si>
  <si>
    <t>thumbnail_image_037885e4cd</t>
  </si>
  <si>
    <t>62da4f9222e03e00190132a9</t>
  </si>
  <si>
    <t>62da4fd622e03e00190132ab</t>
  </si>
  <si>
    <t>/uploads/image_bba11e7e68.jpg</t>
  </si>
  <si>
    <t>thumbnail_image_bba11e7e68</t>
  </si>
  <si>
    <t>62da4fd622e03e00190132ac</t>
  </si>
  <si>
    <t>62da505d22e03e00190132ae</t>
  </si>
  <si>
    <t>/uploads/image_e5444dd301.jpg</t>
  </si>
  <si>
    <t>thumbnail_image_e5444dd301</t>
  </si>
  <si>
    <t>62da505d22e03e00190132af</t>
  </si>
  <si>
    <t>62da50d822e03e00190132b1</t>
  </si>
  <si>
    <t>/uploads/image_b551ae7379.jpg</t>
  </si>
  <si>
    <t>thumbnail_image_b551ae7379</t>
  </si>
  <si>
    <t>62da50d822e03e00190132b2</t>
  </si>
  <si>
    <t>62da511e22e03e00190132b4</t>
  </si>
  <si>
    <t>/uploads/image_b09dfb45d2.jpg</t>
  </si>
  <si>
    <t>thumbnail_image_b09dfb45d2</t>
  </si>
  <si>
    <t>62da511e22e03e00190132b5</t>
  </si>
  <si>
    <t>62da514322e03e00190132b7</t>
  </si>
  <si>
    <t>/uploads/image_cc9d5f7141.jpg</t>
  </si>
  <si>
    <t>thumbnail_image_cc9d5f7141</t>
  </si>
  <si>
    <t>62da514322e03e00190132b8</t>
  </si>
  <si>
    <t>62da516e22e03e00190132ba</t>
  </si>
  <si>
    <t>/uploads/image_b7b97e1462.jpg</t>
  </si>
  <si>
    <t>thumbnail_image_b7b97e1462</t>
  </si>
  <si>
    <t>62da516e22e03e00190132bb</t>
  </si>
  <si>
    <t>62da51bc22e03e00190132bd</t>
  </si>
  <si>
    <t>/uploads/image_7285811e7e.jpg</t>
  </si>
  <si>
    <t>thumbnail_image_7285811e7e</t>
  </si>
  <si>
    <t>62da51bc22e03e00190132be</t>
  </si>
  <si>
    <t>62da52c222e03e00190132c1</t>
  </si>
  <si>
    <t>/uploads/image_221aeb2577.jpg</t>
  </si>
  <si>
    <t>thumbnail_image_221aeb2577</t>
  </si>
  <si>
    <t>62da52c222e03e00190132c2</t>
  </si>
  <si>
    <t>62da531e22e03e00190132c4</t>
  </si>
  <si>
    <t>/uploads/image_62369c8ba8.jpg</t>
  </si>
  <si>
    <t>thumbnail_image_62369c8ba8</t>
  </si>
  <si>
    <t>62da531e22e03e00190132c5</t>
  </si>
  <si>
    <t>62da536822e03e00190132c7</t>
  </si>
  <si>
    <t>/uploads/image_ee6cd84ec4.jpg</t>
  </si>
  <si>
    <t>thumbnail_image_ee6cd84ec4</t>
  </si>
  <si>
    <t>62da536822e03e00190132c8</t>
  </si>
  <si>
    <t>62da540a22e03e00190132ca</t>
  </si>
  <si>
    <t>/uploads/image_c8f5e07595.jpg</t>
  </si>
  <si>
    <t>thumbnail_image_c8f5e07595</t>
  </si>
  <si>
    <t>62da540a22e03e00190132cb</t>
  </si>
  <si>
    <t>62da580f22e03e00190132cd</t>
  </si>
  <si>
    <t>/uploads/image_1e7a046a38.jpg</t>
  </si>
  <si>
    <t>thumbnail_image_1e7a046a38</t>
  </si>
  <si>
    <t>62da580f22e03e00190132ce</t>
  </si>
  <si>
    <t>62da585c22e03e00190132d0</t>
  </si>
  <si>
    <t>/uploads/image_0dec1846e5.jpg</t>
  </si>
  <si>
    <t>thumbnail_image_0dec1846e5</t>
  </si>
  <si>
    <t>62da585c22e03e00190132d1</t>
  </si>
  <si>
    <t>62da58ce22e03e00190132d3</t>
  </si>
  <si>
    <t>/uploads/image_08265dff7a.jpg</t>
  </si>
  <si>
    <t>thumbnail_image_08265dff7a</t>
  </si>
  <si>
    <t>62da58ce22e03e00190132d4</t>
  </si>
  <si>
    <t>62da58f822e03e00190132d6</t>
  </si>
  <si>
    <t>/uploads/image_620a3d510c.jpg</t>
  </si>
  <si>
    <t>thumbnail_image_620a3d510c</t>
  </si>
  <si>
    <t>62da58f822e03e00190132d7</t>
  </si>
  <si>
    <t>62da590f22e03e00190132d9</t>
  </si>
  <si>
    <t>/uploads/image_196c294600.jpg</t>
  </si>
  <si>
    <t>thumbnail_image_196c294600</t>
  </si>
  <si>
    <t>62da590f22e03e00190132da</t>
  </si>
  <si>
    <t>62da5aeb22e03e00190132dc</t>
  </si>
  <si>
    <t>/uploads/image_cbae954195.jpg</t>
  </si>
  <si>
    <t>thumbnail_image_cbae954195</t>
  </si>
  <si>
    <t>62da5aeb22e03e00190132dd</t>
  </si>
  <si>
    <t>62da5b0622e03e00190132df</t>
  </si>
  <si>
    <t>/uploads/image_d89bd5e8a0.jpg</t>
  </si>
  <si>
    <t>thumbnail_image_d89bd5e8a0</t>
  </si>
  <si>
    <t>62da5b0622e03e00190132e0</t>
  </si>
  <si>
    <t>62da5be722e03e00190132e2</t>
  </si>
  <si>
    <t>/uploads/image_856f609e72.jpg</t>
  </si>
  <si>
    <t>thumbnail_image_856f609e72</t>
  </si>
  <si>
    <t>62da5be722e03e00190132e3</t>
  </si>
  <si>
    <t>62da5c8922e03e00190132e5</t>
  </si>
  <si>
    <t>/uploads/image_038070469b.jpg</t>
  </si>
  <si>
    <t>thumbnail_image_038070469b</t>
  </si>
  <si>
    <t>62da5c8922e03e00190132e6</t>
  </si>
  <si>
    <t>62da5d6e22e03e00190132e8</t>
  </si>
  <si>
    <t>/uploads/image_a65726b0ee.jpg</t>
  </si>
  <si>
    <t>thumbnail_image_a65726b0ee</t>
  </si>
  <si>
    <t>62da5d6e22e03e00190132e9</t>
  </si>
  <si>
    <t>62da5e2122e03e00190132ea</t>
  </si>
  <si>
    <t>/uploads/image_8b2017b876.jpg</t>
  </si>
  <si>
    <t>thumbnail_image_8b2017b876</t>
  </si>
  <si>
    <t>62da5e2222e03e00190132eb</t>
  </si>
  <si>
    <t>62da5e4522e03e00190132ed</t>
  </si>
  <si>
    <t>/uploads/image_ad5166404f.jpg</t>
  </si>
  <si>
    <t>thumbnail_image_ad5166404f</t>
  </si>
  <si>
    <t>62da5e4522e03e00190132ee</t>
  </si>
  <si>
    <t>62da5e5d22e03e00190132f0</t>
  </si>
  <si>
    <t>/uploads/image_9299847aca.jpg</t>
  </si>
  <si>
    <t>thumbnail_image_9299847aca</t>
  </si>
  <si>
    <t>62da5e5d22e03e00190132f1</t>
  </si>
  <si>
    <t>62da5e9d22e03e00190132f3</t>
  </si>
  <si>
    <t>/uploads/image_dffa810d47.jpg</t>
  </si>
  <si>
    <t>thumbnail_image_dffa810d47</t>
  </si>
  <si>
    <t>62da5e9d22e03e00190132f4</t>
  </si>
  <si>
    <t>62da5eba22e03e00190132f6</t>
  </si>
  <si>
    <t>/uploads/image_17563b2fda.jpg</t>
  </si>
  <si>
    <t>thumbnail_image_17563b2fda</t>
  </si>
  <si>
    <t>62da5eba22e03e00190132f7</t>
  </si>
  <si>
    <t>62da5f0422e03e00190132f9</t>
  </si>
  <si>
    <t>/uploads/image_07d76729fb.jpg</t>
  </si>
  <si>
    <t>thumbnail_image_07d76729fb</t>
  </si>
  <si>
    <t>62da5f0422e03e00190132fa</t>
  </si>
  <si>
    <t>62da5f2822e03e00190132fc</t>
  </si>
  <si>
    <t>/uploads/image_46b04a0681.jpg</t>
  </si>
  <si>
    <t>thumbnail_image_46b04a0681</t>
  </si>
  <si>
    <t>62da5f2822e03e00190132fd</t>
  </si>
  <si>
    <t>62da5f4322e03e00190132ff</t>
  </si>
  <si>
    <t>/uploads/image_3d6971b4b6.jpg</t>
  </si>
  <si>
    <t>thumbnail_image_3d6971b4b6</t>
  </si>
  <si>
    <t>62da5f4322e03e0019013300</t>
  </si>
  <si>
    <t>62da5f5a22e03e0019013302</t>
  </si>
  <si>
    <t>/uploads/image_0bbbb76007.jpg</t>
  </si>
  <si>
    <t>thumbnail_image_0bbbb76007</t>
  </si>
  <si>
    <t>62da5f5a22e03e0019013303</t>
  </si>
  <si>
    <t>62da5f6f22e03e0019013305</t>
  </si>
  <si>
    <t>/uploads/image_d3ad4d1082.jpg</t>
  </si>
  <si>
    <t>thumbnail_image_d3ad4d1082</t>
  </si>
  <si>
    <t>62da5f6f22e03e0019013306</t>
  </si>
  <si>
    <t>62da5fba22e03e0019013308</t>
  </si>
  <si>
    <t>/uploads/image_2e29ea9891.jpg</t>
  </si>
  <si>
    <t>thumbnail_image_2e29ea9891</t>
  </si>
  <si>
    <t>62da5fba22e03e0019013309</t>
  </si>
  <si>
    <t>62da60dc22e03e001901330b</t>
  </si>
  <si>
    <t>/uploads/image_93855129e8.jpg</t>
  </si>
  <si>
    <t>thumbnail_image_93855129e8</t>
  </si>
  <si>
    <t>62da60dc22e03e001901330c</t>
  </si>
  <si>
    <t>62da60f522e03e001901330e</t>
  </si>
  <si>
    <t>/uploads/image_9521376c14.jpg</t>
  </si>
  <si>
    <t>thumbnail_image_9521376c14</t>
  </si>
  <si>
    <t>62da60f522e03e001901330f</t>
  </si>
  <si>
    <t>62da616122e03e0019013311</t>
  </si>
  <si>
    <t>/uploads/image_4e29967ecc.jpg</t>
  </si>
  <si>
    <t>thumbnail_image_4e29967ecc</t>
  </si>
  <si>
    <t>62da616122e03e0019013312</t>
  </si>
  <si>
    <t>62da61e022e03e0019013314</t>
  </si>
  <si>
    <t>/uploads/image_4c1b2006ab.jpg</t>
  </si>
  <si>
    <t>thumbnail_image_4c1b2006ab</t>
  </si>
  <si>
    <t>62da61e022e03e0019013315</t>
  </si>
  <si>
    <t>62da620122e03e0019013317</t>
  </si>
  <si>
    <t>/uploads/image_4af4fbfa75.jpg</t>
  </si>
  <si>
    <t>thumbnail_image_4af4fbfa75</t>
  </si>
  <si>
    <t>62da620122e03e0019013318</t>
  </si>
  <si>
    <t>62da622522e03e001901331a</t>
  </si>
  <si>
    <t>/uploads/image_1124aa1068.jpg</t>
  </si>
  <si>
    <t>thumbnail_image_1124aa1068</t>
  </si>
  <si>
    <t>62da622522e03e001901331b</t>
  </si>
  <si>
    <t>62da62a422e03e001901331d</t>
  </si>
  <si>
    <t>/uploads/image_624771b17d.jpg</t>
  </si>
  <si>
    <t>thumbnail_image_624771b17d</t>
  </si>
  <si>
    <t>62da62a422e03e001901331e</t>
  </si>
  <si>
    <t>62da62bc22e03e0019013320</t>
  </si>
  <si>
    <t>/uploads/image_84740490c2.jpg</t>
  </si>
  <si>
    <t>thumbnail_image_84740490c2</t>
  </si>
  <si>
    <t>62da62bd22e03e0019013321</t>
  </si>
  <si>
    <t>62da62da22e03e0019013323</t>
  </si>
  <si>
    <t>/uploads/image_4fd77b3548.jpg</t>
  </si>
  <si>
    <t>thumbnail_image_4fd77b3548</t>
  </si>
  <si>
    <t>62da62da22e03e0019013324</t>
  </si>
  <si>
    <t>62da631122e03e0019013326</t>
  </si>
  <si>
    <t>/uploads/image_8f8de2f126.jpg</t>
  </si>
  <si>
    <t>thumbnail_image_8f8de2f126</t>
  </si>
  <si>
    <t>62da631122e03e0019013327</t>
  </si>
  <si>
    <t>62da636f22e03e0019013329</t>
  </si>
  <si>
    <t>/uploads/image_ac91742727.jpg</t>
  </si>
  <si>
    <t>thumbnail_image_ac91742727</t>
  </si>
  <si>
    <t>62da636f22e03e001901332a</t>
  </si>
  <si>
    <t>62da63ea22e03e001901332c</t>
  </si>
  <si>
    <t>/uploads/image_aa625294e1.jpg</t>
  </si>
  <si>
    <t>thumbnail_image_aa625294e1</t>
  </si>
  <si>
    <t>62da63ea22e03e001901332d</t>
  </si>
  <si>
    <t>62da653622e03e001901332f</t>
  </si>
  <si>
    <t>/uploads/image_80308e4cfb.jpg</t>
  </si>
  <si>
    <t>thumbnail_image_80308e4cfb</t>
  </si>
  <si>
    <t>62da653622e03e0019013330</t>
  </si>
  <si>
    <t>62da659f22e03e0019013332</t>
  </si>
  <si>
    <t>/uploads/image_8f91520d3e.jpg</t>
  </si>
  <si>
    <t>thumbnail_image_8f91520d3e</t>
  </si>
  <si>
    <t>62da659f22e03e0019013333</t>
  </si>
  <si>
    <t>62da65bf22e03e0019013335</t>
  </si>
  <si>
    <t>/uploads/image_e6d35a993b.jpg</t>
  </si>
  <si>
    <t>thumbnail_image_e6d35a993b</t>
  </si>
  <si>
    <t>62da65bf22e03e0019013336</t>
  </si>
  <si>
    <t>62da66df22e03e0019013338</t>
  </si>
  <si>
    <t>/uploads/image_ce7336f25e.jpg</t>
  </si>
  <si>
    <t>thumbnail_image_ce7336f25e</t>
  </si>
  <si>
    <t>62da66df22e03e0019013339</t>
  </si>
  <si>
    <t>62da672222e03e001901333b</t>
  </si>
  <si>
    <t>/uploads/image_3b21d03571.jpg</t>
  </si>
  <si>
    <t>thumbnail_image_3b21d03571</t>
  </si>
  <si>
    <t>62da672222e03e001901333c</t>
  </si>
  <si>
    <t>62da690722e03e001901333e</t>
  </si>
  <si>
    <t>/uploads/image_7718323138.jpg</t>
  </si>
  <si>
    <t>thumbnail_image_7718323138</t>
  </si>
  <si>
    <t>62da690722e03e001901333f</t>
  </si>
  <si>
    <t>62da694a22e03e0019013341</t>
  </si>
  <si>
    <t>/uploads/image_e451efd8ef.jpg</t>
  </si>
  <si>
    <t>thumbnail_image_e451efd8ef</t>
  </si>
  <si>
    <t>62da694a22e03e0019013342</t>
  </si>
  <si>
    <t>62da6b1422e03e0019013344</t>
  </si>
  <si>
    <t>/uploads/image_7e07f4d124.jpg</t>
  </si>
  <si>
    <t>thumbnail_image_7e07f4d124</t>
  </si>
  <si>
    <t>62da6b1422e03e0019013345</t>
  </si>
  <si>
    <t>62da6b8122e03e0019013347</t>
  </si>
  <si>
    <t>/uploads/image_98b34914ea.jpg</t>
  </si>
  <si>
    <t>thumbnail_image_98b34914ea</t>
  </si>
  <si>
    <t>62da6b8122e03e0019013348</t>
  </si>
  <si>
    <t>62da6c6a22e03e001901334a</t>
  </si>
  <si>
    <t>/uploads/image_0561a8703e.jpg</t>
  </si>
  <si>
    <t>thumbnail_image_0561a8703e</t>
  </si>
  <si>
    <t>62da6c6a22e03e001901334b</t>
  </si>
  <si>
    <t>62da6da122e03e001901334d</t>
  </si>
  <si>
    <t>/uploads/image_d85ca1cf4d.jpg</t>
  </si>
  <si>
    <t>thumbnail_image_d85ca1cf4d</t>
  </si>
  <si>
    <t>62da6da122e03e001901334e</t>
  </si>
  <si>
    <t>62e0e69671331f001d559c4a</t>
  </si>
  <si>
    <t>/uploads/image_e869db83da.jpg</t>
  </si>
  <si>
    <t>thumbnail_image_e869db83da</t>
  </si>
  <si>
    <t>62e0e69671331f001d559c4b</t>
  </si>
  <si>
    <t>62e0e6e371331f001d559c4d</t>
  </si>
  <si>
    <t>/uploads/image_f30322d4a1.jpg</t>
  </si>
  <si>
    <t>thumbnail_image_f30322d4a1</t>
  </si>
  <si>
    <t>62e0e6e371331f001d559c4e</t>
  </si>
  <si>
    <t>62e0e72871331f001d559c50</t>
  </si>
  <si>
    <t>/uploads/image_7a558713ca.jpg</t>
  </si>
  <si>
    <t>thumbnail_image_7a558713ca</t>
  </si>
  <si>
    <t>62e0e72871331f001d559c51</t>
  </si>
  <si>
    <t>62e0e76c71331f001d559c53</t>
  </si>
  <si>
    <t>/uploads/image_1e99f85993.jpg</t>
  </si>
  <si>
    <t>thumbnail_image_1e99f85993</t>
  </si>
  <si>
    <t>62e0e76c71331f001d559c54</t>
  </si>
  <si>
    <t>62e0e81971331f001d559c56</t>
  </si>
  <si>
    <t>/uploads/image_11e2c9f5e8.jpg</t>
  </si>
  <si>
    <t>thumbnail_image_11e2c9f5e8</t>
  </si>
  <si>
    <t>62e0e81971331f001d559c57</t>
  </si>
  <si>
    <t>62e0e87171331f001d559c59</t>
  </si>
  <si>
    <t>/uploads/image_445d324161.jpg</t>
  </si>
  <si>
    <t>thumbnail_image_445d324161</t>
  </si>
  <si>
    <t>62e0e87171331f001d559c5a</t>
  </si>
  <si>
    <t>62e0e8d071331f001d559c5c</t>
  </si>
  <si>
    <t>/uploads/image_47dd5c8571.jpg</t>
  </si>
  <si>
    <t>thumbnail_image_47dd5c8571</t>
  </si>
  <si>
    <t>62e0e8d071331f001d559c5d</t>
  </si>
  <si>
    <t>62e0e8f071331f001d559c5f</t>
  </si>
  <si>
    <t>/uploads/image_6ede3fb158.jpg</t>
  </si>
  <si>
    <t>thumbnail_image_6ede3fb158</t>
  </si>
  <si>
    <t>62e0e8f071331f001d559c60</t>
  </si>
  <si>
    <t>62e0e92871331f001d559c62</t>
  </si>
  <si>
    <t>/uploads/image_44571de4b0.jpg</t>
  </si>
  <si>
    <t>thumbnail_image_44571de4b0</t>
  </si>
  <si>
    <t>62e0e92871331f001d559c63</t>
  </si>
  <si>
    <t>62e0e9a671331f001d559c65</t>
  </si>
  <si>
    <t>/uploads/image_5f6ad9164f.jpg</t>
  </si>
  <si>
    <t>thumbnail_image_5f6ad9164f</t>
  </si>
  <si>
    <t>62e0e9a671331f001d559c66</t>
  </si>
  <si>
    <t>62e0e9ad71331f001d559c67</t>
  </si>
  <si>
    <t>/uploads/image_1313b36c01.jpg</t>
  </si>
  <si>
    <t>thumbnail_image_1313b36c01</t>
  </si>
  <si>
    <t>62e0e9ad71331f001d559c68</t>
  </si>
  <si>
    <t>62e0e9ae71331f001d559c69</t>
  </si>
  <si>
    <t>/uploads/image_4dda1c22e2.jpg</t>
  </si>
  <si>
    <t>thumbnail_image_4dda1c22e2</t>
  </si>
  <si>
    <t>62e0e9ae71331f001d559c6a</t>
  </si>
  <si>
    <t>62e0ed3571331f001d559c6c</t>
  </si>
  <si>
    <t>/uploads/image_4c1e301119.jpg</t>
  </si>
  <si>
    <t>thumbnail_image_4c1e301119</t>
  </si>
  <si>
    <t>62e0ed3571331f001d559c6d</t>
  </si>
  <si>
    <t>62e0ed6771331f001d559c6f</t>
  </si>
  <si>
    <t>/uploads/image_14dc808dad.jpg</t>
  </si>
  <si>
    <t>thumbnail_image_14dc808dad</t>
  </si>
  <si>
    <t>62e0ed6771331f001d559c70</t>
  </si>
  <si>
    <t>62e0edb771331f001d559c72</t>
  </si>
  <si>
    <t>/uploads/image_0797b9faac.jpg</t>
  </si>
  <si>
    <t>thumbnail_image_0797b9faac</t>
  </si>
  <si>
    <t>62e0edb771331f001d559c73</t>
  </si>
  <si>
    <t>62e0ede571331f001d559c75</t>
  </si>
  <si>
    <t>/uploads/image_149faac7c7.jpg</t>
  </si>
  <si>
    <t>thumbnail_image_149faac7c7</t>
  </si>
  <si>
    <t>62e0ede571331f001d559c76</t>
  </si>
  <si>
    <t>62e0eded71331f001d559c77</t>
  </si>
  <si>
    <t>/uploads/image_4f2a3f1ba5.jpg</t>
  </si>
  <si>
    <t>thumbnail_image_4f2a3f1ba5</t>
  </si>
  <si>
    <t>62e0eded71331f001d559c78</t>
  </si>
  <si>
    <t>62e0edf371331f001d559c79</t>
  </si>
  <si>
    <t>/uploads/image_c48b894691.jpg</t>
  </si>
  <si>
    <t>thumbnail_image_c48b894691</t>
  </si>
  <si>
    <t>62e0edf371331f001d559c7a</t>
  </si>
  <si>
    <t>62e0ee0471331f001d559c7c</t>
  </si>
  <si>
    <t>/uploads/image_af3940e65e.jpg</t>
  </si>
  <si>
    <t>thumbnail_image_af3940e65e</t>
  </si>
  <si>
    <t>62e0ee0471331f001d559c7d</t>
  </si>
  <si>
    <t>62e0ee4771331f001d559c7f</t>
  </si>
  <si>
    <t>/uploads/image_6b04ebbf83.jpg</t>
  </si>
  <si>
    <t>thumbnail_image_6b04ebbf83</t>
  </si>
  <si>
    <t>62e0ee4771331f001d559c80</t>
  </si>
  <si>
    <t>62e0eec471331f001d559c82</t>
  </si>
  <si>
    <t>/uploads/image_78f04549d7.jpg</t>
  </si>
  <si>
    <t>thumbnail_image_78f04549d7</t>
  </si>
  <si>
    <t>62e0eec471331f001d559c83</t>
  </si>
  <si>
    <t>62e0ef0d71331f001d559c85</t>
  </si>
  <si>
    <t>/uploads/image_620e0d6bb1.jpg</t>
  </si>
  <si>
    <t>thumbnail_image_620e0d6bb1</t>
  </si>
  <si>
    <t>62e0ef0d71331f001d559c86</t>
  </si>
  <si>
    <t>62e0ef5871331f001d559c88</t>
  </si>
  <si>
    <t>/uploads/image_7fd3a27ccd.jpg</t>
  </si>
  <si>
    <t>thumbnail_image_7fd3a27ccd</t>
  </si>
  <si>
    <t>62e0ef5871331f001d559c89</t>
  </si>
  <si>
    <t>62e0efb071331f001d559c8b</t>
  </si>
  <si>
    <t>/uploads/image_992cd63cc8.jpg</t>
  </si>
  <si>
    <t>thumbnail_image_992cd63cc8</t>
  </si>
  <si>
    <t>62e0efb071331f001d559c8c</t>
  </si>
  <si>
    <t>62e0f00371331f001d559c8e</t>
  </si>
  <si>
    <t>/uploads/image_670d694eb7.jpg</t>
  </si>
  <si>
    <t>thumbnail_image_670d694eb7</t>
  </si>
  <si>
    <t>62e0f00371331f001d559c8f</t>
  </si>
  <si>
    <t>62e0f02271331f001d559c91</t>
  </si>
  <si>
    <t>/uploads/image_d38a4c4bf4.jpg</t>
  </si>
  <si>
    <t>thumbnail_image_d38a4c4bf4</t>
  </si>
  <si>
    <t>62e0f02271331f001d559c92</t>
  </si>
  <si>
    <t>62e0f08271331f001d559c94</t>
  </si>
  <si>
    <t>/uploads/image_c73771031f.jpg</t>
  </si>
  <si>
    <t>thumbnail_image_c73771031f</t>
  </si>
  <si>
    <t>62e0f08271331f001d559c95</t>
  </si>
  <si>
    <t>62e0f0ca71331f001d559c97</t>
  </si>
  <si>
    <t>/uploads/image_97e17abbe7.jpg</t>
  </si>
  <si>
    <t>thumbnail_image_97e17abbe7</t>
  </si>
  <si>
    <t>62e0f0ca71331f001d559c98</t>
  </si>
  <si>
    <t>62e0f11d71331f001d559c9a</t>
  </si>
  <si>
    <t>/uploads/image_8052a4fe15.jpg</t>
  </si>
  <si>
    <t>thumbnail_image_8052a4fe15</t>
  </si>
  <si>
    <t>62e0f11d71331f001d559c9b</t>
  </si>
  <si>
    <t>62e0f15671331f001d559c9d</t>
  </si>
  <si>
    <t>/uploads/image_27309cd7d6.jpg</t>
  </si>
  <si>
    <t>thumbnail_image_27309cd7d6</t>
  </si>
  <si>
    <t>62e0f15671331f001d559c9e</t>
  </si>
  <si>
    <t>62e0f17171331f001d559ca0</t>
  </si>
  <si>
    <t>/uploads/image_2f09607a6f.jpg</t>
  </si>
  <si>
    <t>thumbnail_image_2f09607a6f</t>
  </si>
  <si>
    <t>62e0f17171331f001d559ca1</t>
  </si>
  <si>
    <t>62e0f18971331f001d559ca2</t>
  </si>
  <si>
    <t>/uploads/image_fdc1770439.jpg</t>
  </si>
  <si>
    <t>thumbnail_image_fdc1770439</t>
  </si>
  <si>
    <t>62e0f18971331f001d559ca3</t>
  </si>
  <si>
    <t>62e0f18d71331f001d559ca4</t>
  </si>
  <si>
    <t>/uploads/image_085331b128.jpg</t>
  </si>
  <si>
    <t>thumbnail_image_085331b128</t>
  </si>
  <si>
    <t>62e0f18d71331f001d559ca5</t>
  </si>
  <si>
    <t>62e0f24271331f001d559ca7</t>
  </si>
  <si>
    <t>/uploads/image_2d91ed4e09.jpg</t>
  </si>
  <si>
    <t>thumbnail_image_2d91ed4e09</t>
  </si>
  <si>
    <t>62e0f24271331f001d559ca8</t>
  </si>
  <si>
    <t>62e0f2ef71331f001d559caa</t>
  </si>
  <si>
    <t>/uploads/image_708bbc3531.jpg</t>
  </si>
  <si>
    <t>thumbnail_image_708bbc3531</t>
  </si>
  <si>
    <t>62e0f2ef71331f001d559cab</t>
  </si>
  <si>
    <t>62e0f36071331f001d559cad</t>
  </si>
  <si>
    <t>/uploads/image_b01766bc3b.jpg</t>
  </si>
  <si>
    <t>thumbnail_image_b01766bc3b</t>
  </si>
  <si>
    <t>62e0f36071331f001d559cae</t>
  </si>
  <si>
    <t>62e0f39e71331f001d559cb0</t>
  </si>
  <si>
    <t>/uploads/image_27d521a0a6.jpg</t>
  </si>
  <si>
    <t>thumbnail_image_27d521a0a6</t>
  </si>
  <si>
    <t>62e0f39e71331f001d559cb1</t>
  </si>
  <si>
    <t>62e0f3ca71331f001d559cb3</t>
  </si>
  <si>
    <t>/uploads/image_52e509f6e9.jpg</t>
  </si>
  <si>
    <t>thumbnail_image_52e509f6e9</t>
  </si>
  <si>
    <t>62e0f3ca71331f001d559cb4</t>
  </si>
  <si>
    <t>62e0f3f671331f001d559cb6</t>
  </si>
  <si>
    <t>/uploads/image_184b478dea.jpg</t>
  </si>
  <si>
    <t>thumbnail_image_184b478dea</t>
  </si>
  <si>
    <t>62e0f3f671331f001d559cb7</t>
  </si>
  <si>
    <t>62e0f43671331f001d559cb9</t>
  </si>
  <si>
    <t>/uploads/image_481017d4a3.jpg</t>
  </si>
  <si>
    <t>thumbnail_image_481017d4a3</t>
  </si>
  <si>
    <t>62e0f43671331f001d559cba</t>
  </si>
  <si>
    <t>62e0f4a971331f001d559cbc</t>
  </si>
  <si>
    <t>/uploads/image_c7931a65c1.jpg</t>
  </si>
  <si>
    <t>thumbnail_image_c7931a65c1</t>
  </si>
  <si>
    <t>62e0f4a971331f001d559cbd</t>
  </si>
  <si>
    <t>62e0f4de71331f001d559cbf</t>
  </si>
  <si>
    <t>/uploads/image_5674a5f047.jpg</t>
  </si>
  <si>
    <t>thumbnail_image_5674a5f047</t>
  </si>
  <si>
    <t>62e0f4de71331f001d559cc0</t>
  </si>
  <si>
    <t>62e0f52171331f001d559cc2</t>
  </si>
  <si>
    <t>/uploads/image_81711c1116.jpg</t>
  </si>
  <si>
    <t>thumbnail_image_81711c1116</t>
  </si>
  <si>
    <t>62e0f52171331f001d559cc3</t>
  </si>
  <si>
    <t>62e0f5a071331f001d559cc5</t>
  </si>
  <si>
    <t>/uploads/image_c3aa67478e.jpg</t>
  </si>
  <si>
    <t>thumbnail_image_c3aa67478e</t>
  </si>
  <si>
    <t>62e0f5a071331f001d559cc6</t>
  </si>
  <si>
    <t>62e0f5dc71331f001d559cc8</t>
  </si>
  <si>
    <t>/uploads/image_7003adb711.jpg</t>
  </si>
  <si>
    <t>thumbnail_image_7003adb711</t>
  </si>
  <si>
    <t>62e0f5dc71331f001d559cc9</t>
  </si>
  <si>
    <t>62e0f67371331f001d559ccc</t>
  </si>
  <si>
    <t>/uploads/image_c03393cdfc.jpg</t>
  </si>
  <si>
    <t>thumbnail_image_c03393cdfc</t>
  </si>
  <si>
    <t>62e0f67371331f001d559ccd</t>
  </si>
  <si>
    <t>62e0f6be71331f001d559ccf</t>
  </si>
  <si>
    <t>/uploads/image_51d3b648b3.jpg</t>
  </si>
  <si>
    <t>thumbnail_image_51d3b648b3</t>
  </si>
  <si>
    <t>62e0f6be71331f001d559cd0</t>
  </si>
  <si>
    <t>62e0f6f871331f001d559cd2</t>
  </si>
  <si>
    <t>/uploads/image_ee6498d9ad.jpg</t>
  </si>
  <si>
    <t>thumbnail_image_ee6498d9ad</t>
  </si>
  <si>
    <t>62e0f6f871331f001d559cd3</t>
  </si>
  <si>
    <t>62e0f7d371331f001d559cd5</t>
  </si>
  <si>
    <t>/uploads/image_f567eb733f.jpg</t>
  </si>
  <si>
    <t>thumbnail_image_f567eb733f</t>
  </si>
  <si>
    <t>62e0f7d371331f001d559cd6</t>
  </si>
  <si>
    <t>62e0f85771331f001d559cd8</t>
  </si>
  <si>
    <t>/uploads/image_aa33a8d4b4.jpg</t>
  </si>
  <si>
    <t>thumbnail_image_aa33a8d4b4</t>
  </si>
  <si>
    <t>62e0f85771331f001d559cd9</t>
  </si>
  <si>
    <t>62e0f87c71331f001d559cdb</t>
  </si>
  <si>
    <t>/uploads/image_d3551a70db.jpg</t>
  </si>
  <si>
    <t>thumbnail_image_d3551a70db</t>
  </si>
  <si>
    <t>62e0f87c71331f001d559cdc</t>
  </si>
  <si>
    <t>62e0f8fb71331f001d559cde</t>
  </si>
  <si>
    <t>/uploads/image_76949eaef4.jpg</t>
  </si>
  <si>
    <t>thumbnail_image_76949eaef4</t>
  </si>
  <si>
    <t>62e0f8fb71331f001d559cdf</t>
  </si>
  <si>
    <t>62e0f92b71331f001d559ce1</t>
  </si>
  <si>
    <t>/uploads/image_88329dcece.jpg</t>
  </si>
  <si>
    <t>thumbnail_image_88329dcece</t>
  </si>
  <si>
    <t>62e0f92b71331f001d559ce2</t>
  </si>
  <si>
    <t>62e0f95f71331f001d559ce4</t>
  </si>
  <si>
    <t>/uploads/image_7fb3c176ce.jpg</t>
  </si>
  <si>
    <t>thumbnail_image_7fb3c176ce</t>
  </si>
  <si>
    <t>62e0f95f71331f001d559ce5</t>
  </si>
  <si>
    <t>62e0f98671331f001d559ce7</t>
  </si>
  <si>
    <t>/uploads/image_a71e3989df.jpg</t>
  </si>
  <si>
    <t>thumbnail_image_a71e3989df</t>
  </si>
  <si>
    <t>62e0f98671331f001d559ce8</t>
  </si>
  <si>
    <t>62e0f9e471331f001d559cea</t>
  </si>
  <si>
    <t>/uploads/image_8e5eef1485.jpg</t>
  </si>
  <si>
    <t>thumbnail_image_8e5eef1485</t>
  </si>
  <si>
    <t>62e0f9e471331f001d559ceb</t>
  </si>
  <si>
    <t>62e0fa4371331f001d559ced</t>
  </si>
  <si>
    <t>/uploads/image_25918770b7.jpg</t>
  </si>
  <si>
    <t>thumbnail_image_25918770b7</t>
  </si>
  <si>
    <t>62e0fa4371331f001d559cee</t>
  </si>
  <si>
    <t>62e0fad771331f001d559cf0</t>
  </si>
  <si>
    <t>/uploads/image_4bfee8a67f.jpg</t>
  </si>
  <si>
    <t>thumbnail_image_4bfee8a67f</t>
  </si>
  <si>
    <t>62e0fad771331f001d559cf1</t>
  </si>
  <si>
    <t>62e0fb0a71331f001d559cf3</t>
  </si>
  <si>
    <t>/uploads/image_bd1aedd9a5.jpg</t>
  </si>
  <si>
    <t>thumbnail_image_bd1aedd9a5</t>
  </si>
  <si>
    <t>62e0fb0a71331f001d559cf4</t>
  </si>
  <si>
    <t>62e0fbaf71331f001d559cf6</t>
  </si>
  <si>
    <t>/uploads/image_2778fde2ac.jpg</t>
  </si>
  <si>
    <t>thumbnail_image_2778fde2ac</t>
  </si>
  <si>
    <t>62e0fbaf71331f001d559cf7</t>
  </si>
  <si>
    <t>62e0fbf371331f001d559cf9</t>
  </si>
  <si>
    <t>/uploads/image_5de30e4815.jpg</t>
  </si>
  <si>
    <t>thumbnail_image_5de30e4815</t>
  </si>
  <si>
    <t>62e0fbf371331f001d559cfa</t>
  </si>
  <si>
    <t>62e0fc8071331f001d559cfc</t>
  </si>
  <si>
    <t>/uploads/image_b302e353e2.jpg</t>
  </si>
  <si>
    <t>thumbnail_image_b302e353e2</t>
  </si>
  <si>
    <t>62e0fc8071331f001d559cfd</t>
  </si>
  <si>
    <t>62e0fc9671331f001d559cfe</t>
  </si>
  <si>
    <t>/uploads/image_c0721ccf77.jpg</t>
  </si>
  <si>
    <t>thumbnail_image_c0721ccf77</t>
  </si>
  <si>
    <t>62e0fc9671331f001d559cff</t>
  </si>
  <si>
    <t>62e0fc9a71331f001d559d00</t>
  </si>
  <si>
    <t>/uploads/image_4b5bb666b6.jpg</t>
  </si>
  <si>
    <t>thumbnail_image_4b5bb666b6</t>
  </si>
  <si>
    <t>62e0fc9a71331f001d559d01</t>
  </si>
  <si>
    <t>62e0fcb471331f001d559d03</t>
  </si>
  <si>
    <t>/uploads/image_74acebb4da.jpg</t>
  </si>
  <si>
    <t>thumbnail_image_74acebb4da</t>
  </si>
  <si>
    <t>62e0fcb471331f001d559d04</t>
  </si>
  <si>
    <t>62e0fd6271331f001d559d06</t>
  </si>
  <si>
    <t>/uploads/image_ffcb5e490c.jpg</t>
  </si>
  <si>
    <t>thumbnail_image_ffcb5e490c</t>
  </si>
  <si>
    <t>62e0fd6271331f001d559d07</t>
  </si>
  <si>
    <t>62e0fdb671331f001d559d09</t>
  </si>
  <si>
    <t>/uploads/image_5667c3e143.jpg</t>
  </si>
  <si>
    <t>thumbnail_image_5667c3e143</t>
  </si>
  <si>
    <t>62e0fdb671331f001d559d0a</t>
  </si>
  <si>
    <t>62e0fe6f71331f001d559d0c</t>
  </si>
  <si>
    <t>/uploads/image_108d5056cc.jpg</t>
  </si>
  <si>
    <t>thumbnail_image_108d5056cc</t>
  </si>
  <si>
    <t>62e0fe6f71331f001d559d0d</t>
  </si>
  <si>
    <t>62e0fef471331f001d559d0f</t>
  </si>
  <si>
    <t>/uploads/image_e2821d1d7f.jpg</t>
  </si>
  <si>
    <t>thumbnail_image_e2821d1d7f</t>
  </si>
  <si>
    <t>62e0fef471331f001d559d10</t>
  </si>
  <si>
    <t>62e0ff2471331f001d559d12</t>
  </si>
  <si>
    <t>/uploads/image_f12446d66d.jpg</t>
  </si>
  <si>
    <t>thumbnail_image_f12446d66d</t>
  </si>
  <si>
    <t>62e0ff2471331f001d559d13</t>
  </si>
  <si>
    <t>62e0ff5d71331f001d559d15</t>
  </si>
  <si>
    <t>/uploads/image_ee936bfaf4.jpg</t>
  </si>
  <si>
    <t>thumbnail_image_ee936bfaf4</t>
  </si>
  <si>
    <t>62e0ff5d71331f001d559d16</t>
  </si>
  <si>
    <t>62e0ff8e71331f001d559d18</t>
  </si>
  <si>
    <t>/uploads/image_ba3e61f3fe.jpg</t>
  </si>
  <si>
    <t>thumbnail_image_ba3e61f3fe</t>
  </si>
  <si>
    <t>62e0ff8e71331f001d559d19</t>
  </si>
  <si>
    <t>62e0ffcf71331f001d559d1b</t>
  </si>
  <si>
    <t>/uploads/image_8d8fbb9637.jpg</t>
  </si>
  <si>
    <t>thumbnail_image_8d8fbb9637</t>
  </si>
  <si>
    <t>62e0ffcf71331f001d559d1c</t>
  </si>
  <si>
    <t>62e1001b71331f001d559d1e</t>
  </si>
  <si>
    <t>/uploads/image_a0c47ca414.jpg</t>
  </si>
  <si>
    <t>thumbnail_image_a0c47ca414</t>
  </si>
  <si>
    <t>62e1001b71331f001d559d1f</t>
  </si>
  <si>
    <t>62e1006171331f001d559d21</t>
  </si>
  <si>
    <t>/uploads/image_b2ee924824.jpg</t>
  </si>
  <si>
    <t>thumbnail_image_b2ee924824</t>
  </si>
  <si>
    <t>62e1006171331f001d559d22</t>
  </si>
  <si>
    <t>62e1007471331f001d559d24</t>
  </si>
  <si>
    <t>/uploads/image_9ba216fb37.jpg</t>
  </si>
  <si>
    <t>thumbnail_image_9ba216fb37</t>
  </si>
  <si>
    <t>62e1007471331f001d559d25</t>
  </si>
  <si>
    <t>62e1009a71331f001d559d27</t>
  </si>
  <si>
    <t>/uploads/image_489fa57636.jpg</t>
  </si>
  <si>
    <t>thumbnail_image_489fa57636</t>
  </si>
  <si>
    <t>62e1009a71331f001d559d28</t>
  </si>
  <si>
    <t>62e100c371331f001d559d2a</t>
  </si>
  <si>
    <t>/uploads/image_5dd1534271.jpg</t>
  </si>
  <si>
    <t>thumbnail_image_5dd1534271</t>
  </si>
  <si>
    <t>62e100c371331f001d559d2b</t>
  </si>
  <si>
    <t>62e100e171331f001d559d2d</t>
  </si>
  <si>
    <t>/uploads/image_ef688ef853.jpg</t>
  </si>
  <si>
    <t>thumbnail_image_ef688ef853</t>
  </si>
  <si>
    <t>62e100e271331f001d559d2e</t>
  </si>
  <si>
    <t>62e1010171331f001d559d30</t>
  </si>
  <si>
    <t>/uploads/image_00608e5706.jpg</t>
  </si>
  <si>
    <t>thumbnail_image_00608e5706</t>
  </si>
  <si>
    <t>62e1010171331f001d559d31</t>
  </si>
  <si>
    <t>62e1012a71331f001d559d33</t>
  </si>
  <si>
    <t>/uploads/image_b4d8c56cf6.jpg</t>
  </si>
  <si>
    <t>thumbnail_image_b4d8c56cf6</t>
  </si>
  <si>
    <t>62e1012a71331f001d559d34</t>
  </si>
  <si>
    <t>62e101cb71331f001d559d36</t>
  </si>
  <si>
    <t>/uploads/image_2ad1d89e6b.jpg</t>
  </si>
  <si>
    <t>thumbnail_image_2ad1d89e6b</t>
  </si>
  <si>
    <t>62e101cb71331f001d559d37</t>
  </si>
  <si>
    <t>62e1021c71331f001d559d39</t>
  </si>
  <si>
    <t>/uploads/image_729a1cb2b0.jpg</t>
  </si>
  <si>
    <t>thumbnail_image_729a1cb2b0</t>
  </si>
  <si>
    <t>62e1021c71331f001d559d3a</t>
  </si>
  <si>
    <t>62e1022571331f001d559d3b</t>
  </si>
  <si>
    <t>/uploads/image_fc242edcb6.jpg</t>
  </si>
  <si>
    <t>thumbnail_image_fc242edcb6</t>
  </si>
  <si>
    <t>62e1022571331f001d559d3c</t>
  </si>
  <si>
    <t>62e1022c71331f001d559d3d</t>
  </si>
  <si>
    <t>/uploads/image_f4998b383b.jpg</t>
  </si>
  <si>
    <t>thumbnail_image_f4998b383b</t>
  </si>
  <si>
    <t>62e1022c71331f001d559d3e</t>
  </si>
  <si>
    <t>62e1027671331f001d559d40</t>
  </si>
  <si>
    <t>/uploads/image_52cfbe018b.jpg</t>
  </si>
  <si>
    <t>thumbnail_image_52cfbe018b</t>
  </si>
  <si>
    <t>62e1027671331f001d559d41</t>
  </si>
  <si>
    <t>62e102ce71331f001d559d43</t>
  </si>
  <si>
    <t>/uploads/image_b15eef0945.jpg</t>
  </si>
  <si>
    <t>thumbnail_image_b15eef0945</t>
  </si>
  <si>
    <t>62e102ce71331f001d559d44</t>
  </si>
  <si>
    <t>62e1031c71331f001d559d46</t>
  </si>
  <si>
    <t>/uploads/image_31e6f81f3b.jpg</t>
  </si>
  <si>
    <t>thumbnail_image_31e6f81f3b</t>
  </si>
  <si>
    <t>62e1031c71331f001d559d47</t>
  </si>
  <si>
    <t>621dfe33285d92001a1f5662</t>
  </si>
  <si>
    <t>[47.49831196826925, 8.729767386047316]</t>
  </si>
  <si>
    <t xml:space="preserve">Treppe im Durchgang </t>
  </si>
  <si>
    <t>621dfdb7285d92001a1f5661</t>
  </si>
  <si>
    <t>614de6ed9ebcfc0013c74a79</t>
  </si>
  <si>
    <t>621e0450285d92001a1f5663</t>
  </si>
  <si>
    <t>hasQuest</t>
  </si>
  <si>
    <t>[47.49647192265595, 8.72158737827284]</t>
  </si>
  <si>
    <t>Parkuhr , Restbreite 1.04m</t>
  </si>
  <si>
    <t>621e05df285d92001a1f5664</t>
  </si>
  <si>
    <t>[47.49511939643895, 8.720656965614584]</t>
  </si>
  <si>
    <t>Durchgangsbreite 1.8m</t>
  </si>
  <si>
    <t>621e12e2285d92001a1f5665</t>
  </si>
  <si>
    <t>[47.49837470919892, 8.73116548746679]</t>
  </si>
  <si>
    <t>Trottoir schmal 88cm</t>
  </si>
  <si>
    <t>621e21e4285d92001a1f5666</t>
  </si>
  <si>
    <t>[47.49826145034868, 8.731007517418815]</t>
  </si>
  <si>
    <t>6247153f26d1e0001aff5f2b</t>
  </si>
  <si>
    <t>[47.47576690256135, 9.05183654187505]</t>
  </si>
  <si>
    <t>kellertreppe</t>
  </si>
  <si>
    <t>6247151926d1e0001aff5f2a</t>
  </si>
  <si>
    <t>6247187226d1e0001aff5f2c</t>
  </si>
  <si>
    <t>[47.47594113739676, 9.052121370690555]</t>
  </si>
  <si>
    <t>6072dc95e0d3f808bbcd1aea</t>
  </si>
  <si>
    <t>6247188b26d1e0001aff5f2d</t>
  </si>
  <si>
    <t>6247188e26d1e0001aff5f2e</t>
  </si>
  <si>
    <t>schmaler Fussweg</t>
  </si>
  <si>
    <t>624b1139c3745e001ac81d7a</t>
  </si>
  <si>
    <t>[47.498042257546906, 8.729842510082507]</t>
  </si>
  <si>
    <t>624b1143c3745e001ac81d7b</t>
  </si>
  <si>
    <t>624b1143c3745e001ac81d7c</t>
  </si>
  <si>
    <t>624b12a5c3745e001ac81d7d</t>
  </si>
  <si>
    <t>[47.49831576419201, 8.729682566206447]</t>
  </si>
  <si>
    <t>624b1351c3745e001ac81d7e</t>
  </si>
  <si>
    <t>[47.498333637668644, 8.731200013414258]</t>
  </si>
  <si>
    <t>Trottoir schmal</t>
  </si>
  <si>
    <t>624b1542c3745e001ac81d7f</t>
  </si>
  <si>
    <t>[47.499583646632956, 8.72821615595718]</t>
  </si>
  <si>
    <t>Pfosten, Durchgangsbreite 100cm</t>
  </si>
  <si>
    <t>624b16e7c3745e001ac81d80</t>
  </si>
  <si>
    <t>[47.499733239531196, 8.728191340456487]</t>
  </si>
  <si>
    <t>624b16e7c3745e001ac81d81</t>
  </si>
  <si>
    <t>624b16e7c3745e001ac81d82</t>
  </si>
  <si>
    <t>6255366cb2b86e001e1da341</t>
  </si>
  <si>
    <t>[47.49825967338429, 8.72968976948076]</t>
  </si>
  <si>
    <t>6262b27f6f8972001ac55b87</t>
  </si>
  <si>
    <t>[47.39627281439845, 8.545196563656031]</t>
  </si>
  <si>
    <t>stairs</t>
  </si>
  <si>
    <t>6262b15f6f8972001ac55b86</t>
  </si>
  <si>
    <t>6266371add71b8001e35dcc4</t>
  </si>
  <si>
    <t>[47.470802695615895, 9.050452485651517]</t>
  </si>
  <si>
    <t>Steigung 11 Grad</t>
  </si>
  <si>
    <t>62663798dd71b8001e35dcc5</t>
  </si>
  <si>
    <t>[626637b6dd71b8001e35dcc6]</t>
  </si>
  <si>
    <t>[47.47084297102163, 9.050357522595217]</t>
  </si>
  <si>
    <t>curb cut</t>
  </si>
  <si>
    <t>62663807dd71b8001e35dcc8</t>
  </si>
  <si>
    <t>[6266381cdd71b8001e35dcc9]</t>
  </si>
  <si>
    <t>[47.47080561279747, 9.050335892135026]</t>
  </si>
  <si>
    <t>62663883dd71b8001e35dccb</t>
  </si>
  <si>
    <t>[62663894dd71b8001e35dccc]</t>
  </si>
  <si>
    <t>[47.470803633424865, 9.050652761301771]</t>
  </si>
  <si>
    <t>curb cut ganzes Trottoir</t>
  </si>
  <si>
    <t>626638e0dd71b8001e35dcce</t>
  </si>
  <si>
    <t>[626638eedd71b8001e35dccf]</t>
  </si>
  <si>
    <t>[47.47077398694409, 9.050565496832236]</t>
  </si>
  <si>
    <t>62663ab2dd71b8001e35dcd1</t>
  </si>
  <si>
    <t>[62663ad0dd71b8001e35dcd2]</t>
  </si>
  <si>
    <t>[47.46193007176826, 9.040228279378603]</t>
  </si>
  <si>
    <t>62663b2ddd71b8001e35dcd4</t>
  </si>
  <si>
    <t>[62663b9edd71b8001e35dcd5]</t>
  </si>
  <si>
    <t>[47.46212265924314, 9.040369559087829]</t>
  </si>
  <si>
    <t>2 Stufen, mit Rampe</t>
  </si>
  <si>
    <t>62663beadd71b8001e35dcd7</t>
  </si>
  <si>
    <t>[62663bfadd71b8001e35dcd8]</t>
  </si>
  <si>
    <t>[47.46177828524813, 9.040172124219556]</t>
  </si>
  <si>
    <t>curb cut an allen Troittoirs</t>
  </si>
  <si>
    <t>62663cc3dd71b8001e35dcda</t>
  </si>
  <si>
    <t>[62663ce4dd71b8001e35dcdb]</t>
  </si>
  <si>
    <t>[47.4618046491788, 9.040387377663821]</t>
  </si>
  <si>
    <t>stein links 131cm frei rechts 73</t>
  </si>
  <si>
    <t>62663ddddd71b8001e35dcdd</t>
  </si>
  <si>
    <t>[62663df1dd71b8001e35dcde]</t>
  </si>
  <si>
    <t>[47.46175727214719, 9.040827295543028]</t>
  </si>
  <si>
    <t xml:space="preserve">Baustelle temporär </t>
  </si>
  <si>
    <t>62663e64dd71b8001e35dce0</t>
  </si>
  <si>
    <t>[62663e78dd71b8001e35dce1]</t>
  </si>
  <si>
    <t>[47.46181982108184, 9.040808770814015]</t>
  </si>
  <si>
    <t>enge Stelle durch parkierte Autos</t>
  </si>
  <si>
    <t>62663f4add71b8001e35dce3</t>
  </si>
  <si>
    <t>[62663f5bdd71b8001e35dce4]</t>
  </si>
  <si>
    <t>[47.46163259901749, 9.041564767886072]</t>
  </si>
  <si>
    <t xml:space="preserve">curb cuts überall </t>
  </si>
  <si>
    <t>62663faedd71b8001e35dce6</t>
  </si>
  <si>
    <t>[62663fc0dd71b8001e35dce7]</t>
  </si>
  <si>
    <t>[47.461720461180725, 9.04159930836352]</t>
  </si>
  <si>
    <t>Rampe 7 Grad</t>
  </si>
  <si>
    <t>62664021dd71b8001e35dce9</t>
  </si>
  <si>
    <t>[6266402fdd71b8001e35dcea]</t>
  </si>
  <si>
    <t>[47.46178042613665, 9.041593316950873]</t>
  </si>
  <si>
    <t>62664071dd71b8001e35dcec</t>
  </si>
  <si>
    <t>[62664086dd71b8001e35dced]</t>
  </si>
  <si>
    <t>[47.46207492430458, 9.041502121844367]</t>
  </si>
  <si>
    <t>626640cbdd71b8001e35dcef</t>
  </si>
  <si>
    <t>[626640e4dd71b8001e35dcf0]</t>
  </si>
  <si>
    <t>[47.462168618115314, 9.041545265787883]</t>
  </si>
  <si>
    <t xml:space="preserve">Baustelle </t>
  </si>
  <si>
    <t>2023-06-25</t>
  </si>
  <si>
    <t>62664124dd71b8001e35dcf2</t>
  </si>
  <si>
    <t>[62664135dd71b8001e35dcf3]</t>
  </si>
  <si>
    <t>[47.46192492538657, 9.041718549037675]</t>
  </si>
  <si>
    <t xml:space="preserve">Treppe mit Rampe gegenüber </t>
  </si>
  <si>
    <t>62664176dd71b8001e35dcf5</t>
  </si>
  <si>
    <t>[62664182dd71b8001e35dcf6]</t>
  </si>
  <si>
    <t>[47.461975237390426, 9.041891821269152]</t>
  </si>
  <si>
    <t>626641e1dd71b8001e35dcf8</t>
  </si>
  <si>
    <t>[626641eddd71b8001e35dcf9]</t>
  </si>
  <si>
    <t>[47.46253253972965, 9.041492468428753]</t>
  </si>
  <si>
    <t>6266429fdd71b8001e35dcfb</t>
  </si>
  <si>
    <t>[626642b2dd71b8001e35dcfc]</t>
  </si>
  <si>
    <t>[47.46314110617913, 9.041956356528827]</t>
  </si>
  <si>
    <t>6266431cdd71b8001e35dcfe</t>
  </si>
  <si>
    <t>[6266432fdd71b8001e35dcff]</t>
  </si>
  <si>
    <t>[47.46305406247461, 9.041707415293155]</t>
  </si>
  <si>
    <t>Treppe mit lift</t>
  </si>
  <si>
    <t>62664351dd71b8001e35dd01</t>
  </si>
  <si>
    <t>[6266435edd71b8001e35dd02, 62664375dd71b8001e35dd04]</t>
  </si>
  <si>
    <t>[47.463115830558145, 9.041623488227986]</t>
  </si>
  <si>
    <t xml:space="preserve">Barrierefreie Toilette </t>
  </si>
  <si>
    <t>62664415dd71b8001e35dd06</t>
  </si>
  <si>
    <t>[62664421dd71b8001e35dd07]</t>
  </si>
  <si>
    <t>[47.46305439159999, 9.041250580930187]</t>
  </si>
  <si>
    <t>Treppe zu Parkhaus</t>
  </si>
  <si>
    <t>626644fadd71b8001e35dd09</t>
  </si>
  <si>
    <t>[62664511dd71b8001e35dd0a]</t>
  </si>
  <si>
    <t>[47.463014274726504, 9.040892507018647]</t>
  </si>
  <si>
    <t>Treppe mit Rampe. 100cm breit</t>
  </si>
  <si>
    <t>62664607dd71b8001e35dd0c</t>
  </si>
  <si>
    <t>[6266464edd71b8001e35dd0d]</t>
  </si>
  <si>
    <t>[47.46265294589677, 9.04053729000561]</t>
  </si>
  <si>
    <t xml:space="preserve">barrierefreie Toilette </t>
  </si>
  <si>
    <t>62664695dd71b8001e35dd0f</t>
  </si>
  <si>
    <t>[626646a2dd71b8001e35dd10]</t>
  </si>
  <si>
    <t>[47.46257934319485, 9.040557786457391]</t>
  </si>
  <si>
    <t>6266471cdd71b8001e35dd12</t>
  </si>
  <si>
    <t>[62664728dd71b8001e35dd13]</t>
  </si>
  <si>
    <t>[47.46258798059771, 9.040172668182327]</t>
  </si>
  <si>
    <t xml:space="preserve">Rampe </t>
  </si>
  <si>
    <t>62664777dd71b8001e35dd15</t>
  </si>
  <si>
    <t>[62664787dd71b8001e35dd16]</t>
  </si>
  <si>
    <t>[47.462347839071846, 9.039668580525591]</t>
  </si>
  <si>
    <t>62664c56dd71b8001e35dd18</t>
  </si>
  <si>
    <t>[62664c68dd71b8001e35dd19]</t>
  </si>
  <si>
    <t>[47.500195216123785, 8.724255139109342]</t>
  </si>
  <si>
    <t>62664caedd71b8001e35dd1b</t>
  </si>
  <si>
    <t>[62664cbbdd71b8001e35dd1c, 62664cc9dd71b8001e35dd1e]</t>
  </si>
  <si>
    <t>[47.500178973390746, 8.724370308315276]</t>
  </si>
  <si>
    <t>lowered curb</t>
  </si>
  <si>
    <t>62664d78dd71b8001e35dd20</t>
  </si>
  <si>
    <t>[62664d84dd71b8001e35dd21]</t>
  </si>
  <si>
    <t>[47.50063055728271, 8.724762175853444]</t>
  </si>
  <si>
    <t>lowred curb</t>
  </si>
  <si>
    <t>62664dc5dd71b8001e35dd23</t>
  </si>
  <si>
    <t>[62664dd1dd71b8001e35dd24]</t>
  </si>
  <si>
    <t>[47.50056475628846, 8.725451561391786]</t>
  </si>
  <si>
    <t>lowered curb beidseits</t>
  </si>
  <si>
    <t>62664e42dd71b8001e35dd26</t>
  </si>
  <si>
    <t>[62664e4edd71b8001e35dd27]</t>
  </si>
  <si>
    <t>[47.500635876643386, 8.725571233533127]</t>
  </si>
  <si>
    <t>62664e8bdd71b8001e35dd29</t>
  </si>
  <si>
    <t>[62664e9add71b8001e35dd2a]</t>
  </si>
  <si>
    <t>[47.500796442797295, 8.726965392962162]</t>
  </si>
  <si>
    <t xml:space="preserve">kieswege </t>
  </si>
  <si>
    <t>6266765ddd71b8001e35dd2c</t>
  </si>
  <si>
    <t>[47.50051150831269, 8.726954024434558]</t>
  </si>
  <si>
    <t>626677f6dd71b8001e35dd2d</t>
  </si>
  <si>
    <t>[47.498321939007226, 8.729773040795157]</t>
  </si>
  <si>
    <t>62667872dd71b8001e35dd2e</t>
  </si>
  <si>
    <t>[47.49830964001588, 8.729724572935053]</t>
  </si>
  <si>
    <t>626679badd71b8001e35dd2f</t>
  </si>
  <si>
    <t>[47.498527638157356, 8.72944921237327]</t>
  </si>
  <si>
    <t>62667a5cdd71b8001e35dd30</t>
  </si>
  <si>
    <t>[47.49831061949286, 8.729723558007688]</t>
  </si>
  <si>
    <t>62667a6add71b8001e35dd31</t>
  </si>
  <si>
    <t>[47.49830146296736, 8.72972436491272]</t>
  </si>
  <si>
    <t>626fa34452d1da001e5ac285</t>
  </si>
  <si>
    <t>[47.49834609686885, 8.729716779932476]</t>
  </si>
  <si>
    <t xml:space="preserve">Treppe zu Durchgang </t>
  </si>
  <si>
    <t>626fa30552d1da001e5ac284</t>
  </si>
  <si>
    <t>626fb4c652d1da001e5ac287</t>
  </si>
  <si>
    <t>[47.498205071462124, 8.729712018343436]</t>
  </si>
  <si>
    <t>626fce0052d1da001e5ac288</t>
  </si>
  <si>
    <t>[47.49827167329197, 8.729719912135149]</t>
  </si>
  <si>
    <t>626fd2aa52d1da001e5ac28e</t>
  </si>
  <si>
    <t>[47.49827821376525, 8.729706685772879]</t>
  </si>
  <si>
    <t>626fd2c952d1da001e5ac28f</t>
  </si>
  <si>
    <t>[47.49827582969461, 8.729708052593692]</t>
  </si>
  <si>
    <t xml:space="preserve">test
</t>
  </si>
  <si>
    <t>6271032352d1da001e5ac29a</t>
  </si>
  <si>
    <t>[47.4984078090583, 8.729659605489083]</t>
  </si>
  <si>
    <t>6271296652d1da001e5ac29d</t>
  </si>
  <si>
    <t>[6271297652d1da001e5ac29e]</t>
  </si>
  <si>
    <t>[47.36717824362904, 8.547678692274305]</t>
  </si>
  <si>
    <t>Treppe Bhf Stadelhiofen</t>
  </si>
  <si>
    <t>62712b1b52d1da001e5ac2a0</t>
  </si>
  <si>
    <t>[62712b2852d1da001e5ac2a1]</t>
  </si>
  <si>
    <t>[47.367295849934926, 8.546777648319042]</t>
  </si>
  <si>
    <t>62712b9e52d1da001e5ac2a3</t>
  </si>
  <si>
    <t>[47.36730521918677, 8.546789995258337]</t>
  </si>
  <si>
    <t>62712ba352d1da001e5ac2a4</t>
  </si>
  <si>
    <t>62712bcc52d1da001e5ac2a5</t>
  </si>
  <si>
    <t>[62712bdd52d1da001e5ac2a6]</t>
  </si>
  <si>
    <t>[47.368018518973756, 8.546129533782125]</t>
  </si>
  <si>
    <t>Quernwigung 2-3%</t>
  </si>
  <si>
    <t>62712c8552d1da001e5ac2a8</t>
  </si>
  <si>
    <t>[47.36810179979501, 8.546056558993634]</t>
  </si>
  <si>
    <t>steigung 9-10%</t>
  </si>
  <si>
    <t>62712cfd52d1da001e5ac2a9</t>
  </si>
  <si>
    <t>[62712d0852d1da001e5ac2aa]</t>
  </si>
  <si>
    <t>[47.36882910629979, 8.545371891519826]</t>
  </si>
  <si>
    <t>Tor zu Hintereingang, Stufe 18cm</t>
  </si>
  <si>
    <t>62712d9952d1da001e5ac2ac</t>
  </si>
  <si>
    <t>[62712dbd52d1da001e5ac2ad]</t>
  </si>
  <si>
    <t>[47.369141650041655, 8.544985411067628]</t>
  </si>
  <si>
    <t>Treppe mit Parallelweg, 13%</t>
  </si>
  <si>
    <t>62712f0152d1da001e5ac2af</t>
  </si>
  <si>
    <t>[62712f1152d1da001e5ac2b0]</t>
  </si>
  <si>
    <t>[47.36932399718542, 8.544635232623234]</t>
  </si>
  <si>
    <t>Steigung 14%</t>
  </si>
  <si>
    <t>62712ffd52d1da001e5ac2b2</t>
  </si>
  <si>
    <t>[6271300c52d1da001e5ac2b3]</t>
  </si>
  <si>
    <t>[47.36993211166092, 8.544621822388446]</t>
  </si>
  <si>
    <t>Steigung 9%</t>
  </si>
  <si>
    <t>6271304152d1da001e5ac2b5</t>
  </si>
  <si>
    <t>[6271305652d1da001e5ac2b6]</t>
  </si>
  <si>
    <t>[47.370125883008654, 8.544772258888937]</t>
  </si>
  <si>
    <t xml:space="preserve">stufe zu Brunnen </t>
  </si>
  <si>
    <t>6271314552d1da001e5ac2b8</t>
  </si>
  <si>
    <t>[6271315352d1da001e5ac2b9]</t>
  </si>
  <si>
    <t>[47.370486107250564, 8.54423350353432]</t>
  </si>
  <si>
    <t>627132f652d1da001e5ac2bb</t>
  </si>
  <si>
    <t>[6271335a52d1da001e5ac2bc]</t>
  </si>
  <si>
    <t>[47.37140155320059, 8.543725367694842]</t>
  </si>
  <si>
    <t>Steigung 10%</t>
  </si>
  <si>
    <t>6271339652d1da001e5ac2be</t>
  </si>
  <si>
    <t>[627133b052d1da001e5ac2bf]</t>
  </si>
  <si>
    <t>[47.37159652628079, 8.54403503752014]</t>
  </si>
  <si>
    <t>Steigung 8-10%</t>
  </si>
  <si>
    <t>6271340752d1da001e5ac2c1</t>
  </si>
  <si>
    <t>[6271341852d1da001e5ac2c2]</t>
  </si>
  <si>
    <t>[47.37159330883083, 8.544379855137484]</t>
  </si>
  <si>
    <t>627134d452d1da001e5ac2c4</t>
  </si>
  <si>
    <t>[47.3716369918683, 8.543835924513662]</t>
  </si>
  <si>
    <t>Steigung 6%</t>
  </si>
  <si>
    <t>6271354852d1da001e5ac2c5</t>
  </si>
  <si>
    <t>[6271355452d1da001e5ac2c6]</t>
  </si>
  <si>
    <t>[47.3719315030273, 8.544102080767223]</t>
  </si>
  <si>
    <t>627135c852d1da001e5ac2c8</t>
  </si>
  <si>
    <t>[627135e652d1da001e5ac2c9]</t>
  </si>
  <si>
    <t>[47.37209000450257, 8.543893866787332]</t>
  </si>
  <si>
    <t xml:space="preserve">schmaler Durchgang, 9% Steigung </t>
  </si>
  <si>
    <t>627136c852d1da001e5ac2cb</t>
  </si>
  <si>
    <t>[627136d352d1da001e5ac2cc]</t>
  </si>
  <si>
    <t>[47.37246252520534, 8.54365388092087]</t>
  </si>
  <si>
    <t>Steigung 12%</t>
  </si>
  <si>
    <t>6271377f52d1da001e5ac2ce</t>
  </si>
  <si>
    <t>[6271378b52d1da001e5ac2cf]</t>
  </si>
  <si>
    <t>[47.37284118960474, 8.543500161123413]</t>
  </si>
  <si>
    <t>6271394652d1da001e5ac2d1</t>
  </si>
  <si>
    <t>[6271395452d1da001e5ac2d2]</t>
  </si>
  <si>
    <t>[47.37396427748165, 8.544558001883738]</t>
  </si>
  <si>
    <t xml:space="preserve">Tor mit Treppe, 22 Stufen </t>
  </si>
  <si>
    <t>62713aab52d1da001e5ac2d4</t>
  </si>
  <si>
    <t>[47.375539239698966, 8.544241808075872]</t>
  </si>
  <si>
    <t>62713f3952d1da001e5ac2d5</t>
  </si>
  <si>
    <t>[62713f4552d1da001e5ac2d6]</t>
  </si>
  <si>
    <t>[47.377525779580196, 8.533794984226175]</t>
  </si>
  <si>
    <t>6278bd00411fb60012c2437d</t>
  </si>
  <si>
    <t>[6278bd32411fb60012c2437e, 6278bdde411fb60012c24380, 6278be62411fb60012c24382, 6278be6b411fb60012c24384]</t>
  </si>
  <si>
    <t>[47.49789, 8.72971]</t>
  </si>
  <si>
    <t>87cm Stufentiefe</t>
  </si>
  <si>
    <t>6278be88411fb60012c24386</t>
  </si>
  <si>
    <t>[6278bea3411fb60012c24387]</t>
  </si>
  <si>
    <t>[47.49807, 8.72963]</t>
  </si>
  <si>
    <t>2 Stufen, Stufentiefe 87 cm</t>
  </si>
  <si>
    <t>6278c0c4411fb60012c24389</t>
  </si>
  <si>
    <t>[47.49822, 8.72925]</t>
  </si>
  <si>
    <t>6278c2bd411fb60012c2438a</t>
  </si>
  <si>
    <t>[6278c2e9411fb60012c2438b]</t>
  </si>
  <si>
    <t>[47.49832, 8.73049]</t>
  </si>
  <si>
    <t xml:space="preserve">6 Pfosten für Fußgänger Abgrenzung </t>
  </si>
  <si>
    <t>6278c367411fb60012c2438d</t>
  </si>
  <si>
    <t>[6278c391411fb60012c2438e]</t>
  </si>
  <si>
    <t>[47.49857, 8.73130]</t>
  </si>
  <si>
    <t xml:space="preserve">Schlauch </t>
  </si>
  <si>
    <t>2022-05-09</t>
  </si>
  <si>
    <t>6278c460411fb60012c24390</t>
  </si>
  <si>
    <t>[6278c48a411fb60012c24391]</t>
  </si>
  <si>
    <t>[47.49827, 8.73122]</t>
  </si>
  <si>
    <t>enge stelle von Trottoir, Bordkante 9cm hoch</t>
  </si>
  <si>
    <t>6278c52e411fb60012c24393</t>
  </si>
  <si>
    <t>[6278c563411fb60012c24394]</t>
  </si>
  <si>
    <t>[47.49828, 8.73141]</t>
  </si>
  <si>
    <t>Bordkante nicht abgesenkt auf der einen Seite, keine Straßenübeequerung möglich, 50m auf Strasse zurückzulegen!</t>
  </si>
  <si>
    <t>6278c631411fb60012c24396</t>
  </si>
  <si>
    <t>[6278c647411fb60012c24397]</t>
  </si>
  <si>
    <t>[47.49831, 8.73152]</t>
  </si>
  <si>
    <t>Tor kann aufgeweitet werden, aber mühsam</t>
  </si>
  <si>
    <t>6278c72e411fb60012c24399</t>
  </si>
  <si>
    <t>[6278c746411fb60012c2439a]</t>
  </si>
  <si>
    <t>[47.49861, 8.73176]</t>
  </si>
  <si>
    <t>kein Durchgang, privat</t>
  </si>
  <si>
    <t>6278c7b6411fb60012c2439c</t>
  </si>
  <si>
    <t>[6278c856411fb60012c2439d]</t>
  </si>
  <si>
    <t>[47.49809, 8.73248]</t>
  </si>
  <si>
    <t xml:space="preserve">Betonsockel </t>
  </si>
  <si>
    <t>6278c88e411fb60012c2439f</t>
  </si>
  <si>
    <t>[6278c8a6411fb60012c243a0]</t>
  </si>
  <si>
    <t>Straßenübergang mit gesenkten Bordkanten</t>
  </si>
  <si>
    <t>6278c940411fb60012c243a2</t>
  </si>
  <si>
    <t>[6278c963411fb60012c243a3]</t>
  </si>
  <si>
    <t>[47.49837, 8.73281]</t>
  </si>
  <si>
    <t>Kiesbelag 20m</t>
  </si>
  <si>
    <t>6278c9de411fb60012c243a5</t>
  </si>
  <si>
    <t>[6278c9fb411fb60012c243a6]</t>
  </si>
  <si>
    <t>[47.49875, 8.73287]</t>
  </si>
  <si>
    <t>steinpfosten mit Ketten</t>
  </si>
  <si>
    <t>6278ca56411fb60012c243a8</t>
  </si>
  <si>
    <t>[6278ca87411fb60012c243a9]</t>
  </si>
  <si>
    <t>[47.49897, 8.73257]</t>
  </si>
  <si>
    <t>Tor geschlossen, privat</t>
  </si>
  <si>
    <t>6278cada411fb60012c243ab</t>
  </si>
  <si>
    <t>[6278caee411fb60012c243ac]</t>
  </si>
  <si>
    <t>[47.49898, 8.73272]</t>
  </si>
  <si>
    <t xml:space="preserve">kein Durchgang, Pflanzen </t>
  </si>
  <si>
    <t>6278cb68411fb60012c243ae</t>
  </si>
  <si>
    <t>[6278cb90411fb60012c243af]</t>
  </si>
  <si>
    <t>[47.49983, 8.73284]</t>
  </si>
  <si>
    <t>Pflanzentöpfe</t>
  </si>
  <si>
    <t>6278cbdc411fb60012c243b1</t>
  </si>
  <si>
    <t>[6278cbee411fb60012c243b2]</t>
  </si>
  <si>
    <t>[47.49991, 8.73277]</t>
  </si>
  <si>
    <t xml:space="preserve">Fahrräder auf Trottoir </t>
  </si>
  <si>
    <t>2022-05-08</t>
  </si>
  <si>
    <t>6278dd38411fb60012c243bd</t>
  </si>
  <si>
    <t>[47.49831, 8.72970]</t>
  </si>
  <si>
    <t>6278deb0411fb60012c243be</t>
  </si>
  <si>
    <t>[47.49831, 8.72969]</t>
  </si>
  <si>
    <t>6278ded8411fb60012c243bf</t>
  </si>
  <si>
    <t>[47.49830, 8.72968]</t>
  </si>
  <si>
    <t>62791c56411fb60012c243c1</t>
  </si>
  <si>
    <t>[62791c69411fb60012c243c2, 62791cae411fb60012c243c4, 62791cbb411fb60012c243c6]</t>
  </si>
  <si>
    <t>[47.49997, 8.73180]</t>
  </si>
  <si>
    <t>Tor muit Stufe 14cm</t>
  </si>
  <si>
    <t>627d1cae411fb60012c243e2</t>
  </si>
  <si>
    <t>[47.396522243735966, 8.54975713993023]</t>
  </si>
  <si>
    <t>6285fabe89aa3b001259f3cc</t>
  </si>
  <si>
    <t>[6285fadc89aa3b001259f3cd]</t>
  </si>
  <si>
    <t>[47.49805, 8.72964]</t>
  </si>
  <si>
    <t>6285fbc989aa3b001259f3cf</t>
  </si>
  <si>
    <t>62877fc2245d1f0019d6c18f</t>
  </si>
  <si>
    <t>[62877fd3245d1f0019d6c190]</t>
  </si>
  <si>
    <t>[47.51195, 8.68572]</t>
  </si>
  <si>
    <t>Randstein &gt;3cm, Fußgängerstreifen 20m entfern</t>
  </si>
  <si>
    <t>62878044245d1f0019d6c192</t>
  </si>
  <si>
    <t>[47.51202, 8.68548]</t>
  </si>
  <si>
    <t>62893e19245d1f0019d6c194</t>
  </si>
  <si>
    <t>[62893e2b245d1f0019d6c195]</t>
  </si>
  <si>
    <t>[47.47556, 9.05197]</t>
  </si>
  <si>
    <t>628b85e997ef07001914d7b9</t>
  </si>
  <si>
    <t>[628b85f897ef07001914d7ba]</t>
  </si>
  <si>
    <t>[47.49822, 8.72967]</t>
  </si>
  <si>
    <t xml:space="preserve">Stufen zu Durchgang </t>
  </si>
  <si>
    <t>628b87ac97ef07001914d7bc</t>
  </si>
  <si>
    <t>[628b87ca97ef07001914d7bd, 628b880797ef07001914d7bf]</t>
  </si>
  <si>
    <t>[47.49691, 8.73135]</t>
  </si>
  <si>
    <t xml:space="preserve">Fussgängerstreifen benutzen </t>
  </si>
  <si>
    <t>628b892d97ef07001914d7c1</t>
  </si>
  <si>
    <t>[628b893897ef07001914d7c2]</t>
  </si>
  <si>
    <t>[47.49682, 8.73087]</t>
  </si>
  <si>
    <t>Randstein 10 cm</t>
  </si>
  <si>
    <t>628b89f497ef07001914d7c4</t>
  </si>
  <si>
    <t>[628b8a0d97ef07001914d7c5]</t>
  </si>
  <si>
    <t>[47.49618, 8.73100]</t>
  </si>
  <si>
    <t>Autos im Weg</t>
  </si>
  <si>
    <t>2022-05-23</t>
  </si>
  <si>
    <t>628b8a5b97ef07001914d7c7</t>
  </si>
  <si>
    <t>[628b8a7197ef07001914d7c8]</t>
  </si>
  <si>
    <t>[47.49586, 8.73094]</t>
  </si>
  <si>
    <t>Randstein 10 cm, Umweg: 10m auf Strasse rechts</t>
  </si>
  <si>
    <t>628b8b5197ef07001914d7ca</t>
  </si>
  <si>
    <t>[628b8bc097ef07001914d7cb]</t>
  </si>
  <si>
    <t>[47.49599, 8.73065]</t>
  </si>
  <si>
    <t>Breite &lt; 70cm wegen Sträuchern</t>
  </si>
  <si>
    <t>628b8ce597ef07001914d7cd</t>
  </si>
  <si>
    <t>[628b8cf097ef07001914d7ce]</t>
  </si>
  <si>
    <t>[47.49654, 8.73012]</t>
  </si>
  <si>
    <t xml:space="preserve">erschwerter Durchgang wegen Fest Frackwoche </t>
  </si>
  <si>
    <t>2022-05-29</t>
  </si>
  <si>
    <t>628b8e2a97ef07001914d7d1</t>
  </si>
  <si>
    <t>[628b8e3c97ef07001914d7d2]</t>
  </si>
  <si>
    <t>[47.49778, 8.72859]</t>
  </si>
  <si>
    <t>628f635697ef07001914d7dd</t>
  </si>
  <si>
    <t>628f639197ef07001914d7de</t>
  </si>
  <si>
    <t>[47.37597, 8.54443]</t>
  </si>
  <si>
    <t>628f63bc97ef07001914d7df</t>
  </si>
  <si>
    <t>[47.37597, 8.54444]</t>
  </si>
  <si>
    <t>628f63d397ef07001914d7e0</t>
  </si>
  <si>
    <t>[47.37597, 8.54442]</t>
  </si>
  <si>
    <t>628f63e497ef07001914d7e1</t>
  </si>
  <si>
    <t>Gefälle</t>
  </si>
  <si>
    <t>628f647697ef07001914d7e2</t>
  </si>
  <si>
    <t>[47.37596, 8.54444]</t>
  </si>
  <si>
    <t>Gefälle in Richtung Niederdorfstrasse</t>
  </si>
  <si>
    <t>628f675797ef07001914d7e3</t>
  </si>
  <si>
    <t>[47.37419, 8.54449]</t>
  </si>
  <si>
    <t>Neigung nach links und Gefälle Richtung Urania</t>
  </si>
  <si>
    <t>628f683197ef07001914d7e4</t>
  </si>
  <si>
    <t>[47.37394, 8.54452]</t>
  </si>
  <si>
    <t>628f684a97ef07001914d7e5</t>
  </si>
  <si>
    <t>[47.37394, 8.54451]</t>
  </si>
  <si>
    <t>628f68d597ef07001914d7e6</t>
  </si>
  <si>
    <t>[47.37405, 8.54447]</t>
  </si>
  <si>
    <t>628f69b397ef07001914d7e7</t>
  </si>
  <si>
    <t>[47.37322, 8.54454]</t>
  </si>
  <si>
    <t>Steigung in Richtung Niederdorfstrasse</t>
  </si>
  <si>
    <t>Pflasterstein</t>
  </si>
  <si>
    <t>628f6a8797ef07001914d7e8</t>
  </si>
  <si>
    <t>[47.37312, 8.54397]</t>
  </si>
  <si>
    <t>628f6c3697ef07001914d7e9</t>
  </si>
  <si>
    <t>[47.37490, 8.54413]</t>
  </si>
  <si>
    <t>Steigung in Richtung Zähringerstrasse</t>
  </si>
  <si>
    <t>62947671ab1db8001dd01df2</t>
  </si>
  <si>
    <t>[62947699ab1db8001dd01df3]</t>
  </si>
  <si>
    <t>[47.40007, 8.54190]</t>
  </si>
  <si>
    <t>6294a259ab1db8001dd01e09</t>
  </si>
  <si>
    <t>[47.49850, 8.73105]</t>
  </si>
  <si>
    <t>6294a412ab1db8001dd01e0a</t>
  </si>
  <si>
    <t>[47.49857, 8.73119]</t>
  </si>
  <si>
    <t>6294eae8ab1db8001dd01e0b</t>
  </si>
  <si>
    <t>[6294eb05ab1db8001dd01e0c, 6294eb6cab1db8001dd01e0e]</t>
  </si>
  <si>
    <t>[47.39965, 8.54265]</t>
  </si>
  <si>
    <t>gefälle, querneigung links</t>
  </si>
  <si>
    <t>6294eb7bab1db8001dd01e10</t>
  </si>
  <si>
    <t>[6294eba4ab1db8001dd01e11]</t>
  </si>
  <si>
    <t>[47.39992, 8.54210]</t>
  </si>
  <si>
    <t>6294ebc3ab1db8001dd01e13</t>
  </si>
  <si>
    <t>6295f4a5ab1db8001dd01e26</t>
  </si>
  <si>
    <t>[6295f4c0ab1db8001dd01e27, 6295f4e2ab1db8001dd01e29, 6295f4f3ab1db8001dd01e2b]</t>
  </si>
  <si>
    <t>[47.49845, 8.72938]</t>
  </si>
  <si>
    <t xml:space="preserve">Eingang </t>
  </si>
  <si>
    <t>6295f51bab1db8001dd01e2d</t>
  </si>
  <si>
    <t>[47.49907, 8.72763]</t>
  </si>
  <si>
    <t>gasse</t>
  </si>
  <si>
    <t xml:space="preserve">Kopfsteinpflaster </t>
  </si>
  <si>
    <t>6296002bab1db8001dd01e2e</t>
  </si>
  <si>
    <t>[47.39996, 8.54257]</t>
  </si>
  <si>
    <t>62960056ab1db8001dd01e2f</t>
  </si>
  <si>
    <t>62960066ab1db8001dd01e30</t>
  </si>
  <si>
    <t>6296036eab1db8001dd01e31</t>
  </si>
  <si>
    <t>[47.49895, 8.72832]</t>
  </si>
  <si>
    <t>629f35410e56640019196131</t>
  </si>
  <si>
    <t>[47.40004, 8.54193]</t>
  </si>
  <si>
    <t>629f35420e56640019196132</t>
  </si>
  <si>
    <t>629f3df00e56640019196133</t>
  </si>
  <si>
    <t>[47.40003, 8.54194]</t>
  </si>
  <si>
    <t>test velobarriere</t>
  </si>
  <si>
    <t>629f44060e56640019196137</t>
  </si>
  <si>
    <t>[47.49822, 8.72965]</t>
  </si>
  <si>
    <t>629f44060e56640019196138</t>
  </si>
  <si>
    <t>629f44060e56640019196139</t>
  </si>
  <si>
    <t>629f45ae0e5664001919613a</t>
  </si>
  <si>
    <t>[47.49829, 8.72969]</t>
  </si>
  <si>
    <t>62a1f3680e5664001919613b</t>
  </si>
  <si>
    <t>[46.94890, 7.43647]</t>
  </si>
  <si>
    <t>[62a33cc90e56640019196140]</t>
  </si>
  <si>
    <t>[47.37030, 8.53357]</t>
  </si>
  <si>
    <t>62a350d50e56640019196178</t>
  </si>
  <si>
    <t>[47.36854, 8.53433]</t>
  </si>
  <si>
    <t>62a70dfddee3b600125b6065</t>
  </si>
  <si>
    <t>[47.47509, 9.05176]</t>
  </si>
  <si>
    <t>[62a74121dee3b600125b606a]</t>
  </si>
  <si>
    <t>[47.37051, 8.53845]</t>
  </si>
  <si>
    <t>[62a741badee3b600125b6070]</t>
  </si>
  <si>
    <t>[47.37029, 8.53805]</t>
  </si>
  <si>
    <t>[62a74302dee3b600125b6076]</t>
  </si>
  <si>
    <t>[47.37006, 8.53776]</t>
  </si>
  <si>
    <t>[62a74458dee3b600125b6079]</t>
  </si>
  <si>
    <t>[47.36918, 8.53760]</t>
  </si>
  <si>
    <t>62ac5d84dee3b600125b60de</t>
  </si>
  <si>
    <t>[47.33673, 8.48969]</t>
  </si>
  <si>
    <t>62ac8a9bdee3b600125b60ea</t>
  </si>
  <si>
    <t>62ac8a9bdee3b600125b60eb</t>
  </si>
  <si>
    <t>62ac8a9ddee3b600125b60ec</t>
  </si>
  <si>
    <t>62ac8a9ddee3b600125b60ed</t>
  </si>
  <si>
    <t>62ac8a9ddee3b600125b60ef</t>
  </si>
  <si>
    <t>62ac8a9ddee3b600125b60f0</t>
  </si>
  <si>
    <t>62ac8a9ddee3b600125b60f1</t>
  </si>
  <si>
    <t>62ac8a9ddee3b600125b60f2</t>
  </si>
  <si>
    <t>62ac8aa5dee3b600125b60f6</t>
  </si>
  <si>
    <t>62ac8aa5dee3b600125b60f7</t>
  </si>
  <si>
    <t>62ac8aa5dee3b600125b60f8</t>
  </si>
  <si>
    <t>62ac8aa5dee3b600125b60f9</t>
  </si>
  <si>
    <t>62ac8aa5dee3b600125b60fb</t>
  </si>
  <si>
    <t>62ac8aa5dee3b600125b60fc</t>
  </si>
  <si>
    <t>62ac8aa5dee3b600125b60fd</t>
  </si>
  <si>
    <t>62ac8aa6dee3b600125b60fe</t>
  </si>
  <si>
    <t>62ac8aa6dee3b600125b6100</t>
  </si>
  <si>
    <t>[47.37487, 8.54747]</t>
  </si>
  <si>
    <t>62ac8aa6dee3b600125b6101</t>
  </si>
  <si>
    <t>62ac9174dee3b600125b6111</t>
  </si>
  <si>
    <t>62ac9174dee3b600125b6112</t>
  </si>
  <si>
    <t>62ac9176dee3b600125b6113</t>
  </si>
  <si>
    <t>62ac9176dee3b600125b6114</t>
  </si>
  <si>
    <t>62ac9176dee3b600125b6116</t>
  </si>
  <si>
    <t>62ac9176dee3b600125b6117</t>
  </si>
  <si>
    <t>62ac9176dee3b600125b6118</t>
  </si>
  <si>
    <t>62aca1c7dee3b600125b6159</t>
  </si>
  <si>
    <t>[47.37258, 8.54801]</t>
  </si>
  <si>
    <t>62aca3d4dee3b600125b615b</t>
  </si>
  <si>
    <t>62aca3d4dee3b600125b615d</t>
  </si>
  <si>
    <t>[47.37208, 8.54881]</t>
  </si>
  <si>
    <t>62aca3d4dee3b600125b615e</t>
  </si>
  <si>
    <t>62aca3d4dee3b600125b615f</t>
  </si>
  <si>
    <t>62aca3d6dee3b600125b6160</t>
  </si>
  <si>
    <t>62b42145945c4c0019aa6649</t>
  </si>
  <si>
    <t>62b42145945c4c0019aa664a</t>
  </si>
  <si>
    <t>62b42145945c4c0019aa664d</t>
  </si>
  <si>
    <t>[62b42e35945c4c0019aa6662]</t>
  </si>
  <si>
    <t>[47.37570, 8.54892]</t>
  </si>
  <si>
    <t>62b42fd4945c4c0019aa6664</t>
  </si>
  <si>
    <t>62b42fd4945c4c0019aa6665</t>
  </si>
  <si>
    <t>62b56870945c4c0019aa671d</t>
  </si>
  <si>
    <t>62b56ade945c4c0019aa6730</t>
  </si>
  <si>
    <t>62b56adf945c4c0019aa6731</t>
  </si>
  <si>
    <t>62b56c03945c4c0019aa6738</t>
  </si>
  <si>
    <t>62b56c03945c4c0019aa6739</t>
  </si>
  <si>
    <t>62b56c03945c4c0019aa673a</t>
  </si>
  <si>
    <t>62b56c03945c4c0019aa673c</t>
  </si>
  <si>
    <t>62b56c03945c4c0019aa673d</t>
  </si>
  <si>
    <t>62b56c03945c4c0019aa673e</t>
  </si>
  <si>
    <t>62b56fb3945c4c0019aa6757</t>
  </si>
  <si>
    <t>[47.37485, 8.54470]</t>
  </si>
  <si>
    <t>62b56fb3945c4c0019aa6758</t>
  </si>
  <si>
    <t>62b56fb3945c4c0019aa6759</t>
  </si>
  <si>
    <t>62b56fb3945c4c0019aa675a</t>
  </si>
  <si>
    <t>62b56fb3945c4c0019aa675b</t>
  </si>
  <si>
    <t>62b56fb3945c4c0019aa675c</t>
  </si>
  <si>
    <t>62b56fb3945c4c0019aa675d</t>
  </si>
  <si>
    <t>62b56fb3945c4c0019aa675f</t>
  </si>
  <si>
    <t>62b56fb3945c4c0019aa6760</t>
  </si>
  <si>
    <t>62b56fb4945c4c0019aa6761</t>
  </si>
  <si>
    <t>62b56fb4945c4c0019aa6762</t>
  </si>
  <si>
    <t>62b56fb4945c4c0019aa6763</t>
  </si>
  <si>
    <t>62b6c07b945c4c0019aa67cd</t>
  </si>
  <si>
    <t>62b6c07b945c4c0019aa67ce</t>
  </si>
  <si>
    <t>62b6c07b945c4c0019aa67cf</t>
  </si>
  <si>
    <t>62b6c07b945c4c0019aa67d1</t>
  </si>
  <si>
    <t>[62b6c654945c4c0019aa67ff]</t>
  </si>
  <si>
    <t>steigung richtung</t>
  </si>
  <si>
    <t>62b6ce35945c4c0019aa6835</t>
  </si>
  <si>
    <t>[62b6de37945c4c0019aa687d]</t>
  </si>
  <si>
    <t>[47.37843, 8.54177]</t>
  </si>
  <si>
    <t>62b6e842945c4c0019aa68d2</t>
  </si>
  <si>
    <t>[47.37761, 8.54178]</t>
  </si>
  <si>
    <t>[62bee6934e78270019b4e4b4]</t>
  </si>
  <si>
    <t>[47.37437, 8.54529]</t>
  </si>
  <si>
    <t>62c3edbd9ddaa30019360b88</t>
  </si>
  <si>
    <t>62c589cf9ddaa30019360cd9</t>
  </si>
  <si>
    <t>62c697799ddaa30019360db7</t>
  </si>
  <si>
    <t>[47.37021, 8.53936]</t>
  </si>
  <si>
    <t>62c697799ddaa30019360db8</t>
  </si>
  <si>
    <t>62c697799ddaa30019360db9</t>
  </si>
  <si>
    <t>62c697799ddaa30019360dba</t>
  </si>
  <si>
    <t>62c697799ddaa30019360dbb</t>
  </si>
  <si>
    <t>62c697799ddaa30019360dbc</t>
  </si>
  <si>
    <t>62c699179ddaa30019360dcb</t>
  </si>
  <si>
    <t>[47.37088, 8.54120]</t>
  </si>
  <si>
    <t>62c69eb09ddaa30019360e0a</t>
  </si>
  <si>
    <t>62c6a8659ddaa30019360e78</t>
  </si>
  <si>
    <t>62c6aa0e9ddaa30019360e95</t>
  </si>
  <si>
    <t>62c6aecd9ddaa30019360ec4</t>
  </si>
  <si>
    <t>62c6b07a9ddaa30019360ed6</t>
  </si>
  <si>
    <t>62c6b13b9ddaa30019360ed8</t>
  </si>
  <si>
    <t>62c6b13c9ddaa30019360ed9</t>
  </si>
  <si>
    <t>62c6b2f89ddaa30019360ee8</t>
  </si>
  <si>
    <t>[47.37375, 8.54058]</t>
  </si>
  <si>
    <t>62c6b2fa9ddaa30019360ee9</t>
  </si>
  <si>
    <t>62c6b3039ddaa30019360eea</t>
  </si>
  <si>
    <t>62c6c91a9ddaa30019360f07</t>
  </si>
  <si>
    <t>[47.37252, 8.54077]</t>
  </si>
  <si>
    <t>62c6c9619ddaa30019360f08</t>
  </si>
  <si>
    <t>62c6f95f9ddaa30019360f0a</t>
  </si>
  <si>
    <t>[47.40004, 8.54250]</t>
  </si>
  <si>
    <t>62d1127b37a761001a52c6f3</t>
  </si>
  <si>
    <t>[62d1128837a761001a52c6f4, 62d1129137a761001a52c6f6, 62d1129637a761001a52c6f8]</t>
  </si>
  <si>
    <t>[47.37116, 8.54286]</t>
  </si>
  <si>
    <t>62d1132037a761001a52c6fa</t>
  </si>
  <si>
    <t>[62d1133837a761001a52c6fb]</t>
  </si>
  <si>
    <t>62d1137637a761001a52c6fd</t>
  </si>
  <si>
    <t>[47.37113, 8.54287]</t>
  </si>
  <si>
    <t>62d1143037a761001a52c6fe</t>
  </si>
  <si>
    <t>[62d1143c37a761001a52c6ff]</t>
  </si>
  <si>
    <t>[47.37092, 8.54289]</t>
  </si>
  <si>
    <t>62d1144737a761001a52c701</t>
  </si>
  <si>
    <t>[62d1145537a761001a52c702]</t>
  </si>
  <si>
    <t>[47.37089, 8.54285]</t>
  </si>
  <si>
    <t>62d1147b37a761001a52c704</t>
  </si>
  <si>
    <t>[62d1148937a761001a52c705]</t>
  </si>
  <si>
    <t>62d1149537a761001a52c707</t>
  </si>
  <si>
    <t>[62d114b137a761001a52c708]</t>
  </si>
  <si>
    <t>[47.37096, 8.54284]</t>
  </si>
  <si>
    <t>62d114eb37a761001a52c70a</t>
  </si>
  <si>
    <t>[62d1151737a761001a52c70b]</t>
  </si>
  <si>
    <t>[47.37095, 8.54285]</t>
  </si>
  <si>
    <t>62d1153c37a761001a52c70d</t>
  </si>
  <si>
    <t>[62d1168637a761001a52c70e]</t>
  </si>
  <si>
    <t>62d116c937a761001a52c710</t>
  </si>
  <si>
    <t>[62d116d337a761001a52c711, 62d116de37a761001a52c713]</t>
  </si>
  <si>
    <t>[47.37001, 8.54306]</t>
  </si>
  <si>
    <t>62d1170c37a761001a52c715</t>
  </si>
  <si>
    <t>[62d1171537a761001a52c716]</t>
  </si>
  <si>
    <t>62d1179437a761001a52c718</t>
  </si>
  <si>
    <t>[62d1179d37a761001a52c719]</t>
  </si>
  <si>
    <t>62d117d837a761001a52c71b</t>
  </si>
  <si>
    <t>[62d117e837a761001a52c71c]</t>
  </si>
  <si>
    <t>62d1181137a761001a52c71e</t>
  </si>
  <si>
    <t>[62d1181b37a761001a52c71f]</t>
  </si>
  <si>
    <t>62d1182a37a761001a52c721</t>
  </si>
  <si>
    <t>[62d1183537a761001a52c722]</t>
  </si>
  <si>
    <t>[47.36994, 8.54351]</t>
  </si>
  <si>
    <t>62d12dc737a761001a52c724</t>
  </si>
  <si>
    <t>[62d12dd837a761001a52c725]</t>
  </si>
  <si>
    <t>[47.37569, 8.54891]</t>
  </si>
  <si>
    <t>enger unebener durchgang, pfosten rechts</t>
  </si>
  <si>
    <t>62d12e2337a761001a52c727</t>
  </si>
  <si>
    <t>[62d12e7a37a761001a52c728]</t>
  </si>
  <si>
    <t>[47.37569, 8.54890]</t>
  </si>
  <si>
    <t>bordstein rechts</t>
  </si>
  <si>
    <t>62d12e9637a761001a52c72a</t>
  </si>
  <si>
    <t>[62d12ea537a761001a52c72b]</t>
  </si>
  <si>
    <t>[47.37570, 8.54891]</t>
  </si>
  <si>
    <t>62d12fc737a761001a52c72d</t>
  </si>
  <si>
    <t>[62d12fec37a761001a52c72e]</t>
  </si>
  <si>
    <t>62d1300f37a761001a52c730</t>
  </si>
  <si>
    <t>[62d1301937a761001a52c731]</t>
  </si>
  <si>
    <t>62d1302a37a761001a52c733</t>
  </si>
  <si>
    <t>[62d1303837a761001a52c734]</t>
  </si>
  <si>
    <t>62d1339a37a761001a52c736</t>
  </si>
  <si>
    <t>[62d133a537a761001a52c737]</t>
  </si>
  <si>
    <t>auf der rechten seite</t>
  </si>
  <si>
    <t>62d7a9cd22e03e001901311e</t>
  </si>
  <si>
    <t>62d7a9ce22e03e001901311f</t>
  </si>
  <si>
    <t>62d7a9d322e03e0019013120</t>
  </si>
  <si>
    <t>62d7cb1822e03e00190131c6</t>
  </si>
  <si>
    <t>62d7d56422e03e0019013227</t>
  </si>
  <si>
    <t>62da4cd322e03e0019013278</t>
  </si>
  <si>
    <t>[47.37670, 8.53654]</t>
  </si>
  <si>
    <t>62da4cd322e03e0019013279</t>
  </si>
  <si>
    <t>62da4cd322e03e001901327a</t>
  </si>
  <si>
    <t>[47.37668, 8.53666]</t>
  </si>
  <si>
    <t>62da4cd322e03e001901327b</t>
  </si>
  <si>
    <t>62da4cd322e03e001901327c</t>
  </si>
  <si>
    <t>62da4cd322e03e001901327d</t>
  </si>
  <si>
    <t>62da4cd322e03e001901327e</t>
  </si>
  <si>
    <t>62da4cd322e03e0019013280</t>
  </si>
  <si>
    <t>62da4cd322e03e0019013281</t>
  </si>
  <si>
    <t>62da4cd322e03e0019013282</t>
  </si>
  <si>
    <t>62da4cd422e03e0019013283</t>
  </si>
  <si>
    <t>62da4cd422e03e0019013285</t>
  </si>
  <si>
    <t>62da4cd422e03e0019013287</t>
  </si>
  <si>
    <t>62da4cd422e03e0019013288</t>
  </si>
  <si>
    <t>62da4cd422e03e0019013289</t>
  </si>
  <si>
    <t>62da4cd422e03e001901328b</t>
  </si>
  <si>
    <t>62da4cd422e03e001901328d</t>
  </si>
  <si>
    <t>62da4cd422e03e001901328e</t>
  </si>
  <si>
    <t>62da4cd422e03e001901328f</t>
  </si>
  <si>
    <t>62da4cd422e03e0019013290</t>
  </si>
  <si>
    <t>62da4cd422e03e0019013292</t>
  </si>
  <si>
    <t>62e0e5e171331f001d559c47</t>
  </si>
  <si>
    <t>Notes</t>
  </si>
  <si>
    <t>Sophy? Sieht nach korrekter Barriere aus, da Fotos und Gradzahl vorhanden und Barriere sonst nicht aufgeführt. Aber evtl. nur Draft da abgebrochen, weil zu ETH gehört?</t>
  </si>
  <si>
    <t>Sophy, kannst du dich an den Sempersteig noch erinnern? Habe auf OSM die Koordinaten vergleicht, sieht aus wie verschiedene Treppen -&gt; würde heissen alle 4 Treppen hier korrekt erfasst.</t>
  </si>
  <si>
    <t>siehe oberen kommentar</t>
  </si>
  <si>
    <t>Scheint korrekt zu sein, unterscheidet sich von Barrieren davor und danach</t>
  </si>
  <si>
    <t>Scheint korrekt zu sein, evtl. Verbindungsprobleme zum Server und daher Zeit 0 zwischen Barrieren setzen?</t>
  </si>
  <si>
    <t>Lange Pause?</t>
  </si>
  <si>
    <t>Koordinaten sehr ähnlich zu Barriere davor und gleiche Steigung, scheint doppelte Barriere zu sein; Bilder ebenfalls gleich; lange pause?</t>
  </si>
  <si>
    <t>Pause?</t>
  </si>
  <si>
    <t>x</t>
  </si>
  <si>
    <t>invalid</t>
  </si>
  <si>
    <t>without invalid entries</t>
  </si>
  <si>
    <t>alle Messungen bis und mit 16:07 parallel mit mehreren Geräten durchgeführt (Vergleichswerte mit meinem Account, verschiedene Apps zum Messen der Steigung probiert), daher länger gebraucht</t>
  </si>
  <si>
    <t>calculatedTimeWithPath</t>
  </si>
  <si>
    <t>timeReported</t>
  </si>
  <si>
    <t>(measured manually with timer)</t>
  </si>
  <si>
    <t>time</t>
  </si>
  <si>
    <t>Baustelle mit Enddatum</t>
  </si>
  <si>
    <t>20 Stufen gelaufen</t>
  </si>
  <si>
    <t>comment</t>
  </si>
  <si>
    <t>Hausecke</t>
  </si>
  <si>
    <t>Steigung und Gefälle</t>
  </si>
  <si>
    <t>Notiz für Bericht: Bollard und Planter sehr wenig und da "neu" braucht man länger, drückt Zeit nach oben?; Pausen zwischen Messungen drücken Zeit ebenfalls nach oben (siehe Berechnungen without invalid entries); Messungen gehen zu zweit anscheinend schneller (wenn 1 misst und einer eingibt, weniger Geräte-/Appwechsel)</t>
  </si>
  <si>
    <t>nicht Tramschiene also inkl. Messung (bei Tramschienen haben wir immer gleichen Wert eingegeben)</t>
  </si>
  <si>
    <t>reference value (time to report only)</t>
  </si>
  <si>
    <t>no offline tool available</t>
  </si>
  <si>
    <t>complete measurement with offline tool possible</t>
  </si>
  <si>
    <t>OSM</t>
  </si>
  <si>
    <t>Infra3D</t>
  </si>
  <si>
    <t>Höhenmodell</t>
  </si>
  <si>
    <t>comment OSM</t>
  </si>
  <si>
    <t>comment Infra3D</t>
  </si>
  <si>
    <t>2 Gates in C&amp;G erfasst, welche Teil der öffentlichen (zu jeder Tageszeit zugänglichen) Wege sind und nicht in OSM erfasst waren; ansonsten sind Gates in OSM erfasst</t>
  </si>
  <si>
    <t>1 Gate nicht zugänglich und 1 Gate sichtbar aber nicht messbar (aussherhalb Radius)</t>
  </si>
  <si>
    <t>Bollards auffindbar und Messung möglich, jedoch ungenauer als vor Ort; z.B. 62bad8314e78270019b4e48c nicht messbar, da im Infra3D gerade Baustelle</t>
  </si>
  <si>
    <t>auffindbar aber Messung teilweise nicht möglich oder ungenau; manchmal jedoch sehr genau möglich</t>
  </si>
  <si>
    <t>Treppen auffindbar jedoch begrenzte Informationen (nur ob Rampe oder keine)</t>
  </si>
  <si>
    <t>Treppen auffindbar, jedoch nur teilweise messbar oder ungenau</t>
  </si>
  <si>
    <t>comment other</t>
  </si>
  <si>
    <t>z.B. Baustellenschilder nicht ersichtlich; aber für offizielle Baustellen der Stadt: https://www.stadt-zuerich.ch/ted/de/index/taz/bauen/baustellen_info.html; Beispiel Seilergraben: https://www.stadt-zuerich.ch/ted/de/index/taz/bauen/baustellen_info.html?id=7106</t>
  </si>
  <si>
    <t>other tool</t>
  </si>
  <si>
    <t>grundsätzlich auffindbar aber schwer messbar; unsere gemessene Velobarriere ist noch nicht vorhanden zum Zeitpunkt der Infra3D Aufnahmen</t>
  </si>
  <si>
    <t>gleiche Barriere wie obere</t>
  </si>
  <si>
    <t>siehe Kommentar für Barrierentyp "other"</t>
  </si>
  <si>
    <t>z.B. Mauerecke auffindbar; Baustellen nicht; Schilder nicht</t>
  </si>
  <si>
    <t>für diese 1 Messung war vollständige und korrekte Messung möglich</t>
  </si>
  <si>
    <t>Steigung und Querneigung berechenbar durch Horizontaldistanz und Höhendifferenz (längere Strecke messbar als vor Ort); einige wenige GPS-Punkte (Koordinaten), z.B. kleine Seitenstrassen, nicht erreichbar</t>
  </si>
  <si>
    <t>Steigung und Querneigung berechenbar durch Horizontal- und Vertikaldistanz</t>
  </si>
  <si>
    <t>Tramschienen erfassbar</t>
  </si>
  <si>
    <t>z.B. 62b43f0d945c4c0019aa66cc auffindbar und akkurat messbar</t>
  </si>
  <si>
    <t>numberReported</t>
  </si>
  <si>
    <t>sampleSize</t>
  </si>
  <si>
    <t>id_simple</t>
  </si>
  <si>
    <t>Formel</t>
  </si>
  <si>
    <t>=INDEX(data,RANDBETWEEN(1,ROWS(data)),1)</t>
  </si>
  <si>
    <t>Mean</t>
  </si>
  <si>
    <t>Median</t>
  </si>
  <si>
    <t>time to report</t>
  </si>
  <si>
    <t>https://captureandgo.cloudlab.zhaw.ch/uploads/image_6807e6c119.jpg</t>
  </si>
  <si>
    <t>https://captureandgo.cloudlab.zhaw.ch/uploads/image_f4055ce506.jpg</t>
  </si>
  <si>
    <t>https://captureandgo.cloudlab.zhaw.ch/uploads/image_52fbd2085f.jpg</t>
  </si>
  <si>
    <t>https://captureandgo.cloudlab.zhaw.ch/uploads/image_1eee62558f.jpg</t>
  </si>
  <si>
    <t>Pause? Wahrscheinlich Wifi-Problem</t>
  </si>
  <si>
    <t>Sophy? Treppe am Ende der Karl-Schmid-Strasse, scheint korrekt zu sein, besteht aus mehreren Treppen. Wahrscheinlich Wifi-Problem.</t>
  </si>
  <si>
    <t>Wahrscheinlich Wifi-Problem.</t>
  </si>
  <si>
    <t>https://captureandgo.cloudlab.zhaw.ch/uploads/image_1f84314c1f.jpg</t>
  </si>
  <si>
    <t>https://captureandgo.cloudlab.zhaw.ch/uploads/image_fbc3176896.jpg</t>
  </si>
  <si>
    <t>https://captureandgo.cloudlab.zhaw.ch/uploads/image_7904845d35.jpg</t>
  </si>
  <si>
    <t>https://captureandgo.cloudlab.zhaw.ch/uploads/image_8a244dc044.jpg</t>
  </si>
  <si>
    <t>Sophy?Da keine Beschreibung und kein Foto ist, wahrscheinlich wirklich nur Entwurf. Koordinaten unterscheiden sich allerdings deutlich von Barriere davor und danach; wahrscheinlich gleiche Barriere wie nacher</t>
  </si>
  <si>
    <t>siehe oberen kommentar, gleiche Einschätzung; warscheinlich gleiche Barriere wie vorher</t>
  </si>
  <si>
    <t>https://captureandgo.cloudlab.zhaw.ch/uploads/image_8492ad144a.jpg</t>
  </si>
  <si>
    <t>https://captureandgo.cloudlab.zhaw.ch/uploads/image_1833212ecd.jpg</t>
  </si>
  <si>
    <t>Manuel check of images</t>
  </si>
  <si>
    <t>https://captureandgo.cloudlab.zhaw.ch/uploads/image_2e67e64733.jpg</t>
  </si>
  <si>
    <t>https://captureandgo.cloudlab.zhaw.ch/uploads/image_ada3cf4b9a.jpg</t>
  </si>
  <si>
    <t>https://captureandgo.cloudlab.zhaw.ch/uploads/image_e20c26abcb.jpg</t>
  </si>
  <si>
    <t>https://captureandgo.cloudlab.zhaw.ch/uploads/image_780eb1cba6.jpg</t>
  </si>
  <si>
    <t>Foto vergessen</t>
  </si>
  <si>
    <t>calculatedTime &gt; 10min</t>
  </si>
  <si>
    <t>Legend</t>
  </si>
  <si>
    <t>inconclusive darfts</t>
  </si>
  <si>
    <t>inconclusive calculatedTime</t>
  </si>
  <si>
    <t>https://captureandgo.cloudlab.zhaw.ch/uploads/image_4cbe84eeb8.jpg</t>
  </si>
  <si>
    <t>https://captureandgo.cloudlab.zhaw.ch/uploads/image_014d391dac.jpg</t>
  </si>
  <si>
    <t>https://captureandgo.cloudlab.zhaw.ch/uploads/image_9b14570add.jpg</t>
  </si>
  <si>
    <t>https://captureandgo.cloudlab.zhaw.ch/uploads/image_34711472f6.jpg</t>
  </si>
  <si>
    <t>https://captureandgo.cloudlab.zhaw.ch/uploads/image_fa71d57b03.jpg</t>
  </si>
  <si>
    <t>Barriere nacher erfasst, gleiche Koordinaten</t>
  </si>
  <si>
    <t>Barriere bereits erfasst; gleiche Koordinaten</t>
  </si>
  <si>
    <t>Barriere nacher erfasst; gleiche Koordinaten</t>
  </si>
  <si>
    <t>https://captureandgo.cloudlab.zhaw.ch/uploads/image_b15eef0945.jpg</t>
  </si>
  <si>
    <t>27.07.22 09:14</t>
  </si>
  <si>
    <t>https://captureandgo.cloudlab.zhaw.ch/uploads/image_f4998b383b.jpg</t>
  </si>
  <si>
    <t>https://captureandgo.cloudlab.zhaw.ch/uploads/image_fc242edcb6.jpg</t>
  </si>
  <si>
    <t>https://captureandgo.cloudlab.zhaw.ch/uploads/image_729a1cb2b0.jpg</t>
  </si>
  <si>
    <t>https://captureandgo.cloudlab.zhaw.ch/uploads/image_8d8fbb9637.jpg</t>
  </si>
  <si>
    <t>https://captureandgo.cloudlab.zhaw.ch/uploads/image_f12446d66d.jpg</t>
  </si>
  <si>
    <t>https://captureandgo.cloudlab.zhaw.ch/uploads/image_76949eaef4.jpg</t>
  </si>
  <si>
    <t>https://captureandgo.cloudlab.zhaw.ch/uploads/image_f567eb733f.jpg</t>
  </si>
  <si>
    <t>https://captureandgo.cloudlab.zhaw.ch/uploads/image_b01766bc3b.jpg</t>
  </si>
  <si>
    <t>https://captureandgo.cloudlab.zhaw.ch/uploads/image_2d91ed4e09.jpg</t>
  </si>
  <si>
    <t>https://captureandgo.cloudlab.zhaw.ch/uploads/image_78f04549d7.jpg</t>
  </si>
  <si>
    <t>https://captureandgo.cloudlab.zhaw.ch/uploads/image_af3940e65e.jpg</t>
  </si>
  <si>
    <t>https://captureandgo.cloudlab.zhaw.ch/uploads/image_445d324161.jpg</t>
  </si>
  <si>
    <t>https://captureandgo.cloudlab.zhaw.ch/uploads/image_7e07f4d124.jpg</t>
  </si>
  <si>
    <t>22.07.22 08:40</t>
  </si>
  <si>
    <t>https://captureandgo.cloudlab.zhaw.ch/uploads/image_9650fba4bd.jpg</t>
  </si>
  <si>
    <t>20.07.22 08:25</t>
  </si>
  <si>
    <t>https://captureandgo.cloudlab.zhaw.ch/uploads/image_e4a20b4317.jpg</t>
  </si>
  <si>
    <t>https://captureandgo.cloudlab.zhaw.ch/uploads/image_ec6b5284cb.jpg</t>
  </si>
  <si>
    <t>https://captureandgo.cloudlab.zhaw.ch/uploads/image_e42f4f5a26.jpg</t>
  </si>
  <si>
    <t>https://captureandgo.cloudlab.zhaw.ch/uploads/image_1ed36d104e.jpg</t>
  </si>
  <si>
    <t>https://captureandgo.cloudlab.zhaw.ch/uploads/image_8209e4bbce.jpg</t>
  </si>
  <si>
    <t>https://captureandgo.cloudlab.zhaw.ch/uploads/image_b88ad7bba1.jpg</t>
  </si>
  <si>
    <t>https://captureandgo.cloudlab.zhaw.ch/uploads/image_d59a4d5f32.jpg</t>
  </si>
  <si>
    <t>https://captureandgo.cloudlab.zhaw.ch/uploads/image_84b6e6ca79.jpg</t>
  </si>
  <si>
    <t>13.07.22 09:17</t>
  </si>
  <si>
    <t>https://captureandgo.cloudlab.zhaw.ch/uploads/image_fc7a8af438.jpg</t>
  </si>
  <si>
    <t>13.07.22 09:53</t>
  </si>
  <si>
    <t>https://captureandgo.cloudlab.zhaw.ch/uploads/image_eafbd616fa.jpg</t>
  </si>
  <si>
    <t>11.07.22 09:50</t>
  </si>
  <si>
    <t>07.07.22 09:45</t>
  </si>
  <si>
    <t>https://captureandgo.cloudlab.zhaw.ch/uploads/image_239c11ba76.jpg</t>
  </si>
  <si>
    <t>https://captureandgo.cloudlab.zhaw.ch/uploads/image_272d503115.jpg</t>
  </si>
  <si>
    <t>https://captureandgo.cloudlab.zhaw.ch/uploads/image_1a1bb19fb5.jpg</t>
  </si>
  <si>
    <t>https://captureandgo.cloudlab.zhaw.ch/uploads/image_0cdb663923.jpg</t>
  </si>
  <si>
    <t>https://captureandgo.cloudlab.zhaw.ch/uploads/image_30d17d5359.jpg</t>
  </si>
  <si>
    <t>https://captureandgo.cloudlab.zhaw.ch/uploads/image_495c6e4c1a.jpg</t>
  </si>
  <si>
    <t>https://captureandgo.cloudlab.zhaw.ch/uploads/image_f28f2885af.jpg</t>
  </si>
  <si>
    <t>06.07.22 16:44</t>
  </si>
  <si>
    <t>https://captureandgo.cloudlab.zhaw.ch/uploads/image_f6b2e86ac8.jpg</t>
  </si>
  <si>
    <t>06.07.22 15:06</t>
  </si>
  <si>
    <t>https://captureandgo.cloudlab.zhaw.ch/uploads/image_5490c6c041.jpg</t>
  </si>
  <si>
    <t>06.07.22 14:06</t>
  </si>
  <si>
    <t>https://captureandgo.cloudlab.zhaw.ch/uploads/image_34271b3fbd.jpg</t>
  </si>
  <si>
    <t>https://captureandgo.cloudlab.zhaw.ch/uploads/image_e59fadd35c.jpg</t>
  </si>
  <si>
    <t>05.07.22 10:13</t>
  </si>
  <si>
    <t>https://captureandgo.cloudlab.zhaw.ch/uploads/image_968c2977b7.jpg</t>
  </si>
  <si>
    <t>https://captureandgo.cloudlab.zhaw.ch/uploads/image_bbf02d2bbc.jpg</t>
  </si>
  <si>
    <t>https://captureandgo.cloudlab.zhaw.ch/uploads/image_191c8ca5d7.jpg</t>
  </si>
  <si>
    <t>01.07.22 14:11</t>
  </si>
  <si>
    <t>https://captureandgo.cloudlab.zhaw.ch/uploads/image_869703eed6.jpg</t>
  </si>
  <si>
    <t>https://captureandgo.cloudlab.zhaw.ch/uploads/image_7cb01dd3d4.jpg</t>
  </si>
  <si>
    <t>01.07.22 17:10</t>
  </si>
  <si>
    <t>https://captureandgo.cloudlab.zhaw.ch/uploads/image_45cace3675.jpg</t>
  </si>
  <si>
    <t>https://captureandgo.cloudlab.zhaw.ch/uploads/image_4f2e5565cf.jpg</t>
  </si>
  <si>
    <t>https://captureandgo.cloudlab.zhaw.ch/uploads/image_b7dcb27f69.jpg</t>
  </si>
  <si>
    <t>https://captureandgo.cloudlab.zhaw.ch/uploads/image_4d0089469d.jpg</t>
  </si>
  <si>
    <t>https://captureandgo.cloudlab.zhaw.ch/uploads/image_cb69f37a0c.jpg</t>
  </si>
  <si>
    <t>28.06.22 10:46</t>
  </si>
  <si>
    <t>https://captureandgo.cloudlab.zhaw.ch/uploads/image_2d1d39d4bd.jpg</t>
  </si>
  <si>
    <t>25.06.22 11:08</t>
  </si>
  <si>
    <t>https://captureandgo.cloudlab.zhaw.ch/uploads/image_ed123c83f9.jpg</t>
  </si>
  <si>
    <t>https://captureandgo.cloudlab.zhaw.ch/uploads/image_95f1cf4e6f.jpg</t>
  </si>
  <si>
    <t>25.06.22 09:57</t>
  </si>
  <si>
    <t>https://captureandgo.cloudlab.zhaw.ch/uploads/image_be10a4baad.jpg</t>
  </si>
  <si>
    <t>https://captureandgo.cloudlab.zhaw.ch/uploads/image_93b0f673aa.jpg</t>
  </si>
  <si>
    <t>https://captureandgo.cloudlab.zhaw.ch/uploads/image_1ad429564f.jpg</t>
  </si>
  <si>
    <t>24.06.22 09:18</t>
  </si>
  <si>
    <t>https://captureandgo.cloudlab.zhaw.ch/uploads/image_2c6cb6178e.jpg</t>
  </si>
  <si>
    <t>23.06.22 09:45</t>
  </si>
  <si>
    <t>https://captureandgo.cloudlab.zhaw.ch/uploads/image_da993b08fb.jpg</t>
  </si>
  <si>
    <t>https://captureandgo.cloudlab.zhaw.ch/uploads/image_926c8b452e.jpg</t>
  </si>
  <si>
    <t>17.06.22 15:36</t>
  </si>
  <si>
    <t>https://captureandgo.cloudlab.zhaw.ch/uploads/image_6c32c2e33b.jpg</t>
  </si>
  <si>
    <t>13.06.22 15:42</t>
  </si>
  <si>
    <t>https://captureandgo.cloudlab.zhaw.ch/uploads/image_eff5c5269f.jpg</t>
  </si>
  <si>
    <t>10.06.22 14:38</t>
  </si>
  <si>
    <t>https://captureandgo.cloudlab.zhaw.ch/uploads/image_25918770b7.jpg</t>
  </si>
  <si>
    <t>https://captureandgo.cloudlab.zhaw.ch/uploads/image_620a3d510c.jpg</t>
  </si>
  <si>
    <t>https://captureandgo.cloudlab.zhaw.ch/uploads/image_9a5dc04ee4.jpg</t>
  </si>
  <si>
    <t>https://captureandgo.cloudlab.zhaw.ch/uploads/image_706dae97dd.jpg</t>
  </si>
  <si>
    <t>https://captureandgo.cloudlab.zhaw.ch/uploads/image_88b47d2e58.jpg</t>
  </si>
  <si>
    <t>https://captureandgo.cloudlab.zhaw.ch/uploads/image_40c55c0410.jpg</t>
  </si>
  <si>
    <t>https://captureandgo.cloudlab.zhaw.ch/uploads/image_9e2da4387d.jpg</t>
  </si>
  <si>
    <t>https://captureandgo.cloudlab.zhaw.ch/uploads/image_badccb2845.jpg</t>
  </si>
  <si>
    <t>https://captureandgo.cloudlab.zhaw.ch/uploads/image_51df2e3143.jpg</t>
  </si>
  <si>
    <t>https://captureandgo.cloudlab.zhaw.ch/uploads/image_cf786a664d.jpg</t>
  </si>
  <si>
    <t>https://captureandgo.cloudlab.zhaw.ch/uploads/image_70fcd55385.jpg</t>
  </si>
  <si>
    <t>https://captureandgo.cloudlab.zhaw.ch/uploads/image_7c6c0ddf3a.jpg</t>
  </si>
  <si>
    <t>https://captureandgo.cloudlab.zhaw.ch/uploads/image_91b50a128c.jpg</t>
  </si>
  <si>
    <t>https://captureandgo.cloudlab.zhaw.ch/uploads/image_d2d7b43eb8.jpg</t>
  </si>
  <si>
    <t>https://captureandgo.cloudlab.zhaw.ch/uploads/image_c798b41768.jpg</t>
  </si>
  <si>
    <t>https://captureandgo.cloudlab.zhaw.ch/uploads/image_3df3445253.jpg</t>
  </si>
  <si>
    <t>https://captureandgo.cloudlab.zhaw.ch/uploads/image_a7b9c13c7a.jpg</t>
  </si>
  <si>
    <t>https://captureandgo.cloudlab.zhaw.ch/uploads/image_50060d4d42.jpg</t>
  </si>
  <si>
    <t>https://captureandgo.cloudlab.zhaw.ch/uploads/image_17294f505a.jpg</t>
  </si>
  <si>
    <t>https://captureandgo.cloudlab.zhaw.ch/uploads/image_c77e880f3c.jpg</t>
  </si>
  <si>
    <t>https://captureandgo.cloudlab.zhaw.ch/uploads/image_de46b9757d.jpg</t>
  </si>
  <si>
    <t>https://captureandgo.cloudlab.zhaw.ch/uploads/image_0ec155530c.jpg</t>
  </si>
  <si>
    <t>https://captureandgo.cloudlab.zhaw.ch/uploads/image_a892743881.jpg</t>
  </si>
  <si>
    <t>https://captureandgo.cloudlab.zhaw.ch/uploads/image_03aee8f82e.jpg</t>
  </si>
  <si>
    <t>01.07.22 14:48</t>
  </si>
  <si>
    <t>https://captureandgo.cloudlab.zhaw.ch/uploads/image_e3bbfdd26f.jpg</t>
  </si>
  <si>
    <t>https://captureandgo.cloudlab.zhaw.ch/uploads/image_3704a418d9.jpg</t>
  </si>
  <si>
    <t>https://captureandgo.cloudlab.zhaw.ch/uploads/image_4e45c06b66.jpg</t>
  </si>
  <si>
    <t>https://captureandgo.cloudlab.zhaw.ch/uploads/image_a2933f9718.jpg</t>
  </si>
  <si>
    <t>https://captureandgo.cloudlab.zhaw.ch/uploads/image_74fce68de2.jpg</t>
  </si>
  <si>
    <t>https://captureandgo.cloudlab.zhaw.ch/uploads/image_6e622dc13d.jpg</t>
  </si>
  <si>
    <t>https://captureandgo.cloudlab.zhaw.ch/uploads/image_31e6f81f3b.jpg</t>
  </si>
  <si>
    <t>27.07.22 11:19</t>
  </si>
  <si>
    <t>https://captureandgo.cloudlab.zhaw.ch/uploads/image_52cfbe018b.jpg</t>
  </si>
  <si>
    <t>27.07.22 11:16</t>
  </si>
  <si>
    <t>https://captureandgo.cloudlab.zhaw.ch/uploads/image_8e5eef1485.jpg</t>
  </si>
  <si>
    <t>https://captureandgo.cloudlab.zhaw.ch/uploads/image_51d3b648b3.jpg</t>
  </si>
  <si>
    <t>27.07.22 10:26</t>
  </si>
  <si>
    <t>https://captureandgo.cloudlab.zhaw.ch/uploads/image_c03393cdfc.jpg</t>
  </si>
  <si>
    <t>https://captureandgo.cloudlab.zhaw.ch/uploads/image_184b478dea.jpg</t>
  </si>
  <si>
    <t>https://captureandgo.cloudlab.zhaw.ch/uploads/image_1e99f85993.jpg</t>
  </si>
  <si>
    <t>27.07.22 09:22</t>
  </si>
  <si>
    <t>27.07.22 09:21</t>
  </si>
  <si>
    <t>https://captureandgo.cloudlab.zhaw.ch/uploads/image_8f91520d3e.jpg</t>
  </si>
  <si>
    <t>https://captureandgo.cloudlab.zhaw.ch/uploads/image_8f8de2f126.jpg</t>
  </si>
  <si>
    <t>22.07.22 10:42</t>
  </si>
  <si>
    <t>https://captureandgo.cloudlab.zhaw.ch/uploads/image_5978296977.jpg</t>
  </si>
  <si>
    <t>13.07.22 09:54</t>
  </si>
  <si>
    <t>https://captureandgo.cloudlab.zhaw.ch/uploads/image_98684b06f1.jpg</t>
  </si>
  <si>
    <t>https://captureandgo.cloudlab.zhaw.ch/uploads/image_9e3600b87f.jpg</t>
  </si>
  <si>
    <t>https://captureandgo.cloudlab.zhaw.ch/uploads/image_658d70a275.jpg</t>
  </si>
  <si>
    <t>https://captureandgo.cloudlab.zhaw.ch/uploads/image_ec9cc6fab4.jpg</t>
  </si>
  <si>
    <t>https://captureandgo.cloudlab.zhaw.ch/uploads/image_10b45aa099.jpg</t>
  </si>
  <si>
    <t>07.07.22 12:31</t>
  </si>
  <si>
    <t>07.07.22 12:30</t>
  </si>
  <si>
    <t>https://captureandgo.cloudlab.zhaw.ch/uploads/image_7c4bb6f3b3.jpg</t>
  </si>
  <si>
    <t>https://captureandgo.cloudlab.zhaw.ch/uploads/image_c1f9ae3965.jpg</t>
  </si>
  <si>
    <t>05.07.22 10:19</t>
  </si>
  <si>
    <t>https://captureandgo.cloudlab.zhaw.ch/uploads/image_57fb5a1dc4.jpg</t>
  </si>
  <si>
    <t>https://captureandgo.cloudlab.zhaw.ch/uploads/image_f163e6f4b7.jpg</t>
  </si>
  <si>
    <t>https://captureandgo.cloudlab.zhaw.ch/uploads/image_5ddfa60fe1.jpg</t>
  </si>
  <si>
    <t>https://captureandgo.cloudlab.zhaw.ch/uploads/image_7811c8c6f5.jpg</t>
  </si>
  <si>
    <t>https://captureandgo.cloudlab.zhaw.ch/uploads/image_16b9fe979c.jpg</t>
  </si>
  <si>
    <t>https://captureandgo.cloudlab.zhaw.ch/uploads/image_77a8a27626.jpg</t>
  </si>
  <si>
    <t>https://captureandgo.cloudlab.zhaw.ch/uploads/image_0cbe3a9166.jpg</t>
  </si>
  <si>
    <t>28.06.22 12:29</t>
  </si>
  <si>
    <t>https://captureandgo.cloudlab.zhaw.ch/uploads/image_22f69bbd11.jpg</t>
  </si>
  <si>
    <t>https://captureandgo.cloudlab.zhaw.ch/uploads/image_830ddda15c.jpg</t>
  </si>
  <si>
    <t>https://captureandgo.cloudlab.zhaw.ch/uploads/image_696ad1abc5.jpg</t>
  </si>
  <si>
    <t>https://captureandgo.cloudlab.zhaw.ch/uploads/image_30489e6162.jpg</t>
  </si>
  <si>
    <t>https://captureandgo.cloudlab.zhaw.ch/uploads/image_c4aa2cd922.jpg</t>
  </si>
  <si>
    <t>https://captureandgo.cloudlab.zhaw.ch/uploads/image_55b623c2ea.jpg</t>
  </si>
  <si>
    <t>https://captureandgo.cloudlab.zhaw.ch/uploads/image_ba35088fc9.jpg</t>
  </si>
  <si>
    <t>24.06.22 09:31</t>
  </si>
  <si>
    <t>24.06.22 09:30</t>
  </si>
  <si>
    <t>https://captureandgo.cloudlab.zhaw.ch/uploads/image_a03eb0e5b0.jpg</t>
  </si>
  <si>
    <t>https://captureandgo.cloudlab.zhaw.ch/uploads/image_a95e26d087.jpg</t>
  </si>
  <si>
    <t>13.06.22 17:21</t>
  </si>
  <si>
    <t>https://captureandgo.cloudlab.zhaw.ch/uploads/image_c99d485fbc.jpg</t>
  </si>
  <si>
    <t>https://captureandgo.cloudlab.zhaw.ch/uploads/image_62369c8ba8.jpg</t>
  </si>
  <si>
    <t>https://captureandgo.cloudlab.zhaw.ch/uploads/image_c9347e28a4.jpg</t>
  </si>
  <si>
    <t>https://captureandgo.cloudlab.zhaw.ch/uploads/image_ced4c627d3.jpg</t>
  </si>
  <si>
    <t>https://captureandgo.cloudlab.zhaw.ch/uploads/image_d2527159c2.jpg</t>
  </si>
  <si>
    <t>https://captureandgo.cloudlab.zhaw.ch/uploads/image_7f7592d84e.jpg</t>
  </si>
  <si>
    <t>https://captureandgo.cloudlab.zhaw.ch/uploads/image_50d35549e4.jpg</t>
  </si>
  <si>
    <t>https://captureandgo.cloudlab.zhaw.ch/uploads/image_6fa3e9555b.jpg</t>
  </si>
  <si>
    <t>https://captureandgo.cloudlab.zhaw.ch/uploads/image_83712987bf.jpg</t>
  </si>
  <si>
    <t>https://captureandgo.cloudlab.zhaw.ch/uploads/image_eb9643d26e.jpg</t>
  </si>
  <si>
    <t>https://captureandgo.cloudlab.zhaw.ch/uploads/image_35e35c5599.jpg</t>
  </si>
  <si>
    <t>https://captureandgo.cloudlab.zhaw.ch/uploads/image_0c0178f66c.jpg</t>
  </si>
  <si>
    <t>https://captureandgo.cloudlab.zhaw.ch/uploads/image_b8a720367f.jpg</t>
  </si>
  <si>
    <t>https://captureandgo.cloudlab.zhaw.ch/uploads/image_6244ee00af.jpg</t>
  </si>
  <si>
    <t>https://captureandgo.cloudlab.zhaw.ch/uploads/image_886b70dc62.jpg</t>
  </si>
  <si>
    <t>https://captureandgo.cloudlab.zhaw.ch/uploads/image_e57ee236d9.jpg</t>
  </si>
  <si>
    <t>https://captureandgo.cloudlab.zhaw.ch/uploads/image_15732d0685.jpg</t>
  </si>
  <si>
    <t>https://captureandgo.cloudlab.zhaw.ch/uploads/image_26a79253f5.jpg</t>
  </si>
  <si>
    <t>https://captureandgo.cloudlab.zhaw.ch/uploads/image_d5ca00fde4.jpg</t>
  </si>
  <si>
    <t>https://captureandgo.cloudlab.zhaw.ch/uploads/image_b19958e9f3.jpg</t>
  </si>
  <si>
    <t>https://captureandgo.cloudlab.zhaw.ch/uploads/image_de4088c070.jpg</t>
  </si>
  <si>
    <t>https://captureandgo.cloudlab.zhaw.ch/uploads/image_712d99fa01.jpg</t>
  </si>
  <si>
    <t>https://captureandgo.cloudlab.zhaw.ch/uploads/image_cdbba1c6f3.jpg</t>
  </si>
  <si>
    <t>https://captureandgo.cloudlab.zhaw.ch/uploads/image_55a89c2c23.jpg</t>
  </si>
  <si>
    <t>https://captureandgo.cloudlab.zhaw.ch/uploads/image_70fa4783ee.jpg</t>
  </si>
  <si>
    <t>https://captureandgo.cloudlab.zhaw.ch/uploads/image_3b61a7da55.jpg</t>
  </si>
  <si>
    <t>https://captureandgo.cloudlab.zhaw.ch/uploads/image_a3ad5bab2f.jpg</t>
  </si>
  <si>
    <t>https://captureandgo.cloudlab.zhaw.ch/uploads/image_454a74c90f.jpg</t>
  </si>
  <si>
    <t>https://captureandgo.cloudlab.zhaw.ch/uploads/image_633b3265e6.jpg</t>
  </si>
  <si>
    <t>https://captureandgo.cloudlab.zhaw.ch/uploads/image_05970481c6.jpg</t>
  </si>
  <si>
    <t>https://captureandgo.cloudlab.zhaw.ch/uploads/image_28990cb158.jpg</t>
  </si>
  <si>
    <t>https://captureandgo.cloudlab.zhaw.ch/uploads/image_0f3c4eab73.jpg</t>
  </si>
  <si>
    <t>https://captureandgo.cloudlab.zhaw.ch/uploads/image_5674a5f047.jpg</t>
  </si>
  <si>
    <t>https://captureandgo.cloudlab.zhaw.ch/uploads/image_4fd77b3548.jpg</t>
  </si>
  <si>
    <t>22.07.22 10:41</t>
  </si>
  <si>
    <t>https://captureandgo.cloudlab.zhaw.ch/uploads/image_1124aa1068.jpg</t>
  </si>
  <si>
    <t>https://captureandgo.cloudlab.zhaw.ch/uploads/image_8b2017b876.jpg</t>
  </si>
  <si>
    <t>https://captureandgo.cloudlab.zhaw.ch/uploads/image_a65726b0ee.jpg</t>
  </si>
  <si>
    <t>22.07.22 10:22</t>
  </si>
  <si>
    <t>https://captureandgo.cloudlab.zhaw.ch/uploads/image_cbae954195.jpg</t>
  </si>
  <si>
    <t>https://captureandgo.cloudlab.zhaw.ch/uploads/image_4fc526e27b.jpg</t>
  </si>
  <si>
    <t>https://captureandgo.cloudlab.zhaw.ch/uploads/image_a303ba0dce.jpg</t>
  </si>
  <si>
    <t>https://captureandgo.cloudlab.zhaw.ch/uploads/image_39cad3fbc9.jpg</t>
  </si>
  <si>
    <t>https://captureandgo.cloudlab.zhaw.ch/uploads/image_6e7cf06b1d.jpg</t>
  </si>
  <si>
    <t>20.07.22 09:55</t>
  </si>
  <si>
    <t>https://captureandgo.cloudlab.zhaw.ch/uploads/image_dff3099ff7.jpg</t>
  </si>
  <si>
    <t>https://captureandgo.cloudlab.zhaw.ch/uploads/image_b8ac19d063.jpg</t>
  </si>
  <si>
    <t>13.07.22 10:20</t>
  </si>
  <si>
    <t>https://captureandgo.cloudlab.zhaw.ch/uploads/image_c98feed872.jpg</t>
  </si>
  <si>
    <t>https://captureandgo.cloudlab.zhaw.ch/uploads/image_cef39f89e3.jpg</t>
  </si>
  <si>
    <t>https://captureandgo.cloudlab.zhaw.ch/uploads/image_2403657e16.jpg</t>
  </si>
  <si>
    <t>https://captureandgo.cloudlab.zhaw.ch/uploads/image_a92013c5db.jpg</t>
  </si>
  <si>
    <t>https://captureandgo.cloudlab.zhaw.ch/uploads/image_a6a38ca5d0.jpg</t>
  </si>
  <si>
    <t>https://captureandgo.cloudlab.zhaw.ch/uploads/image_cfff33c40d.jpg</t>
  </si>
  <si>
    <t>06.07.22 16:53</t>
  </si>
  <si>
    <t>https://captureandgo.cloudlab.zhaw.ch/uploads/image_f93f4b0205.jpg</t>
  </si>
  <si>
    <t>https://captureandgo.cloudlab.zhaw.ch/uploads/image_52aeb297eb.jpg</t>
  </si>
  <si>
    <t>https://captureandgo.cloudlab.zhaw.ch/uploads/image_8067414f13.jpg</t>
  </si>
  <si>
    <t>https://captureandgo.cloudlab.zhaw.ch/uploads/image_fcae23e2c1.jpg</t>
  </si>
  <si>
    <t>https://captureandgo.cloudlab.zhaw.ch/uploads/image_1b6459303c.jpg</t>
  </si>
  <si>
    <t>https://captureandgo.cloudlab.zhaw.ch/uploads/image_0a402a6fb0.jpg</t>
  </si>
  <si>
    <t>https://captureandgo.cloudlab.zhaw.ch/uploads/image_1a36a312d6.jpg</t>
  </si>
  <si>
    <t>https://captureandgo.cloudlab.zhaw.ch/uploads/image_78b295f9aa.jpg</t>
  </si>
  <si>
    <t>https://captureandgo.cloudlab.zhaw.ch/uploads/image_60285acb51.jpg</t>
  </si>
  <si>
    <t>https://captureandgo.cloudlab.zhaw.ch/uploads/image_b12e8b0e50.jpg</t>
  </si>
  <si>
    <t>https://captureandgo.cloudlab.zhaw.ch/uploads/image_20b334a758.jpg</t>
  </si>
  <si>
    <t>https://captureandgo.cloudlab.zhaw.ch/uploads/image_14f55dc056.jpg</t>
  </si>
  <si>
    <t>https://captureandgo.cloudlab.zhaw.ch/uploads/image_eded844f1c.jpg</t>
  </si>
  <si>
    <t>17.06.22 17:34</t>
  </si>
  <si>
    <t>https://captureandgo.cloudlab.zhaw.ch/uploads/image_d8d935ad86.jpg</t>
  </si>
  <si>
    <t>https://captureandgo.cloudlab.zhaw.ch/uploads/image_27d521a0a6.jpg</t>
  </si>
  <si>
    <t>27.07.22 10:13</t>
  </si>
  <si>
    <t>https://captureandgo.cloudlab.zhaw.ch/uploads/image_ce7336f25e.jpg</t>
  </si>
  <si>
    <t>22.07.22 10:59</t>
  </si>
  <si>
    <t>22.07.22 10:58</t>
  </si>
  <si>
    <t>https://captureandgo.cloudlab.zhaw.ch/uploads/image_9521376c14.jpg</t>
  </si>
  <si>
    <t>22.07.22 10:34</t>
  </si>
  <si>
    <t>22.07.22 10:33</t>
  </si>
  <si>
    <t>https://captureandgo.cloudlab.zhaw.ch/uploads/image_856f609e72.jpg</t>
  </si>
  <si>
    <t>22.07.22 10:12</t>
  </si>
  <si>
    <t>https://captureandgo.cloudlab.zhaw.ch/uploads/image_c8f5e07595.jpg</t>
  </si>
  <si>
    <t>22.07.22 09:39</t>
  </si>
  <si>
    <t>22.07.22 09:38</t>
  </si>
  <si>
    <t>https://captureandgo.cloudlab.zhaw.ch/uploads/image_3a7f5c15c1.jpg</t>
  </si>
  <si>
    <t>22.07.22 08:50</t>
  </si>
  <si>
    <t>22.07.22 08:49</t>
  </si>
  <si>
    <t>https://captureandgo.cloudlab.zhaw.ch/uploads/image_121b19a0d5.jpg</t>
  </si>
  <si>
    <t>20.07.22 09:13</t>
  </si>
  <si>
    <t>20.07.22 09:12</t>
  </si>
  <si>
    <t>https://captureandgo.cloudlab.zhaw.ch/uploads/image_88bcb614a2.jpg</t>
  </si>
  <si>
    <t>20.07.22 09:11</t>
  </si>
  <si>
    <t>https://captureandgo.cloudlab.zhaw.ch/uploads/image_10fe386e9a.jpg</t>
  </si>
  <si>
    <t>13.07.22 10:00</t>
  </si>
  <si>
    <t>13.07.22 09:59</t>
  </si>
  <si>
    <t>06.07.22 17:06</t>
  </si>
  <si>
    <t>06.07.22 17:05</t>
  </si>
  <si>
    <t>https://captureandgo.cloudlab.zhaw.ch/uploads/image_8db6bb7203.jpg</t>
  </si>
  <si>
    <t>06.07.22 15:45</t>
  </si>
  <si>
    <t>06.07.22 15:44</t>
  </si>
  <si>
    <t>https://captureandgo.cloudlab.zhaw.ch/uploads/image_fcc0ac92d2.jpg</t>
  </si>
  <si>
    <t>06.07.22 14:49</t>
  </si>
  <si>
    <t>https://captureandgo.cloudlab.zhaw.ch/uploads/image_3b2a365ff9.jpg</t>
  </si>
  <si>
    <t>05.07.22 12:07</t>
  </si>
  <si>
    <t>05.07.22 12:06</t>
  </si>
  <si>
    <t>https://captureandgo.cloudlab.zhaw.ch/uploads/image_9b39dd5dbe.jpg</t>
  </si>
  <si>
    <t>05.07.22 11:13</t>
  </si>
  <si>
    <t>05.07.22 11:12</t>
  </si>
  <si>
    <t>https://captureandgo.cloudlab.zhaw.ch/uploads/image_3c264af965.jpg</t>
  </si>
  <si>
    <t>05.07.22 11:00</t>
  </si>
  <si>
    <t>05.07.22 10:59</t>
  </si>
  <si>
    <t>https://captureandgo.cloudlab.zhaw.ch/uploads/image_6fd39a4ee3.jpg</t>
  </si>
  <si>
    <t>https://captureandgo.cloudlab.zhaw.ch/uploads/image_a84d366ae6.jpg</t>
  </si>
  <si>
    <t>https://captureandgo.cloudlab.zhaw.ch/uploads/image_07ab1348a2.jpg</t>
  </si>
  <si>
    <t>https://captureandgo.cloudlab.zhaw.ch/uploads/image_29cacd0eb5.jpg</t>
  </si>
  <si>
    <t>https://captureandgo.cloudlab.zhaw.ch/uploads/image_c1ef8c731f.jpg</t>
  </si>
  <si>
    <t>24.06.22 09:54</t>
  </si>
  <si>
    <t>24.06.22 09:53</t>
  </si>
  <si>
    <t>https://captureandgo.cloudlab.zhaw.ch/uploads/image_703fb51126.jpg</t>
  </si>
  <si>
    <t>https://captureandgo.cloudlab.zhaw.ch/uploads/image_a2de2d37e7.jpg</t>
  </si>
  <si>
    <t>https://captureandgo.cloudlab.zhaw.ch/uploads/image_4dfde82fd3.jpg</t>
  </si>
  <si>
    <t>https://captureandgo.cloudlab.zhaw.ch/uploads/image_cb0f0c4fc0.jpg</t>
  </si>
  <si>
    <t>23.06.22 12:39</t>
  </si>
  <si>
    <t>23.06.22 12:38</t>
  </si>
  <si>
    <t>https://captureandgo.cloudlab.zhaw.ch/uploads/image_998d41fa22.jpg</t>
  </si>
  <si>
    <t>23.06.22 12:22</t>
  </si>
  <si>
    <t>https://captureandgo.cloudlab.zhaw.ch/uploads/image_b2a7e15663.jpg</t>
  </si>
  <si>
    <t>23.06.22 12:15</t>
  </si>
  <si>
    <t>23.06.22 12:14</t>
  </si>
  <si>
    <t>https://captureandgo.cloudlab.zhaw.ch/uploads/image_aadd7555ca.jpg</t>
  </si>
  <si>
    <t>23.06.22 12:11</t>
  </si>
  <si>
    <t>https://captureandgo.cloudlab.zhaw.ch/uploads/image_eb213cd848.jpg</t>
  </si>
  <si>
    <t>23.06.22 12:05</t>
  </si>
  <si>
    <t>23.06.22 12:04</t>
  </si>
  <si>
    <t>06.07.22 17:14</t>
  </si>
  <si>
    <t>06.07.22 17:12</t>
  </si>
  <si>
    <t>06.07.22 17:11</t>
  </si>
  <si>
    <t>07.07.22 12:25</t>
  </si>
  <si>
    <t>07.07.22 12:23</t>
  </si>
  <si>
    <t>07.07.22 12:22</t>
  </si>
  <si>
    <t>20.07.22 11:45</t>
  </si>
  <si>
    <t>20.07.22 11:43</t>
  </si>
  <si>
    <t>https://captureandgo.cloudlab.zhaw.ch/uploads/image_cefb1ee2ed.jpg</t>
  </si>
  <si>
    <t>https://captureandgo.cloudlab.zhaw.ch/uploads/image_9147ca44b1.jpg</t>
  </si>
  <si>
    <t>https://captureandgo.cloudlab.zhaw.ch/uploads/image_664a5ba702.jpg</t>
  </si>
  <si>
    <t>https://captureandgo.cloudlab.zhaw.ch/uploads/image_71c2437d6b.jpg</t>
  </si>
  <si>
    <t>https://captureandgo.cloudlab.zhaw.ch/uploads/image_9074cb4de1.jpg</t>
  </si>
  <si>
    <t>https://captureandgo.cloudlab.zhaw.ch/uploads/image_15da14c605.jpg</t>
  </si>
  <si>
    <t>https://captureandgo.cloudlab.zhaw.ch/uploads/image_75e11c74a0.jpg</t>
  </si>
  <si>
    <t>https://captureandgo.cloudlab.zhaw.ch/uploads/image_294a17f3d1.jpg</t>
  </si>
  <si>
    <t>https://captureandgo.cloudlab.zhaw.ch/uploads/image_5edfed8991.jpg</t>
  </si>
  <si>
    <t>https://captureandgo.cloudlab.zhaw.ch/uploads/image_27309cd7d6.jpg</t>
  </si>
  <si>
    <t>timeReportInfra3D</t>
  </si>
  <si>
    <t>sumTimeInfra3D</t>
  </si>
  <si>
    <t>sumTimeHöhenmodell</t>
  </si>
  <si>
    <t>-</t>
  </si>
  <si>
    <t>sumTimeOther</t>
  </si>
  <si>
    <t>timeFindInfra3D</t>
  </si>
  <si>
    <t>timeFind = bis korrekte Stelle gefunden</t>
  </si>
  <si>
    <t>timeReport = von Findung bis Messung abgeschlossen</t>
  </si>
  <si>
    <t>spaceLeftInfra3D</t>
  </si>
  <si>
    <t>timeBothInfra3D</t>
  </si>
  <si>
    <t>timeReportDifferenceInfra3D</t>
  </si>
  <si>
    <t>timeBothDifferenceInfra3D</t>
  </si>
  <si>
    <t>measureDifferenceInfra3D</t>
  </si>
  <si>
    <t>commentOSM</t>
  </si>
  <si>
    <t>commentInfra3D</t>
  </si>
  <si>
    <t>commentHöhenmodell</t>
  </si>
  <si>
    <t>commentOther</t>
  </si>
  <si>
    <t>sumTimeOSM</t>
  </si>
  <si>
    <t>timeDifferenceOSM</t>
  </si>
  <si>
    <t>timeDifferenceInfra3D</t>
  </si>
  <si>
    <t>timeDifferenceHöhenmodell</t>
  </si>
  <si>
    <t>timeDifferenceOther</t>
  </si>
  <si>
    <t>1 bollard nicht messbar wegen Baustelle in Infra3d; Messungen teils sehr schwierig; für korrekte Lokalisierung immer Fotos angeschaut, GPS Koordinaten von C&amp;G nicht genau genug; nur 1 von 6 bollards wäre als tatsächliche Barriere eingestuft worden (space &gt;= 120cm)</t>
  </si>
  <si>
    <t>accuracyOSM</t>
  </si>
  <si>
    <t>accuracyInfra3d</t>
  </si>
  <si>
    <t>accuracyHöhenmodell</t>
  </si>
  <si>
    <t>accuracyOther</t>
  </si>
  <si>
    <t>sum</t>
  </si>
  <si>
    <t>accuracyInfra3D</t>
  </si>
  <si>
    <t>errorInfra3D</t>
  </si>
  <si>
    <t>Area</t>
  </si>
  <si>
    <t>total number</t>
  </si>
  <si>
    <t>Time C&amp;G</t>
  </si>
  <si>
    <t>Break not reported</t>
  </si>
  <si>
    <t>startTime</t>
  </si>
  <si>
    <t>startReportTime</t>
  </si>
  <si>
    <t>endTime</t>
  </si>
  <si>
    <t>runningSlope</t>
  </si>
  <si>
    <t>crossSlope</t>
  </si>
  <si>
    <t>drainWidth</t>
  </si>
  <si>
    <t>street</t>
  </si>
  <si>
    <t>Mühlegasse</t>
  </si>
  <si>
    <t>2683441.4 1247639.5 409.9</t>
  </si>
  <si>
    <t>runningHorizontaldistanz</t>
  </si>
  <si>
    <t>runningHöhendifferenz</t>
  </si>
  <si>
    <t>crossHöhendifferenz</t>
  </si>
  <si>
    <t>crossHorizontaldistanz</t>
  </si>
  <si>
    <t>Richtung Zähringeplatz rechte Seite</t>
  </si>
  <si>
    <t>Richtung Zähringerplatz linke Seite</t>
  </si>
  <si>
    <t>type</t>
  </si>
  <si>
    <t>Hausecke Richtung Zähringerplatz linke Seite</t>
  </si>
  <si>
    <t>2683488.5 1247630.9 412.1</t>
  </si>
  <si>
    <t>2683515.3 1247625.4 413.8</t>
  </si>
  <si>
    <t>Richtung Seilergraben linke Seite</t>
  </si>
  <si>
    <t>Restaurantisch und Strassenschild; Richtung Seilergraben linke Seite</t>
  </si>
  <si>
    <t>2683578.1 1247655.0 417.6</t>
  </si>
  <si>
    <t>Richtung Seilbergraben rechte Seite</t>
  </si>
  <si>
    <t>https://captureandgo.cloudlab.zhaw.ch/uploads/image_15d9f58198.jpg</t>
  </si>
  <si>
    <t>https://captureandgo.cloudlab.zhaw.ch/uploads/image_a8c07a28f0.jpg</t>
  </si>
  <si>
    <t>https://captureandgo.cloudlab.zhaw.ch/uploads/image_d32ca51927.jpg</t>
  </si>
  <si>
    <t>https://captureandgo.cloudlab.zhaw.ch/uploads/image_6dd9cf3d29.jpg</t>
  </si>
  <si>
    <t>https://captureandgo.cloudlab.zhaw.ch/uploads/image_dd78c7a38b.jpg</t>
  </si>
  <si>
    <t>https://captureandgo.cloudlab.zhaw.ch/uploads/image_f5b9eefbc1.jpg</t>
  </si>
  <si>
    <t>https://captureandgo.cloudlab.zhaw.ch/uploads/image_98029e43fa.jpg</t>
  </si>
  <si>
    <t>https://captureandgo.cloudlab.zhaw.ch/uploads/image_f43d2d39b9.jpg</t>
  </si>
  <si>
    <t>https://captureandgo.cloudlab.zhaw.ch/uploads/image_36cf73874c.jpg</t>
  </si>
  <si>
    <t>https://captureandgo.cloudlab.zhaw.ch/uploads/image_522998313d.jpg</t>
  </si>
  <si>
    <t>https://captureandgo.cloudlab.zhaw.ch/uploads/image_0597e19243.jpg</t>
  </si>
  <si>
    <t>https://captureandgo.cloudlab.zhaw.ch/uploads/image_065f71efda.jpg</t>
  </si>
  <si>
    <t>https://captureandgo.cloudlab.zhaw.ch/uploads/image_ae24200eec.jpg</t>
  </si>
  <si>
    <t>https://captureandgo.cloudlab.zhaw.ch/uploads/image_0bee4741fa.jpg</t>
  </si>
  <si>
    <t>https://captureandgo.cloudlab.zhaw.ch/uploads/image_92b55aba34.jpg</t>
  </si>
  <si>
    <t>https://captureandgo.cloudlab.zhaw.ch/uploads/image_cd3f6295ca.jpg</t>
  </si>
  <si>
    <t>https://captureandgo.cloudlab.zhaw.ch/uploads/image_a3fce11983.jpg</t>
  </si>
  <si>
    <t>https://captureandgo.cloudlab.zhaw.ch/uploads/image_04dd4a2fdb.jpg</t>
  </si>
  <si>
    <t>https://captureandgo.cloudlab.zhaw.ch/uploads/image_dcafc1e64f.jpg</t>
  </si>
  <si>
    <t>https://captureandgo.cloudlab.zhaw.ch/uploads/image_8fd695d505.jpg</t>
  </si>
  <si>
    <t>https://captureandgo.cloudlab.zhaw.ch/uploads/image_e96a292af5.jpg</t>
  </si>
  <si>
    <t>https://captureandgo.cloudlab.zhaw.ch/uploads/image_4804273e6e.jpg</t>
  </si>
  <si>
    <t>https://captureandgo.cloudlab.zhaw.ch/uploads/image_5d919b266e.jpg</t>
  </si>
  <si>
    <t>https://captureandgo.cloudlab.zhaw.ch/uploads/image_eca861f4a0.jpg</t>
  </si>
  <si>
    <t>https://captureandgo.cloudlab.zhaw.ch/uploads/image_064aea87a9.jpg</t>
  </si>
  <si>
    <t>https://captureandgo.cloudlab.zhaw.ch/uploads/image_2c392dbc32.jpg</t>
  </si>
  <si>
    <t>https://captureandgo.cloudlab.zhaw.ch/uploads/image_1dd39a3765.jpg</t>
  </si>
  <si>
    <t>https://captureandgo.cloudlab.zhaw.ch/uploads/image_0c7df4bee4.jpg</t>
  </si>
  <si>
    <t>https://captureandgo.cloudlab.zhaw.ch/uploads/image_e6af1d1420.jpg</t>
  </si>
  <si>
    <t>https://captureandgo.cloudlab.zhaw.ch/uploads/image_ccdbde2456.jpg</t>
  </si>
  <si>
    <t>https://captureandgo.cloudlab.zhaw.ch/uploads/image_32e2fdaa7d.jpg</t>
  </si>
  <si>
    <t>https://captureandgo.cloudlab.zhaw.ch/uploads/image_32146c927f.jpg</t>
  </si>
  <si>
    <t>https://captureandgo.cloudlab.zhaw.ch/uploads/image_958dd92e26.jpg</t>
  </si>
  <si>
    <t>https://captureandgo.cloudlab.zhaw.ch/uploads/image_983db9fb13.jpg</t>
  </si>
  <si>
    <t>https://captureandgo.cloudlab.zhaw.ch/uploads/image_2378c2b09a.jpg</t>
  </si>
  <si>
    <t>https://captureandgo.cloudlab.zhaw.ch/uploads/image_ed818728ae.jpg</t>
  </si>
  <si>
    <t>https://captureandgo.cloudlab.zhaw.ch/uploads/image_5ca671f43b.jpg</t>
  </si>
  <si>
    <t>https://captureandgo.cloudlab.zhaw.ch/uploads/image_e77dab452e.jpg</t>
  </si>
  <si>
    <t>https://captureandgo.cloudlab.zhaw.ch/uploads/image_c24e86929c.jpg</t>
  </si>
  <si>
    <t>https://captureandgo.cloudlab.zhaw.ch/uploads/image_5078131aaf.jpg</t>
  </si>
  <si>
    <t>https://captureandgo.cloudlab.zhaw.ch/uploads/image_ad866e7626.jpg</t>
  </si>
  <si>
    <t>https://captureandgo.cloudlab.zhaw.ch/uploads/image_9d91473e26.jpg</t>
  </si>
  <si>
    <t>https://captureandgo.cloudlab.zhaw.ch/uploads/image_a719467579.jpg</t>
  </si>
  <si>
    <t>https://captureandgo.cloudlab.zhaw.ch/uploads/image_3597fee036.jpg</t>
  </si>
  <si>
    <t>https://captureandgo.cloudlab.zhaw.ch/uploads/image_41b5ba1280.jpg</t>
  </si>
  <si>
    <t>https://captureandgo.cloudlab.zhaw.ch/uploads/image_70d90058a2.jpg</t>
  </si>
  <si>
    <t>https://captureandgo.cloudlab.zhaw.ch/uploads/image_611a83d717.jpg</t>
  </si>
  <si>
    <t>https://captureandgo.cloudlab.zhaw.ch/uploads/image_5d954aaeda.jpg</t>
  </si>
  <si>
    <t>https://captureandgo.cloudlab.zhaw.ch/uploads/image_f0689d7dc1.jpg</t>
  </si>
  <si>
    <t>https://captureandgo.cloudlab.zhaw.ch/uploads/image_38d42c4660.jpg</t>
  </si>
  <si>
    <t>https://captureandgo.cloudlab.zhaw.ch/uploads/image_9bc5270470.jpg</t>
  </si>
  <si>
    <t>https://captureandgo.cloudlab.zhaw.ch/uploads/image_85e8723d58.jpg</t>
  </si>
  <si>
    <t>https://captureandgo.cloudlab.zhaw.ch/uploads/image_2bc50898c4.jpg</t>
  </si>
  <si>
    <t>https://captureandgo.cloudlab.zhaw.ch/uploads/image_cc9d5f7141.jpg</t>
  </si>
  <si>
    <t>https://captureandgo.cloudlab.zhaw.ch/uploads/image_b7b97e1462.jpg</t>
  </si>
  <si>
    <t>https://captureandgo.cloudlab.zhaw.ch/uploads/image_d89bd5e8a0.jpg</t>
  </si>
  <si>
    <t>https://captureandgo.cloudlab.zhaw.ch/uploads/image_4af4fbfa75.jpg</t>
  </si>
  <si>
    <t>https://captureandgo.cloudlab.zhaw.ch/uploads/image_624771b17d.jpg</t>
  </si>
  <si>
    <t>https://captureandgo.cloudlab.zhaw.ch/uploads/image_84740490c2.jpg</t>
  </si>
  <si>
    <t>https://captureandgo.cloudlab.zhaw.ch/uploads/image_aa33a8d4b4.jpg</t>
  </si>
  <si>
    <t>https://captureandgo.cloudlab.zhaw.ch/uploads/image_a84be3d520.jpg</t>
  </si>
  <si>
    <t>https://captureandgo.cloudlab.zhaw.ch/uploads/image_d8c70e3094.jpg</t>
  </si>
  <si>
    <t>https://captureandgo.cloudlab.zhaw.ch/uploads/image_d09e469fc7.jpg</t>
  </si>
  <si>
    <t>https://captureandgo.cloudlab.zhaw.ch/uploads/image_c98bbdb195.jpg</t>
  </si>
  <si>
    <t>https://captureandgo.cloudlab.zhaw.ch/uploads/image_5c8d7a529e.jpg</t>
  </si>
  <si>
    <t>https://captureandgo.cloudlab.zhaw.ch/uploads/image_9c168e3d54.jpg</t>
  </si>
  <si>
    <t>https://captureandgo.cloudlab.zhaw.ch/uploads/image_ba15c251dc.jpg</t>
  </si>
  <si>
    <t>https://captureandgo.cloudlab.zhaw.ch/uploads/image_b0abf4778b.jpg</t>
  </si>
  <si>
    <t>https://captureandgo.cloudlab.zhaw.ch/uploads/image_c5b3711126.jpg</t>
  </si>
  <si>
    <t>https://captureandgo.cloudlab.zhaw.ch/uploads/image_1b1e235937.jpg</t>
  </si>
  <si>
    <t>https://captureandgo.cloudlab.zhaw.ch/uploads/image_1bef6e46d6.jpg</t>
  </si>
  <si>
    <t>https://captureandgo.cloudlab.zhaw.ch/uploads/image_c343e6af60.jpg</t>
  </si>
  <si>
    <t>https://captureandgo.cloudlab.zhaw.ch/uploads/image_e83ff19fa4.jpg</t>
  </si>
  <si>
    <t>https://captureandgo.cloudlab.zhaw.ch/uploads/image_95cf72b454.jpg</t>
  </si>
  <si>
    <t>https://captureandgo.cloudlab.zhaw.ch/uploads/image_b69bd742ab.jpg</t>
  </si>
  <si>
    <t>https://captureandgo.cloudlab.zhaw.ch/uploads/image_757fa91bb5.jpg</t>
  </si>
  <si>
    <t>https://captureandgo.cloudlab.zhaw.ch/uploads/image_2374e1f72c.jpg</t>
  </si>
  <si>
    <t>https://captureandgo.cloudlab.zhaw.ch/uploads/image_1e4eeb6dad.jpg</t>
  </si>
  <si>
    <t>https://captureandgo.cloudlab.zhaw.ch/uploads/image_da4be39618.jpg</t>
  </si>
  <si>
    <t>https://captureandgo.cloudlab.zhaw.ch/uploads/image_e8e79a5073.jpg</t>
  </si>
  <si>
    <t>https://captureandgo.cloudlab.zhaw.ch/uploads/image_6e136d631a.jpg</t>
  </si>
  <si>
    <t>https://captureandgo.cloudlab.zhaw.ch/uploads/image_b266c864ea.jpg</t>
  </si>
  <si>
    <t>https://captureandgo.cloudlab.zhaw.ch/uploads/image_cdeaec269b.jpg</t>
  </si>
  <si>
    <t>https://captureandgo.cloudlab.zhaw.ch/uploads/image_8e98b9f75d.jpg</t>
  </si>
  <si>
    <t>https://captureandgo.cloudlab.zhaw.ch/uploads/image_be4c8fd9f2.jpg</t>
  </si>
  <si>
    <t>https://captureandgo.cloudlab.zhaw.ch/uploads/image_2ffe322280.jpg</t>
  </si>
  <si>
    <t>https://captureandgo.cloudlab.zhaw.ch/uploads/image_546204e6d8.jpg</t>
  </si>
  <si>
    <t>https://captureandgo.cloudlab.zhaw.ch/uploads/image_0442f28b0d.jpg</t>
  </si>
  <si>
    <t>https://captureandgo.cloudlab.zhaw.ch/uploads/image_2f179e197a.jpg</t>
  </si>
  <si>
    <t>https://captureandgo.cloudlab.zhaw.ch/uploads/image_1f01e2c78b.jpg</t>
  </si>
  <si>
    <t>https://captureandgo.cloudlab.zhaw.ch/uploads/image_1ffbde4c4e.jpg</t>
  </si>
  <si>
    <t>https://captureandgo.cloudlab.zhaw.ch/uploads/image_524445c0b7.jpg</t>
  </si>
  <si>
    <t>https://captureandgo.cloudlab.zhaw.ch/uploads/image_eb21750f53.jpg</t>
  </si>
  <si>
    <t>https://captureandgo.cloudlab.zhaw.ch/uploads/image_46c9119e54.jpg</t>
  </si>
  <si>
    <t>https://captureandgo.cloudlab.zhaw.ch/uploads/image_85823291b4.jpg</t>
  </si>
  <si>
    <t>https://captureandgo.cloudlab.zhaw.ch/uploads/image_3aa89dbf0b.jpg</t>
  </si>
  <si>
    <t>https://captureandgo.cloudlab.zhaw.ch/uploads/image_45161042d5.jpg</t>
  </si>
  <si>
    <t>https://captureandgo.cloudlab.zhaw.ch/uploads/image_22e3ab48be.jpg</t>
  </si>
  <si>
    <t>https://captureandgo.cloudlab.zhaw.ch/uploads/image_a4b3c73d90.jpg</t>
  </si>
  <si>
    <t>https://captureandgo.cloudlab.zhaw.ch/uploads/image_b4cfe6ab8b.jpg</t>
  </si>
  <si>
    <t>https://captureandgo.cloudlab.zhaw.ch/uploads/image_115487b03b.jpg</t>
  </si>
  <si>
    <t>https://captureandgo.cloudlab.zhaw.ch/uploads/image_ecdec63850.jpg</t>
  </si>
  <si>
    <t>https://captureandgo.cloudlab.zhaw.ch/uploads/image_175d448fb0.jpg</t>
  </si>
  <si>
    <t>https://captureandgo.cloudlab.zhaw.ch/uploads/image_72668e2989.jpg</t>
  </si>
  <si>
    <t>https://captureandgo.cloudlab.zhaw.ch/uploads/image_4036b29802.jpg</t>
  </si>
  <si>
    <t>https://captureandgo.cloudlab.zhaw.ch/uploads/image_8249e16aee.jpg</t>
  </si>
  <si>
    <t>https://captureandgo.cloudlab.zhaw.ch/uploads/image_02ffb63939.jpg</t>
  </si>
  <si>
    <t>https://captureandgo.cloudlab.zhaw.ch/uploads/image_75f17ffe30.jpg</t>
  </si>
  <si>
    <t>https://captureandgo.cloudlab.zhaw.ch/uploads/image_681cb7f776.jpg</t>
  </si>
  <si>
    <t>https://captureandgo.cloudlab.zhaw.ch/uploads/image_1c6a2ff8b4.jpg</t>
  </si>
  <si>
    <t>https://captureandgo.cloudlab.zhaw.ch/uploads/image_c1b22f60eb.jpg</t>
  </si>
  <si>
    <t>https://captureandgo.cloudlab.zhaw.ch/uploads/image_b522bc248f.jpg</t>
  </si>
  <si>
    <t>https://captureandgo.cloudlab.zhaw.ch/uploads/image_f1d43362c9.jpg</t>
  </si>
  <si>
    <t>https://captureandgo.cloudlab.zhaw.ch/uploads/image_a88e01a58d.jpg</t>
  </si>
  <si>
    <t>https://captureandgo.cloudlab.zhaw.ch/uploads/image_b89156088b.jpg</t>
  </si>
  <si>
    <t>https://captureandgo.cloudlab.zhaw.ch/uploads/image_c40093ad4b.jpg</t>
  </si>
  <si>
    <t>https://captureandgo.cloudlab.zhaw.ch/uploads/image_527f6ce9c3.jpg</t>
  </si>
  <si>
    <t>https://captureandgo.cloudlab.zhaw.ch/uploads/image_691e83768f.jpg</t>
  </si>
  <si>
    <t>https://captureandgo.cloudlab.zhaw.ch/uploads/image_a30230e348.jpg</t>
  </si>
  <si>
    <t>https://captureandgo.cloudlab.zhaw.ch/uploads/image_f5ffa1b420.jpg</t>
  </si>
  <si>
    <t>https://captureandgo.cloudlab.zhaw.ch/uploads/image_6b5ddddbc7.jpg</t>
  </si>
  <si>
    <t>https://captureandgo.cloudlab.zhaw.ch/uploads/image_14c530c12f.jpg</t>
  </si>
  <si>
    <t>https://captureandgo.cloudlab.zhaw.ch/uploads/image_3b5f04b681.jpg</t>
  </si>
  <si>
    <t>https://captureandgo.cloudlab.zhaw.ch/uploads/image_6ea24a17fd.jpg</t>
  </si>
  <si>
    <t>https://captureandgo.cloudlab.zhaw.ch/uploads/image_8ae2d4778d.jpg</t>
  </si>
  <si>
    <t>https://captureandgo.cloudlab.zhaw.ch/uploads/image_0de406b269.jpg</t>
  </si>
  <si>
    <t>https://captureandgo.cloudlab.zhaw.ch/uploads/image_2aa6396a59.jpg</t>
  </si>
  <si>
    <t>https://captureandgo.cloudlab.zhaw.ch/uploads/image_062a830cc1.jpg</t>
  </si>
  <si>
    <t>https://captureandgo.cloudlab.zhaw.ch/uploads/image_f0c47098b1.jpg</t>
  </si>
  <si>
    <t>https://captureandgo.cloudlab.zhaw.ch/uploads/image_11ac842315.jpg</t>
  </si>
  <si>
    <t>https://captureandgo.cloudlab.zhaw.ch/uploads/image_5625c46a05.jpg</t>
  </si>
  <si>
    <t>https://captureandgo.cloudlab.zhaw.ch/uploads/image_c86d3ae718.jpg</t>
  </si>
  <si>
    <t>https://captureandgo.cloudlab.zhaw.ch/uploads/image_92af603b5a.jpg</t>
  </si>
  <si>
    <t>https://captureandgo.cloudlab.zhaw.ch/uploads/image_5a5b88b2cf.jpg</t>
  </si>
  <si>
    <t>https://captureandgo.cloudlab.zhaw.ch/uploads/image_924fb67925.jpg</t>
  </si>
  <si>
    <t>https://captureandgo.cloudlab.zhaw.ch/uploads/image_bea4a917d9.jpg</t>
  </si>
  <si>
    <t>https://captureandgo.cloudlab.zhaw.ch/uploads/image_79cac3a1b5.jpg</t>
  </si>
  <si>
    <t>https://captureandgo.cloudlab.zhaw.ch/uploads/image_9c66ff7236.jpg</t>
  </si>
  <si>
    <t>https://captureandgo.cloudlab.zhaw.ch/uploads/image_829f023702.jpg</t>
  </si>
  <si>
    <t>https://captureandgo.cloudlab.zhaw.ch/uploads/image_cde6cfd24d.jpg</t>
  </si>
  <si>
    <t>https://captureandgo.cloudlab.zhaw.ch/uploads/image_d7b853af6c.jpg</t>
  </si>
  <si>
    <t>https://captureandgo.cloudlab.zhaw.ch/uploads/image_20066d765d.jpg</t>
  </si>
  <si>
    <t>https://captureandgo.cloudlab.zhaw.ch/uploads/image_1ff66c9976.jpg</t>
  </si>
  <si>
    <t>https://captureandgo.cloudlab.zhaw.ch/uploads/image_7a561c1a7a.jpg</t>
  </si>
  <si>
    <t>https://captureandgo.cloudlab.zhaw.ch/uploads/image_5b6e93cdee.jpg</t>
  </si>
  <si>
    <t>https://captureandgo.cloudlab.zhaw.ch/uploads/image_01bc082a8e.jpg</t>
  </si>
  <si>
    <t>https://captureandgo.cloudlab.zhaw.ch/uploads/image_100187f24d.jpg</t>
  </si>
  <si>
    <t>https://captureandgo.cloudlab.zhaw.ch/uploads/image_1600e86052.jpg</t>
  </si>
  <si>
    <t>https://captureandgo.cloudlab.zhaw.ch/uploads/image_316d01a2a3.jpg</t>
  </si>
  <si>
    <t>https://captureandgo.cloudlab.zhaw.ch/uploads/image_ff88e7f40a.jpg</t>
  </si>
  <si>
    <t>https://captureandgo.cloudlab.zhaw.ch/uploads/image_197ea622c2.jpg</t>
  </si>
  <si>
    <t>https://captureandgo.cloudlab.zhaw.ch/uploads/image_b0eb8569c0.jpg</t>
  </si>
  <si>
    <t>https://captureandgo.cloudlab.zhaw.ch/uploads/image_a75e426a2b.jpg</t>
  </si>
  <si>
    <t>https://captureandgo.cloudlab.zhaw.ch/uploads/image_56fbe153f7.jpg</t>
  </si>
  <si>
    <t>https://captureandgo.cloudlab.zhaw.ch/uploads/image_ae6e7d8740.jpg</t>
  </si>
  <si>
    <t>https://captureandgo.cloudlab.zhaw.ch/uploads/image_6dfa3de0a9.jpg</t>
  </si>
  <si>
    <t>https://captureandgo.cloudlab.zhaw.ch/uploads/image_e4442200db.jpg</t>
  </si>
  <si>
    <t>https://captureandgo.cloudlab.zhaw.ch/uploads/image_a0951f1e49.jpg</t>
  </si>
  <si>
    <t>https://captureandgo.cloudlab.zhaw.ch/uploads/image_70d81dbf7d.jpg</t>
  </si>
  <si>
    <t>https://captureandgo.cloudlab.zhaw.ch/uploads/image_c48e261ca3.jpg</t>
  </si>
  <si>
    <t>https://captureandgo.cloudlab.zhaw.ch/uploads/image_251adf6f8e.jpg</t>
  </si>
  <si>
    <t>https://captureandgo.cloudlab.zhaw.ch/uploads/image_158cbe4ae2.jpg</t>
  </si>
  <si>
    <t>https://captureandgo.cloudlab.zhaw.ch/uploads/image_29c2420d7a.jpg</t>
  </si>
  <si>
    <t>https://captureandgo.cloudlab.zhaw.ch/uploads/image_9fb5b41537.jpg</t>
  </si>
  <si>
    <t>https://captureandgo.cloudlab.zhaw.ch/uploads/image_8455ece0bb.jpg</t>
  </si>
  <si>
    <t>https://captureandgo.cloudlab.zhaw.ch/uploads/image_b6f565924b.jpg</t>
  </si>
  <si>
    <t>https://captureandgo.cloudlab.zhaw.ch/uploads/image_3f4ad86514.jpg</t>
  </si>
  <si>
    <t>https://captureandgo.cloudlab.zhaw.ch/uploads/image_5ab59b3bc9.jpg</t>
  </si>
  <si>
    <t>https://captureandgo.cloudlab.zhaw.ch/uploads/image_0e1223719f.jpg</t>
  </si>
  <si>
    <t>https://captureandgo.cloudlab.zhaw.ch/uploads/image_174fe86636.jpg</t>
  </si>
  <si>
    <t>https://captureandgo.cloudlab.zhaw.ch/uploads/image_7844ffac04.jpg</t>
  </si>
  <si>
    <t>https://captureandgo.cloudlab.zhaw.ch/uploads/image_28e3aae20d.jpg</t>
  </si>
  <si>
    <t>https://captureandgo.cloudlab.zhaw.ch/uploads/image_518bd76aa1.jpg</t>
  </si>
  <si>
    <t>https://captureandgo.cloudlab.zhaw.ch/uploads/image_823d6ea2a2.jpg</t>
  </si>
  <si>
    <t>https://captureandgo.cloudlab.zhaw.ch/uploads/image_dcff59cd12.jpg</t>
  </si>
  <si>
    <t>https://captureandgo.cloudlab.zhaw.ch/uploads/image_6e626693f8.jpg</t>
  </si>
  <si>
    <t>https://captureandgo.cloudlab.zhaw.ch/uploads/image_669fec428b.jpg</t>
  </si>
  <si>
    <t>https://captureandgo.cloudlab.zhaw.ch/uploads/image_3fd176fd95.jpg</t>
  </si>
  <si>
    <t>https://captureandgo.cloudlab.zhaw.ch/uploads/image_0045dd97ac.jpg</t>
  </si>
  <si>
    <t>https://captureandgo.cloudlab.zhaw.ch/uploads/image_c66e5c06de.jpg</t>
  </si>
  <si>
    <t>https://captureandgo.cloudlab.zhaw.ch/uploads/image_062815b778.jpg</t>
  </si>
  <si>
    <t>https://captureandgo.cloudlab.zhaw.ch/uploads/image_01ac6b0b35.jpg</t>
  </si>
  <si>
    <t>https://captureandgo.cloudlab.zhaw.ch/uploads/image_37c7edf7c5.jpg</t>
  </si>
  <si>
    <t>https://captureandgo.cloudlab.zhaw.ch/uploads/image_8934a3cca1.jpg</t>
  </si>
  <si>
    <t>https://captureandgo.cloudlab.zhaw.ch/uploads/image_bd9eaafd70.jpg</t>
  </si>
  <si>
    <t>https://captureandgo.cloudlab.zhaw.ch/uploads/image_ffeb6843d1.jpg</t>
  </si>
  <si>
    <t>https://captureandgo.cloudlab.zhaw.ch/uploads/image_fb9677975b.jpg</t>
  </si>
  <si>
    <t>https://captureandgo.cloudlab.zhaw.ch/uploads/image_9d6d3d8d8f.jpg</t>
  </si>
  <si>
    <t>https://captureandgo.cloudlab.zhaw.ch/uploads/image_271571783b.jpg</t>
  </si>
  <si>
    <t>https://captureandgo.cloudlab.zhaw.ch/uploads/image_ab07c86726.jpg</t>
  </si>
  <si>
    <t>https://captureandgo.cloudlab.zhaw.ch/uploads/image_d8db1c1d62.jpg</t>
  </si>
  <si>
    <t>https://captureandgo.cloudlab.zhaw.ch/uploads/image_571fe541c5.jpg</t>
  </si>
  <si>
    <t>https://captureandgo.cloudlab.zhaw.ch/uploads/image_feab86357d.jpg</t>
  </si>
  <si>
    <t>https://captureandgo.cloudlab.zhaw.ch/uploads/image_721b41d8fe.jpg</t>
  </si>
  <si>
    <t>https://captureandgo.cloudlab.zhaw.ch/uploads/image_8902f60074.jpg</t>
  </si>
  <si>
    <t>https://captureandgo.cloudlab.zhaw.ch/uploads/image_7ba1588813.jpg</t>
  </si>
  <si>
    <t>https://captureandgo.cloudlab.zhaw.ch/uploads/image_161c9560a8.jpg</t>
  </si>
  <si>
    <t>https://captureandgo.cloudlab.zhaw.ch/uploads/image_b7a4e21f95.jpg</t>
  </si>
  <si>
    <t>https://captureandgo.cloudlab.zhaw.ch/uploads/image_3d05487a82.jpg</t>
  </si>
  <si>
    <t>https://captureandgo.cloudlab.zhaw.ch/uploads/image_282859575e.jpg</t>
  </si>
  <si>
    <t>https://captureandgo.cloudlab.zhaw.ch/uploads/image_c2da7f6997.jpg</t>
  </si>
  <si>
    <t>https://captureandgo.cloudlab.zhaw.ch/uploads/image_c7f3471e37.jpg</t>
  </si>
  <si>
    <t>https://captureandgo.cloudlab.zhaw.ch/uploads/image_5558547324.jpg</t>
  </si>
  <si>
    <t>https://captureandgo.cloudlab.zhaw.ch/uploads/image_5f5eba2ce2.jpg</t>
  </si>
  <si>
    <t>https://captureandgo.cloudlab.zhaw.ch/uploads/image_9c8c30357c.jpg</t>
  </si>
  <si>
    <t>https://captureandgo.cloudlab.zhaw.ch/uploads/image_ae54dd822c.jpg</t>
  </si>
  <si>
    <t>https://captureandgo.cloudlab.zhaw.ch/uploads/image_024fc9efe1.jpg</t>
  </si>
  <si>
    <t>https://captureandgo.cloudlab.zhaw.ch/uploads/image_0821b6979f.jpg</t>
  </si>
  <si>
    <t>https://captureandgo.cloudlab.zhaw.ch/uploads/image_b7e0fcd34f.jpg</t>
  </si>
  <si>
    <t>https://captureandgo.cloudlab.zhaw.ch/uploads/image_c64e5e7909.jpg</t>
  </si>
  <si>
    <t>https://captureandgo.cloudlab.zhaw.ch/uploads/image_96ba30c85d.jpg</t>
  </si>
  <si>
    <t>https://captureandgo.cloudlab.zhaw.ch/uploads/image_2db820d888.jpg</t>
  </si>
  <si>
    <t>https://captureandgo.cloudlab.zhaw.ch/uploads/image_6805e1f7c3.jpg</t>
  </si>
  <si>
    <t>https://captureandgo.cloudlab.zhaw.ch/uploads/image_552d55933e.jpg</t>
  </si>
  <si>
    <t>https://captureandgo.cloudlab.zhaw.ch/uploads/image_4cc4432a33.jpg</t>
  </si>
  <si>
    <t>https://captureandgo.cloudlab.zhaw.ch/uploads/image_300e484c67.jpg</t>
  </si>
  <si>
    <t>https://captureandgo.cloudlab.zhaw.ch/uploads/image_da0a625696.jpg</t>
  </si>
  <si>
    <t>https://captureandgo.cloudlab.zhaw.ch/uploads/image_5f7953f0a4.jpg</t>
  </si>
  <si>
    <t>https://captureandgo.cloudlab.zhaw.ch/uploads/image_2e56f866bd.jpg</t>
  </si>
  <si>
    <t>https://captureandgo.cloudlab.zhaw.ch/uploads/image_aa04b1e8ed.jpg</t>
  </si>
  <si>
    <t>https://captureandgo.cloudlab.zhaw.ch/uploads/image_b8d9dfccf9.jpg</t>
  </si>
  <si>
    <t>https://captureandgo.cloudlab.zhaw.ch/uploads/image_a0f9f7a92e.jpg</t>
  </si>
  <si>
    <t>https://captureandgo.cloudlab.zhaw.ch/uploads/image_2d224ecedc.jpg</t>
  </si>
  <si>
    <t>https://captureandgo.cloudlab.zhaw.ch/uploads/image_afd7380c4c.jpg</t>
  </si>
  <si>
    <t>https://captureandgo.cloudlab.zhaw.ch/uploads/image_85632f4ff6.jpg</t>
  </si>
  <si>
    <t>https://captureandgo.cloudlab.zhaw.ch/uploads/image_e6ad64810d.jpg</t>
  </si>
  <si>
    <t>https://captureandgo.cloudlab.zhaw.ch/uploads/image_636a3f92e8.jpg</t>
  </si>
  <si>
    <t>https://captureandgo.cloudlab.zhaw.ch/uploads/image_795ad7330a.jpg</t>
  </si>
  <si>
    <t>https://captureandgo.cloudlab.zhaw.ch/uploads/image_b11d8719bd.jpg</t>
  </si>
  <si>
    <t>https://captureandgo.cloudlab.zhaw.ch/uploads/image_655a656cdf.jpg</t>
  </si>
  <si>
    <t>https://captureandgo.cloudlab.zhaw.ch/uploads/image_a55722d39d.jpg</t>
  </si>
  <si>
    <t>https://captureandgo.cloudlab.zhaw.ch/uploads/image_e372e0fca7.jpg</t>
  </si>
  <si>
    <t>https://captureandgo.cloudlab.zhaw.ch/uploads/image_79ce8afbff.jpg</t>
  </si>
  <si>
    <t>https://captureandgo.cloudlab.zhaw.ch/uploads/image_0a71de0d41.jpg</t>
  </si>
  <si>
    <t>https://captureandgo.cloudlab.zhaw.ch/uploads/image_6bcd5c74fb.jpg</t>
  </si>
  <si>
    <t>https://captureandgo.cloudlab.zhaw.ch/uploads/image_d27383cc3e.jpg</t>
  </si>
  <si>
    <t>https://captureandgo.cloudlab.zhaw.ch/uploads/image_79bb357e43.jpg</t>
  </si>
  <si>
    <t>https://captureandgo.cloudlab.zhaw.ch/uploads/image_2038c21de3.jpg</t>
  </si>
  <si>
    <t>https://captureandgo.cloudlab.zhaw.ch/uploads/image_8d21339ac7.jpg</t>
  </si>
  <si>
    <t>https://captureandgo.cloudlab.zhaw.ch/uploads/image_e8aa624bb6.jpg</t>
  </si>
  <si>
    <t>https://captureandgo.cloudlab.zhaw.ch/uploads/image_fba7a480b2.jpg</t>
  </si>
  <si>
    <t>https://captureandgo.cloudlab.zhaw.ch/uploads/image_30024d99c0.jpg</t>
  </si>
  <si>
    <t>https://captureandgo.cloudlab.zhaw.ch/uploads/image_5bd0152067.jpg</t>
  </si>
  <si>
    <t>https://captureandgo.cloudlab.zhaw.ch/uploads/image_44e1c42be9.jpg</t>
  </si>
  <si>
    <t>https://captureandgo.cloudlab.zhaw.ch/uploads/image_5045dc7292.jpg</t>
  </si>
  <si>
    <t>https://captureandgo.cloudlab.zhaw.ch/uploads/image_0310a27db5.jpg</t>
  </si>
  <si>
    <t>https://captureandgo.cloudlab.zhaw.ch/uploads/image_f84457a4be.jpg</t>
  </si>
  <si>
    <t>https://captureandgo.cloudlab.zhaw.ch/uploads/image_355dde41d3.jpg</t>
  </si>
  <si>
    <t>https://captureandgo.cloudlab.zhaw.ch/uploads/image_347ed68ead.jpg</t>
  </si>
  <si>
    <t>https://captureandgo.cloudlab.zhaw.ch/uploads/image_e5cf34dab2.jpg</t>
  </si>
  <si>
    <t>https://captureandgo.cloudlab.zhaw.ch/uploads/image_b2c108aaee.jpg</t>
  </si>
  <si>
    <t>https://captureandgo.cloudlab.zhaw.ch/uploads/image_c6ddad5204.jpg</t>
  </si>
  <si>
    <t>https://captureandgo.cloudlab.zhaw.ch/uploads/image_19516fd663.jpg</t>
  </si>
  <si>
    <t>https://captureandgo.cloudlab.zhaw.ch/uploads/image_8ef31a465f.jpg</t>
  </si>
  <si>
    <t>https://captureandgo.cloudlab.zhaw.ch/uploads/image_751cb16cb0.jpg</t>
  </si>
  <si>
    <t>https://captureandgo.cloudlab.zhaw.ch/uploads/image_6f594efe86.jpg</t>
  </si>
  <si>
    <t>https://captureandgo.cloudlab.zhaw.ch/uploads/image_a908a104cc.jpg</t>
  </si>
  <si>
    <t>https://captureandgo.cloudlab.zhaw.ch/uploads/image_1a0304f754.jpg</t>
  </si>
  <si>
    <t>https://captureandgo.cloudlab.zhaw.ch/uploads/image_289e8e094a.jpg</t>
  </si>
  <si>
    <t>https://captureandgo.cloudlab.zhaw.ch/uploads/image_a1ecab09c4.jpg</t>
  </si>
  <si>
    <t>https://captureandgo.cloudlab.zhaw.ch/uploads/image_4da9812a5a.jpg</t>
  </si>
  <si>
    <t>https://captureandgo.cloudlab.zhaw.ch/uploads/image_c1de1354e8.jpg</t>
  </si>
  <si>
    <t>https://captureandgo.cloudlab.zhaw.ch/uploads/image_7917a93b1f.jpg</t>
  </si>
  <si>
    <t>https://captureandgo.cloudlab.zhaw.ch/uploads/image_efb020b942.jpg</t>
  </si>
  <si>
    <t>https://captureandgo.cloudlab.zhaw.ch/uploads/image_8a74b4fd78.jpg</t>
  </si>
  <si>
    <t>https://captureandgo.cloudlab.zhaw.ch/uploads/image_037885e4cd.jpg</t>
  </si>
  <si>
    <t>https://captureandgo.cloudlab.zhaw.ch/uploads/image_196c294600.jpg</t>
  </si>
  <si>
    <t>https://captureandgo.cloudlab.zhaw.ch/uploads/image_ad5166404f.jpg</t>
  </si>
  <si>
    <t>https://captureandgo.cloudlab.zhaw.ch/uploads/image_9299847aca.jpg</t>
  </si>
  <si>
    <t>https://captureandgo.cloudlab.zhaw.ch/uploads/image_e451efd8ef.jpg</t>
  </si>
  <si>
    <t>https://captureandgo.cloudlab.zhaw.ch/uploads/image_f30322d4a1.jpg</t>
  </si>
  <si>
    <t>https://captureandgo.cloudlab.zhaw.ch/uploads/image_97e17abbe7.jpg</t>
  </si>
  <si>
    <t>https://captureandgo.cloudlab.zhaw.ch/uploads/image_d3551a70db.jpg</t>
  </si>
  <si>
    <t>https://captureandgo.cloudlab.zhaw.ch/uploads/image_7fb3c176ce.jpg</t>
  </si>
  <si>
    <t>https://captureandgo.cloudlab.zhaw.ch/uploads/image_ef688ef853.jpg</t>
  </si>
  <si>
    <t>https://captureandgo.cloudlab.zhaw.ch/uploads/image_00608e5706.jpg</t>
  </si>
  <si>
    <t>https://captureandgo.cloudlab.zhaw.ch/uploads/image_b4d8c56cf6.jpg</t>
  </si>
  <si>
    <t>https://captureandgo.cloudlab.zhaw.ch/uploads/image_fab5f899eb.jpg</t>
  </si>
  <si>
    <t>https://captureandgo.cloudlab.zhaw.ch/uploads/image_cdbcb30da0.jpg</t>
  </si>
  <si>
    <t>https://captureandgo.cloudlab.zhaw.ch/uploads/image_0dbfc1fad3.jpg</t>
  </si>
  <si>
    <t>https://captureandgo.cloudlab.zhaw.ch/uploads/image_e4538ee3f9.jpg</t>
  </si>
  <si>
    <t>https://captureandgo.cloudlab.zhaw.ch/uploads/image_b29120d548.jpg</t>
  </si>
  <si>
    <t>https://captureandgo.cloudlab.zhaw.ch/uploads/image_c5d187c231.jpg</t>
  </si>
  <si>
    <t>https://captureandgo.cloudlab.zhaw.ch/uploads/image_522949da79.jpg</t>
  </si>
  <si>
    <t>https://captureandgo.cloudlab.zhaw.ch/uploads/image_22b723b877.jpg</t>
  </si>
  <si>
    <t>https://captureandgo.cloudlab.zhaw.ch/uploads/image_4f216f42b0.jpg</t>
  </si>
  <si>
    <t>https://captureandgo.cloudlab.zhaw.ch/uploads/image_afcaa3f3ab.jpg</t>
  </si>
  <si>
    <t>https://captureandgo.cloudlab.zhaw.ch/uploads/image_669664cf97.jpg</t>
  </si>
  <si>
    <t>https://captureandgo.cloudlab.zhaw.ch/uploads/image_db7da66d48.jpg</t>
  </si>
  <si>
    <t>https://captureandgo.cloudlab.zhaw.ch/uploads/image_0cea7b2fea.jpg</t>
  </si>
  <si>
    <t>https://captureandgo.cloudlab.zhaw.ch/uploads/image_f1a5582920.jpg</t>
  </si>
  <si>
    <t>https://captureandgo.cloudlab.zhaw.ch/uploads/image_a36e6ef0bb.jpg</t>
  </si>
  <si>
    <t>https://captureandgo.cloudlab.zhaw.ch/uploads/image_f6bc9d3b7f.jpg</t>
  </si>
  <si>
    <t>https://captureandgo.cloudlab.zhaw.ch/uploads/image_d3c00c8a50.jpg</t>
  </si>
  <si>
    <t>https://captureandgo.cloudlab.zhaw.ch/uploads/image_1e9cfd9226.jpg</t>
  </si>
  <si>
    <t>https://captureandgo.cloudlab.zhaw.ch/uploads/image_15f88e6b8d.jpg</t>
  </si>
  <si>
    <t>https://captureandgo.cloudlab.zhaw.ch/uploads/image_10b591ef61.jpg</t>
  </si>
  <si>
    <t>https://captureandgo.cloudlab.zhaw.ch/uploads/image_ac91742727.jpg</t>
  </si>
  <si>
    <t>https://captureandgo.cloudlab.zhaw.ch/uploads/image_d38a4c4bf4.jpg</t>
  </si>
  <si>
    <t>https://captureandgo.cloudlab.zhaw.ch/uploads/image_ba3e61f3fe.jpg</t>
  </si>
  <si>
    <t>https://captureandgo.cloudlab.zhaw.ch/uploads/image_b2ee924824.jpg</t>
  </si>
  <si>
    <t>https://captureandgo.cloudlab.zhaw.ch/uploads/image_9bb0a72b83.jpg</t>
  </si>
  <si>
    <t>https://captureandgo.cloudlab.zhaw.ch/uploads/image_9bf1894f17.jpg</t>
  </si>
  <si>
    <t>https://captureandgo.cloudlab.zhaw.ch/uploads/image_d2e1fb23a4.jpg</t>
  </si>
  <si>
    <t>https://captureandgo.cloudlab.zhaw.ch/uploads/image_b442596837.jpg</t>
  </si>
  <si>
    <t>https://captureandgo.cloudlab.zhaw.ch/uploads/image_54fdcec3b6.jpg</t>
  </si>
  <si>
    <t>https://captureandgo.cloudlab.zhaw.ch/uploads/image_f80a569732.jpg</t>
  </si>
  <si>
    <t>https://captureandgo.cloudlab.zhaw.ch/uploads/image_b89b10b22b.jpg</t>
  </si>
  <si>
    <t>https://captureandgo.cloudlab.zhaw.ch/uploads/image_72a0ffa662.jpg</t>
  </si>
  <si>
    <t>https://captureandgo.cloudlab.zhaw.ch/uploads/image_46da3a6436.jpg</t>
  </si>
  <si>
    <t>https://captureandgo.cloudlab.zhaw.ch/uploads/image_349d2dacb5.jpg</t>
  </si>
  <si>
    <t>https://captureandgo.cloudlab.zhaw.ch/uploads/image_066789b706.jpg</t>
  </si>
  <si>
    <t>https://captureandgo.cloudlab.zhaw.ch/uploads/image_4a664284f9.jpg</t>
  </si>
  <si>
    <t>https://captureandgo.cloudlab.zhaw.ch/uploads/image_42412724a3.jpg</t>
  </si>
  <si>
    <t>https://captureandgo.cloudlab.zhaw.ch/uploads/image_a887fcb055.jpg</t>
  </si>
  <si>
    <t>https://captureandgo.cloudlab.zhaw.ch/uploads/image_d473243d5e.jpg</t>
  </si>
  <si>
    <t>https://captureandgo.cloudlab.zhaw.ch/uploads/image_3a6a3c84e7.jpg</t>
  </si>
  <si>
    <t>https://captureandgo.cloudlab.zhaw.ch/uploads/image_a3e7accf1f.jpg</t>
  </si>
  <si>
    <t>https://captureandgo.cloudlab.zhaw.ch/uploads/image_00c9f6d3ad.jpg</t>
  </si>
  <si>
    <t>https://captureandgo.cloudlab.zhaw.ch/uploads/image_675e0592f7.jpg</t>
  </si>
  <si>
    <t>https://captureandgo.cloudlab.zhaw.ch/uploads/image_37fbf7ac3c.jpg</t>
  </si>
  <si>
    <t>https://captureandgo.cloudlab.zhaw.ch/uploads/image_79d75f713b.jpg</t>
  </si>
  <si>
    <t>https://captureandgo.cloudlab.zhaw.ch/uploads/image_70df7c4951.jpg</t>
  </si>
  <si>
    <t>https://captureandgo.cloudlab.zhaw.ch/uploads/image_432269963f.jpg</t>
  </si>
  <si>
    <t>https://captureandgo.cloudlab.zhaw.ch/uploads/image_6c0187308a.jpg</t>
  </si>
  <si>
    <t>https://captureandgo.cloudlab.zhaw.ch/uploads/image_9375810496.jpg</t>
  </si>
  <si>
    <t>https://captureandgo.cloudlab.zhaw.ch/uploads/image_dfe8680e38.jpg</t>
  </si>
  <si>
    <t>https://captureandgo.cloudlab.zhaw.ch/uploads/image_633a9470f2.jpg</t>
  </si>
  <si>
    <t>https://captureandgo.cloudlab.zhaw.ch/uploads/image_ca8c0d9592.jpg</t>
  </si>
  <si>
    <t>https://captureandgo.cloudlab.zhaw.ch/uploads/image_d3214206bf.jpg</t>
  </si>
  <si>
    <t>https://captureandgo.cloudlab.zhaw.ch/uploads/image_fde92c76be.jpg</t>
  </si>
  <si>
    <t>https://captureandgo.cloudlab.zhaw.ch/uploads/image_123f0e927a.jpg</t>
  </si>
  <si>
    <t>https://captureandgo.cloudlab.zhaw.ch/uploads/image_e69040e7ba.jpg</t>
  </si>
  <si>
    <t>https://captureandgo.cloudlab.zhaw.ch/uploads/image_43c529a4be.jpg</t>
  </si>
  <si>
    <t>https://captureandgo.cloudlab.zhaw.ch/uploads/image_bff841bd1c.jpg</t>
  </si>
  <si>
    <t>https://captureandgo.cloudlab.zhaw.ch/uploads/image_db027b745a.jpg</t>
  </si>
  <si>
    <t>https://captureandgo.cloudlab.zhaw.ch/uploads/image_bca53250bd.jpg</t>
  </si>
  <si>
    <t>https://captureandgo.cloudlab.zhaw.ch/uploads/image_99e56be21f.jpg</t>
  </si>
  <si>
    <t>https://captureandgo.cloudlab.zhaw.ch/uploads/image_73b5485ae4.jpg</t>
  </si>
  <si>
    <t>https://captureandgo.cloudlab.zhaw.ch/uploads/image_2935e23d9c.jpg</t>
  </si>
  <si>
    <t>https://captureandgo.cloudlab.zhaw.ch/uploads/image_44862f3000.jpg</t>
  </si>
  <si>
    <t>https://captureandgo.cloudlab.zhaw.ch/uploads/image_c1ac07306c.jpg</t>
  </si>
  <si>
    <t>https://captureandgo.cloudlab.zhaw.ch/uploads/image_b5cd027fba.jpg</t>
  </si>
  <si>
    <t>https://captureandgo.cloudlab.zhaw.ch/uploads/image_42159cd4a0.jpg</t>
  </si>
  <si>
    <t>https://captureandgo.cloudlab.zhaw.ch/uploads/image_8bdcc766ac.jpg</t>
  </si>
  <si>
    <t>https://captureandgo.cloudlab.zhaw.ch/uploads/image_d2a179154e.jpg</t>
  </si>
  <si>
    <t>https://captureandgo.cloudlab.zhaw.ch/uploads/image_9a49b597dd.jpg</t>
  </si>
  <si>
    <t>https://captureandgo.cloudlab.zhaw.ch/uploads/image_bcbefb246b.jpg</t>
  </si>
  <si>
    <t>https://captureandgo.cloudlab.zhaw.ch/uploads/image_41e13c57da.jpg</t>
  </si>
  <si>
    <t>https://captureandgo.cloudlab.zhaw.ch/uploads/image_002bf2d537.jpg</t>
  </si>
  <si>
    <t>https://captureandgo.cloudlab.zhaw.ch/uploads/image_7e920bcd40.jpg</t>
  </si>
  <si>
    <t>https://captureandgo.cloudlab.zhaw.ch/uploads/image_aeecb5f65b.jpg</t>
  </si>
  <si>
    <t>https://captureandgo.cloudlab.zhaw.ch/uploads/image_a9fd137950.jpg</t>
  </si>
  <si>
    <t>https://captureandgo.cloudlab.zhaw.ch/uploads/image_1af2eb30ea.jpg</t>
  </si>
  <si>
    <t>https://captureandgo.cloudlab.zhaw.ch/uploads/image_aa764a326e.jpg</t>
  </si>
  <si>
    <t>https://captureandgo.cloudlab.zhaw.ch/uploads/image_bc3ddac8ce.jpg</t>
  </si>
  <si>
    <t>https://captureandgo.cloudlab.zhaw.ch/uploads/image_b7a8659bb1.jpg</t>
  </si>
  <si>
    <t>https://captureandgo.cloudlab.zhaw.ch/uploads/image_de4ab1e3eb.jpg</t>
  </si>
  <si>
    <t>https://captureandgo.cloudlab.zhaw.ch/uploads/image_ce5917e524.jpg</t>
  </si>
  <si>
    <t>https://captureandgo.cloudlab.zhaw.ch/uploads/image_717282610d.jpg</t>
  </si>
  <si>
    <t>https://captureandgo.cloudlab.zhaw.ch/uploads/image_1acde03522.jpg</t>
  </si>
  <si>
    <t>https://captureandgo.cloudlab.zhaw.ch/uploads/image_05842ec0aa.jpg</t>
  </si>
  <si>
    <t>https://captureandgo.cloudlab.zhaw.ch/uploads/image_874531f686.jpg</t>
  </si>
  <si>
    <t>https://captureandgo.cloudlab.zhaw.ch/uploads/image_0d74217a2a.jpg</t>
  </si>
  <si>
    <t>https://captureandgo.cloudlab.zhaw.ch/uploads/image_4aa55ae6f7.jpg</t>
  </si>
  <si>
    <t>https://captureandgo.cloudlab.zhaw.ch/uploads/image_ee9dd3afb9.jpg</t>
  </si>
  <si>
    <t>https://captureandgo.cloudlab.zhaw.ch/uploads/image_ce410f2002.jpg</t>
  </si>
  <si>
    <t>https://captureandgo.cloudlab.zhaw.ch/uploads/image_ed1f7c7bff.jpg</t>
  </si>
  <si>
    <t>https://captureandgo.cloudlab.zhaw.ch/uploads/image_034c5f39e4.jpg</t>
  </si>
  <si>
    <t>https://captureandgo.cloudlab.zhaw.ch/uploads/image_6bf0a227c6.jpg</t>
  </si>
  <si>
    <t>https://captureandgo.cloudlab.zhaw.ch/uploads/image_0ab6363229.jpg</t>
  </si>
  <si>
    <t>https://captureandgo.cloudlab.zhaw.ch/uploads/image_a579125529.jpg</t>
  </si>
  <si>
    <t>https://captureandgo.cloudlab.zhaw.ch/uploads/image_e44f00fe75.jpg</t>
  </si>
  <si>
    <t>https://captureandgo.cloudlab.zhaw.ch/uploads/image_9d044ff222.jpg</t>
  </si>
  <si>
    <t>https://captureandgo.cloudlab.zhaw.ch/uploads/image_d3b42d8531.jpg</t>
  </si>
  <si>
    <t>https://captureandgo.cloudlab.zhaw.ch/uploads/image_7d2e4ba699.jpg</t>
  </si>
  <si>
    <t>https://captureandgo.cloudlab.zhaw.ch/uploads/image_ff37bfe6d8.jpg</t>
  </si>
  <si>
    <t>https://captureandgo.cloudlab.zhaw.ch/uploads/image_81eb563d8a.jpg</t>
  </si>
  <si>
    <t>https://captureandgo.cloudlab.zhaw.ch/uploads/image_3fd9fba916.jpg</t>
  </si>
  <si>
    <t>https://captureandgo.cloudlab.zhaw.ch/uploads/image_190aa2b755.jpg</t>
  </si>
  <si>
    <t>https://captureandgo.cloudlab.zhaw.ch/uploads/image_d218ed28cb.jpg</t>
  </si>
  <si>
    <t>https://captureandgo.cloudlab.zhaw.ch/uploads/image_1bab8335b6.jpg</t>
  </si>
  <si>
    <t>https://captureandgo.cloudlab.zhaw.ch/uploads/image_aa29cbf1bc.jpg</t>
  </si>
  <si>
    <t>https://captureandgo.cloudlab.zhaw.ch/uploads/image_bc3c385e41.jpg</t>
  </si>
  <si>
    <t>https://captureandgo.cloudlab.zhaw.ch/uploads/image_da8d2054e3.jpg</t>
  </si>
  <si>
    <t>https://captureandgo.cloudlab.zhaw.ch/uploads/image_a1d58c27e0.jpg</t>
  </si>
  <si>
    <t>https://captureandgo.cloudlab.zhaw.ch/uploads/image_5b4e7fb563.jpg</t>
  </si>
  <si>
    <t>https://captureandgo.cloudlab.zhaw.ch/uploads/image_536b00a68e.jpg</t>
  </si>
  <si>
    <t>https://captureandgo.cloudlab.zhaw.ch/uploads/image_56c9188754.jpg</t>
  </si>
  <si>
    <t>https://captureandgo.cloudlab.zhaw.ch/uploads/image_6296df424e.jpg</t>
  </si>
  <si>
    <t>https://captureandgo.cloudlab.zhaw.ch/uploads/image_8a53df9d18.jpg</t>
  </si>
  <si>
    <t>https://captureandgo.cloudlab.zhaw.ch/uploads/image_9e9eb09f84.jpg</t>
  </si>
  <si>
    <t>https://captureandgo.cloudlab.zhaw.ch/uploads/image_b0254bac4b.jpg</t>
  </si>
  <si>
    <t>https://captureandgo.cloudlab.zhaw.ch/uploads/image_24c6e119a5.jpg</t>
  </si>
  <si>
    <t>https://captureandgo.cloudlab.zhaw.ch/uploads/image_5dd00282c8.jpg</t>
  </si>
  <si>
    <t>https://captureandgo.cloudlab.zhaw.ch/uploads/image_11c17a6bd6.jpg</t>
  </si>
  <si>
    <t>https://captureandgo.cloudlab.zhaw.ch/uploads/image_f6bc713561.jpg</t>
  </si>
  <si>
    <t>https://captureandgo.cloudlab.zhaw.ch/uploads/image_cd25afe1fd.jpg</t>
  </si>
  <si>
    <t>https://captureandgo.cloudlab.zhaw.ch/uploads/image_da13e43304.jpg</t>
  </si>
  <si>
    <t>https://captureandgo.cloudlab.zhaw.ch/uploads/image_59c8e9dbf1.jpg</t>
  </si>
  <si>
    <t>https://captureandgo.cloudlab.zhaw.ch/uploads/image_a943d11898.jpg</t>
  </si>
  <si>
    <t>https://captureandgo.cloudlab.zhaw.ch/uploads/image_45847ccc92.jpg</t>
  </si>
  <si>
    <t>https://captureandgo.cloudlab.zhaw.ch/uploads/image_aff2253283.jpg</t>
  </si>
  <si>
    <t>https://captureandgo.cloudlab.zhaw.ch/uploads/image_632cc81bca.jpg</t>
  </si>
  <si>
    <t>https://captureandgo.cloudlab.zhaw.ch/uploads/image_df40740495.jpg</t>
  </si>
  <si>
    <t>https://captureandgo.cloudlab.zhaw.ch/uploads/image_d55350cb8b.jpg</t>
  </si>
  <si>
    <t>https://captureandgo.cloudlab.zhaw.ch/uploads/image_90d29160c9.jpg</t>
  </si>
  <si>
    <t>https://captureandgo.cloudlab.zhaw.ch/uploads/image_7810bcd817.jpg</t>
  </si>
  <si>
    <t>https://captureandgo.cloudlab.zhaw.ch/uploads/image_fd7c6a3fe7.jpg</t>
  </si>
  <si>
    <t>https://captureandgo.cloudlab.zhaw.ch/uploads/image_bedca5f6cb.jpg</t>
  </si>
  <si>
    <t>https://captureandgo.cloudlab.zhaw.ch/uploads/image_3d08f60ab2.jpg</t>
  </si>
  <si>
    <t>https://captureandgo.cloudlab.zhaw.ch/uploads/image_ca0b42a928.jpg</t>
  </si>
  <si>
    <t>https://captureandgo.cloudlab.zhaw.ch/uploads/image_e87a6a55a4.jpg</t>
  </si>
  <si>
    <t>https://captureandgo.cloudlab.zhaw.ch/uploads/image_83a01c5196.jpg</t>
  </si>
  <si>
    <t>https://captureandgo.cloudlab.zhaw.ch/uploads/image_1b8711be80.jpg</t>
  </si>
  <si>
    <t>https://captureandgo.cloudlab.zhaw.ch/uploads/image_04f14e174a.jpg</t>
  </si>
  <si>
    <t>https://captureandgo.cloudlab.zhaw.ch/uploads/image_58170f5254.jpg</t>
  </si>
  <si>
    <t>https://captureandgo.cloudlab.zhaw.ch/uploads/image_3ba6dfcdde.jpg</t>
  </si>
  <si>
    <t>https://captureandgo.cloudlab.zhaw.ch/uploads/image_1c9d6ba850.jpg</t>
  </si>
  <si>
    <t>https://captureandgo.cloudlab.zhaw.ch/uploads/image_42d4320cd5.jpg</t>
  </si>
  <si>
    <t>https://captureandgo.cloudlab.zhaw.ch/uploads/image_f51daa4549.jpg</t>
  </si>
  <si>
    <t>https://captureandgo.cloudlab.zhaw.ch/uploads/image_397d08c4ba.jpg</t>
  </si>
  <si>
    <t>https://captureandgo.cloudlab.zhaw.ch/uploads/image_f915fc48fa.jpg</t>
  </si>
  <si>
    <t>https://captureandgo.cloudlab.zhaw.ch/uploads/image_711381d4f1.jpg</t>
  </si>
  <si>
    <t>https://captureandgo.cloudlab.zhaw.ch/uploads/image_2c6dc2432d.jpg</t>
  </si>
  <si>
    <t>https://captureandgo.cloudlab.zhaw.ch/uploads/image_e281b07ded.jpg</t>
  </si>
  <si>
    <t>https://captureandgo.cloudlab.zhaw.ch/uploads/image_b5120e4cc7.jpg</t>
  </si>
  <si>
    <t>https://captureandgo.cloudlab.zhaw.ch/uploads/image_0728427b8d.jpg</t>
  </si>
  <si>
    <t>https://captureandgo.cloudlab.zhaw.ch/uploads/image_790afb93fd.jpg</t>
  </si>
  <si>
    <t>https://captureandgo.cloudlab.zhaw.ch/uploads/image_1e03c82e24.jpg</t>
  </si>
  <si>
    <t>https://captureandgo.cloudlab.zhaw.ch/uploads/image_8b0d956b44.jpg</t>
  </si>
  <si>
    <t>https://captureandgo.cloudlab.zhaw.ch/uploads/image_a8ace5af74.jpg</t>
  </si>
  <si>
    <t>https://captureandgo.cloudlab.zhaw.ch/uploads/image_9afad9620f.jpg</t>
  </si>
  <si>
    <t>https://captureandgo.cloudlab.zhaw.ch/uploads/image_1d9eb9d2e9.jpg</t>
  </si>
  <si>
    <t>https://captureandgo.cloudlab.zhaw.ch/uploads/image_971d1f2c83.jpg</t>
  </si>
  <si>
    <t>https://captureandgo.cloudlab.zhaw.ch/uploads/image_6d0e7f8141.jpg</t>
  </si>
  <si>
    <t>https://captureandgo.cloudlab.zhaw.ch/uploads/image_015a214104.jpg</t>
  </si>
  <si>
    <t>https://captureandgo.cloudlab.zhaw.ch/uploads/image_f4e0b41811.jpg</t>
  </si>
  <si>
    <t>https://captureandgo.cloudlab.zhaw.ch/uploads/image_3fa76db336.jpg</t>
  </si>
  <si>
    <t>https://captureandgo.cloudlab.zhaw.ch/uploads/image_1b18cc35c5.jpg</t>
  </si>
  <si>
    <t>https://captureandgo.cloudlab.zhaw.ch/uploads/image_6dc3b54e2a.jpg</t>
  </si>
  <si>
    <t>https://captureandgo.cloudlab.zhaw.ch/uploads/image_549546d795.jpg</t>
  </si>
  <si>
    <t>https://captureandgo.cloudlab.zhaw.ch/uploads/image_8ba9a4c5d6.jpg</t>
  </si>
  <si>
    <t>https://captureandgo.cloudlab.zhaw.ch/uploads/image_460bcbd9ec.jpg</t>
  </si>
  <si>
    <t>https://captureandgo.cloudlab.zhaw.ch/uploads/image_f5a2d3fc85.jpg</t>
  </si>
  <si>
    <t>https://captureandgo.cloudlab.zhaw.ch/uploads/image_751b74b89a.jpg</t>
  </si>
  <si>
    <t>https://captureandgo.cloudlab.zhaw.ch/uploads/image_42ecb79fc1.jpg</t>
  </si>
  <si>
    <t>https://captureandgo.cloudlab.zhaw.ch/uploads/image_e147ef8623.jpg</t>
  </si>
  <si>
    <t>https://captureandgo.cloudlab.zhaw.ch/uploads/image_e541d242a9.jpg</t>
  </si>
  <si>
    <t>https://captureandgo.cloudlab.zhaw.ch/uploads/image_eca5af93a5.jpg</t>
  </si>
  <si>
    <t>https://captureandgo.cloudlab.zhaw.ch/uploads/image_96feb448aa.jpg</t>
  </si>
  <si>
    <t>https://captureandgo.cloudlab.zhaw.ch/uploads/image_6225035019.jpg</t>
  </si>
  <si>
    <t>https://captureandgo.cloudlab.zhaw.ch/uploads/image_60aa5133ad.jpg</t>
  </si>
  <si>
    <t>https://captureandgo.cloudlab.zhaw.ch/uploads/image_c0bb41cefc.jpg</t>
  </si>
  <si>
    <t>https://captureandgo.cloudlab.zhaw.ch/uploads/image_efaf2b8fb1.jpg</t>
  </si>
  <si>
    <t>https://captureandgo.cloudlab.zhaw.ch/uploads/image_6fc824df33.jpg</t>
  </si>
  <si>
    <t>https://captureandgo.cloudlab.zhaw.ch/uploads/image_8e8328483d.jpg</t>
  </si>
  <si>
    <t>https://captureandgo.cloudlab.zhaw.ch/uploads/image_a5320e6942.jpg</t>
  </si>
  <si>
    <t>https://captureandgo.cloudlab.zhaw.ch/uploads/image_8caaefb113.jpg</t>
  </si>
  <si>
    <t>https://captureandgo.cloudlab.zhaw.ch/uploads/image_25c7613308.jpg</t>
  </si>
  <si>
    <t>https://captureandgo.cloudlab.zhaw.ch/uploads/image_f5a776db64.jpg</t>
  </si>
  <si>
    <t>https://captureandgo.cloudlab.zhaw.ch/uploads/image_d77b117119.jpg</t>
  </si>
  <si>
    <t>https://captureandgo.cloudlab.zhaw.ch/uploads/image_b674532ac3.jpg</t>
  </si>
  <si>
    <t>https://captureandgo.cloudlab.zhaw.ch/uploads/image_6fd2f621d1.jpg</t>
  </si>
  <si>
    <t>https://captureandgo.cloudlab.zhaw.ch/uploads/image_1cfa8ef212.jpg</t>
  </si>
  <si>
    <t>https://captureandgo.cloudlab.zhaw.ch/uploads/image_a782fd7ad9.jpg</t>
  </si>
  <si>
    <t>https://captureandgo.cloudlab.zhaw.ch/uploads/image_90c7d43129.jpg</t>
  </si>
  <si>
    <t>https://captureandgo.cloudlab.zhaw.ch/uploads/image_99a9949603.jpg</t>
  </si>
  <si>
    <t>https://captureandgo.cloudlab.zhaw.ch/uploads/image_eb7454c6cd.jpg</t>
  </si>
  <si>
    <t>https://captureandgo.cloudlab.zhaw.ch/uploads/image_397968c055.jpg</t>
  </si>
  <si>
    <t>https://captureandgo.cloudlab.zhaw.ch/uploads/image_f4c762e3b2.jpg</t>
  </si>
  <si>
    <t>https://captureandgo.cloudlab.zhaw.ch/uploads/image_bdced4ed9d.jpg</t>
  </si>
  <si>
    <t>https://captureandgo.cloudlab.zhaw.ch/uploads/image_7c8ecb6266.jpg</t>
  </si>
  <si>
    <t>https://captureandgo.cloudlab.zhaw.ch/uploads/image_3a36a6fc1c.jpg</t>
  </si>
  <si>
    <t>https://captureandgo.cloudlab.zhaw.ch/uploads/image_4d130f55d5.jpg</t>
  </si>
  <si>
    <t>https://captureandgo.cloudlab.zhaw.ch/uploads/image_769d102347.jpg</t>
  </si>
  <si>
    <t>https://captureandgo.cloudlab.zhaw.ch/uploads/image_ed110bff5b.jpg</t>
  </si>
  <si>
    <t>https://captureandgo.cloudlab.zhaw.ch/uploads/image_049213753d.jpg</t>
  </si>
  <si>
    <t>https://captureandgo.cloudlab.zhaw.ch/uploads/image_a71e1d2729.jpg</t>
  </si>
  <si>
    <t>https://captureandgo.cloudlab.zhaw.ch/uploads/image_e15f8dffd3.jpg</t>
  </si>
  <si>
    <t>https://captureandgo.cloudlab.zhaw.ch/uploads/image_da49e0f4ab.jpg</t>
  </si>
  <si>
    <t>https://captureandgo.cloudlab.zhaw.ch/uploads/image_c94c161581.jpg</t>
  </si>
  <si>
    <t>https://captureandgo.cloudlab.zhaw.ch/uploads/image_7df7ded8d4.jpg</t>
  </si>
  <si>
    <t>https://captureandgo.cloudlab.zhaw.ch/uploads/image_4031cd0d33.jpg</t>
  </si>
  <si>
    <t>https://captureandgo.cloudlab.zhaw.ch/uploads/image_25b5a1c49b.jpg</t>
  </si>
  <si>
    <t>https://captureandgo.cloudlab.zhaw.ch/uploads/image_f98c3b8b4f.jpg</t>
  </si>
  <si>
    <t>https://captureandgo.cloudlab.zhaw.ch/uploads/image_e906d8b5e2.jpg</t>
  </si>
  <si>
    <t>https://captureandgo.cloudlab.zhaw.ch/uploads/image_52c6c52d29.jpg</t>
  </si>
  <si>
    <t>https://captureandgo.cloudlab.zhaw.ch/uploads/image_790ec3c8c8.jpg</t>
  </si>
  <si>
    <t>https://captureandgo.cloudlab.zhaw.ch/uploads/image_3b59696394.jpg</t>
  </si>
  <si>
    <t>https://captureandgo.cloudlab.zhaw.ch/uploads/image_1e3da3cd87.jpg</t>
  </si>
  <si>
    <t>https://captureandgo.cloudlab.zhaw.ch/uploads/image_6e4b851c28.jpg</t>
  </si>
  <si>
    <t>https://captureandgo.cloudlab.zhaw.ch/uploads/image_72c9789ce4.jpg</t>
  </si>
  <si>
    <t>https://captureandgo.cloudlab.zhaw.ch/uploads/image_3300be4ccf.jpg</t>
  </si>
  <si>
    <t>https://captureandgo.cloudlab.zhaw.ch/uploads/image_c0e7a9b309.jpg</t>
  </si>
  <si>
    <t>https://captureandgo.cloudlab.zhaw.ch/uploads/image_3995456074.jpg</t>
  </si>
  <si>
    <t>https://captureandgo.cloudlab.zhaw.ch/uploads/image_d170a032da.jpg</t>
  </si>
  <si>
    <t>https://captureandgo.cloudlab.zhaw.ch/uploads/image_ee71bae5e1.jpg</t>
  </si>
  <si>
    <t>https://captureandgo.cloudlab.zhaw.ch/uploads/image_a01b751efd.jpg</t>
  </si>
  <si>
    <t>https://captureandgo.cloudlab.zhaw.ch/uploads/image_e1f8846be0.jpg</t>
  </si>
  <si>
    <t>https://captureandgo.cloudlab.zhaw.ch/uploads/image_97910cfcb9.jpg</t>
  </si>
  <si>
    <t>https://captureandgo.cloudlab.zhaw.ch/uploads/image_879318b821.jpg</t>
  </si>
  <si>
    <t>https://captureandgo.cloudlab.zhaw.ch/uploads/image_7043446656.jpg</t>
  </si>
  <si>
    <t>https://captureandgo.cloudlab.zhaw.ch/uploads/image_f2c0e3e086.jpg</t>
  </si>
  <si>
    <t>https://captureandgo.cloudlab.zhaw.ch/uploads/image_ba6d48a651.jpg</t>
  </si>
  <si>
    <t>https://captureandgo.cloudlab.zhaw.ch/uploads/image_85e7dfd788.jpg</t>
  </si>
  <si>
    <t>https://captureandgo.cloudlab.zhaw.ch/uploads/image_433b81d2ef.jpg</t>
  </si>
  <si>
    <t>https://captureandgo.cloudlab.zhaw.ch/uploads/image_f27fd60018.jpg</t>
  </si>
  <si>
    <t>https://captureandgo.cloudlab.zhaw.ch/uploads/image_41eab1762c.jpg</t>
  </si>
  <si>
    <t>https://captureandgo.cloudlab.zhaw.ch/uploads/image_a616306291.jpg</t>
  </si>
  <si>
    <t>https://captureandgo.cloudlab.zhaw.ch/uploads/image_e2b391ad6a.jpg</t>
  </si>
  <si>
    <t>https://captureandgo.cloudlab.zhaw.ch/uploads/image_4bb8a3123a.jpg</t>
  </si>
  <si>
    <t>https://captureandgo.cloudlab.zhaw.ch/uploads/image_d936b12e7a.jpg</t>
  </si>
  <si>
    <t>https://captureandgo.cloudlab.zhaw.ch/uploads/image_a9a2c9d331.jpg</t>
  </si>
  <si>
    <t>https://captureandgo.cloudlab.zhaw.ch/uploads/image_4c25a5b0c4.jpg</t>
  </si>
  <si>
    <t>https://captureandgo.cloudlab.zhaw.ch/uploads/image_6d5b9191c5.jpg</t>
  </si>
  <si>
    <t>https://captureandgo.cloudlab.zhaw.ch/uploads/image_d5d598a890.jpg</t>
  </si>
  <si>
    <t>https://captureandgo.cloudlab.zhaw.ch/uploads/image_f82f39b16f.jpg</t>
  </si>
  <si>
    <t>https://captureandgo.cloudlab.zhaw.ch/uploads/image_c077838fa8.jpg</t>
  </si>
  <si>
    <t>https://captureandgo.cloudlab.zhaw.ch/uploads/image_3b917887c0.jpg</t>
  </si>
  <si>
    <t>https://captureandgo.cloudlab.zhaw.ch/uploads/image_017c164eb9.jpg</t>
  </si>
  <si>
    <t>https://captureandgo.cloudlab.zhaw.ch/uploads/image_a771b0e672.jpg</t>
  </si>
  <si>
    <t>https://captureandgo.cloudlab.zhaw.ch/uploads/image_0a199dffd6.jpg</t>
  </si>
  <si>
    <t>https://captureandgo.cloudlab.zhaw.ch/uploads/image_4df11b92b9.jpg</t>
  </si>
  <si>
    <t>https://captureandgo.cloudlab.zhaw.ch/uploads/image_18d7c22d02.jpg</t>
  </si>
  <si>
    <t>https://captureandgo.cloudlab.zhaw.ch/uploads/image_dff4a53983.jpg</t>
  </si>
  <si>
    <t>https://captureandgo.cloudlab.zhaw.ch/uploads/image_fca9e98f35.jpg</t>
  </si>
  <si>
    <t>https://captureandgo.cloudlab.zhaw.ch/uploads/image_cfbb277621.jpg</t>
  </si>
  <si>
    <t>https://captureandgo.cloudlab.zhaw.ch/uploads/image_b436eceba6.jpg</t>
  </si>
  <si>
    <t>https://captureandgo.cloudlab.zhaw.ch/uploads/image_ad88de3739.jpg</t>
  </si>
  <si>
    <t>https://captureandgo.cloudlab.zhaw.ch/uploads/image_e6bb5ef394.jpg</t>
  </si>
  <si>
    <t>https://captureandgo.cloudlab.zhaw.ch/uploads/image_bce5356297.jpg</t>
  </si>
  <si>
    <t>https://captureandgo.cloudlab.zhaw.ch/uploads/image_2a9c0b9c58.jpg</t>
  </si>
  <si>
    <t>https://captureandgo.cloudlab.zhaw.ch/uploads/image_bdcf96c2bb.jpg</t>
  </si>
  <si>
    <t>https://captureandgo.cloudlab.zhaw.ch/uploads/image_66c7d8e05b.jpg</t>
  </si>
  <si>
    <t>https://captureandgo.cloudlab.zhaw.ch/uploads/image_4244f5d5bd.jpg</t>
  </si>
  <si>
    <t>https://captureandgo.cloudlab.zhaw.ch/uploads/image_379e8166fb.jpg</t>
  </si>
  <si>
    <t>https://captureandgo.cloudlab.zhaw.ch/uploads/image_b7eb5989f5.jpg</t>
  </si>
  <si>
    <t>https://captureandgo.cloudlab.zhaw.ch/uploads/image_2dc6f59ebc.jpg</t>
  </si>
  <si>
    <t>https://captureandgo.cloudlab.zhaw.ch/uploads/image_39e87c3e21.jpg</t>
  </si>
  <si>
    <t>https://captureandgo.cloudlab.zhaw.ch/uploads/image_2b52cf48d2.jpg</t>
  </si>
  <si>
    <t>https://captureandgo.cloudlab.zhaw.ch/uploads/image_3ddb2c9340.jpg</t>
  </si>
  <si>
    <t>https://captureandgo.cloudlab.zhaw.ch/uploads/image_2678e1698c.jpg</t>
  </si>
  <si>
    <t>https://captureandgo.cloudlab.zhaw.ch/uploads/image_c42d64c56d.jpg</t>
  </si>
  <si>
    <t>https://captureandgo.cloudlab.zhaw.ch/uploads/image_6f66d89fa9.jpg</t>
  </si>
  <si>
    <t>https://captureandgo.cloudlab.zhaw.ch/uploads/image_40b9be906b.jpg</t>
  </si>
  <si>
    <t>https://captureandgo.cloudlab.zhaw.ch/uploads/image_10c3f7c9ac.jpg</t>
  </si>
  <si>
    <t>https://captureandgo.cloudlab.zhaw.ch/uploads/image_2823e0914c.jpg</t>
  </si>
  <si>
    <t>https://captureandgo.cloudlab.zhaw.ch/uploads/image_6af1959915.jpg</t>
  </si>
  <si>
    <t>https://captureandgo.cloudlab.zhaw.ch/uploads/image_bf9cccdb30.jpg</t>
  </si>
  <si>
    <t>https://captureandgo.cloudlab.zhaw.ch/uploads/image_e4101216b8.jpg</t>
  </si>
  <si>
    <t>https://captureandgo.cloudlab.zhaw.ch/uploads/image_2a21b6a114.jpg</t>
  </si>
  <si>
    <t>https://captureandgo.cloudlab.zhaw.ch/uploads/image_38bf99ba51.jpg</t>
  </si>
  <si>
    <t>https://captureandgo.cloudlab.zhaw.ch/uploads/image_99a1e605c7.jpg</t>
  </si>
  <si>
    <t>https://captureandgo.cloudlab.zhaw.ch/uploads/image_3f20bcabe0.jpg</t>
  </si>
  <si>
    <t>https://captureandgo.cloudlab.zhaw.ch/uploads/image_70cb1f47db.jpg</t>
  </si>
  <si>
    <t>https://captureandgo.cloudlab.zhaw.ch/uploads/image_8ffd4f1225.jpg</t>
  </si>
  <si>
    <t>https://captureandgo.cloudlab.zhaw.ch/uploads/image_e20b402561.jpg</t>
  </si>
  <si>
    <t>https://captureandgo.cloudlab.zhaw.ch/uploads/image_c5dd3a1913.jpg</t>
  </si>
  <si>
    <t>https://captureandgo.cloudlab.zhaw.ch/uploads/image_5830eae2cd.jpg</t>
  </si>
  <si>
    <t>https://captureandgo.cloudlab.zhaw.ch/uploads/image_a71a51e7a3.jpg</t>
  </si>
  <si>
    <t>https://captureandgo.cloudlab.zhaw.ch/uploads/image_e1e728ba67.jpg</t>
  </si>
  <si>
    <t>https://captureandgo.cloudlab.zhaw.ch/uploads/image_7584ac006f.jpg</t>
  </si>
  <si>
    <t>https://captureandgo.cloudlab.zhaw.ch/uploads/image_e6171e66d9.jpg</t>
  </si>
  <si>
    <t>https://captureandgo.cloudlab.zhaw.ch/uploads/image_51d75da107.jpg</t>
  </si>
  <si>
    <t>https://captureandgo.cloudlab.zhaw.ch/uploads/image_966307d892.jpg</t>
  </si>
  <si>
    <t>https://captureandgo.cloudlab.zhaw.ch/uploads/image_b2539a7b73.jpg</t>
  </si>
  <si>
    <t>https://captureandgo.cloudlab.zhaw.ch/uploads/image_c0334f877d.jpg</t>
  </si>
  <si>
    <t>https://captureandgo.cloudlab.zhaw.ch/uploads/image_0140c63537.jpg</t>
  </si>
  <si>
    <t>https://captureandgo.cloudlab.zhaw.ch/uploads/image_7f4537b076.jpg</t>
  </si>
  <si>
    <t>https://captureandgo.cloudlab.zhaw.ch/uploads/image_ae1eaed561.jpg</t>
  </si>
  <si>
    <t>https://captureandgo.cloudlab.zhaw.ch/uploads/image_0a4e1e141a.jpg</t>
  </si>
  <si>
    <t>https://captureandgo.cloudlab.zhaw.ch/uploads/image_9ef362505d.jpg</t>
  </si>
  <si>
    <t>https://captureandgo.cloudlab.zhaw.ch/uploads/image_7bdd9c52a6.jpg</t>
  </si>
  <si>
    <t>https://captureandgo.cloudlab.zhaw.ch/uploads/image_fa60b0c39a.jpg</t>
  </si>
  <si>
    <t>https://captureandgo.cloudlab.zhaw.ch/uploads/image_5d516e5b3a.jpg</t>
  </si>
  <si>
    <t>https://captureandgo.cloudlab.zhaw.ch/uploads/image_8096fe34b2.jpg</t>
  </si>
  <si>
    <t>https://captureandgo.cloudlab.zhaw.ch/uploads/image_03bdaaa262.jpg</t>
  </si>
  <si>
    <t>https://captureandgo.cloudlab.zhaw.ch/uploads/image_6cb6ebe531.jpg</t>
  </si>
  <si>
    <t>https://captureandgo.cloudlab.zhaw.ch/uploads/image_5c9b67abcb.jpg</t>
  </si>
  <si>
    <t>https://captureandgo.cloudlab.zhaw.ch/uploads/image_401537fc82.jpg</t>
  </si>
  <si>
    <t>https://captureandgo.cloudlab.zhaw.ch/uploads/image_bbceb1c9f8.jpg</t>
  </si>
  <si>
    <t>https://captureandgo.cloudlab.zhaw.ch/uploads/image_a8640625c0.jpg</t>
  </si>
  <si>
    <t>https://captureandgo.cloudlab.zhaw.ch/uploads/image_96376a92a9.jpg</t>
  </si>
  <si>
    <t>https://captureandgo.cloudlab.zhaw.ch/uploads/image_a1b17c2f5a.jpg</t>
  </si>
  <si>
    <t>https://captureandgo.cloudlab.zhaw.ch/uploads/image_b6f8de239f.jpg</t>
  </si>
  <si>
    <t>https://captureandgo.cloudlab.zhaw.ch/uploads/image_f90964e1dd.jpg</t>
  </si>
  <si>
    <t>https://captureandgo.cloudlab.zhaw.ch/uploads/image_50f2272e58.jpg</t>
  </si>
  <si>
    <t>https://captureandgo.cloudlab.zhaw.ch/uploads/image_45e731f7c1.jpg</t>
  </si>
  <si>
    <t>https://captureandgo.cloudlab.zhaw.ch/uploads/image_6050cefabf.jpg</t>
  </si>
  <si>
    <t>https://captureandgo.cloudlab.zhaw.ch/uploads/image_db40c1243e.jpg</t>
  </si>
  <si>
    <t>https://captureandgo.cloudlab.zhaw.ch/uploads/image_6062cefcb8.jpg</t>
  </si>
  <si>
    <t>https://captureandgo.cloudlab.zhaw.ch/uploads/image_84c57c6047.jpg</t>
  </si>
  <si>
    <t>https://captureandgo.cloudlab.zhaw.ch/uploads/image_18df2581f1.jpg</t>
  </si>
  <si>
    <t>https://captureandgo.cloudlab.zhaw.ch/uploads/image_731c63a7f9.jpg</t>
  </si>
  <si>
    <t>https://captureandgo.cloudlab.zhaw.ch/uploads/image_76788b2c6c.jpg</t>
  </si>
  <si>
    <t>https://captureandgo.cloudlab.zhaw.ch/uploads/image_a591ca1ac5.jpg</t>
  </si>
  <si>
    <t>https://captureandgo.cloudlab.zhaw.ch/uploads/image_cd250e5c87.jpg</t>
  </si>
  <si>
    <t>https://captureandgo.cloudlab.zhaw.ch/uploads/image_ee34164a66.jpg</t>
  </si>
  <si>
    <t>https://captureandgo.cloudlab.zhaw.ch/uploads/image_47d57722c9.jpg</t>
  </si>
  <si>
    <t>https://captureandgo.cloudlab.zhaw.ch/uploads/image_6713862226.jpg</t>
  </si>
  <si>
    <t>https://captureandgo.cloudlab.zhaw.ch/uploads/image_42d93cdac5.jpg</t>
  </si>
  <si>
    <t>https://captureandgo.cloudlab.zhaw.ch/uploads/image_98aa2c52d4.jpg</t>
  </si>
  <si>
    <t>https://captureandgo.cloudlab.zhaw.ch/uploads/image_f72c831c1d.jpg</t>
  </si>
  <si>
    <t>https://captureandgo.cloudlab.zhaw.ch/uploads/image_26646461ea.jpg</t>
  </si>
  <si>
    <t>https://captureandgo.cloudlab.zhaw.ch/uploads/image_db46a77188.jpg</t>
  </si>
  <si>
    <t>https://captureandgo.cloudlab.zhaw.ch/uploads/image_61bad1e425.jpg</t>
  </si>
  <si>
    <t>https://captureandgo.cloudlab.zhaw.ch/uploads/image_5a322b700c.jpg</t>
  </si>
  <si>
    <t>https://captureandgo.cloudlab.zhaw.ch/uploads/image_66f52a3b22.jpg</t>
  </si>
  <si>
    <t>https://captureandgo.cloudlab.zhaw.ch/uploads/image_1b6bcadc71.jpg</t>
  </si>
  <si>
    <t>https://captureandgo.cloudlab.zhaw.ch/uploads/image_8c8d290eb2.jpg</t>
  </si>
  <si>
    <t>https://captureandgo.cloudlab.zhaw.ch/uploads/image_c2c99c21f8.jpg</t>
  </si>
  <si>
    <t>https://captureandgo.cloudlab.zhaw.ch/uploads/image_8e23dd3ab0.jpg</t>
  </si>
  <si>
    <t>https://captureandgo.cloudlab.zhaw.ch/uploads/image_ff2cc43d6c.jpg</t>
  </si>
  <si>
    <t>https://captureandgo.cloudlab.zhaw.ch/uploads/image_6f7b0aadf9.jpg</t>
  </si>
  <si>
    <t>https://captureandgo.cloudlab.zhaw.ch/uploads/image_ff265609cb.jpg</t>
  </si>
  <si>
    <t>https://captureandgo.cloudlab.zhaw.ch/uploads/image_62f98829c3.jpg</t>
  </si>
  <si>
    <t>https://captureandgo.cloudlab.zhaw.ch/uploads/image_5e86d9d485.jpg</t>
  </si>
  <si>
    <t>https://captureandgo.cloudlab.zhaw.ch/uploads/image_b797a0bb2b.jpg</t>
  </si>
  <si>
    <t>https://captureandgo.cloudlab.zhaw.ch/uploads/image_1cc8cbc27d.jpg</t>
  </si>
  <si>
    <t>https://captureandgo.cloudlab.zhaw.ch/uploads/image_febb69cebe.jpg</t>
  </si>
  <si>
    <t>https://captureandgo.cloudlab.zhaw.ch/uploads/image_9ca439cb04.jpg</t>
  </si>
  <si>
    <t>https://captureandgo.cloudlab.zhaw.ch/uploads/image_3d24a73b0f.jpg</t>
  </si>
  <si>
    <t>https://captureandgo.cloudlab.zhaw.ch/uploads/image_f60993838d.jpg</t>
  </si>
  <si>
    <t>https://captureandgo.cloudlab.zhaw.ch/uploads/image_07c7d67207.jpg</t>
  </si>
  <si>
    <t>https://captureandgo.cloudlab.zhaw.ch/uploads/image_3510adf37e.jpg</t>
  </si>
  <si>
    <t>https://captureandgo.cloudlab.zhaw.ch/uploads/image_6ab9814bf1.jpg</t>
  </si>
  <si>
    <t>https://captureandgo.cloudlab.zhaw.ch/uploads/image_4946403270.jpg</t>
  </si>
  <si>
    <t>https://captureandgo.cloudlab.zhaw.ch/uploads/image_d8168d7777.jpg</t>
  </si>
  <si>
    <t>https://captureandgo.cloudlab.zhaw.ch/uploads/image_80d9e47ca1.jpg</t>
  </si>
  <si>
    <t>https://captureandgo.cloudlab.zhaw.ch/uploads/image_e77a28acad.jpg</t>
  </si>
  <si>
    <t>https://captureandgo.cloudlab.zhaw.ch/uploads/image_369eb1e297.jpg</t>
  </si>
  <si>
    <t>https://captureandgo.cloudlab.zhaw.ch/uploads/image_38a8b8c164.jpg</t>
  </si>
  <si>
    <t>https://captureandgo.cloudlab.zhaw.ch/uploads/image_07be750e3e.jpg</t>
  </si>
  <si>
    <t>https://captureandgo.cloudlab.zhaw.ch/uploads/image_00ac83cd26.jpg</t>
  </si>
  <si>
    <t>https://captureandgo.cloudlab.zhaw.ch/uploads/image_aa6e70afc8.jpg</t>
  </si>
  <si>
    <t>https://captureandgo.cloudlab.zhaw.ch/uploads/image_5e427b1b1a.jpg</t>
  </si>
  <si>
    <t>https://captureandgo.cloudlab.zhaw.ch/uploads/image_d1e661217b.jpg</t>
  </si>
  <si>
    <t>https://captureandgo.cloudlab.zhaw.ch/uploads/image_e722ed92a6.jpg</t>
  </si>
  <si>
    <t>https://captureandgo.cloudlab.zhaw.ch/uploads/image_894fc183a8.jpg</t>
  </si>
  <si>
    <t>https://captureandgo.cloudlab.zhaw.ch/uploads/image_1150ffa954.jpg</t>
  </si>
  <si>
    <t>https://captureandgo.cloudlab.zhaw.ch/uploads/image_f1881e7e92.jpg</t>
  </si>
  <si>
    <t>https://captureandgo.cloudlab.zhaw.ch/uploads/image_9b0696a237.jpg</t>
  </si>
  <si>
    <t>https://captureandgo.cloudlab.zhaw.ch/uploads/image_c439cc9d3a.jpg</t>
  </si>
  <si>
    <t>https://captureandgo.cloudlab.zhaw.ch/uploads/image_0046d9d7fe.jpg</t>
  </si>
  <si>
    <t>https://captureandgo.cloudlab.zhaw.ch/uploads/image_b14d351e31.jpg</t>
  </si>
  <si>
    <t>https://captureandgo.cloudlab.zhaw.ch/uploads/image_cf2ab2f06b.jpg</t>
  </si>
  <si>
    <t>https://captureandgo.cloudlab.zhaw.ch/uploads/image_b02f65c31b.jpg</t>
  </si>
  <si>
    <t>https://captureandgo.cloudlab.zhaw.ch/uploads/image_4296321fbd.jpg</t>
  </si>
  <si>
    <t>https://captureandgo.cloudlab.zhaw.ch/uploads/image_835d2e1578.jpg</t>
  </si>
  <si>
    <t>https://captureandgo.cloudlab.zhaw.ch/uploads/image_4513292328.jpg</t>
  </si>
  <si>
    <t>https://captureandgo.cloudlab.zhaw.ch/uploads/image_753ff242d1.jpg</t>
  </si>
  <si>
    <t>https://captureandgo.cloudlab.zhaw.ch/uploads/image_bced0466a6.jpg</t>
  </si>
  <si>
    <t>https://captureandgo.cloudlab.zhaw.ch/uploads/image_57568a03ba.jpg</t>
  </si>
  <si>
    <t>https://captureandgo.cloudlab.zhaw.ch/uploads/image_6e8fc72a9b.jpg</t>
  </si>
  <si>
    <t>https://captureandgo.cloudlab.zhaw.ch/uploads/image_cb76b51b5a.jpg</t>
  </si>
  <si>
    <t>https://captureandgo.cloudlab.zhaw.ch/uploads/image_18cc1e94f7.jpg</t>
  </si>
  <si>
    <t>https://captureandgo.cloudlab.zhaw.ch/uploads/image_dd7990f93e.jpg</t>
  </si>
  <si>
    <t>https://captureandgo.cloudlab.zhaw.ch/uploads/image_8ae8a56067.jpg</t>
  </si>
  <si>
    <t>https://captureandgo.cloudlab.zhaw.ch/uploads/image_1b9c5d8082.jpg</t>
  </si>
  <si>
    <t>https://captureandgo.cloudlab.zhaw.ch/uploads/image_967e089da9.jpg</t>
  </si>
  <si>
    <t>https://captureandgo.cloudlab.zhaw.ch/uploads/image_dd7ea34263.jpg</t>
  </si>
  <si>
    <t>https://captureandgo.cloudlab.zhaw.ch/uploads/image_a1e777f3b0.jpg</t>
  </si>
  <si>
    <t>https://captureandgo.cloudlab.zhaw.ch/uploads/image_1c23c98843.jpg</t>
  </si>
  <si>
    <t>https://captureandgo.cloudlab.zhaw.ch/uploads/image_e1108e3256.jpg</t>
  </si>
  <si>
    <t>https://captureandgo.cloudlab.zhaw.ch/uploads/image_bcbf709d88.jpg</t>
  </si>
  <si>
    <t>https://captureandgo.cloudlab.zhaw.ch/uploads/image_d606293a41.jpg</t>
  </si>
  <si>
    <t>https://captureandgo.cloudlab.zhaw.ch/uploads/image_0c1a64ccbb.jpg</t>
  </si>
  <si>
    <t>https://captureandgo.cloudlab.zhaw.ch/uploads/image_5bd7ff22ab.jpg</t>
  </si>
  <si>
    <t>https://captureandgo.cloudlab.zhaw.ch/uploads/image_ecf0ce945b.jpg</t>
  </si>
  <si>
    <t>https://captureandgo.cloudlab.zhaw.ch/uploads/image_b879d427fe.jpg</t>
  </si>
  <si>
    <t>https://captureandgo.cloudlab.zhaw.ch/uploads/image_690bbaae1c.jpg</t>
  </si>
  <si>
    <t>https://captureandgo.cloudlab.zhaw.ch/uploads/image_8683d00517.jpg</t>
  </si>
  <si>
    <t>https://captureandgo.cloudlab.zhaw.ch/uploads/image_c277f1fbdf.jpg</t>
  </si>
  <si>
    <t>https://captureandgo.cloudlab.zhaw.ch/uploads/image_1c84883525.jpg</t>
  </si>
  <si>
    <t>https://captureandgo.cloudlab.zhaw.ch/uploads/image_5ee2f21502.jpg</t>
  </si>
  <si>
    <t>https://captureandgo.cloudlab.zhaw.ch/uploads/image_2842c84097.jpg</t>
  </si>
  <si>
    <t>https://captureandgo.cloudlab.zhaw.ch/uploads/image_7ded56bf66.jpg</t>
  </si>
  <si>
    <t>https://captureandgo.cloudlab.zhaw.ch/uploads/image_f73d1879f2.jpg</t>
  </si>
  <si>
    <t>https://captureandgo.cloudlab.zhaw.ch/uploads/image_49e4977de8.jpg</t>
  </si>
  <si>
    <t>https://captureandgo.cloudlab.zhaw.ch/uploads/image_995278cffd.jpg</t>
  </si>
  <si>
    <t>https://captureandgo.cloudlab.zhaw.ch/uploads/image_fee73f44fc.jpg</t>
  </si>
  <si>
    <t>https://captureandgo.cloudlab.zhaw.ch/uploads/image_734ff1bd79.jpg</t>
  </si>
  <si>
    <t>https://captureandgo.cloudlab.zhaw.ch/uploads/image_55e0a36830.jpg</t>
  </si>
  <si>
    <t>https://captureandgo.cloudlab.zhaw.ch/uploads/image_834d90c07b.jpg</t>
  </si>
  <si>
    <t>https://captureandgo.cloudlab.zhaw.ch/uploads/image_76bd7561df.jpg</t>
  </si>
  <si>
    <t>https://captureandgo.cloudlab.zhaw.ch/uploads/image_b3e7bb27a7.jpg</t>
  </si>
  <si>
    <t>https://captureandgo.cloudlab.zhaw.ch/uploads/image_3b5f11a044.jpg</t>
  </si>
  <si>
    <t>https://captureandgo.cloudlab.zhaw.ch/uploads/image_6f22069a00.jpg</t>
  </si>
  <si>
    <t>https://captureandgo.cloudlab.zhaw.ch/uploads/image_8e7b027c22.jpg</t>
  </si>
  <si>
    <t>https://captureandgo.cloudlab.zhaw.ch/uploads/image_caae17a719.jpg</t>
  </si>
  <si>
    <t>https://captureandgo.cloudlab.zhaw.ch/uploads/image_956b0f3ece.jpg</t>
  </si>
  <si>
    <t>https://captureandgo.cloudlab.zhaw.ch/uploads/image_2d584922c1.jpg</t>
  </si>
  <si>
    <t>https://captureandgo.cloudlab.zhaw.ch/uploads/image_c4a8f7b56d.jpg</t>
  </si>
  <si>
    <t>https://captureandgo.cloudlab.zhaw.ch/uploads/image_9e41785778.jpg</t>
  </si>
  <si>
    <t>https://captureandgo.cloudlab.zhaw.ch/uploads/image_6ee71d4303.jpg</t>
  </si>
  <si>
    <t>https://captureandgo.cloudlab.zhaw.ch/uploads/image_19a321580c.jpg</t>
  </si>
  <si>
    <t>https://captureandgo.cloudlab.zhaw.ch/uploads/image_5591b37f25.jpg</t>
  </si>
  <si>
    <t>https://captureandgo.cloudlab.zhaw.ch/uploads/image_0b4399c025.jpg</t>
  </si>
  <si>
    <t>https://captureandgo.cloudlab.zhaw.ch/uploads/image_f0ed631745.jpg</t>
  </si>
  <si>
    <t>https://captureandgo.cloudlab.zhaw.ch/uploads/image_c4a9eada32.jpg</t>
  </si>
  <si>
    <t>https://captureandgo.cloudlab.zhaw.ch/uploads/image_24326accba.jpg</t>
  </si>
  <si>
    <t>https://captureandgo.cloudlab.zhaw.ch/uploads/image_f7468e480e.jpg</t>
  </si>
  <si>
    <t>https://captureandgo.cloudlab.zhaw.ch/uploads/image_b427aa0acb.jpg</t>
  </si>
  <si>
    <t>https://captureandgo.cloudlab.zhaw.ch/uploads/image_a75683b473.jpg</t>
  </si>
  <si>
    <t>https://captureandgo.cloudlab.zhaw.ch/uploads/image_3a9fedec44.jpg</t>
  </si>
  <si>
    <t>https://captureandgo.cloudlab.zhaw.ch/uploads/image_3e1343efe2.jpg</t>
  </si>
  <si>
    <t>https://captureandgo.cloudlab.zhaw.ch/uploads/image_24a693f625.jpg</t>
  </si>
  <si>
    <t>https://captureandgo.cloudlab.zhaw.ch/uploads/image_8876b10918.jpg</t>
  </si>
  <si>
    <t>https://captureandgo.cloudlab.zhaw.ch/uploads/image_ded05a5af4.jpg</t>
  </si>
  <si>
    <t>https://captureandgo.cloudlab.zhaw.ch/uploads/image_7322a66c8e.jpg</t>
  </si>
  <si>
    <t>https://captureandgo.cloudlab.zhaw.ch/uploads/image_f7507b3116.jpg</t>
  </si>
  <si>
    <t>https://captureandgo.cloudlab.zhaw.ch/uploads/image_013d8309a8.jpg</t>
  </si>
  <si>
    <t>https://captureandgo.cloudlab.zhaw.ch/uploads/image_e997d73104.jpg</t>
  </si>
  <si>
    <t>https://captureandgo.cloudlab.zhaw.ch/uploads/image_d83939e561.jpg</t>
  </si>
  <si>
    <t>https://captureandgo.cloudlab.zhaw.ch/uploads/image_d74e9b6cf5.jpg</t>
  </si>
  <si>
    <t>https://captureandgo.cloudlab.zhaw.ch/uploads/image_42b9d1892e.jpg</t>
  </si>
  <si>
    <t>https://captureandgo.cloudlab.zhaw.ch/uploads/image_c077099354.jpg</t>
  </si>
  <si>
    <t>https://captureandgo.cloudlab.zhaw.ch/uploads/image_6d9e95231d.jpg</t>
  </si>
  <si>
    <t>https://captureandgo.cloudlab.zhaw.ch/uploads/image_4f0cfc6621.jpg</t>
  </si>
  <si>
    <t>https://captureandgo.cloudlab.zhaw.ch/uploads/image_8b80498c5d.jpg</t>
  </si>
  <si>
    <t>https://captureandgo.cloudlab.zhaw.ch/uploads/image_0efc586d0b.jpg</t>
  </si>
  <si>
    <t>https://captureandgo.cloudlab.zhaw.ch/uploads/image_677a9f2b9e.jpg</t>
  </si>
  <si>
    <t>https://captureandgo.cloudlab.zhaw.ch/uploads/image_06e1731d02.jpg</t>
  </si>
  <si>
    <t>https://captureandgo.cloudlab.zhaw.ch/uploads/image_2f12426689.jpg</t>
  </si>
  <si>
    <t>https://captureandgo.cloudlab.zhaw.ch/uploads/image_670cdb7f21.jpg</t>
  </si>
  <si>
    <t>https://captureandgo.cloudlab.zhaw.ch/uploads/image_09415f0ad3.jpg</t>
  </si>
  <si>
    <t>https://captureandgo.cloudlab.zhaw.ch/uploads/image_52ec0d7b08.jpg</t>
  </si>
  <si>
    <t>https://captureandgo.cloudlab.zhaw.ch/uploads/image_6f71883ac6.jpg</t>
  </si>
  <si>
    <t>https://captureandgo.cloudlab.zhaw.ch/uploads/image_24906163fb.jpg</t>
  </si>
  <si>
    <t>https://captureandgo.cloudlab.zhaw.ch/uploads/image_460847880a.jpg</t>
  </si>
  <si>
    <t>https://captureandgo.cloudlab.zhaw.ch/uploads/image_eb234a88d0.jpg</t>
  </si>
  <si>
    <t>https://captureandgo.cloudlab.zhaw.ch/uploads/image_540c31de9c.jpg</t>
  </si>
  <si>
    <t>https://captureandgo.cloudlab.zhaw.ch/uploads/image_465878ac99.jpg</t>
  </si>
  <si>
    <t>https://captureandgo.cloudlab.zhaw.ch/uploads/image_80e4e67242.jpg</t>
  </si>
  <si>
    <t>https://captureandgo.cloudlab.zhaw.ch/uploads/image_614fdb3fa0.jpg</t>
  </si>
  <si>
    <t>https://captureandgo.cloudlab.zhaw.ch/uploads/image_0ccedfc53e.jpg</t>
  </si>
  <si>
    <t>https://captureandgo.cloudlab.zhaw.ch/uploads/image_c9afd8e37e.jpg</t>
  </si>
  <si>
    <t>https://captureandgo.cloudlab.zhaw.ch/uploads/image_037ee7a62d.jpg</t>
  </si>
  <si>
    <t>https://captureandgo.cloudlab.zhaw.ch/uploads/image_d6c54e1b8d.jpg</t>
  </si>
  <si>
    <t>https://captureandgo.cloudlab.zhaw.ch/uploads/image_860cbe9589.jpg</t>
  </si>
  <si>
    <t>https://captureandgo.cloudlab.zhaw.ch/uploads/image_fa8e3dc733.jpg</t>
  </si>
  <si>
    <t>https://captureandgo.cloudlab.zhaw.ch/uploads/image_c6ae51fbc3.jpg</t>
  </si>
  <si>
    <t>https://captureandgo.cloudlab.zhaw.ch/uploads/image_877c39557d.jpg</t>
  </si>
  <si>
    <t>https://captureandgo.cloudlab.zhaw.ch/uploads/image_4bc7556363.jpg</t>
  </si>
  <si>
    <t>https://captureandgo.cloudlab.zhaw.ch/uploads/image_2b4d0b22c9.jpg</t>
  </si>
  <si>
    <t>https://captureandgo.cloudlab.zhaw.ch/uploads/image_9a5a2dc3e2.jpg</t>
  </si>
  <si>
    <t>https://captureandgo.cloudlab.zhaw.ch/uploads/image_1b3c655780.jpg</t>
  </si>
  <si>
    <t>https://captureandgo.cloudlab.zhaw.ch/uploads/image_039fbe7d48.jpg</t>
  </si>
  <si>
    <t>https://captureandgo.cloudlab.zhaw.ch/uploads/image_d820601663.jpg</t>
  </si>
  <si>
    <t>https://captureandgo.cloudlab.zhaw.ch/uploads/image_02b5bfca19.jpg</t>
  </si>
  <si>
    <t>https://captureandgo.cloudlab.zhaw.ch/uploads/image_4340e7fbaf.jpg</t>
  </si>
  <si>
    <t>https://captureandgo.cloudlab.zhaw.ch/uploads/image_60de457eee.jpg</t>
  </si>
  <si>
    <t>https://captureandgo.cloudlab.zhaw.ch/uploads/image_dde59c9174.jpg</t>
  </si>
  <si>
    <t>https://captureandgo.cloudlab.zhaw.ch/uploads/image_20873510e8.jpg</t>
  </si>
  <si>
    <t>https://captureandgo.cloudlab.zhaw.ch/uploads/image_22498f1bd8.jpg</t>
  </si>
  <si>
    <t>https://captureandgo.cloudlab.zhaw.ch/uploads/image_e66d2a3ad4.jpg</t>
  </si>
  <si>
    <t>https://captureandgo.cloudlab.zhaw.ch/uploads/image_1a1bcf7538.jpg</t>
  </si>
  <si>
    <t>https://captureandgo.cloudlab.zhaw.ch/uploads/image_2650d2f53f.jpg</t>
  </si>
  <si>
    <t>https://captureandgo.cloudlab.zhaw.ch/uploads/image_da6aa8ef75.jpg</t>
  </si>
  <si>
    <t>https://captureandgo.cloudlab.zhaw.ch/uploads/image_72f711926a.jpg</t>
  </si>
  <si>
    <t>https://captureandgo.cloudlab.zhaw.ch/uploads/image_7b3ee20341.jpg</t>
  </si>
  <si>
    <t>https://captureandgo.cloudlab.zhaw.ch/uploads/image_8d74abcf7e.jpg</t>
  </si>
  <si>
    <t>https://captureandgo.cloudlab.zhaw.ch/uploads/image_3312f32153.jpg</t>
  </si>
  <si>
    <t>https://captureandgo.cloudlab.zhaw.ch/uploads/image_e916c72d24.jpg</t>
  </si>
  <si>
    <t>https://captureandgo.cloudlab.zhaw.ch/uploads/image_5fa3c68c18.jpg</t>
  </si>
  <si>
    <t>https://captureandgo.cloudlab.zhaw.ch/uploads/image_76f14257e0.jpg</t>
  </si>
  <si>
    <t>https://captureandgo.cloudlab.zhaw.ch/uploads/image_4ea345d9da.jpg</t>
  </si>
  <si>
    <t>https://captureandgo.cloudlab.zhaw.ch/uploads/image_61cd6905ad.jpg</t>
  </si>
  <si>
    <t>https://captureandgo.cloudlab.zhaw.ch/uploads/image_7d73bca4f3.jpg</t>
  </si>
  <si>
    <t>https://captureandgo.cloudlab.zhaw.ch/uploads/image_cd6ddfe783.jpg</t>
  </si>
  <si>
    <t>https://captureandgo.cloudlab.zhaw.ch/uploads/image_3865215a4d.jpg</t>
  </si>
  <si>
    <t>https://captureandgo.cloudlab.zhaw.ch/uploads/image_4a70aece79.jpg</t>
  </si>
  <si>
    <t>https://captureandgo.cloudlab.zhaw.ch/uploads/image_37c233851d.jpg</t>
  </si>
  <si>
    <t>https://captureandgo.cloudlab.zhaw.ch/uploads/image_68197d9bbd.jpg</t>
  </si>
  <si>
    <t>https://captureandgo.cloudlab.zhaw.ch/uploads/image_106074dddb.jpg</t>
  </si>
  <si>
    <t>https://captureandgo.cloudlab.zhaw.ch/uploads/image_01bdad3614.jpg</t>
  </si>
  <si>
    <t>https://captureandgo.cloudlab.zhaw.ch/uploads/image_7cb5822c56.jpg</t>
  </si>
  <si>
    <t>https://captureandgo.cloudlab.zhaw.ch/uploads/image_dc1a35b5de.jpg</t>
  </si>
  <si>
    <t>https://captureandgo.cloudlab.zhaw.ch/uploads/image_11ce94a046.jpg</t>
  </si>
  <si>
    <t>https://captureandgo.cloudlab.zhaw.ch/uploads/image_c6f4b038d7.jpg</t>
  </si>
  <si>
    <t>https://captureandgo.cloudlab.zhaw.ch/uploads/image_834891f56a.jpg</t>
  </si>
  <si>
    <t>https://captureandgo.cloudlab.zhaw.ch/uploads/image_842aa5f10e.jpg</t>
  </si>
  <si>
    <t>https://captureandgo.cloudlab.zhaw.ch/uploads/image_29f4a7c5af.jpg</t>
  </si>
  <si>
    <t>https://captureandgo.cloudlab.zhaw.ch/uploads/image_8392fcc851.jpg</t>
  </si>
  <si>
    <t>https://captureandgo.cloudlab.zhaw.ch/uploads/image_074480ac91.jpg</t>
  </si>
  <si>
    <t>https://captureandgo.cloudlab.zhaw.ch/uploads/image_ee55eab9ac.jpg</t>
  </si>
  <si>
    <t>https://captureandgo.cloudlab.zhaw.ch/uploads/image_0c657172c4.jpg</t>
  </si>
  <si>
    <t>https://captureandgo.cloudlab.zhaw.ch/uploads/image_221aeb2577.jpg</t>
  </si>
  <si>
    <t>https://captureandgo.cloudlab.zhaw.ch/uploads/image_0dec1846e5.jpg</t>
  </si>
  <si>
    <t>https://captureandgo.cloudlab.zhaw.ch/uploads/image_08265dff7a.jpg</t>
  </si>
  <si>
    <t>https://captureandgo.cloudlab.zhaw.ch/uploads/image_038070469b.jpg</t>
  </si>
  <si>
    <t>https://captureandgo.cloudlab.zhaw.ch/uploads/image_dffa810d47.jpg</t>
  </si>
  <si>
    <t>https://captureandgo.cloudlab.zhaw.ch/uploads/image_3d6971b4b6.jpg</t>
  </si>
  <si>
    <t>https://captureandgo.cloudlab.zhaw.ch/uploads/image_2e29ea9891.jpg</t>
  </si>
  <si>
    <t>https://captureandgo.cloudlab.zhaw.ch/uploads/image_4e29967ecc.jpg</t>
  </si>
  <si>
    <t>https://captureandgo.cloudlab.zhaw.ch/uploads/image_4c1b2006ab.jpg</t>
  </si>
  <si>
    <t>https://captureandgo.cloudlab.zhaw.ch/uploads/image_aa625294e1.jpg</t>
  </si>
  <si>
    <t>https://captureandgo.cloudlab.zhaw.ch/uploads/image_80308e4cfb.jpg</t>
  </si>
  <si>
    <t>https://captureandgo.cloudlab.zhaw.ch/uploads/image_e6d35a993b.jpg</t>
  </si>
  <si>
    <t>https://captureandgo.cloudlab.zhaw.ch/uploads/image_3b21d03571.jpg</t>
  </si>
  <si>
    <t>https://captureandgo.cloudlab.zhaw.ch/uploads/image_98b34914ea.jpg</t>
  </si>
  <si>
    <t>https://captureandgo.cloudlab.zhaw.ch/uploads/image_0561a8703e.jpg</t>
  </si>
  <si>
    <t>https://captureandgo.cloudlab.zhaw.ch/uploads/image_d85ca1cf4d.jpg</t>
  </si>
  <si>
    <t>https://captureandgo.cloudlab.zhaw.ch/uploads/image_e869db83da.jpg</t>
  </si>
  <si>
    <t>https://captureandgo.cloudlab.zhaw.ch/uploads/image_7a558713ca.jpg</t>
  </si>
  <si>
    <t>https://captureandgo.cloudlab.zhaw.ch/uploads/image_11e2c9f5e8.jpg</t>
  </si>
  <si>
    <t>https://captureandgo.cloudlab.zhaw.ch/uploads/image_47dd5c8571.jpg</t>
  </si>
  <si>
    <t>https://captureandgo.cloudlab.zhaw.ch/uploads/image_6ede3fb158.jpg</t>
  </si>
  <si>
    <t>https://captureandgo.cloudlab.zhaw.ch/uploads/image_44571de4b0.jpg</t>
  </si>
  <si>
    <t>https://captureandgo.cloudlab.zhaw.ch/uploads/image_1313b36c01.jpg</t>
  </si>
  <si>
    <t>https://captureandgo.cloudlab.zhaw.ch/uploads/image_4dda1c22e2.jpg</t>
  </si>
  <si>
    <t>https://captureandgo.cloudlab.zhaw.ch/uploads/image_5f6ad9164f.jpg</t>
  </si>
  <si>
    <t>https://captureandgo.cloudlab.zhaw.ch/uploads/image_4c1e301119.jpg</t>
  </si>
  <si>
    <t>https://captureandgo.cloudlab.zhaw.ch/uploads/image_14dc808dad.jpg</t>
  </si>
  <si>
    <t>https://captureandgo.cloudlab.zhaw.ch/uploads/image_0797b9faac.jpg</t>
  </si>
  <si>
    <t>https://captureandgo.cloudlab.zhaw.ch/uploads/image_6b04ebbf83.jpg</t>
  </si>
  <si>
    <t>https://captureandgo.cloudlab.zhaw.ch/uploads/image_620e0d6bb1.jpg</t>
  </si>
  <si>
    <t>https://captureandgo.cloudlab.zhaw.ch/uploads/image_7fd3a27ccd.jpg</t>
  </si>
  <si>
    <t>https://captureandgo.cloudlab.zhaw.ch/uploads/image_992cd63cc8.jpg</t>
  </si>
  <si>
    <t>https://captureandgo.cloudlab.zhaw.ch/uploads/image_670d694eb7.jpg</t>
  </si>
  <si>
    <t>https://captureandgo.cloudlab.zhaw.ch/uploads/image_c73771031f.jpg</t>
  </si>
  <si>
    <t>https://captureandgo.cloudlab.zhaw.ch/uploads/image_8052a4fe15.jpg</t>
  </si>
  <si>
    <t>https://captureandgo.cloudlab.zhaw.ch/uploads/image_fdc1770439.jpg</t>
  </si>
  <si>
    <t>https://captureandgo.cloudlab.zhaw.ch/uploads/image_085331b128.jpg</t>
  </si>
  <si>
    <t>https://captureandgo.cloudlab.zhaw.ch/uploads/image_2f09607a6f.jpg</t>
  </si>
  <si>
    <t>https://captureandgo.cloudlab.zhaw.ch/uploads/image_708bbc3531.jpg</t>
  </si>
  <si>
    <t>https://captureandgo.cloudlab.zhaw.ch/uploads/image_52e509f6e9.jpg</t>
  </si>
  <si>
    <t>https://captureandgo.cloudlab.zhaw.ch/uploads/image_481017d4a3.jpg</t>
  </si>
  <si>
    <t>https://captureandgo.cloudlab.zhaw.ch/uploads/image_c7931a65c1.jpg</t>
  </si>
  <si>
    <t>https://captureandgo.cloudlab.zhaw.ch/uploads/image_81711c1116.jpg</t>
  </si>
  <si>
    <t>https://captureandgo.cloudlab.zhaw.ch/uploads/image_c3aa67478e.jpg</t>
  </si>
  <si>
    <t>https://captureandgo.cloudlab.zhaw.ch/uploads/image_7003adb711.jpg</t>
  </si>
  <si>
    <t>https://captureandgo.cloudlab.zhaw.ch/uploads/image_ee6498d9ad.jpg</t>
  </si>
  <si>
    <t>https://captureandgo.cloudlab.zhaw.ch/uploads/image_88329dcece.jpg</t>
  </si>
  <si>
    <t>https://captureandgo.cloudlab.zhaw.ch/uploads/image_a71e3989df.jpg</t>
  </si>
  <si>
    <t>https://captureandgo.cloudlab.zhaw.ch/uploads/image_4bfee8a67f.jpg</t>
  </si>
  <si>
    <t>https://captureandgo.cloudlab.zhaw.ch/uploads/image_bd1aedd9a5.jpg</t>
  </si>
  <si>
    <t>https://captureandgo.cloudlab.zhaw.ch/uploads/image_2778fde2ac.jpg</t>
  </si>
  <si>
    <t>https://captureandgo.cloudlab.zhaw.ch/uploads/image_5de30e4815.jpg</t>
  </si>
  <si>
    <t>https://captureandgo.cloudlab.zhaw.ch/uploads/image_c0721ccf77.jpg</t>
  </si>
  <si>
    <t>https://captureandgo.cloudlab.zhaw.ch/uploads/image_4b5bb666b6.jpg</t>
  </si>
  <si>
    <t>https://captureandgo.cloudlab.zhaw.ch/uploads/image_b302e353e2.jpg</t>
  </si>
  <si>
    <t>https://captureandgo.cloudlab.zhaw.ch/uploads/image_74acebb4da.jpg</t>
  </si>
  <si>
    <t>https://captureandgo.cloudlab.zhaw.ch/uploads/image_ffcb5e490c.jpg</t>
  </si>
  <si>
    <t>https://captureandgo.cloudlab.zhaw.ch/uploads/image_5667c3e143.jpg</t>
  </si>
  <si>
    <t>https://captureandgo.cloudlab.zhaw.ch/uploads/image_108d5056cc.jpg</t>
  </si>
  <si>
    <t>https://captureandgo.cloudlab.zhaw.ch/uploads/image_e2821d1d7f.jpg</t>
  </si>
  <si>
    <t>https://captureandgo.cloudlab.zhaw.ch/uploads/image_ee936bfaf4.jpg</t>
  </si>
  <si>
    <t>https://captureandgo.cloudlab.zhaw.ch/uploads/image_a0c47ca414.jpg</t>
  </si>
  <si>
    <t>https://captureandgo.cloudlab.zhaw.ch/uploads/image_9ba216fb37.jpg</t>
  </si>
  <si>
    <t>https://captureandgo.cloudlab.zhaw.ch/uploads/image_489fa57636.jpg</t>
  </si>
  <si>
    <t>https://captureandgo.cloudlab.zhaw.ch/uploads/image_5dd1534271.jpg</t>
  </si>
  <si>
    <t>https://captureandgo.cloudlab.zhaw.ch/uploads/image_2ad1d89e6b.jpg</t>
  </si>
  <si>
    <t>https://captureandgo.cloudlab.zhaw.ch/uploads/image_7db5bb5de1.jpg</t>
  </si>
  <si>
    <t>https://captureandgo.cloudlab.zhaw.ch/uploads/image_022527c2d2.jpg</t>
  </si>
  <si>
    <t>https://captureandgo.cloudlab.zhaw.ch/uploads/image_a8de5bebd8.jpg</t>
  </si>
  <si>
    <t>https://captureandgo.cloudlab.zhaw.ch/uploads/image_23a768453c.jpg</t>
  </si>
  <si>
    <t>https://captureandgo.cloudlab.zhaw.ch/uploads/image_81e005141b.jpg</t>
  </si>
  <si>
    <t>https://captureandgo.cloudlab.zhaw.ch/uploads/image_102206aabb.jpg</t>
  </si>
  <si>
    <t>https://captureandgo.cloudlab.zhaw.ch/uploads/image_0e5013af98.jpg</t>
  </si>
  <si>
    <t>https://captureandgo.cloudlab.zhaw.ch/uploads/image_e9a5ef78e5.jpg</t>
  </si>
  <si>
    <t>https://captureandgo.cloudlab.zhaw.ch/uploads/image_b1757bd236.jpg</t>
  </si>
  <si>
    <t>https://captureandgo.cloudlab.zhaw.ch/uploads/image_156b9ed517.jpg</t>
  </si>
  <si>
    <t>https://captureandgo.cloudlab.zhaw.ch/uploads/image_4a164c4a6a.jpg</t>
  </si>
  <si>
    <t>https://captureandgo.cloudlab.zhaw.ch/uploads/image_a3d1b2ab46.jpg</t>
  </si>
  <si>
    <t>https://captureandgo.cloudlab.zhaw.ch/uploads/image_c659c95aa0.jpg</t>
  </si>
  <si>
    <t>https://captureandgo.cloudlab.zhaw.ch/uploads/image_3e2c6b1ef6.jpg</t>
  </si>
  <si>
    <t>https://captureandgo.cloudlab.zhaw.ch/uploads/image_7dd5039d16.jpg</t>
  </si>
  <si>
    <t>https://captureandgo.cloudlab.zhaw.ch/uploads/image_65f5d35a97.jpg</t>
  </si>
  <si>
    <t>https://captureandgo.cloudlab.zhaw.ch/uploads/image_9ec98c5059.jpg</t>
  </si>
  <si>
    <t>https://captureandgo.cloudlab.zhaw.ch/uploads/image_e57143dd04.jpg</t>
  </si>
  <si>
    <t>https://captureandgo.cloudlab.zhaw.ch/uploads/image_78dfe5e03c.jpg</t>
  </si>
  <si>
    <t>https://captureandgo.cloudlab.zhaw.ch/uploads/image_b4e05fc41b.jpg</t>
  </si>
  <si>
    <t>https://captureandgo.cloudlab.zhaw.ch/uploads/image_d5fba32172.jpg</t>
  </si>
  <si>
    <t>https://captureandgo.cloudlab.zhaw.ch/uploads/image_e6436be012.jpg</t>
  </si>
  <si>
    <t>https://captureandgo.cloudlab.zhaw.ch/uploads/image_7ee329b7f0.jpg</t>
  </si>
  <si>
    <t>https://captureandgo.cloudlab.zhaw.ch/uploads/image_92774da0e1.jpg</t>
  </si>
  <si>
    <t>https://captureandgo.cloudlab.zhaw.ch/uploads/image_9d43654148.jpg</t>
  </si>
  <si>
    <t>https://captureandgo.cloudlab.zhaw.ch/uploads/image_ff22712385.jpg</t>
  </si>
  <si>
    <t>https://captureandgo.cloudlab.zhaw.ch/uploads/image_c58d1cbb04.jpg</t>
  </si>
  <si>
    <t>https://captureandgo.cloudlab.zhaw.ch/uploads/image_f66725936e.jpg</t>
  </si>
  <si>
    <t>https://captureandgo.cloudlab.zhaw.ch/uploads/image_dc3daeb79a.jpg</t>
  </si>
  <si>
    <t>https://captureandgo.cloudlab.zhaw.ch/uploads/image_4a03c4709b.jpg</t>
  </si>
  <si>
    <t>https://captureandgo.cloudlab.zhaw.ch/uploads/image_9ecd06830b.jpg</t>
  </si>
  <si>
    <t>https://captureandgo.cloudlab.zhaw.ch/uploads/image_364fb167ea.jpg</t>
  </si>
  <si>
    <t>https://captureandgo.cloudlab.zhaw.ch/uploads/image_6d691e7485.jpg</t>
  </si>
  <si>
    <t>https://captureandgo.cloudlab.zhaw.ch/uploads/image_41aa1349c5.jpg</t>
  </si>
  <si>
    <t>https://captureandgo.cloudlab.zhaw.ch/uploads/image_5797a69dd7.jpg</t>
  </si>
  <si>
    <t>https://captureandgo.cloudlab.zhaw.ch/uploads/image_4872644012.jpg</t>
  </si>
  <si>
    <t>https://captureandgo.cloudlab.zhaw.ch/uploads/image_72a32899a4.jpg</t>
  </si>
  <si>
    <t>https://captureandgo.cloudlab.zhaw.ch/uploads/image_7a7f223006.jpg</t>
  </si>
  <si>
    <t>https://captureandgo.cloudlab.zhaw.ch/uploads/image_57a0180172.jpg</t>
  </si>
  <si>
    <t>https://captureandgo.cloudlab.zhaw.ch/uploads/image_cc59af072c.jpg</t>
  </si>
  <si>
    <t>https://captureandgo.cloudlab.zhaw.ch/uploads/image_6e29e1e8af.jpg</t>
  </si>
  <si>
    <t>https://captureandgo.cloudlab.zhaw.ch/uploads/image_bbb5aa1808.jpg</t>
  </si>
  <si>
    <t>https://captureandgo.cloudlab.zhaw.ch/uploads/image_d7fb528a58.jpg</t>
  </si>
  <si>
    <t>https://captureandgo.cloudlab.zhaw.ch/uploads/image_608efd541c.jpg</t>
  </si>
  <si>
    <t>https://captureandgo.cloudlab.zhaw.ch/uploads/image_c499bb8585.jpg</t>
  </si>
  <si>
    <t>https://captureandgo.cloudlab.zhaw.ch/uploads/image_313257b9ac.jpg</t>
  </si>
  <si>
    <t>https://captureandgo.cloudlab.zhaw.ch/uploads/image_51fac4ad8f.jpg</t>
  </si>
  <si>
    <t>https://captureandgo.cloudlab.zhaw.ch/uploads/image_9a034c945e.jpg</t>
  </si>
  <si>
    <t>https://captureandgo.cloudlab.zhaw.ch/uploads/image_3f859db304.jpg</t>
  </si>
  <si>
    <t>https://captureandgo.cloudlab.zhaw.ch/uploads/image_f7f6e760b4.jpg</t>
  </si>
  <si>
    <t>https://captureandgo.cloudlab.zhaw.ch/uploads/image_2419a4b7dd.jpg</t>
  </si>
  <si>
    <t>https://captureandgo.cloudlab.zhaw.ch/uploads/image_2a106c4a27.jpg</t>
  </si>
  <si>
    <t>https://captureandgo.cloudlab.zhaw.ch/uploads/image_f6880c3506.jpg</t>
  </si>
  <si>
    <t>https://captureandgo.cloudlab.zhaw.ch/uploads/image_ecd1d14fb7.jpg</t>
  </si>
  <si>
    <t>https://captureandgo.cloudlab.zhaw.ch/uploads/image_38db06de9a.jpg</t>
  </si>
  <si>
    <t>https://captureandgo.cloudlab.zhaw.ch/uploads/image_f8fffbf238.jpg</t>
  </si>
  <si>
    <t>https://captureandgo.cloudlab.zhaw.ch/uploads/image_2d20b73a8e.jpg</t>
  </si>
  <si>
    <t>https://captureandgo.cloudlab.zhaw.ch/uploads/image_22c8cefe5b.jpg</t>
  </si>
  <si>
    <t>https://captureandgo.cloudlab.zhaw.ch/uploads/image_172b7e0c2c.jpg</t>
  </si>
  <si>
    <t>https://captureandgo.cloudlab.zhaw.ch/uploads/image_e1ee9eb060.jpg</t>
  </si>
  <si>
    <t>https://captureandgo.cloudlab.zhaw.ch/uploads/image_b108d94da5.jpg</t>
  </si>
  <si>
    <t>https://captureandgo.cloudlab.zhaw.ch/uploads/image_00d6c87233.jpg</t>
  </si>
  <si>
    <t>https://captureandgo.cloudlab.zhaw.ch/uploads/image_85627189d8.jpg</t>
  </si>
  <si>
    <t>https://captureandgo.cloudlab.zhaw.ch/uploads/image_5423f2342f.jpg</t>
  </si>
  <si>
    <t>https://captureandgo.cloudlab.zhaw.ch/uploads/image_dee2a4ab1f.jpg</t>
  </si>
  <si>
    <t>https://captureandgo.cloudlab.zhaw.ch/uploads/image_3d5d55487b.jpg</t>
  </si>
  <si>
    <t>https://captureandgo.cloudlab.zhaw.ch/uploads/image_7e37d73ce5.jpg</t>
  </si>
  <si>
    <t>https://captureandgo.cloudlab.zhaw.ch/uploads/image_86ad1a2a63.jpg</t>
  </si>
  <si>
    <t>https://captureandgo.cloudlab.zhaw.ch/uploads/image_5ed43b4290.jpg</t>
  </si>
  <si>
    <t>https://captureandgo.cloudlab.zhaw.ch/uploads/image_067e74dcb0.jpg</t>
  </si>
  <si>
    <t>https://captureandgo.cloudlab.zhaw.ch/uploads/image_79a74afe1c.jpg</t>
  </si>
  <si>
    <t>https://captureandgo.cloudlab.zhaw.ch/uploads/image_e7ae573fa5.jpg</t>
  </si>
  <si>
    <t>https://captureandgo.cloudlab.zhaw.ch/uploads/image_bd6c726a9f.jpg</t>
  </si>
  <si>
    <t>https://captureandgo.cloudlab.zhaw.ch/uploads/image_5091d18f89.jpg</t>
  </si>
  <si>
    <t>https://captureandgo.cloudlab.zhaw.ch/uploads/image_8b2bad4219.jpg</t>
  </si>
  <si>
    <t>https://captureandgo.cloudlab.zhaw.ch/uploads/image_c5b7473f92.jpg</t>
  </si>
  <si>
    <t>https://captureandgo.cloudlab.zhaw.ch/uploads/image_9eca94974b.jpg</t>
  </si>
  <si>
    <t>https://captureandgo.cloudlab.zhaw.ch/uploads/image_764d93a35b.jpg</t>
  </si>
  <si>
    <t>https://captureandgo.cloudlab.zhaw.ch/uploads/image_b5f2ce2c26.jpg</t>
  </si>
  <si>
    <t>https://captureandgo.cloudlab.zhaw.ch/uploads/image_a562e54252.jpg</t>
  </si>
  <si>
    <t>https://captureandgo.cloudlab.zhaw.ch/uploads/image_53e8fc0e98.jpg</t>
  </si>
  <si>
    <t>https://captureandgo.cloudlab.zhaw.ch/uploads/image_e9cea09bb7.jpg</t>
  </si>
  <si>
    <t>https://captureandgo.cloudlab.zhaw.ch/uploads/image_2594ca2b29.jpg</t>
  </si>
  <si>
    <t>https://captureandgo.cloudlab.zhaw.ch/uploads/image_e90a038388.jpg</t>
  </si>
  <si>
    <t>https://captureandgo.cloudlab.zhaw.ch/uploads/image_bfd8492c0e.jpg</t>
  </si>
  <si>
    <t>https://captureandgo.cloudlab.zhaw.ch/uploads/image_6041a76518.jpg</t>
  </si>
  <si>
    <t>https://captureandgo.cloudlab.zhaw.ch/uploads/image_a03e3db693.jpg</t>
  </si>
  <si>
    <t>https://captureandgo.cloudlab.zhaw.ch/uploads/image_004cbe811c.jpg</t>
  </si>
  <si>
    <t>https://captureandgo.cloudlab.zhaw.ch/uploads/image_05c795017b.jpg</t>
  </si>
  <si>
    <t>https://captureandgo.cloudlab.zhaw.ch/uploads/image_ba30abf8e8.jpg</t>
  </si>
  <si>
    <t>https://captureandgo.cloudlab.zhaw.ch/uploads/image_37e7bc08e5.jpg</t>
  </si>
  <si>
    <t>https://captureandgo.cloudlab.zhaw.ch/uploads/image_59bf4d4620.jpg</t>
  </si>
  <si>
    <t>https://captureandgo.cloudlab.zhaw.ch/uploads/image_1e8e3cab9c.jpg</t>
  </si>
  <si>
    <t>https://captureandgo.cloudlab.zhaw.ch/uploads/image_5f9e9666cd.jpg</t>
  </si>
  <si>
    <t>https://captureandgo.cloudlab.zhaw.ch/uploads/image_eb622a0b1a.jpg</t>
  </si>
  <si>
    <t>https://captureandgo.cloudlab.zhaw.ch/uploads/image_17ac00e297.jpg</t>
  </si>
  <si>
    <t>https://captureandgo.cloudlab.zhaw.ch/uploads/image_f27724d65f.jpg</t>
  </si>
  <si>
    <t>https://captureandgo.cloudlab.zhaw.ch/uploads/image_f52a33c1f7.jpg</t>
  </si>
  <si>
    <t>https://captureandgo.cloudlab.zhaw.ch/uploads/image_9bfa7018f4.jpg</t>
  </si>
  <si>
    <t>https://captureandgo.cloudlab.zhaw.ch/uploads/image_f6563660d7.jpg</t>
  </si>
  <si>
    <t>https://captureandgo.cloudlab.zhaw.ch/uploads/image_bba11e7e68.jpg</t>
  </si>
  <si>
    <t>https://captureandgo.cloudlab.zhaw.ch/uploads/image_e5444dd301.jpg</t>
  </si>
  <si>
    <t>https://captureandgo.cloudlab.zhaw.ch/uploads/image_b551ae7379.jpg</t>
  </si>
  <si>
    <t>https://captureandgo.cloudlab.zhaw.ch/uploads/image_b09dfb45d2.jpg</t>
  </si>
  <si>
    <t>https://captureandgo.cloudlab.zhaw.ch/uploads/image_7285811e7e.jpg</t>
  </si>
  <si>
    <t>https://captureandgo.cloudlab.zhaw.ch/uploads/image_ee6cd84ec4.jpg</t>
  </si>
  <si>
    <t>https://captureandgo.cloudlab.zhaw.ch/uploads/image_17563b2fda.jpg</t>
  </si>
  <si>
    <t>https://captureandgo.cloudlab.zhaw.ch/uploads/image_07d76729fb.jpg</t>
  </si>
  <si>
    <t>https://captureandgo.cloudlab.zhaw.ch/uploads/image_46b04a0681.jpg</t>
  </si>
  <si>
    <t>https://captureandgo.cloudlab.zhaw.ch/uploads/image_0bbbb76007.jpg</t>
  </si>
  <si>
    <t>https://captureandgo.cloudlab.zhaw.ch/uploads/image_d3ad4d1082.jpg</t>
  </si>
  <si>
    <t>https://captureandgo.cloudlab.zhaw.ch/uploads/image_93855129e8.jpg</t>
  </si>
  <si>
    <t>https://captureandgo.cloudlab.zhaw.ch/uploads/image_7718323138.jpg</t>
  </si>
  <si>
    <t>https://captureandgo.cloudlab.zhaw.ch/uploads/image_4f2a3f1ba5.jpg</t>
  </si>
  <si>
    <t>https://captureandgo.cloudlab.zhaw.ch/uploads/image_c48b894691.jpg</t>
  </si>
  <si>
    <t>https://captureandgo.cloudlab.zhaw.ch/uploads/image_149faac7c7.jpg</t>
  </si>
  <si>
    <t>Chorgasse</t>
  </si>
  <si>
    <t>2683638.1 1247604.6 419.8</t>
  </si>
  <si>
    <t>Pflastersteine</t>
  </si>
  <si>
    <t>2683649.3 1247596.3 420.2</t>
  </si>
  <si>
    <t>timeReporting</t>
  </si>
  <si>
    <t>timeWithPath</t>
  </si>
  <si>
    <t>Auf Verdacht messen, schwieriger als vor Ort, da ist es klarer, was Barriere ist. Wie 2 Strassenseiten erfassen/indizieren? Fokussiert auf Barrierentyp eignet sich besser</t>
  </si>
  <si>
    <t>comment Höhenmodell (zürich virtuell)</t>
  </si>
  <si>
    <t>invalid -&gt; error with server leading to 0 time to report</t>
  </si>
  <si>
    <t>TRUE</t>
  </si>
  <si>
    <t>https://captureandgo.cloudlab.zhaw.ch/uploads/image_6bea6fdbfd.jpg</t>
  </si>
  <si>
    <t>https://captureandgo.cloudlab.zhaw.ch/uploads/image_5697cab031.jpg</t>
  </si>
  <si>
    <t>https://captureandgo.cloudlab.zhaw.ch/uploads/image_2eeaafe0fb.jpg</t>
  </si>
  <si>
    <t>https://captureandgo.cloudlab.zhaw.ch/uploads/image_43008b892b.jpg</t>
  </si>
  <si>
    <t>https://captureandgo.cloudlab.zhaw.ch/uploads/image_cd3834f9ab.jpg</t>
  </si>
  <si>
    <t>https://captureandgo.cloudlab.zhaw.ch/uploads/image_6574041a87.jpg</t>
  </si>
  <si>
    <t>https://captureandgo.cloudlab.zhaw.ch/uploads/image_e4c603bfae.jpg</t>
  </si>
  <si>
    <t>https://captureandgo.cloudlab.zhaw.ch/uploads/image_96b6f999f2.jpg</t>
  </si>
  <si>
    <t>https://captureandgo.cloudlab.zhaw.ch/uploads/image_7155c90098.jpg</t>
  </si>
  <si>
    <t>https://captureandgo.cloudlab.zhaw.ch/uploads/image_1e7a046a38.jpg</t>
  </si>
  <si>
    <t>https://captureandgo.cloudlab.zhaw.ch/uploads/image_1415e00117.jpg</t>
  </si>
  <si>
    <t>20.07.22 12:13</t>
  </si>
  <si>
    <t>20.07.22 08:28</t>
  </si>
  <si>
    <t>13.07.22 10:23</t>
  </si>
  <si>
    <t>13.07.22 10:22</t>
  </si>
  <si>
    <t>05.07.22 12:04</t>
  </si>
  <si>
    <t>01.07.22 14:49</t>
  </si>
  <si>
    <t>25.06.22 12:11</t>
  </si>
  <si>
    <t>25.06.22 12:10</t>
  </si>
  <si>
    <t>24.06.22 09:23</t>
  </si>
  <si>
    <t>17.06.22 17:35</t>
  </si>
  <si>
    <t>17.06.22 17:06</t>
  </si>
  <si>
    <t>17.06.22 17:05</t>
  </si>
  <si>
    <t>27.07.22 11:10</t>
  </si>
  <si>
    <t>05.07.22 12:00</t>
  </si>
  <si>
    <t>01.07.22 17:08</t>
  </si>
  <si>
    <t>28.06.22 12:09</t>
  </si>
  <si>
    <t>27.07.22 11:07</t>
  </si>
  <si>
    <t>27.07.22 09:58</t>
  </si>
  <si>
    <t>28.06.22 11:58</t>
  </si>
  <si>
    <t>28.06.22 11:57</t>
  </si>
  <si>
    <t>24.06.22 09:29</t>
  </si>
  <si>
    <t>23.06.22 12:45</t>
  </si>
  <si>
    <t>23.06.22 12:44</t>
  </si>
  <si>
    <t>23.06.22 12:16</t>
  </si>
  <si>
    <t>13.06.22 15:54</t>
  </si>
  <si>
    <t>13.06.22 15:53</t>
  </si>
  <si>
    <t>20.07.22 09:44</t>
  </si>
  <si>
    <t>20.07.22 09:18</t>
  </si>
  <si>
    <t>07.07.22 12:15</t>
  </si>
  <si>
    <t>24.06.22 09:47</t>
  </si>
  <si>
    <t>22.07.22 10:27</t>
  </si>
  <si>
    <t>22.07.22 10:26</t>
  </si>
  <si>
    <t>25.06.22 12:00</t>
  </si>
  <si>
    <t>25.06.22 10:01</t>
  </si>
  <si>
    <t>13.06.22 15:59</t>
  </si>
  <si>
    <t>13.06.22 15:58</t>
  </si>
  <si>
    <t>lower cut-off point (10%)</t>
  </si>
  <si>
    <t>&lt; 1s</t>
  </si>
  <si>
    <t>removed cutoff points</t>
  </si>
  <si>
    <t>without invalid (&lt; 1s)</t>
  </si>
  <si>
    <t>removed cut-off points</t>
  </si>
  <si>
    <t>time to report with path</t>
  </si>
  <si>
    <t>22.07.22 10:08</t>
  </si>
  <si>
    <t>22.07.22 09:08</t>
  </si>
  <si>
    <t>20.07.22 12:15</t>
  </si>
  <si>
    <t>20.07.22 12:09</t>
  </si>
  <si>
    <t>20.07.22 12:08</t>
  </si>
  <si>
    <t>13.07.22 10:28</t>
  </si>
  <si>
    <t>13.07.22 09:39</t>
  </si>
  <si>
    <t>13.07.22 09:38</t>
  </si>
  <si>
    <t>11.07.22 10:34</t>
  </si>
  <si>
    <t>07.07.22 11:39</t>
  </si>
  <si>
    <t>05.07.22 12:03</t>
  </si>
  <si>
    <t>05.07.22 10:52</t>
  </si>
  <si>
    <t>05.07.22 10:51</t>
  </si>
  <si>
    <t>01.07.22 16:16</t>
  </si>
  <si>
    <t>28.06.22 12:16</t>
  </si>
  <si>
    <t>28.06.22 12:15</t>
  </si>
  <si>
    <t>28.06.22 12:10</t>
  </si>
  <si>
    <t>25.06.22 12:09</t>
  </si>
  <si>
    <t>24.06.22 09:34</t>
  </si>
  <si>
    <t>24.06.22 09:33</t>
  </si>
  <si>
    <t>24.06.22 09:32</t>
  </si>
  <si>
    <t>24.06.22 09:22</t>
  </si>
  <si>
    <t>24.06.22 09:21</t>
  </si>
  <si>
    <t>17.06.22 17:32</t>
  </si>
  <si>
    <t>17.06.22 17:31</t>
  </si>
  <si>
    <t>27.07.22 11:12</t>
  </si>
  <si>
    <t>22.07.22 10:23</t>
  </si>
  <si>
    <t>22.07.22 08:41</t>
  </si>
  <si>
    <t>20.07.22 08:58</t>
  </si>
  <si>
    <t>20.07.22 08:57</t>
  </si>
  <si>
    <t>11.07.22 11:35</t>
  </si>
  <si>
    <t>11.07.22 11:34</t>
  </si>
  <si>
    <t>11.07.22 11:32</t>
  </si>
  <si>
    <t>11.07.22 10:05</t>
  </si>
  <si>
    <t>11.07.22 10:04</t>
  </si>
  <si>
    <t>07.07.22 11:51</t>
  </si>
  <si>
    <t>07.07.22 11:50</t>
  </si>
  <si>
    <t>07.07.22 11:49</t>
  </si>
  <si>
    <t>07.07.22 11:42</t>
  </si>
  <si>
    <t>07.07.22 11:41</t>
  </si>
  <si>
    <t>07.07.22 11:31</t>
  </si>
  <si>
    <t>07.07.22 11:00</t>
  </si>
  <si>
    <t>07.07.22 10:59</t>
  </si>
  <si>
    <t>07.07.22 10:25</t>
  </si>
  <si>
    <t>07.07.22 10:24</t>
  </si>
  <si>
    <t>06.07.22 16:51</t>
  </si>
  <si>
    <t>06.07.22 15:50</t>
  </si>
  <si>
    <t>06.07.22 15:49</t>
  </si>
  <si>
    <t>06.07.22 14:19</t>
  </si>
  <si>
    <t>05.07.22 12:17</t>
  </si>
  <si>
    <t>05.07.22 12:16</t>
  </si>
  <si>
    <t>05.07.22 12:10</t>
  </si>
  <si>
    <t>05.07.22 12:09</t>
  </si>
  <si>
    <t>05.07.22 11:29</t>
  </si>
  <si>
    <t>05.07.22 11:28</t>
  </si>
  <si>
    <t>05.07.22 10:45</t>
  </si>
  <si>
    <t>05.07.22 10:44</t>
  </si>
  <si>
    <t>01.07.22 17:40</t>
  </si>
  <si>
    <t>01.07.22 16:38</t>
  </si>
  <si>
    <t>01.07.22 16:37</t>
  </si>
  <si>
    <t>01.07.22 16:21</t>
  </si>
  <si>
    <t>01.07.22 16:20</t>
  </si>
  <si>
    <t>01.07.22 15:06</t>
  </si>
  <si>
    <t>01.07.22 15:05</t>
  </si>
  <si>
    <t>01.07.22 15:01</t>
  </si>
  <si>
    <t>01.07.22 15:00</t>
  </si>
  <si>
    <t>25.06.22 11:35</t>
  </si>
  <si>
    <t>25.06.22 11:34</t>
  </si>
  <si>
    <t>13.06.22 16:26</t>
  </si>
  <si>
    <t>27.07.22 10:40</t>
  </si>
  <si>
    <t>27.07.22 10:39</t>
  </si>
  <si>
    <t>20.07.22 08:49</t>
  </si>
  <si>
    <t>20.07.22 08:48</t>
  </si>
  <si>
    <t>07.07.22 11:11</t>
  </si>
  <si>
    <t>05.07.22 10:16</t>
  </si>
  <si>
    <t>05.07.22 10:15</t>
  </si>
  <si>
    <t>28.06.22 12:46</t>
  </si>
  <si>
    <t>28.06.22 12:45</t>
  </si>
  <si>
    <t>28.06.22 11:56</t>
  </si>
  <si>
    <t>28.06.22 11:55</t>
  </si>
  <si>
    <t>28.06.22 11:21</t>
  </si>
  <si>
    <t>28.06.22 11:10</t>
  </si>
  <si>
    <t>23.06.22 12:43</t>
  </si>
  <si>
    <t>23.06.22 12:42</t>
  </si>
  <si>
    <t>13.06.22 18:00</t>
  </si>
  <si>
    <t>13.06.22 15:51</t>
  </si>
  <si>
    <t>10.06.22 16:29</t>
  </si>
  <si>
    <t>10.06.22 16:28</t>
  </si>
  <si>
    <t>27.07.22 10:04</t>
  </si>
  <si>
    <t>27.07.22 10:03</t>
  </si>
  <si>
    <t>27.07.22 09:20</t>
  </si>
  <si>
    <t>27.07.22 09:19</t>
  </si>
  <si>
    <t>22.07.22 10:52</t>
  </si>
  <si>
    <t>20.07.22 12:07</t>
  </si>
  <si>
    <t>20.07.22 12:06</t>
  </si>
  <si>
    <t>20.07.22 11:48</t>
  </si>
  <si>
    <t>20.07.22 11:42</t>
  </si>
  <si>
    <t>20.07.22 11:41</t>
  </si>
  <si>
    <t>20.07.22 11:34</t>
  </si>
  <si>
    <t>20.07.22 11:33</t>
  </si>
  <si>
    <t>20.07.22 10:14</t>
  </si>
  <si>
    <t>20.07.22 10:13</t>
  </si>
  <si>
    <t>20.07.22 09:43</t>
  </si>
  <si>
    <t>20.07.22 09:17</t>
  </si>
  <si>
    <t>20.07.22 08:41</t>
  </si>
  <si>
    <t>13.07.22 10:59</t>
  </si>
  <si>
    <t>13.07.22 10:49</t>
  </si>
  <si>
    <t>13.07.22 10:18</t>
  </si>
  <si>
    <t>13.07.22 10:17</t>
  </si>
  <si>
    <t>13.07.22 10:01</t>
  </si>
  <si>
    <t>13.07.22 09:52</t>
  </si>
  <si>
    <t>13.07.22 09:18</t>
  </si>
  <si>
    <t>11.07.22 11:58</t>
  </si>
  <si>
    <t>11.07.22 11:29</t>
  </si>
  <si>
    <t>11.07.22 09:52</t>
  </si>
  <si>
    <t>11.07.22 09:51</t>
  </si>
  <si>
    <t>07.07.22 12:20</t>
  </si>
  <si>
    <t>07.07.22 12:19</t>
  </si>
  <si>
    <t>07.07.22 11:37</t>
  </si>
  <si>
    <t>07.07.22 11:10</t>
  </si>
  <si>
    <t>07.07.22 11:08</t>
  </si>
  <si>
    <t>07.07.22 11:05</t>
  </si>
  <si>
    <t>07.07.22 11:04</t>
  </si>
  <si>
    <t>07.07.22 10:51</t>
  </si>
  <si>
    <t>07.07.22 10:14</t>
  </si>
  <si>
    <t>07.07.22 10:04</t>
  </si>
  <si>
    <t>07.07.22 10:03</t>
  </si>
  <si>
    <t>06.07.22 16:12</t>
  </si>
  <si>
    <t>06.07.22 15:41</t>
  </si>
  <si>
    <t>06.07.22 15:40</t>
  </si>
  <si>
    <t>06.07.22 14:10</t>
  </si>
  <si>
    <t>05.07.22 12:36</t>
  </si>
  <si>
    <t>05.07.22 12:35</t>
  </si>
  <si>
    <t>05.07.22 11:53</t>
  </si>
  <si>
    <t>05.07.22 11:37</t>
  </si>
  <si>
    <t>05.07.22 10:41</t>
  </si>
  <si>
    <t>05.07.22 10:39</t>
  </si>
  <si>
    <t>01.07.22 17:32</t>
  </si>
  <si>
    <t>01.07.22 17:24</t>
  </si>
  <si>
    <t>01.07.22 17:17</t>
  </si>
  <si>
    <t>01.07.22 17:14</t>
  </si>
  <si>
    <t>01.07.22 17:09</t>
  </si>
  <si>
    <t>01.07.22 16:12</t>
  </si>
  <si>
    <t>01.07.22 16:11</t>
  </si>
  <si>
    <t>01.07.22 16:08</t>
  </si>
  <si>
    <t>28.06.22 12:06</t>
  </si>
  <si>
    <t>28.06.22 11:26</t>
  </si>
  <si>
    <t>28.06.22 11:24</t>
  </si>
  <si>
    <t>25.06.22 10:40</t>
  </si>
  <si>
    <t>25.06.22 10:39</t>
  </si>
  <si>
    <t>24.06.22 10:07</t>
  </si>
  <si>
    <t>24.06.22 10:06</t>
  </si>
  <si>
    <t>23.06.22 12:32</t>
  </si>
  <si>
    <t>23.06.22 12:31</t>
  </si>
  <si>
    <t>23.06.22 12:24</t>
  </si>
  <si>
    <t>10.06.22 15:21</t>
  </si>
  <si>
    <t>10.06.22 15:20</t>
  </si>
  <si>
    <t>22.07.22 09:29</t>
  </si>
  <si>
    <t>22.07.22 09:21</t>
  </si>
  <si>
    <t>22.07.22 09:20</t>
  </si>
  <si>
    <t>22.07.22 09:03</t>
  </si>
  <si>
    <t>20.07.22 09:15</t>
  </si>
  <si>
    <t>20.07.22 08:42</t>
  </si>
  <si>
    <t>11.07.22 12:19</t>
  </si>
  <si>
    <t>11.07.22 10:33</t>
  </si>
  <si>
    <t>11.07.22 10:31</t>
  </si>
  <si>
    <t>06.07.22 15:39</t>
  </si>
  <si>
    <t>05.07.22 10:43</t>
  </si>
  <si>
    <t>05.07.22 10:42</t>
  </si>
  <si>
    <t>01.07.22 17:23</t>
  </si>
  <si>
    <t>28.06.22 11:02</t>
  </si>
  <si>
    <t>28.06.22 11:01</t>
  </si>
  <si>
    <t>25.06.22 12:40</t>
  </si>
  <si>
    <t>25.06.22 12:22</t>
  </si>
  <si>
    <t>25.06.22 10:08</t>
  </si>
  <si>
    <t>24.06.22 09:27</t>
  </si>
  <si>
    <t>23.06.22 12:52</t>
  </si>
  <si>
    <t>23.06.22 12:12</t>
  </si>
  <si>
    <t>23.06.22 11:47</t>
  </si>
  <si>
    <t>23.06.22 11:46</t>
  </si>
  <si>
    <t>23.06.22 11:43</t>
  </si>
  <si>
    <t>23.06.22 11:42</t>
  </si>
  <si>
    <t>23.06.22 11:41</t>
  </si>
  <si>
    <t>13.06.22 17:47</t>
  </si>
  <si>
    <t>only report time</t>
  </si>
  <si>
    <t>test - report barriers along specific road</t>
  </si>
  <si>
    <t>timeTotalInfra3D</t>
  </si>
  <si>
    <t>timeTotalDifferenceInfra3D</t>
  </si>
  <si>
    <t>timeFindOSM</t>
  </si>
  <si>
    <t>timeFindHöhenmodell</t>
  </si>
  <si>
    <t>timeReportHöhenmodell</t>
  </si>
  <si>
    <t>timeTotalHöhenmodell</t>
  </si>
  <si>
    <t>timeReportDifferenceHöhenmodell</t>
  </si>
  <si>
    <t>timeTotalDifferenceHöhenmodell</t>
  </si>
  <si>
    <t>timeReportOSM</t>
  </si>
  <si>
    <t>timeTotalOSM</t>
  </si>
  <si>
    <t>timeReportDifferenceOSM</t>
  </si>
  <si>
    <t>timeTotalDifferenceOSM</t>
  </si>
  <si>
    <t>measureDifferenceOSM</t>
  </si>
  <si>
    <t>errorOSM</t>
  </si>
  <si>
    <t>offline tool partially possible</t>
  </si>
  <si>
    <t>timeFindOther</t>
  </si>
  <si>
    <t>spaceLeftOther</t>
  </si>
  <si>
    <t>timeReportOther</t>
  </si>
  <si>
    <t>timeTotalOther</t>
  </si>
  <si>
    <t>timeReportDifferenceOther</t>
  </si>
  <si>
    <t>timeTotalDifferenceOther</t>
  </si>
  <si>
    <t>measureDifferenceOther</t>
  </si>
  <si>
    <t>errorOther</t>
  </si>
  <si>
    <t>https://captureandgo.cloudlab.zhaw.ch/uploads/image_3c93fd1d48.jpg</t>
  </si>
  <si>
    <t>https://captureandgo.cloudlab.zhaw.ch/uploads/image_b2f7c6baaa.jpg</t>
  </si>
  <si>
    <t>https://captureandgo.cloudlab.zhaw.ch/uploads/image_4ea574faf5.jpg</t>
  </si>
  <si>
    <t>https://captureandgo.cloudlab.zhaw.ch/uploads/image_3277c43941.jpg</t>
  </si>
  <si>
    <t>https://captureandgo.cloudlab.zhaw.ch/uploads/image_c4b25becec.jpg</t>
  </si>
  <si>
    <t>image_4ea574faf5.jpg</t>
  </si>
  <si>
    <t>image_3277c43941.jpg</t>
  </si>
  <si>
    <t>image_c99d485fbc.jpg</t>
  </si>
  <si>
    <t>image_fab5f899eb.jpg</t>
  </si>
  <si>
    <t>image_cdbcb30da0.jpg</t>
  </si>
  <si>
    <t>image_a95e26d087.jpg</t>
  </si>
  <si>
    <t>image_c4b25becec.jpg</t>
  </si>
  <si>
    <t>image_0dbfc1fad3.jpg</t>
  </si>
  <si>
    <t>image_522949da79.jpg</t>
  </si>
  <si>
    <t>image_22b723b877.jpg</t>
  </si>
  <si>
    <t>image_4f216f42b0.jpg</t>
  </si>
  <si>
    <t>image_afcaa3f3ab.jpg</t>
  </si>
  <si>
    <t>image_ba35088fc9.jpg</t>
  </si>
  <si>
    <t>image_1833212ecd.jpg</t>
  </si>
  <si>
    <t>image_830ddda15c.jpg</t>
  </si>
  <si>
    <t>image_22f69bbd11.jpg</t>
  </si>
  <si>
    <t>image_f6bc9d3b7f.jpg</t>
  </si>
  <si>
    <t>image_d3c00c8a50.jpg</t>
  </si>
  <si>
    <t>image_db7da66d48.jpg</t>
  </si>
  <si>
    <t>image_0cea7b2fea.jpg</t>
  </si>
  <si>
    <t>image_f1a5582920.jpg</t>
  </si>
  <si>
    <t>image_a36e6ef0bb.jpg</t>
  </si>
  <si>
    <t>image_77a8a27626.jpg</t>
  </si>
  <si>
    <t>image_f163e6f4b7.jpg</t>
  </si>
  <si>
    <t>image_c1f9ae3965.jpg</t>
  </si>
  <si>
    <t>image_15f88e6b8d.jpg</t>
  </si>
  <si>
    <t>image_10b45aa099.jpg</t>
  </si>
  <si>
    <t>image_5978296977.jpg</t>
  </si>
  <si>
    <t>image_10b591ef61.jpg</t>
  </si>
  <si>
    <t>image_1e99f85993.jpg</t>
  </si>
  <si>
    <t>image_d38a4c4bf4.jpg</t>
  </si>
  <si>
    <t>image_51d3b648b3.jpg</t>
  </si>
  <si>
    <t>image_8e5eef1485.jpg</t>
  </si>
  <si>
    <t>image_b2ee924824.jpg</t>
  </si>
  <si>
    <t>image_52cfbe018b.jpg</t>
  </si>
  <si>
    <t>image_31e6f81f3b.jpg</t>
  </si>
  <si>
    <t>image_7db5bb5de1.jpg</t>
  </si>
  <si>
    <t>image_0f3c4eab73.jpg</t>
  </si>
  <si>
    <t>image_7dd5039d16.jpg</t>
  </si>
  <si>
    <t>image_65f5d35a97.jpg</t>
  </si>
  <si>
    <t>image_e57143dd04.jpg</t>
  </si>
  <si>
    <t>image_e6436be012.jpg</t>
  </si>
  <si>
    <t>image_7ee329b7f0.jpg</t>
  </si>
  <si>
    <t>image_ff22712385.jpg</t>
  </si>
  <si>
    <t>image_f66725936e.jpg</t>
  </si>
  <si>
    <t>image_364fb167ea.jpg</t>
  </si>
  <si>
    <t>image_cc59af072c.jpg</t>
  </si>
  <si>
    <t>image_6e29e1e8af.jpg</t>
  </si>
  <si>
    <t>image_608efd541c.jpg</t>
  </si>
  <si>
    <t>image_c499bb8585.jpg</t>
  </si>
  <si>
    <t>image_70fa4783ee.jpg</t>
  </si>
  <si>
    <t>image_cdbba1c6f3.jpg</t>
  </si>
  <si>
    <t>image_f8fffbf238.jpg</t>
  </si>
  <si>
    <t>image_172b7e0c2c.jpg</t>
  </si>
  <si>
    <t>image_5423f2342f.jpg</t>
  </si>
  <si>
    <t>image_e57ee236d9.jpg</t>
  </si>
  <si>
    <t>image_5091d18f89.jpg</t>
  </si>
  <si>
    <t>image_8b2bad4219.jpg</t>
  </si>
  <si>
    <t>image_e9cea09bb7.jpg</t>
  </si>
  <si>
    <t>image_004cbe811c.jpg</t>
  </si>
  <si>
    <t>image_37e7bc08e5.jpg</t>
  </si>
  <si>
    <t>image_9bfa7018f4.jpg</t>
  </si>
  <si>
    <t>image_bba11e7e68.jpg</t>
  </si>
  <si>
    <t>image_46b04a0681.jpg</t>
  </si>
  <si>
    <t>image_d3ad4d1082.jpg</t>
  </si>
  <si>
    <t>image_17ac00e297.jpg</t>
  </si>
  <si>
    <t>image_f27724d65f.jpg</t>
  </si>
  <si>
    <t>image_f52a33c1f7.jpg</t>
  </si>
  <si>
    <t>image_46da3a6436.jpg</t>
  </si>
  <si>
    <t>image_874531f686.jpg</t>
  </si>
  <si>
    <t>image_2c6cb6178e.jpg</t>
  </si>
  <si>
    <t>image_0ab6363229.jpg</t>
  </si>
  <si>
    <t>image_fd7c6a3fe7.jpg</t>
  </si>
  <si>
    <t>image_6d0e7f8141.jpg</t>
  </si>
  <si>
    <t>image_015a214104.jpg</t>
  </si>
  <si>
    <t>image_e541d242a9.jpg</t>
  </si>
  <si>
    <t>image_a782fd7ad9.jpg</t>
  </si>
  <si>
    <t>image_3a36a6fc1c.jpg</t>
  </si>
  <si>
    <t>image_780eb1cba6.jpg</t>
  </si>
  <si>
    <t>image_3995456074.jpg</t>
  </si>
  <si>
    <t>image_7cb01dd3d4.jpg</t>
  </si>
  <si>
    <t>image_869703eed6.jpg</t>
  </si>
  <si>
    <t>image_879318b821.jpg</t>
  </si>
  <si>
    <t>image_433b81d2ef.jpg</t>
  </si>
  <si>
    <t>image_3b917887c0.jpg</t>
  </si>
  <si>
    <t>image_017c164eb9.jpg</t>
  </si>
  <si>
    <t>image_379e8166fb.jpg</t>
  </si>
  <si>
    <t>image_40b9be906b.jpg</t>
  </si>
  <si>
    <t>image_e4101216b8.jpg</t>
  </si>
  <si>
    <t>image_38bf99ba51.jpg</t>
  </si>
  <si>
    <t>image_e6171e66d9.jpg</t>
  </si>
  <si>
    <t>image_966307d892.jpg</t>
  </si>
  <si>
    <t>image_401537fc82.jpg</t>
  </si>
  <si>
    <t>image_45e731f7c1.jpg</t>
  </si>
  <si>
    <t>image_26646461ea.jpg</t>
  </si>
  <si>
    <t>image_1b6bcadc71.jpg</t>
  </si>
  <si>
    <t>image_c2c99c21f8.jpg</t>
  </si>
  <si>
    <t>image_8e23dd3ab0.jpg</t>
  </si>
  <si>
    <t>image_febb69cebe.jpg</t>
  </si>
  <si>
    <t>image_d1e661217b.jpg</t>
  </si>
  <si>
    <t>image_e722ed92a6.jpg</t>
  </si>
  <si>
    <t>image_f1881e7e92.jpg</t>
  </si>
  <si>
    <t>image_d606293a41.jpg</t>
  </si>
  <si>
    <t>image_5ee2f21502.jpg</t>
  </si>
  <si>
    <t>image_995278cffd.jpg</t>
  </si>
  <si>
    <t>image_956b0f3ece.jpg</t>
  </si>
  <si>
    <t>image_6ee71d4303.jpg</t>
  </si>
  <si>
    <t>image_f0ed631745.jpg</t>
  </si>
  <si>
    <t>image_f7507b3116.jpg</t>
  </si>
  <si>
    <t>image_d83939e561.jpg</t>
  </si>
  <si>
    <t>image_4f0cfc6621.jpg</t>
  </si>
  <si>
    <t>image_540c31de9c.jpg</t>
  </si>
  <si>
    <t>image_465878ac99.jpg</t>
  </si>
  <si>
    <t>image_fa8e3dc733.jpg</t>
  </si>
  <si>
    <t>image_02b5bfca19.jpg</t>
  </si>
  <si>
    <t>image_3312f32153.jpg</t>
  </si>
  <si>
    <t>image_ec6b5284cb.jpg</t>
  </si>
  <si>
    <t>image_7d73bca4f3.jpg</t>
  </si>
  <si>
    <t>image_9650fba4bd.jpg</t>
  </si>
  <si>
    <t>image_3d6971b4b6.jpg</t>
  </si>
  <si>
    <t>image_80308e4cfb.jpg</t>
  </si>
  <si>
    <t>image_7a558713ca.jpg</t>
  </si>
  <si>
    <t>image_2f09607a6f.jpg</t>
  </si>
  <si>
    <t>image_fdc1770439.jpg</t>
  </si>
  <si>
    <t>image_085331b128.jpg</t>
  </si>
  <si>
    <t>image_c277f1fbdf.jpg</t>
  </si>
  <si>
    <t>image_1c84883525.jpg</t>
  </si>
  <si>
    <t>image_name</t>
  </si>
  <si>
    <t xml:space="preserve">Barriere existiert nicht, deswegen ungültiger Vergleich; Identische Barriere </t>
  </si>
  <si>
    <t>Barriere existiert nicht, ungültig</t>
  </si>
  <si>
    <t>Barriere existiert nicht; ungültig</t>
  </si>
  <si>
    <t>widthOSM</t>
  </si>
  <si>
    <t>widthInfra3D</t>
  </si>
  <si>
    <t>width nicht messbar; instant reporting</t>
  </si>
  <si>
    <t>spaceToPassOSM</t>
  </si>
  <si>
    <t>timeBothOSM</t>
  </si>
  <si>
    <t>timeBothDifferenceOSM</t>
  </si>
  <si>
    <t>Tramschienen sind sichtbar aber nicht messbar; instant reporting</t>
  </si>
  <si>
    <t>Barrieren weder sichtbar noch messbar (nicht vorhanden); Reporting der Barrieren ist instant</t>
  </si>
  <si>
    <t>timeFindInfra3d</t>
  </si>
  <si>
    <t>spaceToPassInfra3d</t>
  </si>
  <si>
    <t>timeReportInfra3d</t>
  </si>
  <si>
    <t>timeBothInfra3d</t>
  </si>
  <si>
    <t>timeReportDifferenceInfra3d</t>
  </si>
  <si>
    <t>timeBothDifferenceInfra3d</t>
  </si>
  <si>
    <t>measureDifferenceInfra3d</t>
  </si>
  <si>
    <t>errorInfra3d</t>
  </si>
  <si>
    <t>1 gate nicht auffindbar/erreichbar und 1 gate sehr schwer messbar; keine Vergleichswerte aus C&amp;G</t>
  </si>
  <si>
    <t>heightInfra3D</t>
  </si>
  <si>
    <t>detourInfra3D</t>
  </si>
  <si>
    <t>y</t>
  </si>
  <si>
    <t>n</t>
  </si>
  <si>
    <t>2 kerbs nicht zugänglich/messbar</t>
  </si>
  <si>
    <t>measureDifferenceNumberOfStepsOSM</t>
  </si>
  <si>
    <t>accuracyNumberOfStepsOSM</t>
  </si>
  <si>
    <t>errorNumberOfStepsOSM</t>
  </si>
  <si>
    <t>accuracyAverageAllOSM</t>
  </si>
  <si>
    <t>numberOfStepsOSM</t>
  </si>
  <si>
    <t>stepHeightOSM</t>
  </si>
  <si>
    <t>rampOSM</t>
  </si>
  <si>
    <t>measureDifferenceStepHeightOSM</t>
  </si>
  <si>
    <t>accuracyStepHeightOSM</t>
  </si>
  <si>
    <t>errorAverageAllOSM</t>
  </si>
  <si>
    <t>errorStepHeightOSM</t>
  </si>
  <si>
    <t>Untergründe und Steigungen teilweise im OSM erfasst (z.B. Pflasterstein 62bacb764e78270019b4e443); Steigung in Prozent für manche Strassen (z.B. Chorgasse)</t>
  </si>
  <si>
    <t>accuracyRampOSM</t>
  </si>
  <si>
    <t>errorRampOSM</t>
  </si>
  <si>
    <t>Zeit viel geringer aber nur da viele Treppen gar nicht messbar/keine Details (nur 1/5 Messbar); stepHeight nie messbar; wenn numberOfSteps &amp; ramp vorhanden, dann sehr akkurat; einige Treppen nicht auffindbar, wenn z.B. Teil vom Weg oder Rolltreppe</t>
  </si>
  <si>
    <t>Barriere existiert noch nicht</t>
  </si>
  <si>
    <t>Treppen teilweise nicht erreichbar zum Messen, daher Zeit viel geringer; 1 Treppe nicht erreichbar da Baustelle im Infra3D</t>
  </si>
  <si>
    <t>numberOfStepsInfra3d</t>
  </si>
  <si>
    <t>stepHeightInfra3d</t>
  </si>
  <si>
    <t>rampInfra3d</t>
  </si>
  <si>
    <t>measureDifferenceNumberOfStepsInfra3d</t>
  </si>
  <si>
    <t>measureDifferenceStepHeightInfra3d</t>
  </si>
  <si>
    <t>accuracyNumberOfStepsInfra3d</t>
  </si>
  <si>
    <t>accuracyStepHeightInfra3d</t>
  </si>
  <si>
    <t>accuracyRampInfra3d</t>
  </si>
  <si>
    <t>accuracyAverageAllInfra3d</t>
  </si>
  <si>
    <t>errorNumberOfStepsInfra3d</t>
  </si>
  <si>
    <t>errorStepHeightInfra3d</t>
  </si>
  <si>
    <t>errorRampInfra3d</t>
  </si>
  <si>
    <t>errorAverageAllInfra3d</t>
  </si>
  <si>
    <t>endDateOther</t>
  </si>
  <si>
    <t>timeBothOther</t>
  </si>
  <si>
    <t>timeBothDifferenceOther</t>
  </si>
  <si>
    <t>sum/average</t>
  </si>
  <si>
    <t>measureDifferenceSpaceLeftOther</t>
  </si>
  <si>
    <t>accuracySpaceLeftOther</t>
  </si>
  <si>
    <t>accuracyEndDateOther</t>
  </si>
  <si>
    <t>errorSpaceLeftOther</t>
  </si>
  <si>
    <t>errorEndDateOther</t>
  </si>
  <si>
    <t>errorAverageAllOther</t>
  </si>
  <si>
    <t>accuracyAverageAllOther</t>
  </si>
  <si>
    <t>.</t>
  </si>
  <si>
    <t>Keine Baustelle gefunden</t>
  </si>
  <si>
    <t>differenceSpaceLeftInfra3D</t>
  </si>
  <si>
    <t>accuracySpaceLeftInfra3D</t>
  </si>
  <si>
    <t>errorSpaceLeftInfra3D</t>
  </si>
  <si>
    <t>errorEndDateInfra3D</t>
  </si>
  <si>
    <t>endDateInfra3D</t>
  </si>
  <si>
    <t>accuracyEndDateInfra3D</t>
  </si>
  <si>
    <t>Barriere existiert nicht</t>
  </si>
  <si>
    <t>Barriere existiert nicht; andere Barriere</t>
  </si>
  <si>
    <t>Barriere nicht erreichbar</t>
  </si>
  <si>
    <t>keine Baustelle</t>
  </si>
  <si>
    <t>nicht gefunden</t>
  </si>
  <si>
    <t>Viele Barrieren (spezifisch Baustellen) existieren nicht. Aber die gefundenen Barrieren können ziemlich akkurat gemessen werden.</t>
  </si>
  <si>
    <t>Barrieren nicht messbar, deswegen accuracy = 0%; Accuracy wäre 100% wenn es nur ums aufinden der Barrieren geht; Reporting der Barrieren ist instant</t>
  </si>
  <si>
    <t>barrierFound</t>
  </si>
  <si>
    <t>barrierMeasurable</t>
  </si>
  <si>
    <t>of all samples</t>
  </si>
  <si>
    <t>only barriers found</t>
  </si>
  <si>
    <t>of all found samples</t>
  </si>
  <si>
    <t>barrierFoundOSM</t>
  </si>
  <si>
    <t>barrierFoundInfra3D</t>
  </si>
  <si>
    <t>barrierMesurableInfra3D</t>
  </si>
  <si>
    <t>barrierMeasurableInfra3D</t>
  </si>
  <si>
    <t>of all found &amp; measurable barriers</t>
  </si>
  <si>
    <t>ComparisonInfra3D</t>
  </si>
  <si>
    <t>ComparisonOther</t>
  </si>
  <si>
    <t>sumTimeC&amp;GOSM</t>
  </si>
  <si>
    <t>sumTimeC&amp;GOInfra3D</t>
  </si>
  <si>
    <t>sumTimeC&amp;GOHöhenmodell</t>
  </si>
  <si>
    <t>sumTimeC&amp;GOOther</t>
  </si>
  <si>
    <t>barrierMeasurableOSM</t>
  </si>
  <si>
    <t>comparisonOSM</t>
  </si>
  <si>
    <t>comparisonInfra3D</t>
  </si>
  <si>
    <t>barrierFoundHöhenmodell</t>
  </si>
  <si>
    <t>barrierMeasurableHöhenmodell</t>
  </si>
  <si>
    <t>of samples</t>
  </si>
  <si>
    <t>of found samples</t>
  </si>
  <si>
    <t>of found &amp; measurable barriers</t>
  </si>
  <si>
    <t>barrierMeasurablehöhenmodel</t>
  </si>
  <si>
    <t>barrierFoundOther</t>
  </si>
  <si>
    <t>barrierMeasurableOther</t>
  </si>
  <si>
    <t>runningSlopeAccuracyOSM</t>
  </si>
  <si>
    <t>runningSlopeErrorOSM</t>
  </si>
  <si>
    <t>runningSlopeOSM</t>
  </si>
  <si>
    <t>runningSlopeInfra3D</t>
  </si>
  <si>
    <t>crossSlopeInfra3D</t>
  </si>
  <si>
    <t>runningSlopeDifferenceInfra3D</t>
  </si>
  <si>
    <t>runningSlopeAccuracyInfra3D</t>
  </si>
  <si>
    <t>runningSlopeErrorInfra3D</t>
  </si>
  <si>
    <t>crossSlopeDifferenceInfra3D</t>
  </si>
  <si>
    <t>crossSlopeAccuracyInfra3D</t>
  </si>
  <si>
    <t>crossSlopeErrorInfra3D</t>
  </si>
  <si>
    <t>runningSlopeHöhenmodell</t>
  </si>
  <si>
    <t>crossSlopeHöhenmodell</t>
  </si>
  <si>
    <t>runningSlopeDifferenceHöhenmodell</t>
  </si>
  <si>
    <t>runningSlopeAccuracyHöhenmodell</t>
  </si>
  <si>
    <t>runningSlopeErrorHöhenmodell</t>
  </si>
  <si>
    <t>crossSlopeDifferenceHöhenmodell</t>
  </si>
  <si>
    <t>crossSlopeAccuracyHöhenmodell</t>
  </si>
  <si>
    <t>crossSlopeErrorHöhenmodell</t>
  </si>
  <si>
    <t>surfaceOSM</t>
  </si>
  <si>
    <t>surfaceAccuracyOSM</t>
  </si>
  <si>
    <t>surfaceErrorOSM</t>
  </si>
  <si>
    <t>surfaceInfra3D</t>
  </si>
  <si>
    <t>surfaceAccuracyInfra3D</t>
  </si>
  <si>
    <t>surfaceErrorInfra3D</t>
  </si>
  <si>
    <t>Comparison OSM</t>
  </si>
  <si>
    <t>Comparison Höhenmodell</t>
  </si>
  <si>
    <t>Comparion Infra3D</t>
  </si>
  <si>
    <t>asphalt</t>
  </si>
  <si>
    <t>sett</t>
  </si>
  <si>
    <t>keine Angaben</t>
  </si>
  <si>
    <t>barrierFoundInfra3d</t>
  </si>
  <si>
    <t>barrierMeasurableInfra3d</t>
  </si>
  <si>
    <t>inclineOSM</t>
  </si>
  <si>
    <t>heightRunningSlopeInfra3D</t>
  </si>
  <si>
    <t>lengthRunningSlopeInfra3D</t>
  </si>
  <si>
    <t>heightCrossSlopeInfra3D</t>
  </si>
  <si>
    <t>lengthCrossSlopeInfra3D</t>
  </si>
  <si>
    <t>cobblestone</t>
  </si>
  <si>
    <t>verifiable barriers</t>
  </si>
  <si>
    <t>surface / incline</t>
  </si>
  <si>
    <t>fine_gravel</t>
  </si>
  <si>
    <t>paving_stones</t>
  </si>
  <si>
    <t>paved</t>
  </si>
  <si>
    <t>sum only for measured</t>
  </si>
  <si>
    <t>problematic_way (surface)</t>
  </si>
  <si>
    <t>N/A</t>
  </si>
  <si>
    <t>osm</t>
  </si>
  <si>
    <t>infra</t>
  </si>
  <si>
    <t>ComparisonSurfaceOSM</t>
  </si>
  <si>
    <t>ComparisonSlopeOSM</t>
  </si>
  <si>
    <t>ComparisonOSM</t>
  </si>
  <si>
    <t>infra3d</t>
  </si>
  <si>
    <t>measurable -&gt; either surface or incline given by OSM</t>
  </si>
  <si>
    <t>problematic_way (running slope)</t>
  </si>
  <si>
    <t>problematic_way (cross slope)</t>
  </si>
  <si>
    <t>empty = asphalt/no barrier</t>
  </si>
  <si>
    <t>cannot reach barrier</t>
  </si>
  <si>
    <t>oberfläche, wie z.B., kies schwierig zu erkennen.</t>
  </si>
  <si>
    <t>construction, cannot reach barrier</t>
  </si>
  <si>
    <t>slope not measurable</t>
  </si>
  <si>
    <t>surface/slope</t>
  </si>
  <si>
    <t>ComparionInfra3D</t>
  </si>
  <si>
    <t>ComparionSurfaceInfra3D</t>
  </si>
  <si>
    <t>ComparisonRunningSlopeInfra3D</t>
  </si>
  <si>
    <t>ComparisonCrossSlopeInfra3D</t>
  </si>
  <si>
    <t>surfaceFoundOSM</t>
  </si>
  <si>
    <t>inclineFoundOSM</t>
  </si>
  <si>
    <t>surfaceFoundInfra3D</t>
  </si>
  <si>
    <t>runningSlopeFoundInfra3D</t>
  </si>
  <si>
    <t>crossSlopeFoundInfra3D</t>
  </si>
  <si>
    <t>runningSlopeFoundHöhenmodell</t>
  </si>
  <si>
    <t>crossSlopeFoundHöhenmodell</t>
  </si>
  <si>
    <t>horizontalCrossSlopeHöhenmodell</t>
  </si>
  <si>
    <t>vertikalCrossSlopeHöhenmodell</t>
  </si>
  <si>
    <t>horizontalRunningSlopeHöhenmodell</t>
  </si>
  <si>
    <t>vertikalRunningSlopeHöhenmodell</t>
  </si>
  <si>
    <t>ComparisonRunningSlopeHöhenmodell</t>
  </si>
  <si>
    <t>ComparisonCrossSlopeHöhenmodell</t>
  </si>
  <si>
    <t>ComparisonHöhenmodell</t>
  </si>
  <si>
    <t>Annahme bei C&amp;G, keine surface = keine barriere; found -&gt; surface barrier found of all surfaces reported by C&amp;G</t>
  </si>
  <si>
    <t>found -&gt; (incline) barriers found of all incline barriers reported by C&amp;G</t>
  </si>
  <si>
    <t>surface barriers found of all surfaces reported by C&amp;G; Annahme C&amp;G, keine surface = asphalt/no barrier</t>
  </si>
  <si>
    <t>running slope barriers found of all running slope barriers reported by C&amp;G</t>
  </si>
  <si>
    <t>cross slope barriers found of all cross slope barriers reported by C&amp;G</t>
  </si>
  <si>
    <t>time low - only 1 barrier reports all three barrier types (surface + both slopes)</t>
  </si>
  <si>
    <t>surface nicht "messbar"</t>
  </si>
  <si>
    <t>Barrier wird durch Gebäude verdeckt</t>
  </si>
  <si>
    <t>Fussgängerwege nicht sichtbar wie im OSM -&gt; Barrieren wie #786 schwierig zu finden/messen; surface nicht "messbar"</t>
  </si>
  <si>
    <t>spaceLeftInfra3d</t>
  </si>
  <si>
    <t>endDateInfra3d</t>
  </si>
  <si>
    <t>measureDifferenceSpaceLeftInfra3d</t>
  </si>
  <si>
    <t>accuracySpaceLeftInfra3d</t>
  </si>
  <si>
    <t>accuracyEndDateInfra3d</t>
  </si>
  <si>
    <t>errorSpaceLeftInfra3d</t>
  </si>
  <si>
    <t>errorEndDateInfra3d</t>
  </si>
  <si>
    <t>Wenn keine Baustelle, Möglichkeit zu finden und auch gut zu messen</t>
  </si>
  <si>
    <t>Keine Baustelle gefunden; wenn keine Baustelle, dann sowieso nicht auffindbar und messbar</t>
  </si>
  <si>
    <t>temporary (TRUE/FALSE)</t>
  </si>
  <si>
    <t>removeable (TRUE/FALSE)</t>
  </si>
  <si>
    <t>detour (TRUE/FALSE)</t>
  </si>
  <si>
    <t>tool</t>
  </si>
  <si>
    <t>height (kerb)</t>
  </si>
  <si>
    <t>numberOfSteps (stair)</t>
  </si>
  <si>
    <t>stepHeight (stair)</t>
  </si>
  <si>
    <t>wheelchairRamp (TRUE/FALSE)</t>
  </si>
  <si>
    <t>width (cross drain)</t>
  </si>
  <si>
    <t>verticalRunning</t>
  </si>
  <si>
    <t>horizontalRunning</t>
  </si>
  <si>
    <t>horizontalCross</t>
  </si>
  <si>
    <t>verticalCross</t>
  </si>
  <si>
    <t>47,3804459, 8,5426776</t>
  </si>
  <si>
    <t>lowered</t>
  </si>
  <si>
    <t>47,3804656, 8,5427518</t>
  </si>
  <si>
    <t>47,3811938, 8,5417831</t>
  </si>
  <si>
    <t>47,3813477, 8,5421109</t>
  </si>
  <si>
    <t>47,3822764, 8,5417393</t>
  </si>
  <si>
    <t>47,3828163, 8,5414092</t>
  </si>
  <si>
    <t>47,3833638, 8,5409285</t>
  </si>
  <si>
    <t>47,3838636, 8,5404483</t>
  </si>
  <si>
    <t>47,3842761, 8,5401011</t>
  </si>
  <si>
    <t>47,3852940, 8,5398939</t>
  </si>
  <si>
    <t>47,3859355, 8,5397156</t>
  </si>
  <si>
    <t>47,3864168, 8,5397404</t>
  </si>
  <si>
    <t>47,3868140, 8,5396821</t>
  </si>
  <si>
    <t>47,3872753, 8,5396198</t>
  </si>
  <si>
    <t>47,3878681, 8,5393942</t>
  </si>
  <si>
    <t>47,3885341, 8,5390807</t>
  </si>
  <si>
    <t>47,3882511, 8,5391113</t>
  </si>
  <si>
    <t>Unterstand</t>
  </si>
  <si>
    <t>47,3860115, 8,5399176</t>
  </si>
  <si>
    <t>Hydrant</t>
  </si>
  <si>
    <t>47,3841409, 8,5403318</t>
  </si>
  <si>
    <t>47,3837859, 8,5407536</t>
  </si>
  <si>
    <t>Fahrradstellplatz</t>
  </si>
  <si>
    <t>47,3828395, 8,5415179</t>
  </si>
  <si>
    <t>47,3821457, 8,5419030</t>
  </si>
  <si>
    <t>Brunnen</t>
  </si>
  <si>
    <t>47,3818018, 8,5419882</t>
  </si>
  <si>
    <t>47,3814588, 8,5423925</t>
  </si>
  <si>
    <t>47,3813818, 8,5422563</t>
  </si>
  <si>
    <t>https://drive.google.com/drive/folders/1Ee20ELZmWFkyeLBQlucDCD7JXddGjMwa?usp=sharing</t>
  </si>
  <si>
    <t>Strecke</t>
  </si>
  <si>
    <t>Other (Baustellen)</t>
  </si>
  <si>
    <t>pathTime</t>
  </si>
  <si>
    <t>Stampfenbachplatz bis Wasserwerkstrasse</t>
  </si>
  <si>
    <t>Wasserwerkstrasse bis Beckenhofstrasse</t>
  </si>
  <si>
    <t>Beckenhofstrasse bis Georgengasse</t>
  </si>
  <si>
    <t>Sumatrasteig oberhalb (Richtung Sumatrastrasse)</t>
  </si>
  <si>
    <t>Sumatrasteig unterhalb (Richtung Walchestrasse)</t>
  </si>
  <si>
    <t>Georgengasse bis Röslistrasse</t>
  </si>
  <si>
    <t>Röslistrasse bis Meinhardstrasse</t>
  </si>
  <si>
    <t>47,3802737, 8,5426515</t>
  </si>
  <si>
    <t>47,3837057, 8,5404887</t>
  </si>
  <si>
    <t>47,3840898, 8,5405194</t>
  </si>
  <si>
    <t>Baum</t>
  </si>
  <si>
    <t>https://www.infra3d.ch/latest/?imageKey=ZGF0ZW5iYXNpc0BtZXRhX2NoX3p1ZXJpY2hfdjMvMTQ2NzQtMg==&amp;pointto={"type":"panzoom","zoom":0.65,"panX":18,"panY":-11}</t>
  </si>
  <si>
    <t>https://www.infra3d.ch/latest/?imageKey=ZGF0ZW5iYXNpc0BtZXRhX2NoX3p1ZXJpY2hfdjMvMjExMDctMg==&amp;pointto={"type":"panzoom","zoom":0.65,"panX":117,"panY":-26}</t>
  </si>
  <si>
    <t>https://www.infra3d.ch/latest/?imageKey=ZGF0ZW5iYXNpc0BtZXRhX2NoX3p1ZXJpY2hfdjMvMjc1MzAtMA==&amp;pointto={"type":"pano","lat":-8,"lon":-259,"fov":70}</t>
  </si>
  <si>
    <t>https://www.infra3d.ch/latest/?imageKey=ZGF0ZW5iYXNpc0BtZXRhX2NoX3p1ZXJpY2hfdjMvMTUwNDctMTA=&amp;pointto={"type":"panzoom","zoom":0.65,"panX":0,"panY":0}</t>
  </si>
  <si>
    <t>2 Schilder</t>
  </si>
  <si>
    <t>https://www.infra3d.ch/latest/?imageKey=ZGF0ZW5iYXNpc0BtZXRhX2NoX3p1ZXJpY2hfdjMvMTkxODYtMjQ=&amp;pointto={"type":"panzoom","zoom":0.65,"panX":0,"panY":0}</t>
  </si>
  <si>
    <t>https://www.infra3d.ch/latest/?imageKey=ZGF0ZW5iYXNpc0BtZXRhX2NoX3p1ZXJpY2hfdjMvMTkxODYtMQ==&amp;pointto={"type":"panzoom","zoom":0.65,"panX":47,"panY":-24}</t>
  </si>
  <si>
    <t>https://www.infra3d.ch/latest/?imageKey=ZGF0ZW5iYXNpc0BtZXRhX2NoX3p1ZXJpY2hfdjMvMjU2MDctMQ==&amp;pointto={"type":"pano","lat":-9,"lon":-242,"fov":71}</t>
  </si>
  <si>
    <t>https://www.infra3d.ch/latest/?imageKey=ZGF0ZW5iYXNpc0BtZXRhX2NoX3p1ZXJpY2hfdjMvMTkxODMtMzU=&amp;pointto={"type":"panzoom","zoom":0.65,"panX":133,"panY":-9}</t>
  </si>
  <si>
    <t>https://www.infra3d.ch/latest/?imageKey=ZGF0ZW5iYXNpc0BtZXRhX2NoX3p1ZXJpY2hfdjMvMTkxODMtMTc=&amp;pointto={"type":"panzoom","zoom":0.65,"panX":0,"panY":0}</t>
  </si>
  <si>
    <t>https://www.infra3d.ch/latest/?imageKey=ZGF0ZW5iYXNpc0BtZXRhX2NoX3p1ZXJpY2hfdjMvMTI3NTktNQ==&amp;pointto={"type":"panzoom","zoom":0.65,"panX":0,"panY":0}</t>
  </si>
  <si>
    <t>Blumentopf</t>
  </si>
  <si>
    <t>https://www.infra3d.ch/latest/?imageKey=ZGF0ZW5iYXNpc0BtZXRhX2NoX3p1ZXJpY2hfdjMvMTkxODItNQ==&amp;pointto={"type":"panzoom","zoom":0.65,"panX":0,"panY":0}</t>
  </si>
  <si>
    <t>https://www.infra3d.ch/latest/?imageKey=ZGF0ZW5iYXNpc0BtZXRhX2NoX3p1ZXJpY2hfdjMvMjU2MDEtMTU=&amp;pointto={"type":"pano","lat":2,"lon":-315,"fov":71}</t>
  </si>
  <si>
    <t>https://www.infra3d.ch/latest/?imageKey=ZGF0ZW5iYXNpc0BtZXRhX2NoX3p1ZXJpY2hfdjMvMTkxNzctMjM=&amp;pointto={"type":"panzoom","zoom":0.65,"panX":54,"panY":-19}</t>
  </si>
  <si>
    <t>https://www.infra3d.ch/latest/?imageKey=ZGF0ZW5iYXNpc0BtZXRhX2NoX3p1ZXJpY2hfdjMvMTkxNzctMQ==&amp;pointto={"type":"panzoom","zoom":0.65,"panX":0,"panY":0}</t>
  </si>
  <si>
    <t>https://www.infra3d.ch/latest/?imageKey=ZGF0ZW5iYXNpc0BtZXRhX2NoX3p1ZXJpY2hfdjMvMTI3NTItMTc=&amp;pointto={"type":"panzoom","zoom":0.65,"panX":0,"panY":0}</t>
  </si>
  <si>
    <t>https://www.infra3d.ch/latest/?imageKey=ZGF0ZW5iYXNpc0BtZXRhX2NoX3p1ZXJpY2hfdjMvMTkxNzUtNg==&amp;pointto={"type":"panzoom","zoom":0.65,"panX":0,"panY":0}</t>
  </si>
  <si>
    <t>https://www.infra3d.ch/latest/?imageKey=ZGF0ZW5iYXNpc0BtZXRhX2NoX3p1ZXJpY2hfdjMvMTI3NjUtMjQ=&amp;pointto={"type":"panzoom","zoom":0.65,"panX":-54,"panY":26}</t>
  </si>
  <si>
    <t>Mast und Zaunecke</t>
  </si>
  <si>
    <t>https://www.infra3d.ch/latest/?imageKey=ZGF0ZW5iYXNpc0BtZXRhX2NoX3p1ZXJpY2hfdjMvMzE3MC0xNA==&amp;pointto={"type":"panzoom","zoom":0.61,"panX":-100,"panY":9}</t>
  </si>
  <si>
    <t>Auto mit Anhänger parkiert</t>
  </si>
  <si>
    <t>https://www.infra3d.ch/latest/?imageKey=ZGF0ZW5iYXNpc0BtZXRhX2NoX3p1ZXJpY2hfdjMvNDQyOS0zNw==&amp;pointto={"type":"pano","lat":-4,"lon":-259,"fov":70}</t>
  </si>
  <si>
    <t>Auto parkiert</t>
  </si>
  <si>
    <t>https://www.infra3d.ch/latest/?imageKey=ZGF0ZW5iYXNpc0BtZXRhX2NoX3p1ZXJpY2hfdjMvNjQ3LTE=&amp;pointto={"type":"panzoom","zoom":0.65,"panX":0,"panY":0}</t>
  </si>
  <si>
    <t>https://www.infra3d.ch/latest/?imageKey=ZGF0ZW5iYXNpc0BtZXRhX2NoX3p1ZXJpY2hfdjMvNjQ2LTM3&amp;pointto={"type":"panzoom","zoom":0.65,"panX":0,"panY":0}</t>
  </si>
  <si>
    <t>https://www.infra3d.ch/latest/?imageKey=ZGF0ZW5iYXNpc0BtZXRhX2NoX3p1ZXJpY2hfdjMvMzE2OC0xNA==&amp;pointto={"type":"panzoom","zoom":0.61,"panX":-106,"panY":-10}</t>
  </si>
  <si>
    <t>Lastwagen parkiert</t>
  </si>
  <si>
    <t>https://www.infra3d.ch/latest/?imageKey=ZGF0ZW5iYXNpc0BtZXRhX2NoX3p1ZXJpY2hfdjMvMTkwNy0yOQ==&amp;pointto={"type":"panzoom","zoom":0.65,"panX":-33,"panY":-14}</t>
  </si>
  <si>
    <t>https://www.infra3d.ch/latest/?imageKey=ZGF0ZW5iYXNpc0BtZXRhX2NoX3p1ZXJpY2hfdjMvMTUwNDctMTk=&amp;pointto={"type":"panzoom","zoom":0.65,"panX":0,"panY":0}</t>
  </si>
  <si>
    <t>https://www.infra3d.ch/latest/?imageKey=ZGF0ZW5iYXNpc0BtZXRhX2NoX3p1ZXJpY2hfdjMvMzE3My0z&amp;pointto={"type":"panzoom","zoom":0.61,"panX":91,"panY":12}</t>
  </si>
  <si>
    <t>https://www.infra3d.ch/latest/?imageKey=ZGF0ZW5iYXNpc0BtZXRhX2NoX3p1ZXJpY2hfdjMvMTI3NTgtOA==&amp;pointto={"type":"panzoom","zoom":0.65,"panX":0,"panY":0}</t>
  </si>
  <si>
    <t>https://www.infra3d.ch/latest/?imageKey=ZGF0ZW5iYXNpc0BtZXRhX2NoX3p1ZXJpY2hfdjMvMzIwNDEtOQ==&amp;pointto={"type":"panzoom","zoom":0.61,"panX":0,"panY":0}</t>
  </si>
  <si>
    <t>https://www.infra3d.ch/latest/?imageKey=ZGF0ZW5iYXNpc0BtZXRhX2NoX3p1ZXJpY2hfdjMvNDUyNC0w&amp;pointto={"type":"pano","lat":0,"lon":-271,"fov":68}</t>
  </si>
  <si>
    <t>https://www.infra3d.ch/latest/?imageKey=ZGF0ZW5iYXNpc0BtZXRhX2NoX3p1ZXJpY2hfdjMvNzQxLTM=&amp;pointto={"type":"panzoom","zoom":0.65,"panX":0,"panY":0}</t>
  </si>
  <si>
    <t>https://www.infra3d.ch/latest/?imageKey=ZGF0ZW5iYXNpc0BtZXRhX2NoX3p1ZXJpY2hfdjMvNDUyNC0w&amp;pointto={"type":"pano","lat":-16,"lon":-99,"fov":68}</t>
  </si>
  <si>
    <t>grün = keine Barriere (laut Messung barrierefrei)</t>
  </si>
  <si>
    <t>631c8d2add17ba3a762e1851</t>
  </si>
  <si>
    <t>image/jpeg</t>
  </si>
  <si>
    <t>public/images/images-1662815530303-572237075.jpg</t>
  </si>
  <si>
    <t>images-1662815530303-572237075.jpg</t>
  </si>
  <si>
    <t>631c50dfdd17ba3a762e0df3</t>
  </si>
  <si>
    <t>Point</t>
  </si>
  <si>
    <t>631c8d1fdd17ba3a762e1842</t>
  </si>
  <si>
    <t>631c8cdddd17ba3a762e182e</t>
  </si>
  <si>
    <t>public/images/images-1662815453948-923310117.jpg</t>
  </si>
  <si>
    <t>images-1662815453948-923310117.jpg</t>
  </si>
  <si>
    <t>631c8cd8dd17ba3a762e181f</t>
  </si>
  <si>
    <t>631c8c70dd17ba3a762e180b</t>
  </si>
  <si>
    <t>public/images/images-1662815344832-997259990.jpg</t>
  </si>
  <si>
    <t>images-1662815344832-997259990.jpg</t>
  </si>
  <si>
    <t>631c8c67dd17ba3a762e17fc</t>
  </si>
  <si>
    <t>631c8c59dd17ba3a762e17e8</t>
  </si>
  <si>
    <t>public/images/images-1662815321181-694016023.jpg</t>
  </si>
  <si>
    <t>images-1662815321181-694016023.jpg</t>
  </si>
  <si>
    <t>brunnen</t>
  </si>
  <si>
    <t>631c8c48dd17ba3a762e17d9</t>
  </si>
  <si>
    <t>631c8c1fdd17ba3a762e17c5</t>
  </si>
  <si>
    <t>public/images/images-1662815263197-424902100.jpg</t>
  </si>
  <si>
    <t>images-1662815263197-424902100.jpg</t>
  </si>
  <si>
    <t>631c8c19dd17ba3a762e17b6</t>
  </si>
  <si>
    <t>631c8becdd17ba3a762e17a2</t>
  </si>
  <si>
    <t>public/images/images-1662815212179-502599426.jpg</t>
  </si>
  <si>
    <t>images-1662815212179-502599426.jpg</t>
  </si>
  <si>
    <t>631c8be5dd17ba3a762e1793</t>
  </si>
  <si>
    <t>631c8b90dd17ba3a762e177f</t>
  </si>
  <si>
    <t>public/images/images-1662815120493-794800501.jpg</t>
  </si>
  <si>
    <t>images-1662815120493-794800501.jpg</t>
  </si>
  <si>
    <t>631c8b89dd17ba3a762e1770</t>
  </si>
  <si>
    <t>631c8b28dd17ba3a762e175c</t>
  </si>
  <si>
    <t>public/images/images-1662815016948-854947365.jpg</t>
  </si>
  <si>
    <t>images-1662815016948-854947365.jpg</t>
  </si>
  <si>
    <t>631c8b22dd17ba3a762e174d</t>
  </si>
  <si>
    <t>631c8a49dd17ba3a762e1739</t>
  </si>
  <si>
    <t>public/images/images-1662814793393-787438451.jpg</t>
  </si>
  <si>
    <t>images-1662814793393-787438451.jpg</t>
  </si>
  <si>
    <t>tor, genügend breit</t>
  </si>
  <si>
    <t>631c8a3fdd17ba3a762e172a</t>
  </si>
  <si>
    <t>631c89c9dd17ba3a762e1710</t>
  </si>
  <si>
    <t>631c88f4dd17ba3a762e16fc</t>
  </si>
  <si>
    <t>public/images/images-1662814452045-364661631.jpg</t>
  </si>
  <si>
    <t>images-1662814452045-364661631.jpg</t>
  </si>
  <si>
    <t>631c88eddd17ba3a762e16ed</t>
  </si>
  <si>
    <t>631c8812dd17ba3a762e16d9</t>
  </si>
  <si>
    <t>public/images/images-1662814226352-913662280.jpg</t>
  </si>
  <si>
    <t>images-1662814226352-913662280.jpg</t>
  </si>
  <si>
    <t>2023-09-10T12:50:00.000Z</t>
  </si>
  <si>
    <t>baustelle, umweg links auf strasse</t>
  </si>
  <si>
    <t>631c880bdd17ba3a762e16ca</t>
  </si>
  <si>
    <t>631c87d0dd17ba3a762e16b6</t>
  </si>
  <si>
    <t>public/images/images-1662814160007-801220239.jpg</t>
  </si>
  <si>
    <t>images-1662814160007-801220239.jpg</t>
  </si>
  <si>
    <t>2023-09-10T12:49:00.000Z</t>
  </si>
  <si>
    <t>631c87c6dd17ba3a762e16a7</t>
  </si>
  <si>
    <t>631c8791dd17ba3a762e1693</t>
  </si>
  <si>
    <t>public/images/images-1662814097508-577400773.jpg</t>
  </si>
  <si>
    <t>images-1662814097508-577400773.jpg</t>
  </si>
  <si>
    <t>631c878cdd17ba3a762e1684</t>
  </si>
  <si>
    <t>631c86c0dd17ba3a762e1670</t>
  </si>
  <si>
    <t>public/images/images-1662813888602-871194530.jpg</t>
  </si>
  <si>
    <t>images-1662813888602-871194530.jpg</t>
  </si>
  <si>
    <t>631c86b7dd17ba3a762e1661</t>
  </si>
  <si>
    <t>631c86a6dd17ba3a762e164d</t>
  </si>
  <si>
    <t>public/images/images-1662813862047-947471727.jpg</t>
  </si>
  <si>
    <t>images-1662813862047-947471727.jpg</t>
  </si>
  <si>
    <t>631c869fdd17ba3a762e163e</t>
  </si>
  <si>
    <t>631c8627dd17ba3a762e1624</t>
  </si>
  <si>
    <t>public/images/images-1662813735112-296552492.jpg</t>
  </si>
  <si>
    <t>images-1662813735112-296552492.jpg</t>
  </si>
  <si>
    <t>631c861cdd17ba3a762e1615</t>
  </si>
  <si>
    <t>631c85cbdd17ba3a762e1601</t>
  </si>
  <si>
    <t>public/images/images-1662813643432-370272123.jpg</t>
  </si>
  <si>
    <t>images-1662813643432-370272123.jpg</t>
  </si>
  <si>
    <t>631c85c4dd17ba3a762e15f2</t>
  </si>
  <si>
    <t>631c8530dd17ba3a762e15de</t>
  </si>
  <si>
    <t>public/images/images-1662813488132-559964430.jpg</t>
  </si>
  <si>
    <t>images-1662813488132-559964430.jpg</t>
  </si>
  <si>
    <t>631c8514dd17ba3a762e15cf</t>
  </si>
  <si>
    <t>631c8509dd17ba3a762e15bb</t>
  </si>
  <si>
    <t>public/images/images-1662813449403-377122733.jpg</t>
  </si>
  <si>
    <t>images-1662813449403-377122733.jpg</t>
  </si>
  <si>
    <t>631c84ffdd17ba3a762e15ac</t>
  </si>
  <si>
    <t>631c84eadd17ba3a762e1598</t>
  </si>
  <si>
    <t>public/images/images-1662813418891-967624328.jpg</t>
  </si>
  <si>
    <t>images-1662813418891-967624328.jpg</t>
  </si>
  <si>
    <t>631c84e4dd17ba3a762e1589</t>
  </si>
  <si>
    <t>631c84dadd17ba3a762e1575</t>
  </si>
  <si>
    <t>public/images/images-1662813402326-319605994.jpg</t>
  </si>
  <si>
    <t>images-1662813402326-319605994.jpg</t>
  </si>
  <si>
    <t>631c84d3dd17ba3a762e1566</t>
  </si>
  <si>
    <t>631c84aadd17ba3a762e1552</t>
  </si>
  <si>
    <t>public/images/images-1662813354747-545073289.jpg</t>
  </si>
  <si>
    <t>images-1662813354747-545073289.jpg</t>
  </si>
  <si>
    <t>631c84a2dd17ba3a762e1543</t>
  </si>
  <si>
    <t>631c8483dd17ba3a762e1523</t>
  </si>
  <si>
    <t>public/images/images-1662813315145-736696929.jpg</t>
  </si>
  <si>
    <t>images-1662813315145-736696929.jpg</t>
  </si>
  <si>
    <t>631c847bdd17ba3a762e1514</t>
  </si>
  <si>
    <t>631c843ddd17ba3a762e1500</t>
  </si>
  <si>
    <t>public/images/images-1662813245315-62807936.jpg</t>
  </si>
  <si>
    <t>images-1662813245315-62807936.jpg</t>
  </si>
  <si>
    <t>631c8421dd17ba3a762e14f1</t>
  </si>
  <si>
    <t>631c83e6dd17ba3a762e14dd</t>
  </si>
  <si>
    <t>public/images/images-1662813158903-424744505.jpg</t>
  </si>
  <si>
    <t>images-1662813158903-424744505.jpg</t>
  </si>
  <si>
    <t>631c83e0dd17ba3a762e14ce</t>
  </si>
  <si>
    <t>631c5aecdd17ba3a762e12d2</t>
  </si>
  <si>
    <t>public/images/images-1662802668019-272118258.jpg</t>
  </si>
  <si>
    <t>images-1662802668019-272118258.jpg</t>
  </si>
  <si>
    <t>gefälle richtung wasserwerkstr</t>
  </si>
  <si>
    <t>631c5ae2dd17ba3a762e12c3</t>
  </si>
  <si>
    <t>631c5ab7dd17ba3a762e12af</t>
  </si>
  <si>
    <t>public/images/images-1662802615500-465395288.jpg</t>
  </si>
  <si>
    <t>images-1662802615500-465395288.jpg</t>
  </si>
  <si>
    <t>631c5ab0dd17ba3a762e12a0</t>
  </si>
  <si>
    <t>631c5a8fdd17ba3a762e128c</t>
  </si>
  <si>
    <t>public/images/images-1662802575605-330405651.jpg</t>
  </si>
  <si>
    <t>images-1662802575605-330405651.jpg</t>
  </si>
  <si>
    <t>631c5a89dd17ba3a762e127d</t>
  </si>
  <si>
    <t>631c5a14dd17ba3a762e1269</t>
  </si>
  <si>
    <t>public/images/images-1662802452566-503912495.jpg</t>
  </si>
  <si>
    <t>images-1662802452566-503912495.jpg</t>
  </si>
  <si>
    <t>631c5a0edd17ba3a762e125a</t>
  </si>
  <si>
    <t>631c59d9dd17ba3a762e1240</t>
  </si>
  <si>
    <t>631c5982dd17ba3a762e122a</t>
  </si>
  <si>
    <t>631c591bdd17ba3a762e1216</t>
  </si>
  <si>
    <t>public/images/images-1662802203672-917756215.jpg</t>
  </si>
  <si>
    <t>images-1662802203672-917756215.jpg</t>
  </si>
  <si>
    <t>631c590cdd17ba3a762e1207</t>
  </si>
  <si>
    <t>631c586fdd17ba3a762e11f3</t>
  </si>
  <si>
    <t>public/images/images-1662802031652-33343641.jpg</t>
  </si>
  <si>
    <t>images-1662802031652-33343641.jpg</t>
  </si>
  <si>
    <t>631c5865dd17ba3a762e11e4</t>
  </si>
  <si>
    <t>631c5833dd17ba3a762e11d0</t>
  </si>
  <si>
    <t>public/images/images-1662801971902-760003537.jpg</t>
  </si>
  <si>
    <t>images-1662801971902-760003537.jpg</t>
  </si>
  <si>
    <t>631c582cdd17ba3a762e11c1</t>
  </si>
  <si>
    <t>631c5819dd17ba3a762e11a7</t>
  </si>
  <si>
    <t>631c580cdd17ba3a762e1192</t>
  </si>
  <si>
    <t>public/images/images-1662801932097-464052351.jpg</t>
  </si>
  <si>
    <t>images-1662801932097-464052351.jpg</t>
  </si>
  <si>
    <t>631c5805dd17ba3a762e1184</t>
  </si>
  <si>
    <t>631c57bfdd17ba3a762e1170</t>
  </si>
  <si>
    <t>public/images/images-1662801855044-456960861.jpg</t>
  </si>
  <si>
    <t>images-1662801855044-456960861.jpg</t>
  </si>
  <si>
    <t>631c57b9dd17ba3a762e1161</t>
  </si>
  <si>
    <t>631c577fdd17ba3a762e114d</t>
  </si>
  <si>
    <t>public/images/images-1662801791772-275312507.jpg</t>
  </si>
  <si>
    <t>images-1662801791772-275312507.jpg</t>
  </si>
  <si>
    <t>631c577add17ba3a762e113e</t>
  </si>
  <si>
    <t>631c5745dd17ba3a762e112a</t>
  </si>
  <si>
    <t>public/images/images-1662801733232-730021556.jpg</t>
  </si>
  <si>
    <t>images-1662801733232-730021556.jpg</t>
  </si>
  <si>
    <t>631c573ddd17ba3a762e111b</t>
  </si>
  <si>
    <t>631c5714dd17ba3a762e1107</t>
  </si>
  <si>
    <t>public/images/images-1662801684514-306716491.jpg</t>
  </si>
  <si>
    <t>images-1662801684514-306716491.jpg</t>
  </si>
  <si>
    <t>631c570edd17ba3a762e10f8</t>
  </si>
  <si>
    <t>631c56dadd17ba3a762e10e4</t>
  </si>
  <si>
    <t>public/images/images-1662801626194-370442936.jpg</t>
  </si>
  <si>
    <t>images-1662801626194-370442936.jpg</t>
  </si>
  <si>
    <t>631c56d3dd17ba3a762e10d5</t>
  </si>
  <si>
    <t>631c565ddd17ba3a762e10c1</t>
  </si>
  <si>
    <t>public/images/images-1662801501364-470444254.jpg</t>
  </si>
  <si>
    <t>images-1662801501364-470444254.jpg</t>
  </si>
  <si>
    <t>strassenüberquerung</t>
  </si>
  <si>
    <t>631c5653dd17ba3a762e10b2</t>
  </si>
  <si>
    <t>631c562ddd17ba3a762e109e</t>
  </si>
  <si>
    <t>public/images/images-1662801453404-708072286.jpg</t>
  </si>
  <si>
    <t>images-1662801453404-708072286.jpg</t>
  </si>
  <si>
    <t>631c5622dd17ba3a762e108f</t>
  </si>
  <si>
    <t>631c5611dd17ba3a762e107b</t>
  </si>
  <si>
    <t>public/images/images-1662801425168-637631039.jpg</t>
  </si>
  <si>
    <t>images-1662801425168-637631039.jpg</t>
  </si>
  <si>
    <t>631c560add17ba3a762e106c</t>
  </si>
  <si>
    <t>631c559edd17ba3a762e1058</t>
  </si>
  <si>
    <t>public/images/images-1662801310153-756040775.jpg</t>
  </si>
  <si>
    <t>images-1662801310153-756040775.jpg</t>
  </si>
  <si>
    <t>631c5596dd17ba3a762e1049</t>
  </si>
  <si>
    <t>631c5570dd17ba3a762e1023</t>
  </si>
  <si>
    <t>public/images/images-1662801264837-711353473.jpg</t>
  </si>
  <si>
    <t>images-1662801264837-711353473.jpg</t>
  </si>
  <si>
    <t>gefälle richtung gallus-str</t>
  </si>
  <si>
    <t>631c5568dd17ba3a762e1014</t>
  </si>
  <si>
    <t>631c5525dd17ba3a762e1000</t>
  </si>
  <si>
    <t>public/images/images-1662801189400-771560668.jpg</t>
  </si>
  <si>
    <t>images-1662801189400-771560668.jpg</t>
  </si>
  <si>
    <t>631c551cdd17ba3a762e0ff1</t>
  </si>
  <si>
    <t>631c54e7dd17ba3a762e0fdd</t>
  </si>
  <si>
    <t>public/images/images-1662801127326-112152650.jpg</t>
  </si>
  <si>
    <t>images-1662801127326-112152650.jpg</t>
  </si>
  <si>
    <t>631c54e0dd17ba3a762e0fce</t>
  </si>
  <si>
    <t>631c54bddd17ba3a762e0fba</t>
  </si>
  <si>
    <t>public/images/images-1662801085296-143482942.jpg</t>
  </si>
  <si>
    <t>images-1662801085296-143482942.jpg</t>
  </si>
  <si>
    <t>631c5498dd17ba3a762e0fab</t>
  </si>
  <si>
    <t>631c545ddd17ba3a762e0f97</t>
  </si>
  <si>
    <t>public/images/images-1662800989810-650306592.jpg</t>
  </si>
  <si>
    <t>images-1662800989810-650306592.jpg</t>
  </si>
  <si>
    <t>631c5458dd17ba3a762e0f88</t>
  </si>
  <si>
    <t>631c541add17ba3a762e0f74</t>
  </si>
  <si>
    <t>public/images/images-1662800922841-647536447.jpg</t>
  </si>
  <si>
    <t>images-1662800922841-647536447.jpg</t>
  </si>
  <si>
    <t>631c5414dd17ba3a762e0f65</t>
  </si>
  <si>
    <t>631c53e3dd17ba3a762e0f51</t>
  </si>
  <si>
    <t>public/images/images-1662800867136-91709431.jpg</t>
  </si>
  <si>
    <t>images-1662800867136-91709431.jpg</t>
  </si>
  <si>
    <t>631c53dbdd17ba3a762e0f42</t>
  </si>
  <si>
    <t>631c5394dd17ba3a762e0f2e</t>
  </si>
  <si>
    <t>public/images/images-1662800788208-844036873.jpg</t>
  </si>
  <si>
    <t>images-1662800788208-844036873.jpg</t>
  </si>
  <si>
    <t>631c538ddd17ba3a762e0f1f</t>
  </si>
  <si>
    <t>631c52abdd17ba3a762e0f0b</t>
  </si>
  <si>
    <t>public/images/images-1662800555113-715358323.jpg</t>
  </si>
  <si>
    <t>images-1662800555113-715358323.jpg</t>
  </si>
  <si>
    <t>631c52a3dd17ba3a762e0efc</t>
  </si>
  <si>
    <t>631c5253dd17ba3a762e0ee8</t>
  </si>
  <si>
    <t>public/images/images-1662800467845-100003888.jpg</t>
  </si>
  <si>
    <t>images-1662800467845-100003888.jpg</t>
  </si>
  <si>
    <t>true</t>
  </si>
  <si>
    <t>rechts kleine rampe</t>
  </si>
  <si>
    <t>631c5244dd17ba3a762e0ed9</t>
  </si>
  <si>
    <t>631c5227dd17ba3a762e0ec5</t>
  </si>
  <si>
    <t>public/images/images-1662800423672-136490792.jpg</t>
  </si>
  <si>
    <t>images-1662800423672-136490792.jpg</t>
  </si>
  <si>
    <t>631c521fdd17ba3a762e0eb6</t>
  </si>
  <si>
    <t>631c5209dd17ba3a762e0ea2</t>
  </si>
  <si>
    <t>public/images/images-1662800393294-321765738.jpg</t>
  </si>
  <si>
    <t>images-1662800393294-321765738.jpg</t>
  </si>
  <si>
    <t>631c5200dd17ba3a762e0e93</t>
  </si>
  <si>
    <t>631c51b6dd17ba3a762e0e7f</t>
  </si>
  <si>
    <t>public/images/images-1662800310116-687746128.jpg</t>
  </si>
  <si>
    <t>images-1662800310116-687746128.jpg</t>
  </si>
  <si>
    <t>631c51abdd17ba3a762e0e70</t>
  </si>
  <si>
    <t>631c515ddd17ba3a762e0e5c</t>
  </si>
  <si>
    <t>public/images/images-1662800220999-279324634.jpg</t>
  </si>
  <si>
    <t>images-1662800220999-279324634.jpg</t>
  </si>
  <si>
    <t>631c5155dd17ba3a762e0e4d</t>
  </si>
  <si>
    <t>631c5141dd17ba3a762e0e3d</t>
  </si>
  <si>
    <t>public/images/images-1662800192981-355976436.jpg</t>
  </si>
  <si>
    <t>images-1662800192981-355976436.jpg</t>
  </si>
  <si>
    <t>631c5136dd17ba3a762e0e2a</t>
  </si>
  <si>
    <t>image_url</t>
  </si>
  <si>
    <t>reportTimePath</t>
  </si>
  <si>
    <t>reportTime</t>
  </si>
  <si>
    <t>size</t>
  </si>
  <si>
    <t>mimeType</t>
  </si>
  <si>
    <t>path</t>
  </si>
  <si>
    <t>filename</t>
  </si>
  <si>
    <t>createdBy</t>
  </si>
  <si>
    <t>barrier</t>
  </si>
  <si>
    <t>coordinates</t>
  </si>
  <si>
    <t>Other (Baustellen Zürich)</t>
  </si>
  <si>
    <t>Capture &amp; Go</t>
  </si>
  <si>
    <t>#barriers</t>
  </si>
  <si>
    <t>time / barrier</t>
  </si>
  <si>
    <t>47.38858, 8.539</t>
  </si>
  <si>
    <t>47.38847,8.53906</t>
  </si>
  <si>
    <t>47.38817, 8.53912</t>
  </si>
  <si>
    <t>47.38794, 8.53925</t>
  </si>
  <si>
    <t>47.38783, 8.53939</t>
  </si>
  <si>
    <t>47.38785, 8.53945</t>
  </si>
  <si>
    <t>47.3881, 8.53931</t>
  </si>
  <si>
    <t>47.38724, 8.53962</t>
  </si>
  <si>
    <t>47.38697, 8.53957</t>
  </si>
  <si>
    <t xml:space="preserve"> 47.3868, 8.53967</t>
  </si>
  <si>
    <t>47.3865, 8.53962</t>
  </si>
  <si>
    <t>47.38641, 8.53961</t>
  </si>
  <si>
    <t>47.3864, 8.53974</t>
  </si>
  <si>
    <t>47.38613, 8.53964</t>
  </si>
  <si>
    <t>47.38592, 8.53969</t>
  </si>
  <si>
    <t>47.38584, 8.53967</t>
  </si>
  <si>
    <t>47.38536, 8.5398</t>
  </si>
  <si>
    <t>47.38527, 8.53988</t>
  </si>
  <si>
    <t>47.38527, 8.5399</t>
  </si>
  <si>
    <t>47.38465, 8.53988</t>
  </si>
  <si>
    <t>47.38427, 8.54007</t>
  </si>
  <si>
    <t>47.38426, 8.54014</t>
  </si>
  <si>
    <t>47.38425, 8.54012</t>
  </si>
  <si>
    <t>47.38407, 8.54017</t>
  </si>
  <si>
    <t>47.38383, 8.54038</t>
  </si>
  <si>
    <t>47.38382, 8.54043</t>
  </si>
  <si>
    <t>47.38385, 8.5405</t>
  </si>
  <si>
    <t>47.38385, 8.54051</t>
  </si>
  <si>
    <t>47.38374, 8.54043</t>
  </si>
  <si>
    <t>47.38333, 8.54094</t>
  </si>
  <si>
    <t>47.38279, 8.5414</t>
  </si>
  <si>
    <t>47.38278, 8.54141</t>
  </si>
  <si>
    <t>47.38224, 8.54174</t>
  </si>
  <si>
    <t>47.38225, 8.54176</t>
  </si>
  <si>
    <t>47.38218, 8.54162</t>
  </si>
  <si>
    <t>47.38204, 8.54162</t>
  </si>
  <si>
    <t>47.38201, 8.54161</t>
  </si>
  <si>
    <t>47.38164, 8.54175</t>
  </si>
  <si>
    <t>47.38131, 8.5421</t>
  </si>
  <si>
    <t>47.38132, 8.5421</t>
  </si>
  <si>
    <t>47.38124, 8.54197</t>
  </si>
  <si>
    <t>47.38114, 8.54174</t>
  </si>
  <si>
    <t>47.38043, 8.54276</t>
  </si>
  <si>
    <t>47.38054, 8.54281</t>
  </si>
  <si>
    <t>47.38139, 8.54229</t>
  </si>
  <si>
    <t xml:space="preserve">47.3815, 8.54247 </t>
  </si>
  <si>
    <t>47.38171, 8.542</t>
  </si>
  <si>
    <t>47.38211, 8.54189</t>
  </si>
  <si>
    <t>47.38227, 8.54185</t>
  </si>
  <si>
    <t>47.38319, 8.54116</t>
  </si>
  <si>
    <t>47.38451, 8.54013</t>
  </si>
  <si>
    <t>47.38525, 8.54001</t>
  </si>
  <si>
    <t>47.38603, 8.53991</t>
  </si>
  <si>
    <t>47.38634, 8.53986</t>
  </si>
  <si>
    <t>47.38678, 8.5397</t>
  </si>
  <si>
    <t>47.38688, 8.53979</t>
  </si>
  <si>
    <t>47.38716, 8.53979</t>
  </si>
  <si>
    <t>47.38709, 8.53979</t>
  </si>
  <si>
    <t>47.38781, 8.53959</t>
  </si>
  <si>
    <t>47.38793, 8.53952</t>
  </si>
  <si>
    <t>47.38118, 8.54185</t>
  </si>
  <si>
    <t>https://www.infra3d.ch/latest/?imageKey=ZGF0ZW5iYXNpc0BtZXRhX2NoX3p1ZXJpY2hfdjMvMjE0NzAtMTk=&amp;pointto={"type":"panzoom","zoom":0.65,"panX":0,"panY":0}</t>
  </si>
  <si>
    <t>gleis nebenan</t>
  </si>
  <si>
    <t>gleiche Barriere?</t>
  </si>
  <si>
    <t>Comments</t>
  </si>
  <si>
    <t>Capture&amp;Go</t>
  </si>
  <si>
    <t>found in OSM</t>
  </si>
  <si>
    <t>found in Höhenmodell</t>
  </si>
  <si>
    <t>found in Infra3D</t>
  </si>
  <si>
    <t>Barrier found all</t>
  </si>
  <si>
    <t>found in Capture &amp; Go</t>
  </si>
  <si>
    <t>accuracy Höhenmodell</t>
  </si>
  <si>
    <t>accuracy Infra3D</t>
  </si>
  <si>
    <t>accuracy OSM</t>
  </si>
  <si>
    <t>Capture&amp;Go coverage</t>
  </si>
  <si>
    <t>?</t>
  </si>
  <si>
    <t>gleiche barriere wie 17?</t>
  </si>
  <si>
    <t>anderer barrierentyp</t>
  </si>
  <si>
    <t>strasse oder treppenzugang?</t>
  </si>
  <si>
    <t>nur oberfläche</t>
  </si>
  <si>
    <t>gleiche baustelle?</t>
  </si>
  <si>
    <t>strassenüberquerung wasserwerkstrasse</t>
  </si>
  <si>
    <t>not a barrier by definition</t>
  </si>
  <si>
    <t>error width</t>
  </si>
  <si>
    <t>accuracy width</t>
  </si>
  <si>
    <t>längerer strassenabschnitt im höhenmodell</t>
  </si>
  <si>
    <t>strasse oder treppenzugang</t>
  </si>
  <si>
    <t>grenze höhenmodell messung</t>
  </si>
  <si>
    <t>strasse oder traminsel</t>
  </si>
  <si>
    <t>andere</t>
  </si>
  <si>
    <t>error numberOfStemps</t>
  </si>
  <si>
    <t>accuracy numberOfSteps</t>
  </si>
  <si>
    <t>error numberOfSteps</t>
  </si>
  <si>
    <t>strassenüberquerung georgengasse</t>
  </si>
  <si>
    <t>strassenüberquerung röslistrasse</t>
  </si>
  <si>
    <t>strassenüberquerung wasserwerkstrasse &amp; röslistrasse</t>
  </si>
  <si>
    <t>strassenüberquerung röslistr plus längerer abschnitt im höhenmodell</t>
  </si>
  <si>
    <t>strassenüberquerung wasserwerkstrasse plus längererabschnitt im höhenmodell</t>
  </si>
  <si>
    <t>überquerung georgengasse plus längerer abschnitt im höhenmodell</t>
  </si>
  <si>
    <t>47,3883589, 8,5392276</t>
  </si>
  <si>
    <t>doppelt? -&gt; nein, kooridnaten ungenau erfasst, jetzt ist es genauer</t>
  </si>
  <si>
    <t>strasse odr traminsel? -&gt; bei allen jeweils der gehweg (nicht strasse, nicht traminsel)</t>
  </si>
  <si>
    <t>gleiche Barriere? Nein, kooridnaten gehen nicht genauer, sind 5 verschiedene bäume (hab jeweils den ort vom höhenmodell im osm gesucht und dort die nächsten koordinaten gewählt)</t>
  </si>
  <si>
    <t>(x)</t>
  </si>
  <si>
    <t>error runningSlop</t>
  </si>
  <si>
    <t>accuracy runningSlop</t>
  </si>
  <si>
    <t>error crossSlop</t>
  </si>
  <si>
    <t>accuracy crossSlope</t>
  </si>
  <si>
    <t>error runningSlope</t>
  </si>
  <si>
    <t>accuracy surface</t>
  </si>
  <si>
    <t>error stepHeight</t>
  </si>
  <si>
    <t>accuracy stepHeight</t>
  </si>
  <si>
    <t>barriers found OSM</t>
  </si>
  <si>
    <t>barriers found Höhenmodell</t>
  </si>
  <si>
    <t>barriers found Infra3D</t>
  </si>
  <si>
    <t>total number of barriers</t>
  </si>
  <si>
    <t>stair (numberOfSteps)</t>
  </si>
  <si>
    <t>stair (stepHeight)</t>
  </si>
  <si>
    <t>cross_drain (width)</t>
  </si>
  <si>
    <t>problematic_way (crossSlope)</t>
  </si>
  <si>
    <t>problematic_way (runningSlope)</t>
  </si>
  <si>
    <t>found by tools</t>
  </si>
  <si>
    <t>found numberOfSteps</t>
  </si>
  <si>
    <t>found stepHeight</t>
  </si>
  <si>
    <t>found crossSlop</t>
  </si>
  <si>
    <t>found width</t>
  </si>
  <si>
    <t>found surface</t>
  </si>
  <si>
    <t>found runningSlope</t>
  </si>
  <si>
    <t>percentage found</t>
  </si>
  <si>
    <t>total found</t>
  </si>
  <si>
    <t>percentage total found</t>
  </si>
  <si>
    <t>percentage of C&amp;G barriers found</t>
  </si>
  <si>
    <t>C&amp;G barriers found by tool</t>
  </si>
  <si>
    <t>reported barriers by tool</t>
  </si>
  <si>
    <t>percentage of C&amp;G barriers found (only types that can be found)</t>
  </si>
  <si>
    <t>stair (just type)</t>
  </si>
  <si>
    <t>problematic_way (just type)</t>
  </si>
  <si>
    <t>sum C&amp;G barriers (only types that can be found by tool)</t>
  </si>
  <si>
    <t>false reported barriers (false positives)</t>
  </si>
  <si>
    <t>percentage of false reported barriers by tool (false positives)</t>
  </si>
  <si>
    <t>spaceLeftHöhenmodell</t>
  </si>
  <si>
    <t>measureDifferenceHöhenmodell</t>
  </si>
  <si>
    <t>errorHöhenmodell</t>
  </si>
  <si>
    <t>barrierFoundOSm</t>
  </si>
  <si>
    <t>spaceLeftOSM</t>
  </si>
  <si>
    <t>endDateOSM</t>
  </si>
  <si>
    <t>differenceSpaceLeftOSM</t>
  </si>
  <si>
    <t>accuracySpaceLeftOSM</t>
  </si>
  <si>
    <t>errorSpaceLeftOSM</t>
  </si>
  <si>
    <t>accuracyEndDateIOSM</t>
  </si>
  <si>
    <t>errorEndDateOSM</t>
  </si>
  <si>
    <t>heightOSM</t>
  </si>
  <si>
    <t>detourOSM</t>
  </si>
  <si>
    <t>raised</t>
  </si>
  <si>
    <t>parkplatz im OSM, keine Breite</t>
  </si>
  <si>
    <t>Tramstation; wheelchair no</t>
  </si>
  <si>
    <t>trinkbrunnen; wheelchair no</t>
  </si>
  <si>
    <t>ComparishonHöhenmodell</t>
  </si>
  <si>
    <t>total</t>
  </si>
  <si>
    <t>Reporting</t>
  </si>
  <si>
    <t>barrier\tool</t>
  </si>
  <si>
    <t>Zürich Virtuell</t>
  </si>
  <si>
    <t>Baustellenliste</t>
  </si>
  <si>
    <t>blockage</t>
  </si>
  <si>
    <t>cycle barrier</t>
  </si>
  <si>
    <t>stair (number of steps)</t>
  </si>
  <si>
    <t>stair (step height)</t>
  </si>
  <si>
    <t>stair (availability of ramp)</t>
  </si>
  <si>
    <t>kerb (height)</t>
  </si>
  <si>
    <t>kerb (alternative path)</t>
  </si>
  <si>
    <t>problematic way (surface)</t>
  </si>
  <si>
    <t>problematic way (running slope)</t>
  </si>
  <si>
    <t>problematic way (cross slope)</t>
  </si>
  <si>
    <t>cross drain</t>
  </si>
  <si>
    <t>cross drain (tram tracks)</t>
  </si>
  <si>
    <t>other (construction site)</t>
  </si>
  <si>
    <t>Verification</t>
  </si>
  <si>
    <t>median time per barrier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</si>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</sst>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]dd/mm/yy;@" x16r2:formatCode16="[$-en-CH,1]dd/mm/yy;@"/>
  </numFmts>
  <fonts count="2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b/>
      <sz val="16"/>
      <color rgb="FF1E1E1E"/>
      <name val="Helvetica Neue"/>
      <family val="2"/>
    </font>
    <font>
      <sz val="11"/>
      <color rgb="FF1C1C1C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1C1C1C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name val="Calibri"/>
      <family val="2"/>
    </font>
    <font>
      <sz val="11"/>
      <color rgb="FF006100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1"/>
      <color rgb="FF70AD47"/>
      <name val="Calibri"/>
      <family val="2"/>
      <scheme val="minor"/>
    </font>
    <font>
      <b/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C6EFCE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9" fillId="0" borderId="0"/>
    <xf numFmtId="0" fontId="1" fillId="0" borderId="0"/>
    <xf numFmtId="9" fontId="13" fillId="0" borderId="0" applyFont="0" applyFill="0" applyBorder="0" applyAlignment="0" applyProtection="0"/>
    <xf numFmtId="0" fontId="24" fillId="24" borderId="0" applyNumberFormat="0" applyBorder="0" applyAlignment="0" applyProtection="0"/>
  </cellStyleXfs>
  <cellXfs count="568">
    <xf numFmtId="0" fontId="0" fillId="0" borderId="0" xfId="0"/>
    <xf numFmtId="0" fontId="2" fillId="0" borderId="1" xfId="0" applyFont="1" applyBorder="1"/>
    <xf numFmtId="0" fontId="0" fillId="0" borderId="1" xfId="0" applyBorder="1"/>
    <xf numFmtId="14" fontId="0" fillId="0" borderId="1" xfId="0" applyNumberFormat="1" applyBorder="1"/>
    <xf numFmtId="0" fontId="0" fillId="2" borderId="1" xfId="0" applyFill="1" applyBorder="1"/>
    <xf numFmtId="0" fontId="0" fillId="2" borderId="0" xfId="0" applyFill="1"/>
    <xf numFmtId="0" fontId="3" fillId="0" borderId="0" xfId="0" applyFont="1"/>
    <xf numFmtId="21" fontId="0" fillId="0" borderId="0" xfId="0" applyNumberFormat="1"/>
    <xf numFmtId="21" fontId="4" fillId="0" borderId="0" xfId="0" applyNumberFormat="1" applyFont="1"/>
    <xf numFmtId="20" fontId="4" fillId="0" borderId="0" xfId="0" applyNumberFormat="1" applyFont="1"/>
    <xf numFmtId="46" fontId="0" fillId="0" borderId="0" xfId="0" applyNumberFormat="1"/>
    <xf numFmtId="22" fontId="0" fillId="0" borderId="1" xfId="0" applyNumberFormat="1" applyBorder="1"/>
    <xf numFmtId="22" fontId="2" fillId="0" borderId="1" xfId="0" applyNumberFormat="1" applyFont="1" applyBorder="1"/>
    <xf numFmtId="22" fontId="0" fillId="2" borderId="1" xfId="0" applyNumberFormat="1" applyFill="1" applyBorder="1"/>
    <xf numFmtId="22" fontId="0" fillId="0" borderId="0" xfId="0" applyNumberFormat="1"/>
    <xf numFmtId="21" fontId="0" fillId="2" borderId="1" xfId="0" applyNumberFormat="1" applyFill="1" applyBorder="1"/>
    <xf numFmtId="0" fontId="3" fillId="0" borderId="0" xfId="0" applyFont="1" applyAlignment="1">
      <alignment vertical="top" wrapText="1"/>
    </xf>
    <xf numFmtId="0" fontId="6" fillId="0" borderId="0" xfId="1" applyAlignment="1">
      <alignment vertical="top" wrapText="1"/>
    </xf>
    <xf numFmtId="0" fontId="0" fillId="0" borderId="0" xfId="0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21" fontId="0" fillId="3" borderId="1" xfId="0" applyNumberFormat="1" applyFill="1" applyBorder="1"/>
    <xf numFmtId="0" fontId="0" fillId="3" borderId="0" xfId="0" applyFill="1"/>
    <xf numFmtId="0" fontId="0" fillId="0" borderId="0" xfId="0" applyAlignment="1">
      <alignment wrapText="1"/>
    </xf>
    <xf numFmtId="0" fontId="7" fillId="0" borderId="0" xfId="0" applyFont="1"/>
    <xf numFmtId="21" fontId="0" fillId="0" borderId="1" xfId="0" applyNumberFormat="1" applyBorder="1"/>
    <xf numFmtId="2" fontId="0" fillId="0" borderId="0" xfId="0" applyNumberFormat="1"/>
    <xf numFmtId="46" fontId="0" fillId="0" borderId="0" xfId="0" applyNumberFormat="1" applyAlignment="1">
      <alignment wrapText="1"/>
    </xf>
    <xf numFmtId="21" fontId="0" fillId="4" borderId="1" xfId="0" applyNumberFormat="1" applyFill="1" applyBorder="1"/>
    <xf numFmtId="0" fontId="0" fillId="4" borderId="1" xfId="0" applyFill="1" applyBorder="1"/>
    <xf numFmtId="22" fontId="0" fillId="4" borderId="1" xfId="0" applyNumberFormat="1" applyFill="1" applyBorder="1"/>
    <xf numFmtId="0" fontId="0" fillId="4" borderId="0" xfId="0" applyFill="1"/>
    <xf numFmtId="0" fontId="0" fillId="5" borderId="0" xfId="0" applyFill="1"/>
    <xf numFmtId="46" fontId="0" fillId="5" borderId="0" xfId="0" applyNumberFormat="1" applyFill="1"/>
    <xf numFmtId="0" fontId="3" fillId="5" borderId="0" xfId="0" applyFont="1" applyFill="1"/>
    <xf numFmtId="0" fontId="0" fillId="0" borderId="0" xfId="0" applyAlignment="1">
      <alignment horizontal="center"/>
    </xf>
    <xf numFmtId="22" fontId="5" fillId="0" borderId="1" xfId="0" applyNumberFormat="1" applyFont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0" borderId="0" xfId="0" applyNumberFormat="1" applyAlignment="1">
      <alignment vertical="top" wrapText="1"/>
    </xf>
    <xf numFmtId="22" fontId="2" fillId="0" borderId="1" xfId="0" applyNumberFormat="1" applyFont="1" applyBorder="1" applyAlignment="1">
      <alignment vertical="top" wrapText="1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3" fillId="0" borderId="0" xfId="0" applyFont="1" applyAlignment="1">
      <alignment wrapText="1"/>
    </xf>
    <xf numFmtId="0" fontId="2" fillId="0" borderId="1" xfId="0" applyFont="1" applyFill="1" applyBorder="1"/>
    <xf numFmtId="0" fontId="0" fillId="0" borderId="1" xfId="0" applyFill="1" applyBorder="1"/>
    <xf numFmtId="0" fontId="0" fillId="0" borderId="0" xfId="0" applyFill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0" fontId="5" fillId="0" borderId="1" xfId="0" applyFont="1" applyBorder="1"/>
    <xf numFmtId="0" fontId="5" fillId="0" borderId="1" xfId="0" applyFont="1" applyBorder="1" applyAlignment="1">
      <alignment wrapText="1"/>
    </xf>
    <xf numFmtId="22" fontId="0" fillId="0" borderId="1" xfId="0" applyNumberFormat="1" applyBorder="1" applyAlignment="1">
      <alignment wrapText="1"/>
    </xf>
    <xf numFmtId="0" fontId="8" fillId="0" borderId="1" xfId="0" applyFont="1" applyBorder="1" applyAlignment="1">
      <alignment wrapText="1"/>
    </xf>
    <xf numFmtId="22" fontId="0" fillId="4" borderId="1" xfId="0" applyNumberFormat="1" applyFill="1" applyBorder="1" applyAlignment="1">
      <alignment wrapText="1"/>
    </xf>
    <xf numFmtId="0" fontId="8" fillId="6" borderId="1" xfId="0" applyFont="1" applyFill="1" applyBorder="1" applyAlignment="1">
      <alignment wrapText="1"/>
    </xf>
    <xf numFmtId="22" fontId="0" fillId="3" borderId="1" xfId="0" applyNumberFormat="1" applyFill="1" applyBorder="1" applyAlignment="1">
      <alignment wrapText="1"/>
    </xf>
    <xf numFmtId="22" fontId="0" fillId="2" borderId="1" xfId="0" applyNumberFormat="1" applyFill="1" applyBorder="1" applyAlignment="1">
      <alignment wrapText="1"/>
    </xf>
    <xf numFmtId="0" fontId="0" fillId="0" borderId="1" xfId="0" applyBorder="1" applyAlignment="1">
      <alignment wrapText="1"/>
    </xf>
    <xf numFmtId="22" fontId="9" fillId="2" borderId="1" xfId="0" applyNumberFormat="1" applyFont="1" applyFill="1" applyBorder="1"/>
    <xf numFmtId="0" fontId="0" fillId="6" borderId="0" xfId="0" applyFill="1"/>
    <xf numFmtId="0" fontId="8" fillId="4" borderId="1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21" fontId="0" fillId="0" borderId="1" xfId="0" applyNumberFormat="1" applyFill="1" applyBorder="1"/>
    <xf numFmtId="22" fontId="0" fillId="0" borderId="1" xfId="0" applyNumberFormat="1" applyFill="1" applyBorder="1"/>
    <xf numFmtId="22" fontId="0" fillId="0" borderId="1" xfId="0" applyNumberFormat="1" applyFill="1" applyBorder="1" applyAlignment="1">
      <alignment wrapText="1"/>
    </xf>
    <xf numFmtId="0" fontId="0" fillId="6" borderId="1" xfId="0" applyFill="1" applyBorder="1"/>
    <xf numFmtId="22" fontId="0" fillId="6" borderId="1" xfId="0" applyNumberFormat="1" applyFill="1" applyBorder="1"/>
    <xf numFmtId="21" fontId="0" fillId="6" borderId="1" xfId="0" applyNumberFormat="1" applyFill="1" applyBorder="1"/>
    <xf numFmtId="22" fontId="0" fillId="6" borderId="1" xfId="0" applyNumberFormat="1" applyFill="1" applyBorder="1" applyAlignment="1">
      <alignment wrapText="1"/>
    </xf>
    <xf numFmtId="0" fontId="0" fillId="6" borderId="0" xfId="0" applyFill="1" applyAlignment="1">
      <alignment wrapText="1"/>
    </xf>
    <xf numFmtId="0" fontId="8" fillId="0" borderId="1" xfId="0" applyFon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0" xfId="0" applyAlignment="1">
      <alignment horizontal="left"/>
    </xf>
    <xf numFmtId="46" fontId="0" fillId="0" borderId="0" xfId="0" applyNumberFormat="1" applyAlignment="1">
      <alignment horizontal="left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" fillId="0" borderId="1" xfId="0" applyFont="1" applyBorder="1" applyAlignment="1">
      <alignment wrapText="1"/>
    </xf>
    <xf numFmtId="0" fontId="3" fillId="7" borderId="2" xfId="0" applyFont="1" applyFill="1" applyBorder="1"/>
    <xf numFmtId="0" fontId="3" fillId="7" borderId="0" xfId="0" applyFont="1" applyFill="1" applyBorder="1"/>
    <xf numFmtId="21" fontId="0" fillId="7" borderId="2" xfId="0" applyNumberFormat="1" applyFill="1" applyBorder="1"/>
    <xf numFmtId="0" fontId="0" fillId="7" borderId="0" xfId="0" applyFill="1" applyBorder="1"/>
    <xf numFmtId="21" fontId="0" fillId="7" borderId="0" xfId="0" applyNumberFormat="1" applyFill="1" applyBorder="1"/>
    <xf numFmtId="0" fontId="3" fillId="7" borderId="3" xfId="0" applyFont="1" applyFill="1" applyBorder="1"/>
    <xf numFmtId="10" fontId="0" fillId="7" borderId="3" xfId="0" applyNumberFormat="1" applyFill="1" applyBorder="1"/>
    <xf numFmtId="0" fontId="0" fillId="0" borderId="0" xfId="0" applyFill="1" applyBorder="1"/>
    <xf numFmtId="0" fontId="0" fillId="7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0" borderId="0" xfId="0" applyAlignment="1"/>
    <xf numFmtId="0" fontId="8" fillId="6" borderId="1" xfId="0" applyFont="1" applyFill="1" applyBorder="1"/>
    <xf numFmtId="0" fontId="1" fillId="0" borderId="0" xfId="3"/>
    <xf numFmtId="0" fontId="11" fillId="0" borderId="0" xfId="3" applyFont="1" applyAlignment="1">
      <alignment horizontal="center"/>
    </xf>
    <xf numFmtId="21" fontId="11" fillId="0" borderId="0" xfId="3" applyNumberFormat="1" applyFont="1" applyAlignment="1">
      <alignment horizontal="center"/>
    </xf>
    <xf numFmtId="21" fontId="1" fillId="0" borderId="0" xfId="3" applyNumberFormat="1"/>
    <xf numFmtId="164" fontId="1" fillId="0" borderId="0" xfId="3" applyNumberFormat="1"/>
    <xf numFmtId="0" fontId="0" fillId="8" borderId="0" xfId="0" applyFill="1"/>
    <xf numFmtId="0" fontId="0" fillId="8" borderId="0" xfId="0" applyFill="1" applyAlignment="1">
      <alignment horizontal="center"/>
    </xf>
    <xf numFmtId="46" fontId="0" fillId="8" borderId="0" xfId="0" applyNumberFormat="1" applyFill="1" applyAlignment="1">
      <alignment horizontal="left"/>
    </xf>
    <xf numFmtId="0" fontId="0" fillId="8" borderId="0" xfId="0" applyFill="1" applyAlignment="1">
      <alignment horizontal="center" wrapText="1"/>
    </xf>
    <xf numFmtId="0" fontId="0" fillId="8" borderId="0" xfId="0" applyFill="1" applyAlignment="1">
      <alignment wrapText="1"/>
    </xf>
    <xf numFmtId="0" fontId="0" fillId="8" borderId="0" xfId="0" applyFill="1" applyAlignment="1">
      <alignment horizontal="left"/>
    </xf>
    <xf numFmtId="0" fontId="12" fillId="9" borderId="8" xfId="0" applyFont="1" applyFill="1" applyBorder="1"/>
    <xf numFmtId="0" fontId="1" fillId="7" borderId="0" xfId="3" applyFill="1" applyBorder="1"/>
    <xf numFmtId="0" fontId="1" fillId="7" borderId="5" xfId="3" applyFill="1" applyBorder="1"/>
    <xf numFmtId="0" fontId="1" fillId="13" borderId="5" xfId="3" applyFill="1" applyBorder="1"/>
    <xf numFmtId="0" fontId="6" fillId="0" borderId="0" xfId="1"/>
    <xf numFmtId="0" fontId="1" fillId="0" borderId="0" xfId="3" applyBorder="1"/>
    <xf numFmtId="0" fontId="1" fillId="0" borderId="0" xfId="3" applyFill="1" applyBorder="1"/>
    <xf numFmtId="0" fontId="12" fillId="0" borderId="0" xfId="0" applyFont="1" applyFill="1" applyBorder="1"/>
    <xf numFmtId="0" fontId="6" fillId="0" borderId="1" xfId="1" applyBorder="1"/>
    <xf numFmtId="0" fontId="6" fillId="0" borderId="1" xfId="1" applyBorder="1" applyAlignment="1">
      <alignment wrapText="1"/>
    </xf>
    <xf numFmtId="0" fontId="14" fillId="0" borderId="1" xfId="0" applyFont="1" applyBorder="1" applyAlignment="1">
      <alignment wrapText="1"/>
    </xf>
    <xf numFmtId="0" fontId="14" fillId="0" borderId="0" xfId="0" applyFont="1" applyBorder="1" applyAlignment="1">
      <alignment wrapText="1"/>
    </xf>
    <xf numFmtId="0" fontId="1" fillId="0" borderId="0" xfId="3" applyFont="1"/>
    <xf numFmtId="164" fontId="0" fillId="0" borderId="0" xfId="0" applyNumberFormat="1" applyAlignment="1">
      <alignment horizontal="left"/>
    </xf>
    <xf numFmtId="21" fontId="1" fillId="7" borderId="2" xfId="3" applyNumberFormat="1" applyFill="1" applyBorder="1"/>
    <xf numFmtId="21" fontId="1" fillId="7" borderId="0" xfId="3" applyNumberFormat="1" applyFill="1" applyBorder="1"/>
    <xf numFmtId="21" fontId="1" fillId="7" borderId="0" xfId="3" applyNumberFormat="1" applyFill="1"/>
    <xf numFmtId="0" fontId="1" fillId="0" borderId="0" xfId="3" applyAlignment="1">
      <alignment horizontal="right"/>
    </xf>
    <xf numFmtId="0" fontId="3" fillId="7" borderId="7" xfId="0" applyFont="1" applyFill="1" applyBorder="1"/>
    <xf numFmtId="0" fontId="3" fillId="7" borderId="8" xfId="0" applyFont="1" applyFill="1" applyBorder="1"/>
    <xf numFmtId="0" fontId="3" fillId="7" borderId="9" xfId="0" applyFont="1" applyFill="1" applyBorder="1"/>
    <xf numFmtId="164" fontId="1" fillId="7" borderId="0" xfId="3" applyNumberFormat="1" applyFill="1" applyBorder="1"/>
    <xf numFmtId="9" fontId="1" fillId="7" borderId="0" xfId="3" applyNumberFormat="1" applyFill="1" applyBorder="1"/>
    <xf numFmtId="9" fontId="1" fillId="7" borderId="3" xfId="3" applyNumberFormat="1" applyFill="1" applyBorder="1"/>
    <xf numFmtId="0" fontId="0" fillId="11" borderId="0" xfId="0" applyFill="1" applyBorder="1" applyAlignment="1">
      <alignment vertical="top" wrapText="1"/>
    </xf>
    <xf numFmtId="0" fontId="1" fillId="0" borderId="0" xfId="3" applyAlignment="1">
      <alignment horizontal="right" vertical="top"/>
    </xf>
    <xf numFmtId="0" fontId="11" fillId="7" borderId="9" xfId="3" applyFont="1" applyFill="1" applyBorder="1" applyAlignment="1">
      <alignment horizontal="left"/>
    </xf>
    <xf numFmtId="46" fontId="11" fillId="7" borderId="4" xfId="3" applyNumberFormat="1" applyFont="1" applyFill="1" applyBorder="1"/>
    <xf numFmtId="0" fontId="11" fillId="7" borderId="5" xfId="3" applyFont="1" applyFill="1" applyBorder="1"/>
    <xf numFmtId="46" fontId="11" fillId="7" borderId="5" xfId="3" applyNumberFormat="1" applyFont="1" applyFill="1" applyBorder="1"/>
    <xf numFmtId="164" fontId="11" fillId="7" borderId="5" xfId="3" applyNumberFormat="1" applyFont="1" applyFill="1" applyBorder="1"/>
    <xf numFmtId="0" fontId="11" fillId="7" borderId="5" xfId="3" applyNumberFormat="1" applyFont="1" applyFill="1" applyBorder="1"/>
    <xf numFmtId="10" fontId="1" fillId="7" borderId="0" xfId="4" applyNumberFormat="1" applyFont="1" applyFill="1" applyBorder="1"/>
    <xf numFmtId="10" fontId="0" fillId="7" borderId="3" xfId="4" applyNumberFormat="1" applyFont="1" applyFill="1" applyBorder="1"/>
    <xf numFmtId="0" fontId="3" fillId="0" borderId="0" xfId="0" applyFont="1" applyAlignment="1">
      <alignment horizontal="center"/>
    </xf>
    <xf numFmtId="0" fontId="3" fillId="8" borderId="0" xfId="0" applyFont="1" applyFill="1" applyAlignment="1">
      <alignment horizontal="center"/>
    </xf>
    <xf numFmtId="164" fontId="3" fillId="8" borderId="0" xfId="0" applyNumberFormat="1" applyFont="1" applyFill="1" applyAlignment="1">
      <alignment horizontal="left"/>
    </xf>
    <xf numFmtId="21" fontId="11" fillId="7" borderId="5" xfId="3" applyNumberFormat="1" applyFont="1" applyFill="1" applyBorder="1"/>
    <xf numFmtId="10" fontId="16" fillId="7" borderId="0" xfId="0" applyNumberFormat="1" applyFont="1" applyFill="1" applyBorder="1"/>
    <xf numFmtId="10" fontId="17" fillId="7" borderId="0" xfId="0" applyNumberFormat="1" applyFont="1" applyFill="1" applyBorder="1"/>
    <xf numFmtId="46" fontId="3" fillId="7" borderId="2" xfId="0" applyNumberFormat="1" applyFont="1" applyFill="1" applyBorder="1"/>
    <xf numFmtId="46" fontId="3" fillId="7" borderId="0" xfId="0" applyNumberFormat="1" applyFont="1" applyFill="1" applyBorder="1"/>
    <xf numFmtId="0" fontId="3" fillId="7" borderId="0" xfId="0" applyNumberFormat="1" applyFont="1" applyFill="1" applyBorder="1"/>
    <xf numFmtId="9" fontId="11" fillId="7" borderId="5" xfId="3" applyNumberFormat="1" applyFont="1" applyFill="1" applyBorder="1"/>
    <xf numFmtId="10" fontId="16" fillId="7" borderId="5" xfId="0" applyNumberFormat="1" applyFont="1" applyFill="1" applyBorder="1"/>
    <xf numFmtId="9" fontId="1" fillId="0" borderId="0" xfId="4" applyFont="1"/>
    <xf numFmtId="165" fontId="0" fillId="0" borderId="0" xfId="0" applyNumberFormat="1" applyBorder="1"/>
    <xf numFmtId="165" fontId="0" fillId="0" borderId="0" xfId="0" applyNumberFormat="1" applyFill="1" applyBorder="1"/>
    <xf numFmtId="0" fontId="11" fillId="0" borderId="0" xfId="3" applyFont="1" applyBorder="1" applyAlignment="1">
      <alignment horizontal="center"/>
    </xf>
    <xf numFmtId="14" fontId="0" fillId="0" borderId="0" xfId="0" applyNumberFormat="1" applyBorder="1"/>
    <xf numFmtId="14" fontId="0" fillId="0" borderId="0" xfId="0" applyNumberFormat="1" applyFill="1" applyBorder="1"/>
    <xf numFmtId="9" fontId="1" fillId="7" borderId="5" xfId="3" applyNumberFormat="1" applyFill="1" applyBorder="1"/>
    <xf numFmtId="10" fontId="0" fillId="0" borderId="0" xfId="0" applyNumberFormat="1" applyAlignment="1">
      <alignment horizontal="left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center"/>
    </xf>
    <xf numFmtId="0" fontId="0" fillId="8" borderId="0" xfId="0" applyFont="1" applyFill="1" applyAlignment="1">
      <alignment horizontal="center"/>
    </xf>
    <xf numFmtId="0" fontId="3" fillId="0" borderId="2" xfId="0" applyFont="1" applyBorder="1" applyAlignment="1">
      <alignment horizontal="left"/>
    </xf>
    <xf numFmtId="9" fontId="0" fillId="0" borderId="2" xfId="0" applyNumberFormat="1" applyFont="1" applyBorder="1" applyAlignment="1">
      <alignment horizontal="left"/>
    </xf>
    <xf numFmtId="0" fontId="0" fillId="0" borderId="2" xfId="0" applyFont="1" applyBorder="1" applyAlignment="1">
      <alignment horizontal="left"/>
    </xf>
    <xf numFmtId="10" fontId="0" fillId="0" borderId="2" xfId="0" applyNumberFormat="1" applyFont="1" applyBorder="1" applyAlignment="1">
      <alignment horizontal="left"/>
    </xf>
    <xf numFmtId="21" fontId="0" fillId="0" borderId="2" xfId="0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left" wrapText="1"/>
    </xf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3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 applyAlignment="1">
      <alignment horizontal="left"/>
    </xf>
    <xf numFmtId="21" fontId="0" fillId="0" borderId="4" xfId="0" applyNumberFormat="1" applyFont="1" applyBorder="1" applyAlignment="1">
      <alignment horizontal="left"/>
    </xf>
    <xf numFmtId="10" fontId="0" fillId="0" borderId="2" xfId="0" quotePrefix="1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1" fillId="0" borderId="0" xfId="3" applyFill="1"/>
    <xf numFmtId="10" fontId="11" fillId="7" borderId="5" xfId="3" applyNumberFormat="1" applyFont="1" applyFill="1" applyBorder="1"/>
    <xf numFmtId="0" fontId="12" fillId="15" borderId="8" xfId="0" applyFont="1" applyFill="1" applyBorder="1"/>
    <xf numFmtId="10" fontId="11" fillId="7" borderId="0" xfId="3" applyNumberFormat="1" applyFont="1" applyFill="1" applyBorder="1"/>
    <xf numFmtId="10" fontId="11" fillId="7" borderId="0" xfId="3" applyNumberFormat="1" applyFont="1" applyFill="1"/>
    <xf numFmtId="46" fontId="1" fillId="7" borderId="5" xfId="3" applyNumberFormat="1" applyFill="1" applyBorder="1"/>
    <xf numFmtId="0" fontId="1" fillId="0" borderId="0" xfId="3" quotePrefix="1" applyNumberFormat="1"/>
    <xf numFmtId="0" fontId="1" fillId="0" borderId="0" xfId="3" applyNumberFormat="1"/>
    <xf numFmtId="9" fontId="1" fillId="7" borderId="5" xfId="4" applyFont="1" applyFill="1" applyBorder="1"/>
    <xf numFmtId="9" fontId="1" fillId="7" borderId="0" xfId="4" applyFont="1" applyFill="1" applyBorder="1"/>
    <xf numFmtId="10" fontId="1" fillId="0" borderId="0" xfId="4" applyNumberFormat="1" applyFont="1" applyBorder="1"/>
    <xf numFmtId="10" fontId="1" fillId="0" borderId="0" xfId="3" applyNumberFormat="1"/>
    <xf numFmtId="10" fontId="1" fillId="0" borderId="0" xfId="4" applyNumberFormat="1" applyFont="1"/>
    <xf numFmtId="0" fontId="1" fillId="0" borderId="0" xfId="3" applyBorder="1" applyAlignment="1">
      <alignment horizontal="right"/>
    </xf>
    <xf numFmtId="14" fontId="1" fillId="7" borderId="0" xfId="3" applyNumberFormat="1" applyFill="1" applyBorder="1"/>
    <xf numFmtId="164" fontId="1" fillId="7" borderId="4" xfId="3" applyNumberFormat="1" applyFill="1" applyBorder="1"/>
    <xf numFmtId="164" fontId="1" fillId="7" borderId="5" xfId="3" applyNumberFormat="1" applyFill="1" applyBorder="1"/>
    <xf numFmtId="164" fontId="0" fillId="0" borderId="2" xfId="0" applyNumberFormat="1" applyFont="1" applyBorder="1" applyAlignment="1">
      <alignment horizontal="left"/>
    </xf>
    <xf numFmtId="0" fontId="0" fillId="0" borderId="0" xfId="0" applyFill="1" applyAlignment="1">
      <alignment wrapText="1"/>
    </xf>
    <xf numFmtId="0" fontId="0" fillId="0" borderId="5" xfId="0" applyFill="1" applyBorder="1"/>
    <xf numFmtId="0" fontId="12" fillId="9" borderId="10" xfId="0" applyFont="1" applyFill="1" applyBorder="1"/>
    <xf numFmtId="0" fontId="12" fillId="9" borderId="10" xfId="0" applyFont="1" applyFill="1" applyBorder="1" applyAlignment="1">
      <alignment horizontal="right"/>
    </xf>
    <xf numFmtId="0" fontId="12" fillId="9" borderId="10" xfId="0" applyNumberFormat="1" applyFont="1" applyFill="1" applyBorder="1"/>
    <xf numFmtId="10" fontId="12" fillId="9" borderId="10" xfId="4" applyNumberFormat="1" applyFont="1" applyFill="1" applyBorder="1"/>
    <xf numFmtId="0" fontId="12" fillId="12" borderId="10" xfId="0" applyFont="1" applyFill="1" applyBorder="1"/>
    <xf numFmtId="1" fontId="12" fillId="12" borderId="10" xfId="0" applyNumberFormat="1" applyFont="1" applyFill="1" applyBorder="1"/>
    <xf numFmtId="10" fontId="12" fillId="12" borderId="10" xfId="4" applyNumberFormat="1" applyFont="1" applyFill="1" applyBorder="1"/>
    <xf numFmtId="21" fontId="1" fillId="7" borderId="10" xfId="3" applyNumberFormat="1" applyFill="1" applyBorder="1"/>
    <xf numFmtId="0" fontId="1" fillId="7" borderId="10" xfId="3" applyFill="1" applyBorder="1"/>
    <xf numFmtId="0" fontId="1" fillId="7" borderId="10" xfId="3" applyFill="1" applyBorder="1" applyAlignment="1">
      <alignment horizontal="right"/>
    </xf>
    <xf numFmtId="0" fontId="1" fillId="7" borderId="10" xfId="3" applyFill="1" applyBorder="1" applyAlignment="1">
      <alignment horizontal="left"/>
    </xf>
    <xf numFmtId="2" fontId="1" fillId="7" borderId="10" xfId="3" applyNumberFormat="1" applyFill="1" applyBorder="1"/>
    <xf numFmtId="10" fontId="1" fillId="7" borderId="10" xfId="4" applyNumberFormat="1" applyFont="1" applyFill="1" applyBorder="1"/>
    <xf numFmtId="10" fontId="1" fillId="7" borderId="10" xfId="3" applyNumberFormat="1" applyFill="1" applyBorder="1"/>
    <xf numFmtId="21" fontId="1" fillId="13" borderId="10" xfId="3" applyNumberFormat="1" applyFill="1" applyBorder="1"/>
    <xf numFmtId="0" fontId="1" fillId="13" borderId="10" xfId="3" applyFill="1" applyBorder="1"/>
    <xf numFmtId="0" fontId="1" fillId="13" borderId="10" xfId="3" applyNumberFormat="1" applyFill="1" applyBorder="1"/>
    <xf numFmtId="1" fontId="1" fillId="13" borderId="10" xfId="3" applyNumberFormat="1" applyFill="1" applyBorder="1"/>
    <xf numFmtId="10" fontId="1" fillId="13" borderId="10" xfId="4" applyNumberFormat="1" applyFont="1" applyFill="1" applyBorder="1"/>
    <xf numFmtId="10" fontId="1" fillId="13" borderId="10" xfId="3" applyNumberFormat="1" applyFill="1" applyBorder="1"/>
    <xf numFmtId="9" fontId="1" fillId="7" borderId="10" xfId="3" applyNumberFormat="1" applyFill="1" applyBorder="1"/>
    <xf numFmtId="1" fontId="1" fillId="7" borderId="10" xfId="3" applyNumberFormat="1" applyFill="1" applyBorder="1"/>
    <xf numFmtId="9" fontId="1" fillId="7" borderId="10" xfId="3" applyNumberFormat="1" applyFill="1" applyBorder="1" applyAlignment="1">
      <alignment horizontal="right"/>
    </xf>
    <xf numFmtId="9" fontId="1" fillId="7" borderId="10" xfId="4" applyFont="1" applyFill="1" applyBorder="1" applyAlignment="1">
      <alignment horizontal="right"/>
    </xf>
    <xf numFmtId="9" fontId="1" fillId="7" borderId="10" xfId="4" applyFont="1" applyFill="1" applyBorder="1" applyAlignment="1">
      <alignment horizontal="left"/>
    </xf>
    <xf numFmtId="9" fontId="1" fillId="7" borderId="10" xfId="4" applyFont="1" applyFill="1" applyBorder="1" applyAlignment="1"/>
    <xf numFmtId="10" fontId="15" fillId="13" borderId="10" xfId="4" applyNumberFormat="1" applyFont="1" applyFill="1" applyBorder="1"/>
    <xf numFmtId="10" fontId="18" fillId="14" borderId="10" xfId="0" applyNumberFormat="1" applyFont="1" applyFill="1" applyBorder="1"/>
    <xf numFmtId="0" fontId="12" fillId="10" borderId="10" xfId="0" applyFont="1" applyFill="1" applyBorder="1"/>
    <xf numFmtId="21" fontId="1" fillId="11" borderId="10" xfId="3" applyNumberFormat="1" applyFill="1" applyBorder="1"/>
    <xf numFmtId="0" fontId="1" fillId="11" borderId="10" xfId="3" applyFill="1" applyBorder="1"/>
    <xf numFmtId="10" fontId="1" fillId="11" borderId="10" xfId="3" applyNumberFormat="1" applyFill="1" applyBorder="1"/>
    <xf numFmtId="9" fontId="1" fillId="11" borderId="10" xfId="3" applyNumberFormat="1" applyFill="1" applyBorder="1"/>
    <xf numFmtId="0" fontId="11" fillId="13" borderId="10" xfId="3" applyFont="1" applyFill="1" applyBorder="1" applyAlignment="1">
      <alignment horizontal="center"/>
    </xf>
    <xf numFmtId="0" fontId="12" fillId="11" borderId="10" xfId="0" applyFont="1" applyFill="1" applyBorder="1"/>
    <xf numFmtId="0" fontId="1" fillId="11" borderId="10" xfId="3" applyNumberFormat="1" applyFill="1" applyBorder="1"/>
    <xf numFmtId="2" fontId="1" fillId="11" borderId="10" xfId="3" applyNumberFormat="1" applyFill="1" applyBorder="1"/>
    <xf numFmtId="9" fontId="1" fillId="13" borderId="10" xfId="3" applyNumberFormat="1" applyFill="1" applyBorder="1"/>
    <xf numFmtId="46" fontId="1" fillId="7" borderId="10" xfId="3" applyNumberFormat="1" applyFill="1" applyBorder="1"/>
    <xf numFmtId="0" fontId="1" fillId="7" borderId="10" xfId="3" applyFill="1" applyBorder="1" applyAlignment="1">
      <alignment wrapText="1"/>
    </xf>
    <xf numFmtId="0" fontId="12" fillId="16" borderId="10" xfId="0" applyFont="1" applyFill="1" applyBorder="1"/>
    <xf numFmtId="1" fontId="12" fillId="16" borderId="10" xfId="0" applyNumberFormat="1" applyFont="1" applyFill="1" applyBorder="1"/>
    <xf numFmtId="0" fontId="1" fillId="17" borderId="10" xfId="3" applyNumberFormat="1" applyFill="1" applyBorder="1"/>
    <xf numFmtId="0" fontId="1" fillId="17" borderId="10" xfId="3" applyFill="1" applyBorder="1"/>
    <xf numFmtId="1" fontId="1" fillId="17" borderId="10" xfId="3" applyNumberFormat="1" applyFill="1" applyBorder="1"/>
    <xf numFmtId="1" fontId="1" fillId="0" borderId="0" xfId="3" applyNumberFormat="1" applyFill="1"/>
    <xf numFmtId="10" fontId="19" fillId="13" borderId="10" xfId="4" applyNumberFormat="1" applyFont="1" applyFill="1" applyBorder="1"/>
    <xf numFmtId="10" fontId="19" fillId="13" borderId="10" xfId="3" applyNumberFormat="1" applyFont="1" applyFill="1" applyBorder="1"/>
    <xf numFmtId="10" fontId="1" fillId="17" borderId="10" xfId="4" applyNumberFormat="1" applyFont="1" applyFill="1" applyBorder="1"/>
    <xf numFmtId="0" fontId="1" fillId="17" borderId="10" xfId="4" applyNumberFormat="1" applyFont="1" applyFill="1" applyBorder="1"/>
    <xf numFmtId="21" fontId="1" fillId="13" borderId="10" xfId="4" applyNumberFormat="1" applyFont="1" applyFill="1" applyBorder="1"/>
    <xf numFmtId="21" fontId="0" fillId="0" borderId="0" xfId="0" applyNumberFormat="1" applyFont="1" applyBorder="1" applyAlignment="1">
      <alignment horizontal="left"/>
    </xf>
    <xf numFmtId="0" fontId="1" fillId="7" borderId="10" xfId="3" applyFill="1" applyBorder="1" applyAlignment="1">
      <alignment horizontal="center"/>
    </xf>
    <xf numFmtId="0" fontId="1" fillId="7" borderId="10" xfId="3" applyFill="1" applyBorder="1" applyAlignment="1"/>
    <xf numFmtId="0" fontId="12" fillId="17" borderId="10" xfId="0" applyFont="1" applyFill="1" applyBorder="1"/>
    <xf numFmtId="1" fontId="1" fillId="11" borderId="10" xfId="3" applyNumberFormat="1" applyFill="1" applyBorder="1"/>
    <xf numFmtId="21" fontId="12" fillId="10" borderId="10" xfId="0" applyNumberFormat="1" applyFont="1" applyFill="1" applyBorder="1"/>
    <xf numFmtId="21" fontId="1" fillId="0" borderId="0" xfId="3" applyNumberFormat="1" applyFill="1"/>
    <xf numFmtId="10" fontId="12" fillId="10" borderId="10" xfId="4" applyNumberFormat="1" applyFont="1" applyFill="1" applyBorder="1"/>
    <xf numFmtId="10" fontId="1" fillId="11" borderId="10" xfId="4" applyNumberFormat="1" applyFont="1" applyFill="1" applyBorder="1"/>
    <xf numFmtId="10" fontId="1" fillId="0" borderId="0" xfId="4" applyNumberFormat="1" applyFont="1" applyFill="1"/>
    <xf numFmtId="10" fontId="12" fillId="10" borderId="12" xfId="4" applyNumberFormat="1" applyFont="1" applyFill="1" applyBorder="1"/>
    <xf numFmtId="10" fontId="1" fillId="11" borderId="12" xfId="4" applyNumberFormat="1" applyFont="1" applyFill="1" applyBorder="1"/>
    <xf numFmtId="0" fontId="11" fillId="11" borderId="10" xfId="3" applyFont="1" applyFill="1" applyBorder="1" applyAlignment="1">
      <alignment horizontal="center"/>
    </xf>
    <xf numFmtId="0" fontId="18" fillId="0" borderId="0" xfId="0" applyFont="1" applyAlignment="1">
      <alignment horizontal="left" wrapText="1"/>
    </xf>
    <xf numFmtId="0" fontId="0" fillId="0" borderId="3" xfId="0" applyBorder="1" applyAlignment="1">
      <alignment horizontal="left" wrapText="1"/>
    </xf>
    <xf numFmtId="0" fontId="2" fillId="0" borderId="1" xfId="0" applyFont="1" applyFill="1" applyBorder="1" applyAlignment="1">
      <alignment wrapText="1"/>
    </xf>
    <xf numFmtId="22" fontId="2" fillId="0" borderId="1" xfId="0" applyNumberFormat="1" applyFont="1" applyBorder="1" applyAlignment="1">
      <alignment wrapText="1"/>
    </xf>
    <xf numFmtId="2" fontId="2" fillId="0" borderId="1" xfId="0" applyNumberFormat="1" applyFont="1" applyBorder="1" applyAlignment="1">
      <alignment wrapText="1"/>
    </xf>
    <xf numFmtId="0" fontId="2" fillId="0" borderId="13" xfId="0" applyFont="1" applyBorder="1" applyAlignment="1">
      <alignment wrapText="1"/>
    </xf>
    <xf numFmtId="0" fontId="2" fillId="0" borderId="14" xfId="0" applyFont="1" applyBorder="1" applyAlignment="1">
      <alignment wrapText="1"/>
    </xf>
    <xf numFmtId="0" fontId="2" fillId="0" borderId="0" xfId="0" applyFont="1" applyFill="1" applyBorder="1" applyAlignment="1">
      <alignment wrapText="1"/>
    </xf>
    <xf numFmtId="1" fontId="1" fillId="0" borderId="0" xfId="3" applyNumberFormat="1" applyFill="1" applyBorder="1"/>
    <xf numFmtId="0" fontId="0" fillId="18" borderId="0" xfId="0" applyFill="1"/>
    <xf numFmtId="14" fontId="0" fillId="0" borderId="0" xfId="0" applyNumberFormat="1"/>
    <xf numFmtId="0" fontId="6" fillId="0" borderId="15" xfId="1" applyBorder="1"/>
    <xf numFmtId="22" fontId="0" fillId="0" borderId="15" xfId="0" applyNumberFormat="1" applyBorder="1"/>
    <xf numFmtId="21" fontId="0" fillId="0" borderId="15" xfId="0" applyNumberFormat="1" applyBorder="1"/>
    <xf numFmtId="0" fontId="0" fillId="0" borderId="13" xfId="0" applyBorder="1"/>
    <xf numFmtId="2" fontId="0" fillId="0" borderId="1" xfId="0" applyNumberFormat="1" applyBorder="1"/>
    <xf numFmtId="165" fontId="0" fillId="0" borderId="1" xfId="0" applyNumberFormat="1" applyBorder="1"/>
    <xf numFmtId="0" fontId="3" fillId="0" borderId="15" xfId="0" applyFont="1" applyBorder="1"/>
    <xf numFmtId="21" fontId="2" fillId="0" borderId="15" xfId="0" applyNumberFormat="1" applyFont="1" applyBorder="1"/>
    <xf numFmtId="0" fontId="2" fillId="0" borderId="15" xfId="0" applyFont="1" applyBorder="1"/>
    <xf numFmtId="0" fontId="2" fillId="0" borderId="13" xfId="0" applyFont="1" applyBorder="1"/>
    <xf numFmtId="14" fontId="2" fillId="0" borderId="1" xfId="0" applyNumberFormat="1" applyFont="1" applyBorder="1"/>
    <xf numFmtId="0" fontId="18" fillId="0" borderId="1" xfId="0" applyFont="1" applyBorder="1"/>
    <xf numFmtId="0" fontId="18" fillId="8" borderId="1" xfId="0" applyFont="1" applyFill="1" applyBorder="1"/>
    <xf numFmtId="21" fontId="18" fillId="8" borderId="1" xfId="0" applyNumberFormat="1" applyFont="1" applyFill="1" applyBorder="1"/>
    <xf numFmtId="21" fontId="18" fillId="0" borderId="1" xfId="0" applyNumberFormat="1" applyFont="1" applyBorder="1"/>
    <xf numFmtId="0" fontId="18" fillId="0" borderId="1" xfId="0" applyFont="1" applyBorder="1" applyAlignment="1">
      <alignment wrapText="1"/>
    </xf>
    <xf numFmtId="0" fontId="18" fillId="8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46" fontId="18" fillId="8" borderId="1" xfId="0" applyNumberFormat="1" applyFont="1" applyFill="1" applyBorder="1"/>
    <xf numFmtId="46" fontId="18" fillId="0" borderId="1" xfId="0" applyNumberFormat="1" applyFont="1" applyBorder="1"/>
    <xf numFmtId="0" fontId="3" fillId="0" borderId="1" xfId="0" applyFont="1" applyBorder="1"/>
    <xf numFmtId="0" fontId="12" fillId="0" borderId="1" xfId="0" applyFont="1" applyBorder="1"/>
    <xf numFmtId="0" fontId="12" fillId="8" borderId="1" xfId="0" applyFont="1" applyFill="1" applyBorder="1"/>
    <xf numFmtId="0" fontId="0" fillId="0" borderId="0" xfId="0" applyFont="1"/>
    <xf numFmtId="0" fontId="0" fillId="0" borderId="9" xfId="0" applyFont="1" applyBorder="1"/>
    <xf numFmtId="0" fontId="0" fillId="0" borderId="0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8" borderId="3" xfId="0" applyFont="1" applyFill="1" applyBorder="1"/>
    <xf numFmtId="0" fontId="0" fillId="8" borderId="5" xfId="0" applyFont="1" applyFill="1" applyBorder="1"/>
    <xf numFmtId="0" fontId="0" fillId="8" borderId="6" xfId="0" applyFont="1" applyFill="1" applyBorder="1"/>
    <xf numFmtId="0" fontId="3" fillId="0" borderId="7" xfId="0" applyFont="1" applyBorder="1"/>
    <xf numFmtId="0" fontId="3" fillId="0" borderId="9" xfId="0" applyFont="1" applyBorder="1"/>
    <xf numFmtId="0" fontId="3" fillId="0" borderId="2" xfId="0" applyFont="1" applyBorder="1"/>
    <xf numFmtId="0" fontId="0" fillId="0" borderId="0" xfId="0" applyFont="1" applyFill="1" applyBorder="1"/>
    <xf numFmtId="1" fontId="20" fillId="0" borderId="0" xfId="3" applyNumberFormat="1" applyFont="1" applyFill="1" applyBorder="1"/>
    <xf numFmtId="0" fontId="20" fillId="0" borderId="0" xfId="0" applyFont="1" applyFill="1"/>
    <xf numFmtId="21" fontId="20" fillId="0" borderId="0" xfId="0" applyNumberFormat="1" applyFont="1" applyFill="1"/>
    <xf numFmtId="2" fontId="20" fillId="0" borderId="0" xfId="0" applyNumberFormat="1" applyFont="1" applyFill="1"/>
    <xf numFmtId="0" fontId="21" fillId="5" borderId="0" xfId="1" applyFont="1" applyFill="1"/>
    <xf numFmtId="0" fontId="0" fillId="19" borderId="0" xfId="0" applyFill="1"/>
    <xf numFmtId="21" fontId="0" fillId="19" borderId="0" xfId="0" applyNumberFormat="1" applyFill="1"/>
    <xf numFmtId="0" fontId="6" fillId="19" borderId="0" xfId="1" applyFill="1"/>
    <xf numFmtId="2" fontId="0" fillId="19" borderId="0" xfId="0" applyNumberFormat="1" applyFill="1"/>
    <xf numFmtId="0" fontId="0" fillId="19" borderId="0" xfId="0" applyFill="1" applyBorder="1"/>
    <xf numFmtId="1" fontId="1" fillId="19" borderId="0" xfId="3" applyNumberFormat="1" applyFill="1" applyBorder="1"/>
    <xf numFmtId="21" fontId="0" fillId="3" borderId="0" xfId="0" applyNumberFormat="1" applyFill="1"/>
    <xf numFmtId="0" fontId="6" fillId="3" borderId="0" xfId="1" applyFill="1"/>
    <xf numFmtId="2" fontId="0" fillId="3" borderId="0" xfId="0" applyNumberFormat="1" applyFill="1"/>
    <xf numFmtId="1" fontId="1" fillId="3" borderId="0" xfId="3" applyNumberFormat="1" applyFill="1" applyBorder="1"/>
    <xf numFmtId="10" fontId="0" fillId="0" borderId="0" xfId="4" applyNumberFormat="1" applyFont="1"/>
    <xf numFmtId="10" fontId="0" fillId="0" borderId="0" xfId="4" applyNumberFormat="1" applyFont="1" applyAlignment="1">
      <alignment wrapText="1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8" fillId="0" borderId="0" xfId="0" applyFont="1"/>
    <xf numFmtId="0" fontId="0" fillId="0" borderId="0" xfId="0" applyAlignment="1">
      <alignment horizontal="center" textRotation="90"/>
    </xf>
    <xf numFmtId="21" fontId="18" fillId="0" borderId="0" xfId="0" applyNumberFormat="1" applyFont="1"/>
    <xf numFmtId="2" fontId="18" fillId="0" borderId="0" xfId="0" applyNumberFormat="1" applyFont="1"/>
    <xf numFmtId="1" fontId="18" fillId="0" borderId="0" xfId="0" applyNumberFormat="1" applyFont="1"/>
    <xf numFmtId="0" fontId="20" fillId="0" borderId="0" xfId="0" applyFont="1" applyAlignment="1">
      <alignment wrapText="1"/>
    </xf>
    <xf numFmtId="2" fontId="20" fillId="0" borderId="0" xfId="0" applyNumberFormat="1" applyFont="1" applyAlignment="1">
      <alignment wrapText="1"/>
    </xf>
    <xf numFmtId="22" fontId="20" fillId="0" borderId="0" xfId="0" applyNumberFormat="1" applyFont="1" applyAlignment="1">
      <alignment wrapText="1"/>
    </xf>
    <xf numFmtId="0" fontId="0" fillId="8" borderId="0" xfId="0" applyFont="1" applyFill="1" applyBorder="1" applyAlignment="1">
      <alignment horizontal="right"/>
    </xf>
    <xf numFmtId="0" fontId="0" fillId="8" borderId="3" xfId="0" applyFont="1" applyFill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8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3" xfId="0" applyFont="1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9" xfId="0" applyFont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8" borderId="5" xfId="0" applyFont="1" applyFill="1" applyBorder="1" applyAlignment="1">
      <alignment horizontal="right"/>
    </xf>
    <xf numFmtId="0" fontId="0" fillId="8" borderId="6" xfId="0" applyFont="1" applyFill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6" xfId="0" applyFont="1" applyBorder="1" applyAlignment="1">
      <alignment horizontal="right"/>
    </xf>
    <xf numFmtId="0" fontId="0" fillId="8" borderId="7" xfId="0" applyFont="1" applyFill="1" applyBorder="1" applyAlignment="1">
      <alignment horizontal="right"/>
    </xf>
    <xf numFmtId="0" fontId="0" fillId="8" borderId="8" xfId="0" applyFont="1" applyFill="1" applyBorder="1" applyAlignment="1">
      <alignment horizontal="right"/>
    </xf>
    <xf numFmtId="0" fontId="0" fillId="8" borderId="2" xfId="0" applyFont="1" applyFill="1" applyBorder="1" applyAlignment="1">
      <alignment horizontal="right"/>
    </xf>
    <xf numFmtId="0" fontId="0" fillId="3" borderId="0" xfId="0" applyFont="1" applyFill="1" applyBorder="1" applyAlignment="1">
      <alignment horizontal="right"/>
    </xf>
    <xf numFmtId="0" fontId="0" fillId="3" borderId="2" xfId="0" applyFont="1" applyFill="1" applyBorder="1" applyAlignment="1">
      <alignment horizontal="right"/>
    </xf>
    <xf numFmtId="0" fontId="0" fillId="8" borderId="4" xfId="0" applyFont="1" applyFill="1" applyBorder="1" applyAlignment="1">
      <alignment horizontal="right"/>
    </xf>
    <xf numFmtId="0" fontId="0" fillId="0" borderId="2" xfId="0" applyFont="1" applyFill="1" applyBorder="1" applyAlignment="1">
      <alignment horizontal="right"/>
    </xf>
    <xf numFmtId="0" fontId="0" fillId="0" borderId="8" xfId="0" applyFont="1" applyFill="1" applyBorder="1" applyAlignment="1">
      <alignment horizontal="right"/>
    </xf>
    <xf numFmtId="0" fontId="0" fillId="20" borderId="0" xfId="0" applyFill="1"/>
    <xf numFmtId="0" fontId="0" fillId="3" borderId="0" xfId="0" applyFill="1" applyAlignment="1">
      <alignment horizontal="right"/>
    </xf>
    <xf numFmtId="0" fontId="0" fillId="4" borderId="0" xfId="0" applyFont="1" applyFill="1" applyBorder="1" applyAlignment="1">
      <alignment horizontal="right"/>
    </xf>
    <xf numFmtId="0" fontId="0" fillId="0" borderId="9" xfId="0" applyFont="1" applyFill="1" applyBorder="1"/>
    <xf numFmtId="0" fontId="0" fillId="0" borderId="7" xfId="0" applyFont="1" applyFill="1" applyBorder="1" applyAlignment="1">
      <alignment horizontal="right"/>
    </xf>
    <xf numFmtId="0" fontId="0" fillId="0" borderId="9" xfId="0" applyFont="1" applyFill="1" applyBorder="1" applyAlignment="1">
      <alignment horizontal="right"/>
    </xf>
    <xf numFmtId="0" fontId="0" fillId="0" borderId="3" xfId="0" applyFont="1" applyFill="1" applyBorder="1"/>
    <xf numFmtId="0" fontId="0" fillId="0" borderId="3" xfId="0" applyFont="1" applyFill="1" applyBorder="1" applyAlignment="1">
      <alignment horizontal="right"/>
    </xf>
    <xf numFmtId="0" fontId="0" fillId="0" borderId="6" xfId="0" applyFont="1" applyFill="1" applyBorder="1" applyAlignment="1">
      <alignment horizontal="right"/>
    </xf>
    <xf numFmtId="0" fontId="0" fillId="0" borderId="5" xfId="0" applyFont="1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8" xfId="0" applyFill="1" applyBorder="1" applyAlignment="1">
      <alignment horizontal="right"/>
    </xf>
    <xf numFmtId="0" fontId="0" fillId="0" borderId="5" xfId="0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8" xfId="0" applyFont="1" applyFill="1" applyBorder="1"/>
    <xf numFmtId="0" fontId="0" fillId="0" borderId="5" xfId="0" applyFont="1" applyFill="1" applyBorder="1"/>
    <xf numFmtId="0" fontId="0" fillId="0" borderId="0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4" borderId="0" xfId="0" applyFill="1" applyAlignment="1">
      <alignment horizontal="right"/>
    </xf>
    <xf numFmtId="0" fontId="0" fillId="3" borderId="3" xfId="0" applyFont="1" applyFill="1" applyBorder="1" applyAlignment="1">
      <alignment horizontal="right"/>
    </xf>
    <xf numFmtId="0" fontId="22" fillId="0" borderId="1" xfId="0" applyFont="1" applyBorder="1"/>
    <xf numFmtId="14" fontId="22" fillId="0" borderId="1" xfId="0" applyNumberFormat="1" applyFont="1" applyBorder="1"/>
    <xf numFmtId="22" fontId="22" fillId="0" borderId="1" xfId="0" applyNumberFormat="1" applyFont="1" applyBorder="1"/>
    <xf numFmtId="0" fontId="22" fillId="0" borderId="13" xfId="0" applyFont="1" applyBorder="1"/>
    <xf numFmtId="0" fontId="22" fillId="0" borderId="15" xfId="0" applyFont="1" applyBorder="1"/>
    <xf numFmtId="21" fontId="22" fillId="0" borderId="15" xfId="0" applyNumberFormat="1" applyFont="1" applyBorder="1"/>
    <xf numFmtId="0" fontId="22" fillId="0" borderId="1" xfId="0" applyFont="1" applyBorder="1" applyAlignment="1">
      <alignment wrapText="1"/>
    </xf>
    <xf numFmtId="2" fontId="22" fillId="0" borderId="1" xfId="0" applyNumberFormat="1" applyFont="1" applyBorder="1" applyAlignment="1">
      <alignment wrapText="1"/>
    </xf>
    <xf numFmtId="0" fontId="22" fillId="0" borderId="13" xfId="0" applyFont="1" applyBorder="1" applyAlignment="1">
      <alignment wrapText="1"/>
    </xf>
    <xf numFmtId="0" fontId="22" fillId="0" borderId="0" xfId="0" applyFont="1" applyAlignment="1">
      <alignment wrapText="1"/>
    </xf>
    <xf numFmtId="0" fontId="22" fillId="0" borderId="14" xfId="0" applyFont="1" applyBorder="1" applyAlignment="1">
      <alignment wrapText="1"/>
    </xf>
    <xf numFmtId="22" fontId="22" fillId="0" borderId="1" xfId="0" applyNumberFormat="1" applyFont="1" applyBorder="1" applyAlignment="1">
      <alignment wrapText="1"/>
    </xf>
    <xf numFmtId="1" fontId="1" fillId="0" borderId="0" xfId="3" applyNumberFormat="1"/>
    <xf numFmtId="10" fontId="20" fillId="0" borderId="0" xfId="4" applyNumberFormat="1" applyFont="1" applyAlignment="1">
      <alignment wrapText="1"/>
    </xf>
    <xf numFmtId="0" fontId="0" fillId="8" borderId="9" xfId="0" applyFont="1" applyFill="1" applyBorder="1"/>
    <xf numFmtId="10" fontId="22" fillId="0" borderId="1" xfId="4" applyNumberFormat="1" applyFont="1" applyBorder="1" applyAlignment="1">
      <alignment wrapText="1"/>
    </xf>
    <xf numFmtId="0" fontId="20" fillId="0" borderId="0" xfId="0" applyFont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2" xfId="0" applyFill="1" applyBorder="1"/>
    <xf numFmtId="0" fontId="0" fillId="8" borderId="0" xfId="0" applyFill="1" applyBorder="1"/>
    <xf numFmtId="0" fontId="0" fillId="8" borderId="3" xfId="0" applyFill="1" applyBorder="1"/>
    <xf numFmtId="0" fontId="0" fillId="21" borderId="0" xfId="0" applyFill="1"/>
    <xf numFmtId="0" fontId="0" fillId="22" borderId="0" xfId="0" applyFill="1"/>
    <xf numFmtId="0" fontId="0" fillId="2" borderId="0" xfId="0" quotePrefix="1" applyFill="1"/>
    <xf numFmtId="0" fontId="0" fillId="19" borderId="0" xfId="0" applyFont="1" applyFill="1" applyBorder="1" applyAlignment="1">
      <alignment horizontal="right"/>
    </xf>
    <xf numFmtId="0" fontId="0" fillId="8" borderId="0" xfId="0" applyFill="1" applyAlignment="1">
      <alignment horizontal="right"/>
    </xf>
    <xf numFmtId="0" fontId="0" fillId="8" borderId="3" xfId="0" applyFill="1" applyBorder="1" applyAlignment="1">
      <alignment horizontal="right"/>
    </xf>
    <xf numFmtId="0" fontId="0" fillId="8" borderId="2" xfId="0" applyFill="1" applyBorder="1" applyAlignment="1">
      <alignment horizontal="right"/>
    </xf>
    <xf numFmtId="0" fontId="0" fillId="8" borderId="8" xfId="0" applyFill="1" applyBorder="1" applyAlignment="1">
      <alignment horizontal="right"/>
    </xf>
    <xf numFmtId="0" fontId="0" fillId="8" borderId="7" xfId="0" applyFill="1" applyBorder="1" applyAlignment="1">
      <alignment horizontal="right"/>
    </xf>
    <xf numFmtId="0" fontId="0" fillId="21" borderId="0" xfId="0" applyFont="1" applyFill="1" applyBorder="1" applyAlignment="1">
      <alignment horizontal="right"/>
    </xf>
    <xf numFmtId="0" fontId="0" fillId="8" borderId="0" xfId="0" applyFill="1" applyBorder="1" applyAlignment="1">
      <alignment horizontal="right"/>
    </xf>
    <xf numFmtId="0" fontId="0" fillId="19" borderId="0" xfId="0" applyFill="1" applyAlignment="1">
      <alignment horizontal="right"/>
    </xf>
    <xf numFmtId="0" fontId="0" fillId="4" borderId="0" xfId="0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0" fontId="0" fillId="19" borderId="0" xfId="0" applyFill="1" applyBorder="1" applyAlignment="1">
      <alignment horizontal="right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0" fillId="8" borderId="9" xfId="0" applyFill="1" applyBorder="1" applyAlignment="1">
      <alignment horizontal="right"/>
    </xf>
    <xf numFmtId="1" fontId="0" fillId="0" borderId="0" xfId="0" applyNumberFormat="1"/>
    <xf numFmtId="21" fontId="20" fillId="0" borderId="0" xfId="0" applyNumberFormat="1" applyFont="1"/>
    <xf numFmtId="0" fontId="21" fillId="23" borderId="0" xfId="0" applyFont="1" applyFill="1"/>
    <xf numFmtId="2" fontId="20" fillId="0" borderId="0" xfId="0" applyNumberFormat="1" applyFont="1"/>
    <xf numFmtId="1" fontId="20" fillId="0" borderId="0" xfId="0" applyNumberFormat="1" applyFont="1"/>
    <xf numFmtId="0" fontId="18" fillId="0" borderId="2" xfId="0" applyFont="1" applyBorder="1"/>
    <xf numFmtId="0" fontId="22" fillId="0" borderId="16" xfId="0" applyFont="1" applyBorder="1" applyAlignment="1">
      <alignment wrapText="1"/>
    </xf>
    <xf numFmtId="0" fontId="20" fillId="0" borderId="2" xfId="0" applyFont="1" applyBorder="1"/>
    <xf numFmtId="0" fontId="18" fillId="0" borderId="0" xfId="0" applyFont="1" applyFill="1"/>
    <xf numFmtId="21" fontId="18" fillId="0" borderId="0" xfId="0" applyNumberFormat="1" applyFont="1" applyFill="1"/>
    <xf numFmtId="1" fontId="18" fillId="0" borderId="0" xfId="0" applyNumberFormat="1" applyFont="1" applyFill="1"/>
    <xf numFmtId="2" fontId="23" fillId="0" borderId="0" xfId="0" applyNumberFormat="1" applyFont="1" applyFill="1"/>
    <xf numFmtId="2" fontId="18" fillId="0" borderId="0" xfId="0" applyNumberFormat="1" applyFont="1" applyFill="1"/>
    <xf numFmtId="1" fontId="23" fillId="0" borderId="0" xfId="0" applyNumberFormat="1" applyFont="1" applyFill="1"/>
    <xf numFmtId="0" fontId="6" fillId="0" borderId="0" xfId="1" applyFill="1"/>
    <xf numFmtId="0" fontId="22" fillId="0" borderId="0" xfId="0" applyFont="1" applyFill="1" applyAlignment="1">
      <alignment wrapText="1"/>
    </xf>
    <xf numFmtId="10" fontId="0" fillId="0" borderId="0" xfId="4" applyNumberFormat="1" applyFont="1" applyFill="1"/>
    <xf numFmtId="10" fontId="18" fillId="0" borderId="0" xfId="0" applyNumberFormat="1" applyFont="1"/>
    <xf numFmtId="0" fontId="0" fillId="3" borderId="5" xfId="0" applyFill="1" applyBorder="1" applyAlignment="1">
      <alignment horizontal="right"/>
    </xf>
    <xf numFmtId="0" fontId="0" fillId="0" borderId="17" xfId="0" applyBorder="1"/>
    <xf numFmtId="10" fontId="20" fillId="0" borderId="5" xfId="4" applyNumberFormat="1" applyFont="1" applyBorder="1" applyAlignment="1">
      <alignment wrapText="1"/>
    </xf>
    <xf numFmtId="0" fontId="20" fillId="0" borderId="5" xfId="0" applyFont="1" applyBorder="1" applyAlignment="1">
      <alignment wrapText="1"/>
    </xf>
    <xf numFmtId="10" fontId="0" fillId="0" borderId="5" xfId="4" applyNumberFormat="1" applyFont="1" applyBorder="1"/>
    <xf numFmtId="10" fontId="0" fillId="0" borderId="5" xfId="4" applyNumberFormat="1" applyFont="1" applyFill="1" applyBorder="1"/>
    <xf numFmtId="10" fontId="18" fillId="0" borderId="5" xfId="0" applyNumberFormat="1" applyFont="1" applyBorder="1"/>
    <xf numFmtId="21" fontId="0" fillId="0" borderId="5" xfId="0" applyNumberFormat="1" applyBorder="1"/>
    <xf numFmtId="2" fontId="0" fillId="0" borderId="5" xfId="0" applyNumberFormat="1" applyBorder="1"/>
    <xf numFmtId="1" fontId="1" fillId="0" borderId="5" xfId="3" applyNumberFormat="1" applyFill="1" applyBorder="1"/>
    <xf numFmtId="22" fontId="22" fillId="0" borderId="13" xfId="0" applyNumberFormat="1" applyFont="1" applyBorder="1" applyAlignment="1">
      <alignment wrapText="1"/>
    </xf>
    <xf numFmtId="0" fontId="22" fillId="0" borderId="18" xfId="0" applyFont="1" applyBorder="1" applyAlignment="1">
      <alignment wrapText="1"/>
    </xf>
    <xf numFmtId="1" fontId="24" fillId="24" borderId="5" xfId="5" applyNumberFormat="1" applyBorder="1"/>
    <xf numFmtId="1" fontId="24" fillId="24" borderId="0" xfId="5" applyNumberFormat="1"/>
    <xf numFmtId="10" fontId="19" fillId="0" borderId="0" xfId="4" applyNumberFormat="1" applyFont="1" applyAlignment="1">
      <alignment wrapText="1"/>
    </xf>
    <xf numFmtId="9" fontId="18" fillId="0" borderId="0" xfId="0" applyNumberFormat="1" applyFont="1"/>
    <xf numFmtId="21" fontId="0" fillId="0" borderId="6" xfId="0" applyNumberFormat="1" applyBorder="1"/>
    <xf numFmtId="0" fontId="0" fillId="0" borderId="2" xfId="0" applyBorder="1" applyAlignment="1">
      <alignment wrapText="1"/>
    </xf>
    <xf numFmtId="10" fontId="0" fillId="0" borderId="0" xfId="4" applyNumberFormat="1" applyFont="1" applyBorder="1"/>
    <xf numFmtId="10" fontId="0" fillId="0" borderId="3" xfId="4" applyNumberFormat="1" applyFont="1" applyBorder="1"/>
    <xf numFmtId="0" fontId="18" fillId="0" borderId="0" xfId="0" applyFont="1" applyBorder="1"/>
    <xf numFmtId="0" fontId="18" fillId="0" borderId="4" xfId="0" applyFont="1" applyBorder="1"/>
    <xf numFmtId="10" fontId="0" fillId="0" borderId="6" xfId="4" applyNumberFormat="1" applyFont="1" applyBorder="1"/>
    <xf numFmtId="0" fontId="0" fillId="0" borderId="19" xfId="0" applyBorder="1"/>
    <xf numFmtId="0" fontId="0" fillId="0" borderId="20" xfId="0" applyBorder="1"/>
    <xf numFmtId="0" fontId="3" fillId="0" borderId="1" xfId="0" applyFont="1" applyBorder="1" applyAlignment="1">
      <alignment wrapText="1"/>
    </xf>
    <xf numFmtId="0" fontId="3" fillId="0" borderId="18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0" fillId="0" borderId="0" xfId="4" applyNumberFormat="1" applyFont="1" applyBorder="1"/>
    <xf numFmtId="10" fontId="0" fillId="0" borderId="3" xfId="4" applyNumberFormat="1" applyFont="1" applyBorder="1" applyAlignment="1">
      <alignment wrapText="1"/>
    </xf>
    <xf numFmtId="0" fontId="3" fillId="0" borderId="4" xfId="0" applyFont="1" applyBorder="1"/>
    <xf numFmtId="10" fontId="0" fillId="0" borderId="6" xfId="4" applyNumberFormat="1" applyFont="1" applyBorder="1" applyAlignment="1">
      <alignment wrapText="1"/>
    </xf>
    <xf numFmtId="10" fontId="0" fillId="0" borderId="0" xfId="4" applyNumberFormat="1" applyFont="1" applyBorder="1" applyAlignment="1">
      <alignment wrapText="1"/>
    </xf>
    <xf numFmtId="0" fontId="0" fillId="0" borderId="13" xfId="0" applyBorder="1" applyAlignment="1">
      <alignment wrapText="1"/>
    </xf>
    <xf numFmtId="0" fontId="3" fillId="0" borderId="13" xfId="0" applyFont="1" applyBorder="1" applyAlignment="1">
      <alignment wrapText="1"/>
    </xf>
    <xf numFmtId="0" fontId="18" fillId="0" borderId="16" xfId="0" applyFont="1" applyBorder="1"/>
    <xf numFmtId="10" fontId="0" fillId="0" borderId="5" xfId="4" applyNumberFormat="1" applyFont="1" applyBorder="1" applyAlignment="1">
      <alignment wrapText="1"/>
    </xf>
    <xf numFmtId="0" fontId="18" fillId="8" borderId="2" xfId="0" applyFont="1" applyFill="1" applyBorder="1"/>
    <xf numFmtId="0" fontId="0" fillId="8" borderId="19" xfId="0" applyFill="1" applyBorder="1"/>
    <xf numFmtId="10" fontId="0" fillId="8" borderId="0" xfId="4" applyNumberFormat="1" applyFont="1" applyFill="1" applyBorder="1"/>
    <xf numFmtId="10" fontId="0" fillId="8" borderId="3" xfId="4" applyNumberFormat="1" applyFont="1" applyFill="1" applyBorder="1"/>
    <xf numFmtId="10" fontId="0" fillId="8" borderId="0" xfId="4" applyNumberFormat="1" applyFont="1" applyFill="1"/>
    <xf numFmtId="0" fontId="18" fillId="2" borderId="1" xfId="0" applyFont="1" applyFill="1" applyBorder="1"/>
    <xf numFmtId="0" fontId="12" fillId="12" borderId="12" xfId="0" applyFont="1" applyFill="1" applyBorder="1"/>
    <xf numFmtId="10" fontId="1" fillId="13" borderId="12" xfId="3" applyNumberFormat="1" applyFill="1" applyBorder="1"/>
    <xf numFmtId="21" fontId="12" fillId="10" borderId="21" xfId="0" applyNumberFormat="1" applyFont="1" applyFill="1" applyBorder="1"/>
    <xf numFmtId="0" fontId="12" fillId="10" borderId="21" xfId="0" applyFont="1" applyFill="1" applyBorder="1"/>
    <xf numFmtId="21" fontId="18" fillId="10" borderId="21" xfId="0" applyNumberFormat="1" applyFont="1" applyFill="1" applyBorder="1"/>
    <xf numFmtId="0" fontId="18" fillId="10" borderId="21" xfId="0" applyFont="1" applyFill="1" applyBorder="1"/>
    <xf numFmtId="10" fontId="25" fillId="10" borderId="21" xfId="0" applyNumberFormat="1" applyFont="1" applyFill="1" applyBorder="1"/>
    <xf numFmtId="10" fontId="18" fillId="10" borderId="21" xfId="0" applyNumberFormat="1" applyFont="1" applyFill="1" applyBorder="1"/>
    <xf numFmtId="0" fontId="1" fillId="11" borderId="21" xfId="3" applyFill="1" applyBorder="1"/>
    <xf numFmtId="10" fontId="15" fillId="7" borderId="10" xfId="4" applyNumberFormat="1" applyFont="1" applyFill="1" applyBorder="1"/>
    <xf numFmtId="0" fontId="1" fillId="7" borderId="10" xfId="3" applyNumberFormat="1" applyFill="1" applyBorder="1"/>
    <xf numFmtId="21" fontId="12" fillId="9" borderId="21" xfId="0" applyNumberFormat="1" applyFont="1" applyFill="1" applyBorder="1"/>
    <xf numFmtId="0" fontId="12" fillId="9" borderId="21" xfId="0" applyFont="1" applyFill="1" applyBorder="1"/>
    <xf numFmtId="21" fontId="18" fillId="9" borderId="21" xfId="0" applyNumberFormat="1" applyFont="1" applyFill="1" applyBorder="1"/>
    <xf numFmtId="0" fontId="18" fillId="9" borderId="21" xfId="0" applyFont="1" applyFill="1" applyBorder="1"/>
    <xf numFmtId="10" fontId="25" fillId="9" borderId="21" xfId="0" applyNumberFormat="1" applyFont="1" applyFill="1" applyBorder="1"/>
    <xf numFmtId="10" fontId="18" fillId="9" borderId="21" xfId="0" applyNumberFormat="1" applyFont="1" applyFill="1" applyBorder="1"/>
    <xf numFmtId="0" fontId="1" fillId="7" borderId="21" xfId="3" applyFill="1" applyBorder="1"/>
    <xf numFmtId="10" fontId="1" fillId="7" borderId="0" xfId="3" applyNumberFormat="1" applyFill="1"/>
    <xf numFmtId="10" fontId="26" fillId="7" borderId="10" xfId="4" applyNumberFormat="1" applyFont="1" applyFill="1" applyBorder="1"/>
    <xf numFmtId="10" fontId="1" fillId="7" borderId="21" xfId="3" applyNumberFormat="1" applyFill="1" applyBorder="1"/>
    <xf numFmtId="10" fontId="1" fillId="11" borderId="21" xfId="3" applyNumberFormat="1" applyFill="1" applyBorder="1"/>
    <xf numFmtId="21" fontId="1" fillId="0" borderId="0" xfId="3" applyNumberFormat="1" applyBorder="1"/>
    <xf numFmtId="21" fontId="1" fillId="11" borderId="21" xfId="3" applyNumberFormat="1" applyFill="1" applyBorder="1"/>
    <xf numFmtId="0" fontId="3" fillId="0" borderId="1" xfId="0" applyFont="1" applyBorder="1" applyAlignment="1">
      <alignment horizontal="center" vertical="center"/>
    </xf>
    <xf numFmtId="0" fontId="3" fillId="7" borderId="18" xfId="0" applyFont="1" applyFill="1" applyBorder="1" applyAlignment="1">
      <alignment wrapText="1"/>
    </xf>
    <xf numFmtId="10" fontId="0" fillId="7" borderId="0" xfId="4" applyNumberFormat="1" applyFont="1" applyFill="1" applyBorder="1" applyAlignment="1">
      <alignment wrapText="1"/>
    </xf>
    <xf numFmtId="10" fontId="0" fillId="7" borderId="0" xfId="4" applyNumberFormat="1" applyFont="1" applyFill="1" applyBorder="1"/>
    <xf numFmtId="10" fontId="0" fillId="7" borderId="5" xfId="4" applyNumberFormat="1" applyFont="1" applyFill="1" applyBorder="1"/>
    <xf numFmtId="0" fontId="1" fillId="7" borderId="4" xfId="3" applyFill="1" applyBorder="1"/>
    <xf numFmtId="0" fontId="1" fillId="7" borderId="6" xfId="3" applyFill="1" applyBorder="1"/>
    <xf numFmtId="46" fontId="0" fillId="0" borderId="0" xfId="0" applyNumberFormat="1" applyFont="1" applyAlignment="1">
      <alignment horizontal="left"/>
    </xf>
    <xf numFmtId="46" fontId="0" fillId="0" borderId="0" xfId="0" applyNumberFormat="1" applyFont="1" applyFill="1" applyAlignment="1">
      <alignment horizontal="left"/>
    </xf>
    <xf numFmtId="10" fontId="0" fillId="0" borderId="0" xfId="0" applyNumberFormat="1" applyFont="1" applyAlignment="1">
      <alignment horizontal="left"/>
    </xf>
    <xf numFmtId="9" fontId="0" fillId="0" borderId="0" xfId="0" applyNumberFormat="1" applyFont="1" applyFill="1" applyAlignment="1">
      <alignment horizontal="left"/>
    </xf>
    <xf numFmtId="9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quotePrefix="1" applyFont="1" applyAlignment="1">
      <alignment horizontal="left"/>
    </xf>
    <xf numFmtId="0" fontId="0" fillId="0" borderId="2" xfId="0" quotePrefix="1" applyFont="1" applyBorder="1" applyAlignment="1">
      <alignment horizontal="left"/>
    </xf>
    <xf numFmtId="9" fontId="13" fillId="0" borderId="0" xfId="4" applyFont="1" applyAlignment="1">
      <alignment horizontal="left"/>
    </xf>
    <xf numFmtId="164" fontId="0" fillId="0" borderId="0" xfId="0" applyNumberFormat="1" applyFont="1" applyAlignment="1">
      <alignment horizontal="left"/>
    </xf>
    <xf numFmtId="21" fontId="0" fillId="0" borderId="0" xfId="0" applyNumberFormat="1" applyFont="1" applyAlignment="1">
      <alignment horizontal="left"/>
    </xf>
    <xf numFmtId="10" fontId="13" fillId="0" borderId="0" xfId="4" applyNumberFormat="1" applyFont="1" applyAlignment="1">
      <alignment horizontal="left"/>
    </xf>
    <xf numFmtId="21" fontId="0" fillId="0" borderId="11" xfId="0" applyNumberFormat="1" applyFont="1" applyBorder="1" applyAlignment="1">
      <alignment horizontal="left"/>
    </xf>
    <xf numFmtId="10" fontId="18" fillId="0" borderId="0" xfId="0" applyNumberFormat="1" applyFont="1" applyAlignment="1">
      <alignment horizontal="left"/>
    </xf>
    <xf numFmtId="21" fontId="0" fillId="0" borderId="5" xfId="0" applyNumberFormat="1" applyFont="1" applyBorder="1" applyAlignment="1">
      <alignment horizontal="left"/>
    </xf>
    <xf numFmtId="10" fontId="0" fillId="0" borderId="5" xfId="0" applyNumberFormat="1" applyFont="1" applyBorder="1" applyAlignment="1">
      <alignment horizontal="left"/>
    </xf>
    <xf numFmtId="9" fontId="0" fillId="0" borderId="5" xfId="0" applyNumberFormat="1" applyFont="1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0" xfId="0" applyAlignment="1">
      <alignment horizontal="left" vertical="top" wrapText="1"/>
    </xf>
    <xf numFmtId="0" fontId="3" fillId="8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8" borderId="1" xfId="0" applyFont="1" applyFill="1" applyBorder="1" applyAlignment="1">
      <alignment horizontal="center"/>
    </xf>
    <xf numFmtId="0" fontId="0" fillId="0" borderId="8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18" fillId="0" borderId="8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3" fillId="0" borderId="7" xfId="0" applyFont="1" applyBorder="1" applyAlignment="1">
      <alignment horizontal="center" vertical="center" textRotation="90"/>
    </xf>
    <xf numFmtId="0" fontId="3" fillId="0" borderId="2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0" fillId="0" borderId="0" xfId="0" applyAlignment="1">
      <alignment horizontal="center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center"/>
    </xf>
  </cellXfs>
  <cellStyles count="6">
    <cellStyle name="Good" xfId="5" builtinId="26"/>
    <cellStyle name="Hyperlink" xfId="1" builtinId="8"/>
    <cellStyle name="Normal" xfId="0" builtinId="0"/>
    <cellStyle name="Normal 2" xfId="2" xr:uid="{4F183393-4D60-0F45-98D4-449CA4D6FCCC}"/>
    <cellStyle name="Normal 3" xfId="3" xr:uid="{14C3558B-2954-A743-97A1-895F7B486468}"/>
    <cellStyle name="Per cent" xfId="4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Barriers per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'Kalkulationen gesamt'!$C$34</c:f>
              <c:strCache>
                <c:ptCount val="1"/>
                <c:pt idx="0">
                  <c:v>gate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gesamt'!$C$35:$C$50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0-8C4E-95D9-686804B20CB2}"/>
            </c:ext>
          </c:extLst>
        </c:ser>
        <c:ser>
          <c:idx val="1"/>
          <c:order val="1"/>
          <c:tx>
            <c:strRef>
              <c:f>'Kalkulationen gesamt'!$D$34</c:f>
              <c:strCache>
                <c:ptCount val="1"/>
                <c:pt idx="0">
                  <c:v>bollard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gesamt'!$D$35:$D$50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0-8C4E-95D9-686804B20CB2}"/>
            </c:ext>
          </c:extLst>
        </c:ser>
        <c:ser>
          <c:idx val="2"/>
          <c:order val="2"/>
          <c:tx>
            <c:strRef>
              <c:f>'Kalkulationen gesamt'!$E$34</c:f>
              <c:strCache>
                <c:ptCount val="1"/>
                <c:pt idx="0">
                  <c:v>kerb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gesamt'!$E$35:$E$50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14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11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0-8C4E-95D9-686804B20CB2}"/>
            </c:ext>
          </c:extLst>
        </c:ser>
        <c:ser>
          <c:idx val="3"/>
          <c:order val="3"/>
          <c:tx>
            <c:strRef>
              <c:f>'Kalkulationen gesamt'!$F$34</c:f>
              <c:strCache>
                <c:ptCount val="1"/>
                <c:pt idx="0">
                  <c:v>stair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gesamt'!$F$35:$F$50</c:f>
              <c:numCache>
                <c:formatCode>General</c:formatCode>
                <c:ptCount val="16"/>
                <c:pt idx="0">
                  <c:v>6</c:v>
                </c:pt>
                <c:pt idx="1">
                  <c:v>8</c:v>
                </c:pt>
                <c:pt idx="2">
                  <c:v>2</c:v>
                </c:pt>
                <c:pt idx="3">
                  <c:v>12</c:v>
                </c:pt>
                <c:pt idx="4">
                  <c:v>20</c:v>
                </c:pt>
                <c:pt idx="5">
                  <c:v>35</c:v>
                </c:pt>
                <c:pt idx="6">
                  <c:v>26</c:v>
                </c:pt>
                <c:pt idx="7">
                  <c:v>17</c:v>
                </c:pt>
                <c:pt idx="8">
                  <c:v>15</c:v>
                </c:pt>
                <c:pt idx="9">
                  <c:v>32</c:v>
                </c:pt>
                <c:pt idx="10">
                  <c:v>8</c:v>
                </c:pt>
                <c:pt idx="11">
                  <c:v>1</c:v>
                </c:pt>
                <c:pt idx="12">
                  <c:v>17</c:v>
                </c:pt>
                <c:pt idx="13">
                  <c:v>12</c:v>
                </c:pt>
                <c:pt idx="14">
                  <c:v>19</c:v>
                </c:pt>
                <c:pt idx="1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0-8C4E-95D9-686804B20CB2}"/>
            </c:ext>
          </c:extLst>
        </c:ser>
        <c:ser>
          <c:idx val="4"/>
          <c:order val="4"/>
          <c:tx>
            <c:strRef>
              <c:f>'Kalkulationen gesamt'!$G$34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gesamt'!$G$35:$G$50</c:f>
              <c:numCache>
                <c:formatCode>General</c:formatCode>
                <c:ptCount val="1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80-8C4E-95D9-686804B20CB2}"/>
            </c:ext>
          </c:extLst>
        </c:ser>
        <c:ser>
          <c:idx val="5"/>
          <c:order val="5"/>
          <c:tx>
            <c:strRef>
              <c:f>'Kalkulationen gesamt'!$H$34</c:f>
              <c:strCache>
                <c:ptCount val="1"/>
                <c:pt idx="0">
                  <c:v>cycle_barrier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gesamt'!$H$35:$H$50</c:f>
              <c:numCache>
                <c:formatCode>General</c:formatCode>
                <c:ptCount val="1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80-8C4E-95D9-686804B20CB2}"/>
            </c:ext>
          </c:extLst>
        </c:ser>
        <c:ser>
          <c:idx val="6"/>
          <c:order val="6"/>
          <c:tx>
            <c:strRef>
              <c:f>'Kalkulationen gesamt'!$I$34</c:f>
              <c:strCache>
                <c:ptCount val="1"/>
                <c:pt idx="0">
                  <c:v>block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gesamt'!$I$35:$I$50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11</c:v>
                </c:pt>
                <c:pt idx="6">
                  <c:v>3</c:v>
                </c:pt>
                <c:pt idx="7">
                  <c:v>1</c:v>
                </c:pt>
                <c:pt idx="8">
                  <c:v>9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80-8C4E-95D9-686804B20CB2}"/>
            </c:ext>
          </c:extLst>
        </c:ser>
        <c:ser>
          <c:idx val="7"/>
          <c:order val="7"/>
          <c:tx>
            <c:strRef>
              <c:f>'Kalkulationen gesamt'!$J$34</c:f>
              <c:strCache>
                <c:ptCount val="1"/>
                <c:pt idx="0">
                  <c:v>planter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gesamt'!$J$35:$J$50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80-8C4E-95D9-686804B20CB2}"/>
            </c:ext>
          </c:extLst>
        </c:ser>
        <c:ser>
          <c:idx val="8"/>
          <c:order val="8"/>
          <c:tx>
            <c:strRef>
              <c:f>'Kalkulationen gesamt'!$K$34</c:f>
              <c:strCache>
                <c:ptCount val="1"/>
                <c:pt idx="0">
                  <c:v>problematic_way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gesamt'!$K$35:$K$50</c:f>
              <c:numCache>
                <c:formatCode>General</c:formatCode>
                <c:ptCount val="16"/>
                <c:pt idx="0">
                  <c:v>14</c:v>
                </c:pt>
                <c:pt idx="1">
                  <c:v>20</c:v>
                </c:pt>
                <c:pt idx="2">
                  <c:v>35</c:v>
                </c:pt>
                <c:pt idx="3">
                  <c:v>34</c:v>
                </c:pt>
                <c:pt idx="4">
                  <c:v>64</c:v>
                </c:pt>
                <c:pt idx="5">
                  <c:v>131</c:v>
                </c:pt>
                <c:pt idx="6">
                  <c:v>42</c:v>
                </c:pt>
                <c:pt idx="7">
                  <c:v>34</c:v>
                </c:pt>
                <c:pt idx="8">
                  <c:v>30</c:v>
                </c:pt>
                <c:pt idx="9">
                  <c:v>70</c:v>
                </c:pt>
                <c:pt idx="10">
                  <c:v>9</c:v>
                </c:pt>
                <c:pt idx="11">
                  <c:v>16</c:v>
                </c:pt>
                <c:pt idx="12">
                  <c:v>22</c:v>
                </c:pt>
                <c:pt idx="13">
                  <c:v>37</c:v>
                </c:pt>
                <c:pt idx="14">
                  <c:v>12</c:v>
                </c:pt>
                <c:pt idx="1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80-8C4E-95D9-686804B20CB2}"/>
            </c:ext>
          </c:extLst>
        </c:ser>
        <c:ser>
          <c:idx val="9"/>
          <c:order val="9"/>
          <c:tx>
            <c:strRef>
              <c:f>'Kalkulationen gesamt'!$L$34</c:f>
              <c:strCache>
                <c:ptCount val="1"/>
                <c:pt idx="0">
                  <c:v>cross_drain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gesamt'!$A$35:$A$50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gesamt'!$L$35:$L$50</c:f>
              <c:numCache>
                <c:formatCode>General</c:formatCode>
                <c:ptCount val="16"/>
                <c:pt idx="0">
                  <c:v>0</c:v>
                </c:pt>
                <c:pt idx="1">
                  <c:v>13</c:v>
                </c:pt>
                <c:pt idx="2">
                  <c:v>13</c:v>
                </c:pt>
                <c:pt idx="3">
                  <c:v>21</c:v>
                </c:pt>
                <c:pt idx="4">
                  <c:v>3</c:v>
                </c:pt>
                <c:pt idx="5">
                  <c:v>10</c:v>
                </c:pt>
                <c:pt idx="6">
                  <c:v>5</c:v>
                </c:pt>
                <c:pt idx="7">
                  <c:v>20</c:v>
                </c:pt>
                <c:pt idx="8">
                  <c:v>18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21</c:v>
                </c:pt>
                <c:pt idx="13">
                  <c:v>0</c:v>
                </c:pt>
                <c:pt idx="14">
                  <c:v>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80-8C4E-95D9-686804B20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832511"/>
        <c:axId val="1306137647"/>
      </c:barChart>
      <c:catAx>
        <c:axId val="130583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306137647"/>
        <c:crosses val="autoZero"/>
        <c:auto val="1"/>
        <c:lblAlgn val="ctr"/>
        <c:lblOffset val="100"/>
        <c:noMultiLvlLbl val="0"/>
      </c:catAx>
      <c:valAx>
        <c:axId val="130613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30583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'Kalkulationen gesamt'!$C$59</c:f>
              <c:strCache>
                <c:ptCount val="1"/>
                <c:pt idx="0">
                  <c:v>gate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gesamt'!$C$60:$C$75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D-2148-A346-7F62602A09AC}"/>
            </c:ext>
          </c:extLst>
        </c:ser>
        <c:ser>
          <c:idx val="1"/>
          <c:order val="1"/>
          <c:tx>
            <c:strRef>
              <c:f>'Kalkulationen gesamt'!$D$59</c:f>
              <c:strCache>
                <c:ptCount val="1"/>
                <c:pt idx="0">
                  <c:v>bollard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gesamt'!$D$60:$D$75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ED-2148-A346-7F62602A09AC}"/>
            </c:ext>
          </c:extLst>
        </c:ser>
        <c:ser>
          <c:idx val="2"/>
          <c:order val="2"/>
          <c:tx>
            <c:strRef>
              <c:f>'Kalkulationen gesamt'!$E$59</c:f>
              <c:strCache>
                <c:ptCount val="1"/>
                <c:pt idx="0">
                  <c:v>kerb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gesamt'!$E$60:$E$75</c:f>
              <c:numCache>
                <c:formatCode>General</c:formatCode>
                <c:ptCount val="16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7</c:v>
                </c:pt>
                <c:pt idx="4">
                  <c:v>5</c:v>
                </c:pt>
                <c:pt idx="5">
                  <c:v>13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10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ED-2148-A346-7F62602A09AC}"/>
            </c:ext>
          </c:extLst>
        </c:ser>
        <c:ser>
          <c:idx val="3"/>
          <c:order val="3"/>
          <c:tx>
            <c:strRef>
              <c:f>'Kalkulationen gesamt'!$F$59</c:f>
              <c:strCache>
                <c:ptCount val="1"/>
                <c:pt idx="0">
                  <c:v>stair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gesamt'!$F$60:$F$75</c:f>
              <c:numCache>
                <c:formatCode>General</c:formatCode>
                <c:ptCount val="16"/>
                <c:pt idx="0">
                  <c:v>6</c:v>
                </c:pt>
                <c:pt idx="1">
                  <c:v>8</c:v>
                </c:pt>
                <c:pt idx="2">
                  <c:v>1</c:v>
                </c:pt>
                <c:pt idx="3">
                  <c:v>11</c:v>
                </c:pt>
                <c:pt idx="4">
                  <c:v>20</c:v>
                </c:pt>
                <c:pt idx="5">
                  <c:v>33</c:v>
                </c:pt>
                <c:pt idx="6">
                  <c:v>26</c:v>
                </c:pt>
                <c:pt idx="7">
                  <c:v>17</c:v>
                </c:pt>
                <c:pt idx="8">
                  <c:v>13</c:v>
                </c:pt>
                <c:pt idx="9">
                  <c:v>29</c:v>
                </c:pt>
                <c:pt idx="10">
                  <c:v>7</c:v>
                </c:pt>
                <c:pt idx="11">
                  <c:v>1</c:v>
                </c:pt>
                <c:pt idx="12">
                  <c:v>17</c:v>
                </c:pt>
                <c:pt idx="13">
                  <c:v>9</c:v>
                </c:pt>
                <c:pt idx="14">
                  <c:v>18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ED-2148-A346-7F62602A09AC}"/>
            </c:ext>
          </c:extLst>
        </c:ser>
        <c:ser>
          <c:idx val="4"/>
          <c:order val="4"/>
          <c:tx>
            <c:strRef>
              <c:f>'Kalkulationen gesamt'!$G$59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gesamt'!$G$60:$G$75</c:f>
              <c:numCache>
                <c:formatCode>General</c:formatCode>
                <c:ptCount val="1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ED-2148-A346-7F62602A09AC}"/>
            </c:ext>
          </c:extLst>
        </c:ser>
        <c:ser>
          <c:idx val="5"/>
          <c:order val="5"/>
          <c:tx>
            <c:strRef>
              <c:f>'Kalkulationen gesamt'!$H$59</c:f>
              <c:strCache>
                <c:ptCount val="1"/>
                <c:pt idx="0">
                  <c:v>cycle_barrier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gesamt'!$H$60:$H$75</c:f>
              <c:numCache>
                <c:formatCode>General</c:formatCode>
                <c:ptCount val="1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ED-2148-A346-7F62602A09AC}"/>
            </c:ext>
          </c:extLst>
        </c:ser>
        <c:ser>
          <c:idx val="6"/>
          <c:order val="6"/>
          <c:tx>
            <c:strRef>
              <c:f>'Kalkulationen gesamt'!$I$59</c:f>
              <c:strCache>
                <c:ptCount val="1"/>
                <c:pt idx="0">
                  <c:v>block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gesamt'!$I$60:$I$75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11</c:v>
                </c:pt>
                <c:pt idx="6">
                  <c:v>3</c:v>
                </c:pt>
                <c:pt idx="7">
                  <c:v>1</c:v>
                </c:pt>
                <c:pt idx="8">
                  <c:v>9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ED-2148-A346-7F62602A09AC}"/>
            </c:ext>
          </c:extLst>
        </c:ser>
        <c:ser>
          <c:idx val="7"/>
          <c:order val="7"/>
          <c:tx>
            <c:strRef>
              <c:f>'Kalkulationen gesamt'!$J$59</c:f>
              <c:strCache>
                <c:ptCount val="1"/>
                <c:pt idx="0">
                  <c:v>planter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gesamt'!$J$60:$J$75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ED-2148-A346-7F62602A09AC}"/>
            </c:ext>
          </c:extLst>
        </c:ser>
        <c:ser>
          <c:idx val="8"/>
          <c:order val="8"/>
          <c:tx>
            <c:strRef>
              <c:f>'Kalkulationen gesamt'!$K$59</c:f>
              <c:strCache>
                <c:ptCount val="1"/>
                <c:pt idx="0">
                  <c:v>problematic_way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gesamt'!$K$60:$K$75</c:f>
              <c:numCache>
                <c:formatCode>General</c:formatCode>
                <c:ptCount val="16"/>
                <c:pt idx="0">
                  <c:v>14</c:v>
                </c:pt>
                <c:pt idx="1">
                  <c:v>20</c:v>
                </c:pt>
                <c:pt idx="2">
                  <c:v>30</c:v>
                </c:pt>
                <c:pt idx="3">
                  <c:v>22</c:v>
                </c:pt>
                <c:pt idx="4">
                  <c:v>62</c:v>
                </c:pt>
                <c:pt idx="5">
                  <c:v>128</c:v>
                </c:pt>
                <c:pt idx="6">
                  <c:v>42</c:v>
                </c:pt>
                <c:pt idx="7">
                  <c:v>31</c:v>
                </c:pt>
                <c:pt idx="8">
                  <c:v>29</c:v>
                </c:pt>
                <c:pt idx="9">
                  <c:v>68</c:v>
                </c:pt>
                <c:pt idx="10">
                  <c:v>6</c:v>
                </c:pt>
                <c:pt idx="11">
                  <c:v>14</c:v>
                </c:pt>
                <c:pt idx="12">
                  <c:v>22</c:v>
                </c:pt>
                <c:pt idx="13">
                  <c:v>37</c:v>
                </c:pt>
                <c:pt idx="14">
                  <c:v>12</c:v>
                </c:pt>
                <c:pt idx="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ED-2148-A346-7F62602A09AC}"/>
            </c:ext>
          </c:extLst>
        </c:ser>
        <c:ser>
          <c:idx val="9"/>
          <c:order val="9"/>
          <c:tx>
            <c:strRef>
              <c:f>'Kalkulationen gesamt'!$L$59</c:f>
              <c:strCache>
                <c:ptCount val="1"/>
                <c:pt idx="0">
                  <c:v>cross_drain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'Kalkulationen gesamt'!$A$60:$A$75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</c:strCache>
            </c:strRef>
          </c:cat>
          <c:val>
            <c:numRef>
              <c:f>'Kalkulationen gesamt'!$L$60:$L$75</c:f>
              <c:numCache>
                <c:formatCode>General</c:formatCode>
                <c:ptCount val="16"/>
                <c:pt idx="0">
                  <c:v>0</c:v>
                </c:pt>
                <c:pt idx="1">
                  <c:v>11</c:v>
                </c:pt>
                <c:pt idx="2">
                  <c:v>10</c:v>
                </c:pt>
                <c:pt idx="3">
                  <c:v>18</c:v>
                </c:pt>
                <c:pt idx="4">
                  <c:v>3</c:v>
                </c:pt>
                <c:pt idx="5">
                  <c:v>9</c:v>
                </c:pt>
                <c:pt idx="6">
                  <c:v>5</c:v>
                </c:pt>
                <c:pt idx="7">
                  <c:v>19</c:v>
                </c:pt>
                <c:pt idx="8">
                  <c:v>18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21</c:v>
                </c:pt>
                <c:pt idx="13">
                  <c:v>0</c:v>
                </c:pt>
                <c:pt idx="14">
                  <c:v>4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ED-2148-A346-7F62602A0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9018080"/>
        <c:axId val="1578809552"/>
      </c:barChart>
      <c:catAx>
        <c:axId val="15790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578809552"/>
        <c:crosses val="autoZero"/>
        <c:auto val="1"/>
        <c:lblAlgn val="ctr"/>
        <c:lblOffset val="100"/>
        <c:noMultiLvlLbl val="0"/>
      </c:catAx>
      <c:valAx>
        <c:axId val="15788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5790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</a:t>
            </a:r>
            <a:r>
              <a:rPr lang="en-GB" baseline="0"/>
              <a:t> of barriers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'Kalkulationen gesamt'!$A$52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7E-3E4B-80D6-37CF69C0BA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7E-3E4B-80D6-37CF69C0BA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7E-3E4B-80D6-37CF69C0BA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7E-3E4B-80D6-37CF69C0BAD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57E-3E4B-80D6-37CF69C0BAD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57E-3E4B-80D6-37CF69C0BAD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57E-3E4B-80D6-37CF69C0BAD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57E-3E4B-80D6-37CF69C0BAD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57E-3E4B-80D6-37CF69C0BAD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57E-3E4B-80D6-37CF69C0BA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'Kalkulationen gesamt'!$C$34:$L$34</c:f>
              <c:strCache>
                <c:ptCount val="10"/>
                <c:pt idx="0">
                  <c:v>gate</c:v>
                </c:pt>
                <c:pt idx="1">
                  <c:v>bollard</c:v>
                </c:pt>
                <c:pt idx="2">
                  <c:v>kerb</c:v>
                </c:pt>
                <c:pt idx="3">
                  <c:v>stair</c:v>
                </c:pt>
                <c:pt idx="4">
                  <c:v>other</c:v>
                </c:pt>
                <c:pt idx="5">
                  <c:v>cycle_barrier</c:v>
                </c:pt>
                <c:pt idx="6">
                  <c:v>block</c:v>
                </c:pt>
                <c:pt idx="7">
                  <c:v>planter</c:v>
                </c:pt>
                <c:pt idx="8">
                  <c:v>problematic_way</c:v>
                </c:pt>
                <c:pt idx="9">
                  <c:v>cross_drain</c:v>
                </c:pt>
              </c:strCache>
            </c:strRef>
          </c:cat>
          <c:val>
            <c:numRef>
              <c:f>'Kalkulationen gesamt'!$C$52:$L$52</c:f>
              <c:numCache>
                <c:formatCode>General</c:formatCode>
                <c:ptCount val="10"/>
                <c:pt idx="0">
                  <c:v>2</c:v>
                </c:pt>
                <c:pt idx="1">
                  <c:v>6</c:v>
                </c:pt>
                <c:pt idx="2">
                  <c:v>89</c:v>
                </c:pt>
                <c:pt idx="3">
                  <c:v>237</c:v>
                </c:pt>
                <c:pt idx="4">
                  <c:v>24</c:v>
                </c:pt>
                <c:pt idx="5">
                  <c:v>2</c:v>
                </c:pt>
                <c:pt idx="6">
                  <c:v>50</c:v>
                </c:pt>
                <c:pt idx="7">
                  <c:v>1</c:v>
                </c:pt>
                <c:pt idx="8">
                  <c:v>599</c:v>
                </c:pt>
                <c:pt idx="9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57E-3E4B-80D6-37CF69C0BAD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</a:t>
            </a:r>
            <a:r>
              <a:rPr lang="en-GB" baseline="0"/>
              <a:t> of barriers per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'Kalkulationen gesamt'!$A$77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34-FD4A-90BB-28CCBDA21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34-FD4A-90BB-28CCBDA21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34-FD4A-90BB-28CCBDA21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34-FD4A-90BB-28CCBDA21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34-FD4A-90BB-28CCBDA2171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334-FD4A-90BB-28CCBDA2171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334-FD4A-90BB-28CCBDA2171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34-FD4A-90BB-28CCBDA2171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34-FD4A-90BB-28CCBDA2171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34-FD4A-90BB-28CCBDA217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'Kalkulationen gesamt'!$C$59:$L$59</c:f>
              <c:strCache>
                <c:ptCount val="10"/>
                <c:pt idx="0">
                  <c:v>gate</c:v>
                </c:pt>
                <c:pt idx="1">
                  <c:v>bollard</c:v>
                </c:pt>
                <c:pt idx="2">
                  <c:v>kerb</c:v>
                </c:pt>
                <c:pt idx="3">
                  <c:v>stair</c:v>
                </c:pt>
                <c:pt idx="4">
                  <c:v>other</c:v>
                </c:pt>
                <c:pt idx="5">
                  <c:v>cycle_barrier</c:v>
                </c:pt>
                <c:pt idx="6">
                  <c:v>block</c:v>
                </c:pt>
                <c:pt idx="7">
                  <c:v>planter</c:v>
                </c:pt>
                <c:pt idx="8">
                  <c:v>problematic_way</c:v>
                </c:pt>
                <c:pt idx="9">
                  <c:v>cross_drain</c:v>
                </c:pt>
              </c:strCache>
            </c:strRef>
          </c:cat>
          <c:val>
            <c:numRef>
              <c:f>'Kalkulationen gesamt'!$C$77:$L$77</c:f>
              <c:numCache>
                <c:formatCode>General</c:formatCode>
                <c:ptCount val="10"/>
                <c:pt idx="0">
                  <c:v>2</c:v>
                </c:pt>
                <c:pt idx="1">
                  <c:v>6</c:v>
                </c:pt>
                <c:pt idx="2">
                  <c:v>82</c:v>
                </c:pt>
                <c:pt idx="3">
                  <c:v>221</c:v>
                </c:pt>
                <c:pt idx="4">
                  <c:v>21</c:v>
                </c:pt>
                <c:pt idx="5">
                  <c:v>2</c:v>
                </c:pt>
                <c:pt idx="6">
                  <c:v>49</c:v>
                </c:pt>
                <c:pt idx="7">
                  <c:v>1</c:v>
                </c:pt>
                <c:pt idx="8">
                  <c:v>563</c:v>
                </c:pt>
                <c:pt idx="9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34-FD4A-90BB-28CCBDA2171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_xlchart.v1.7</cx:f>
      </cx:numDim>
    </cx:data>
  </cx:chartData>
  <cx:chart>
    <cx:title pos="t" align="ctr" overlay="0">
      <cx:tx>
        <cx:txData>
          <cx:v>Time to report (&gt; 1s) per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to report (&gt; 1s) per type</a:t>
          </a:r>
        </a:p>
      </cx:txPr>
    </cx:title>
    <cx:plotArea>
      <cx:plotAreaRegion>
        <cx:series layoutId="boxWhisker" uniqueId="{00000000-EF4E-424F-B11B-7E4AB9F21B26}" formatIdx="0">
          <cx:tx>
            <cx:txData>
              <cx:f>_xlchart.v1.6</cx:f>
              <cx:v>timeReported</cx:v>
            </cx:txData>
          </cx:tx>
          <cx:spPr>
            <a:solidFill>
              <a:srgbClr val="FFC000"/>
            </a:solidFill>
          </cx:spPr>
          <cx:dataId val="0"/>
          <cx:layoutPr>
            <cx:visibility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0020000000000000005" min="0"/>
        <cx:majorGridlines/>
        <cx:minorGridlines/>
        <cx:tickLabels/>
        <cx:numFmt formatCode="mm:ss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GB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>
      <cx:tx>
        <cx:txData>
          <cx:v>Time to report (&gt; 1s) with path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to report (&gt; 1s) with path time</a:t>
          </a:r>
        </a:p>
      </cx:txPr>
    </cx:title>
    <cx:plotArea>
      <cx:plotAreaRegion>
        <cx:series layoutId="boxWhisker" uniqueId="{00000000-479A-B548-ABB6-35D3FE12A40B}" formatIdx="0">
          <cx:tx>
            <cx:txData>
              <cx:f>_xlchart.v1.0</cx:f>
              <cx:v>calculatedTimeWithPath</cx:v>
            </cx:txData>
          </cx:tx>
          <cx:spPr>
            <a:solidFill>
              <a:srgbClr val="FFC000"/>
            </a:solidFill>
          </cx:spPr>
          <cx:dataId val="0"/>
          <cx:layoutPr>
            <cx:visibility non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in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Time to report (&gt; 1s) per type</a:t>
            </a:r>
          </a:p>
          <a:p>
            <a:pPr algn="ctr" rtl="0"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with outliers visible</a:t>
            </a:r>
          </a:p>
        </cx:rich>
      </cx:tx>
    </cx:title>
    <cx:plotArea>
      <cx:plotAreaRegion>
        <cx:series layoutId="boxWhisker" uniqueId="{00000000-EF4E-424F-B11B-7E4AB9F21B26}" formatIdx="0">
          <cx:tx>
            <cx:txData>
              <cx:f>_xlchart.v1.3</cx:f>
              <cx:v>timeReported</cx:v>
            </cx:txData>
          </cx:tx>
          <cx:spPr>
            <a:solidFill>
              <a:srgbClr val="FFC000"/>
            </a:solidFill>
          </cx:spPr>
          <cx:dataId val="0"/>
          <cx:layoutPr>
            <cx:visibility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minorGridlines/>
        <cx:tickLabels/>
        <cx:numFmt formatCode="mm:ss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GB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292100</xdr:colOff>
      <xdr:row>0</xdr:row>
      <xdr:rowOff>137414</xdr:rowOff>
    </xdr:from>
    <xdr:ext cx="5286604" cy="5044185"/>
    <xdr:pic>
      <xdr:nvPicPr>
        <xdr:cNvPr id="2" name="Picture 1">
          <a:extLst>
            <a:ext uri="{FF2B5EF4-FFF2-40B4-BE49-F238E27FC236}">
              <a16:creationId xmlns:a16="http://schemas.microsoft.com/office/drawing/2014/main" id="{27677499-FD9C-DB4D-94F3-BCB6E7FB0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4400" y="137414"/>
          <a:ext cx="5286604" cy="5044185"/>
        </a:xfrm>
        <a:prstGeom prst="rect">
          <a:avLst/>
        </a:prstGeom>
      </xdr:spPr>
    </xdr:pic>
    <xdr:clientData/>
  </xdr:oneCellAnchor>
  <xdr:twoCellAnchor>
    <xdr:from>
      <xdr:col>14</xdr:col>
      <xdr:colOff>0</xdr:colOff>
      <xdr:row>29</xdr:row>
      <xdr:rowOff>0</xdr:rowOff>
    </xdr:from>
    <xdr:to>
      <xdr:col>21</xdr:col>
      <xdr:colOff>153933</xdr:colOff>
      <xdr:row>55</xdr:row>
      <xdr:rowOff>11824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A7BDF-858C-D34D-BB1C-4EA80D83B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6350</xdr:colOff>
      <xdr:row>57</xdr:row>
      <xdr:rowOff>184150</xdr:rowOff>
    </xdr:from>
    <xdr:to>
      <xdr:col>21</xdr:col>
      <xdr:colOff>203200</xdr:colOff>
      <xdr:row>79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5356A-A99A-798D-48F1-AE4EFFA37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33</xdr:row>
      <xdr:rowOff>0</xdr:rowOff>
    </xdr:from>
    <xdr:to>
      <xdr:col>27</xdr:col>
      <xdr:colOff>638673</xdr:colOff>
      <xdr:row>52</xdr:row>
      <xdr:rowOff>142170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D8BB22-F6DF-B447-8018-581CB2168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58</xdr:row>
      <xdr:rowOff>0</xdr:rowOff>
    </xdr:from>
    <xdr:to>
      <xdr:col>27</xdr:col>
      <xdr:colOff>638673</xdr:colOff>
      <xdr:row>77</xdr:row>
      <xdr:rowOff>142170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2F4BE5-E37A-2B4F-ADCD-081642F62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1384300</xdr:colOff>
      <xdr:row>15</xdr:row>
      <xdr:rowOff>177800</xdr:rowOff>
    </xdr:from>
    <xdr:to>
      <xdr:col>19</xdr:col>
      <xdr:colOff>437235</xdr:colOff>
      <xdr:row>37</xdr:row>
      <xdr:rowOff>82331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3">
              <a:extLst>
                <a:ext uri="{FF2B5EF4-FFF2-40B4-BE49-F238E27FC236}">
                  <a16:creationId xmlns:a16="http://schemas.microsoft.com/office/drawing/2014/main" id="{7730B029-DC89-AF49-B956-5614BA7DB5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31900" y="3060700"/>
              <a:ext cx="6355435" cy="55179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482600</xdr:colOff>
      <xdr:row>15</xdr:row>
      <xdr:rowOff>177801</xdr:rowOff>
    </xdr:from>
    <xdr:to>
      <xdr:col>13</xdr:col>
      <xdr:colOff>0</xdr:colOff>
      <xdr:row>36</xdr:row>
      <xdr:rowOff>127001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FC784A-B658-F249-A914-1E8C11832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43600" y="3060701"/>
              <a:ext cx="6604000" cy="537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16</xdr:row>
      <xdr:rowOff>0</xdr:rowOff>
    </xdr:from>
    <xdr:to>
      <xdr:col>24</xdr:col>
      <xdr:colOff>589635</xdr:colOff>
      <xdr:row>37</xdr:row>
      <xdr:rowOff>90385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EFA2837-D1A1-B04C-8598-92788E03D7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63000" y="3073400"/>
              <a:ext cx="6355435" cy="55132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6302</xdr:colOff>
      <xdr:row>6</xdr:row>
      <xdr:rowOff>12700</xdr:rowOff>
    </xdr:from>
    <xdr:to>
      <xdr:col>23</xdr:col>
      <xdr:colOff>328482</xdr:colOff>
      <xdr:row>17</xdr:row>
      <xdr:rowOff>52047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BB47A5AD-3C72-7631-9D07-9A7DE571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46" y="3679467"/>
          <a:ext cx="6926180" cy="40271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23</xdr:col>
      <xdr:colOff>355600</xdr:colOff>
      <xdr:row>5</xdr:row>
      <xdr:rowOff>1079500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D9689-FE36-E80B-ABE1-4F5FBE427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1600" y="203200"/>
          <a:ext cx="69596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phy/Desktop/Barrierenauswertung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ierenmessung"/>
      <sheetName val="Barrierenmessung_reviewed"/>
      <sheetName val="Kalkulationen gesamt"/>
      <sheetName val="Kalkulationen Barrieretypen"/>
      <sheetName val="Remote Tool Evaluation"/>
      <sheetName val="Remote Tool Messungen"/>
      <sheetName val="gate"/>
      <sheetName val="bollard"/>
      <sheetName val="kerb"/>
      <sheetName val="stair"/>
      <sheetName val="other"/>
      <sheetName val="cycle_barrier"/>
      <sheetName val="block"/>
      <sheetName val="planter"/>
      <sheetName val="problematic_way"/>
      <sheetName val="cross_drain"/>
      <sheetName val="Infra3d - E"/>
      <sheetName val="remote"/>
      <sheetName val="on-site"/>
      <sheetName val="remote vs on-site"/>
      <sheetName val="barrier matrix"/>
      <sheetName val="tool matrix (improved concept)"/>
      <sheetName val="accuracy barriers"/>
      <sheetName val="images"/>
      <sheetName val="Sheet0"/>
    </sheetNames>
    <sheetDataSet>
      <sheetData sheetId="0" refreshError="1"/>
      <sheetData sheetId="1">
        <row r="2">
          <cell r="Q2">
            <v>4.8611111111111104E-4</v>
          </cell>
        </row>
        <row r="3">
          <cell r="Q3">
            <v>2.3148148148148146E-4</v>
          </cell>
        </row>
        <row r="4">
          <cell r="Q4">
            <v>1.0661689811968245E-3</v>
          </cell>
        </row>
        <row r="5">
          <cell r="Q5">
            <v>1.7276967555517331E-3</v>
          </cell>
        </row>
        <row r="6">
          <cell r="Q6">
            <v>1.1206597191630863E-3</v>
          </cell>
        </row>
        <row r="7">
          <cell r="Q7">
            <v>3.1444444175576791E-4</v>
          </cell>
        </row>
        <row r="8">
          <cell r="Q8">
            <v>1.5523147885687649E-4</v>
          </cell>
        </row>
        <row r="9">
          <cell r="Q9">
            <v>1.2177083408460021E-4</v>
          </cell>
        </row>
        <row r="10">
          <cell r="Q10">
            <v>1.2326620344538242E-3</v>
          </cell>
        </row>
        <row r="11">
          <cell r="Q11">
            <v>7.3826389416353777E-4</v>
          </cell>
        </row>
        <row r="12">
          <cell r="Q12">
            <v>3.4449074155418202E-4</v>
          </cell>
        </row>
        <row r="13">
          <cell r="Q13">
            <v>3.1653935729991645E-4</v>
          </cell>
        </row>
        <row r="14">
          <cell r="Q14">
            <v>4.4207175960764289E-4</v>
          </cell>
        </row>
        <row r="15">
          <cell r="Q15">
            <v>2.971875001094304E-4</v>
          </cell>
        </row>
        <row r="16">
          <cell r="Q16">
            <v>7.0442129072034732E-4</v>
          </cell>
        </row>
        <row r="17">
          <cell r="Q17">
            <v>5.6815971765900031E-4</v>
          </cell>
        </row>
        <row r="18">
          <cell r="Q18">
            <v>4.9690972809912637E-4</v>
          </cell>
        </row>
        <row r="19">
          <cell r="Q19">
            <v>3.8101852260297164E-4</v>
          </cell>
        </row>
        <row r="20">
          <cell r="Q20">
            <v>2.2563657694263384E-4</v>
          </cell>
        </row>
        <row r="21">
          <cell r="Q21">
            <v>2.9927083232905716E-4</v>
          </cell>
        </row>
        <row r="22">
          <cell r="Q22">
            <v>5.4614583496004343E-4</v>
          </cell>
        </row>
        <row r="23">
          <cell r="Q23">
            <v>6.0822916566394269E-4</v>
          </cell>
        </row>
        <row r="24">
          <cell r="Q24">
            <v>2.9460648511303589E-4</v>
          </cell>
        </row>
        <row r="25">
          <cell r="Q25">
            <v>4.6174768795026466E-4</v>
          </cell>
        </row>
        <row r="26">
          <cell r="Q26">
            <v>4.4372685078997165E-4</v>
          </cell>
        </row>
        <row r="27">
          <cell r="Q27">
            <v>4.2160879820585251E-4</v>
          </cell>
        </row>
        <row r="28">
          <cell r="Q28">
            <v>7.9665509110782295E-4</v>
          </cell>
        </row>
        <row r="29">
          <cell r="Q29">
            <v>2.4983796902233735E-4</v>
          </cell>
        </row>
        <row r="30">
          <cell r="Q30">
            <v>1.8759258819045499E-4</v>
          </cell>
        </row>
        <row r="31">
          <cell r="Q31">
            <v>2.4003472208278254E-4</v>
          </cell>
        </row>
        <row r="32">
          <cell r="Q32">
            <v>1.1214351907256059E-3</v>
          </cell>
        </row>
        <row r="33">
          <cell r="Q33">
            <v>4.8645833157934248E-4</v>
          </cell>
        </row>
        <row r="34">
          <cell r="Q34">
            <v>1.8554398411652073E-4</v>
          </cell>
        </row>
        <row r="35">
          <cell r="Q35">
            <v>3.6636574077419937E-4</v>
          </cell>
        </row>
        <row r="36">
          <cell r="Q36">
            <v>2.2651620383840054E-4</v>
          </cell>
        </row>
        <row r="37">
          <cell r="Q37">
            <v>1.5248842828441411E-4</v>
          </cell>
        </row>
        <row r="38">
          <cell r="Q38">
            <v>1.7890046729007736E-4</v>
          </cell>
        </row>
        <row r="39">
          <cell r="Q39">
            <v>3.2650463253958151E-4</v>
          </cell>
        </row>
        <row r="40">
          <cell r="Q40">
            <v>4.2467592720640823E-4</v>
          </cell>
        </row>
        <row r="41">
          <cell r="Q41">
            <v>4.6209490392357111E-4</v>
          </cell>
        </row>
        <row r="42">
          <cell r="Q42">
            <v>2.5268518947996199E-4</v>
          </cell>
        </row>
        <row r="43">
          <cell r="Q43">
            <v>2.4089120415737852E-4</v>
          </cell>
        </row>
        <row r="44">
          <cell r="Q44">
            <v>2.0221064914949238E-4</v>
          </cell>
        </row>
        <row r="45">
          <cell r="Q45">
            <v>2.3684027837589383E-4</v>
          </cell>
        </row>
        <row r="46">
          <cell r="Q46">
            <v>2.9135416843928397E-4</v>
          </cell>
        </row>
        <row r="47">
          <cell r="Q47">
            <v>2.0694444538094103E-4</v>
          </cell>
        </row>
        <row r="48">
          <cell r="Q48">
            <v>1.2333912090980448E-3</v>
          </cell>
        </row>
        <row r="49">
          <cell r="Q49">
            <v>2.0722222689073533E-4</v>
          </cell>
        </row>
        <row r="50">
          <cell r="Q50">
            <v>2.5027777155628428E-4</v>
          </cell>
        </row>
        <row r="51">
          <cell r="Q51">
            <v>2.2234953212318942E-4</v>
          </cell>
        </row>
        <row r="52">
          <cell r="Q52">
            <v>1.7056713113561273E-4</v>
          </cell>
        </row>
        <row r="53">
          <cell r="Q53">
            <v>1.9019676255993545E-4</v>
          </cell>
        </row>
        <row r="54">
          <cell r="Q54">
            <v>4.1179398249369115E-4</v>
          </cell>
        </row>
        <row r="55">
          <cell r="Q55">
            <v>3.3954861282836646E-4</v>
          </cell>
        </row>
        <row r="56">
          <cell r="Q56">
            <v>6.5092586737591773E-5</v>
          </cell>
        </row>
        <row r="57">
          <cell r="Q57">
            <v>2.2776619880460203E-4</v>
          </cell>
        </row>
        <row r="58">
          <cell r="Q58">
            <v>1.1531249765539542E-4</v>
          </cell>
        </row>
        <row r="59">
          <cell r="Q59">
            <v>1.6045138909248635E-4</v>
          </cell>
        </row>
        <row r="60">
          <cell r="Q60">
            <v>1.6665508883306757E-4</v>
          </cell>
        </row>
        <row r="61">
          <cell r="Q61">
            <v>1.0270601851516403E-3</v>
          </cell>
        </row>
        <row r="62">
          <cell r="Q62">
            <v>2.7271990984445438E-4</v>
          </cell>
        </row>
        <row r="63">
          <cell r="Q63">
            <v>1.7616898549022153E-4</v>
          </cell>
        </row>
        <row r="64">
          <cell r="Q64">
            <v>2.3976851662155241E-4</v>
          </cell>
        </row>
        <row r="65">
          <cell r="Q65">
            <v>1.7809028213378042E-4</v>
          </cell>
        </row>
        <row r="66">
          <cell r="Q66">
            <v>3.649537029559724E-4</v>
          </cell>
        </row>
        <row r="67">
          <cell r="Q67">
            <v>3.9571759407408535E-4</v>
          </cell>
        </row>
        <row r="68">
          <cell r="Q68">
            <v>5.3149305313127115E-4</v>
          </cell>
        </row>
        <row r="69">
          <cell r="Q69">
            <v>2.1210648264968768E-4</v>
          </cell>
        </row>
        <row r="70">
          <cell r="Q70">
            <v>2.438541705487296E-4</v>
          </cell>
        </row>
        <row r="71">
          <cell r="Q71">
            <v>4.4847222306998447E-4</v>
          </cell>
        </row>
        <row r="72">
          <cell r="Q72">
            <v>2.9442129743983969E-4</v>
          </cell>
        </row>
        <row r="73">
          <cell r="Q73">
            <v>2.0659722213167697E-4</v>
          </cell>
        </row>
        <row r="74">
          <cell r="Q74">
            <v>3.6333333264337853E-4</v>
          </cell>
        </row>
        <row r="75">
          <cell r="Q75">
            <v>2.285995360580273E-4</v>
          </cell>
        </row>
        <row r="76">
          <cell r="Q76">
            <v>1.0222222044831142E-4</v>
          </cell>
        </row>
        <row r="77">
          <cell r="Q77">
            <v>3.28055553836748E-4</v>
          </cell>
        </row>
        <row r="78">
          <cell r="Q78">
            <v>3.0771990714129061E-4</v>
          </cell>
        </row>
        <row r="79">
          <cell r="Q79">
            <v>1.7868055874714628E-4</v>
          </cell>
        </row>
        <row r="80">
          <cell r="Q80">
            <v>1.6968749696388841E-4</v>
          </cell>
        </row>
        <row r="81">
          <cell r="Q81">
            <v>4.3329861364327371E-4</v>
          </cell>
        </row>
        <row r="82">
          <cell r="Q82">
            <v>3.4956018498633057E-4</v>
          </cell>
        </row>
        <row r="83">
          <cell r="Q83">
            <v>1.9356481061549857E-4</v>
          </cell>
        </row>
        <row r="84">
          <cell r="Q84">
            <v>1.538310170872137E-4</v>
          </cell>
        </row>
        <row r="85">
          <cell r="Q85">
            <v>2.4754629703238606E-4</v>
          </cell>
        </row>
        <row r="86">
          <cell r="Q86">
            <v>1.7608796042622998E-4</v>
          </cell>
        </row>
        <row r="87">
          <cell r="Q87">
            <v>3.6361111415317282E-4</v>
          </cell>
        </row>
        <row r="88">
          <cell r="Q88">
            <v>5.4641203314531595E-4</v>
          </cell>
        </row>
        <row r="89">
          <cell r="Q89">
            <v>2.545370371080935E-4</v>
          </cell>
        </row>
        <row r="90">
          <cell r="Q90">
            <v>2.440046300762333E-4</v>
          </cell>
        </row>
        <row r="91">
          <cell r="Q91">
            <v>2.2430092649301514E-3</v>
          </cell>
        </row>
        <row r="92">
          <cell r="Q92">
            <v>2.9839120543329045E-4</v>
          </cell>
        </row>
        <row r="93">
          <cell r="Q93">
            <v>1.8563657067716122E-4</v>
          </cell>
        </row>
        <row r="94">
          <cell r="Q94">
            <v>2.4755786580499262E-4</v>
          </cell>
        </row>
        <row r="95">
          <cell r="Q95">
            <v>1.6943286755122244E-4</v>
          </cell>
        </row>
        <row r="96">
          <cell r="Q96">
            <v>1.2753472401527688E-4</v>
          </cell>
        </row>
        <row r="97">
          <cell r="Q97">
            <v>3.2085648126667365E-4</v>
          </cell>
        </row>
        <row r="98">
          <cell r="Q98">
            <v>1.2095717611373402E-3</v>
          </cell>
        </row>
        <row r="99">
          <cell r="Q99">
            <v>5.556828691624105E-4</v>
          </cell>
        </row>
        <row r="100">
          <cell r="Q100">
            <v>4.5675926230615005E-4</v>
          </cell>
        </row>
        <row r="101">
          <cell r="Q101">
            <v>6.4554397977190092E-4</v>
          </cell>
        </row>
        <row r="102">
          <cell r="Q102">
            <v>3.9531249785795808E-4</v>
          </cell>
        </row>
        <row r="103">
          <cell r="Q103">
            <v>3.3934028033399954E-4</v>
          </cell>
        </row>
        <row r="104">
          <cell r="Q104">
            <v>2.6733796403277665E-4</v>
          </cell>
        </row>
        <row r="105">
          <cell r="Q105">
            <v>2.7645833324640989E-4</v>
          </cell>
        </row>
        <row r="106">
          <cell r="Q106">
            <v>1.5610300906701013E-3</v>
          </cell>
        </row>
        <row r="107">
          <cell r="Q107">
            <v>6.7824073630617931E-4</v>
          </cell>
        </row>
        <row r="108">
          <cell r="Q108">
            <v>3.7435185367939994E-4</v>
          </cell>
        </row>
        <row r="109">
          <cell r="Q109">
            <v>2.8724536969093606E-4</v>
          </cell>
        </row>
        <row r="110">
          <cell r="Q110">
            <v>7.6149305823491886E-4</v>
          </cell>
        </row>
        <row r="111">
          <cell r="Q111">
            <v>3.5187500179745257E-4</v>
          </cell>
        </row>
        <row r="112">
          <cell r="Q112">
            <v>4.2315972677897662E-4</v>
          </cell>
        </row>
        <row r="113">
          <cell r="Q113">
            <v>8.2068287156289443E-4</v>
          </cell>
        </row>
        <row r="114">
          <cell r="Q114">
            <v>4.935185206704773E-4</v>
          </cell>
        </row>
        <row r="115">
          <cell r="Q115">
            <v>2.1445601814775728E-3</v>
          </cell>
        </row>
        <row r="116">
          <cell r="Q116">
            <v>6.1032407393213362E-4</v>
          </cell>
        </row>
        <row r="117">
          <cell r="Q117">
            <v>2.1442129218485206E-4</v>
          </cell>
        </row>
        <row r="118">
          <cell r="Q118">
            <v>7.0078703720355406E-4</v>
          </cell>
        </row>
        <row r="119">
          <cell r="Q119">
            <v>3.1079861219041049E-4</v>
          </cell>
        </row>
        <row r="120">
          <cell r="Q120">
            <v>1.9819444423774257E-4</v>
          </cell>
        </row>
        <row r="121">
          <cell r="Q121">
            <v>1.101921297959052E-3</v>
          </cell>
        </row>
        <row r="122">
          <cell r="Q122">
            <v>2.1487268531927839E-4</v>
          </cell>
        </row>
        <row r="123">
          <cell r="Q123">
            <v>2.6812500436790287E-4</v>
          </cell>
        </row>
        <row r="124">
          <cell r="Q124">
            <v>9.4187499780673534E-4</v>
          </cell>
        </row>
        <row r="125">
          <cell r="Q125">
            <v>5.5813656945247203E-4</v>
          </cell>
        </row>
        <row r="126">
          <cell r="Q126">
            <v>3.8483796379296109E-4</v>
          </cell>
        </row>
        <row r="127">
          <cell r="Q127">
            <v>4.4040509237674996E-4</v>
          </cell>
        </row>
        <row r="128">
          <cell r="Q128">
            <v>3.3814814378274605E-4</v>
          </cell>
        </row>
        <row r="129">
          <cell r="Q129">
            <v>3.6212962731951848E-4</v>
          </cell>
        </row>
        <row r="130">
          <cell r="Q130">
            <v>5.9700231940951198E-4</v>
          </cell>
        </row>
        <row r="131">
          <cell r="Q131">
            <v>4.4021990470355377E-4</v>
          </cell>
        </row>
        <row r="132">
          <cell r="Q132">
            <v>5.5072916438803077E-4</v>
          </cell>
        </row>
        <row r="133">
          <cell r="Q133">
            <v>5.6528935238020495E-4</v>
          </cell>
        </row>
        <row r="134">
          <cell r="Q134">
            <v>2.7702777806553058E-3</v>
          </cell>
        </row>
        <row r="135">
          <cell r="Q135">
            <v>1.1704861099133268E-3</v>
          </cell>
        </row>
        <row r="136">
          <cell r="Q136">
            <v>5.3453703731065616E-4</v>
          </cell>
        </row>
        <row r="137">
          <cell r="Q137">
            <v>2.5488426035735756E-4</v>
          </cell>
        </row>
        <row r="138">
          <cell r="Q138">
            <v>2.0070601749466732E-4</v>
          </cell>
        </row>
        <row r="139">
          <cell r="Q139">
            <v>2.1579861640930176E-4</v>
          </cell>
        </row>
        <row r="140">
          <cell r="Q140">
            <v>4.2363425745861605E-4</v>
          </cell>
        </row>
        <row r="141">
          <cell r="Q141">
            <v>2.620254599605687E-4</v>
          </cell>
        </row>
        <row r="142">
          <cell r="Q142">
            <v>5.7598379498813301E-4</v>
          </cell>
        </row>
        <row r="143">
          <cell r="Q143">
            <v>7.2527777228970081E-4</v>
          </cell>
        </row>
        <row r="144">
          <cell r="Q144">
            <v>2.150810178136453E-4</v>
          </cell>
        </row>
        <row r="145">
          <cell r="Q145">
            <v>5.0824073696276173E-4</v>
          </cell>
        </row>
        <row r="146">
          <cell r="Q146">
            <v>1.502661980339326E-4</v>
          </cell>
        </row>
        <row r="147">
          <cell r="Q147">
            <v>3.6600694147637114E-4</v>
          </cell>
        </row>
        <row r="148">
          <cell r="Q148">
            <v>4.1425925883231685E-4</v>
          </cell>
        </row>
        <row r="149">
          <cell r="Q149">
            <v>1.7412036686437204E-4</v>
          </cell>
        </row>
        <row r="150">
          <cell r="Q150">
            <v>1.727662020130083E-4</v>
          </cell>
        </row>
        <row r="151">
          <cell r="Q151">
            <v>5.8072916726814583E-4</v>
          </cell>
        </row>
        <row r="152">
          <cell r="Q152">
            <v>1.4579860726371408E-4</v>
          </cell>
        </row>
        <row r="153">
          <cell r="Q153">
            <v>3.9965278119780123E-4</v>
          </cell>
        </row>
        <row r="154">
          <cell r="Q154">
            <v>1.4909722813172266E-4</v>
          </cell>
        </row>
        <row r="155">
          <cell r="Q155">
            <v>2.9670139338122681E-4</v>
          </cell>
        </row>
        <row r="156">
          <cell r="Q156">
            <v>4.2822916293516755E-4</v>
          </cell>
        </row>
        <row r="157">
          <cell r="Q157">
            <v>5.5040509323589504E-4</v>
          </cell>
        </row>
        <row r="158">
          <cell r="Q158">
            <v>7.412384293274954E-4</v>
          </cell>
        </row>
        <row r="159">
          <cell r="Q159">
            <v>2.461342592141591E-4</v>
          </cell>
        </row>
        <row r="160">
          <cell r="Q160">
            <v>2.8296296659391373E-4</v>
          </cell>
        </row>
        <row r="161">
          <cell r="Q161">
            <v>9.9332175886956975E-4</v>
          </cell>
        </row>
        <row r="162">
          <cell r="Q162">
            <v>4.5035879884380847E-4</v>
          </cell>
        </row>
        <row r="163">
          <cell r="Q163">
            <v>4.2192130058538169E-4</v>
          </cell>
        </row>
        <row r="164">
          <cell r="Q164">
            <v>2.66076393018011E-4</v>
          </cell>
        </row>
        <row r="165">
          <cell r="Q165">
            <v>2.6766204246087E-4</v>
          </cell>
        </row>
        <row r="166">
          <cell r="Q166">
            <v>6.2851852271705866E-4</v>
          </cell>
        </row>
        <row r="167">
          <cell r="Q167">
            <v>4.4114583579357713E-4</v>
          </cell>
        </row>
        <row r="168">
          <cell r="Q168">
            <v>2.4142361507983878E-4</v>
          </cell>
        </row>
        <row r="169">
          <cell r="Q169">
            <v>3.8128472078824416E-4</v>
          </cell>
        </row>
        <row r="170">
          <cell r="Q170">
            <v>6.0410879814298823E-4</v>
          </cell>
        </row>
        <row r="171">
          <cell r="Q171">
            <v>3.7015046109445393E-4</v>
          </cell>
        </row>
        <row r="172">
          <cell r="Q172">
            <v>4.4797453301725909E-4</v>
          </cell>
        </row>
        <row r="173">
          <cell r="Q173">
            <v>1.8964119954034686E-4</v>
          </cell>
        </row>
        <row r="174">
          <cell r="Q174">
            <v>3.4215277992188931E-4</v>
          </cell>
        </row>
        <row r="175">
          <cell r="Q175">
            <v>2.668055531103164E-4</v>
          </cell>
        </row>
        <row r="176">
          <cell r="Q176">
            <v>3.6903935688314959E-4</v>
          </cell>
        </row>
        <row r="177">
          <cell r="Q177">
            <v>4.9851852236315608E-4</v>
          </cell>
        </row>
        <row r="178">
          <cell r="Q178">
            <v>2.6202546723652631E-4</v>
          </cell>
        </row>
        <row r="179">
          <cell r="Q179">
            <v>5.4923610878176987E-4</v>
          </cell>
        </row>
        <row r="180">
          <cell r="Q180">
            <v>4.0454860572936013E-4</v>
          </cell>
        </row>
        <row r="181">
          <cell r="Q181">
            <v>2.1886574540985748E-4</v>
          </cell>
        </row>
        <row r="182">
          <cell r="Q182">
            <v>1.4119213301455602E-4</v>
          </cell>
        </row>
        <row r="183">
          <cell r="Q183">
            <v>4.5418981608236209E-4</v>
          </cell>
        </row>
        <row r="184">
          <cell r="Q184">
            <v>4.4292824168223888E-4</v>
          </cell>
        </row>
        <row r="185">
          <cell r="Q185">
            <v>1.9394675473449752E-4</v>
          </cell>
        </row>
        <row r="186">
          <cell r="Q186">
            <v>5.948958350927569E-4</v>
          </cell>
        </row>
        <row r="187">
          <cell r="Q187">
            <v>7.4887731170747429E-4</v>
          </cell>
        </row>
        <row r="188">
          <cell r="Q188">
            <v>3.9164351619547233E-4</v>
          </cell>
        </row>
        <row r="189">
          <cell r="Q189">
            <v>6.087152796681039E-4</v>
          </cell>
        </row>
        <row r="190">
          <cell r="Q190">
            <v>7.1804397884989157E-4</v>
          </cell>
        </row>
        <row r="191">
          <cell r="Q191">
            <v>3.544212959241122E-4</v>
          </cell>
        </row>
        <row r="192">
          <cell r="Q192">
            <v>3.7425925984280184E-4</v>
          </cell>
        </row>
        <row r="193">
          <cell r="Q193">
            <v>4.8567129124421626E-4</v>
          </cell>
        </row>
        <row r="194">
          <cell r="Q194">
            <v>3.054976841667667E-4</v>
          </cell>
        </row>
        <row r="195">
          <cell r="Q195">
            <v>2.499074034858495E-4</v>
          </cell>
        </row>
        <row r="196">
          <cell r="Q196">
            <v>1.7201388982357457E-4</v>
          </cell>
        </row>
        <row r="197">
          <cell r="Q197">
            <v>4.5033564674668014E-4</v>
          </cell>
        </row>
        <row r="198">
          <cell r="Q198">
            <v>3.4644676634343341E-4</v>
          </cell>
        </row>
        <row r="199">
          <cell r="Q199">
            <v>2.4571759422542527E-4</v>
          </cell>
        </row>
        <row r="200">
          <cell r="Q200">
            <v>5.7334490702487528E-4</v>
          </cell>
        </row>
        <row r="201">
          <cell r="Q201">
            <v>2.5892361009027809E-4</v>
          </cell>
        </row>
        <row r="202">
          <cell r="Q202">
            <v>1.3540509098675102E-4</v>
          </cell>
        </row>
        <row r="203">
          <cell r="Q203">
            <v>5.3391203982755542E-4</v>
          </cell>
        </row>
        <row r="204">
          <cell r="Q204">
            <v>3.4164352109655738E-4</v>
          </cell>
        </row>
        <row r="205">
          <cell r="Q205">
            <v>4.1574074566597119E-4</v>
          </cell>
        </row>
        <row r="206">
          <cell r="Q206">
            <v>1.5777777298353612E-4</v>
          </cell>
        </row>
        <row r="207">
          <cell r="Q207">
            <v>1.0053935184259899E-3</v>
          </cell>
        </row>
        <row r="208">
          <cell r="Q208">
            <v>1.9354167307028547E-4</v>
          </cell>
        </row>
        <row r="209">
          <cell r="Q209">
            <v>2.7464120648801327E-4</v>
          </cell>
        </row>
        <row r="210">
          <cell r="Q210">
            <v>2.4343749828403816E-4</v>
          </cell>
        </row>
        <row r="211">
          <cell r="Q211">
            <v>3.428240743232891E-4</v>
          </cell>
        </row>
        <row r="212">
          <cell r="Q212">
            <v>3.1876157299848273E-4</v>
          </cell>
        </row>
        <row r="213">
          <cell r="Q213">
            <v>2.2327546321321279E-4</v>
          </cell>
        </row>
        <row r="214">
          <cell r="Q214">
            <v>1.7148147890111431E-4</v>
          </cell>
        </row>
        <row r="215">
          <cell r="Q215">
            <v>1.2790509208571166E-4</v>
          </cell>
        </row>
        <row r="216">
          <cell r="Q216">
            <v>3.380439811735414E-4</v>
          </cell>
        </row>
        <row r="217">
          <cell r="Q217">
            <v>2.5243056006729603E-4</v>
          </cell>
        </row>
        <row r="218">
          <cell r="Q218">
            <v>2.2162037203088403E-4</v>
          </cell>
        </row>
        <row r="219">
          <cell r="Q219">
            <v>1.9262731802882627E-4</v>
          </cell>
        </row>
        <row r="220">
          <cell r="Q220">
            <v>1.7655092960922047E-4</v>
          </cell>
        </row>
        <row r="221">
          <cell r="Q221">
            <v>1.9450231775408611E-4</v>
          </cell>
        </row>
        <row r="222">
          <cell r="Q222">
            <v>1.5996528236428276E-4</v>
          </cell>
        </row>
        <row r="223">
          <cell r="Q223">
            <v>9.1400463134050369E-4</v>
          </cell>
        </row>
        <row r="224">
          <cell r="Q224">
            <v>5.2314814820419997E-4</v>
          </cell>
        </row>
        <row r="225">
          <cell r="Q225">
            <v>3.8275463157333434E-4</v>
          </cell>
        </row>
        <row r="226">
          <cell r="Q226">
            <v>1.142824039561674E-4</v>
          </cell>
        </row>
        <row r="227">
          <cell r="Q227">
            <v>7.9593749978812411E-4</v>
          </cell>
        </row>
        <row r="228">
          <cell r="Q228">
            <v>5.0189814646728337E-4</v>
          </cell>
        </row>
        <row r="229">
          <cell r="Q229">
            <v>3.7738426181022078E-4</v>
          </cell>
        </row>
        <row r="230">
          <cell r="Q230">
            <v>5.8762732078321278E-4</v>
          </cell>
        </row>
        <row r="231">
          <cell r="Q231">
            <v>4.712615700555034E-4</v>
          </cell>
        </row>
        <row r="232">
          <cell r="Q232">
            <v>3.6004629509989172E-4</v>
          </cell>
        </row>
        <row r="233">
          <cell r="Q233">
            <v>3.5724537156056613E-4</v>
          </cell>
        </row>
        <row r="234">
          <cell r="Q234">
            <v>5.1393518515396863E-4</v>
          </cell>
        </row>
        <row r="235">
          <cell r="Q235">
            <v>7.3259259079350159E-4</v>
          </cell>
        </row>
        <row r="236">
          <cell r="Q236">
            <v>2.9456018819473684E-4</v>
          </cell>
        </row>
        <row r="237">
          <cell r="Q237">
            <v>5.5755786888767034E-4</v>
          </cell>
        </row>
        <row r="238">
          <cell r="Q238">
            <v>5.3456018213182688E-4</v>
          </cell>
        </row>
        <row r="239">
          <cell r="Q239">
            <v>3.2027778070187196E-4</v>
          </cell>
        </row>
        <row r="240">
          <cell r="Q240">
            <v>9.6680554997874424E-4</v>
          </cell>
        </row>
        <row r="241">
          <cell r="Q241">
            <v>4.5028934982838109E-4</v>
          </cell>
        </row>
        <row r="242">
          <cell r="Q242">
            <v>2.9765046201646328E-4</v>
          </cell>
        </row>
        <row r="243">
          <cell r="Q243">
            <v>1.4258449082262814E-3</v>
          </cell>
        </row>
        <row r="244">
          <cell r="Q244">
            <v>4.3163194641238078E-4</v>
          </cell>
        </row>
        <row r="245">
          <cell r="Q245">
            <v>7.707638869760558E-4</v>
          </cell>
        </row>
        <row r="246">
          <cell r="Q246">
            <v>8.2815972564276308E-4</v>
          </cell>
        </row>
        <row r="247">
          <cell r="Q247">
            <v>5.0564815319376066E-4</v>
          </cell>
        </row>
        <row r="248">
          <cell r="Q248">
            <v>2.9982638807268813E-4</v>
          </cell>
        </row>
        <row r="249">
          <cell r="Q249">
            <v>2.7032407524529845E-4</v>
          </cell>
        </row>
        <row r="250">
          <cell r="Q250">
            <v>1.3173148181522265E-3</v>
          </cell>
        </row>
        <row r="251">
          <cell r="Q251">
            <v>8.0347222683485597E-4</v>
          </cell>
        </row>
        <row r="252">
          <cell r="Q252">
            <v>1.4256944268709049E-4</v>
          </cell>
        </row>
        <row r="253">
          <cell r="Q253">
            <v>3.4554398007458076E-4</v>
          </cell>
        </row>
        <row r="254">
          <cell r="Q254">
            <v>3.6920138518325984E-4</v>
          </cell>
        </row>
        <row r="255">
          <cell r="Q255">
            <v>5.2777778182644397E-4</v>
          </cell>
        </row>
        <row r="256">
          <cell r="Q256">
            <v>2.5979166821343824E-4</v>
          </cell>
        </row>
        <row r="257">
          <cell r="Q257">
            <v>7.4710648186737671E-4</v>
          </cell>
        </row>
        <row r="258">
          <cell r="Q258">
            <v>2.877199076465331E-4</v>
          </cell>
        </row>
        <row r="259">
          <cell r="Q259">
            <v>1.6062500071711838E-4</v>
          </cell>
        </row>
        <row r="260">
          <cell r="Q260">
            <v>1.41319447720889E-4</v>
          </cell>
        </row>
        <row r="261">
          <cell r="Q261">
            <v>1.7660879530012608E-4</v>
          </cell>
        </row>
        <row r="262">
          <cell r="Q262">
            <v>2.7402777777751908E-4</v>
          </cell>
        </row>
        <row r="263">
          <cell r="Q263">
            <v>1.9962962687714025E-4</v>
          </cell>
        </row>
        <row r="264">
          <cell r="Q264">
            <v>1.1070601613027975E-4</v>
          </cell>
        </row>
        <row r="265">
          <cell r="Q265">
            <v>1.4319444017019123E-4</v>
          </cell>
        </row>
        <row r="266">
          <cell r="Q266">
            <v>2.8542824293253943E-4</v>
          </cell>
        </row>
        <row r="267">
          <cell r="Q267">
            <v>3.0400462856050581E-4</v>
          </cell>
        </row>
        <row r="268">
          <cell r="Q268">
            <v>4.5875000068917871E-4</v>
          </cell>
        </row>
        <row r="269">
          <cell r="Q269">
            <v>2.7135416894452646E-4</v>
          </cell>
        </row>
        <row r="270">
          <cell r="Q270">
            <v>3.0055555544095114E-4</v>
          </cell>
        </row>
        <row r="271">
          <cell r="Q271">
            <v>3.4336805401835591E-4</v>
          </cell>
        </row>
        <row r="272">
          <cell r="Q272">
            <v>4.5334491005633026E-4</v>
          </cell>
        </row>
        <row r="273">
          <cell r="Q273">
            <v>5.6341435265494511E-4</v>
          </cell>
        </row>
        <row r="274">
          <cell r="Q274">
            <v>1.9311342475702986E-4</v>
          </cell>
        </row>
        <row r="275">
          <cell r="Q275">
            <v>4.102546299691312E-4</v>
          </cell>
        </row>
        <row r="276">
          <cell r="Q276">
            <v>3.8453703746199608E-4</v>
          </cell>
        </row>
        <row r="277">
          <cell r="Q277">
            <v>1.8643171279109083E-3</v>
          </cell>
        </row>
        <row r="278">
          <cell r="Q278">
            <v>1.1518287064973265E-3</v>
          </cell>
        </row>
        <row r="279">
          <cell r="Q279">
            <v>1.5194791631074622E-3</v>
          </cell>
        </row>
        <row r="280">
          <cell r="Q280">
            <v>4.6355323866009712E-4</v>
          </cell>
        </row>
        <row r="281">
          <cell r="Q281">
            <v>2.201388924731873E-4</v>
          </cell>
        </row>
        <row r="282">
          <cell r="Q282">
            <v>2.7037037216359749E-4</v>
          </cell>
        </row>
        <row r="283">
          <cell r="Q283">
            <v>3.2181712595047429E-4</v>
          </cell>
        </row>
        <row r="284">
          <cell r="Q284">
            <v>5.1722222269745544E-4</v>
          </cell>
        </row>
        <row r="285">
          <cell r="Q285">
            <v>4.6192129229893908E-4</v>
          </cell>
        </row>
        <row r="286">
          <cell r="Q286">
            <v>1.6810185479698703E-4</v>
          </cell>
        </row>
        <row r="287">
          <cell r="Q287">
            <v>1.3512731675291434E-4</v>
          </cell>
        </row>
        <row r="288">
          <cell r="Q288">
            <v>4.4175925722811371E-4</v>
          </cell>
        </row>
        <row r="289">
          <cell r="Q289">
            <v>3.7328703911043704E-4</v>
          </cell>
        </row>
        <row r="290">
          <cell r="Q290">
            <v>1.3849536480847746E-4</v>
          </cell>
        </row>
        <row r="291">
          <cell r="Q291">
            <v>3.7443287146743387E-4</v>
          </cell>
        </row>
        <row r="292">
          <cell r="Q292">
            <v>5.2136574231553823E-4</v>
          </cell>
        </row>
        <row r="293">
          <cell r="Q293">
            <v>3.5252315137768164E-4</v>
          </cell>
        </row>
        <row r="294">
          <cell r="Q294">
            <v>2.2824074403615668E-4</v>
          </cell>
        </row>
        <row r="295">
          <cell r="Q295">
            <v>8.8837962539400905E-4</v>
          </cell>
        </row>
        <row r="296">
          <cell r="Q296">
            <v>2.8870370442746207E-4</v>
          </cell>
        </row>
        <row r="297">
          <cell r="Q297">
            <v>4.27060185757E-4</v>
          </cell>
        </row>
        <row r="298">
          <cell r="Q298">
            <v>1.9059027545154095E-4</v>
          </cell>
        </row>
        <row r="299">
          <cell r="Q299">
            <v>5.2138888713670895E-4</v>
          </cell>
        </row>
        <row r="300">
          <cell r="Q300">
            <v>1.2504629557952285E-4</v>
          </cell>
        </row>
        <row r="301">
          <cell r="Q301">
            <v>1.8166666268371046E-4</v>
          </cell>
        </row>
        <row r="302">
          <cell r="Q302">
            <v>2.6921295648207888E-4</v>
          </cell>
        </row>
        <row r="303">
          <cell r="Q303">
            <v>2.9572916537290439E-4</v>
          </cell>
        </row>
        <row r="304">
          <cell r="Q304">
            <v>2.2829860972706228E-4</v>
          </cell>
        </row>
        <row r="305">
          <cell r="Q305">
            <v>4.3260416714474559E-4</v>
          </cell>
        </row>
        <row r="306">
          <cell r="Q306">
            <v>2.1151620603632182E-4</v>
          </cell>
        </row>
        <row r="307">
          <cell r="Q307">
            <v>3.3929397613974288E-4</v>
          </cell>
        </row>
        <row r="308">
          <cell r="Q308">
            <v>2.1353008924052119E-4</v>
          </cell>
        </row>
        <row r="309">
          <cell r="Q309">
            <v>1.8403935246169567E-4</v>
          </cell>
        </row>
        <row r="310">
          <cell r="Q310">
            <v>1.5068287029862404E-4</v>
          </cell>
        </row>
        <row r="311">
          <cell r="Q311">
            <v>4.1967592551372945E-4</v>
          </cell>
        </row>
        <row r="312">
          <cell r="Q312">
            <v>4.8309027624782175E-4</v>
          </cell>
        </row>
        <row r="313">
          <cell r="Q313">
            <v>4.7126157733146101E-4</v>
          </cell>
        </row>
        <row r="314">
          <cell r="Q314">
            <v>5.4212963004829362E-4</v>
          </cell>
        </row>
        <row r="315">
          <cell r="Q315">
            <v>2.8751156787620857E-4</v>
          </cell>
        </row>
        <row r="316">
          <cell r="Q316">
            <v>3.5641203430714086E-4</v>
          </cell>
        </row>
        <row r="317">
          <cell r="Q317">
            <v>2.4968750221887603E-4</v>
          </cell>
        </row>
        <row r="318">
          <cell r="Q318">
            <v>3.8370370748452842E-4</v>
          </cell>
        </row>
        <row r="319">
          <cell r="Q319">
            <v>5.8141203771810979E-4</v>
          </cell>
        </row>
        <row r="320">
          <cell r="Q320">
            <v>1.9204861018806696E-4</v>
          </cell>
        </row>
        <row r="321">
          <cell r="Q321">
            <v>2.6638889539754018E-4</v>
          </cell>
        </row>
        <row r="322">
          <cell r="Q322">
            <v>6.6189814970130101E-4</v>
          </cell>
        </row>
        <row r="323">
          <cell r="Q323">
            <v>4.5175926061347127E-4</v>
          </cell>
        </row>
        <row r="324">
          <cell r="Q324">
            <v>1.8366898439126089E-4</v>
          </cell>
        </row>
        <row r="325">
          <cell r="Q325">
            <v>3.7917824374744669E-4</v>
          </cell>
        </row>
        <row r="326">
          <cell r="Q326">
            <v>2.2523148072650656E-4</v>
          </cell>
        </row>
        <row r="327">
          <cell r="Q327">
            <v>1.7159722483484074E-4</v>
          </cell>
        </row>
        <row r="328">
          <cell r="Q328">
            <v>2.888425879064016E-4</v>
          </cell>
        </row>
        <row r="329">
          <cell r="Q329">
            <v>4.273032391211018E-4</v>
          </cell>
        </row>
        <row r="330">
          <cell r="Q330">
            <v>1.2085532434866764E-3</v>
          </cell>
        </row>
        <row r="331">
          <cell r="Q331">
            <v>2.0740740728797391E-4</v>
          </cell>
        </row>
        <row r="332">
          <cell r="Q332">
            <v>1.0824652781593613E-3</v>
          </cell>
        </row>
        <row r="333">
          <cell r="Q333">
            <v>2.5671296316431835E-4</v>
          </cell>
        </row>
        <row r="334">
          <cell r="Q334">
            <v>1.1141203867737204E-4</v>
          </cell>
        </row>
        <row r="335">
          <cell r="Q335">
            <v>9.0268518397351727E-4</v>
          </cell>
        </row>
        <row r="336">
          <cell r="Q336">
            <v>4.1263888851972297E-4</v>
          </cell>
        </row>
        <row r="337">
          <cell r="Q337">
            <v>4.0649305447004735E-4</v>
          </cell>
        </row>
        <row r="338">
          <cell r="Q338">
            <v>4.449305561138317E-4</v>
          </cell>
        </row>
        <row r="339">
          <cell r="Q339">
            <v>3.8521990063600242E-4</v>
          </cell>
        </row>
        <row r="340">
          <cell r="Q340">
            <v>5.6532407324993983E-4</v>
          </cell>
        </row>
        <row r="341">
          <cell r="Q341">
            <v>1.5906828703009523E-3</v>
          </cell>
        </row>
        <row r="342">
          <cell r="Q342">
            <v>4.7329861263278872E-4</v>
          </cell>
        </row>
        <row r="343">
          <cell r="Q343">
            <v>1.2984375061932951E-3</v>
          </cell>
        </row>
        <row r="344">
          <cell r="Q344">
            <v>7.3098379652947187E-4</v>
          </cell>
        </row>
        <row r="345">
          <cell r="Q345">
            <v>3.1165509426500648E-4</v>
          </cell>
        </row>
        <row r="346">
          <cell r="Q346">
            <v>2.7726851840270683E-4</v>
          </cell>
        </row>
        <row r="347">
          <cell r="Q347">
            <v>5.3096064948476851E-4</v>
          </cell>
        </row>
        <row r="348">
          <cell r="Q348">
            <v>3.5365740768611431E-4</v>
          </cell>
        </row>
        <row r="349">
          <cell r="Q349">
            <v>3.4899305319413543E-4</v>
          </cell>
        </row>
        <row r="350">
          <cell r="Q350">
            <v>5.4361110960599035E-4</v>
          </cell>
        </row>
        <row r="351">
          <cell r="Q351">
            <v>6.6429397702449933E-4</v>
          </cell>
        </row>
        <row r="352">
          <cell r="Q352">
            <v>6.6362268262309954E-4</v>
          </cell>
        </row>
        <row r="353">
          <cell r="Q353">
            <v>2.199537047999911E-4</v>
          </cell>
        </row>
        <row r="354">
          <cell r="Q354">
            <v>3.7868055369472131E-4</v>
          </cell>
        </row>
        <row r="355">
          <cell r="Q355">
            <v>2.9714120319113135E-4</v>
          </cell>
        </row>
        <row r="356">
          <cell r="Q356">
            <v>2.7932869852520525E-4</v>
          </cell>
        </row>
        <row r="357">
          <cell r="Q357">
            <v>3.2494212791789323E-4</v>
          </cell>
        </row>
        <row r="358">
          <cell r="Q358">
            <v>3.8591434713453054E-4</v>
          </cell>
        </row>
        <row r="359">
          <cell r="Q359">
            <v>4.8281250201398507E-4</v>
          </cell>
        </row>
        <row r="360">
          <cell r="Q360">
            <v>9.2592592592592585E-4</v>
          </cell>
        </row>
        <row r="361">
          <cell r="Q361">
            <v>9.2592592592592585E-4</v>
          </cell>
        </row>
        <row r="362">
          <cell r="Q362">
            <v>7.3692129808478057E-4</v>
          </cell>
        </row>
        <row r="363">
          <cell r="Q363">
            <v>2.2248842287808657E-4</v>
          </cell>
        </row>
        <row r="364">
          <cell r="Q364">
            <v>4.7971065214369446E-4</v>
          </cell>
        </row>
        <row r="365">
          <cell r="Q365">
            <v>2.8943287179572508E-4</v>
          </cell>
        </row>
        <row r="366">
          <cell r="Q366">
            <v>2.4475694226566702E-4</v>
          </cell>
        </row>
        <row r="367">
          <cell r="Q367">
            <v>7.7710648474749178E-4</v>
          </cell>
        </row>
        <row r="368">
          <cell r="Q368">
            <v>3.2679398282198235E-4</v>
          </cell>
        </row>
        <row r="369">
          <cell r="Q369">
            <v>3.8606481393799186E-4</v>
          </cell>
        </row>
        <row r="370">
          <cell r="Q370">
            <v>7.6318287028698251E-4</v>
          </cell>
        </row>
        <row r="371">
          <cell r="Q371">
            <v>7.1914352156454697E-4</v>
          </cell>
        </row>
        <row r="372">
          <cell r="Q372">
            <v>3.2187499891733751E-4</v>
          </cell>
        </row>
        <row r="373">
          <cell r="Q373">
            <v>4.8050926125142723E-4</v>
          </cell>
        </row>
        <row r="374">
          <cell r="Q374">
            <v>4.8006944416556507E-4</v>
          </cell>
        </row>
        <row r="375">
          <cell r="Q375">
            <v>1.0722337974584661E-3</v>
          </cell>
        </row>
        <row r="376">
          <cell r="Q376">
            <v>2.1143518824828789E-4</v>
          </cell>
        </row>
        <row r="377">
          <cell r="Q377">
            <v>2.3269675875781104E-4</v>
          </cell>
        </row>
        <row r="378">
          <cell r="Q378">
            <v>5.6442129425704479E-4</v>
          </cell>
        </row>
        <row r="379">
          <cell r="Q379">
            <v>2.8578703495441005E-4</v>
          </cell>
        </row>
        <row r="380">
          <cell r="Q380">
            <v>9.4244212959893048E-4</v>
          </cell>
        </row>
        <row r="381">
          <cell r="Q381">
            <v>4.4491898006526753E-4</v>
          </cell>
        </row>
        <row r="382">
          <cell r="Q382">
            <v>3.7581018841592595E-4</v>
          </cell>
        </row>
        <row r="383">
          <cell r="Q383">
            <v>3.2533564808545634E-4</v>
          </cell>
        </row>
        <row r="384">
          <cell r="Q384">
            <v>5.032291664974764E-4</v>
          </cell>
        </row>
        <row r="385">
          <cell r="Q385">
            <v>5.7060184917645529E-4</v>
          </cell>
        </row>
        <row r="386">
          <cell r="Q386">
            <v>6.2250000337371603E-4</v>
          </cell>
        </row>
        <row r="387">
          <cell r="Q387">
            <v>3.4386574407108128E-4</v>
          </cell>
        </row>
        <row r="388">
          <cell r="Q388">
            <v>3.1116898026084527E-4</v>
          </cell>
        </row>
        <row r="389">
          <cell r="Q389">
            <v>2.7304398099659011E-4</v>
          </cell>
        </row>
        <row r="390">
          <cell r="Q390">
            <v>1.676851898082532E-4</v>
          </cell>
        </row>
        <row r="391">
          <cell r="Q391">
            <v>1.7770833073882386E-4</v>
          </cell>
        </row>
        <row r="392">
          <cell r="Q392">
            <v>1.3523147936211899E-4</v>
          </cell>
        </row>
        <row r="393">
          <cell r="Q393">
            <v>2.1311342425178736E-4</v>
          </cell>
        </row>
        <row r="394">
          <cell r="Q394">
            <v>3.8028935523470864E-4</v>
          </cell>
        </row>
        <row r="395">
          <cell r="Q395">
            <v>7.8849536657799035E-4</v>
          </cell>
        </row>
        <row r="396">
          <cell r="Q396">
            <v>9.9405092623783275E-4</v>
          </cell>
        </row>
        <row r="397">
          <cell r="Q397">
            <v>5.4706018272554502E-4</v>
          </cell>
        </row>
        <row r="398">
          <cell r="Q398">
            <v>9.3253472005017102E-4</v>
          </cell>
        </row>
        <row r="399">
          <cell r="Q399">
            <v>4.2232638952555135E-4</v>
          </cell>
        </row>
        <row r="400">
          <cell r="Q400">
            <v>3.1476852018386126E-4</v>
          </cell>
        </row>
        <row r="401">
          <cell r="Q401">
            <v>1.5263888781191781E-4</v>
          </cell>
        </row>
        <row r="402">
          <cell r="Q402">
            <v>6.2130787409842014E-4</v>
          </cell>
        </row>
        <row r="403">
          <cell r="Q403">
            <v>3.5202546132495627E-4</v>
          </cell>
        </row>
        <row r="404">
          <cell r="Q404">
            <v>2.6364583027316257E-4</v>
          </cell>
        </row>
        <row r="405">
          <cell r="Q405">
            <v>1.3609953748527914E-4</v>
          </cell>
        </row>
        <row r="406">
          <cell r="Q406">
            <v>1.3785879855277017E-4</v>
          </cell>
        </row>
        <row r="407">
          <cell r="Q407">
            <v>5.767476832261309E-4</v>
          </cell>
        </row>
        <row r="408">
          <cell r="Q408">
            <v>2.6307870575692505E-4</v>
          </cell>
        </row>
        <row r="409">
          <cell r="Q409">
            <v>3.3898148103617132E-4</v>
          </cell>
        </row>
        <row r="410">
          <cell r="Q410">
            <v>1.6327545745298266E-4</v>
          </cell>
        </row>
        <row r="411">
          <cell r="Q411">
            <v>3.6614583223126829E-4</v>
          </cell>
        </row>
        <row r="412">
          <cell r="Q412">
            <v>1.3541666666666667E-3</v>
          </cell>
        </row>
        <row r="413">
          <cell r="Q413">
            <v>1.2623958318727091E-3</v>
          </cell>
        </row>
        <row r="414">
          <cell r="Q414">
            <v>5.8526620705379173E-4</v>
          </cell>
        </row>
        <row r="415">
          <cell r="Q415">
            <v>1.0164467603317462E-3</v>
          </cell>
        </row>
        <row r="416">
          <cell r="Q416">
            <v>4.6223380195442587E-4</v>
          </cell>
        </row>
        <row r="417">
          <cell r="Q417">
            <v>4.2583333561196923E-4</v>
          </cell>
        </row>
        <row r="418">
          <cell r="Q418">
            <v>4.0732639172347263E-4</v>
          </cell>
        </row>
        <row r="419">
          <cell r="Q419">
            <v>3.6512731458060443E-4</v>
          </cell>
        </row>
        <row r="420">
          <cell r="Q420">
            <v>5.6998842774191871E-4</v>
          </cell>
        </row>
        <row r="421">
          <cell r="Q421">
            <v>4.329976873123087E-4</v>
          </cell>
        </row>
        <row r="422">
          <cell r="Q422">
            <v>4.556481508188881E-4</v>
          </cell>
        </row>
        <row r="423">
          <cell r="Q423">
            <v>4.434953661984764E-4</v>
          </cell>
        </row>
        <row r="424">
          <cell r="Q424">
            <v>5.0673611258389428E-4</v>
          </cell>
        </row>
        <row r="425">
          <cell r="Q425">
            <v>4.0660879312781617E-4</v>
          </cell>
        </row>
        <row r="426">
          <cell r="Q426">
            <v>5.745601883972995E-4</v>
          </cell>
        </row>
        <row r="427">
          <cell r="Q427">
            <v>4.9795139057096094E-4</v>
          </cell>
        </row>
        <row r="428">
          <cell r="Q428">
            <v>2.7381944528315216E-4</v>
          </cell>
        </row>
        <row r="429">
          <cell r="Q429">
            <v>3.1094907171791419E-4</v>
          </cell>
        </row>
        <row r="430">
          <cell r="Q430">
            <v>9.0846064267680049E-4</v>
          </cell>
        </row>
        <row r="431">
          <cell r="Q431">
            <v>3.7082176277181134E-4</v>
          </cell>
        </row>
        <row r="432">
          <cell r="Q432">
            <v>3.0667823739349842E-4</v>
          </cell>
        </row>
        <row r="433">
          <cell r="Q433">
            <v>4.0927083318820223E-4</v>
          </cell>
        </row>
        <row r="434">
          <cell r="Q434">
            <v>2.359027712373063E-4</v>
          </cell>
        </row>
        <row r="435">
          <cell r="Q435">
            <v>8.6881945026107132E-4</v>
          </cell>
        </row>
        <row r="436">
          <cell r="Q436">
            <v>7.484490706701763E-4</v>
          </cell>
        </row>
        <row r="437">
          <cell r="Q437">
            <v>8.4976851940155029E-4</v>
          </cell>
        </row>
        <row r="438">
          <cell r="Q438">
            <v>1.8629629630595446E-3</v>
          </cell>
        </row>
        <row r="439">
          <cell r="Q439">
            <v>5.9238425455987453E-4</v>
          </cell>
        </row>
        <row r="440">
          <cell r="Q440">
            <v>1.0174537019338459E-3</v>
          </cell>
        </row>
        <row r="441">
          <cell r="Q441">
            <v>5.2989583491580561E-4</v>
          </cell>
        </row>
        <row r="442">
          <cell r="Q442">
            <v>3.0553935212083161E-3</v>
          </cell>
        </row>
        <row r="443">
          <cell r="Q443">
            <v>1.2327893491601571E-3</v>
          </cell>
        </row>
        <row r="444">
          <cell r="Q444">
            <v>9.3598379316972569E-4</v>
          </cell>
        </row>
        <row r="445">
          <cell r="Q445">
            <v>6.364814835251309E-4</v>
          </cell>
        </row>
        <row r="446">
          <cell r="Q446">
            <v>6.31944443739485E-4</v>
          </cell>
        </row>
        <row r="447">
          <cell r="Q447">
            <v>6.2063657242106274E-4</v>
          </cell>
        </row>
        <row r="448">
          <cell r="Q448">
            <v>9.9724536994472146E-4</v>
          </cell>
        </row>
        <row r="449">
          <cell r="Q449">
            <v>1.1125810124212876E-3</v>
          </cell>
        </row>
        <row r="450">
          <cell r="Q450">
            <v>4.0498843009117991E-4</v>
          </cell>
        </row>
        <row r="451">
          <cell r="Q451">
            <v>7.2665508923819289E-4</v>
          </cell>
        </row>
        <row r="452">
          <cell r="Q452">
            <v>2.4310185108333826E-4</v>
          </cell>
        </row>
        <row r="453">
          <cell r="Q453">
            <v>4.661805578507483E-4</v>
          </cell>
        </row>
        <row r="454">
          <cell r="Q454">
            <v>1.0482060170033947E-3</v>
          </cell>
        </row>
        <row r="455">
          <cell r="Q455">
            <v>2.1391203335952014E-4</v>
          </cell>
        </row>
        <row r="456">
          <cell r="Q456">
            <v>1.0591435202513821E-3</v>
          </cell>
        </row>
        <row r="457">
          <cell r="Q457">
            <v>1.5218749467749149E-4</v>
          </cell>
        </row>
        <row r="458">
          <cell r="Q458">
            <v>1.5491898375330493E-4</v>
          </cell>
        </row>
        <row r="459">
          <cell r="Q459">
            <v>1.3015045988140628E-4</v>
          </cell>
        </row>
        <row r="460">
          <cell r="Q460">
            <v>4.290393553674221E-4</v>
          </cell>
        </row>
        <row r="461">
          <cell r="Q461">
            <v>1.834837967180647E-4</v>
          </cell>
        </row>
        <row r="462">
          <cell r="Q462">
            <v>1.4028819423401728E-3</v>
          </cell>
        </row>
        <row r="463">
          <cell r="Q463">
            <v>4.7277777775889263E-4</v>
          </cell>
        </row>
        <row r="464">
          <cell r="Q464">
            <v>2.0782407227670774E-4</v>
          </cell>
        </row>
        <row r="465">
          <cell r="Q465">
            <v>3.4835647966247052E-4</v>
          </cell>
        </row>
        <row r="466">
          <cell r="Q466">
            <v>1.4293865751824342E-3</v>
          </cell>
        </row>
        <row r="467">
          <cell r="Q467">
            <v>1.6541666991543025E-4</v>
          </cell>
        </row>
        <row r="468">
          <cell r="Q468">
            <v>1.3752315135207027E-4</v>
          </cell>
        </row>
        <row r="469">
          <cell r="Q469">
            <v>3.1149305868893862E-4</v>
          </cell>
        </row>
        <row r="470">
          <cell r="Q470">
            <v>2.8332175861578435E-4</v>
          </cell>
        </row>
        <row r="471">
          <cell r="Q471">
            <v>3.0756944033782929E-4</v>
          </cell>
        </row>
        <row r="472">
          <cell r="Q472">
            <v>9.123842028202489E-5</v>
          </cell>
        </row>
        <row r="473">
          <cell r="Q473">
            <v>1.9231481564929709E-4</v>
          </cell>
        </row>
        <row r="474">
          <cell r="Q474">
            <v>4.4770833483198658E-4</v>
          </cell>
        </row>
        <row r="475">
          <cell r="Q475">
            <v>1.999537053052336E-4</v>
          </cell>
        </row>
        <row r="476">
          <cell r="Q476">
            <v>1.0547222263994627E-3</v>
          </cell>
        </row>
        <row r="477">
          <cell r="Q477">
            <v>3.6888889007968828E-4</v>
          </cell>
        </row>
        <row r="478">
          <cell r="Q478">
            <v>1.3972222222946584E-4</v>
          </cell>
        </row>
        <row r="479">
          <cell r="Q479">
            <v>3.2437499612569809E-4</v>
          </cell>
        </row>
        <row r="480">
          <cell r="Q480">
            <v>8.0990740389097482E-4</v>
          </cell>
        </row>
        <row r="481">
          <cell r="Q481">
            <v>1.5685185644542798E-4</v>
          </cell>
        </row>
        <row r="482">
          <cell r="Q482">
            <v>1.5622685168636963E-4</v>
          </cell>
        </row>
        <row r="483">
          <cell r="Q483">
            <v>2.2203703701961786E-4</v>
          </cell>
        </row>
        <row r="484">
          <cell r="Q484">
            <v>1.7532407218823209E-4</v>
          </cell>
        </row>
        <row r="485">
          <cell r="Q485">
            <v>1.2752314796671271E-4</v>
          </cell>
        </row>
        <row r="486">
          <cell r="Q486">
            <v>6.8143518728902563E-4</v>
          </cell>
        </row>
        <row r="487">
          <cell r="Q487">
            <v>1.4368055417435244E-4</v>
          </cell>
        </row>
        <row r="488">
          <cell r="Q488">
            <v>5.581481455010362E-4</v>
          </cell>
        </row>
        <row r="489">
          <cell r="Q489">
            <v>1.7930555623024702E-4</v>
          </cell>
        </row>
        <row r="490">
          <cell r="Q490">
            <v>3.0858796526445076E-4</v>
          </cell>
        </row>
        <row r="491">
          <cell r="Q491">
            <v>2.9822916258126497E-4</v>
          </cell>
        </row>
        <row r="492">
          <cell r="Q492">
            <v>1.8967592768603936E-4</v>
          </cell>
        </row>
        <row r="493">
          <cell r="Q493">
            <v>6.564814830198884E-4</v>
          </cell>
        </row>
        <row r="494">
          <cell r="Q494">
            <v>4.2490740452194586E-4</v>
          </cell>
        </row>
        <row r="495">
          <cell r="Q495">
            <v>3.6543981696013361E-4</v>
          </cell>
        </row>
        <row r="496">
          <cell r="Q496">
            <v>2.7902777219424024E-4</v>
          </cell>
        </row>
        <row r="497">
          <cell r="Q497">
            <v>1.5219907800201327E-4</v>
          </cell>
        </row>
        <row r="498">
          <cell r="Q498">
            <v>3.1634259357815608E-4</v>
          </cell>
        </row>
        <row r="499">
          <cell r="Q499">
            <v>4.3841434671776369E-4</v>
          </cell>
        </row>
        <row r="500">
          <cell r="Q500">
            <v>2.4078703427221626E-4</v>
          </cell>
        </row>
        <row r="501">
          <cell r="Q501">
            <v>3.9625000499654561E-4</v>
          </cell>
        </row>
        <row r="502">
          <cell r="Q502">
            <v>1.4398148050531745E-4</v>
          </cell>
        </row>
        <row r="503">
          <cell r="Q503">
            <v>1.8798611563397571E-4</v>
          </cell>
        </row>
        <row r="504">
          <cell r="Q504">
            <v>3.5893518361262977E-4</v>
          </cell>
        </row>
        <row r="505">
          <cell r="Q505">
            <v>8.1773148122010753E-4</v>
          </cell>
        </row>
        <row r="506">
          <cell r="Q506">
            <v>2.2883102064952254E-4</v>
          </cell>
        </row>
        <row r="507">
          <cell r="Q507">
            <v>3.6980324512114748E-4</v>
          </cell>
        </row>
        <row r="508">
          <cell r="Q508">
            <v>4.8369212890975177E-4</v>
          </cell>
        </row>
        <row r="509">
          <cell r="Q509">
            <v>2.4291666341014206E-4</v>
          </cell>
        </row>
        <row r="510">
          <cell r="Q510">
            <v>4.2054397636093199E-4</v>
          </cell>
        </row>
        <row r="511">
          <cell r="Q511">
            <v>3.320138857816346E-4</v>
          </cell>
        </row>
        <row r="512">
          <cell r="Q512">
            <v>2.4722222588025033E-4</v>
          </cell>
        </row>
        <row r="513">
          <cell r="Q513">
            <v>2.7723379753297195E-4</v>
          </cell>
        </row>
        <row r="514">
          <cell r="Q514">
            <v>5.6692129874136299E-4</v>
          </cell>
        </row>
        <row r="515">
          <cell r="Q515">
            <v>1.1070602340623736E-4</v>
          </cell>
        </row>
        <row r="516">
          <cell r="Q516">
            <v>1.4145949098747224E-3</v>
          </cell>
        </row>
        <row r="517">
          <cell r="Q517">
            <v>1.1274305870756507E-4</v>
          </cell>
        </row>
        <row r="518">
          <cell r="Q518">
            <v>5.8504629851086065E-4</v>
          </cell>
        </row>
        <row r="519">
          <cell r="Q519">
            <v>1.2031250662403181E-4</v>
          </cell>
        </row>
        <row r="520">
          <cell r="Q520">
            <v>2.5432869733776897E-4</v>
          </cell>
        </row>
        <row r="521">
          <cell r="Q521">
            <v>1.1338425902067684E-3</v>
          </cell>
        </row>
        <row r="522">
          <cell r="Q522">
            <v>4.4797453301725909E-4</v>
          </cell>
        </row>
        <row r="523">
          <cell r="Q523">
            <v>1.9177083595423028E-4</v>
          </cell>
        </row>
        <row r="524">
          <cell r="Q524">
            <v>5.3417823801282793E-4</v>
          </cell>
        </row>
        <row r="525">
          <cell r="Q525">
            <v>4.1429397970205173E-4</v>
          </cell>
        </row>
        <row r="526">
          <cell r="Q526">
            <v>1.5291666204575449E-4</v>
          </cell>
        </row>
        <row r="527">
          <cell r="Q527">
            <v>1.1108796024927869E-4</v>
          </cell>
        </row>
        <row r="528">
          <cell r="Q528">
            <v>1.914583335747011E-4</v>
          </cell>
        </row>
        <row r="529">
          <cell r="Q529">
            <v>6.390393537003547E-4</v>
          </cell>
        </row>
        <row r="530">
          <cell r="Q530">
            <v>1.096296327887103E-4</v>
          </cell>
        </row>
        <row r="531">
          <cell r="Q531">
            <v>2.6689814694691449E-4</v>
          </cell>
        </row>
        <row r="532">
          <cell r="Q532">
            <v>1.2304398114793003E-4</v>
          </cell>
        </row>
        <row r="533">
          <cell r="Q533">
            <v>1.5974537382135168E-4</v>
          </cell>
        </row>
        <row r="534">
          <cell r="Q534">
            <v>1.3296296674525365E-4</v>
          </cell>
        </row>
        <row r="535">
          <cell r="Q535">
            <v>1.9829860684694722E-4</v>
          </cell>
        </row>
        <row r="536">
          <cell r="Q536">
            <v>2.1371527691371739E-4</v>
          </cell>
        </row>
        <row r="537">
          <cell r="Q537">
            <v>5.3291666699806228E-4</v>
          </cell>
        </row>
        <row r="538">
          <cell r="Q538">
            <v>1.4706018555443734E-4</v>
          </cell>
        </row>
        <row r="539">
          <cell r="Q539">
            <v>1.8978009029524401E-4</v>
          </cell>
        </row>
        <row r="540">
          <cell r="Q540">
            <v>1.2687499838648364E-4</v>
          </cell>
        </row>
        <row r="541">
          <cell r="Q541">
            <v>2.0438657520571724E-4</v>
          </cell>
        </row>
        <row r="542">
          <cell r="Q542">
            <v>1.579398158355616E-4</v>
          </cell>
        </row>
        <row r="543">
          <cell r="Q543">
            <v>2.9092592740198597E-4</v>
          </cell>
        </row>
        <row r="544">
          <cell r="Q544">
            <v>3.4569444687804207E-4</v>
          </cell>
        </row>
        <row r="545">
          <cell r="Q545">
            <v>1.6437500016763806E-4</v>
          </cell>
        </row>
        <row r="546">
          <cell r="Q546">
            <v>2.7282407245365903E-4</v>
          </cell>
        </row>
        <row r="547">
          <cell r="Q547">
            <v>2.3135416995501146E-4</v>
          </cell>
        </row>
        <row r="548">
          <cell r="Q548">
            <v>2.3065972345648333E-4</v>
          </cell>
        </row>
        <row r="549">
          <cell r="Q549">
            <v>1.426273156539537E-4</v>
          </cell>
        </row>
        <row r="550">
          <cell r="Q550">
            <v>1.7532407946418971E-4</v>
          </cell>
        </row>
        <row r="551">
          <cell r="Q551">
            <v>1.0664351430023089E-4</v>
          </cell>
        </row>
        <row r="552">
          <cell r="Q552">
            <v>2.2629629529546946E-4</v>
          </cell>
        </row>
        <row r="553">
          <cell r="Q553">
            <v>2.1388888853834942E-4</v>
          </cell>
        </row>
        <row r="554">
          <cell r="Q554">
            <v>3.4447916550561786E-4</v>
          </cell>
        </row>
        <row r="555">
          <cell r="Q555">
            <v>3.0042824073461816E-4</v>
          </cell>
        </row>
        <row r="556">
          <cell r="Q556">
            <v>2.8372685483191162E-4</v>
          </cell>
        </row>
        <row r="557">
          <cell r="Q557">
            <v>2.3312499979510903E-4</v>
          </cell>
        </row>
        <row r="558">
          <cell r="Q558">
            <v>2.5998842465924099E-4</v>
          </cell>
        </row>
        <row r="559">
          <cell r="Q559">
            <v>2.3609953495906666E-4</v>
          </cell>
        </row>
        <row r="560">
          <cell r="Q560">
            <v>1.5584490029141307E-4</v>
          </cell>
        </row>
        <row r="561">
          <cell r="Q561">
            <v>1.103588001569733E-4</v>
          </cell>
        </row>
        <row r="562">
          <cell r="Q562">
            <v>1.6115741163957864E-4</v>
          </cell>
        </row>
        <row r="563">
          <cell r="Q563">
            <v>1.0936342005152255E-4</v>
          </cell>
        </row>
        <row r="564">
          <cell r="Q564">
            <v>9.8851852089865133E-4</v>
          </cell>
        </row>
        <row r="565">
          <cell r="Q565">
            <v>3.0993055406725034E-4</v>
          </cell>
        </row>
        <row r="566">
          <cell r="Q566">
            <v>3.461111118667759E-4</v>
          </cell>
        </row>
        <row r="567">
          <cell r="Q567">
            <v>2.5311342324130237E-4</v>
          </cell>
        </row>
        <row r="568">
          <cell r="Q568">
            <v>1.5887731569819152E-4</v>
          </cell>
        </row>
        <row r="569">
          <cell r="Q569">
            <v>4.7953703324310482E-4</v>
          </cell>
        </row>
        <row r="570">
          <cell r="Q570">
            <v>4.4092592725064605E-4</v>
          </cell>
        </row>
        <row r="571">
          <cell r="Q571">
            <v>1.5453703963430598E-4</v>
          </cell>
        </row>
        <row r="572">
          <cell r="Q572">
            <v>2.4550926173105836E-4</v>
          </cell>
        </row>
        <row r="573">
          <cell r="Q573">
            <v>3.6509259371086955E-4</v>
          </cell>
        </row>
        <row r="574">
          <cell r="Q574">
            <v>2.8002315229969099E-4</v>
          </cell>
        </row>
        <row r="575">
          <cell r="Q575">
            <v>4.2318287160014734E-4</v>
          </cell>
        </row>
        <row r="576">
          <cell r="Q576">
            <v>5.5847222392912954E-4</v>
          </cell>
        </row>
        <row r="577">
          <cell r="Q577">
            <v>3.8689815119141713E-4</v>
          </cell>
        </row>
        <row r="578">
          <cell r="Q578">
            <v>2.3856481857364997E-4</v>
          </cell>
        </row>
        <row r="579">
          <cell r="Q579">
            <v>2.5364583416376263E-4</v>
          </cell>
        </row>
        <row r="580">
          <cell r="Q580">
            <v>1.1788194387918338E-4</v>
          </cell>
        </row>
        <row r="581">
          <cell r="Q581">
            <v>1.3537037011701614E-4</v>
          </cell>
        </row>
        <row r="582">
          <cell r="Q582">
            <v>4.909606504952535E-4</v>
          </cell>
        </row>
        <row r="583">
          <cell r="Q583">
            <v>1.5217592590488493E-4</v>
          </cell>
        </row>
        <row r="584">
          <cell r="Q584">
            <v>2.9975693905726075E-4</v>
          </cell>
        </row>
        <row r="585">
          <cell r="Q585">
            <v>1.6104166570585221E-4</v>
          </cell>
        </row>
        <row r="586">
          <cell r="Q586">
            <v>5.5731481552356854E-4</v>
          </cell>
        </row>
        <row r="587">
          <cell r="Q587">
            <v>2.6412036822875962E-4</v>
          </cell>
        </row>
        <row r="588">
          <cell r="Q588">
            <v>4.2916666279779747E-4</v>
          </cell>
        </row>
        <row r="589">
          <cell r="Q589">
            <v>2.2258102399064228E-4</v>
          </cell>
        </row>
        <row r="590">
          <cell r="Q590">
            <v>1.0961804946418852E-4</v>
          </cell>
        </row>
        <row r="591">
          <cell r="Q591">
            <v>5.9696759126381949E-4</v>
          </cell>
        </row>
        <row r="592">
          <cell r="Q592">
            <v>3.3069444180000573E-4</v>
          </cell>
        </row>
        <row r="593">
          <cell r="Q593">
            <v>3.0406250152736902E-4</v>
          </cell>
        </row>
        <row r="594">
          <cell r="Q594">
            <v>4.1753472032723948E-4</v>
          </cell>
        </row>
        <row r="595">
          <cell r="Q595">
            <v>2.8445601492421702E-4</v>
          </cell>
        </row>
        <row r="596">
          <cell r="Q596">
            <v>7.3228009568993002E-4</v>
          </cell>
        </row>
        <row r="597">
          <cell r="Q597">
            <v>2.9532406915677711E-4</v>
          </cell>
        </row>
        <row r="598">
          <cell r="Q598">
            <v>4.4328703370410949E-4</v>
          </cell>
        </row>
        <row r="599">
          <cell r="Q599">
            <v>4.6008102071937174E-4</v>
          </cell>
        </row>
        <row r="600">
          <cell r="Q600">
            <v>3.02303240459878E-4</v>
          </cell>
        </row>
        <row r="601">
          <cell r="Q601">
            <v>3.8206018507480621E-4</v>
          </cell>
        </row>
        <row r="602">
          <cell r="Q602">
            <v>4.1778934973990545E-4</v>
          </cell>
        </row>
        <row r="603">
          <cell r="Q603">
            <v>3.3876157249324024E-4</v>
          </cell>
        </row>
        <row r="604">
          <cell r="Q604">
            <v>2.1542824106290936E-4</v>
          </cell>
        </row>
        <row r="605">
          <cell r="Q605">
            <v>3.4385416802251711E-4</v>
          </cell>
        </row>
        <row r="606">
          <cell r="Q606">
            <v>2.1901620493736118E-4</v>
          </cell>
        </row>
        <row r="607">
          <cell r="Q607">
            <v>1.3348379434319213E-4</v>
          </cell>
        </row>
        <row r="608">
          <cell r="Q608">
            <v>3.8568286981899291E-4</v>
          </cell>
        </row>
        <row r="609">
          <cell r="Q609">
            <v>2.4936342379078269E-4</v>
          </cell>
        </row>
        <row r="610">
          <cell r="Q610">
            <v>2.5480323529336601E-4</v>
          </cell>
        </row>
        <row r="611">
          <cell r="Q611">
            <v>2.3832175793359056E-4</v>
          </cell>
        </row>
        <row r="612">
          <cell r="Q612">
            <v>9.9248842889210209E-4</v>
          </cell>
        </row>
        <row r="613">
          <cell r="Q613">
            <v>3.1574074091622606E-4</v>
          </cell>
        </row>
        <row r="614">
          <cell r="Q614">
            <v>1.0790509259095415E-4</v>
          </cell>
        </row>
        <row r="615">
          <cell r="Q615">
            <v>1.039826383930631E-3</v>
          </cell>
        </row>
        <row r="616">
          <cell r="Q616">
            <v>2.9343750065891072E-4</v>
          </cell>
        </row>
        <row r="617">
          <cell r="Q617">
            <v>2.1678240591427311E-4</v>
          </cell>
        </row>
        <row r="618">
          <cell r="Q618">
            <v>4.0908564551500604E-4</v>
          </cell>
        </row>
        <row r="619">
          <cell r="Q619">
            <v>2.1879628911847249E-4</v>
          </cell>
        </row>
        <row r="620">
          <cell r="Q620">
            <v>2.3187499755294994E-4</v>
          </cell>
        </row>
        <row r="621">
          <cell r="Q621">
            <v>1.5449073544004932E-4</v>
          </cell>
        </row>
        <row r="622">
          <cell r="Q622">
            <v>1.5274305769708008E-4</v>
          </cell>
        </row>
        <row r="623">
          <cell r="Q623">
            <v>1.9479166803648695E-4</v>
          </cell>
        </row>
        <row r="624">
          <cell r="Q624">
            <v>1.2300926027819514E-4</v>
          </cell>
        </row>
        <row r="625">
          <cell r="Q625">
            <v>1.8187499517807737E-4</v>
          </cell>
        </row>
        <row r="626">
          <cell r="Q626">
            <v>1.2354166392469779E-4</v>
          </cell>
        </row>
        <row r="627">
          <cell r="Q627">
            <v>1.2988426169613376E-4</v>
          </cell>
        </row>
        <row r="628">
          <cell r="Q628">
            <v>4.3398148409323767E-4</v>
          </cell>
        </row>
        <row r="629">
          <cell r="Q629">
            <v>1.3133102038409561E-4</v>
          </cell>
        </row>
        <row r="630">
          <cell r="Q630">
            <v>5.3677083633374423E-4</v>
          </cell>
        </row>
        <row r="631">
          <cell r="Q631">
            <v>2.6070602325489745E-4</v>
          </cell>
        </row>
        <row r="632">
          <cell r="Q632">
            <v>4.1769676317926496E-4</v>
          </cell>
        </row>
        <row r="633">
          <cell r="Q633">
            <v>5.4025463032303378E-4</v>
          </cell>
        </row>
        <row r="634">
          <cell r="Q634">
            <v>1.3068287080386654E-4</v>
          </cell>
        </row>
        <row r="635">
          <cell r="Q635">
            <v>3.1331018544733524E-4</v>
          </cell>
        </row>
        <row r="636">
          <cell r="Q636">
            <v>1.4776620810152963E-4</v>
          </cell>
        </row>
        <row r="637">
          <cell r="Q637">
            <v>1.3021990889683366E-4</v>
          </cell>
        </row>
        <row r="638">
          <cell r="Q638">
            <v>1.2510416854638606E-4</v>
          </cell>
        </row>
        <row r="639">
          <cell r="Q639">
            <v>1.3990740990266204E-4</v>
          </cell>
        </row>
        <row r="640">
          <cell r="Q640">
            <v>3.1296296219807118E-4</v>
          </cell>
        </row>
        <row r="641">
          <cell r="Q641">
            <v>1.2868055637227371E-4</v>
          </cell>
        </row>
        <row r="642">
          <cell r="Q642">
            <v>2.9903935501351953E-4</v>
          </cell>
        </row>
        <row r="643">
          <cell r="Q643">
            <v>1.768750007613562E-4</v>
          </cell>
        </row>
        <row r="644">
          <cell r="Q644">
            <v>3.0828703165752813E-4</v>
          </cell>
        </row>
        <row r="645">
          <cell r="Q645">
            <v>5.3878472681390122E-4</v>
          </cell>
        </row>
        <row r="646">
          <cell r="Q646">
            <v>1.4096064842306077E-4</v>
          </cell>
        </row>
        <row r="647">
          <cell r="Q647">
            <v>1.1230324162170291E-4</v>
          </cell>
        </row>
        <row r="648">
          <cell r="Q648">
            <v>1.1746527889044955E-4</v>
          </cell>
        </row>
        <row r="649">
          <cell r="Q649">
            <v>2.3564814910059795E-4</v>
          </cell>
        </row>
        <row r="650">
          <cell r="Q650">
            <v>4.8598380089970306E-4</v>
          </cell>
        </row>
        <row r="651">
          <cell r="Q651">
            <v>5.2393518853932619E-4</v>
          </cell>
        </row>
        <row r="652">
          <cell r="Q652">
            <v>2.0444444089662284E-4</v>
          </cell>
        </row>
        <row r="653">
          <cell r="Q653">
            <v>2.058564787148498E-4</v>
          </cell>
        </row>
        <row r="654">
          <cell r="Q654">
            <v>1.3252314965939149E-4</v>
          </cell>
        </row>
        <row r="655">
          <cell r="Q655">
            <v>1.4967592869652435E-4</v>
          </cell>
        </row>
        <row r="656">
          <cell r="Q656">
            <v>4.0263888513436541E-4</v>
          </cell>
        </row>
        <row r="657">
          <cell r="Q657">
            <v>2.0747685630340129E-4</v>
          </cell>
        </row>
        <row r="658">
          <cell r="Q658">
            <v>2.4435185332549736E-4</v>
          </cell>
        </row>
        <row r="659">
          <cell r="Q659">
            <v>2.9947916482342407E-4</v>
          </cell>
        </row>
        <row r="660">
          <cell r="Q660">
            <v>6.6265046189073473E-4</v>
          </cell>
        </row>
        <row r="661">
          <cell r="Q661">
            <v>3.7896991125307977E-4</v>
          </cell>
        </row>
        <row r="662">
          <cell r="Q662">
            <v>1.8589120008982718E-4</v>
          </cell>
        </row>
        <row r="663">
          <cell r="Q663">
            <v>1.0628472227836028E-4</v>
          </cell>
        </row>
        <row r="664">
          <cell r="Q664">
            <v>4.8614582919981331E-4</v>
          </cell>
        </row>
        <row r="665">
          <cell r="Q665">
            <v>2.0670139201683924E-4</v>
          </cell>
        </row>
        <row r="666">
          <cell r="Q666">
            <v>2.1151620603632182E-4</v>
          </cell>
        </row>
        <row r="667">
          <cell r="Q667">
            <v>3.1633101752959192E-4</v>
          </cell>
        </row>
        <row r="668">
          <cell r="Q668">
            <v>2.1979166922392324E-4</v>
          </cell>
        </row>
        <row r="669">
          <cell r="Q669">
            <v>7.9738425847608596E-4</v>
          </cell>
        </row>
        <row r="670">
          <cell r="Q670">
            <v>2.8586805274244398E-4</v>
          </cell>
        </row>
        <row r="671">
          <cell r="Q671">
            <v>3.0041666468605399E-4</v>
          </cell>
        </row>
        <row r="672">
          <cell r="Q672">
            <v>2.5789352366700768E-4</v>
          </cell>
        </row>
        <row r="673">
          <cell r="Q673">
            <v>2.209259255323559E-4</v>
          </cell>
        </row>
        <row r="674">
          <cell r="Q674">
            <v>2.1368055604398251E-4</v>
          </cell>
        </row>
        <row r="675">
          <cell r="Q675">
            <v>4.4284722389420494E-4</v>
          </cell>
        </row>
        <row r="676">
          <cell r="Q676">
            <v>3.6482639552559704E-4</v>
          </cell>
        </row>
        <row r="677">
          <cell r="Q677">
            <v>3.0858796526445076E-4</v>
          </cell>
        </row>
        <row r="678">
          <cell r="Q678">
            <v>1.9148148567182943E-4</v>
          </cell>
        </row>
        <row r="679">
          <cell r="Q679">
            <v>2.9358796746237203E-4</v>
          </cell>
        </row>
        <row r="680">
          <cell r="Q680">
            <v>3.0667823739349842E-4</v>
          </cell>
        </row>
        <row r="681">
          <cell r="Q681">
            <v>4.6946758811827749E-4</v>
          </cell>
        </row>
        <row r="682">
          <cell r="Q682">
            <v>1.9673610950121656E-4</v>
          </cell>
        </row>
        <row r="683">
          <cell r="Q683">
            <v>1.1972222273470834E-4</v>
          </cell>
        </row>
        <row r="684">
          <cell r="Q684">
            <v>2.6365740632172674E-4</v>
          </cell>
        </row>
        <row r="685">
          <cell r="Q685">
            <v>1.2232638982823119E-4</v>
          </cell>
        </row>
        <row r="686">
          <cell r="Q686">
            <v>1.2333333143033087E-4</v>
          </cell>
        </row>
        <row r="687">
          <cell r="Q687">
            <v>1.7638889403315261E-4</v>
          </cell>
        </row>
        <row r="688">
          <cell r="Q688">
            <v>5.0581018876982853E-4</v>
          </cell>
        </row>
        <row r="689">
          <cell r="Q689">
            <v>5.1040509424638003E-4</v>
          </cell>
        </row>
        <row r="690">
          <cell r="Q690">
            <v>9.8275464551988989E-5</v>
          </cell>
        </row>
        <row r="691">
          <cell r="Q691">
            <v>4.2752314766403288E-4</v>
          </cell>
        </row>
        <row r="692">
          <cell r="Q692">
            <v>1.0965277760988101E-4</v>
          </cell>
        </row>
        <row r="693">
          <cell r="Q693">
            <v>4.352199102868326E-4</v>
          </cell>
        </row>
        <row r="694">
          <cell r="Q694">
            <v>3.721412067534402E-4</v>
          </cell>
        </row>
        <row r="695">
          <cell r="Q695">
            <v>2.0901620155200362E-4</v>
          </cell>
        </row>
        <row r="696">
          <cell r="Q696">
            <v>1.4859953807899728E-4</v>
          </cell>
        </row>
        <row r="697">
          <cell r="Q697">
            <v>1.2216434697620571E-4</v>
          </cell>
        </row>
        <row r="698">
          <cell r="Q698">
            <v>1.9939814956160262E-4</v>
          </cell>
        </row>
        <row r="699">
          <cell r="Q699">
            <v>2.6546296430751681E-4</v>
          </cell>
        </row>
        <row r="700">
          <cell r="Q700">
            <v>2.8619212389457971E-4</v>
          </cell>
        </row>
        <row r="701">
          <cell r="Q701">
            <v>1.1651620297925547E-4</v>
          </cell>
        </row>
        <row r="702">
          <cell r="Q702">
            <v>1.235069430549629E-4</v>
          </cell>
        </row>
        <row r="703">
          <cell r="Q703">
            <v>1.5765045827720314E-4</v>
          </cell>
        </row>
        <row r="704">
          <cell r="Q704">
            <v>1.3928240514360368E-4</v>
          </cell>
        </row>
        <row r="705">
          <cell r="Q705">
            <v>1.1337962496327236E-4</v>
          </cell>
        </row>
        <row r="706">
          <cell r="Q706">
            <v>2.1745370759163052E-4</v>
          </cell>
        </row>
        <row r="707">
          <cell r="Q707">
            <v>5.4390046716434881E-4</v>
          </cell>
        </row>
        <row r="708">
          <cell r="Q708">
            <v>1.4207175991032273E-4</v>
          </cell>
        </row>
        <row r="709">
          <cell r="Q709">
            <v>4.1583333222661167E-4</v>
          </cell>
        </row>
        <row r="710">
          <cell r="Q710">
            <v>1.4432870375458151E-4</v>
          </cell>
        </row>
        <row r="711">
          <cell r="Q711">
            <v>2.6478008658159524E-4</v>
          </cell>
        </row>
        <row r="712">
          <cell r="Q712">
            <v>1.0945601388812065E-4</v>
          </cell>
        </row>
        <row r="713">
          <cell r="Q713">
            <v>2.6353009161539376E-4</v>
          </cell>
        </row>
        <row r="714">
          <cell r="Q714">
            <v>2.3122685524867848E-4</v>
          </cell>
        </row>
        <row r="715">
          <cell r="Q715">
            <v>3.7420138687593862E-4</v>
          </cell>
        </row>
        <row r="716">
          <cell r="Q716">
            <v>1.2762731785187498E-4</v>
          </cell>
        </row>
        <row r="717">
          <cell r="Q717">
            <v>3.6660879413830116E-4</v>
          </cell>
        </row>
        <row r="718">
          <cell r="Q718">
            <v>3.0297453486127779E-4</v>
          </cell>
        </row>
        <row r="719">
          <cell r="Q719">
            <v>2.2930555860511959E-4</v>
          </cell>
        </row>
        <row r="720">
          <cell r="Q720">
            <v>1.7578703409526497E-4</v>
          </cell>
        </row>
        <row r="721">
          <cell r="Q721">
            <v>4.6298610686790198E-4</v>
          </cell>
        </row>
        <row r="722">
          <cell r="Q722">
            <v>2.7437500102678314E-4</v>
          </cell>
        </row>
        <row r="723">
          <cell r="Q723">
            <v>3.2951388857327402E-4</v>
          </cell>
        </row>
        <row r="724">
          <cell r="Q724">
            <v>1.10937500721775E-4</v>
          </cell>
        </row>
        <row r="725">
          <cell r="Q725">
            <v>3.2513888436369598E-4</v>
          </cell>
        </row>
        <row r="726">
          <cell r="Q726">
            <v>1.3077546464046463E-4</v>
          </cell>
        </row>
        <row r="727">
          <cell r="Q727">
            <v>1.4251157699618489E-4</v>
          </cell>
        </row>
        <row r="728">
          <cell r="Q728">
            <v>3.3915509266080335E-4</v>
          </cell>
        </row>
        <row r="729">
          <cell r="Q729">
            <v>1.1989583435934037E-4</v>
          </cell>
        </row>
        <row r="730">
          <cell r="Q730">
            <v>3.2994212961057201E-4</v>
          </cell>
        </row>
        <row r="731">
          <cell r="Q731">
            <v>3.4292823693249375E-4</v>
          </cell>
        </row>
        <row r="732">
          <cell r="Q732">
            <v>5.7724537327885628E-4</v>
          </cell>
        </row>
        <row r="733">
          <cell r="Q733">
            <v>3.3484953746665269E-4</v>
          </cell>
        </row>
        <row r="734">
          <cell r="Q734">
            <v>3.9636573637835681E-4</v>
          </cell>
        </row>
        <row r="735">
          <cell r="Q735">
            <v>6.052430544514209E-4</v>
          </cell>
        </row>
        <row r="736">
          <cell r="Q736">
            <v>3.8968749868217856E-4</v>
          </cell>
        </row>
        <row r="737">
          <cell r="Q737">
            <v>2.737152753979899E-4</v>
          </cell>
        </row>
        <row r="738">
          <cell r="Q738">
            <v>5.9881944616790861E-4</v>
          </cell>
        </row>
        <row r="739">
          <cell r="Q739">
            <v>4.0193286986323074E-4</v>
          </cell>
        </row>
        <row r="740">
          <cell r="Q740">
            <v>5.8184027875540778E-4</v>
          </cell>
        </row>
        <row r="741">
          <cell r="Q741">
            <v>2.8997685149079189E-4</v>
          </cell>
        </row>
        <row r="742">
          <cell r="Q742">
            <v>6.1222222575452179E-4</v>
          </cell>
        </row>
        <row r="743">
          <cell r="Q743">
            <v>3.6694444133900106E-4</v>
          </cell>
        </row>
        <row r="744">
          <cell r="Q744">
            <v>3.2415509485872462E-4</v>
          </cell>
        </row>
        <row r="745">
          <cell r="Q745">
            <v>4.9502314504934475E-4</v>
          </cell>
        </row>
        <row r="746">
          <cell r="Q746">
            <v>4.3017361167585477E-4</v>
          </cell>
        </row>
        <row r="747">
          <cell r="Q747">
            <v>4.4700231228489429E-4</v>
          </cell>
        </row>
        <row r="748">
          <cell r="Q748">
            <v>6.5743055893108249E-4</v>
          </cell>
        </row>
        <row r="749">
          <cell r="Q749">
            <v>5.9987268468830734E-4</v>
          </cell>
        </row>
        <row r="750">
          <cell r="Q750">
            <v>2.7059027343057096E-4</v>
          </cell>
        </row>
        <row r="751">
          <cell r="Q751">
            <v>3.5538194060791284E-4</v>
          </cell>
        </row>
        <row r="752">
          <cell r="Q752">
            <v>2.8072916757082567E-4</v>
          </cell>
        </row>
        <row r="753">
          <cell r="Q753">
            <v>2.9364583315327764E-4</v>
          </cell>
        </row>
        <row r="754">
          <cell r="Q754">
            <v>2.5415509298909456E-4</v>
          </cell>
        </row>
        <row r="755">
          <cell r="Q755">
            <v>1.196851852000691E-3</v>
          </cell>
        </row>
        <row r="756">
          <cell r="Q756">
            <v>6.7273148306412622E-4</v>
          </cell>
        </row>
        <row r="757">
          <cell r="Q757">
            <v>2.394675902905874E-4</v>
          </cell>
        </row>
        <row r="758">
          <cell r="Q758">
            <v>1.0809028026415035E-4</v>
          </cell>
        </row>
        <row r="759">
          <cell r="Q759">
            <v>5.1737268222495914E-4</v>
          </cell>
        </row>
        <row r="760">
          <cell r="Q760">
            <v>1.8211805581813678E-4</v>
          </cell>
        </row>
        <row r="761">
          <cell r="Q761">
            <v>2.3348379909293726E-4</v>
          </cell>
        </row>
        <row r="762">
          <cell r="Q762">
            <v>1.2827546743210405E-4</v>
          </cell>
        </row>
        <row r="763">
          <cell r="Q763">
            <v>1.9212962797610089E-4</v>
          </cell>
        </row>
        <row r="764">
          <cell r="Q764">
            <v>5.5819444241933525E-4</v>
          </cell>
        </row>
        <row r="765">
          <cell r="Q765">
            <v>2.8804397879866883E-4</v>
          </cell>
        </row>
        <row r="766">
          <cell r="Q766">
            <v>4.137847208767198E-4</v>
          </cell>
        </row>
        <row r="767">
          <cell r="Q767">
            <v>2.5002314941957593E-4</v>
          </cell>
        </row>
        <row r="768">
          <cell r="Q768">
            <v>1.2913194223074242E-4</v>
          </cell>
        </row>
        <row r="769">
          <cell r="Q769">
            <v>5.5239583161892369E-4</v>
          </cell>
        </row>
        <row r="770">
          <cell r="Q770">
            <v>3.4929397952510044E-4</v>
          </cell>
        </row>
        <row r="771">
          <cell r="Q771">
            <v>5.6356481945840642E-4</v>
          </cell>
        </row>
        <row r="772">
          <cell r="Q772">
            <v>1.1869212903548032E-4</v>
          </cell>
        </row>
        <row r="773">
          <cell r="Q773">
            <v>1.4357638428919017E-4</v>
          </cell>
        </row>
        <row r="774">
          <cell r="Q774">
            <v>6.0868055879836902E-4</v>
          </cell>
        </row>
        <row r="775">
          <cell r="Q775">
            <v>2.9726851789746433E-4</v>
          </cell>
        </row>
        <row r="776">
          <cell r="Q776">
            <v>1.2299768422963098E-4</v>
          </cell>
        </row>
        <row r="777">
          <cell r="Q777">
            <v>5.6020833289949223E-4</v>
          </cell>
        </row>
        <row r="778">
          <cell r="Q778">
            <v>2.5366898626089096E-4</v>
          </cell>
        </row>
        <row r="779">
          <cell r="Q779">
            <v>3.7886574136791751E-4</v>
          </cell>
        </row>
        <row r="780">
          <cell r="Q780">
            <v>3.4469907404854894E-4</v>
          </cell>
        </row>
        <row r="781">
          <cell r="Q781">
            <v>1.9923611398553476E-4</v>
          </cell>
        </row>
        <row r="782">
          <cell r="Q782">
            <v>2.8966435638722032E-4</v>
          </cell>
        </row>
        <row r="783">
          <cell r="Q783">
            <v>3.9041666605044156E-4</v>
          </cell>
        </row>
        <row r="784">
          <cell r="Q784">
            <v>4.5155208281357773E-3</v>
          </cell>
        </row>
        <row r="785">
          <cell r="Q785">
            <v>4.1859953489620239E-4</v>
          </cell>
        </row>
        <row r="786">
          <cell r="Q786">
            <v>1.6511574358446524E-4</v>
          </cell>
        </row>
        <row r="787">
          <cell r="Q787">
            <v>5.7292824203614146E-4</v>
          </cell>
        </row>
        <row r="788">
          <cell r="Q788">
            <v>1.7458333604736254E-4</v>
          </cell>
        </row>
        <row r="789">
          <cell r="Q789">
            <v>2.4094907712424174E-4</v>
          </cell>
        </row>
        <row r="790">
          <cell r="Q790">
            <v>2.3357638565357774E-4</v>
          </cell>
        </row>
        <row r="791">
          <cell r="Q791">
            <v>3.9067129546310753E-4</v>
          </cell>
        </row>
        <row r="792">
          <cell r="Q792">
            <v>1.8592592823551968E-4</v>
          </cell>
        </row>
        <row r="793">
          <cell r="Q793">
            <v>1.8009258928941563E-4</v>
          </cell>
        </row>
        <row r="794">
          <cell r="Q794">
            <v>3.9431712502846494E-4</v>
          </cell>
        </row>
        <row r="795">
          <cell r="Q795">
            <v>2.0177083206363022E-4</v>
          </cell>
        </row>
        <row r="796">
          <cell r="Q796">
            <v>1.9484953372739255E-4</v>
          </cell>
        </row>
        <row r="797">
          <cell r="Q797">
            <v>3.377083339728415E-4</v>
          </cell>
        </row>
        <row r="798">
          <cell r="Q798">
            <v>1.0546296834945679E-4</v>
          </cell>
        </row>
        <row r="799">
          <cell r="Q799">
            <v>2.4290509463753551E-4</v>
          </cell>
        </row>
        <row r="800">
          <cell r="Q800">
            <v>8.9013888646150008E-4</v>
          </cell>
        </row>
        <row r="801">
          <cell r="Q801">
            <v>9.5069444796536118E-5</v>
          </cell>
        </row>
        <row r="802">
          <cell r="Q802">
            <v>1.0608796583255753E-4</v>
          </cell>
        </row>
        <row r="803">
          <cell r="Q803">
            <v>1.0278588015353307E-3</v>
          </cell>
        </row>
        <row r="804">
          <cell r="Q804">
            <v>2.9984954016981646E-4</v>
          </cell>
        </row>
        <row r="805">
          <cell r="Q805">
            <v>2.7175925788469613E-4</v>
          </cell>
        </row>
        <row r="806">
          <cell r="Q806">
            <v>2.1746527636423707E-4</v>
          </cell>
        </row>
        <row r="807">
          <cell r="Q807">
            <v>5.241435210336931E-4</v>
          </cell>
        </row>
        <row r="808">
          <cell r="Q808">
            <v>5.8350694598630071E-4</v>
          </cell>
        </row>
        <row r="809">
          <cell r="Q809">
            <v>1.7324073996860534E-4</v>
          </cell>
        </row>
        <row r="810">
          <cell r="Q810">
            <v>1.7326389206573367E-4</v>
          </cell>
        </row>
        <row r="811">
          <cell r="Q811">
            <v>1.8285879195900634E-4</v>
          </cell>
        </row>
        <row r="812">
          <cell r="Q812">
            <v>9.9247685284353793E-5</v>
          </cell>
        </row>
        <row r="813">
          <cell r="Q813">
            <v>2.6935185451293364E-4</v>
          </cell>
        </row>
        <row r="814">
          <cell r="Q814">
            <v>1.5703703684266657E-4</v>
          </cell>
        </row>
        <row r="815">
          <cell r="Q815">
            <v>3.1915509316604584E-4</v>
          </cell>
        </row>
        <row r="816">
          <cell r="Q816">
            <v>1.342824034509249E-4</v>
          </cell>
        </row>
        <row r="817">
          <cell r="Q817">
            <v>1.3038194447290152E-4</v>
          </cell>
        </row>
        <row r="818">
          <cell r="Q818">
            <v>1.2677083577727899E-4</v>
          </cell>
        </row>
        <row r="819">
          <cell r="Q819">
            <v>1.3021990162087604E-4</v>
          </cell>
        </row>
        <row r="820">
          <cell r="Q820">
            <v>1.1996527609881014E-4</v>
          </cell>
        </row>
        <row r="821">
          <cell r="Q821">
            <v>1.0829861275851727E-4</v>
          </cell>
        </row>
        <row r="822">
          <cell r="Q822">
            <v>1.4530092448694631E-4</v>
          </cell>
        </row>
        <row r="823">
          <cell r="Q823">
            <v>1.3863426283933222E-4</v>
          </cell>
        </row>
        <row r="824">
          <cell r="Q824">
            <v>1.3001157640246674E-4</v>
          </cell>
        </row>
        <row r="825">
          <cell r="Q825">
            <v>9.8958335001952946E-5</v>
          </cell>
        </row>
        <row r="826">
          <cell r="Q826">
            <v>2.5465277576586232E-4</v>
          </cell>
        </row>
        <row r="827">
          <cell r="Q827">
            <v>1.0681712592486292E-4</v>
          </cell>
        </row>
        <row r="828">
          <cell r="Q828">
            <v>1.1950231419177726E-4</v>
          </cell>
        </row>
        <row r="829">
          <cell r="Q829">
            <v>1.382407353958115E-4</v>
          </cell>
        </row>
        <row r="830">
          <cell r="Q830">
            <v>2.4032407236518338E-4</v>
          </cell>
        </row>
        <row r="831">
          <cell r="Q831">
            <v>1.6721064457669854E-4</v>
          </cell>
        </row>
        <row r="832">
          <cell r="Q832">
            <v>4.3251157330814749E-4</v>
          </cell>
        </row>
        <row r="833">
          <cell r="Q833">
            <v>1.083796305465512E-4</v>
          </cell>
        </row>
        <row r="834">
          <cell r="Q834">
            <v>9.7164353064727038E-5</v>
          </cell>
        </row>
        <row r="835">
          <cell r="Q835">
            <v>1.2126157525926828E-4</v>
          </cell>
        </row>
        <row r="836">
          <cell r="Q836">
            <v>2.3258102010004222E-4</v>
          </cell>
        </row>
        <row r="837">
          <cell r="Q837">
            <v>3.512268522172235E-4</v>
          </cell>
        </row>
        <row r="838">
          <cell r="Q838">
            <v>2.4517360725440085E-4</v>
          </cell>
        </row>
        <row r="839">
          <cell r="Q839">
            <v>4.0775463276077062E-4</v>
          </cell>
        </row>
        <row r="840">
          <cell r="Q840">
            <v>2.3881944071035832E-4</v>
          </cell>
        </row>
        <row r="841">
          <cell r="Q841">
            <v>2.320717612747103E-4</v>
          </cell>
        </row>
        <row r="842">
          <cell r="Q842">
            <v>6.9024306139908731E-4</v>
          </cell>
        </row>
        <row r="843">
          <cell r="Q843">
            <v>3.1597221823176369E-4</v>
          </cell>
        </row>
        <row r="844">
          <cell r="Q844">
            <v>2.03298608539626E-4</v>
          </cell>
        </row>
        <row r="845">
          <cell r="Q845">
            <v>7.6726851693820208E-4</v>
          </cell>
        </row>
        <row r="846">
          <cell r="Q846">
            <v>1.0349536751164123E-4</v>
          </cell>
        </row>
        <row r="847">
          <cell r="Q847">
            <v>2.7321759262122214E-4</v>
          </cell>
        </row>
        <row r="848">
          <cell r="Q848">
            <v>2.8307870525168255E-4</v>
          </cell>
        </row>
        <row r="849">
          <cell r="Q849">
            <v>1.6152777243405581E-4</v>
          </cell>
        </row>
        <row r="850">
          <cell r="Q850">
            <v>3.0291666917037219E-4</v>
          </cell>
        </row>
        <row r="851">
          <cell r="Q851">
            <v>1.9793981482507661E-4</v>
          </cell>
        </row>
        <row r="852">
          <cell r="Q852">
            <v>9.2870366643182933E-5</v>
          </cell>
        </row>
        <row r="853">
          <cell r="Q853">
            <v>8.893518679542467E-5</v>
          </cell>
        </row>
        <row r="854">
          <cell r="Q854">
            <v>1.9564815011108294E-4</v>
          </cell>
        </row>
        <row r="855">
          <cell r="Q855">
            <v>1.6520833742106333E-4</v>
          </cell>
        </row>
        <row r="856">
          <cell r="Q856">
            <v>1.0745369945652783E-4</v>
          </cell>
        </row>
        <row r="857">
          <cell r="Q857">
            <v>1.4103009743848816E-4</v>
          </cell>
        </row>
        <row r="858">
          <cell r="Q858">
            <v>1.7071759793907404E-4</v>
          </cell>
        </row>
        <row r="859">
          <cell r="Q859">
            <v>3.3028935285983607E-4</v>
          </cell>
        </row>
        <row r="860">
          <cell r="Q860">
            <v>9.9039352789986879E-5</v>
          </cell>
        </row>
        <row r="861">
          <cell r="Q861">
            <v>1.0350925949751399E-3</v>
          </cell>
        </row>
        <row r="862">
          <cell r="Q862">
            <v>3.2868055859580636E-4</v>
          </cell>
        </row>
        <row r="863">
          <cell r="Q863">
            <v>1.9758101552724838E-4</v>
          </cell>
        </row>
        <row r="864">
          <cell r="Q864">
            <v>2.3074073396855965E-4</v>
          </cell>
        </row>
        <row r="865">
          <cell r="Q865">
            <v>5.1513888320187107E-4</v>
          </cell>
        </row>
        <row r="866">
          <cell r="Q866">
            <v>3.4175925975432619E-4</v>
          </cell>
        </row>
        <row r="867">
          <cell r="Q867">
            <v>1.9380787125555798E-4</v>
          </cell>
        </row>
        <row r="868">
          <cell r="Q868">
            <v>1.2569444515975192E-4</v>
          </cell>
        </row>
        <row r="869">
          <cell r="Q869">
            <v>1.5868055925238878E-4</v>
          </cell>
        </row>
        <row r="870">
          <cell r="Q870">
            <v>1.1339120828779414E-4</v>
          </cell>
        </row>
        <row r="871">
          <cell r="Q871">
            <v>1.6258101823041216E-4</v>
          </cell>
        </row>
        <row r="872">
          <cell r="Q872">
            <v>1.6111110744532198E-4</v>
          </cell>
        </row>
        <row r="873">
          <cell r="Q873">
            <v>1.8846064631361514E-4</v>
          </cell>
        </row>
        <row r="874">
          <cell r="Q874">
            <v>1.5615740994689986E-4</v>
          </cell>
        </row>
        <row r="875">
          <cell r="Q875">
            <v>2.0999999833293259E-4</v>
          </cell>
        </row>
        <row r="876">
          <cell r="Q876">
            <v>4.6112268319120631E-4</v>
          </cell>
        </row>
        <row r="877">
          <cell r="Q877">
            <v>3.4385416802251711E-4</v>
          </cell>
        </row>
        <row r="878">
          <cell r="Q878">
            <v>4.3871528032468632E-4</v>
          </cell>
        </row>
        <row r="879">
          <cell r="Q879">
            <v>3.3802083635237068E-4</v>
          </cell>
        </row>
        <row r="880">
          <cell r="Q880">
            <v>3.9736110920784995E-4</v>
          </cell>
        </row>
        <row r="881">
          <cell r="Q881">
            <v>2.807175915222615E-4</v>
          </cell>
        </row>
        <row r="882">
          <cell r="Q882">
            <v>4.8819444054970518E-4</v>
          </cell>
        </row>
        <row r="883">
          <cell r="Q883">
            <v>2.6957175577990711E-4</v>
          </cell>
        </row>
        <row r="884">
          <cell r="Q884">
            <v>2.6684028125600889E-4</v>
          </cell>
        </row>
        <row r="885">
          <cell r="Q885">
            <v>6.3366898393724114E-4</v>
          </cell>
        </row>
        <row r="886">
          <cell r="Q886">
            <v>3.3460648410255089E-4</v>
          </cell>
        </row>
        <row r="887">
          <cell r="Q887">
            <v>2.5366897898493335E-4</v>
          </cell>
        </row>
        <row r="888">
          <cell r="Q888">
            <v>4.3018518772441894E-4</v>
          </cell>
        </row>
        <row r="889">
          <cell r="Q889">
            <v>3.4092592250090092E-4</v>
          </cell>
        </row>
        <row r="890">
          <cell r="Q890">
            <v>3.1736111122881994E-4</v>
          </cell>
        </row>
        <row r="891">
          <cell r="Q891">
            <v>3.2374999864259735E-4</v>
          </cell>
        </row>
        <row r="892">
          <cell r="Q892">
            <v>3.4675926144700497E-4</v>
          </cell>
        </row>
        <row r="893">
          <cell r="Q893">
            <v>4.7230323980329558E-4</v>
          </cell>
        </row>
        <row r="894">
          <cell r="Q894">
            <v>3.5203703737352043E-4</v>
          </cell>
        </row>
        <row r="895">
          <cell r="Q895">
            <v>4.8305555537808686E-4</v>
          </cell>
        </row>
        <row r="896">
          <cell r="Q896">
            <v>3.2464120158692822E-4</v>
          </cell>
        </row>
        <row r="897">
          <cell r="Q897">
            <v>2.7285880059935153E-4</v>
          </cell>
        </row>
        <row r="898">
          <cell r="Q898">
            <v>2.2240740509005263E-4</v>
          </cell>
        </row>
        <row r="899">
          <cell r="Q899">
            <v>3.369791666045785E-4</v>
          </cell>
        </row>
        <row r="900">
          <cell r="Q900">
            <v>2.4545138876419514E-4</v>
          </cell>
        </row>
        <row r="901">
          <cell r="Q901">
            <v>1.6564814723096788E-4</v>
          </cell>
        </row>
        <row r="902">
          <cell r="Q902">
            <v>2.3952546325745061E-4</v>
          </cell>
        </row>
        <row r="903">
          <cell r="Q903">
            <v>1.8818287207977846E-4</v>
          </cell>
        </row>
        <row r="904">
          <cell r="Q904">
            <v>2.0435184706002474E-4</v>
          </cell>
        </row>
        <row r="905">
          <cell r="Q905">
            <v>2.2912037093192339E-4</v>
          </cell>
        </row>
        <row r="906">
          <cell r="Q906">
            <v>3.7324074219213799E-4</v>
          </cell>
        </row>
        <row r="907">
          <cell r="Q907">
            <v>2.0167823822703212E-4</v>
          </cell>
        </row>
        <row r="908">
          <cell r="Q908">
            <v>1.5769676247145981E-4</v>
          </cell>
        </row>
        <row r="909">
          <cell r="Q909">
            <v>2.4093750107567757E-4</v>
          </cell>
        </row>
        <row r="910">
          <cell r="Q910">
            <v>4.7626157174818218E-4</v>
          </cell>
        </row>
        <row r="911">
          <cell r="Q911">
            <v>5.3072916489327326E-4</v>
          </cell>
        </row>
        <row r="912">
          <cell r="Q912">
            <v>3.1173611205304042E-4</v>
          </cell>
        </row>
        <row r="913">
          <cell r="Q913">
            <v>1.0256945097353309E-4</v>
          </cell>
        </row>
        <row r="914">
          <cell r="Q914">
            <v>1.6319444694090635E-4</v>
          </cell>
        </row>
        <row r="915">
          <cell r="Q915">
            <v>1.4523148274747655E-4</v>
          </cell>
        </row>
        <row r="916">
          <cell r="Q916">
            <v>1.6892361600184813E-4</v>
          </cell>
        </row>
        <row r="917">
          <cell r="Q917">
            <v>1.4684027701150626E-4</v>
          </cell>
        </row>
        <row r="918">
          <cell r="Q918">
            <v>6.9081018591532484E-4</v>
          </cell>
        </row>
        <row r="919">
          <cell r="Q919">
            <v>6.5255787194473669E-4</v>
          </cell>
        </row>
        <row r="920">
          <cell r="Q920">
            <v>2.8859953454229981E-4</v>
          </cell>
        </row>
        <row r="921">
          <cell r="Q921">
            <v>6.7277777998242527E-4</v>
          </cell>
        </row>
        <row r="922">
          <cell r="Q922">
            <v>1.8312499742023647E-4</v>
          </cell>
        </row>
        <row r="923">
          <cell r="Q923">
            <v>5.1065972365904599E-4</v>
          </cell>
        </row>
        <row r="924">
          <cell r="Q924">
            <v>1.4236111019272357E-4</v>
          </cell>
        </row>
        <row r="925">
          <cell r="Q925">
            <v>3.6326388362795115E-4</v>
          </cell>
        </row>
        <row r="926">
          <cell r="Q926">
            <v>1.6195602074731141E-4</v>
          </cell>
        </row>
        <row r="927">
          <cell r="Q927">
            <v>1.9542824156815186E-4</v>
          </cell>
        </row>
        <row r="928">
          <cell r="Q928">
            <v>3.9278934855246916E-4</v>
          </cell>
        </row>
        <row r="929">
          <cell r="Q929">
            <v>1.3445602235151455E-4</v>
          </cell>
        </row>
        <row r="930">
          <cell r="Q930">
            <v>1.2628472177311778E-4</v>
          </cell>
        </row>
        <row r="931">
          <cell r="Q931">
            <v>1.200694459839724E-4</v>
          </cell>
        </row>
        <row r="932">
          <cell r="Q932">
            <v>1.0371527605457231E-4</v>
          </cell>
        </row>
        <row r="933">
          <cell r="Q933">
            <v>1.8973379337694496E-4</v>
          </cell>
        </row>
        <row r="934">
          <cell r="Q934">
            <v>1.1604166502365842E-4</v>
          </cell>
        </row>
        <row r="935">
          <cell r="Q935">
            <v>1.0542824020376429E-4</v>
          </cell>
        </row>
        <row r="936">
          <cell r="Q936">
            <v>1.3129629951436073E-4</v>
          </cell>
        </row>
        <row r="937">
          <cell r="Q937">
            <v>1.0743055463535711E-4</v>
          </cell>
        </row>
        <row r="938">
          <cell r="Q938">
            <v>1.2988425442017615E-4</v>
          </cell>
        </row>
        <row r="939">
          <cell r="Q939">
            <v>9.811342169996351E-5</v>
          </cell>
        </row>
        <row r="940">
          <cell r="Q940">
            <v>1.082291710190475E-4</v>
          </cell>
        </row>
        <row r="941">
          <cell r="Q941">
            <v>9.7881944384425879E-5</v>
          </cell>
        </row>
        <row r="942">
          <cell r="Q942">
            <v>1.1549768532859161E-4</v>
          </cell>
        </row>
        <row r="943">
          <cell r="Q943">
            <v>2.1103009930811822E-4</v>
          </cell>
        </row>
        <row r="944">
          <cell r="Q944">
            <v>1.2690971925621852E-4</v>
          </cell>
        </row>
        <row r="945">
          <cell r="Q945">
            <v>9.8900462035089731E-5</v>
          </cell>
        </row>
        <row r="946">
          <cell r="Q946">
            <v>1.0222222772426903E-4</v>
          </cell>
        </row>
        <row r="947">
          <cell r="Q947">
            <v>1.7467592260800302E-4</v>
          </cell>
        </row>
        <row r="948">
          <cell r="Q948">
            <v>1.3574074546340853E-4</v>
          </cell>
        </row>
        <row r="949">
          <cell r="Q949">
            <v>1.6223379498114809E-4</v>
          </cell>
        </row>
        <row r="950">
          <cell r="Q950">
            <v>1.7202545859618112E-4</v>
          </cell>
        </row>
        <row r="951">
          <cell r="Q951">
            <v>5.806481494801119E-4</v>
          </cell>
        </row>
        <row r="952">
          <cell r="Q952">
            <v>1.9635417265817523E-4</v>
          </cell>
        </row>
        <row r="953">
          <cell r="Q953">
            <v>4.9916666466742754E-4</v>
          </cell>
        </row>
        <row r="954">
          <cell r="Q954">
            <v>2.4375000066356733E-4</v>
          </cell>
        </row>
        <row r="955">
          <cell r="Q955">
            <v>2.0146991300862283E-4</v>
          </cell>
        </row>
        <row r="956">
          <cell r="Q956">
            <v>1.604050921741873E-4</v>
          </cell>
        </row>
        <row r="957">
          <cell r="Q957">
            <v>1.4810184802627191E-4</v>
          </cell>
        </row>
        <row r="958">
          <cell r="Q958">
            <v>5.2324074204079807E-4</v>
          </cell>
        </row>
        <row r="959">
          <cell r="Q959">
            <v>1.5854166849749163E-4</v>
          </cell>
        </row>
        <row r="960">
          <cell r="Q960">
            <v>1.7582176224095747E-4</v>
          </cell>
        </row>
        <row r="961">
          <cell r="Q961">
            <v>1.9292823708383366E-4</v>
          </cell>
        </row>
        <row r="962">
          <cell r="Q962">
            <v>1.3962963566882536E-4</v>
          </cell>
        </row>
        <row r="963">
          <cell r="Q963">
            <v>1.188541718875058E-4</v>
          </cell>
        </row>
        <row r="964">
          <cell r="Q964">
            <v>2.6234953111270443E-4</v>
          </cell>
        </row>
        <row r="965">
          <cell r="Q965">
            <v>3.0754629551665857E-4</v>
          </cell>
        </row>
        <row r="966">
          <cell r="Q966">
            <v>2.6920138770947233E-4</v>
          </cell>
        </row>
        <row r="967">
          <cell r="Q967">
            <v>5.0878472393378615E-4</v>
          </cell>
        </row>
        <row r="968">
          <cell r="Q968">
            <v>2.7802083059214056E-4</v>
          </cell>
        </row>
        <row r="969">
          <cell r="Q969">
            <v>3.2211805955739692E-4</v>
          </cell>
        </row>
        <row r="970">
          <cell r="Q970">
            <v>4.3582175567280501E-4</v>
          </cell>
        </row>
        <row r="971">
          <cell r="Q971">
            <v>5.1496527885319665E-4</v>
          </cell>
        </row>
        <row r="972">
          <cell r="Q972">
            <v>5.0284722237847745E-4</v>
          </cell>
        </row>
        <row r="973">
          <cell r="Q973">
            <v>5.1765046373475343E-4</v>
          </cell>
        </row>
        <row r="974">
          <cell r="Q974">
            <v>1.1787036783061922E-4</v>
          </cell>
        </row>
        <row r="975">
          <cell r="Q975">
            <v>1.1700231698341668E-4</v>
          </cell>
        </row>
        <row r="976">
          <cell r="Q976">
            <v>2.1275463222991675E-4</v>
          </cell>
        </row>
        <row r="977">
          <cell r="Q977">
            <v>2.2388889192370698E-4</v>
          </cell>
        </row>
        <row r="978">
          <cell r="Q978">
            <v>1.0976851626764983E-4</v>
          </cell>
        </row>
        <row r="979">
          <cell r="Q979">
            <v>5.6528935238020495E-4</v>
          </cell>
        </row>
        <row r="980">
          <cell r="Q980">
            <v>5.2526620129356161E-4</v>
          </cell>
        </row>
        <row r="981">
          <cell r="Q981">
            <v>2.8201389068271965E-4</v>
          </cell>
        </row>
        <row r="982">
          <cell r="Q982">
            <v>3.3328703284496441E-4</v>
          </cell>
        </row>
        <row r="983">
          <cell r="Q983">
            <v>5.4458333761431277E-4</v>
          </cell>
        </row>
        <row r="984">
          <cell r="Q984">
            <v>2.470486142556183E-4</v>
          </cell>
        </row>
        <row r="985">
          <cell r="Q985">
            <v>4.6267361176433042E-4</v>
          </cell>
        </row>
        <row r="986">
          <cell r="Q986">
            <v>8.8114583923015743E-4</v>
          </cell>
        </row>
        <row r="987">
          <cell r="Q987">
            <v>1.917013869388029E-4</v>
          </cell>
        </row>
        <row r="988">
          <cell r="Q988">
            <v>2.2048611572245136E-4</v>
          </cell>
        </row>
        <row r="989">
          <cell r="Q989">
            <v>4.5321758807403967E-4</v>
          </cell>
        </row>
        <row r="990">
          <cell r="Q990">
            <v>3.261111123720184E-4</v>
          </cell>
        </row>
        <row r="991">
          <cell r="Q991">
            <v>4.4415509182726964E-4</v>
          </cell>
        </row>
        <row r="992">
          <cell r="Q992">
            <v>2.8380786534398794E-4</v>
          </cell>
        </row>
        <row r="993">
          <cell r="Q993">
            <v>2.1535879204748198E-4</v>
          </cell>
        </row>
        <row r="994">
          <cell r="Q994">
            <v>2.0754629804287106E-4</v>
          </cell>
        </row>
        <row r="995">
          <cell r="Q995">
            <v>1.5031249495223165E-4</v>
          </cell>
        </row>
        <row r="996">
          <cell r="Q996">
            <v>8.6053240374894813E-4</v>
          </cell>
        </row>
        <row r="997">
          <cell r="Q997">
            <v>9.5937495643738657E-5</v>
          </cell>
        </row>
        <row r="998">
          <cell r="Q998">
            <v>2.3495370987802744E-4</v>
          </cell>
        </row>
        <row r="999">
          <cell r="Q999">
            <v>5.1085648010484874E-4</v>
          </cell>
        </row>
        <row r="1000">
          <cell r="Q1000">
            <v>2.1206018573138863E-4</v>
          </cell>
        </row>
        <row r="1001">
          <cell r="Q1001">
            <v>3.6799768713535741E-4</v>
          </cell>
        </row>
        <row r="1002">
          <cell r="Q1002">
            <v>2.8804397879866883E-4</v>
          </cell>
        </row>
        <row r="1003">
          <cell r="Q1003">
            <v>1.9440972391748801E-4</v>
          </cell>
        </row>
        <row r="1004">
          <cell r="Q1004">
            <v>4.1821759805316105E-4</v>
          </cell>
        </row>
        <row r="1005">
          <cell r="Q1005">
            <v>3.5333332925802097E-4</v>
          </cell>
        </row>
        <row r="1006">
          <cell r="Q1006">
            <v>2.5638889201218262E-4</v>
          </cell>
        </row>
        <row r="1007">
          <cell r="Q1007">
            <v>1.3206018775235862E-4</v>
          </cell>
        </row>
        <row r="1008">
          <cell r="Q1008">
            <v>1.9972222071373835E-4</v>
          </cell>
        </row>
        <row r="1009">
          <cell r="Q1009">
            <v>1.6614583728369325E-4</v>
          </cell>
        </row>
        <row r="1010">
          <cell r="Q1010">
            <v>9.0571759210433811E-4</v>
          </cell>
        </row>
        <row r="1011">
          <cell r="Q1011">
            <v>9.1817128122784197E-5</v>
          </cell>
        </row>
        <row r="1012">
          <cell r="Q1012">
            <v>3.0300926300697029E-4</v>
          </cell>
        </row>
        <row r="1013">
          <cell r="Q1013">
            <v>1.2484027829486877E-3</v>
          </cell>
        </row>
        <row r="1014">
          <cell r="Q1014">
            <v>2.828472206601873E-4</v>
          </cell>
        </row>
        <row r="1015">
          <cell r="Q1015">
            <v>3.2062499667517841E-4</v>
          </cell>
        </row>
        <row r="1016">
          <cell r="Q1016">
            <v>7.492708318750374E-4</v>
          </cell>
        </row>
        <row r="1017">
          <cell r="Q1017">
            <v>1.0544328688411042E-3</v>
          </cell>
        </row>
        <row r="1018">
          <cell r="Q1018">
            <v>2.7818287344416603E-4</v>
          </cell>
        </row>
        <row r="1019">
          <cell r="Q1019">
            <v>2.3834490275476128E-4</v>
          </cell>
        </row>
        <row r="1020">
          <cell r="Q1020">
            <v>3.8708333158865571E-4</v>
          </cell>
        </row>
        <row r="1021">
          <cell r="Q1021">
            <v>4.2858796223299578E-4</v>
          </cell>
        </row>
        <row r="1022">
          <cell r="Q1022">
            <v>3.7059027818031609E-4</v>
          </cell>
        </row>
        <row r="1023">
          <cell r="Q1023">
            <v>2.129513886757195E-4</v>
          </cell>
        </row>
        <row r="1024">
          <cell r="Q1024">
            <v>2.6843749947147444E-4</v>
          </cell>
        </row>
        <row r="1025">
          <cell r="Q1025">
            <v>2.8923611534992233E-4</v>
          </cell>
        </row>
        <row r="1026">
          <cell r="Q1026">
            <v>1.8574074056232348E-4</v>
          </cell>
        </row>
        <row r="1027">
          <cell r="Q1027">
            <v>3.5883101372746751E-4</v>
          </cell>
        </row>
        <row r="1028">
          <cell r="Q1028">
            <v>3.3491897920612246E-4</v>
          </cell>
        </row>
        <row r="1029">
          <cell r="Q1029">
            <v>4.0076388540910557E-4</v>
          </cell>
        </row>
        <row r="1030">
          <cell r="Q1030">
            <v>2.1200231276452541E-4</v>
          </cell>
        </row>
        <row r="1031">
          <cell r="Q1031">
            <v>2.9714120319113135E-4</v>
          </cell>
        </row>
        <row r="1032">
          <cell r="Q1032">
            <v>3.7228009750833735E-4</v>
          </cell>
        </row>
        <row r="1033">
          <cell r="Q1033">
            <v>3.3771991002140567E-4</v>
          </cell>
        </row>
        <row r="1034">
          <cell r="Q1034">
            <v>3.3495370735181496E-4</v>
          </cell>
        </row>
        <row r="1035">
          <cell r="Q1035">
            <v>2.0751157717313617E-4</v>
          </cell>
        </row>
        <row r="1036">
          <cell r="Q1036">
            <v>1.9723379227798432E-4</v>
          </cell>
        </row>
        <row r="1037">
          <cell r="Q1037">
            <v>8.2866897719213739E-4</v>
          </cell>
        </row>
        <row r="1038">
          <cell r="Q1038">
            <v>2.0780092745553702E-4</v>
          </cell>
        </row>
        <row r="1039">
          <cell r="Q1039">
            <v>3.3657407766440883E-4</v>
          </cell>
        </row>
        <row r="1040">
          <cell r="Q1040">
            <v>3.1123842927627265E-4</v>
          </cell>
        </row>
        <row r="1041">
          <cell r="Q1041">
            <v>4.5157407294027507E-4</v>
          </cell>
        </row>
        <row r="1042">
          <cell r="Q1042">
            <v>2.0798611512873322E-4</v>
          </cell>
        </row>
        <row r="1043">
          <cell r="Q1043">
            <v>1.5363426064141095E-4</v>
          </cell>
        </row>
        <row r="1044">
          <cell r="Q1044">
            <v>3.0080671276664361E-3</v>
          </cell>
        </row>
        <row r="1045">
          <cell r="Q1045">
            <v>2.3508101730840281E-4</v>
          </cell>
        </row>
        <row r="1046">
          <cell r="Q1046">
            <v>1.7902083345688879E-3</v>
          </cell>
        </row>
        <row r="1047">
          <cell r="Q1047">
            <v>1.6812499961815774E-4</v>
          </cell>
        </row>
        <row r="1048">
          <cell r="Q1048">
            <v>1.6354167019017041E-4</v>
          </cell>
        </row>
        <row r="1049">
          <cell r="Q1049">
            <v>4.1815972508629784E-4</v>
          </cell>
        </row>
        <row r="1050">
          <cell r="Q1050">
            <v>2.1307870338205248E-4</v>
          </cell>
        </row>
        <row r="1051">
          <cell r="Q1051">
            <v>2.9039351647952572E-4</v>
          </cell>
        </row>
        <row r="1052">
          <cell r="Q1052">
            <v>2.4174768623197451E-4</v>
          </cell>
        </row>
        <row r="1053">
          <cell r="Q1053">
            <v>1.9256944506196305E-4</v>
          </cell>
        </row>
        <row r="1054">
          <cell r="Q1054">
            <v>3.4033564588753507E-4</v>
          </cell>
        </row>
        <row r="1055">
          <cell r="Q1055">
            <v>4.5093749940861017E-4</v>
          </cell>
        </row>
        <row r="1056">
          <cell r="Q1056">
            <v>1.8499999714549631E-4</v>
          </cell>
        </row>
        <row r="1057">
          <cell r="Q1057">
            <v>2.0740740728797391E-4</v>
          </cell>
        </row>
        <row r="1058">
          <cell r="Q1058">
            <v>1.6377314750570804E-4</v>
          </cell>
        </row>
        <row r="1059">
          <cell r="Q1059">
            <v>8.192592576961033E-4</v>
          </cell>
        </row>
        <row r="1060">
          <cell r="Q1060">
            <v>3.533564813551493E-4</v>
          </cell>
        </row>
        <row r="1061">
          <cell r="Q1061">
            <v>1.5246527618728578E-4</v>
          </cell>
        </row>
        <row r="1062">
          <cell r="Q1062">
            <v>1.0385763889644295E-3</v>
          </cell>
        </row>
        <row r="1063">
          <cell r="Q1063">
            <v>2.4690972350072116E-4</v>
          </cell>
        </row>
        <row r="1064">
          <cell r="Q1064">
            <v>2.3215277906274423E-4</v>
          </cell>
        </row>
        <row r="1065">
          <cell r="Q1065">
            <v>3.1260417017620057E-4</v>
          </cell>
        </row>
        <row r="1066">
          <cell r="Q1066">
            <v>2.0622685406124219E-4</v>
          </cell>
        </row>
        <row r="1067">
          <cell r="Q1067">
            <v>2.5533565349178389E-4</v>
          </cell>
        </row>
        <row r="1068">
          <cell r="Q1068">
            <v>1.7888889124151319E-4</v>
          </cell>
        </row>
        <row r="1069">
          <cell r="Q1069">
            <v>1.8086805357597768E-4</v>
          </cell>
        </row>
        <row r="1070">
          <cell r="Q1070">
            <v>3.2208333868766204E-4</v>
          </cell>
        </row>
        <row r="1071">
          <cell r="Q1071">
            <v>2.2907407401362434E-4</v>
          </cell>
        </row>
        <row r="1072">
          <cell r="Q1072">
            <v>3.0575231357943267E-4</v>
          </cell>
        </row>
        <row r="1073">
          <cell r="Q1073">
            <v>3.4877314465120435E-4</v>
          </cell>
        </row>
        <row r="1074">
          <cell r="Q1074">
            <v>1.8678241031011567E-4</v>
          </cell>
        </row>
        <row r="1075">
          <cell r="Q1075">
            <v>2.0391203725012019E-4</v>
          </cell>
        </row>
        <row r="1076">
          <cell r="Q1076">
            <v>4.2913194192806259E-4</v>
          </cell>
        </row>
        <row r="1077">
          <cell r="Q1077">
            <v>1.6216435324167833E-4</v>
          </cell>
        </row>
        <row r="1078">
          <cell r="Q1078">
            <v>1.941666632774286E-4</v>
          </cell>
        </row>
        <row r="1079">
          <cell r="Q1079">
            <v>1.7476851644460112E-4</v>
          </cell>
        </row>
        <row r="1080">
          <cell r="Q1080">
            <v>3.2399305200669914E-4</v>
          </cell>
        </row>
        <row r="1081">
          <cell r="Q1081">
            <v>2.1422454301500693E-4</v>
          </cell>
        </row>
        <row r="1082">
          <cell r="Q1082">
            <v>2.2094907035352662E-4</v>
          </cell>
        </row>
        <row r="1083">
          <cell r="Q1083">
            <v>1.5984953643055633E-4</v>
          </cell>
        </row>
        <row r="1084">
          <cell r="Q1084">
            <v>2.0265045895939693E-4</v>
          </cell>
        </row>
        <row r="1085">
          <cell r="Q1085">
            <v>2.5685184664325789E-4</v>
          </cell>
        </row>
        <row r="1086">
          <cell r="Q1086">
            <v>2.0650462829507887E-4</v>
          </cell>
        </row>
        <row r="1087">
          <cell r="Q1087">
            <v>2.470486142556183E-4</v>
          </cell>
        </row>
        <row r="1088">
          <cell r="Q1088">
            <v>2.1913194359513E-4</v>
          </cell>
        </row>
        <row r="1089">
          <cell r="Q1089">
            <v>3.9120370638556778E-4</v>
          </cell>
        </row>
        <row r="1090">
          <cell r="Q1090">
            <v>1.9093749870080501E-4</v>
          </cell>
        </row>
        <row r="1091">
          <cell r="Q1091">
            <v>3.2261574233416468E-4</v>
          </cell>
        </row>
        <row r="1092">
          <cell r="Q1092">
            <v>6.9726851506857201E-4</v>
          </cell>
        </row>
        <row r="1093">
          <cell r="Q1093">
            <v>4.1636573587311432E-4</v>
          </cell>
        </row>
        <row r="1094">
          <cell r="Q1094">
            <v>1.8659722263691947E-4</v>
          </cell>
        </row>
        <row r="1095">
          <cell r="Q1095">
            <v>4.1990740282926708E-4</v>
          </cell>
        </row>
        <row r="1096">
          <cell r="Q1096">
            <v>5.2577546011889353E-4</v>
          </cell>
        </row>
        <row r="1097">
          <cell r="Q1097">
            <v>1.9878472085110843E-4</v>
          </cell>
        </row>
        <row r="1098">
          <cell r="Q1098">
            <v>1.7767360986908898E-4</v>
          </cell>
        </row>
        <row r="1099">
          <cell r="Q1099">
            <v>2.0412036974448711E-4</v>
          </cell>
        </row>
        <row r="1100">
          <cell r="Q1100">
            <v>2.392824026173912E-4</v>
          </cell>
        </row>
        <row r="1101">
          <cell r="Q1101">
            <v>1.6062499344116077E-4</v>
          </cell>
        </row>
        <row r="1102">
          <cell r="Q1102">
            <v>1.2850694474764168E-4</v>
          </cell>
        </row>
        <row r="1103">
          <cell r="Q1103">
            <v>1.4646990894107148E-4</v>
          </cell>
        </row>
        <row r="1104">
          <cell r="Q1104">
            <v>9.5075231365626678E-4</v>
          </cell>
        </row>
        <row r="1105">
          <cell r="Q1105">
            <v>2.149305582861416E-4</v>
          </cell>
        </row>
        <row r="1106">
          <cell r="Q1106">
            <v>2.2568287386093289E-4</v>
          </cell>
        </row>
        <row r="1107">
          <cell r="Q1107">
            <v>1.9085648818872869E-4</v>
          </cell>
        </row>
        <row r="1108">
          <cell r="Q1108">
            <v>2.9685185290873051E-4</v>
          </cell>
        </row>
        <row r="1109">
          <cell r="Q1109">
            <v>3.0127314676064998E-4</v>
          </cell>
        </row>
        <row r="1110">
          <cell r="Q1110">
            <v>2.0062499970663339E-4</v>
          </cell>
        </row>
        <row r="1111">
          <cell r="Q1111">
            <v>2.6327546220272779E-4</v>
          </cell>
        </row>
        <row r="1112">
          <cell r="Q1112">
            <v>2.1625000226777047E-4</v>
          </cell>
        </row>
        <row r="1113">
          <cell r="Q1113">
            <v>1.6650462930556387E-4</v>
          </cell>
        </row>
        <row r="1114">
          <cell r="Q1114">
            <v>2.7516204136190936E-4</v>
          </cell>
        </row>
        <row r="1115">
          <cell r="Q1115">
            <v>2.1836805535713211E-4</v>
          </cell>
        </row>
        <row r="1116">
          <cell r="Q1116">
            <v>1.9071759015787393E-4</v>
          </cell>
        </row>
        <row r="1117">
          <cell r="Q1117">
            <v>3.1584491080138832E-4</v>
          </cell>
        </row>
        <row r="1118">
          <cell r="Q1118">
            <v>4.0657407225808129E-4</v>
          </cell>
        </row>
        <row r="1119">
          <cell r="Q1119">
            <v>1.3783564645564184E-4</v>
          </cell>
        </row>
        <row r="1120">
          <cell r="Q1120">
            <v>1.7501157708466053E-4</v>
          </cell>
        </row>
        <row r="1121">
          <cell r="Q1121">
            <v>1.4381597211468033E-3</v>
          </cell>
        </row>
        <row r="1122">
          <cell r="Q1122">
            <v>2.3135416995501146E-4</v>
          </cell>
        </row>
        <row r="1123">
          <cell r="Q1123">
            <v>2.0343749929452315E-4</v>
          </cell>
        </row>
        <row r="1124">
          <cell r="Q1124">
            <v>2.2372685634763911E-4</v>
          </cell>
        </row>
        <row r="1125">
          <cell r="Q1125">
            <v>3.1152777228271589E-4</v>
          </cell>
        </row>
        <row r="1126">
          <cell r="Q1126">
            <v>2.1245370589895174E-4</v>
          </cell>
        </row>
        <row r="1127">
          <cell r="Q1127">
            <v>1.5770833852002397E-4</v>
          </cell>
        </row>
        <row r="1128">
          <cell r="Q1128">
            <v>2.9129629547242075E-4</v>
          </cell>
        </row>
        <row r="1129">
          <cell r="Q1129">
            <v>4.129050939809531E-4</v>
          </cell>
        </row>
        <row r="1130">
          <cell r="Q1130">
            <v>2.6268518558936194E-4</v>
          </cell>
        </row>
        <row r="1131">
          <cell r="Q1131">
            <v>1.4495370851363987E-4</v>
          </cell>
        </row>
        <row r="1132">
          <cell r="Q1132">
            <v>2.2196759528014809E-4</v>
          </cell>
        </row>
        <row r="1133">
          <cell r="Q1133">
            <v>1.6675925871822983E-4</v>
          </cell>
        </row>
        <row r="1134">
          <cell r="Q1134">
            <v>1.7256944556720555E-4</v>
          </cell>
        </row>
        <row r="1135">
          <cell r="Q1135">
            <v>5.1935185183538124E-4</v>
          </cell>
        </row>
        <row r="1136">
          <cell r="Q1136">
            <v>2.1688657579943538E-4</v>
          </cell>
        </row>
        <row r="1137">
          <cell r="Q1137">
            <v>1.823842540034093E-4</v>
          </cell>
        </row>
        <row r="1138">
          <cell r="Q1138">
            <v>1.7975694208871573E-4</v>
          </cell>
        </row>
        <row r="1139">
          <cell r="Q1139">
            <v>2.7206018421566114E-4</v>
          </cell>
        </row>
        <row r="1140">
          <cell r="Q1140">
            <v>2.4880786804715171E-4</v>
          </cell>
        </row>
        <row r="1141">
          <cell r="Q1141">
            <v>3.4674768539844081E-4</v>
          </cell>
        </row>
        <row r="1142">
          <cell r="Q1142">
            <v>1.3677083188667893E-4</v>
          </cell>
        </row>
        <row r="1143">
          <cell r="Q1143">
            <v>1.7318287427769974E-4</v>
          </cell>
        </row>
        <row r="1144">
          <cell r="Q1144">
            <v>2.3083333508111537E-4</v>
          </cell>
        </row>
        <row r="1145">
          <cell r="Q1145">
            <v>1.5119212912395597E-4</v>
          </cell>
        </row>
        <row r="1146">
          <cell r="Q1146">
            <v>1.8082175665767863E-4</v>
          </cell>
        </row>
        <row r="1147">
          <cell r="Q1147">
            <v>2.6486111164558679E-4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aptureandgo.cloudlab.zhaw.ch/uploads/image_9bb0a72b83.jpg" TargetMode="External"/><Relationship Id="rId3" Type="http://schemas.openxmlformats.org/officeDocument/2006/relationships/hyperlink" Target="https://captureandgo.cloudlab.zhaw.ch/uploads/image_002bf2d537.jpg" TargetMode="External"/><Relationship Id="rId7" Type="http://schemas.openxmlformats.org/officeDocument/2006/relationships/hyperlink" Target="https://captureandgo.cloudlab.zhaw.ch/uploads/image_b09dfb45d2.jpg" TargetMode="External"/><Relationship Id="rId2" Type="http://schemas.openxmlformats.org/officeDocument/2006/relationships/hyperlink" Target="https://captureandgo.cloudlab.zhaw.ch/uploads/image_bc3ddac8ce.jpg" TargetMode="External"/><Relationship Id="rId1" Type="http://schemas.openxmlformats.org/officeDocument/2006/relationships/hyperlink" Target="https://captureandgo.cloudlab.zhaw.ch/uploads/image_1af2eb30ea.jpg" TargetMode="External"/><Relationship Id="rId6" Type="http://schemas.openxmlformats.org/officeDocument/2006/relationships/hyperlink" Target="https://captureandgo.cloudlab.zhaw.ch/uploads/image_4ea574faf5.jpg" TargetMode="External"/><Relationship Id="rId5" Type="http://schemas.openxmlformats.org/officeDocument/2006/relationships/hyperlink" Target="https://captureandgo.cloudlab.zhaw.ch/uploads/image_3c93fd1d48.jpg" TargetMode="External"/><Relationship Id="rId4" Type="http://schemas.openxmlformats.org/officeDocument/2006/relationships/hyperlink" Target="https://captureandgo.cloudlab.zhaw.ch/uploads/image_44862f3000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captureandgo.cloudlab.zhaw.ch/uploads/image_cefb1ee2ed.jpg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openstreetmap.org/" TargetMode="External"/><Relationship Id="rId18" Type="http://schemas.openxmlformats.org/officeDocument/2006/relationships/hyperlink" Target="https://www.openstreetmap.org/" TargetMode="External"/><Relationship Id="rId26" Type="http://schemas.openxmlformats.org/officeDocument/2006/relationships/hyperlink" Target="https://drive.google.com/drive/folders/1Ee20ELZmWFkyeLBQlucDCD7JXddGjMwa?usp=sharing" TargetMode="External"/><Relationship Id="rId21" Type="http://schemas.openxmlformats.org/officeDocument/2006/relationships/hyperlink" Target="https://www.openstreetmap.org/" TargetMode="External"/><Relationship Id="rId34" Type="http://schemas.openxmlformats.org/officeDocument/2006/relationships/hyperlink" Target="https://www.infra3d.ch/latest/?imageKey=ZGF0ZW5iYXNpc0BtZXRhX2NoX3p1ZXJpY2hfdjMvMzE3My0z&amp;pointto=%7b%22type%22:%22panzoom%22,%22zoom%22:0.61,%22panX%22:91,%22panY%22:12%7d" TargetMode="External"/><Relationship Id="rId7" Type="http://schemas.openxmlformats.org/officeDocument/2006/relationships/hyperlink" Target="https://www.openstreetmap.org/" TargetMode="External"/><Relationship Id="rId12" Type="http://schemas.openxmlformats.org/officeDocument/2006/relationships/hyperlink" Target="https://www.openstreetmap.org/" TargetMode="External"/><Relationship Id="rId17" Type="http://schemas.openxmlformats.org/officeDocument/2006/relationships/hyperlink" Target="https://www.openstreetmap.org/" TargetMode="External"/><Relationship Id="rId25" Type="http://schemas.openxmlformats.org/officeDocument/2006/relationships/hyperlink" Target="https://www.openstreetmap.org/" TargetMode="External"/><Relationship Id="rId33" Type="http://schemas.openxmlformats.org/officeDocument/2006/relationships/hyperlink" Target="https://www.openstreetmap.org/" TargetMode="External"/><Relationship Id="rId38" Type="http://schemas.openxmlformats.org/officeDocument/2006/relationships/hyperlink" Target="https://www.openstreetmap.org/" TargetMode="External"/><Relationship Id="rId2" Type="http://schemas.openxmlformats.org/officeDocument/2006/relationships/hyperlink" Target="https://www.openstreetmap.org/" TargetMode="External"/><Relationship Id="rId16" Type="http://schemas.openxmlformats.org/officeDocument/2006/relationships/hyperlink" Target="https://www.openstreetmap.org/" TargetMode="External"/><Relationship Id="rId20" Type="http://schemas.openxmlformats.org/officeDocument/2006/relationships/hyperlink" Target="https://www.openstreetmap.org/" TargetMode="External"/><Relationship Id="rId29" Type="http://schemas.openxmlformats.org/officeDocument/2006/relationships/hyperlink" Target="https://www.openstreetmap.org/" TargetMode="External"/><Relationship Id="rId1" Type="http://schemas.openxmlformats.org/officeDocument/2006/relationships/hyperlink" Target="https://www.openstreetmap.org/" TargetMode="External"/><Relationship Id="rId6" Type="http://schemas.openxmlformats.org/officeDocument/2006/relationships/hyperlink" Target="https://www.openstreetmap.org/" TargetMode="External"/><Relationship Id="rId11" Type="http://schemas.openxmlformats.org/officeDocument/2006/relationships/hyperlink" Target="https://www.openstreetmap.org/" TargetMode="External"/><Relationship Id="rId24" Type="http://schemas.openxmlformats.org/officeDocument/2006/relationships/hyperlink" Target="https://www.openstreetmap.org/" TargetMode="External"/><Relationship Id="rId32" Type="http://schemas.openxmlformats.org/officeDocument/2006/relationships/hyperlink" Target="https://www.openstreetmap.org/" TargetMode="External"/><Relationship Id="rId37" Type="http://schemas.openxmlformats.org/officeDocument/2006/relationships/hyperlink" Target="https://www.infra3d.ch/latest/?imageKey=ZGF0ZW5iYXNpc0BtZXRhX2NoX3p1ZXJpY2hfdjMvMTQ2NzQtMg==&amp;pointto=%7b%22type%22:%22panzoom%22,%22zoom%22:0.65,%22panX%22:18,%22panY%22:-11%7d" TargetMode="External"/><Relationship Id="rId5" Type="http://schemas.openxmlformats.org/officeDocument/2006/relationships/hyperlink" Target="https://www.openstreetmap.org/" TargetMode="External"/><Relationship Id="rId15" Type="http://schemas.openxmlformats.org/officeDocument/2006/relationships/hyperlink" Target="https://www.openstreetmap.org/" TargetMode="External"/><Relationship Id="rId23" Type="http://schemas.openxmlformats.org/officeDocument/2006/relationships/hyperlink" Target="https://www.openstreetmap.org/" TargetMode="External"/><Relationship Id="rId28" Type="http://schemas.openxmlformats.org/officeDocument/2006/relationships/hyperlink" Target="https://www.openstreetmap.org/" TargetMode="External"/><Relationship Id="rId36" Type="http://schemas.openxmlformats.org/officeDocument/2006/relationships/hyperlink" Target="https://www.infra3d.ch/latest/?imageKey=ZGF0ZW5iYXNpc0BtZXRhX2NoX3p1ZXJpY2hfdjMvMjExMDctMg==&amp;pointto=%7b%22type%22:%22panzoom%22,%22zoom%22:0.65,%22panX%22:117,%22panY%22:-26%7d" TargetMode="External"/><Relationship Id="rId10" Type="http://schemas.openxmlformats.org/officeDocument/2006/relationships/hyperlink" Target="https://www.openstreetmap.org/" TargetMode="External"/><Relationship Id="rId19" Type="http://schemas.openxmlformats.org/officeDocument/2006/relationships/hyperlink" Target="https://www.openstreetmap.org/" TargetMode="External"/><Relationship Id="rId31" Type="http://schemas.openxmlformats.org/officeDocument/2006/relationships/hyperlink" Target="https://www.openstreetmap.org/" TargetMode="External"/><Relationship Id="rId4" Type="http://schemas.openxmlformats.org/officeDocument/2006/relationships/hyperlink" Target="https://www.openstreetmap.org/" TargetMode="External"/><Relationship Id="rId9" Type="http://schemas.openxmlformats.org/officeDocument/2006/relationships/hyperlink" Target="https://www.openstreetmap.org/" TargetMode="External"/><Relationship Id="rId14" Type="http://schemas.openxmlformats.org/officeDocument/2006/relationships/hyperlink" Target="https://www.openstreetmap.org/" TargetMode="External"/><Relationship Id="rId22" Type="http://schemas.openxmlformats.org/officeDocument/2006/relationships/hyperlink" Target="https://www.openstreetmap.org/" TargetMode="External"/><Relationship Id="rId27" Type="http://schemas.openxmlformats.org/officeDocument/2006/relationships/hyperlink" Target="https://www.openstreetmap.org/" TargetMode="External"/><Relationship Id="rId30" Type="http://schemas.openxmlformats.org/officeDocument/2006/relationships/hyperlink" Target="https://www.openstreetmap.org/" TargetMode="External"/><Relationship Id="rId35" Type="http://schemas.openxmlformats.org/officeDocument/2006/relationships/hyperlink" Target="https://www.infra3d.ch/latest/?imageKey=ZGF0ZW5iYXNpc0BtZXRhX2NoX3p1ZXJpY2hfdjMvMjc1MzAtMA==&amp;pointto=%7b%22type%22:%22pano%22,%22lat%22:-8,%22lon%22:-259,%22fov%22:70%7d" TargetMode="External"/><Relationship Id="rId8" Type="http://schemas.openxmlformats.org/officeDocument/2006/relationships/hyperlink" Target="https://www.openstreetmap.org/" TargetMode="External"/><Relationship Id="rId3" Type="http://schemas.openxmlformats.org/officeDocument/2006/relationships/hyperlink" Target="https://www.openstreetmap.org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openstreetmap.org/" TargetMode="External"/><Relationship Id="rId13" Type="http://schemas.openxmlformats.org/officeDocument/2006/relationships/hyperlink" Target="https://www.openstreetmap.org/" TargetMode="External"/><Relationship Id="rId18" Type="http://schemas.openxmlformats.org/officeDocument/2006/relationships/hyperlink" Target="https://www.infra3d.ch/latest/?imageKey=ZGF0ZW5iYXNpc0BtZXRhX2NoX3p1ZXJpY2hfdjMvMjc1MzAtMA==&amp;pointto=%7b%22type%22:%22pano%22,%22lat%22:-8,%22lon%22:-259,%22fov%22:70%7d" TargetMode="External"/><Relationship Id="rId3" Type="http://schemas.openxmlformats.org/officeDocument/2006/relationships/hyperlink" Target="https://www.openstreetmap.org/" TargetMode="External"/><Relationship Id="rId7" Type="http://schemas.openxmlformats.org/officeDocument/2006/relationships/hyperlink" Target="https://www.openstreetmap.org/" TargetMode="External"/><Relationship Id="rId12" Type="http://schemas.openxmlformats.org/officeDocument/2006/relationships/hyperlink" Target="https://www.openstreetmap.org/" TargetMode="External"/><Relationship Id="rId17" Type="http://schemas.openxmlformats.org/officeDocument/2006/relationships/hyperlink" Target="https://www.infra3d.ch/latest/?imageKey=ZGF0ZW5iYXNpc0BtZXRhX2NoX3p1ZXJpY2hfdjMvMjExMDctMg==&amp;pointto=%7b%22type%22:%22panzoom%22,%22zoom%22:0.65,%22panX%22:117,%22panY%22:-26%7d" TargetMode="External"/><Relationship Id="rId2" Type="http://schemas.openxmlformats.org/officeDocument/2006/relationships/hyperlink" Target="https://www.openstreetmap.org/" TargetMode="External"/><Relationship Id="rId16" Type="http://schemas.openxmlformats.org/officeDocument/2006/relationships/hyperlink" Target="https://www.infra3d.ch/latest/?imageKey=ZGF0ZW5iYXNpc0BtZXRhX2NoX3p1ZXJpY2hfdjMvMTQ2NzQtMg==&amp;pointto=%7b%22type%22:%22panzoom%22,%22zoom%22:0.65,%22panX%22:18,%22panY%22:-11%7d" TargetMode="External"/><Relationship Id="rId20" Type="http://schemas.openxmlformats.org/officeDocument/2006/relationships/hyperlink" Target="https://www.openstreetmap.org/" TargetMode="External"/><Relationship Id="rId1" Type="http://schemas.openxmlformats.org/officeDocument/2006/relationships/hyperlink" Target="https://www.openstreetmap.org/" TargetMode="External"/><Relationship Id="rId6" Type="http://schemas.openxmlformats.org/officeDocument/2006/relationships/hyperlink" Target="https://www.openstreetmap.org/" TargetMode="External"/><Relationship Id="rId11" Type="http://schemas.openxmlformats.org/officeDocument/2006/relationships/hyperlink" Target="https://www.openstreetmap.org/" TargetMode="External"/><Relationship Id="rId5" Type="http://schemas.openxmlformats.org/officeDocument/2006/relationships/hyperlink" Target="https://www.openstreetmap.org/" TargetMode="External"/><Relationship Id="rId15" Type="http://schemas.openxmlformats.org/officeDocument/2006/relationships/hyperlink" Target="https://www.openstreetmap.org/" TargetMode="External"/><Relationship Id="rId10" Type="http://schemas.openxmlformats.org/officeDocument/2006/relationships/hyperlink" Target="https://www.openstreetmap.org/" TargetMode="External"/><Relationship Id="rId19" Type="http://schemas.openxmlformats.org/officeDocument/2006/relationships/hyperlink" Target="https://www.openstreetmap.org/" TargetMode="External"/><Relationship Id="rId4" Type="http://schemas.openxmlformats.org/officeDocument/2006/relationships/hyperlink" Target="https://www.openstreetmap.org/" TargetMode="External"/><Relationship Id="rId9" Type="http://schemas.openxmlformats.org/officeDocument/2006/relationships/hyperlink" Target="https://www.openstreetmap.org/" TargetMode="External"/><Relationship Id="rId14" Type="http://schemas.openxmlformats.org/officeDocument/2006/relationships/hyperlink" Target="https://www.openstreetmap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CD92-7FA1-F941-85E2-468ACD4B1172}">
  <dimension ref="A1:AN1174"/>
  <sheetViews>
    <sheetView topLeftCell="N1" zoomScaleNormal="85" workbookViewId="0">
      <pane ySplit="1" topLeftCell="A83" activePane="bottomLeft" state="frozen"/>
      <selection pane="bottomLeft" activeCell="AI2" sqref="AI2"/>
    </sheetView>
  </sheetViews>
  <sheetFormatPr baseColWidth="10" defaultColWidth="8.83203125" defaultRowHeight="15" x14ac:dyDescent="0.2"/>
  <cols>
    <col min="1" max="1" width="25.83203125" customWidth="1"/>
    <col min="2" max="2" width="7" style="47" customWidth="1"/>
    <col min="3" max="3" width="11.83203125" bestFit="1" customWidth="1"/>
    <col min="4" max="4" width="13" bestFit="1" customWidth="1"/>
    <col min="5" max="5" width="9.1640625" bestFit="1" customWidth="1"/>
    <col min="6" max="6" width="9" bestFit="1" customWidth="1"/>
    <col min="7" max="7" width="8.1640625" bestFit="1" customWidth="1"/>
    <col min="8" max="8" width="28.5" customWidth="1"/>
    <col min="9" max="9" width="17.1640625" bestFit="1" customWidth="1"/>
    <col min="10" max="10" width="66" bestFit="1" customWidth="1"/>
    <col min="11" max="11" width="12.33203125" bestFit="1" customWidth="1"/>
    <col min="12" max="12" width="8.6640625" bestFit="1" customWidth="1"/>
    <col min="13" max="13" width="15.6640625" bestFit="1" customWidth="1"/>
    <col min="14" max="14" width="12.1640625" bestFit="1" customWidth="1"/>
    <col min="15" max="15" width="16.33203125" style="14" customWidth="1"/>
    <col min="16" max="17" width="17.5" style="14" customWidth="1"/>
    <col min="18" max="18" width="19.5" style="14" customWidth="1"/>
    <col min="19" max="23" width="15.33203125" customWidth="1"/>
    <col min="24" max="27" width="15.5" customWidth="1"/>
    <col min="28" max="29" width="15.33203125" customWidth="1"/>
    <col min="30" max="30" width="13.1640625" customWidth="1"/>
    <col min="31" max="32" width="15.5" customWidth="1"/>
    <col min="33" max="33" width="36.5" style="25" customWidth="1"/>
    <col min="34" max="34" width="18.83203125" style="25" customWidth="1"/>
    <col min="35" max="37" width="58.33203125" bestFit="1" customWidth="1"/>
    <col min="38" max="39" width="58.1640625" bestFit="1" customWidth="1"/>
    <col min="40" max="40" width="57.33203125" bestFit="1" customWidth="1"/>
    <col min="41" max="16384" width="8.83203125" style="47"/>
  </cols>
  <sheetData>
    <row r="1" spans="1:40" ht="16" x14ac:dyDescent="0.2">
      <c r="A1" s="1" t="s">
        <v>0</v>
      </c>
      <c r="B1" s="45" t="s">
        <v>9452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5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2" t="s">
        <v>13</v>
      </c>
      <c r="P1" s="12" t="s">
        <v>14</v>
      </c>
      <c r="Q1" s="12" t="s">
        <v>9414</v>
      </c>
      <c r="R1" s="12" t="s">
        <v>9413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51" t="s">
        <v>28</v>
      </c>
      <c r="AG1" s="52" t="s">
        <v>9400</v>
      </c>
      <c r="AH1" s="81" t="s">
        <v>9410</v>
      </c>
      <c r="AI1" s="51" t="s">
        <v>29</v>
      </c>
      <c r="AJ1" s="2"/>
      <c r="AK1" s="2"/>
      <c r="AL1" s="2"/>
      <c r="AM1" s="2"/>
      <c r="AN1" s="2"/>
    </row>
    <row r="2" spans="1:40" ht="16" x14ac:dyDescent="0.2">
      <c r="A2" s="2" t="s">
        <v>30</v>
      </c>
      <c r="B2" s="46">
        <v>1</v>
      </c>
      <c r="C2" s="2" t="b">
        <v>0</v>
      </c>
      <c r="D2" s="2" t="b">
        <v>0</v>
      </c>
      <c r="E2" s="2" t="b">
        <v>0</v>
      </c>
      <c r="F2" s="2" t="b">
        <v>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35</v>
      </c>
      <c r="M2" s="2" t="s">
        <v>35</v>
      </c>
      <c r="N2" s="2" t="s">
        <v>35</v>
      </c>
      <c r="O2" s="11">
        <v>44722.612430555557</v>
      </c>
      <c r="P2" s="11">
        <v>44722.613692951389</v>
      </c>
      <c r="Q2" s="27">
        <f t="shared" ref="Q2:Q65" si="0">P2-O2</f>
        <v>1.2623958318727091E-3</v>
      </c>
      <c r="R2" s="27">
        <f>P2-AF2</f>
        <v>3.9707291653030552E-3</v>
      </c>
      <c r="S2" s="2">
        <v>0</v>
      </c>
      <c r="T2" s="2" t="s">
        <v>36</v>
      </c>
      <c r="U2" s="2" t="s">
        <v>37</v>
      </c>
      <c r="V2" s="2" t="s">
        <v>38</v>
      </c>
      <c r="W2" s="2" t="s">
        <v>35</v>
      </c>
      <c r="X2" s="2" t="s">
        <v>35</v>
      </c>
      <c r="Y2" s="2" t="s">
        <v>35</v>
      </c>
      <c r="Z2" s="2" t="b">
        <v>0</v>
      </c>
      <c r="AA2" s="2" t="s">
        <v>35</v>
      </c>
      <c r="AB2" s="2" t="s">
        <v>35</v>
      </c>
      <c r="AC2" s="2">
        <v>7</v>
      </c>
      <c r="AD2" s="2" t="s">
        <v>35</v>
      </c>
      <c r="AE2" s="2" t="s">
        <v>39</v>
      </c>
      <c r="AF2" s="11">
        <v>44722.609722222223</v>
      </c>
      <c r="AG2" s="53"/>
      <c r="AH2" s="53" t="b">
        <f>IF(Q2&lt;TIME(0,0,1),"TRUE")</f>
        <v>0</v>
      </c>
      <c r="AI2" s="54" t="str" cm="1">
        <f t="array" ref="AI2">TRANSPOSE(_xlfn._xlws.FILTER(images!L:L,images!F:F=Barrierenmessung!A2, ""))</f>
        <v>https://captureandgo.cloudlab.zhaw.ch/uploads/image_9bb0a72b83.jpg</v>
      </c>
      <c r="AJ2" s="2"/>
      <c r="AK2" s="2"/>
      <c r="AL2" s="2"/>
      <c r="AM2" s="2"/>
      <c r="AN2" s="2"/>
    </row>
    <row r="3" spans="1:40" ht="16" x14ac:dyDescent="0.2">
      <c r="A3" s="31" t="s">
        <v>40</v>
      </c>
      <c r="B3" s="31">
        <v>2</v>
      </c>
      <c r="C3" s="31" t="b">
        <v>0</v>
      </c>
      <c r="D3" s="31" t="b">
        <v>0</v>
      </c>
      <c r="E3" s="31" t="b">
        <v>0</v>
      </c>
      <c r="F3" s="31" t="b">
        <v>0</v>
      </c>
      <c r="G3" s="31" t="s">
        <v>31</v>
      </c>
      <c r="H3" s="31" t="s">
        <v>41</v>
      </c>
      <c r="I3" s="31" t="s">
        <v>42</v>
      </c>
      <c r="J3" s="31" t="s">
        <v>34</v>
      </c>
      <c r="K3" s="31" t="s">
        <v>35</v>
      </c>
      <c r="L3" s="31" t="s">
        <v>35</v>
      </c>
      <c r="M3" s="31" t="s">
        <v>35</v>
      </c>
      <c r="N3" s="31" t="s">
        <v>35</v>
      </c>
      <c r="O3" s="32">
        <v>44722.621535983795</v>
      </c>
      <c r="P3" s="32">
        <v>44722.622121250002</v>
      </c>
      <c r="Q3" s="30">
        <f t="shared" si="0"/>
        <v>5.8526620705379173E-4</v>
      </c>
      <c r="R3" s="30">
        <f>MIN(P3-P2, P3-AF3)</f>
        <v>8.4282986135804094E-3</v>
      </c>
      <c r="S3" s="31">
        <v>0</v>
      </c>
      <c r="T3" s="31" t="s">
        <v>36</v>
      </c>
      <c r="U3" s="31" t="s">
        <v>37</v>
      </c>
      <c r="V3" s="31" t="s">
        <v>38</v>
      </c>
      <c r="W3" s="31" t="s">
        <v>35</v>
      </c>
      <c r="X3" s="31" t="s">
        <v>35</v>
      </c>
      <c r="Y3" s="31" t="s">
        <v>35</v>
      </c>
      <c r="Z3" s="31" t="b">
        <v>0</v>
      </c>
      <c r="AA3" s="31" t="s">
        <v>35</v>
      </c>
      <c r="AB3" s="31" t="s">
        <v>35</v>
      </c>
      <c r="AC3" s="31">
        <v>5</v>
      </c>
      <c r="AD3" s="31" t="s">
        <v>35</v>
      </c>
      <c r="AE3" s="31" t="s">
        <v>39</v>
      </c>
      <c r="AF3" s="32">
        <v>44722.609722222223</v>
      </c>
      <c r="AG3" s="55" t="s">
        <v>9408</v>
      </c>
      <c r="AH3" s="55" t="b">
        <f t="shared" ref="AH3:AH66" si="1">IF(Q3&lt;TIME(0,0,1),"TRUE")</f>
        <v>0</v>
      </c>
      <c r="AI3" s="62" t="str" cm="1">
        <f t="array" ref="AI3">TRANSPOSE(_xlfn._xlws.FILTER(images!L:L,images!F:F=Barrierenmessung!A3, ""))</f>
        <v>https://captureandgo.cloudlab.zhaw.ch/uploads/image_9bf1894f17.jpg</v>
      </c>
      <c r="AJ3" s="31"/>
      <c r="AK3" s="31"/>
      <c r="AL3" s="31"/>
      <c r="AM3" s="31"/>
      <c r="AN3" s="31"/>
    </row>
    <row r="4" spans="1:40" ht="16" x14ac:dyDescent="0.2">
      <c r="A4" s="2" t="s">
        <v>43</v>
      </c>
      <c r="B4" s="46">
        <v>3</v>
      </c>
      <c r="C4" s="2" t="b">
        <v>0</v>
      </c>
      <c r="D4" s="2" t="b">
        <v>0</v>
      </c>
      <c r="E4" s="2" t="b">
        <v>0</v>
      </c>
      <c r="F4" s="2" t="b">
        <v>0</v>
      </c>
      <c r="G4" s="2" t="s">
        <v>31</v>
      </c>
      <c r="H4" s="2" t="s">
        <v>44</v>
      </c>
      <c r="I4" s="2" t="s">
        <v>45</v>
      </c>
      <c r="J4" s="2" t="s">
        <v>46</v>
      </c>
      <c r="K4" s="2" t="s">
        <v>35</v>
      </c>
      <c r="L4" s="2" t="s">
        <v>35</v>
      </c>
      <c r="M4" s="2" t="s">
        <v>35</v>
      </c>
      <c r="N4" s="2" t="s">
        <v>35</v>
      </c>
      <c r="O4" s="11">
        <v>44722.626537824071</v>
      </c>
      <c r="P4" s="11">
        <v>44722.627554270832</v>
      </c>
      <c r="Q4" s="27">
        <f t="shared" si="0"/>
        <v>1.0164467603317462E-3</v>
      </c>
      <c r="R4" s="65">
        <f>MIN(P4-P3, P4-AF4)</f>
        <v>5.4330208295141347E-3</v>
      </c>
      <c r="S4" s="2">
        <v>0</v>
      </c>
      <c r="T4" s="2" t="s">
        <v>36</v>
      </c>
      <c r="U4" s="2" t="s">
        <v>37</v>
      </c>
      <c r="V4" s="2" t="s">
        <v>38</v>
      </c>
      <c r="W4" s="2" t="s">
        <v>35</v>
      </c>
      <c r="X4" s="2" t="s">
        <v>35</v>
      </c>
      <c r="Y4" s="2" t="s">
        <v>35</v>
      </c>
      <c r="Z4" s="2" t="b">
        <v>0</v>
      </c>
      <c r="AA4" s="2" t="s">
        <v>35</v>
      </c>
      <c r="AB4" s="2" t="s">
        <v>35</v>
      </c>
      <c r="AC4" s="2">
        <v>5</v>
      </c>
      <c r="AD4" s="2" t="s">
        <v>35</v>
      </c>
      <c r="AE4" s="2" t="s">
        <v>39</v>
      </c>
      <c r="AF4" s="11">
        <v>44722.609722222223</v>
      </c>
      <c r="AG4" s="53"/>
      <c r="AH4" s="53" t="b">
        <f t="shared" si="1"/>
        <v>0</v>
      </c>
      <c r="AI4" s="54" t="str" cm="1">
        <f t="array" ref="AI4:AK4">TRANSPOSE(_xlfn._xlws.FILTER(images!L:L,images!F:F=Barrierenmessung!A4, ""))</f>
        <v>https://captureandgo.cloudlab.zhaw.ch/uploads/image_54fdcec3b6.jpg</v>
      </c>
      <c r="AJ4" s="2" t="str">
        <v>https://captureandgo.cloudlab.zhaw.ch/uploads/image_d2e1fb23a4.jpg</v>
      </c>
      <c r="AK4" s="2" t="str">
        <v>https://captureandgo.cloudlab.zhaw.ch/uploads/image_b442596837.jpg</v>
      </c>
      <c r="AL4" s="2"/>
      <c r="AM4" s="2"/>
      <c r="AN4" s="2"/>
    </row>
    <row r="5" spans="1:40" ht="16" x14ac:dyDescent="0.2">
      <c r="A5" s="2" t="s">
        <v>47</v>
      </c>
      <c r="B5" s="46">
        <v>4</v>
      </c>
      <c r="C5" s="2" t="b">
        <v>0</v>
      </c>
      <c r="D5" s="2" t="b">
        <v>0</v>
      </c>
      <c r="E5" s="2" t="b">
        <v>0</v>
      </c>
      <c r="F5" s="2" t="b">
        <v>0</v>
      </c>
      <c r="G5" s="2" t="s">
        <v>31</v>
      </c>
      <c r="H5" s="2" t="s">
        <v>48</v>
      </c>
      <c r="I5" s="2" t="s">
        <v>49</v>
      </c>
      <c r="J5" s="2" t="s">
        <v>50</v>
      </c>
      <c r="K5" s="2" t="s">
        <v>35</v>
      </c>
      <c r="L5" s="2" t="s">
        <v>35</v>
      </c>
      <c r="M5" s="2" t="s">
        <v>35</v>
      </c>
      <c r="N5" s="2" t="s">
        <v>35</v>
      </c>
      <c r="O5" s="11">
        <v>44722.631051238423</v>
      </c>
      <c r="P5" s="11">
        <v>44722.631513472224</v>
      </c>
      <c r="Q5" s="27">
        <f t="shared" si="0"/>
        <v>4.6223380195442587E-4</v>
      </c>
      <c r="R5" s="65">
        <f t="shared" ref="R5:R68" si="2">MIN(P5-P4, P5-AF5)</f>
        <v>3.9592013927176595E-3</v>
      </c>
      <c r="S5" s="2">
        <v>0</v>
      </c>
      <c r="T5" s="2" t="s">
        <v>36</v>
      </c>
      <c r="U5" s="2" t="s">
        <v>37</v>
      </c>
      <c r="V5" s="2" t="s">
        <v>38</v>
      </c>
      <c r="W5" s="2" t="s">
        <v>35</v>
      </c>
      <c r="X5" s="2" t="s">
        <v>35</v>
      </c>
      <c r="Y5" s="2" t="s">
        <v>35</v>
      </c>
      <c r="Z5" s="2" t="b">
        <v>0</v>
      </c>
      <c r="AA5" s="2" t="s">
        <v>35</v>
      </c>
      <c r="AB5" s="2" t="s">
        <v>35</v>
      </c>
      <c r="AC5" s="2">
        <v>5</v>
      </c>
      <c r="AD5" s="2" t="s">
        <v>35</v>
      </c>
      <c r="AE5" s="2" t="s">
        <v>39</v>
      </c>
      <c r="AF5" s="11">
        <v>44722.609722222223</v>
      </c>
      <c r="AG5" s="53"/>
      <c r="AH5" s="53" t="b">
        <f t="shared" si="1"/>
        <v>0</v>
      </c>
      <c r="AI5" s="54" t="str" cm="1">
        <f t="array" ref="AI5">TRANSPOSE(_xlfn._xlws.FILTER(images!L:L,images!F:F=Barrierenmessung!A5, ""))</f>
        <v>https://captureandgo.cloudlab.zhaw.ch/uploads/image_f80a569732.jpg</v>
      </c>
      <c r="AJ5" s="2"/>
      <c r="AK5" s="2"/>
      <c r="AL5" s="2"/>
      <c r="AM5" s="2"/>
      <c r="AN5" s="2"/>
    </row>
    <row r="6" spans="1:40" ht="16" x14ac:dyDescent="0.2">
      <c r="A6" s="2" t="s">
        <v>51</v>
      </c>
      <c r="B6" s="46">
        <v>5</v>
      </c>
      <c r="C6" s="2" t="b">
        <v>0</v>
      </c>
      <c r="D6" s="2" t="b">
        <v>0</v>
      </c>
      <c r="E6" s="2" t="b">
        <v>0</v>
      </c>
      <c r="F6" s="2" t="b">
        <v>0</v>
      </c>
      <c r="G6" s="2" t="s">
        <v>31</v>
      </c>
      <c r="H6" s="2" t="s">
        <v>52</v>
      </c>
      <c r="I6" s="2" t="s">
        <v>53</v>
      </c>
      <c r="J6" s="2" t="s">
        <v>35</v>
      </c>
      <c r="K6" s="2" t="s">
        <v>35</v>
      </c>
      <c r="L6" s="2" t="s">
        <v>35</v>
      </c>
      <c r="M6" s="2">
        <v>21</v>
      </c>
      <c r="N6" s="2">
        <v>15</v>
      </c>
      <c r="O6" s="11">
        <v>44722.633086111113</v>
      </c>
      <c r="P6" s="11">
        <v>44722.633641793982</v>
      </c>
      <c r="Q6" s="27">
        <f t="shared" si="0"/>
        <v>5.556828691624105E-4</v>
      </c>
      <c r="R6" s="65">
        <f t="shared" si="2"/>
        <v>2.1283217574818991E-3</v>
      </c>
      <c r="S6" s="2">
        <v>0</v>
      </c>
      <c r="T6" s="2" t="s">
        <v>54</v>
      </c>
      <c r="U6" s="2" t="s">
        <v>55</v>
      </c>
      <c r="V6" s="2" t="s">
        <v>38</v>
      </c>
      <c r="W6" s="2" t="s">
        <v>35</v>
      </c>
      <c r="X6" s="2" t="s">
        <v>35</v>
      </c>
      <c r="Y6" s="2" t="s">
        <v>35</v>
      </c>
      <c r="Z6" s="2" t="b">
        <v>0</v>
      </c>
      <c r="AA6" s="2" t="s">
        <v>35</v>
      </c>
      <c r="AB6" s="2" t="s">
        <v>35</v>
      </c>
      <c r="AC6" s="2" t="s">
        <v>35</v>
      </c>
      <c r="AD6" s="2" t="s">
        <v>35</v>
      </c>
      <c r="AE6" s="2" t="s">
        <v>39</v>
      </c>
      <c r="AF6" s="11">
        <v>44722.609722222223</v>
      </c>
      <c r="AG6" s="53"/>
      <c r="AH6" s="53" t="b">
        <f t="shared" si="1"/>
        <v>0</v>
      </c>
      <c r="AI6" s="54" t="str" cm="1">
        <f t="array" ref="AI6">TRANSPOSE(_xlfn._xlws.FILTER(images!L:L,images!F:F=Barrierenmessung!A6, ""))</f>
        <v>https://captureandgo.cloudlab.zhaw.ch/uploads/image_a84be3d520.jpg</v>
      </c>
      <c r="AJ6" s="2"/>
      <c r="AK6" s="2"/>
      <c r="AL6" s="2"/>
      <c r="AM6" s="2"/>
      <c r="AN6" s="2"/>
    </row>
    <row r="7" spans="1:40" ht="16" x14ac:dyDescent="0.2">
      <c r="A7" s="2" t="s">
        <v>56</v>
      </c>
      <c r="B7" s="46">
        <v>6</v>
      </c>
      <c r="C7" s="2" t="b">
        <v>0</v>
      </c>
      <c r="D7" s="2" t="b">
        <v>0</v>
      </c>
      <c r="E7" s="2" t="b">
        <v>0</v>
      </c>
      <c r="F7" s="2" t="b">
        <v>0</v>
      </c>
      <c r="G7" s="2" t="s">
        <v>31</v>
      </c>
      <c r="H7" s="2" t="s">
        <v>57</v>
      </c>
      <c r="I7" s="2" t="s">
        <v>58</v>
      </c>
      <c r="J7" s="2" t="s">
        <v>59</v>
      </c>
      <c r="K7" s="2" t="s">
        <v>35</v>
      </c>
      <c r="L7" s="2" t="s">
        <v>35</v>
      </c>
      <c r="M7" s="2" t="s">
        <v>35</v>
      </c>
      <c r="N7" s="2" t="s">
        <v>35</v>
      </c>
      <c r="O7" s="11">
        <v>44722.635615983796</v>
      </c>
      <c r="P7" s="11">
        <v>44722.636041817132</v>
      </c>
      <c r="Q7" s="27">
        <f t="shared" si="0"/>
        <v>4.2583333561196923E-4</v>
      </c>
      <c r="R7" s="65">
        <f t="shared" si="2"/>
        <v>2.4000231496756896E-3</v>
      </c>
      <c r="S7" s="2">
        <v>0</v>
      </c>
      <c r="T7" s="2" t="s">
        <v>36</v>
      </c>
      <c r="U7" s="2" t="s">
        <v>37</v>
      </c>
      <c r="V7" s="2" t="s">
        <v>38</v>
      </c>
      <c r="W7" s="2" t="s">
        <v>35</v>
      </c>
      <c r="X7" s="2" t="s">
        <v>35</v>
      </c>
      <c r="Y7" s="2" t="s">
        <v>35</v>
      </c>
      <c r="Z7" s="2" t="b">
        <v>0</v>
      </c>
      <c r="AA7" s="2" t="s">
        <v>35</v>
      </c>
      <c r="AB7" s="2" t="s">
        <v>35</v>
      </c>
      <c r="AC7" s="2">
        <v>4</v>
      </c>
      <c r="AD7" s="2" t="s">
        <v>35</v>
      </c>
      <c r="AE7" s="2" t="s">
        <v>39</v>
      </c>
      <c r="AF7" s="11">
        <v>44722.609722222223</v>
      </c>
      <c r="AG7" s="53"/>
      <c r="AH7" s="53" t="b">
        <f t="shared" si="1"/>
        <v>0</v>
      </c>
      <c r="AI7" s="54" t="str" cm="1">
        <f t="array" ref="AI7">TRANSPOSE(_xlfn._xlws.FILTER(images!L:L,images!F:F=Barrierenmessung!A7, ""))</f>
        <v>https://captureandgo.cloudlab.zhaw.ch/uploads/image_b89b10b22b.jpg</v>
      </c>
      <c r="AJ7" s="2"/>
      <c r="AK7" s="2"/>
      <c r="AL7" s="2"/>
      <c r="AM7" s="2"/>
      <c r="AN7" s="2"/>
    </row>
    <row r="8" spans="1:40" ht="16" x14ac:dyDescent="0.2">
      <c r="A8" s="2" t="s">
        <v>60</v>
      </c>
      <c r="B8" s="46">
        <v>7</v>
      </c>
      <c r="C8" s="2" t="b">
        <v>0</v>
      </c>
      <c r="D8" s="2" t="b">
        <v>0</v>
      </c>
      <c r="E8" s="2" t="b">
        <v>0</v>
      </c>
      <c r="F8" s="2" t="b">
        <v>0</v>
      </c>
      <c r="G8" s="2" t="s">
        <v>31</v>
      </c>
      <c r="H8" s="2" t="s">
        <v>61</v>
      </c>
      <c r="I8" s="2" t="s">
        <v>62</v>
      </c>
      <c r="J8" s="2" t="s">
        <v>63</v>
      </c>
      <c r="K8" s="2" t="s">
        <v>35</v>
      </c>
      <c r="L8" s="2" t="s">
        <v>35</v>
      </c>
      <c r="M8" s="2" t="s">
        <v>35</v>
      </c>
      <c r="N8" s="2" t="s">
        <v>35</v>
      </c>
      <c r="O8" s="11">
        <v>44722.637145000001</v>
      </c>
      <c r="P8" s="11">
        <v>44722.637552326392</v>
      </c>
      <c r="Q8" s="27">
        <f t="shared" si="0"/>
        <v>4.0732639172347263E-4</v>
      </c>
      <c r="R8" s="65">
        <f t="shared" si="2"/>
        <v>1.5105092606972903E-3</v>
      </c>
      <c r="S8" s="2">
        <v>0</v>
      </c>
      <c r="T8" s="2" t="s">
        <v>36</v>
      </c>
      <c r="U8" s="2" t="s">
        <v>37</v>
      </c>
      <c r="V8" s="2" t="s">
        <v>38</v>
      </c>
      <c r="W8" s="2" t="s">
        <v>35</v>
      </c>
      <c r="X8" s="2" t="s">
        <v>35</v>
      </c>
      <c r="Y8" s="2" t="s">
        <v>35</v>
      </c>
      <c r="Z8" s="2" t="b">
        <v>0</v>
      </c>
      <c r="AA8" s="2" t="s">
        <v>35</v>
      </c>
      <c r="AB8" s="2" t="s">
        <v>35</v>
      </c>
      <c r="AC8" s="2">
        <v>4</v>
      </c>
      <c r="AD8" s="2" t="s">
        <v>35</v>
      </c>
      <c r="AE8" s="2" t="s">
        <v>39</v>
      </c>
      <c r="AF8" s="11">
        <v>44722.609722222223</v>
      </c>
      <c r="AG8" s="53"/>
      <c r="AH8" s="53" t="b">
        <f t="shared" si="1"/>
        <v>0</v>
      </c>
      <c r="AI8" s="54" t="str" cm="1">
        <f t="array" ref="AI8">TRANSPOSE(_xlfn._xlws.FILTER(images!L:L,images!F:F=Barrierenmessung!A8, ""))</f>
        <v>https://captureandgo.cloudlab.zhaw.ch/uploads/image_72a0ffa662.jpg</v>
      </c>
      <c r="AJ8" s="2"/>
      <c r="AK8" s="2"/>
      <c r="AL8" s="2"/>
      <c r="AM8" s="2"/>
      <c r="AN8" s="2"/>
    </row>
    <row r="9" spans="1:40" ht="16" x14ac:dyDescent="0.2">
      <c r="A9" s="2" t="s">
        <v>64</v>
      </c>
      <c r="B9" s="46">
        <v>8</v>
      </c>
      <c r="C9" s="2" t="b">
        <v>0</v>
      </c>
      <c r="D9" s="2" t="b">
        <v>0</v>
      </c>
      <c r="E9" s="2" t="b">
        <v>0</v>
      </c>
      <c r="F9" s="2" t="b">
        <v>0</v>
      </c>
      <c r="G9" s="2" t="s">
        <v>31</v>
      </c>
      <c r="H9" s="2" t="s">
        <v>65</v>
      </c>
      <c r="I9" s="2" t="s">
        <v>66</v>
      </c>
      <c r="J9" s="2" t="s">
        <v>67</v>
      </c>
      <c r="K9" s="2" t="s">
        <v>35</v>
      </c>
      <c r="L9" s="2" t="s">
        <v>35</v>
      </c>
      <c r="M9" s="2" t="s">
        <v>35</v>
      </c>
      <c r="N9" s="2" t="s">
        <v>35</v>
      </c>
      <c r="O9" s="11">
        <v>44722.639304085649</v>
      </c>
      <c r="P9" s="11">
        <v>44722.639669212964</v>
      </c>
      <c r="Q9" s="27">
        <f t="shared" si="0"/>
        <v>3.6512731458060443E-4</v>
      </c>
      <c r="R9" s="65">
        <f t="shared" si="2"/>
        <v>2.1168865714571439E-3</v>
      </c>
      <c r="S9" s="2">
        <v>0</v>
      </c>
      <c r="T9" s="2" t="s">
        <v>36</v>
      </c>
      <c r="U9" s="2" t="s">
        <v>37</v>
      </c>
      <c r="V9" s="2" t="s">
        <v>38</v>
      </c>
      <c r="W9" s="2" t="s">
        <v>35</v>
      </c>
      <c r="X9" s="2" t="s">
        <v>35</v>
      </c>
      <c r="Y9" s="2" t="s">
        <v>35</v>
      </c>
      <c r="Z9" s="2" t="b">
        <v>0</v>
      </c>
      <c r="AA9" s="2" t="s">
        <v>35</v>
      </c>
      <c r="AB9" s="2" t="s">
        <v>35</v>
      </c>
      <c r="AC9" s="2" t="s">
        <v>35</v>
      </c>
      <c r="AD9" s="2">
        <v>3</v>
      </c>
      <c r="AE9" s="2" t="s">
        <v>39</v>
      </c>
      <c r="AF9" s="11">
        <v>44722.609722222223</v>
      </c>
      <c r="AG9" s="53"/>
      <c r="AH9" s="53" t="b">
        <f t="shared" si="1"/>
        <v>0</v>
      </c>
      <c r="AI9" s="54" t="str" cm="1">
        <f t="array" ref="AI9">TRANSPOSE(_xlfn._xlws.FILTER(images!L:L,images!F:F=Barrierenmessung!A9, ""))</f>
        <v>https://captureandgo.cloudlab.zhaw.ch/uploads/image_46da3a6436.jpg</v>
      </c>
      <c r="AJ9" s="2"/>
      <c r="AK9" s="2"/>
      <c r="AL9" s="2"/>
      <c r="AM9" s="2"/>
      <c r="AN9" s="2"/>
    </row>
    <row r="10" spans="1:40" ht="16" x14ac:dyDescent="0.2">
      <c r="A10" s="2" t="s">
        <v>68</v>
      </c>
      <c r="B10" s="46">
        <v>9</v>
      </c>
      <c r="C10" s="2" t="b">
        <v>0</v>
      </c>
      <c r="D10" s="2" t="b">
        <v>0</v>
      </c>
      <c r="E10" s="2" t="b">
        <v>0</v>
      </c>
      <c r="F10" s="2" t="b">
        <v>0</v>
      </c>
      <c r="G10" s="2" t="s">
        <v>31</v>
      </c>
      <c r="H10" s="2" t="s">
        <v>69</v>
      </c>
      <c r="I10" s="2" t="s">
        <v>70</v>
      </c>
      <c r="J10" s="2" t="s">
        <v>71</v>
      </c>
      <c r="K10" s="2" t="s">
        <v>35</v>
      </c>
      <c r="L10" s="2" t="s">
        <v>35</v>
      </c>
      <c r="M10" s="2" t="s">
        <v>35</v>
      </c>
      <c r="N10" s="2" t="s">
        <v>35</v>
      </c>
      <c r="O10" s="11">
        <v>44722.644960914353</v>
      </c>
      <c r="P10" s="11">
        <v>44722.645530902781</v>
      </c>
      <c r="Q10" s="27">
        <f t="shared" si="0"/>
        <v>5.6998842774191871E-4</v>
      </c>
      <c r="R10" s="65">
        <f t="shared" si="2"/>
        <v>5.861689816811122E-3</v>
      </c>
      <c r="S10" s="2">
        <v>0</v>
      </c>
      <c r="T10" s="2" t="s">
        <v>36</v>
      </c>
      <c r="U10" s="2" t="s">
        <v>37</v>
      </c>
      <c r="V10" s="2" t="s">
        <v>38</v>
      </c>
      <c r="W10" s="2" t="s">
        <v>35</v>
      </c>
      <c r="X10" s="2" t="s">
        <v>35</v>
      </c>
      <c r="Y10" s="2" t="s">
        <v>35</v>
      </c>
      <c r="Z10" s="2" t="b">
        <v>0</v>
      </c>
      <c r="AA10" s="2" t="s">
        <v>35</v>
      </c>
      <c r="AB10" s="2" t="s">
        <v>35</v>
      </c>
      <c r="AC10" s="2">
        <v>4</v>
      </c>
      <c r="AD10" s="2" t="s">
        <v>35</v>
      </c>
      <c r="AE10" s="2" t="s">
        <v>39</v>
      </c>
      <c r="AF10" s="11">
        <v>44722.609722222223</v>
      </c>
      <c r="AG10" s="53"/>
      <c r="AH10" s="53" t="b">
        <f t="shared" si="1"/>
        <v>0</v>
      </c>
      <c r="AI10" s="54" t="str" cm="1">
        <f t="array" ref="AI10">TRANSPOSE(_xlfn._xlws.FILTER(images!L:L,images!F:F=Barrierenmessung!A10, ""))</f>
        <v>https://captureandgo.cloudlab.zhaw.ch/uploads/image_349d2dacb5.jpg</v>
      </c>
      <c r="AJ10" s="2"/>
      <c r="AK10" s="2"/>
      <c r="AL10" s="2"/>
      <c r="AM10" s="2"/>
      <c r="AN10" s="2"/>
    </row>
    <row r="11" spans="1:40" ht="16" x14ac:dyDescent="0.2">
      <c r="A11" s="2" t="s">
        <v>72</v>
      </c>
      <c r="B11" s="46">
        <v>10</v>
      </c>
      <c r="C11" s="2" t="b">
        <v>0</v>
      </c>
      <c r="D11" s="2" t="b">
        <v>0</v>
      </c>
      <c r="E11" s="2" t="b">
        <v>0</v>
      </c>
      <c r="F11" s="2" t="b">
        <v>0</v>
      </c>
      <c r="G11" s="2" t="s">
        <v>31</v>
      </c>
      <c r="H11" s="2" t="s">
        <v>73</v>
      </c>
      <c r="I11" s="2" t="s">
        <v>74</v>
      </c>
      <c r="J11" s="2" t="s">
        <v>75</v>
      </c>
      <c r="K11" s="2" t="s">
        <v>35</v>
      </c>
      <c r="L11" s="2" t="s">
        <v>35</v>
      </c>
      <c r="M11" s="2" t="s">
        <v>35</v>
      </c>
      <c r="N11" s="2" t="s">
        <v>35</v>
      </c>
      <c r="O11" s="11">
        <v>44722.651341886572</v>
      </c>
      <c r="P11" s="11">
        <v>44722.65177488426</v>
      </c>
      <c r="Q11" s="27">
        <f t="shared" si="0"/>
        <v>4.329976873123087E-4</v>
      </c>
      <c r="R11" s="65">
        <f t="shared" si="2"/>
        <v>6.2439814792014658E-3</v>
      </c>
      <c r="S11" s="2">
        <v>0</v>
      </c>
      <c r="T11" s="2" t="s">
        <v>36</v>
      </c>
      <c r="U11" s="2" t="s">
        <v>37</v>
      </c>
      <c r="V11" s="2" t="s">
        <v>38</v>
      </c>
      <c r="W11" s="2" t="s">
        <v>35</v>
      </c>
      <c r="X11" s="2" t="s">
        <v>35</v>
      </c>
      <c r="Y11" s="2" t="s">
        <v>35</v>
      </c>
      <c r="Z11" s="2" t="b">
        <v>0</v>
      </c>
      <c r="AA11" s="2" t="s">
        <v>35</v>
      </c>
      <c r="AB11" s="2" t="s">
        <v>35</v>
      </c>
      <c r="AC11" s="2">
        <v>4</v>
      </c>
      <c r="AD11" s="2" t="s">
        <v>35</v>
      </c>
      <c r="AE11" s="2" t="s">
        <v>39</v>
      </c>
      <c r="AF11" s="11">
        <v>44722.609722222223</v>
      </c>
      <c r="AG11" s="53"/>
      <c r="AH11" s="53" t="b">
        <f t="shared" si="1"/>
        <v>0</v>
      </c>
      <c r="AI11" s="54" t="str" cm="1">
        <f t="array" ref="AI11">TRANSPOSE(_xlfn._xlws.FILTER(images!L:L,images!F:F=Barrierenmessung!A11, ""))</f>
        <v>https://captureandgo.cloudlab.zhaw.ch/uploads/image_066789b706.jpg</v>
      </c>
      <c r="AJ11" s="2"/>
      <c r="AK11" s="2"/>
      <c r="AL11" s="2"/>
      <c r="AM11" s="2"/>
      <c r="AN11" s="2"/>
    </row>
    <row r="12" spans="1:40" ht="16" x14ac:dyDescent="0.2">
      <c r="A12" s="2" t="s">
        <v>76</v>
      </c>
      <c r="B12" s="46">
        <v>11</v>
      </c>
      <c r="C12" s="2" t="b">
        <v>0</v>
      </c>
      <c r="D12" s="2" t="b">
        <v>0</v>
      </c>
      <c r="E12" s="2" t="b">
        <v>0</v>
      </c>
      <c r="F12" s="2" t="b">
        <v>0</v>
      </c>
      <c r="G12" s="2" t="s">
        <v>31</v>
      </c>
      <c r="H12" s="2" t="s">
        <v>77</v>
      </c>
      <c r="I12" s="2" t="s">
        <v>78</v>
      </c>
      <c r="J12" s="2" t="s">
        <v>46</v>
      </c>
      <c r="K12" s="2" t="s">
        <v>35</v>
      </c>
      <c r="L12" s="2" t="s">
        <v>35</v>
      </c>
      <c r="M12" s="2" t="s">
        <v>35</v>
      </c>
      <c r="N12" s="2" t="s">
        <v>35</v>
      </c>
      <c r="O12" s="11">
        <v>44722.655207245371</v>
      </c>
      <c r="P12" s="11">
        <v>44722.655662893521</v>
      </c>
      <c r="Q12" s="27">
        <f t="shared" si="0"/>
        <v>4.556481508188881E-4</v>
      </c>
      <c r="R12" s="65">
        <f t="shared" si="2"/>
        <v>3.8880092615727335E-3</v>
      </c>
      <c r="S12" s="2">
        <v>0</v>
      </c>
      <c r="T12" s="2" t="s">
        <v>36</v>
      </c>
      <c r="U12" s="2" t="s">
        <v>37</v>
      </c>
      <c r="V12" s="2" t="s">
        <v>38</v>
      </c>
      <c r="W12" s="2" t="s">
        <v>35</v>
      </c>
      <c r="X12" s="2" t="s">
        <v>35</v>
      </c>
      <c r="Y12" s="2" t="s">
        <v>35</v>
      </c>
      <c r="Z12" s="2" t="b">
        <v>0</v>
      </c>
      <c r="AA12" s="2" t="s">
        <v>35</v>
      </c>
      <c r="AB12" s="2" t="s">
        <v>35</v>
      </c>
      <c r="AC12" s="2">
        <v>4</v>
      </c>
      <c r="AD12" s="2" t="s">
        <v>35</v>
      </c>
      <c r="AE12" s="2" t="s">
        <v>39</v>
      </c>
      <c r="AF12" s="11">
        <v>44722.609722222223</v>
      </c>
      <c r="AG12" s="53"/>
      <c r="AH12" s="53" t="b">
        <f t="shared" si="1"/>
        <v>0</v>
      </c>
      <c r="AI12" s="54" t="str" cm="1">
        <f t="array" ref="AI12">TRANSPOSE(_xlfn._xlws.FILTER(images!L:L,images!F:F=Barrierenmessung!A12, ""))</f>
        <v>https://captureandgo.cloudlab.zhaw.ch/uploads/image_4a664284f9.jpg</v>
      </c>
      <c r="AJ12" s="2"/>
      <c r="AK12" s="2"/>
      <c r="AL12" s="2"/>
      <c r="AM12" s="2"/>
      <c r="AN12" s="2"/>
    </row>
    <row r="13" spans="1:40" ht="16" x14ac:dyDescent="0.2">
      <c r="A13" s="2" t="s">
        <v>79</v>
      </c>
      <c r="B13" s="46">
        <v>12</v>
      </c>
      <c r="C13" s="2" t="b">
        <v>0</v>
      </c>
      <c r="D13" s="2" t="b">
        <v>0</v>
      </c>
      <c r="E13" s="2" t="b">
        <v>0</v>
      </c>
      <c r="F13" s="2" t="b">
        <v>0</v>
      </c>
      <c r="G13" s="2" t="s">
        <v>31</v>
      </c>
      <c r="H13" s="2" t="s">
        <v>80</v>
      </c>
      <c r="I13" s="2" t="s">
        <v>81</v>
      </c>
      <c r="J13" s="2" t="s">
        <v>82</v>
      </c>
      <c r="K13" s="2" t="s">
        <v>35</v>
      </c>
      <c r="L13" s="2" t="s">
        <v>35</v>
      </c>
      <c r="M13" s="2" t="s">
        <v>35</v>
      </c>
      <c r="N13" s="2" t="s">
        <v>35</v>
      </c>
      <c r="O13" s="11">
        <v>44722.656476574077</v>
      </c>
      <c r="P13" s="11">
        <v>44722.656920069443</v>
      </c>
      <c r="Q13" s="27">
        <f t="shared" si="0"/>
        <v>4.434953661984764E-4</v>
      </c>
      <c r="R13" s="65">
        <f t="shared" si="2"/>
        <v>1.2571759216370992E-3</v>
      </c>
      <c r="S13" s="2">
        <v>0</v>
      </c>
      <c r="T13" s="2" t="s">
        <v>36</v>
      </c>
      <c r="U13" s="2" t="s">
        <v>37</v>
      </c>
      <c r="V13" s="2" t="s">
        <v>38</v>
      </c>
      <c r="W13" s="2" t="s">
        <v>35</v>
      </c>
      <c r="X13" s="2" t="s">
        <v>35</v>
      </c>
      <c r="Y13" s="2" t="s">
        <v>35</v>
      </c>
      <c r="Z13" s="2" t="b">
        <v>0</v>
      </c>
      <c r="AA13" s="2" t="s">
        <v>35</v>
      </c>
      <c r="AB13" s="2" t="s">
        <v>35</v>
      </c>
      <c r="AC13" s="2">
        <v>5</v>
      </c>
      <c r="AD13" s="2" t="s">
        <v>35</v>
      </c>
      <c r="AE13" s="2" t="s">
        <v>39</v>
      </c>
      <c r="AF13" s="11">
        <v>44722.609722222223</v>
      </c>
      <c r="AG13" s="53"/>
      <c r="AH13" s="53" t="b">
        <f t="shared" si="1"/>
        <v>0</v>
      </c>
      <c r="AI13" s="54" t="str" cm="1">
        <f t="array" ref="AI13">TRANSPOSE(_xlfn._xlws.FILTER(images!L:L,images!F:F=Barrierenmessung!A13, ""))</f>
        <v>https://captureandgo.cloudlab.zhaw.ch/uploads/image_42412724a3.jpg</v>
      </c>
      <c r="AJ13" s="2"/>
      <c r="AK13" s="2"/>
      <c r="AL13" s="2"/>
      <c r="AM13" s="2"/>
      <c r="AN13" s="2"/>
    </row>
    <row r="14" spans="1:40" ht="16" x14ac:dyDescent="0.2">
      <c r="A14" s="2" t="s">
        <v>83</v>
      </c>
      <c r="B14" s="46">
        <v>13</v>
      </c>
      <c r="C14" s="2" t="b">
        <v>0</v>
      </c>
      <c r="D14" s="2" t="b">
        <v>0</v>
      </c>
      <c r="E14" s="2" t="b">
        <v>0</v>
      </c>
      <c r="F14" s="2" t="b">
        <v>0</v>
      </c>
      <c r="G14" s="2" t="s">
        <v>31</v>
      </c>
      <c r="H14" s="2" t="s">
        <v>84</v>
      </c>
      <c r="I14" s="2" t="s">
        <v>85</v>
      </c>
      <c r="J14" s="2" t="s">
        <v>86</v>
      </c>
      <c r="K14" s="2" t="s">
        <v>35</v>
      </c>
      <c r="L14" s="2" t="s">
        <v>35</v>
      </c>
      <c r="M14" s="2" t="s">
        <v>35</v>
      </c>
      <c r="N14" s="2" t="s">
        <v>35</v>
      </c>
      <c r="O14" s="11">
        <v>44722.658118576386</v>
      </c>
      <c r="P14" s="11">
        <v>44722.658625312499</v>
      </c>
      <c r="Q14" s="27">
        <f t="shared" si="0"/>
        <v>5.0673611258389428E-4</v>
      </c>
      <c r="R14" s="65">
        <f t="shared" si="2"/>
        <v>1.705243055766914E-3</v>
      </c>
      <c r="S14" s="2">
        <v>0</v>
      </c>
      <c r="T14" s="2" t="s">
        <v>36</v>
      </c>
      <c r="U14" s="2" t="s">
        <v>37</v>
      </c>
      <c r="V14" s="2" t="s">
        <v>38</v>
      </c>
      <c r="W14" s="2" t="s">
        <v>35</v>
      </c>
      <c r="X14" s="2" t="s">
        <v>35</v>
      </c>
      <c r="Y14" s="2" t="s">
        <v>35</v>
      </c>
      <c r="Z14" s="2" t="b">
        <v>0</v>
      </c>
      <c r="AA14" s="2" t="s">
        <v>35</v>
      </c>
      <c r="AB14" s="2" t="s">
        <v>35</v>
      </c>
      <c r="AC14" s="2">
        <v>5</v>
      </c>
      <c r="AD14" s="2" t="s">
        <v>35</v>
      </c>
      <c r="AE14" s="2" t="s">
        <v>39</v>
      </c>
      <c r="AF14" s="11">
        <v>44722.609722222223</v>
      </c>
      <c r="AG14" s="53"/>
      <c r="AH14" s="53" t="b">
        <f t="shared" si="1"/>
        <v>0</v>
      </c>
      <c r="AI14" s="54" t="str" cm="1">
        <f t="array" ref="AI14">TRANSPOSE(_xlfn._xlws.FILTER(images!L:L,images!F:F=Barrierenmessung!A14, ""))</f>
        <v>https://captureandgo.cloudlab.zhaw.ch/uploads/image_a887fcb055.jpg</v>
      </c>
      <c r="AJ14" s="2"/>
      <c r="AK14" s="2"/>
      <c r="AL14" s="2"/>
      <c r="AM14" s="2"/>
      <c r="AN14" s="2"/>
    </row>
    <row r="15" spans="1:40" ht="16" x14ac:dyDescent="0.2">
      <c r="A15" s="2" t="s">
        <v>87</v>
      </c>
      <c r="B15" s="46">
        <v>14</v>
      </c>
      <c r="C15" s="2" t="b">
        <v>0</v>
      </c>
      <c r="D15" s="2" t="b">
        <v>0</v>
      </c>
      <c r="E15" s="2" t="b">
        <v>0</v>
      </c>
      <c r="F15" s="2" t="b">
        <v>0</v>
      </c>
      <c r="G15" s="2" t="s">
        <v>31</v>
      </c>
      <c r="H15" s="2" t="s">
        <v>88</v>
      </c>
      <c r="I15" s="2" t="s">
        <v>89</v>
      </c>
      <c r="J15" s="2" t="s">
        <v>90</v>
      </c>
      <c r="K15" s="2" t="s">
        <v>35</v>
      </c>
      <c r="L15" s="2" t="s">
        <v>35</v>
      </c>
      <c r="M15" s="2" t="s">
        <v>35</v>
      </c>
      <c r="N15" s="2" t="s">
        <v>35</v>
      </c>
      <c r="O15" s="11">
        <v>44722.660198275466</v>
      </c>
      <c r="P15" s="11">
        <v>44722.660604884259</v>
      </c>
      <c r="Q15" s="27">
        <f t="shared" si="0"/>
        <v>4.0660879312781617E-4</v>
      </c>
      <c r="R15" s="65">
        <f t="shared" si="2"/>
        <v>1.9795717598753981E-3</v>
      </c>
      <c r="S15" s="2">
        <v>0</v>
      </c>
      <c r="T15" s="2" t="s">
        <v>36</v>
      </c>
      <c r="U15" s="2" t="s">
        <v>37</v>
      </c>
      <c r="V15" s="2" t="s">
        <v>38</v>
      </c>
      <c r="W15" s="2" t="s">
        <v>35</v>
      </c>
      <c r="X15" s="2" t="s">
        <v>35</v>
      </c>
      <c r="Y15" s="2" t="s">
        <v>35</v>
      </c>
      <c r="Z15" s="2" t="b">
        <v>0</v>
      </c>
      <c r="AA15" s="2" t="s">
        <v>35</v>
      </c>
      <c r="AB15" s="2" t="s">
        <v>35</v>
      </c>
      <c r="AC15" s="2" t="s">
        <v>35</v>
      </c>
      <c r="AD15" s="2">
        <v>5</v>
      </c>
      <c r="AE15" s="2" t="s">
        <v>39</v>
      </c>
      <c r="AF15" s="11">
        <v>44722.609722222223</v>
      </c>
      <c r="AG15" s="53"/>
      <c r="AH15" s="53" t="b">
        <f t="shared" si="1"/>
        <v>0</v>
      </c>
      <c r="AI15" s="54" t="str" cm="1">
        <f t="array" ref="AI15">TRANSPOSE(_xlfn._xlws.FILTER(images!L:L,images!F:F=Barrierenmessung!A15, ""))</f>
        <v>https://captureandgo.cloudlab.zhaw.ch/uploads/image_d473243d5e.jpg</v>
      </c>
      <c r="AJ15" s="2"/>
      <c r="AK15" s="2"/>
      <c r="AL15" s="2"/>
      <c r="AM15" s="2"/>
      <c r="AN15" s="2"/>
    </row>
    <row r="16" spans="1:40" ht="16" x14ac:dyDescent="0.2">
      <c r="A16" s="2" t="s">
        <v>91</v>
      </c>
      <c r="B16" s="46">
        <v>15</v>
      </c>
      <c r="C16" s="2" t="b">
        <v>0</v>
      </c>
      <c r="D16" s="2" t="b">
        <v>0</v>
      </c>
      <c r="E16" s="2" t="b">
        <v>0</v>
      </c>
      <c r="F16" s="2" t="b">
        <v>0</v>
      </c>
      <c r="G16" s="2" t="s">
        <v>31</v>
      </c>
      <c r="H16" s="2" t="s">
        <v>92</v>
      </c>
      <c r="I16" s="2" t="s">
        <v>93</v>
      </c>
      <c r="J16" s="2" t="s">
        <v>82</v>
      </c>
      <c r="K16" s="2" t="s">
        <v>35</v>
      </c>
      <c r="L16" s="2" t="s">
        <v>35</v>
      </c>
      <c r="M16" s="2" t="s">
        <v>35</v>
      </c>
      <c r="N16" s="2" t="s">
        <v>35</v>
      </c>
      <c r="O16" s="11">
        <v>44722.663981446756</v>
      </c>
      <c r="P16" s="11">
        <v>44722.664556006945</v>
      </c>
      <c r="Q16" s="27">
        <f t="shared" si="0"/>
        <v>5.745601883972995E-4</v>
      </c>
      <c r="R16" s="65">
        <f t="shared" si="2"/>
        <v>3.9511226859758608E-3</v>
      </c>
      <c r="S16" s="2">
        <v>0</v>
      </c>
      <c r="T16" s="2" t="s">
        <v>36</v>
      </c>
      <c r="U16" s="2" t="s">
        <v>37</v>
      </c>
      <c r="V16" s="2" t="s">
        <v>38</v>
      </c>
      <c r="W16" s="2" t="s">
        <v>35</v>
      </c>
      <c r="X16" s="2" t="s">
        <v>35</v>
      </c>
      <c r="Y16" s="2" t="s">
        <v>35</v>
      </c>
      <c r="Z16" s="2" t="b">
        <v>0</v>
      </c>
      <c r="AA16" s="2" t="s">
        <v>35</v>
      </c>
      <c r="AB16" s="2" t="s">
        <v>35</v>
      </c>
      <c r="AC16" s="2">
        <v>6</v>
      </c>
      <c r="AD16" s="2" t="s">
        <v>35</v>
      </c>
      <c r="AE16" s="2" t="s">
        <v>39</v>
      </c>
      <c r="AF16" s="11">
        <v>44722.609722222223</v>
      </c>
      <c r="AG16" s="53"/>
      <c r="AH16" s="53" t="b">
        <f t="shared" si="1"/>
        <v>0</v>
      </c>
      <c r="AI16" s="54" t="str" cm="1">
        <f t="array" ref="AI16:AK16">TRANSPOSE(_xlfn._xlws.FILTER(images!L:L,images!F:F=Barrierenmessung!A16, ""))</f>
        <v>https://captureandgo.cloudlab.zhaw.ch/uploads/image_00c9f6d3ad.jpg</v>
      </c>
      <c r="AJ16" s="2" t="str">
        <v>https://captureandgo.cloudlab.zhaw.ch/uploads/image_3a6a3c84e7.jpg</v>
      </c>
      <c r="AK16" s="2" t="str">
        <v>https://captureandgo.cloudlab.zhaw.ch/uploads/image_a3e7accf1f.jpg</v>
      </c>
      <c r="AL16" s="2"/>
      <c r="AM16" s="2"/>
      <c r="AN16" s="2"/>
    </row>
    <row r="17" spans="1:40" ht="16" x14ac:dyDescent="0.2">
      <c r="A17" s="2" t="s">
        <v>94</v>
      </c>
      <c r="B17" s="46">
        <v>16</v>
      </c>
      <c r="C17" s="2" t="b">
        <v>0</v>
      </c>
      <c r="D17" s="2" t="b">
        <v>0</v>
      </c>
      <c r="E17" s="2" t="b">
        <v>0</v>
      </c>
      <c r="F17" s="2" t="b">
        <v>0</v>
      </c>
      <c r="G17" s="2" t="s">
        <v>31</v>
      </c>
      <c r="H17" s="2" t="s">
        <v>95</v>
      </c>
      <c r="I17" s="2" t="s">
        <v>96</v>
      </c>
      <c r="J17" s="2" t="s">
        <v>75</v>
      </c>
      <c r="K17" s="2" t="s">
        <v>35</v>
      </c>
      <c r="L17" s="2" t="s">
        <v>35</v>
      </c>
      <c r="M17" s="2" t="s">
        <v>35</v>
      </c>
      <c r="N17" s="2" t="s">
        <v>35</v>
      </c>
      <c r="O17" s="11">
        <v>44722.665397175922</v>
      </c>
      <c r="P17" s="11">
        <v>44722.665895127313</v>
      </c>
      <c r="Q17" s="27">
        <f t="shared" si="0"/>
        <v>4.9795139057096094E-4</v>
      </c>
      <c r="R17" s="65">
        <f t="shared" si="2"/>
        <v>1.3391203683568165E-3</v>
      </c>
      <c r="S17" s="2">
        <v>0</v>
      </c>
      <c r="T17" s="2" t="s">
        <v>36</v>
      </c>
      <c r="U17" s="2" t="s">
        <v>37</v>
      </c>
      <c r="V17" s="2" t="s">
        <v>38</v>
      </c>
      <c r="W17" s="2" t="s">
        <v>35</v>
      </c>
      <c r="X17" s="2" t="s">
        <v>35</v>
      </c>
      <c r="Y17" s="2" t="s">
        <v>35</v>
      </c>
      <c r="Z17" s="2" t="b">
        <v>0</v>
      </c>
      <c r="AA17" s="2" t="s">
        <v>35</v>
      </c>
      <c r="AB17" s="2" t="s">
        <v>35</v>
      </c>
      <c r="AC17" s="2">
        <v>4</v>
      </c>
      <c r="AD17" s="2" t="s">
        <v>35</v>
      </c>
      <c r="AE17" s="2" t="s">
        <v>39</v>
      </c>
      <c r="AF17" s="11">
        <v>44722.609722222223</v>
      </c>
      <c r="AG17" s="53"/>
      <c r="AH17" s="53" t="b">
        <f t="shared" si="1"/>
        <v>0</v>
      </c>
      <c r="AI17" s="54" t="str" cm="1">
        <f t="array" ref="AI17">TRANSPOSE(_xlfn._xlws.FILTER(images!L:L,images!F:F=Barrierenmessung!A17, ""))</f>
        <v>https://captureandgo.cloudlab.zhaw.ch/uploads/image_675e0592f7.jpg</v>
      </c>
      <c r="AJ17" s="2"/>
      <c r="AK17" s="2"/>
      <c r="AL17" s="2"/>
      <c r="AM17" s="2"/>
      <c r="AN17" s="2"/>
    </row>
    <row r="18" spans="1:40" ht="16" x14ac:dyDescent="0.2">
      <c r="A18" s="31" t="s">
        <v>97</v>
      </c>
      <c r="B18" s="31">
        <v>17</v>
      </c>
      <c r="C18" s="31" t="b">
        <v>0</v>
      </c>
      <c r="D18" s="31" t="b">
        <v>0</v>
      </c>
      <c r="E18" s="31" t="b">
        <v>0</v>
      </c>
      <c r="F18" s="31" t="b">
        <v>0</v>
      </c>
      <c r="G18" s="31" t="s">
        <v>31</v>
      </c>
      <c r="H18" s="31" t="s">
        <v>98</v>
      </c>
      <c r="I18" s="31" t="s">
        <v>99</v>
      </c>
      <c r="J18" s="31" t="s">
        <v>35</v>
      </c>
      <c r="K18" s="31" t="s">
        <v>35</v>
      </c>
      <c r="L18" s="31" t="s">
        <v>35</v>
      </c>
      <c r="M18" s="31" t="s">
        <v>35</v>
      </c>
      <c r="N18" s="31" t="s">
        <v>35</v>
      </c>
      <c r="O18" s="32">
        <v>44722.673215590279</v>
      </c>
      <c r="P18" s="32">
        <v>44722.67428175926</v>
      </c>
      <c r="Q18" s="30">
        <f t="shared" si="0"/>
        <v>1.0661689811968245E-3</v>
      </c>
      <c r="R18" s="30">
        <f t="shared" si="2"/>
        <v>8.3866319473600015E-3</v>
      </c>
      <c r="S18" s="31">
        <v>0</v>
      </c>
      <c r="T18" s="31" t="s">
        <v>100</v>
      </c>
      <c r="U18" s="31" t="s">
        <v>101</v>
      </c>
      <c r="V18" s="31" t="s">
        <v>38</v>
      </c>
      <c r="W18" s="31" t="s">
        <v>35</v>
      </c>
      <c r="X18" s="31">
        <v>94</v>
      </c>
      <c r="Y18" s="31" t="s">
        <v>35</v>
      </c>
      <c r="Z18" s="31" t="b">
        <v>0</v>
      </c>
      <c r="AA18" s="31" t="s">
        <v>35</v>
      </c>
      <c r="AB18" s="31" t="s">
        <v>35</v>
      </c>
      <c r="AC18" s="31" t="s">
        <v>35</v>
      </c>
      <c r="AD18" s="31" t="s">
        <v>35</v>
      </c>
      <c r="AE18" s="31" t="s">
        <v>39</v>
      </c>
      <c r="AF18" s="32">
        <v>44722.609722222223</v>
      </c>
      <c r="AG18" s="55" t="s">
        <v>9408</v>
      </c>
      <c r="AH18" s="55" t="b">
        <f t="shared" si="1"/>
        <v>0</v>
      </c>
      <c r="AI18" s="62" t="str" cm="1">
        <f t="array" ref="AI18">TRANSPOSE(_xlfn._xlws.FILTER(images!L:L,images!F:F=Barrierenmessung!A18, ""))</f>
        <v>https://captureandgo.cloudlab.zhaw.ch/uploads/image_cefb1ee2ed.jpg</v>
      </c>
      <c r="AJ18" s="31"/>
      <c r="AK18" s="31"/>
      <c r="AL18" s="31"/>
      <c r="AM18" s="31"/>
      <c r="AN18" s="31"/>
    </row>
    <row r="19" spans="1:40" ht="16" x14ac:dyDescent="0.2">
      <c r="A19" s="2" t="s">
        <v>102</v>
      </c>
      <c r="B19" s="46">
        <v>18</v>
      </c>
      <c r="C19" s="2" t="b">
        <v>0</v>
      </c>
      <c r="D19" s="2" t="b">
        <v>0</v>
      </c>
      <c r="E19" s="2" t="b">
        <v>0</v>
      </c>
      <c r="F19" s="2" t="b">
        <v>0</v>
      </c>
      <c r="G19" s="2" t="s">
        <v>31</v>
      </c>
      <c r="H19" s="2" t="s">
        <v>103</v>
      </c>
      <c r="I19" s="2" t="s">
        <v>104</v>
      </c>
      <c r="J19" s="2" t="s">
        <v>90</v>
      </c>
      <c r="K19" s="2" t="s">
        <v>35</v>
      </c>
      <c r="L19" s="2" t="s">
        <v>35</v>
      </c>
      <c r="M19" s="2" t="s">
        <v>35</v>
      </c>
      <c r="N19" s="2" t="s">
        <v>35</v>
      </c>
      <c r="O19" s="11">
        <v>44722.679575405091</v>
      </c>
      <c r="P19" s="11">
        <v>44722.679849224536</v>
      </c>
      <c r="Q19" s="27">
        <f t="shared" si="0"/>
        <v>2.7381944528315216E-4</v>
      </c>
      <c r="R19" s="65">
        <f t="shared" si="2"/>
        <v>5.5674652758170851E-3</v>
      </c>
      <c r="S19" s="2">
        <v>0</v>
      </c>
      <c r="T19" s="2" t="s">
        <v>36</v>
      </c>
      <c r="U19" s="2" t="s">
        <v>37</v>
      </c>
      <c r="V19" s="2" t="s">
        <v>38</v>
      </c>
      <c r="W19" s="2" t="s">
        <v>35</v>
      </c>
      <c r="X19" s="2" t="s">
        <v>35</v>
      </c>
      <c r="Y19" s="2" t="s">
        <v>35</v>
      </c>
      <c r="Z19" s="2" t="b">
        <v>0</v>
      </c>
      <c r="AA19" s="2" t="s">
        <v>35</v>
      </c>
      <c r="AB19" s="2" t="s">
        <v>35</v>
      </c>
      <c r="AC19" s="2" t="s">
        <v>35</v>
      </c>
      <c r="AD19" s="2">
        <v>4</v>
      </c>
      <c r="AE19" s="2" t="s">
        <v>39</v>
      </c>
      <c r="AF19" s="11">
        <v>44722.609722222223</v>
      </c>
      <c r="AG19" s="53"/>
      <c r="AH19" s="53" t="b">
        <f t="shared" si="1"/>
        <v>0</v>
      </c>
      <c r="AI19" s="54" t="str" cm="1">
        <f t="array" ref="AI19">TRANSPOSE(_xlfn._xlws.FILTER(images!L:L,images!F:F=Barrierenmessung!A19, ""))</f>
        <v>https://captureandgo.cloudlab.zhaw.ch/uploads/image_eff5c5269f.jpg</v>
      </c>
      <c r="AJ19" s="2"/>
      <c r="AK19" s="2"/>
      <c r="AL19" s="2"/>
      <c r="AM19" s="2"/>
      <c r="AN19" s="2"/>
    </row>
    <row r="20" spans="1:40" ht="16" x14ac:dyDescent="0.2">
      <c r="A20" s="31" t="s">
        <v>105</v>
      </c>
      <c r="B20" s="31">
        <v>19</v>
      </c>
      <c r="C20" s="31" t="b">
        <v>0</v>
      </c>
      <c r="D20" s="31" t="b">
        <v>0</v>
      </c>
      <c r="E20" s="31" t="b">
        <v>0</v>
      </c>
      <c r="F20" s="31" t="b">
        <v>0</v>
      </c>
      <c r="G20" s="31" t="s">
        <v>31</v>
      </c>
      <c r="H20" s="31" t="s">
        <v>106</v>
      </c>
      <c r="I20" s="31" t="s">
        <v>107</v>
      </c>
      <c r="J20" s="31" t="s">
        <v>108</v>
      </c>
      <c r="K20" s="31" t="s">
        <v>35</v>
      </c>
      <c r="L20" s="31" t="s">
        <v>35</v>
      </c>
      <c r="M20" s="31" t="s">
        <v>35</v>
      </c>
      <c r="N20" s="31" t="s">
        <v>35</v>
      </c>
      <c r="O20" s="32">
        <v>44722.686140821759</v>
      </c>
      <c r="P20" s="32">
        <v>44722.686877743057</v>
      </c>
      <c r="Q20" s="30">
        <f t="shared" si="0"/>
        <v>7.3692129808478057E-4</v>
      </c>
      <c r="R20" s="30">
        <f t="shared" si="2"/>
        <v>7.0285185211105272E-3</v>
      </c>
      <c r="S20" s="31">
        <v>0</v>
      </c>
      <c r="T20" s="31" t="s">
        <v>109</v>
      </c>
      <c r="U20" s="31" t="s">
        <v>110</v>
      </c>
      <c r="V20" s="31" t="s">
        <v>38</v>
      </c>
      <c r="W20" s="31" t="s">
        <v>35</v>
      </c>
      <c r="X20" s="31">
        <v>100</v>
      </c>
      <c r="Y20" s="31" t="s">
        <v>35</v>
      </c>
      <c r="Z20" s="31" t="b">
        <v>0</v>
      </c>
      <c r="AA20" s="31" t="s">
        <v>35</v>
      </c>
      <c r="AB20" s="31" t="s">
        <v>35</v>
      </c>
      <c r="AC20" s="31" t="s">
        <v>35</v>
      </c>
      <c r="AD20" s="31" t="s">
        <v>35</v>
      </c>
      <c r="AE20" s="31" t="s">
        <v>39</v>
      </c>
      <c r="AF20" s="32">
        <v>44722.609722222223</v>
      </c>
      <c r="AG20" s="55"/>
      <c r="AH20" s="55" t="b">
        <f t="shared" si="1"/>
        <v>0</v>
      </c>
      <c r="AI20" s="62" t="str" cm="1">
        <f t="array" ref="AI20">TRANSPOSE(_xlfn._xlws.FILTER(images!L:L,images!F:F=Barrierenmessung!A20, ""))</f>
        <v>https://captureandgo.cloudlab.zhaw.ch/uploads/image_c99d485fbc.jpg</v>
      </c>
      <c r="AJ20" s="31"/>
      <c r="AK20" s="31"/>
      <c r="AL20" s="31"/>
      <c r="AM20" s="31"/>
      <c r="AN20" s="31"/>
    </row>
    <row r="21" spans="1:40" ht="80" x14ac:dyDescent="0.2">
      <c r="A21" s="2" t="s">
        <v>111</v>
      </c>
      <c r="B21" s="46">
        <v>20</v>
      </c>
      <c r="C21" s="2" t="b">
        <v>0</v>
      </c>
      <c r="D21" s="2" t="b">
        <v>0</v>
      </c>
      <c r="E21" s="2" t="b">
        <v>0</v>
      </c>
      <c r="F21" s="2" t="b">
        <v>0</v>
      </c>
      <c r="G21" s="2" t="s">
        <v>31</v>
      </c>
      <c r="H21" s="2" t="s">
        <v>112</v>
      </c>
      <c r="I21" s="2" t="s">
        <v>113</v>
      </c>
      <c r="J21" s="2" t="s">
        <v>114</v>
      </c>
      <c r="K21" s="2" t="s">
        <v>35</v>
      </c>
      <c r="L21" s="2" t="s">
        <v>35</v>
      </c>
      <c r="M21" s="2" t="s">
        <v>35</v>
      </c>
      <c r="N21" s="2" t="s">
        <v>35</v>
      </c>
      <c r="O21" s="11">
        <v>44725.660694247686</v>
      </c>
      <c r="P21" s="11">
        <v>44725.660916736109</v>
      </c>
      <c r="Q21" s="27">
        <f t="shared" si="0"/>
        <v>2.2248842287808657E-4</v>
      </c>
      <c r="R21" s="65">
        <f t="shared" si="2"/>
        <v>6.7500694422051311E-3</v>
      </c>
      <c r="S21" s="2">
        <v>0</v>
      </c>
      <c r="T21" s="2" t="s">
        <v>109</v>
      </c>
      <c r="U21" s="2" t="s">
        <v>110</v>
      </c>
      <c r="V21" s="2" t="s">
        <v>38</v>
      </c>
      <c r="W21" s="2" t="s">
        <v>35</v>
      </c>
      <c r="X21" s="2">
        <v>0</v>
      </c>
      <c r="Y21" s="2" t="s">
        <v>35</v>
      </c>
      <c r="Z21" s="2" t="b">
        <v>0</v>
      </c>
      <c r="AA21" s="2" t="s">
        <v>35</v>
      </c>
      <c r="AB21" s="2" t="s">
        <v>35</v>
      </c>
      <c r="AC21" s="2" t="s">
        <v>35</v>
      </c>
      <c r="AD21" s="2" t="s">
        <v>35</v>
      </c>
      <c r="AE21" s="2" t="s">
        <v>115</v>
      </c>
      <c r="AF21" s="11">
        <v>44725.654166666667</v>
      </c>
      <c r="AG21" s="53" t="s">
        <v>9412</v>
      </c>
      <c r="AH21" s="53" t="b">
        <f t="shared" si="1"/>
        <v>0</v>
      </c>
      <c r="AI21" s="54" t="str" cm="1">
        <f t="array" ref="AI21">TRANSPOSE(_xlfn._xlws.FILTER(images!L:L,images!F:F=Barrierenmessung!A21, ""))</f>
        <v>https://captureandgo.cloudlab.zhaw.ch/uploads/image_fab5f899eb.jpg</v>
      </c>
      <c r="AJ21" s="2"/>
      <c r="AK21" s="2"/>
      <c r="AL21" s="2"/>
      <c r="AM21" s="2"/>
      <c r="AN21" s="2"/>
    </row>
    <row r="22" spans="1:40" ht="16" x14ac:dyDescent="0.2">
      <c r="A22" s="2" t="s">
        <v>116</v>
      </c>
      <c r="B22" s="46">
        <v>21</v>
      </c>
      <c r="C22" s="2" t="b">
        <v>0</v>
      </c>
      <c r="D22" s="2" t="b">
        <v>0</v>
      </c>
      <c r="E22" s="2" t="b">
        <v>0</v>
      </c>
      <c r="F22" s="2" t="b">
        <v>0</v>
      </c>
      <c r="G22" s="2" t="s">
        <v>31</v>
      </c>
      <c r="H22" s="2" t="s">
        <v>117</v>
      </c>
      <c r="I22" s="2" t="s">
        <v>118</v>
      </c>
      <c r="J22" s="2" t="s">
        <v>119</v>
      </c>
      <c r="K22" s="2" t="s">
        <v>35</v>
      </c>
      <c r="L22" s="2" t="s">
        <v>35</v>
      </c>
      <c r="M22" s="2" t="s">
        <v>35</v>
      </c>
      <c r="N22" s="2" t="s">
        <v>35</v>
      </c>
      <c r="O22" s="11">
        <v>44725.662370381942</v>
      </c>
      <c r="P22" s="11">
        <v>44725.662850092594</v>
      </c>
      <c r="Q22" s="27">
        <f t="shared" si="0"/>
        <v>4.7971065214369446E-4</v>
      </c>
      <c r="R22" s="65">
        <f t="shared" si="2"/>
        <v>1.9333564850967377E-3</v>
      </c>
      <c r="S22" s="2">
        <v>0</v>
      </c>
      <c r="T22" s="2" t="s">
        <v>109</v>
      </c>
      <c r="U22" s="2" t="s">
        <v>110</v>
      </c>
      <c r="V22" s="2" t="s">
        <v>38</v>
      </c>
      <c r="W22" s="2" t="s">
        <v>35</v>
      </c>
      <c r="X22" s="2">
        <v>0</v>
      </c>
      <c r="Y22" s="2" t="s">
        <v>35</v>
      </c>
      <c r="Z22" s="2" t="b">
        <v>0</v>
      </c>
      <c r="AA22" s="2" t="s">
        <v>35</v>
      </c>
      <c r="AB22" s="2" t="s">
        <v>35</v>
      </c>
      <c r="AC22" s="2" t="s">
        <v>35</v>
      </c>
      <c r="AD22" s="2" t="s">
        <v>35</v>
      </c>
      <c r="AE22" s="2" t="s">
        <v>115</v>
      </c>
      <c r="AF22" s="11">
        <v>44725.654166666667</v>
      </c>
      <c r="AG22" s="53"/>
      <c r="AH22" s="53" t="b">
        <f t="shared" si="1"/>
        <v>0</v>
      </c>
      <c r="AI22" s="54" t="str" cm="1">
        <f t="array" ref="AI22">TRANSPOSE(_xlfn._xlws.FILTER(images!L:L,images!F:F=Barrierenmessung!A22, ""))</f>
        <v>https://captureandgo.cloudlab.zhaw.ch/uploads/image_cdbcb30da0.jpg</v>
      </c>
      <c r="AJ22" s="2"/>
      <c r="AK22" s="2"/>
      <c r="AL22" s="2"/>
      <c r="AM22" s="2"/>
      <c r="AN22" s="2"/>
    </row>
    <row r="23" spans="1:40" ht="16" x14ac:dyDescent="0.2">
      <c r="A23" s="2" t="s">
        <v>120</v>
      </c>
      <c r="B23" s="46">
        <v>22</v>
      </c>
      <c r="C23" s="2" t="b">
        <v>0</v>
      </c>
      <c r="D23" s="2" t="b">
        <v>0</v>
      </c>
      <c r="E23" s="2" t="b">
        <v>0</v>
      </c>
      <c r="F23" s="2" t="b">
        <v>0</v>
      </c>
      <c r="G23" s="2" t="s">
        <v>121</v>
      </c>
      <c r="H23" s="2" t="s">
        <v>122</v>
      </c>
      <c r="I23" s="2" t="s">
        <v>123</v>
      </c>
      <c r="J23" s="2" t="s">
        <v>35</v>
      </c>
      <c r="K23" s="2" t="s">
        <v>35</v>
      </c>
      <c r="L23" s="2" t="s">
        <v>35</v>
      </c>
      <c r="M23" s="2" t="s">
        <v>35</v>
      </c>
      <c r="N23" s="2" t="s">
        <v>35</v>
      </c>
      <c r="O23" s="11">
        <v>44725.665856712963</v>
      </c>
      <c r="P23" s="11">
        <v>44725.665988773151</v>
      </c>
      <c r="Q23" s="27">
        <f t="shared" si="0"/>
        <v>1.3206018775235862E-4</v>
      </c>
      <c r="R23" s="65">
        <f t="shared" si="2"/>
        <v>3.1386805567308329E-3</v>
      </c>
      <c r="S23" s="2">
        <v>0</v>
      </c>
      <c r="T23" s="2" t="s">
        <v>124</v>
      </c>
      <c r="U23" s="2" t="s">
        <v>125</v>
      </c>
      <c r="V23" s="2" t="s">
        <v>38</v>
      </c>
      <c r="W23" s="2" t="s">
        <v>35</v>
      </c>
      <c r="X23" s="2" t="s">
        <v>35</v>
      </c>
      <c r="Y23" s="2" t="s">
        <v>35</v>
      </c>
      <c r="Z23" s="2" t="b">
        <v>0</v>
      </c>
      <c r="AA23" s="2" t="s">
        <v>35</v>
      </c>
      <c r="AB23" s="2" t="s">
        <v>35</v>
      </c>
      <c r="AC23" s="2" t="s">
        <v>35</v>
      </c>
      <c r="AD23" s="2" t="s">
        <v>35</v>
      </c>
      <c r="AE23" s="2" t="s">
        <v>115</v>
      </c>
      <c r="AF23" s="11">
        <v>44725.654166666667</v>
      </c>
      <c r="AG23" s="53"/>
      <c r="AH23" s="53" t="b">
        <f t="shared" si="1"/>
        <v>0</v>
      </c>
      <c r="AI23" s="54" t="str" cm="1">
        <f t="array" ref="AI23">TRANSPOSE(_xlfn._xlws.FILTER(images!L:L,images!F:F=Barrierenmessung!A23, ""))</f>
        <v>https://captureandgo.cloudlab.zhaw.ch/uploads/image_7db5bb5de1.jpg</v>
      </c>
      <c r="AJ23" s="2"/>
      <c r="AK23" s="2"/>
      <c r="AL23" s="2"/>
      <c r="AM23" s="2"/>
      <c r="AN23" s="2"/>
    </row>
    <row r="24" spans="1:40" ht="16" x14ac:dyDescent="0.2">
      <c r="A24" s="2" t="s">
        <v>126</v>
      </c>
      <c r="B24" s="46">
        <v>23</v>
      </c>
      <c r="C24" s="2" t="b">
        <v>0</v>
      </c>
      <c r="D24" s="2" t="b">
        <v>0</v>
      </c>
      <c r="E24" s="2" t="b">
        <v>0</v>
      </c>
      <c r="F24" s="2" t="b">
        <v>0</v>
      </c>
      <c r="G24" s="2" t="s">
        <v>31</v>
      </c>
      <c r="H24" s="2" t="s">
        <v>127</v>
      </c>
      <c r="I24" s="2" t="s">
        <v>128</v>
      </c>
      <c r="J24" s="2" t="s">
        <v>90</v>
      </c>
      <c r="K24" s="2" t="s">
        <v>35</v>
      </c>
      <c r="L24" s="2" t="s">
        <v>35</v>
      </c>
      <c r="M24" s="2" t="s">
        <v>35</v>
      </c>
      <c r="N24" s="2" t="s">
        <v>35</v>
      </c>
      <c r="O24" s="11">
        <v>44725.671097962964</v>
      </c>
      <c r="P24" s="11">
        <v>44725.671408912036</v>
      </c>
      <c r="Q24" s="27">
        <f t="shared" si="0"/>
        <v>3.1094907171791419E-4</v>
      </c>
      <c r="R24" s="65">
        <f t="shared" si="2"/>
        <v>5.4201388848014176E-3</v>
      </c>
      <c r="S24" s="2">
        <v>0</v>
      </c>
      <c r="T24" s="2" t="s">
        <v>36</v>
      </c>
      <c r="U24" s="2" t="s">
        <v>37</v>
      </c>
      <c r="V24" s="2" t="s">
        <v>38</v>
      </c>
      <c r="W24" s="2" t="s">
        <v>35</v>
      </c>
      <c r="X24" s="2" t="s">
        <v>35</v>
      </c>
      <c r="Y24" s="2" t="s">
        <v>35</v>
      </c>
      <c r="Z24" s="2" t="b">
        <v>0</v>
      </c>
      <c r="AA24" s="2" t="s">
        <v>35</v>
      </c>
      <c r="AB24" s="2" t="s">
        <v>35</v>
      </c>
      <c r="AC24" s="2" t="s">
        <v>35</v>
      </c>
      <c r="AD24" s="2">
        <v>4</v>
      </c>
      <c r="AE24" s="2" t="s">
        <v>115</v>
      </c>
      <c r="AF24" s="11">
        <v>44725.654166666667</v>
      </c>
      <c r="AG24" s="53"/>
      <c r="AH24" s="53" t="b">
        <f t="shared" si="1"/>
        <v>0</v>
      </c>
      <c r="AI24" s="54" t="str" cm="1">
        <f t="array" ref="AI24">TRANSPOSE(_xlfn._xlws.FILTER(images!L:L,images!F:F=Barrierenmessung!A24, ""))</f>
        <v>https://captureandgo.cloudlab.zhaw.ch/uploads/image_37fbf7ac3c.jpg</v>
      </c>
      <c r="AJ24" s="2"/>
      <c r="AK24" s="2"/>
      <c r="AL24" s="2"/>
      <c r="AM24" s="2"/>
      <c r="AN24" s="2"/>
    </row>
    <row r="25" spans="1:40" ht="16" x14ac:dyDescent="0.2">
      <c r="A25" s="2" t="s">
        <v>129</v>
      </c>
      <c r="B25" s="46">
        <v>24</v>
      </c>
      <c r="C25" s="2" t="b">
        <v>0</v>
      </c>
      <c r="D25" s="2" t="b">
        <v>0</v>
      </c>
      <c r="E25" s="2" t="b">
        <v>0</v>
      </c>
      <c r="F25" s="2" t="b">
        <v>0</v>
      </c>
      <c r="G25" s="2" t="s">
        <v>31</v>
      </c>
      <c r="H25" s="2" t="s">
        <v>130</v>
      </c>
      <c r="I25" s="2" t="s">
        <v>131</v>
      </c>
      <c r="J25" s="2" t="s">
        <v>90</v>
      </c>
      <c r="K25" s="2" t="s">
        <v>35</v>
      </c>
      <c r="L25" s="2" t="s">
        <v>35</v>
      </c>
      <c r="M25" s="2" t="s">
        <v>35</v>
      </c>
      <c r="N25" s="2" t="s">
        <v>35</v>
      </c>
      <c r="O25" s="11">
        <v>44725.673547500002</v>
      </c>
      <c r="P25" s="11">
        <v>44725.674455960645</v>
      </c>
      <c r="Q25" s="27">
        <f t="shared" si="0"/>
        <v>9.0846064267680049E-4</v>
      </c>
      <c r="R25" s="65">
        <f t="shared" si="2"/>
        <v>3.0470486090052873E-3</v>
      </c>
      <c r="S25" s="2">
        <v>0</v>
      </c>
      <c r="T25" s="2" t="s">
        <v>36</v>
      </c>
      <c r="U25" s="2" t="s">
        <v>37</v>
      </c>
      <c r="V25" s="2" t="s">
        <v>38</v>
      </c>
      <c r="W25" s="2" t="s">
        <v>35</v>
      </c>
      <c r="X25" s="2" t="s">
        <v>35</v>
      </c>
      <c r="Y25" s="2" t="s">
        <v>35</v>
      </c>
      <c r="Z25" s="2" t="b">
        <v>0</v>
      </c>
      <c r="AA25" s="2" t="s">
        <v>35</v>
      </c>
      <c r="AB25" s="2" t="s">
        <v>35</v>
      </c>
      <c r="AC25" s="2" t="s">
        <v>35</v>
      </c>
      <c r="AD25" s="2">
        <v>6</v>
      </c>
      <c r="AE25" s="2" t="s">
        <v>115</v>
      </c>
      <c r="AF25" s="11">
        <v>44725.654166666667</v>
      </c>
      <c r="AG25" s="53"/>
      <c r="AH25" s="53" t="b">
        <f t="shared" si="1"/>
        <v>0</v>
      </c>
      <c r="AI25" s="54" t="str" cm="1">
        <f t="array" ref="AI25">TRANSPOSE(_xlfn._xlws.FILTER(images!L:L,images!F:F=Barrierenmessung!A25, ""))</f>
        <v>https://captureandgo.cloudlab.zhaw.ch/uploads/image_79d75f713b.jpg</v>
      </c>
      <c r="AJ25" s="2"/>
      <c r="AK25" s="2"/>
      <c r="AL25" s="2"/>
      <c r="AM25" s="2"/>
      <c r="AN25" s="2"/>
    </row>
    <row r="26" spans="1:40" ht="16" x14ac:dyDescent="0.2">
      <c r="A26" s="2" t="s">
        <v>132</v>
      </c>
      <c r="B26" s="46">
        <v>25</v>
      </c>
      <c r="C26" s="2" t="b">
        <v>0</v>
      </c>
      <c r="D26" s="2" t="b">
        <v>0</v>
      </c>
      <c r="E26" s="2" t="b">
        <v>0</v>
      </c>
      <c r="F26" s="2" t="b">
        <v>0</v>
      </c>
      <c r="G26" s="2" t="s">
        <v>31</v>
      </c>
      <c r="H26" s="2" t="s">
        <v>133</v>
      </c>
      <c r="I26" s="2" t="s">
        <v>134</v>
      </c>
      <c r="J26" s="2" t="s">
        <v>135</v>
      </c>
      <c r="K26" s="2" t="s">
        <v>35</v>
      </c>
      <c r="L26" s="2" t="s">
        <v>35</v>
      </c>
      <c r="M26" s="2" t="s">
        <v>35</v>
      </c>
      <c r="N26" s="2" t="s">
        <v>35</v>
      </c>
      <c r="O26" s="11">
        <v>44725.67726355324</v>
      </c>
      <c r="P26" s="11">
        <v>44725.677634375003</v>
      </c>
      <c r="Q26" s="27">
        <f t="shared" si="0"/>
        <v>3.7082176277181134E-4</v>
      </c>
      <c r="R26" s="65">
        <f t="shared" si="2"/>
        <v>3.1784143575350754E-3</v>
      </c>
      <c r="S26" s="2">
        <v>0</v>
      </c>
      <c r="T26" s="2" t="s">
        <v>36</v>
      </c>
      <c r="U26" s="2" t="s">
        <v>37</v>
      </c>
      <c r="V26" s="2" t="s">
        <v>38</v>
      </c>
      <c r="W26" s="2" t="s">
        <v>35</v>
      </c>
      <c r="X26" s="2" t="s">
        <v>35</v>
      </c>
      <c r="Y26" s="2" t="s">
        <v>35</v>
      </c>
      <c r="Z26" s="2" t="b">
        <v>0</v>
      </c>
      <c r="AA26" s="2" t="s">
        <v>35</v>
      </c>
      <c r="AB26" s="2" t="s">
        <v>35</v>
      </c>
      <c r="AC26" s="2">
        <v>5</v>
      </c>
      <c r="AD26" s="2" t="s">
        <v>35</v>
      </c>
      <c r="AE26" s="2" t="s">
        <v>115</v>
      </c>
      <c r="AF26" s="11">
        <v>44725.654166666667</v>
      </c>
      <c r="AG26" s="53"/>
      <c r="AH26" s="53" t="b">
        <f t="shared" si="1"/>
        <v>0</v>
      </c>
      <c r="AI26" s="54" t="str" cm="1">
        <f t="array" ref="AI26">TRANSPOSE(_xlfn._xlws.FILTER(images!L:L,images!F:F=Barrierenmessung!A26, ""))</f>
        <v>https://captureandgo.cloudlab.zhaw.ch/uploads/image_70df7c4951.jpg</v>
      </c>
      <c r="AJ26" s="2"/>
      <c r="AK26" s="2"/>
      <c r="AL26" s="2"/>
      <c r="AM26" s="2"/>
      <c r="AN26" s="2"/>
    </row>
    <row r="27" spans="1:40" ht="16" x14ac:dyDescent="0.2">
      <c r="A27" s="2" t="s">
        <v>136</v>
      </c>
      <c r="B27" s="46">
        <v>26</v>
      </c>
      <c r="C27" s="2" t="b">
        <v>0</v>
      </c>
      <c r="D27" s="2" t="b">
        <v>0</v>
      </c>
      <c r="E27" s="2" t="b">
        <v>0</v>
      </c>
      <c r="F27" s="2" t="b">
        <v>0</v>
      </c>
      <c r="G27" s="2" t="s">
        <v>31</v>
      </c>
      <c r="H27" s="2" t="s">
        <v>137</v>
      </c>
      <c r="I27" s="2" t="s">
        <v>138</v>
      </c>
      <c r="J27" s="2" t="s">
        <v>35</v>
      </c>
      <c r="K27" s="2" t="s">
        <v>35</v>
      </c>
      <c r="L27" s="2" t="s">
        <v>35</v>
      </c>
      <c r="M27" s="2">
        <v>2</v>
      </c>
      <c r="N27" s="2">
        <v>16.5</v>
      </c>
      <c r="O27" s="11">
        <v>44725.678030868054</v>
      </c>
      <c r="P27" s="11">
        <v>44725.678487627316</v>
      </c>
      <c r="Q27" s="27">
        <f t="shared" si="0"/>
        <v>4.5675926230615005E-4</v>
      </c>
      <c r="R27" s="65">
        <f t="shared" si="2"/>
        <v>8.5325231339083984E-4</v>
      </c>
      <c r="S27" s="2">
        <v>0</v>
      </c>
      <c r="T27" s="2" t="s">
        <v>54</v>
      </c>
      <c r="U27" s="2" t="s">
        <v>55</v>
      </c>
      <c r="V27" s="2" t="s">
        <v>38</v>
      </c>
      <c r="W27" s="2" t="s">
        <v>35</v>
      </c>
      <c r="X27" s="2" t="s">
        <v>35</v>
      </c>
      <c r="Y27" s="2" t="s">
        <v>35</v>
      </c>
      <c r="Z27" s="2" t="b">
        <v>0</v>
      </c>
      <c r="AA27" s="2" t="s">
        <v>35</v>
      </c>
      <c r="AB27" s="2" t="s">
        <v>35</v>
      </c>
      <c r="AC27" s="2" t="s">
        <v>35</v>
      </c>
      <c r="AD27" s="2" t="s">
        <v>35</v>
      </c>
      <c r="AE27" s="2" t="s">
        <v>115</v>
      </c>
      <c r="AF27" s="11">
        <v>44725.654166666667</v>
      </c>
      <c r="AG27" s="53"/>
      <c r="AH27" s="53" t="b">
        <f t="shared" si="1"/>
        <v>0</v>
      </c>
      <c r="AI27" s="54" t="str" cm="1">
        <f t="array" ref="AI27">TRANSPOSE(_xlfn._xlws.FILTER(images!L:L,images!F:F=Barrierenmessung!A27, ""))</f>
        <v>https://captureandgo.cloudlab.zhaw.ch/uploads/image_6e622dc13d.jpg</v>
      </c>
      <c r="AJ27" s="2"/>
      <c r="AK27" s="2"/>
      <c r="AL27" s="2"/>
      <c r="AM27" s="2"/>
      <c r="AN27" s="2"/>
    </row>
    <row r="28" spans="1:40" ht="16" x14ac:dyDescent="0.2">
      <c r="A28" s="2" t="s">
        <v>139</v>
      </c>
      <c r="B28" s="46">
        <v>27</v>
      </c>
      <c r="C28" s="2" t="b">
        <v>0</v>
      </c>
      <c r="D28" s="2" t="b">
        <v>0</v>
      </c>
      <c r="E28" s="2" t="b">
        <v>0</v>
      </c>
      <c r="F28" s="2" t="b">
        <v>0</v>
      </c>
      <c r="G28" s="2" t="s">
        <v>31</v>
      </c>
      <c r="H28" s="2" t="s">
        <v>140</v>
      </c>
      <c r="I28" s="2" t="s">
        <v>141</v>
      </c>
      <c r="J28" s="2" t="s">
        <v>35</v>
      </c>
      <c r="K28" s="2" t="s">
        <v>35</v>
      </c>
      <c r="L28" s="2" t="s">
        <v>35</v>
      </c>
      <c r="M28" s="2">
        <v>13</v>
      </c>
      <c r="N28" s="2">
        <v>15.5</v>
      </c>
      <c r="O28" s="11">
        <v>44725.679164745372</v>
      </c>
      <c r="P28" s="11">
        <v>44725.679810289352</v>
      </c>
      <c r="Q28" s="27">
        <f t="shared" si="0"/>
        <v>6.4554397977190092E-4</v>
      </c>
      <c r="R28" s="65">
        <f t="shared" si="2"/>
        <v>1.3226620358182117E-3</v>
      </c>
      <c r="S28" s="2">
        <v>0</v>
      </c>
      <c r="T28" s="2" t="s">
        <v>54</v>
      </c>
      <c r="U28" s="2" t="s">
        <v>55</v>
      </c>
      <c r="V28" s="2" t="s">
        <v>38</v>
      </c>
      <c r="W28" s="2" t="s">
        <v>35</v>
      </c>
      <c r="X28" s="2" t="s">
        <v>35</v>
      </c>
      <c r="Y28" s="2" t="s">
        <v>35</v>
      </c>
      <c r="Z28" s="2" t="b">
        <v>0</v>
      </c>
      <c r="AA28" s="2" t="s">
        <v>35</v>
      </c>
      <c r="AB28" s="2" t="s">
        <v>35</v>
      </c>
      <c r="AC28" s="2" t="s">
        <v>35</v>
      </c>
      <c r="AD28" s="2" t="s">
        <v>35</v>
      </c>
      <c r="AE28" s="2" t="s">
        <v>115</v>
      </c>
      <c r="AF28" s="11">
        <v>44725.654166666667</v>
      </c>
      <c r="AG28" s="53"/>
      <c r="AH28" s="53" t="b">
        <f t="shared" si="1"/>
        <v>0</v>
      </c>
      <c r="AI28" s="54" t="str" cm="1">
        <f t="array" ref="AI28">TRANSPOSE(_xlfn._xlws.FILTER(images!L:L,images!F:F=Barrierenmessung!A28, ""))</f>
        <v>https://captureandgo.cloudlab.zhaw.ch/uploads/image_d8c70e3094.jpg</v>
      </c>
      <c r="AJ28" s="2"/>
      <c r="AK28" s="2"/>
      <c r="AL28" s="2"/>
      <c r="AM28" s="2"/>
      <c r="AN28" s="2"/>
    </row>
    <row r="29" spans="1:40" ht="16" x14ac:dyDescent="0.2">
      <c r="A29" s="2" t="s">
        <v>142</v>
      </c>
      <c r="B29" s="46">
        <v>28</v>
      </c>
      <c r="C29" s="2" t="b">
        <v>0</v>
      </c>
      <c r="D29" s="2" t="b">
        <v>0</v>
      </c>
      <c r="E29" s="2" t="b">
        <v>0</v>
      </c>
      <c r="F29" s="2" t="b">
        <v>0</v>
      </c>
      <c r="G29" s="2" t="s">
        <v>31</v>
      </c>
      <c r="H29" s="2" t="s">
        <v>143</v>
      </c>
      <c r="I29" s="2" t="s">
        <v>144</v>
      </c>
      <c r="J29" s="2" t="s">
        <v>35</v>
      </c>
      <c r="K29" s="2" t="s">
        <v>35</v>
      </c>
      <c r="L29" s="2" t="s">
        <v>35</v>
      </c>
      <c r="M29" s="2">
        <v>12</v>
      </c>
      <c r="N29" s="2">
        <v>16</v>
      </c>
      <c r="O29" s="11">
        <v>44725.679970671299</v>
      </c>
      <c r="P29" s="11">
        <v>44725.680365983797</v>
      </c>
      <c r="Q29" s="27">
        <f t="shared" si="0"/>
        <v>3.9531249785795808E-4</v>
      </c>
      <c r="R29" s="65">
        <f t="shared" si="2"/>
        <v>5.5569444521097466E-4</v>
      </c>
      <c r="S29" s="2">
        <v>0</v>
      </c>
      <c r="T29" s="2" t="s">
        <v>54</v>
      </c>
      <c r="U29" s="2" t="s">
        <v>55</v>
      </c>
      <c r="V29" s="2" t="s">
        <v>38</v>
      </c>
      <c r="W29" s="2" t="s">
        <v>35</v>
      </c>
      <c r="X29" s="2" t="s">
        <v>35</v>
      </c>
      <c r="Y29" s="2" t="s">
        <v>35</v>
      </c>
      <c r="Z29" s="2" t="b">
        <v>0</v>
      </c>
      <c r="AA29" s="2" t="s">
        <v>35</v>
      </c>
      <c r="AB29" s="2" t="s">
        <v>35</v>
      </c>
      <c r="AC29" s="2" t="s">
        <v>35</v>
      </c>
      <c r="AD29" s="2" t="s">
        <v>35</v>
      </c>
      <c r="AE29" s="2" t="s">
        <v>115</v>
      </c>
      <c r="AF29" s="11">
        <v>44725.654166666667</v>
      </c>
      <c r="AG29" s="53"/>
      <c r="AH29" s="53" t="b">
        <f t="shared" si="1"/>
        <v>0</v>
      </c>
      <c r="AI29" s="54" t="str" cm="1">
        <f t="array" ref="AI29">TRANSPOSE(_xlfn._xlws.FILTER(images!L:L,images!F:F=Barrierenmessung!A29, ""))</f>
        <v>https://captureandgo.cloudlab.zhaw.ch/uploads/image_d09e469fc7.jpg</v>
      </c>
      <c r="AJ29" s="2"/>
      <c r="AK29" s="2"/>
      <c r="AL29" s="2"/>
      <c r="AM29" s="2"/>
      <c r="AN29" s="2"/>
    </row>
    <row r="30" spans="1:40" ht="16" x14ac:dyDescent="0.2">
      <c r="A30" s="2" t="s">
        <v>145</v>
      </c>
      <c r="B30" s="46">
        <v>29</v>
      </c>
      <c r="C30" s="2" t="b">
        <v>0</v>
      </c>
      <c r="D30" s="2" t="b">
        <v>0</v>
      </c>
      <c r="E30" s="2" t="b">
        <v>0</v>
      </c>
      <c r="F30" s="2" t="b">
        <v>0</v>
      </c>
      <c r="G30" s="2" t="s">
        <v>31</v>
      </c>
      <c r="H30" s="2" t="s">
        <v>146</v>
      </c>
      <c r="I30" s="2" t="s">
        <v>147</v>
      </c>
      <c r="J30" s="2" t="s">
        <v>35</v>
      </c>
      <c r="K30" s="2" t="s">
        <v>35</v>
      </c>
      <c r="L30" s="2" t="s">
        <v>35</v>
      </c>
      <c r="M30" s="2">
        <v>10</v>
      </c>
      <c r="N30" s="2">
        <v>15</v>
      </c>
      <c r="O30" s="11">
        <v>44725.682471192129</v>
      </c>
      <c r="P30" s="11">
        <v>44725.682810532409</v>
      </c>
      <c r="Q30" s="27">
        <f t="shared" si="0"/>
        <v>3.3934028033399954E-4</v>
      </c>
      <c r="R30" s="65">
        <f t="shared" si="2"/>
        <v>2.4445486124022864E-3</v>
      </c>
      <c r="S30" s="2">
        <v>0</v>
      </c>
      <c r="T30" s="2" t="s">
        <v>54</v>
      </c>
      <c r="U30" s="2" t="s">
        <v>55</v>
      </c>
      <c r="V30" s="2" t="s">
        <v>38</v>
      </c>
      <c r="W30" s="2" t="s">
        <v>35</v>
      </c>
      <c r="X30" s="2" t="s">
        <v>35</v>
      </c>
      <c r="Y30" s="2" t="s">
        <v>35</v>
      </c>
      <c r="Z30" s="2" t="b">
        <v>0</v>
      </c>
      <c r="AA30" s="2" t="s">
        <v>35</v>
      </c>
      <c r="AB30" s="2" t="s">
        <v>35</v>
      </c>
      <c r="AC30" s="2" t="s">
        <v>35</v>
      </c>
      <c r="AD30" s="2" t="s">
        <v>35</v>
      </c>
      <c r="AE30" s="2" t="s">
        <v>115</v>
      </c>
      <c r="AF30" s="11">
        <v>44725.654166666667</v>
      </c>
      <c r="AG30" s="53"/>
      <c r="AH30" s="53" t="b">
        <f t="shared" si="1"/>
        <v>0</v>
      </c>
      <c r="AI30" s="54" t="str" cm="1">
        <f t="array" ref="AI30">TRANSPOSE(_xlfn._xlws.FILTER(images!L:L,images!F:F=Barrierenmessung!A30, ""))</f>
        <v>https://captureandgo.cloudlab.zhaw.ch/uploads/image_c98bbdb195.jpg</v>
      </c>
      <c r="AJ30" s="2"/>
      <c r="AK30" s="2"/>
      <c r="AL30" s="2"/>
      <c r="AM30" s="2"/>
      <c r="AN30" s="2"/>
    </row>
    <row r="31" spans="1:40" x14ac:dyDescent="0.2">
      <c r="A31" s="68" t="s">
        <v>148</v>
      </c>
      <c r="B31" s="68">
        <v>30</v>
      </c>
      <c r="C31" s="68" t="b">
        <v>0</v>
      </c>
      <c r="D31" s="68" t="b">
        <v>0</v>
      </c>
      <c r="E31" s="68" t="b">
        <v>0</v>
      </c>
      <c r="F31" s="68" t="b">
        <v>0</v>
      </c>
      <c r="G31" s="68" t="s">
        <v>31</v>
      </c>
      <c r="H31" s="68" t="s">
        <v>149</v>
      </c>
      <c r="I31" s="68" t="s">
        <v>150</v>
      </c>
      <c r="J31" s="68" t="s">
        <v>35</v>
      </c>
      <c r="K31" s="68" t="s">
        <v>35</v>
      </c>
      <c r="L31" s="68" t="s">
        <v>35</v>
      </c>
      <c r="M31" s="68">
        <v>19</v>
      </c>
      <c r="N31" s="68">
        <v>20</v>
      </c>
      <c r="O31" s="69">
        <v>44725.68485769676</v>
      </c>
      <c r="P31" s="69">
        <v>44725.685125034724</v>
      </c>
      <c r="Q31" s="70">
        <f t="shared" si="0"/>
        <v>2.6733796403277665E-4</v>
      </c>
      <c r="R31" s="70">
        <f t="shared" si="2"/>
        <v>2.3145023151300848E-3</v>
      </c>
      <c r="S31" s="68">
        <v>0</v>
      </c>
      <c r="T31" s="68" t="s">
        <v>54</v>
      </c>
      <c r="U31" s="68" t="s">
        <v>55</v>
      </c>
      <c r="V31" s="68" t="s">
        <v>38</v>
      </c>
      <c r="W31" s="68" t="s">
        <v>35</v>
      </c>
      <c r="X31" s="68" t="s">
        <v>35</v>
      </c>
      <c r="Y31" s="68" t="s">
        <v>35</v>
      </c>
      <c r="Z31" s="68" t="b">
        <v>0</v>
      </c>
      <c r="AA31" s="68" t="s">
        <v>35</v>
      </c>
      <c r="AB31" s="68" t="s">
        <v>35</v>
      </c>
      <c r="AC31" s="68" t="s">
        <v>35</v>
      </c>
      <c r="AD31" s="68" t="s">
        <v>35</v>
      </c>
      <c r="AE31" s="68" t="s">
        <v>115</v>
      </c>
      <c r="AF31" s="69">
        <v>44725.654166666667</v>
      </c>
      <c r="AG31" s="71"/>
      <c r="AH31" s="71" t="b">
        <f t="shared" si="1"/>
        <v>0</v>
      </c>
      <c r="AI31" s="56"/>
      <c r="AJ31" s="68"/>
      <c r="AK31" s="68"/>
      <c r="AL31" s="68"/>
      <c r="AM31" s="68"/>
      <c r="AN31" s="68"/>
    </row>
    <row r="32" spans="1:40" ht="16" x14ac:dyDescent="0.2">
      <c r="A32" s="2" t="s">
        <v>151</v>
      </c>
      <c r="B32" s="46">
        <v>31</v>
      </c>
      <c r="C32" s="2" t="b">
        <v>0</v>
      </c>
      <c r="D32" s="2" t="b">
        <v>0</v>
      </c>
      <c r="E32" s="2" t="b">
        <v>0</v>
      </c>
      <c r="F32" s="2" t="b">
        <v>0</v>
      </c>
      <c r="G32" s="2" t="s">
        <v>31</v>
      </c>
      <c r="H32" s="2" t="s">
        <v>152</v>
      </c>
      <c r="I32" s="2" t="s">
        <v>153</v>
      </c>
      <c r="J32" s="2" t="s">
        <v>35</v>
      </c>
      <c r="K32" s="2" t="s">
        <v>35</v>
      </c>
      <c r="L32" s="2" t="s">
        <v>35</v>
      </c>
      <c r="M32" s="2">
        <v>4</v>
      </c>
      <c r="N32" s="2">
        <v>15</v>
      </c>
      <c r="O32" s="11">
        <v>44725.685316967596</v>
      </c>
      <c r="P32" s="11">
        <v>44725.685593425929</v>
      </c>
      <c r="Q32" s="27">
        <f t="shared" si="0"/>
        <v>2.7645833324640989E-4</v>
      </c>
      <c r="R32" s="65">
        <f t="shared" si="2"/>
        <v>4.6839120477670804E-4</v>
      </c>
      <c r="S32" s="2">
        <v>0</v>
      </c>
      <c r="T32" s="2" t="s">
        <v>54</v>
      </c>
      <c r="U32" s="2" t="s">
        <v>55</v>
      </c>
      <c r="V32" s="2" t="s">
        <v>38</v>
      </c>
      <c r="W32" s="2" t="s">
        <v>35</v>
      </c>
      <c r="X32" s="2" t="s">
        <v>35</v>
      </c>
      <c r="Y32" s="2" t="s">
        <v>35</v>
      </c>
      <c r="Z32" s="2" t="b">
        <v>0</v>
      </c>
      <c r="AA32" s="2" t="s">
        <v>35</v>
      </c>
      <c r="AB32" s="2" t="s">
        <v>35</v>
      </c>
      <c r="AC32" s="2" t="s">
        <v>35</v>
      </c>
      <c r="AD32" s="2" t="s">
        <v>35</v>
      </c>
      <c r="AE32" s="2" t="s">
        <v>115</v>
      </c>
      <c r="AF32" s="11">
        <v>44725.654166666667</v>
      </c>
      <c r="AG32" s="53"/>
      <c r="AH32" s="53" t="b">
        <f t="shared" si="1"/>
        <v>0</v>
      </c>
      <c r="AI32" s="54" t="str" cm="1">
        <f t="array" ref="AI32">TRANSPOSE(_xlfn._xlws.FILTER(images!L:L,images!F:F=Barrierenmessung!A32, ""))</f>
        <v>https://captureandgo.cloudlab.zhaw.ch/uploads/image_5c8d7a529e.jpg</v>
      </c>
      <c r="AJ32" s="2"/>
      <c r="AK32" s="2"/>
      <c r="AL32" s="2"/>
      <c r="AM32" s="2"/>
      <c r="AN32" s="2"/>
    </row>
    <row r="33" spans="1:40" ht="16" x14ac:dyDescent="0.2">
      <c r="A33" s="2" t="s">
        <v>154</v>
      </c>
      <c r="B33" s="46">
        <v>32</v>
      </c>
      <c r="C33" s="2" t="b">
        <v>0</v>
      </c>
      <c r="D33" s="2" t="b">
        <v>0</v>
      </c>
      <c r="E33" s="2" t="b">
        <v>0</v>
      </c>
      <c r="F33" s="2" t="b">
        <v>0</v>
      </c>
      <c r="G33" s="2" t="s">
        <v>31</v>
      </c>
      <c r="H33" s="2" t="s">
        <v>155</v>
      </c>
      <c r="I33" s="2" t="s">
        <v>156</v>
      </c>
      <c r="J33" s="2" t="s">
        <v>157</v>
      </c>
      <c r="K33" s="2" t="s">
        <v>35</v>
      </c>
      <c r="L33" s="2" t="s">
        <v>35</v>
      </c>
      <c r="M33" s="2">
        <v>27</v>
      </c>
      <c r="N33" s="2">
        <v>16</v>
      </c>
      <c r="O33" s="11">
        <v>44725.68569510417</v>
      </c>
      <c r="P33" s="11">
        <v>44725.687256134261</v>
      </c>
      <c r="Q33" s="27">
        <f t="shared" si="0"/>
        <v>1.5610300906701013E-3</v>
      </c>
      <c r="R33" s="65">
        <f t="shared" si="2"/>
        <v>1.662708331423346E-3</v>
      </c>
      <c r="S33" s="2">
        <v>0</v>
      </c>
      <c r="T33" s="2" t="s">
        <v>54</v>
      </c>
      <c r="U33" s="2" t="s">
        <v>55</v>
      </c>
      <c r="V33" s="2" t="s">
        <v>38</v>
      </c>
      <c r="W33" s="2" t="s">
        <v>35</v>
      </c>
      <c r="X33" s="2" t="s">
        <v>35</v>
      </c>
      <c r="Y33" s="2" t="s">
        <v>35</v>
      </c>
      <c r="Z33" s="2" t="b">
        <v>0</v>
      </c>
      <c r="AA33" s="2" t="s">
        <v>35</v>
      </c>
      <c r="AB33" s="2" t="s">
        <v>35</v>
      </c>
      <c r="AC33" s="2" t="s">
        <v>35</v>
      </c>
      <c r="AD33" s="2" t="s">
        <v>35</v>
      </c>
      <c r="AE33" s="2" t="s">
        <v>115</v>
      </c>
      <c r="AF33" s="11">
        <v>44725.654166666667</v>
      </c>
      <c r="AG33" s="53"/>
      <c r="AH33" s="53" t="b">
        <f t="shared" si="1"/>
        <v>0</v>
      </c>
      <c r="AI33" s="54" t="str" cm="1">
        <f t="array" ref="AI33:AN33">TRANSPOSE(_xlfn._xlws.FILTER(images!L:L,images!F:F=Barrierenmessung!A33, ""))</f>
        <v>https://captureandgo.cloudlab.zhaw.ch/uploads/image_9c168e3d54.jpg</v>
      </c>
      <c r="AJ33" s="2" t="str">
        <v>https://captureandgo.cloudlab.zhaw.ch/uploads/image_ba15c251dc.jpg</v>
      </c>
      <c r="AK33" s="2" t="str">
        <v>https://captureandgo.cloudlab.zhaw.ch/uploads/image_b0abf4778b.jpg</v>
      </c>
      <c r="AL33" s="2" t="str">
        <v>https://captureandgo.cloudlab.zhaw.ch/uploads/image_c5b3711126.jpg</v>
      </c>
      <c r="AM33" s="2" t="str">
        <v>https://captureandgo.cloudlab.zhaw.ch/uploads/image_1b1e235937.jpg</v>
      </c>
      <c r="AN33" s="2" t="str">
        <v>https://captureandgo.cloudlab.zhaw.ch/uploads/image_1bef6e46d6.jpg</v>
      </c>
    </row>
    <row r="34" spans="1:40" ht="16" x14ac:dyDescent="0.2">
      <c r="A34" s="2" t="s">
        <v>158</v>
      </c>
      <c r="B34" s="46">
        <v>33</v>
      </c>
      <c r="C34" s="2" t="b">
        <v>0</v>
      </c>
      <c r="D34" s="2" t="b">
        <v>0</v>
      </c>
      <c r="E34" s="2" t="b">
        <v>0</v>
      </c>
      <c r="F34" s="2" t="b">
        <v>0</v>
      </c>
      <c r="G34" s="2" t="s">
        <v>31</v>
      </c>
      <c r="H34" s="2" t="s">
        <v>159</v>
      </c>
      <c r="I34" s="2" t="s">
        <v>160</v>
      </c>
      <c r="J34" s="2" t="s">
        <v>90</v>
      </c>
      <c r="K34" s="2" t="s">
        <v>35</v>
      </c>
      <c r="L34" s="2" t="s">
        <v>35</v>
      </c>
      <c r="M34" s="2" t="s">
        <v>35</v>
      </c>
      <c r="N34" s="2" t="s">
        <v>35</v>
      </c>
      <c r="O34" s="11">
        <v>44725.690554872686</v>
      </c>
      <c r="P34" s="11">
        <v>44725.690861550924</v>
      </c>
      <c r="Q34" s="27">
        <f t="shared" si="0"/>
        <v>3.0667823739349842E-4</v>
      </c>
      <c r="R34" s="65">
        <f t="shared" si="2"/>
        <v>3.6054166630492546E-3</v>
      </c>
      <c r="S34" s="2">
        <v>0</v>
      </c>
      <c r="T34" s="2" t="s">
        <v>36</v>
      </c>
      <c r="U34" s="2" t="s">
        <v>37</v>
      </c>
      <c r="V34" s="2" t="s">
        <v>38</v>
      </c>
      <c r="W34" s="2" t="s">
        <v>35</v>
      </c>
      <c r="X34" s="2" t="s">
        <v>35</v>
      </c>
      <c r="Y34" s="2" t="s">
        <v>35</v>
      </c>
      <c r="Z34" s="2" t="b">
        <v>0</v>
      </c>
      <c r="AA34" s="2" t="s">
        <v>35</v>
      </c>
      <c r="AB34" s="2" t="s">
        <v>35</v>
      </c>
      <c r="AC34" s="2" t="s">
        <v>35</v>
      </c>
      <c r="AD34" s="2">
        <v>5</v>
      </c>
      <c r="AE34" s="2" t="s">
        <v>115</v>
      </c>
      <c r="AF34" s="11">
        <v>44725.654166666667</v>
      </c>
      <c r="AG34" s="53"/>
      <c r="AH34" s="53" t="b">
        <f t="shared" si="1"/>
        <v>0</v>
      </c>
      <c r="AI34" s="54" t="str" cm="1">
        <f t="array" ref="AI34">TRANSPOSE(_xlfn._xlws.FILTER(images!L:L,images!F:F=Barrierenmessung!A34, ""))</f>
        <v>https://captureandgo.cloudlab.zhaw.ch/uploads/image_432269963f.jpg</v>
      </c>
      <c r="AJ34" s="2"/>
      <c r="AK34" s="2"/>
      <c r="AL34" s="2"/>
      <c r="AM34" s="2"/>
      <c r="AN34" s="2"/>
    </row>
    <row r="35" spans="1:40" ht="16" x14ac:dyDescent="0.2">
      <c r="A35" s="2" t="s">
        <v>161</v>
      </c>
      <c r="B35" s="46">
        <v>34</v>
      </c>
      <c r="C35" s="2" t="b">
        <v>0</v>
      </c>
      <c r="D35" s="2" t="b">
        <v>0</v>
      </c>
      <c r="E35" s="2" t="b">
        <v>0</v>
      </c>
      <c r="F35" s="2" t="b">
        <v>0</v>
      </c>
      <c r="G35" s="2" t="s">
        <v>31</v>
      </c>
      <c r="H35" s="2" t="s">
        <v>162</v>
      </c>
      <c r="I35" s="2" t="s">
        <v>163</v>
      </c>
      <c r="J35" s="2" t="s">
        <v>164</v>
      </c>
      <c r="K35" s="2" t="s">
        <v>35</v>
      </c>
      <c r="L35" s="2" t="s">
        <v>35</v>
      </c>
      <c r="M35" s="2" t="s">
        <v>35</v>
      </c>
      <c r="N35" s="2" t="s">
        <v>35</v>
      </c>
      <c r="O35" s="11">
        <v>44725.692878078706</v>
      </c>
      <c r="P35" s="11">
        <v>44725.693287349539</v>
      </c>
      <c r="Q35" s="27">
        <f t="shared" si="0"/>
        <v>4.0927083318820223E-4</v>
      </c>
      <c r="R35" s="65">
        <f t="shared" si="2"/>
        <v>2.425798615149688E-3</v>
      </c>
      <c r="S35" s="2">
        <v>0</v>
      </c>
      <c r="T35" s="2" t="s">
        <v>36</v>
      </c>
      <c r="U35" s="2" t="s">
        <v>37</v>
      </c>
      <c r="V35" s="2" t="s">
        <v>38</v>
      </c>
      <c r="W35" s="2" t="s">
        <v>35</v>
      </c>
      <c r="X35" s="2" t="s">
        <v>35</v>
      </c>
      <c r="Y35" s="2" t="s">
        <v>35</v>
      </c>
      <c r="Z35" s="2" t="b">
        <v>0</v>
      </c>
      <c r="AA35" s="2" t="s">
        <v>165</v>
      </c>
      <c r="AB35" s="2" t="s">
        <v>35</v>
      </c>
      <c r="AC35" s="2" t="s">
        <v>35</v>
      </c>
      <c r="AD35" s="2" t="s">
        <v>35</v>
      </c>
      <c r="AE35" s="2" t="s">
        <v>115</v>
      </c>
      <c r="AF35" s="11">
        <v>44725.654166666667</v>
      </c>
      <c r="AG35" s="53"/>
      <c r="AH35" s="53" t="b">
        <f t="shared" si="1"/>
        <v>0</v>
      </c>
      <c r="AI35" s="54" t="str" cm="1">
        <f t="array" ref="AI35">TRANSPOSE(_xlfn._xlws.FILTER(images!L:L,images!F:F=Barrierenmessung!A35, ""))</f>
        <v>https://captureandgo.cloudlab.zhaw.ch/uploads/image_6c32c2e33b.jpg</v>
      </c>
      <c r="AJ35" s="2"/>
      <c r="AK35" s="2"/>
      <c r="AL35" s="2"/>
      <c r="AM35" s="2"/>
      <c r="AN35" s="2"/>
    </row>
    <row r="36" spans="1:40" ht="16" x14ac:dyDescent="0.2">
      <c r="A36" s="2" t="s">
        <v>166</v>
      </c>
      <c r="B36" s="46">
        <v>35</v>
      </c>
      <c r="C36" s="2" t="b">
        <v>0</v>
      </c>
      <c r="D36" s="2" t="b">
        <v>0</v>
      </c>
      <c r="E36" s="2" t="b">
        <v>0</v>
      </c>
      <c r="F36" s="2" t="b">
        <v>0</v>
      </c>
      <c r="G36" s="2" t="s">
        <v>31</v>
      </c>
      <c r="H36" s="2" t="s">
        <v>167</v>
      </c>
      <c r="I36" s="2" t="s">
        <v>168</v>
      </c>
      <c r="J36" s="2" t="s">
        <v>35</v>
      </c>
      <c r="K36" s="2" t="s">
        <v>35</v>
      </c>
      <c r="L36" s="2" t="s">
        <v>35</v>
      </c>
      <c r="M36" s="2" t="s">
        <v>35</v>
      </c>
      <c r="N36" s="2" t="s">
        <v>35</v>
      </c>
      <c r="O36" s="11">
        <v>44725.696160277781</v>
      </c>
      <c r="P36" s="11">
        <v>44725.696396180552</v>
      </c>
      <c r="Q36" s="27">
        <f t="shared" si="0"/>
        <v>2.359027712373063E-4</v>
      </c>
      <c r="R36" s="65">
        <f t="shared" si="2"/>
        <v>3.1088310133782215E-3</v>
      </c>
      <c r="S36" s="2">
        <v>0</v>
      </c>
      <c r="T36" s="2" t="s">
        <v>36</v>
      </c>
      <c r="U36" s="2" t="s">
        <v>37</v>
      </c>
      <c r="V36" s="2" t="s">
        <v>38</v>
      </c>
      <c r="W36" s="2" t="s">
        <v>35</v>
      </c>
      <c r="X36" s="2" t="s">
        <v>35</v>
      </c>
      <c r="Y36" s="2" t="s">
        <v>35</v>
      </c>
      <c r="Z36" s="2" t="b">
        <v>0</v>
      </c>
      <c r="AA36" s="2" t="s">
        <v>35</v>
      </c>
      <c r="AB36" s="2" t="s">
        <v>35</v>
      </c>
      <c r="AC36" s="2" t="s">
        <v>35</v>
      </c>
      <c r="AD36" s="2">
        <v>7</v>
      </c>
      <c r="AE36" s="2" t="s">
        <v>115</v>
      </c>
      <c r="AF36" s="11">
        <v>44725.654166666667</v>
      </c>
      <c r="AG36" s="53"/>
      <c r="AH36" s="53" t="b">
        <f t="shared" si="1"/>
        <v>0</v>
      </c>
      <c r="AI36" s="54" t="str" cm="1">
        <f t="array" ref="AI36">TRANSPOSE(_xlfn._xlws.FILTER(images!L:L,images!F:F=Barrierenmessung!A36, ""))</f>
        <v>https://captureandgo.cloudlab.zhaw.ch/uploads/image_6c0187308a.jpg</v>
      </c>
      <c r="AJ36" s="2"/>
      <c r="AK36" s="2"/>
      <c r="AL36" s="2"/>
      <c r="AM36" s="2"/>
      <c r="AN36" s="2"/>
    </row>
    <row r="37" spans="1:40" ht="16" x14ac:dyDescent="0.2">
      <c r="A37" s="2" t="s">
        <v>169</v>
      </c>
      <c r="B37" s="46">
        <v>36</v>
      </c>
      <c r="C37" s="2" t="b">
        <v>0</v>
      </c>
      <c r="D37" s="2" t="b">
        <v>0</v>
      </c>
      <c r="E37" s="2" t="b">
        <v>0</v>
      </c>
      <c r="F37" s="2" t="b">
        <v>0</v>
      </c>
      <c r="G37" s="2" t="s">
        <v>121</v>
      </c>
      <c r="H37" s="2" t="s">
        <v>170</v>
      </c>
      <c r="I37" s="2" t="s">
        <v>171</v>
      </c>
      <c r="J37" s="2" t="s">
        <v>35</v>
      </c>
      <c r="K37" s="2" t="s">
        <v>35</v>
      </c>
      <c r="L37" s="2" t="s">
        <v>35</v>
      </c>
      <c r="M37" s="2" t="s">
        <v>35</v>
      </c>
      <c r="N37" s="2" t="s">
        <v>35</v>
      </c>
      <c r="O37" s="11">
        <v>44725.699053032411</v>
      </c>
      <c r="P37" s="11">
        <v>44725.699252754632</v>
      </c>
      <c r="Q37" s="27">
        <f t="shared" si="0"/>
        <v>1.9972222071373835E-4</v>
      </c>
      <c r="R37" s="65">
        <f t="shared" si="2"/>
        <v>2.8565740794874728E-3</v>
      </c>
      <c r="S37" s="2">
        <v>0</v>
      </c>
      <c r="T37" s="2" t="s">
        <v>124</v>
      </c>
      <c r="U37" s="2" t="s">
        <v>125</v>
      </c>
      <c r="V37" s="2" t="s">
        <v>38</v>
      </c>
      <c r="W37" s="2" t="s">
        <v>35</v>
      </c>
      <c r="X37" s="2" t="s">
        <v>35</v>
      </c>
      <c r="Y37" s="2" t="s">
        <v>35</v>
      </c>
      <c r="Z37" s="2" t="b">
        <v>0</v>
      </c>
      <c r="AA37" s="2" t="s">
        <v>35</v>
      </c>
      <c r="AB37" s="2" t="s">
        <v>35</v>
      </c>
      <c r="AC37" s="2" t="s">
        <v>35</v>
      </c>
      <c r="AD37" s="2" t="s">
        <v>35</v>
      </c>
      <c r="AE37" s="2" t="s">
        <v>115</v>
      </c>
      <c r="AF37" s="11">
        <v>44725.654166666667</v>
      </c>
      <c r="AG37" s="53"/>
      <c r="AH37" s="53" t="b">
        <f t="shared" si="1"/>
        <v>0</v>
      </c>
      <c r="AI37" s="54" t="str" cm="1">
        <f t="array" ref="AI37">TRANSPOSE(_xlfn._xlws.FILTER(images!L:L,images!F:F=Barrierenmessung!A37, ""))</f>
        <v>https://captureandgo.cloudlab.zhaw.ch/uploads/image_022527c2d2.jpg</v>
      </c>
      <c r="AJ37" s="2"/>
      <c r="AK37" s="2"/>
      <c r="AL37" s="2"/>
      <c r="AM37" s="2"/>
      <c r="AN37" s="2"/>
    </row>
    <row r="38" spans="1:40" ht="16" x14ac:dyDescent="0.2">
      <c r="A38" s="31" t="s">
        <v>172</v>
      </c>
      <c r="B38" s="31">
        <v>37</v>
      </c>
      <c r="C38" s="31" t="b">
        <v>0</v>
      </c>
      <c r="D38" s="31" t="b">
        <v>0</v>
      </c>
      <c r="E38" s="31" t="b">
        <v>0</v>
      </c>
      <c r="F38" s="31" t="b">
        <v>0</v>
      </c>
      <c r="G38" s="31" t="s">
        <v>31</v>
      </c>
      <c r="H38" s="31" t="s">
        <v>173</v>
      </c>
      <c r="I38" s="31" t="s">
        <v>174</v>
      </c>
      <c r="J38" s="31" t="s">
        <v>90</v>
      </c>
      <c r="K38" s="31" t="s">
        <v>35</v>
      </c>
      <c r="L38" s="31" t="s">
        <v>35</v>
      </c>
      <c r="M38" s="31" t="s">
        <v>35</v>
      </c>
      <c r="N38" s="31" t="s">
        <v>35</v>
      </c>
      <c r="O38" s="32">
        <v>44725.712107638887</v>
      </c>
      <c r="P38" s="32">
        <v>44725.712976458337</v>
      </c>
      <c r="Q38" s="30">
        <f t="shared" si="0"/>
        <v>8.6881945026107132E-4</v>
      </c>
      <c r="R38" s="30">
        <f t="shared" si="2"/>
        <v>1.3723703705181833E-2</v>
      </c>
      <c r="S38" s="31">
        <v>0</v>
      </c>
      <c r="T38" s="31" t="s">
        <v>36</v>
      </c>
      <c r="U38" s="31" t="s">
        <v>37</v>
      </c>
      <c r="V38" s="31" t="s">
        <v>38</v>
      </c>
      <c r="W38" s="31" t="s">
        <v>35</v>
      </c>
      <c r="X38" s="31" t="s">
        <v>35</v>
      </c>
      <c r="Y38" s="31" t="s">
        <v>35</v>
      </c>
      <c r="Z38" s="31" t="b">
        <v>0</v>
      </c>
      <c r="AA38" s="31" t="s">
        <v>35</v>
      </c>
      <c r="AB38" s="31" t="s">
        <v>35</v>
      </c>
      <c r="AC38" s="31" t="s">
        <v>35</v>
      </c>
      <c r="AD38" s="31">
        <v>4</v>
      </c>
      <c r="AE38" s="31" t="s">
        <v>115</v>
      </c>
      <c r="AF38" s="32">
        <v>44725.654166666667</v>
      </c>
      <c r="AG38" s="55" t="s">
        <v>9408</v>
      </c>
      <c r="AH38" s="55" t="b">
        <f t="shared" si="1"/>
        <v>0</v>
      </c>
      <c r="AI38" s="62" t="str" cm="1">
        <f t="array" ref="AI38">TRANSPOSE(_xlfn._xlws.FILTER(images!L:L,images!F:F=Barrierenmessung!A38, ""))</f>
        <v>https://captureandgo.cloudlab.zhaw.ch/uploads/image_5697cab031.jpg</v>
      </c>
      <c r="AJ38" s="31"/>
      <c r="AK38" s="31"/>
      <c r="AL38" s="31"/>
      <c r="AM38" s="31"/>
      <c r="AN38" s="31"/>
    </row>
    <row r="39" spans="1:40" ht="16" x14ac:dyDescent="0.2">
      <c r="A39" s="31" t="s">
        <v>175</v>
      </c>
      <c r="B39" s="31">
        <v>38</v>
      </c>
      <c r="C39" s="31" t="b">
        <v>0</v>
      </c>
      <c r="D39" s="31" t="b">
        <v>0</v>
      </c>
      <c r="E39" s="31" t="b">
        <v>0</v>
      </c>
      <c r="F39" s="31" t="b">
        <v>0</v>
      </c>
      <c r="G39" s="31" t="s">
        <v>31</v>
      </c>
      <c r="H39" s="31" t="s">
        <v>176</v>
      </c>
      <c r="I39" s="31" t="s">
        <v>177</v>
      </c>
      <c r="J39" s="31" t="s">
        <v>119</v>
      </c>
      <c r="K39" s="31" t="s">
        <v>35</v>
      </c>
      <c r="L39" s="31" t="s">
        <v>35</v>
      </c>
      <c r="M39" s="31" t="s">
        <v>35</v>
      </c>
      <c r="N39" s="31" t="s">
        <v>35</v>
      </c>
      <c r="O39" s="32">
        <v>44725.723029386572</v>
      </c>
      <c r="P39" s="32">
        <v>44725.723318819444</v>
      </c>
      <c r="Q39" s="30">
        <f t="shared" si="0"/>
        <v>2.8943287179572508E-4</v>
      </c>
      <c r="R39" s="30">
        <f t="shared" si="2"/>
        <v>1.0342361107177567E-2</v>
      </c>
      <c r="S39" s="31">
        <v>0</v>
      </c>
      <c r="T39" s="31" t="s">
        <v>109</v>
      </c>
      <c r="U39" s="31" t="s">
        <v>110</v>
      </c>
      <c r="V39" s="31" t="s">
        <v>38</v>
      </c>
      <c r="W39" s="31" t="s">
        <v>35</v>
      </c>
      <c r="X39" s="31">
        <v>0</v>
      </c>
      <c r="Y39" s="31" t="s">
        <v>35</v>
      </c>
      <c r="Z39" s="31" t="b">
        <v>0</v>
      </c>
      <c r="AA39" s="31" t="s">
        <v>35</v>
      </c>
      <c r="AB39" s="31" t="s">
        <v>35</v>
      </c>
      <c r="AC39" s="31" t="s">
        <v>35</v>
      </c>
      <c r="AD39" s="31" t="s">
        <v>35</v>
      </c>
      <c r="AE39" s="31" t="s">
        <v>115</v>
      </c>
      <c r="AF39" s="32">
        <v>44725.654166666667</v>
      </c>
      <c r="AG39" s="55" t="s">
        <v>9408</v>
      </c>
      <c r="AH39" s="55" t="b">
        <f t="shared" si="1"/>
        <v>0</v>
      </c>
      <c r="AI39" s="62" t="str" cm="1">
        <f t="array" ref="AI39">TRANSPOSE(_xlfn._xlws.FILTER(images!L:L,images!F:F=Barrierenmessung!A39, ""))</f>
        <v>https://captureandgo.cloudlab.zhaw.ch/uploads/image_a95e26d087.jpg</v>
      </c>
      <c r="AJ39" s="31"/>
      <c r="AK39" s="31"/>
      <c r="AL39" s="31"/>
      <c r="AM39" s="31"/>
      <c r="AN39" s="31"/>
    </row>
    <row r="40" spans="1:40" ht="16" x14ac:dyDescent="0.2">
      <c r="A40" s="2" t="s">
        <v>178</v>
      </c>
      <c r="B40" s="46">
        <v>39</v>
      </c>
      <c r="C40" s="2" t="b">
        <v>0</v>
      </c>
      <c r="D40" s="2" t="b">
        <v>0</v>
      </c>
      <c r="E40" s="2" t="b">
        <v>0</v>
      </c>
      <c r="F40" s="2" t="b">
        <v>0</v>
      </c>
      <c r="G40" s="2" t="s">
        <v>31</v>
      </c>
      <c r="H40" s="2" t="s">
        <v>179</v>
      </c>
      <c r="I40" s="2" t="s">
        <v>180</v>
      </c>
      <c r="J40" s="2" t="s">
        <v>90</v>
      </c>
      <c r="K40" s="2" t="s">
        <v>35</v>
      </c>
      <c r="L40" s="2" t="s">
        <v>35</v>
      </c>
      <c r="M40" s="2" t="s">
        <v>35</v>
      </c>
      <c r="N40" s="2" t="s">
        <v>35</v>
      </c>
      <c r="O40" s="11">
        <v>44725.724025370371</v>
      </c>
      <c r="P40" s="11">
        <v>44725.724773819442</v>
      </c>
      <c r="Q40" s="27">
        <f t="shared" si="0"/>
        <v>7.484490706701763E-4</v>
      </c>
      <c r="R40" s="65">
        <f t="shared" si="2"/>
        <v>1.454999997804407E-3</v>
      </c>
      <c r="S40" s="2">
        <v>0</v>
      </c>
      <c r="T40" s="2" t="s">
        <v>36</v>
      </c>
      <c r="U40" s="2" t="s">
        <v>37</v>
      </c>
      <c r="V40" s="2" t="s">
        <v>38</v>
      </c>
      <c r="W40" s="2" t="s">
        <v>35</v>
      </c>
      <c r="X40" s="2" t="s">
        <v>35</v>
      </c>
      <c r="Y40" s="2" t="s">
        <v>35</v>
      </c>
      <c r="Z40" s="2" t="b">
        <v>0</v>
      </c>
      <c r="AA40" s="2" t="s">
        <v>35</v>
      </c>
      <c r="AB40" s="2" t="s">
        <v>35</v>
      </c>
      <c r="AC40" s="2" t="s">
        <v>35</v>
      </c>
      <c r="AD40" s="2">
        <v>5</v>
      </c>
      <c r="AE40" s="2" t="s">
        <v>115</v>
      </c>
      <c r="AF40" s="11">
        <v>44725.654166666667</v>
      </c>
      <c r="AG40" s="53"/>
      <c r="AH40" s="53" t="b">
        <f t="shared" si="1"/>
        <v>0</v>
      </c>
      <c r="AI40" s="54" t="str" cm="1">
        <f t="array" ref="AI40">TRANSPOSE(_xlfn._xlws.FILTER(images!L:L,images!F:F=Barrierenmessung!A40, ""))</f>
        <v>https://captureandgo.cloudlab.zhaw.ch/uploads/image_9375810496.jpg</v>
      </c>
      <c r="AJ40" s="2"/>
      <c r="AK40" s="2"/>
      <c r="AL40" s="2"/>
      <c r="AM40" s="2"/>
      <c r="AN40" s="2"/>
    </row>
    <row r="41" spans="1:40" ht="16" x14ac:dyDescent="0.2">
      <c r="A41" s="2" t="s">
        <v>181</v>
      </c>
      <c r="B41" s="46">
        <v>40</v>
      </c>
      <c r="C41" s="2" t="b">
        <v>0</v>
      </c>
      <c r="D41" s="2" t="b">
        <v>0</v>
      </c>
      <c r="E41" s="2" t="b">
        <v>0</v>
      </c>
      <c r="F41" s="2" t="b">
        <v>0</v>
      </c>
      <c r="G41" s="2" t="s">
        <v>121</v>
      </c>
      <c r="H41" s="2" t="s">
        <v>182</v>
      </c>
      <c r="I41" s="2" t="s">
        <v>183</v>
      </c>
      <c r="J41" s="2" t="s">
        <v>35</v>
      </c>
      <c r="K41" s="2" t="s">
        <v>35</v>
      </c>
      <c r="L41" s="2" t="s">
        <v>35</v>
      </c>
      <c r="M41" s="2" t="s">
        <v>35</v>
      </c>
      <c r="N41" s="2" t="s">
        <v>35</v>
      </c>
      <c r="O41" s="11">
        <v>44725.72638659722</v>
      </c>
      <c r="P41" s="11">
        <v>44725.726552743057</v>
      </c>
      <c r="Q41" s="27">
        <f t="shared" si="0"/>
        <v>1.6614583728369325E-4</v>
      </c>
      <c r="R41" s="65">
        <f t="shared" si="2"/>
        <v>1.778923615347594E-3</v>
      </c>
      <c r="S41" s="2">
        <v>0</v>
      </c>
      <c r="T41" s="2" t="s">
        <v>124</v>
      </c>
      <c r="U41" s="2" t="s">
        <v>125</v>
      </c>
      <c r="V41" s="2" t="s">
        <v>38</v>
      </c>
      <c r="W41" s="2" t="s">
        <v>35</v>
      </c>
      <c r="X41" s="2" t="s">
        <v>35</v>
      </c>
      <c r="Y41" s="2" t="s">
        <v>35</v>
      </c>
      <c r="Z41" s="2" t="b">
        <v>0</v>
      </c>
      <c r="AA41" s="2" t="s">
        <v>35</v>
      </c>
      <c r="AB41" s="2" t="s">
        <v>35</v>
      </c>
      <c r="AC41" s="2" t="s">
        <v>35</v>
      </c>
      <c r="AD41" s="2" t="s">
        <v>35</v>
      </c>
      <c r="AE41" s="2" t="s">
        <v>115</v>
      </c>
      <c r="AF41" s="11">
        <v>44725.654166666667</v>
      </c>
      <c r="AG41" s="53"/>
      <c r="AH41" s="53" t="b">
        <f t="shared" si="1"/>
        <v>0</v>
      </c>
      <c r="AI41" s="54" t="str" cm="1">
        <f t="array" ref="AI41">TRANSPOSE(_xlfn._xlws.FILTER(images!L:L,images!F:F=Barrierenmessung!A41, ""))</f>
        <v>https://captureandgo.cloudlab.zhaw.ch/uploads/image_a8de5bebd8.jpg</v>
      </c>
      <c r="AJ41" s="2"/>
      <c r="AK41" s="2"/>
      <c r="AL41" s="2"/>
      <c r="AM41" s="2"/>
      <c r="AN41" s="2"/>
    </row>
    <row r="42" spans="1:40" ht="16" x14ac:dyDescent="0.2">
      <c r="A42" s="2" t="s">
        <v>184</v>
      </c>
      <c r="B42" s="46">
        <v>41</v>
      </c>
      <c r="C42" s="2" t="b">
        <v>0</v>
      </c>
      <c r="D42" s="2" t="b">
        <v>0</v>
      </c>
      <c r="E42" s="2" t="b">
        <v>0</v>
      </c>
      <c r="F42" s="2" t="b">
        <v>0</v>
      </c>
      <c r="G42" s="2" t="s">
        <v>121</v>
      </c>
      <c r="H42" s="2" t="s">
        <v>185</v>
      </c>
      <c r="I42" s="2" t="s">
        <v>186</v>
      </c>
      <c r="J42" s="2" t="s">
        <v>35</v>
      </c>
      <c r="K42" s="2" t="s">
        <v>35</v>
      </c>
      <c r="L42" s="2" t="s">
        <v>35</v>
      </c>
      <c r="M42" s="2" t="s">
        <v>35</v>
      </c>
      <c r="N42" s="2" t="s">
        <v>35</v>
      </c>
      <c r="O42" s="11">
        <v>44725.726766018517</v>
      </c>
      <c r="P42" s="11">
        <v>44725.727671736109</v>
      </c>
      <c r="Q42" s="27">
        <f t="shared" si="0"/>
        <v>9.0571759210433811E-4</v>
      </c>
      <c r="R42" s="65">
        <f t="shared" si="2"/>
        <v>1.1189930519321933E-3</v>
      </c>
      <c r="S42" s="2">
        <v>0</v>
      </c>
      <c r="T42" s="2" t="s">
        <v>124</v>
      </c>
      <c r="U42" s="2" t="s">
        <v>125</v>
      </c>
      <c r="V42" s="2" t="s">
        <v>38</v>
      </c>
      <c r="W42" s="2" t="s">
        <v>35</v>
      </c>
      <c r="X42" s="2" t="s">
        <v>35</v>
      </c>
      <c r="Y42" s="2" t="s">
        <v>35</v>
      </c>
      <c r="Z42" s="2" t="b">
        <v>0</v>
      </c>
      <c r="AA42" s="2" t="s">
        <v>35</v>
      </c>
      <c r="AB42" s="2" t="s">
        <v>35</v>
      </c>
      <c r="AC42" s="2" t="s">
        <v>35</v>
      </c>
      <c r="AD42" s="2" t="s">
        <v>35</v>
      </c>
      <c r="AE42" s="2" t="s">
        <v>115</v>
      </c>
      <c r="AF42" s="11">
        <v>44725.654166666667</v>
      </c>
      <c r="AG42" s="53"/>
      <c r="AH42" s="53" t="b">
        <f t="shared" si="1"/>
        <v>0</v>
      </c>
      <c r="AI42" s="54" t="str" cm="1">
        <f t="array" ref="AI42:AK42">TRANSPOSE(_xlfn._xlws.FILTER(images!L:L,images!F:F=Barrierenmessung!A42, ""))</f>
        <v>https://captureandgo.cloudlab.zhaw.ch/uploads/image_102206aabb.jpg</v>
      </c>
      <c r="AJ42" s="2" t="str">
        <v>https://captureandgo.cloudlab.zhaw.ch/uploads/image_23a768453c.jpg</v>
      </c>
      <c r="AK42" s="2" t="str">
        <v>https://captureandgo.cloudlab.zhaw.ch/uploads/image_81e005141b.jpg</v>
      </c>
      <c r="AL42" s="2"/>
      <c r="AM42" s="2"/>
      <c r="AN42" s="2"/>
    </row>
    <row r="43" spans="1:40" ht="16" x14ac:dyDescent="0.2">
      <c r="A43" s="2" t="s">
        <v>187</v>
      </c>
      <c r="B43" s="46">
        <v>42</v>
      </c>
      <c r="C43" s="2" t="b">
        <v>0</v>
      </c>
      <c r="D43" s="2" t="b">
        <v>0</v>
      </c>
      <c r="E43" s="2" t="b">
        <v>0</v>
      </c>
      <c r="F43" s="2" t="b">
        <v>0</v>
      </c>
      <c r="G43" s="2" t="s">
        <v>31</v>
      </c>
      <c r="H43" s="2" t="s">
        <v>188</v>
      </c>
      <c r="I43" s="2" t="s">
        <v>189</v>
      </c>
      <c r="J43" s="2" t="s">
        <v>190</v>
      </c>
      <c r="K43" s="2" t="s">
        <v>35</v>
      </c>
      <c r="L43" s="2" t="s">
        <v>35</v>
      </c>
      <c r="M43" s="2" t="s">
        <v>35</v>
      </c>
      <c r="N43" s="2" t="s">
        <v>35</v>
      </c>
      <c r="O43" s="11">
        <v>44725.732321180556</v>
      </c>
      <c r="P43" s="11">
        <v>44725.733170949075</v>
      </c>
      <c r="Q43" s="27">
        <f t="shared" si="0"/>
        <v>8.4976851940155029E-4</v>
      </c>
      <c r="R43" s="65">
        <f t="shared" si="2"/>
        <v>5.4992129662423395E-3</v>
      </c>
      <c r="S43" s="2">
        <v>0</v>
      </c>
      <c r="T43" s="2" t="s">
        <v>36</v>
      </c>
      <c r="U43" s="2" t="s">
        <v>37</v>
      </c>
      <c r="V43" s="2" t="s">
        <v>38</v>
      </c>
      <c r="W43" s="2" t="s">
        <v>35</v>
      </c>
      <c r="X43" s="2" t="s">
        <v>35</v>
      </c>
      <c r="Y43" s="2" t="s">
        <v>35</v>
      </c>
      <c r="Z43" s="2" t="b">
        <v>0</v>
      </c>
      <c r="AA43" s="2" t="s">
        <v>35</v>
      </c>
      <c r="AB43" s="2" t="s">
        <v>35</v>
      </c>
      <c r="AC43" s="2">
        <v>9</v>
      </c>
      <c r="AD43" s="2" t="s">
        <v>35</v>
      </c>
      <c r="AE43" s="2" t="s">
        <v>115</v>
      </c>
      <c r="AF43" s="11">
        <v>44725.654166666667</v>
      </c>
      <c r="AG43" s="53"/>
      <c r="AH43" s="53" t="b">
        <f t="shared" si="1"/>
        <v>0</v>
      </c>
      <c r="AI43" s="54" t="str" cm="1">
        <f t="array" ref="AI43">TRANSPOSE(_xlfn._xlws.FILTER(images!L:L,images!F:F=Barrierenmessung!A43, ""))</f>
        <v>https://captureandgo.cloudlab.zhaw.ch/uploads/image_dfe8680e38.jpg</v>
      </c>
      <c r="AJ43" s="2"/>
      <c r="AK43" s="2"/>
      <c r="AL43" s="2"/>
      <c r="AM43" s="2"/>
      <c r="AN43" s="2"/>
    </row>
    <row r="44" spans="1:40" ht="16" x14ac:dyDescent="0.2">
      <c r="A44" s="2" t="s">
        <v>191</v>
      </c>
      <c r="B44" s="46">
        <v>43</v>
      </c>
      <c r="C44" s="2" t="b">
        <v>0</v>
      </c>
      <c r="D44" s="2" t="b">
        <v>0</v>
      </c>
      <c r="E44" s="2" t="b">
        <v>0</v>
      </c>
      <c r="F44" s="2" t="b">
        <v>0</v>
      </c>
      <c r="G44" s="2" t="s">
        <v>31</v>
      </c>
      <c r="H44" s="2" t="s">
        <v>192</v>
      </c>
      <c r="I44" s="2" t="s">
        <v>193</v>
      </c>
      <c r="J44" s="2" t="s">
        <v>35</v>
      </c>
      <c r="K44" s="2" t="s">
        <v>35</v>
      </c>
      <c r="L44" s="2" t="s">
        <v>35</v>
      </c>
      <c r="M44" s="2">
        <v>22</v>
      </c>
      <c r="N44" s="2">
        <v>15</v>
      </c>
      <c r="O44" s="11">
        <v>44725.733683229169</v>
      </c>
      <c r="P44" s="11">
        <v>44725.734361469906</v>
      </c>
      <c r="Q44" s="27">
        <f t="shared" si="0"/>
        <v>6.7824073630617931E-4</v>
      </c>
      <c r="R44" s="65">
        <f t="shared" si="2"/>
        <v>1.1905208302778192E-3</v>
      </c>
      <c r="S44" s="2">
        <v>0</v>
      </c>
      <c r="T44" s="2" t="s">
        <v>54</v>
      </c>
      <c r="U44" s="2" t="s">
        <v>55</v>
      </c>
      <c r="V44" s="2" t="s">
        <v>38</v>
      </c>
      <c r="W44" s="2" t="s">
        <v>35</v>
      </c>
      <c r="X44" s="2" t="s">
        <v>35</v>
      </c>
      <c r="Y44" s="2" t="s">
        <v>35</v>
      </c>
      <c r="Z44" s="2" t="b">
        <v>0</v>
      </c>
      <c r="AA44" s="2" t="s">
        <v>35</v>
      </c>
      <c r="AB44" s="2" t="s">
        <v>35</v>
      </c>
      <c r="AC44" s="2" t="s">
        <v>35</v>
      </c>
      <c r="AD44" s="2" t="s">
        <v>35</v>
      </c>
      <c r="AE44" s="2" t="s">
        <v>115</v>
      </c>
      <c r="AF44" s="11">
        <v>44725.654166666667</v>
      </c>
      <c r="AG44" s="53"/>
      <c r="AH44" s="53" t="b">
        <f t="shared" si="1"/>
        <v>0</v>
      </c>
      <c r="AI44" s="54" t="str" cm="1">
        <f t="array" ref="AI44">TRANSPOSE(_xlfn._xlws.FILTER(images!L:L,images!F:F=Barrierenmessung!A44, ""))</f>
        <v>https://captureandgo.cloudlab.zhaw.ch/uploads/image_74fce68de2.jpg</v>
      </c>
      <c r="AJ44" s="2"/>
      <c r="AK44" s="2"/>
      <c r="AL44" s="2"/>
      <c r="AM44" s="2"/>
      <c r="AN44" s="2"/>
    </row>
    <row r="45" spans="1:40" ht="16" x14ac:dyDescent="0.2">
      <c r="A45" s="31" t="s">
        <v>194</v>
      </c>
      <c r="B45" s="31">
        <v>44</v>
      </c>
      <c r="C45" s="31" t="b">
        <v>0</v>
      </c>
      <c r="D45" s="31" t="b">
        <v>0</v>
      </c>
      <c r="E45" s="31" t="b">
        <v>0</v>
      </c>
      <c r="F45" s="31" t="b">
        <v>0</v>
      </c>
      <c r="G45" s="31" t="s">
        <v>121</v>
      </c>
      <c r="H45" s="31" t="s">
        <v>195</v>
      </c>
      <c r="I45" s="31" t="s">
        <v>196</v>
      </c>
      <c r="J45" s="31" t="s">
        <v>35</v>
      </c>
      <c r="K45" s="31" t="s">
        <v>35</v>
      </c>
      <c r="L45" s="31" t="s">
        <v>35</v>
      </c>
      <c r="M45" s="31" t="s">
        <v>35</v>
      </c>
      <c r="N45" s="31" t="s">
        <v>35</v>
      </c>
      <c r="O45" s="32">
        <v>44725.741326597221</v>
      </c>
      <c r="P45" s="32">
        <v>44725.741418414349</v>
      </c>
      <c r="Q45" s="30">
        <f t="shared" si="0"/>
        <v>9.1817128122784197E-5</v>
      </c>
      <c r="R45" s="30">
        <f t="shared" si="2"/>
        <v>7.0569444433203898E-3</v>
      </c>
      <c r="S45" s="31">
        <v>0</v>
      </c>
      <c r="T45" s="31" t="s">
        <v>124</v>
      </c>
      <c r="U45" s="31" t="s">
        <v>125</v>
      </c>
      <c r="V45" s="31" t="s">
        <v>38</v>
      </c>
      <c r="W45" s="31" t="s">
        <v>35</v>
      </c>
      <c r="X45" s="31" t="s">
        <v>35</v>
      </c>
      <c r="Y45" s="31" t="s">
        <v>35</v>
      </c>
      <c r="Z45" s="31" t="b">
        <v>0</v>
      </c>
      <c r="AA45" s="31" t="s">
        <v>35</v>
      </c>
      <c r="AB45" s="31" t="s">
        <v>35</v>
      </c>
      <c r="AC45" s="31" t="s">
        <v>35</v>
      </c>
      <c r="AD45" s="31" t="s">
        <v>35</v>
      </c>
      <c r="AE45" s="31" t="s">
        <v>115</v>
      </c>
      <c r="AF45" s="32">
        <v>44725.654166666667</v>
      </c>
      <c r="AG45" s="55"/>
      <c r="AH45" s="55" t="b">
        <f t="shared" si="1"/>
        <v>0</v>
      </c>
      <c r="AI45" s="62" t="str" cm="1">
        <f t="array" ref="AI45">TRANSPOSE(_xlfn._xlws.FILTER(images!L:L,images!F:F=Barrierenmessung!A45, ""))</f>
        <v>https://captureandgo.cloudlab.zhaw.ch/uploads/image_0f3c4eab73.jpg</v>
      </c>
      <c r="AJ45" s="31"/>
      <c r="AK45" s="31"/>
      <c r="AL45" s="31"/>
      <c r="AM45" s="31"/>
      <c r="AN45" s="31"/>
    </row>
    <row r="46" spans="1:40" ht="16" x14ac:dyDescent="0.2">
      <c r="A46" s="31" t="s">
        <v>197</v>
      </c>
      <c r="B46" s="31">
        <v>45</v>
      </c>
      <c r="C46" s="31" t="b">
        <v>0</v>
      </c>
      <c r="D46" s="31" t="b">
        <v>0</v>
      </c>
      <c r="E46" s="31" t="b">
        <v>0</v>
      </c>
      <c r="F46" s="31" t="b">
        <v>0</v>
      </c>
      <c r="G46" s="31" t="s">
        <v>31</v>
      </c>
      <c r="H46" s="31" t="s">
        <v>198</v>
      </c>
      <c r="I46" s="31" t="s">
        <v>199</v>
      </c>
      <c r="J46" s="31" t="s">
        <v>119</v>
      </c>
      <c r="K46" s="31" t="s">
        <v>35</v>
      </c>
      <c r="L46" s="31" t="s">
        <v>35</v>
      </c>
      <c r="M46" s="31" t="s">
        <v>35</v>
      </c>
      <c r="N46" s="31" t="s">
        <v>35</v>
      </c>
      <c r="O46" s="32">
        <v>44725.750272384263</v>
      </c>
      <c r="P46" s="32">
        <v>44725.750517141205</v>
      </c>
      <c r="Q46" s="30">
        <f t="shared" si="0"/>
        <v>2.4475694226566702E-4</v>
      </c>
      <c r="R46" s="30">
        <f t="shared" si="2"/>
        <v>9.0987268558819778E-3</v>
      </c>
      <c r="S46" s="31">
        <v>0</v>
      </c>
      <c r="T46" s="31" t="s">
        <v>109</v>
      </c>
      <c r="U46" s="31" t="s">
        <v>110</v>
      </c>
      <c r="V46" s="31" t="s">
        <v>38</v>
      </c>
      <c r="W46" s="31" t="s">
        <v>35</v>
      </c>
      <c r="X46" s="31">
        <v>0</v>
      </c>
      <c r="Y46" s="31" t="s">
        <v>35</v>
      </c>
      <c r="Z46" s="31" t="b">
        <v>0</v>
      </c>
      <c r="AA46" s="31" t="s">
        <v>35</v>
      </c>
      <c r="AB46" s="31" t="s">
        <v>35</v>
      </c>
      <c r="AC46" s="31" t="s">
        <v>35</v>
      </c>
      <c r="AD46" s="31" t="s">
        <v>35</v>
      </c>
      <c r="AE46" s="31" t="s">
        <v>115</v>
      </c>
      <c r="AF46" s="32">
        <v>44725.654166666667</v>
      </c>
      <c r="AG46" s="55" t="s">
        <v>9408</v>
      </c>
      <c r="AH46" s="55" t="b">
        <f t="shared" si="1"/>
        <v>0</v>
      </c>
      <c r="AI46" s="62" t="str" cm="1">
        <f t="array" ref="AI46">TRANSPOSE(_xlfn._xlws.FILTER(images!L:L,images!F:F=Barrierenmessung!A46, ""))</f>
        <v>https://captureandgo.cloudlab.zhaw.ch/uploads/image_0dbfc1fad3.jpg</v>
      </c>
      <c r="AJ46" s="31"/>
      <c r="AK46" s="31"/>
      <c r="AL46" s="31"/>
      <c r="AM46" s="31"/>
      <c r="AN46" s="31"/>
    </row>
    <row r="47" spans="1:40" ht="16" x14ac:dyDescent="0.2">
      <c r="A47" s="2" t="s">
        <v>200</v>
      </c>
      <c r="B47" s="46">
        <v>46</v>
      </c>
      <c r="C47" s="2" t="b">
        <v>0</v>
      </c>
      <c r="D47" s="2" t="b">
        <v>0</v>
      </c>
      <c r="E47" s="2" t="b">
        <v>0</v>
      </c>
      <c r="F47" s="2" t="b">
        <v>0</v>
      </c>
      <c r="G47" s="2" t="s">
        <v>121</v>
      </c>
      <c r="H47" s="2" t="s">
        <v>201</v>
      </c>
      <c r="I47" s="2" t="s">
        <v>202</v>
      </c>
      <c r="J47" s="2" t="s">
        <v>35</v>
      </c>
      <c r="K47" s="2" t="s">
        <v>35</v>
      </c>
      <c r="L47" s="2" t="s">
        <v>35</v>
      </c>
      <c r="M47" s="2" t="s">
        <v>35</v>
      </c>
      <c r="N47" s="2" t="s">
        <v>35</v>
      </c>
      <c r="O47" s="11">
        <v>44725.75366347222</v>
      </c>
      <c r="P47" s="11">
        <v>44725.753966481483</v>
      </c>
      <c r="Q47" s="27">
        <f t="shared" si="0"/>
        <v>3.0300926300697029E-4</v>
      </c>
      <c r="R47" s="65">
        <f t="shared" si="2"/>
        <v>3.4493402781663463E-3</v>
      </c>
      <c r="S47" s="2">
        <v>0</v>
      </c>
      <c r="T47" s="2" t="s">
        <v>124</v>
      </c>
      <c r="U47" s="2" t="s">
        <v>125</v>
      </c>
      <c r="V47" s="2" t="s">
        <v>38</v>
      </c>
      <c r="W47" s="2" t="s">
        <v>35</v>
      </c>
      <c r="X47" s="2" t="s">
        <v>35</v>
      </c>
      <c r="Y47" s="2" t="s">
        <v>35</v>
      </c>
      <c r="Z47" s="2" t="b">
        <v>0</v>
      </c>
      <c r="AA47" s="2" t="s">
        <v>35</v>
      </c>
      <c r="AB47" s="2" t="s">
        <v>35</v>
      </c>
      <c r="AC47" s="2" t="s">
        <v>35</v>
      </c>
      <c r="AD47" s="2" t="s">
        <v>35</v>
      </c>
      <c r="AE47" s="2" t="s">
        <v>115</v>
      </c>
      <c r="AF47" s="11">
        <v>44725.654166666667</v>
      </c>
      <c r="AG47" s="53"/>
      <c r="AH47" s="53" t="b">
        <f t="shared" si="1"/>
        <v>0</v>
      </c>
      <c r="AI47" s="54" t="str" cm="1">
        <f t="array" ref="AI47">TRANSPOSE(_xlfn._xlws.FILTER(images!L:L,images!F:F=Barrierenmessung!A47, ""))</f>
        <v>https://captureandgo.cloudlab.zhaw.ch/uploads/image_0e5013af98.jpg</v>
      </c>
      <c r="AJ47" s="2"/>
      <c r="AK47" s="2"/>
      <c r="AL47" s="2"/>
      <c r="AM47" s="2"/>
      <c r="AN47" s="2"/>
    </row>
    <row r="48" spans="1:40" ht="64" x14ac:dyDescent="0.2">
      <c r="A48" s="4" t="s">
        <v>203</v>
      </c>
      <c r="B48" s="4">
        <v>47</v>
      </c>
      <c r="C48" s="4" t="b">
        <v>0</v>
      </c>
      <c r="D48" s="4" t="b">
        <v>0</v>
      </c>
      <c r="E48" s="4" t="b">
        <v>0</v>
      </c>
      <c r="F48" s="4" t="b">
        <v>0</v>
      </c>
      <c r="G48" s="4" t="s">
        <v>121</v>
      </c>
      <c r="H48" s="4" t="s">
        <v>204</v>
      </c>
      <c r="I48" s="4" t="s">
        <v>205</v>
      </c>
      <c r="J48" s="4" t="s">
        <v>206</v>
      </c>
      <c r="K48" s="4" t="s">
        <v>35</v>
      </c>
      <c r="L48" s="4" t="s">
        <v>35</v>
      </c>
      <c r="M48" s="4" t="s">
        <v>35</v>
      </c>
      <c r="N48" s="4" t="s">
        <v>35</v>
      </c>
      <c r="O48" s="13">
        <v>44729.647859351855</v>
      </c>
      <c r="P48" s="13">
        <v>44729.649722314818</v>
      </c>
      <c r="Q48" s="15">
        <f t="shared" si="0"/>
        <v>1.8629629630595446E-3</v>
      </c>
      <c r="R48" s="15">
        <f t="shared" si="2"/>
        <v>-2.7768518339144066E-4</v>
      </c>
      <c r="S48" s="4">
        <v>0</v>
      </c>
      <c r="T48" s="4" t="s">
        <v>36</v>
      </c>
      <c r="U48" s="4" t="s">
        <v>37</v>
      </c>
      <c r="V48" s="4" t="s">
        <v>38</v>
      </c>
      <c r="W48" s="4" t="s">
        <v>35</v>
      </c>
      <c r="X48" s="4" t="s">
        <v>35</v>
      </c>
      <c r="Y48" s="4" t="s">
        <v>35</v>
      </c>
      <c r="Z48" s="4" t="b">
        <v>0</v>
      </c>
      <c r="AA48" s="4" t="s">
        <v>35</v>
      </c>
      <c r="AB48" s="4" t="s">
        <v>35</v>
      </c>
      <c r="AC48" s="4">
        <v>10</v>
      </c>
      <c r="AD48" s="4" t="s">
        <v>35</v>
      </c>
      <c r="AE48" s="4" t="s">
        <v>207</v>
      </c>
      <c r="AF48" s="13">
        <v>44729.65</v>
      </c>
      <c r="AG48" s="58" t="s">
        <v>9401</v>
      </c>
      <c r="AH48" s="58" t="b">
        <f t="shared" si="1"/>
        <v>0</v>
      </c>
      <c r="AI48" s="63" t="str" cm="1">
        <f t="array" ref="AI48:AJ48">TRANSPOSE(_xlfn._xlws.FILTER(images!L:L,images!F:F=Barrierenmessung!A48, ""))</f>
        <v>https://captureandgo.cloudlab.zhaw.ch/uploads/image_ca8c0d9592.jpg</v>
      </c>
      <c r="AJ48" s="4" t="str">
        <v>https://captureandgo.cloudlab.zhaw.ch/uploads/image_633a9470f2.jpg</v>
      </c>
      <c r="AK48" s="4"/>
      <c r="AL48" s="4"/>
      <c r="AM48" s="4"/>
      <c r="AN48" s="4"/>
    </row>
    <row r="49" spans="1:40" ht="16" x14ac:dyDescent="0.2">
      <c r="A49" s="31" t="s">
        <v>208</v>
      </c>
      <c r="B49" s="31">
        <v>48</v>
      </c>
      <c r="C49" s="31" t="b">
        <v>0</v>
      </c>
      <c r="D49" s="31" t="b">
        <v>0</v>
      </c>
      <c r="E49" s="31" t="b">
        <v>0</v>
      </c>
      <c r="F49" s="31" t="b">
        <v>0</v>
      </c>
      <c r="G49" s="31" t="s">
        <v>31</v>
      </c>
      <c r="H49" s="31" t="s">
        <v>209</v>
      </c>
      <c r="I49" s="31" t="s">
        <v>210</v>
      </c>
      <c r="J49" s="31" t="s">
        <v>35</v>
      </c>
      <c r="K49" s="31" t="s">
        <v>35</v>
      </c>
      <c r="L49" s="31" t="s">
        <v>35</v>
      </c>
      <c r="M49" s="31">
        <v>61</v>
      </c>
      <c r="N49" s="31">
        <v>15</v>
      </c>
      <c r="O49" s="32">
        <v>44729.659901620369</v>
      </c>
      <c r="P49" s="32">
        <v>44729.660275972223</v>
      </c>
      <c r="Q49" s="30">
        <f t="shared" si="0"/>
        <v>3.7435185367939994E-4</v>
      </c>
      <c r="R49" s="30">
        <f t="shared" si="2"/>
        <v>1.0275972221279517E-2</v>
      </c>
      <c r="S49" s="31">
        <v>0</v>
      </c>
      <c r="T49" s="31" t="s">
        <v>54</v>
      </c>
      <c r="U49" s="31" t="s">
        <v>55</v>
      </c>
      <c r="V49" s="31" t="s">
        <v>38</v>
      </c>
      <c r="W49" s="31" t="s">
        <v>35</v>
      </c>
      <c r="X49" s="31" t="s">
        <v>35</v>
      </c>
      <c r="Y49" s="31" t="s">
        <v>35</v>
      </c>
      <c r="Z49" s="31" t="b">
        <v>0</v>
      </c>
      <c r="AA49" s="31" t="s">
        <v>35</v>
      </c>
      <c r="AB49" s="31" t="s">
        <v>35</v>
      </c>
      <c r="AC49" s="31" t="s">
        <v>35</v>
      </c>
      <c r="AD49" s="31" t="s">
        <v>35</v>
      </c>
      <c r="AE49" s="31" t="s">
        <v>207</v>
      </c>
      <c r="AF49" s="32">
        <v>44729.65</v>
      </c>
      <c r="AG49" s="55" t="s">
        <v>9408</v>
      </c>
      <c r="AH49" s="55" t="b">
        <f t="shared" si="1"/>
        <v>0</v>
      </c>
      <c r="AI49" s="62" t="str" cm="1">
        <f t="array" ref="AI49">TRANSPOSE(_xlfn._xlws.FILTER(images!L:L,images!F:F=Barrierenmessung!A49, ""))</f>
        <v>https://captureandgo.cloudlab.zhaw.ch/uploads/image_c343e6af60.jpg</v>
      </c>
      <c r="AJ49" s="31"/>
      <c r="AK49" s="31"/>
      <c r="AL49" s="31"/>
      <c r="AM49" s="31"/>
      <c r="AN49" s="31"/>
    </row>
    <row r="50" spans="1:40" ht="16" x14ac:dyDescent="0.2">
      <c r="A50" s="2" t="s">
        <v>211</v>
      </c>
      <c r="B50" s="46">
        <v>49</v>
      </c>
      <c r="C50" s="2" t="b">
        <v>0</v>
      </c>
      <c r="D50" s="2" t="b">
        <v>0</v>
      </c>
      <c r="E50" s="2" t="b">
        <v>0</v>
      </c>
      <c r="F50" s="2" t="b">
        <v>0</v>
      </c>
      <c r="G50" s="2" t="s">
        <v>31</v>
      </c>
      <c r="H50" s="2" t="s">
        <v>212</v>
      </c>
      <c r="I50" s="2" t="s">
        <v>213</v>
      </c>
      <c r="J50" s="2" t="s">
        <v>35</v>
      </c>
      <c r="K50" s="2" t="s">
        <v>35</v>
      </c>
      <c r="L50" s="2" t="s">
        <v>35</v>
      </c>
      <c r="M50" s="2">
        <v>14</v>
      </c>
      <c r="N50" s="2">
        <v>17</v>
      </c>
      <c r="O50" s="11">
        <v>44729.662650775463</v>
      </c>
      <c r="P50" s="11">
        <v>44729.662938020832</v>
      </c>
      <c r="Q50" s="27">
        <f t="shared" si="0"/>
        <v>2.8724536969093606E-4</v>
      </c>
      <c r="R50" s="65">
        <f t="shared" si="2"/>
        <v>2.6620486096362583E-3</v>
      </c>
      <c r="S50" s="2">
        <v>0</v>
      </c>
      <c r="T50" s="2" t="s">
        <v>54</v>
      </c>
      <c r="U50" s="2" t="s">
        <v>55</v>
      </c>
      <c r="V50" s="2" t="s">
        <v>38</v>
      </c>
      <c r="W50" s="2" t="s">
        <v>35</v>
      </c>
      <c r="X50" s="2" t="s">
        <v>35</v>
      </c>
      <c r="Y50" s="2" t="s">
        <v>35</v>
      </c>
      <c r="Z50" s="2" t="b">
        <v>0</v>
      </c>
      <c r="AA50" s="2" t="s">
        <v>35</v>
      </c>
      <c r="AB50" s="2" t="s">
        <v>35</v>
      </c>
      <c r="AC50" s="2" t="s">
        <v>35</v>
      </c>
      <c r="AD50" s="2" t="s">
        <v>35</v>
      </c>
      <c r="AE50" s="2" t="s">
        <v>207</v>
      </c>
      <c r="AF50" s="11">
        <v>44729.65</v>
      </c>
      <c r="AG50" s="53"/>
      <c r="AH50" s="53" t="b">
        <f t="shared" si="1"/>
        <v>0</v>
      </c>
      <c r="AI50" s="54" t="str" cm="1">
        <f t="array" ref="AI50">TRANSPOSE(_xlfn._xlws.FILTER(images!L:L,images!F:F=Barrierenmessung!A50, ""))</f>
        <v>https://captureandgo.cloudlab.zhaw.ch/uploads/image_e83ff19fa4.jpg</v>
      </c>
      <c r="AJ50" s="2"/>
      <c r="AK50" s="2"/>
      <c r="AL50" s="2"/>
      <c r="AM50" s="2"/>
      <c r="AN50" s="2"/>
    </row>
    <row r="51" spans="1:40" ht="16" x14ac:dyDescent="0.2">
      <c r="A51" s="31" t="s">
        <v>214</v>
      </c>
      <c r="B51" s="31">
        <v>50</v>
      </c>
      <c r="C51" s="31" t="b">
        <v>0</v>
      </c>
      <c r="D51" s="31" t="b">
        <v>0</v>
      </c>
      <c r="E51" s="31" t="b">
        <v>0</v>
      </c>
      <c r="F51" s="31" t="b">
        <v>0</v>
      </c>
      <c r="G51" s="31" t="s">
        <v>31</v>
      </c>
      <c r="H51" s="68" t="s">
        <v>149</v>
      </c>
      <c r="I51" s="31" t="s">
        <v>215</v>
      </c>
      <c r="J51" s="31" t="s">
        <v>35</v>
      </c>
      <c r="K51" s="31" t="s">
        <v>35</v>
      </c>
      <c r="L51" s="31" t="s">
        <v>35</v>
      </c>
      <c r="M51" s="31">
        <v>26</v>
      </c>
      <c r="N51" s="31">
        <v>15</v>
      </c>
      <c r="O51" s="32">
        <v>44729.671817916664</v>
      </c>
      <c r="P51" s="32">
        <v>44729.671818460651</v>
      </c>
      <c r="Q51" s="30">
        <f t="shared" si="0"/>
        <v>5.4398697102442384E-7</v>
      </c>
      <c r="R51" s="30">
        <f t="shared" si="2"/>
        <v>8.8804398183128797E-3</v>
      </c>
      <c r="S51" s="31">
        <v>0</v>
      </c>
      <c r="T51" s="31" t="s">
        <v>54</v>
      </c>
      <c r="U51" s="31" t="s">
        <v>55</v>
      </c>
      <c r="V51" s="31" t="s">
        <v>38</v>
      </c>
      <c r="W51" s="31" t="s">
        <v>35</v>
      </c>
      <c r="X51" s="31" t="s">
        <v>35</v>
      </c>
      <c r="Y51" s="31" t="s">
        <v>35</v>
      </c>
      <c r="Z51" s="31" t="b">
        <v>0</v>
      </c>
      <c r="AA51" s="31" t="s">
        <v>35</v>
      </c>
      <c r="AB51" s="31" t="s">
        <v>35</v>
      </c>
      <c r="AC51" s="31" t="s">
        <v>35</v>
      </c>
      <c r="AD51" s="31" t="s">
        <v>35</v>
      </c>
      <c r="AE51" s="31" t="s">
        <v>207</v>
      </c>
      <c r="AF51" s="32">
        <v>44729.65</v>
      </c>
      <c r="AG51" s="55" t="s">
        <v>9462</v>
      </c>
      <c r="AH51" s="55" t="str">
        <f t="shared" si="1"/>
        <v>TRUE</v>
      </c>
      <c r="AI51" s="56" t="s">
        <v>9458</v>
      </c>
      <c r="AJ51" s="31"/>
      <c r="AK51" s="31"/>
      <c r="AL51" s="31"/>
      <c r="AM51" s="31"/>
      <c r="AN51" s="31"/>
    </row>
    <row r="52" spans="1:40" ht="64" x14ac:dyDescent="0.2">
      <c r="A52" s="21" t="s">
        <v>216</v>
      </c>
      <c r="B52" s="21">
        <v>51</v>
      </c>
      <c r="C52" s="21" t="b">
        <v>0</v>
      </c>
      <c r="D52" s="21" t="b">
        <v>0</v>
      </c>
      <c r="E52" s="21" t="b">
        <v>0</v>
      </c>
      <c r="F52" s="21" t="b">
        <v>0</v>
      </c>
      <c r="G52" s="21" t="s">
        <v>31</v>
      </c>
      <c r="H52" s="68" t="s">
        <v>149</v>
      </c>
      <c r="I52" s="21" t="s">
        <v>217</v>
      </c>
      <c r="J52" s="21" t="s">
        <v>35</v>
      </c>
      <c r="K52" s="21" t="s">
        <v>35</v>
      </c>
      <c r="L52" s="21" t="s">
        <v>35</v>
      </c>
      <c r="M52" s="21">
        <v>24</v>
      </c>
      <c r="N52" s="21">
        <v>16</v>
      </c>
      <c r="O52" s="22">
        <v>44729.67181832176</v>
      </c>
      <c r="P52" s="22">
        <v>44729.671818634262</v>
      </c>
      <c r="Q52" s="23">
        <f t="shared" si="0"/>
        <v>3.1250237952917814E-7</v>
      </c>
      <c r="R52" s="23">
        <f t="shared" si="2"/>
        <v>1.7361162463203073E-7</v>
      </c>
      <c r="S52" s="21">
        <v>0</v>
      </c>
      <c r="T52" s="21" t="s">
        <v>54</v>
      </c>
      <c r="U52" s="21" t="s">
        <v>55</v>
      </c>
      <c r="V52" s="21" t="s">
        <v>38</v>
      </c>
      <c r="W52" s="21" t="s">
        <v>35</v>
      </c>
      <c r="X52" s="21" t="s">
        <v>35</v>
      </c>
      <c r="Y52" s="21" t="s">
        <v>35</v>
      </c>
      <c r="Z52" s="21" t="b">
        <v>0</v>
      </c>
      <c r="AA52" s="21" t="s">
        <v>35</v>
      </c>
      <c r="AB52" s="21" t="s">
        <v>35</v>
      </c>
      <c r="AC52" s="21" t="s">
        <v>35</v>
      </c>
      <c r="AD52" s="21" t="s">
        <v>35</v>
      </c>
      <c r="AE52" s="21" t="s">
        <v>207</v>
      </c>
      <c r="AF52" s="22">
        <v>44729.65</v>
      </c>
      <c r="AG52" s="57" t="s">
        <v>9463</v>
      </c>
      <c r="AH52" s="57" t="str">
        <f t="shared" si="1"/>
        <v>TRUE</v>
      </c>
      <c r="AI52" s="56" t="s">
        <v>9459</v>
      </c>
      <c r="AJ52" s="21"/>
      <c r="AK52" s="21"/>
      <c r="AL52" s="21"/>
      <c r="AM52" s="21"/>
      <c r="AN52" s="21"/>
    </row>
    <row r="53" spans="1:40" ht="16" x14ac:dyDescent="0.2">
      <c r="A53" s="21" t="s">
        <v>218</v>
      </c>
      <c r="B53" s="21">
        <v>52</v>
      </c>
      <c r="C53" s="21" t="b">
        <v>0</v>
      </c>
      <c r="D53" s="21" t="b">
        <v>0</v>
      </c>
      <c r="E53" s="21" t="b">
        <v>0</v>
      </c>
      <c r="F53" s="21" t="b">
        <v>0</v>
      </c>
      <c r="G53" s="21" t="s">
        <v>31</v>
      </c>
      <c r="H53" s="68" t="s">
        <v>149</v>
      </c>
      <c r="I53" s="21" t="s">
        <v>219</v>
      </c>
      <c r="J53" s="21" t="s">
        <v>35</v>
      </c>
      <c r="K53" s="21" t="s">
        <v>35</v>
      </c>
      <c r="L53" s="21" t="s">
        <v>35</v>
      </c>
      <c r="M53" s="21">
        <v>1</v>
      </c>
      <c r="N53" s="21">
        <v>15</v>
      </c>
      <c r="O53" s="22">
        <v>44729.67191326389</v>
      </c>
      <c r="P53" s="22">
        <v>44729.67192241898</v>
      </c>
      <c r="Q53" s="23">
        <f>P53-O53</f>
        <v>9.1550900833681226E-6</v>
      </c>
      <c r="R53" s="23">
        <f t="shared" si="2"/>
        <v>1.0378471779404208E-4</v>
      </c>
      <c r="S53" s="21">
        <v>0</v>
      </c>
      <c r="T53" s="21" t="s">
        <v>54</v>
      </c>
      <c r="U53" s="21" t="s">
        <v>55</v>
      </c>
      <c r="V53" s="21" t="s">
        <v>38</v>
      </c>
      <c r="W53" s="21" t="s">
        <v>35</v>
      </c>
      <c r="X53" s="21" t="s">
        <v>35</v>
      </c>
      <c r="Y53" s="21" t="s">
        <v>35</v>
      </c>
      <c r="Z53" s="21" t="b">
        <v>0</v>
      </c>
      <c r="AA53" s="21" t="s">
        <v>35</v>
      </c>
      <c r="AB53" s="21" t="s">
        <v>35</v>
      </c>
      <c r="AC53" s="21" t="s">
        <v>35</v>
      </c>
      <c r="AD53" s="21" t="s">
        <v>35</v>
      </c>
      <c r="AE53" s="21" t="s">
        <v>207</v>
      </c>
      <c r="AF53" s="22">
        <v>44729.65</v>
      </c>
      <c r="AG53" s="57" t="s">
        <v>9464</v>
      </c>
      <c r="AH53" s="57" t="str">
        <f>IF(Q53&lt;TIME(0,0,1),"TRUE")</f>
        <v>TRUE</v>
      </c>
      <c r="AI53" s="56" t="s">
        <v>9460</v>
      </c>
      <c r="AJ53" s="21"/>
      <c r="AK53" s="21"/>
      <c r="AL53" s="21"/>
      <c r="AM53" s="21"/>
      <c r="AN53" s="21"/>
    </row>
    <row r="54" spans="1:40" ht="16" x14ac:dyDescent="0.2">
      <c r="A54" s="21" t="s">
        <v>220</v>
      </c>
      <c r="B54" s="21">
        <v>53</v>
      </c>
      <c r="C54" s="21" t="b">
        <v>0</v>
      </c>
      <c r="D54" s="21" t="b">
        <v>0</v>
      </c>
      <c r="E54" s="21" t="b">
        <v>0</v>
      </c>
      <c r="F54" s="21" t="b">
        <v>0</v>
      </c>
      <c r="G54" s="21" t="s">
        <v>31</v>
      </c>
      <c r="H54" s="68" t="s">
        <v>149</v>
      </c>
      <c r="I54" s="21" t="s">
        <v>221</v>
      </c>
      <c r="J54" s="21" t="s">
        <v>206</v>
      </c>
      <c r="K54" s="21" t="s">
        <v>35</v>
      </c>
      <c r="L54" s="21" t="s">
        <v>35</v>
      </c>
      <c r="M54" s="21" t="s">
        <v>35</v>
      </c>
      <c r="N54" s="21" t="s">
        <v>35</v>
      </c>
      <c r="O54" s="22">
        <v>44729.671922638889</v>
      </c>
      <c r="P54" s="22">
        <v>44729.671923298614</v>
      </c>
      <c r="Q54" s="23">
        <f t="shared" si="0"/>
        <v>6.5972562879323959E-7</v>
      </c>
      <c r="R54" s="23">
        <f t="shared" si="2"/>
        <v>8.7963417172431946E-7</v>
      </c>
      <c r="S54" s="21">
        <v>0</v>
      </c>
      <c r="T54" s="21" t="s">
        <v>36</v>
      </c>
      <c r="U54" s="21" t="s">
        <v>37</v>
      </c>
      <c r="V54" s="21" t="s">
        <v>38</v>
      </c>
      <c r="W54" s="21" t="s">
        <v>35</v>
      </c>
      <c r="X54" s="21" t="s">
        <v>35</v>
      </c>
      <c r="Y54" s="21" t="s">
        <v>35</v>
      </c>
      <c r="Z54" s="21" t="b">
        <v>0</v>
      </c>
      <c r="AA54" s="21" t="s">
        <v>35</v>
      </c>
      <c r="AB54" s="21" t="s">
        <v>35</v>
      </c>
      <c r="AC54" s="21">
        <v>8</v>
      </c>
      <c r="AD54" s="21" t="s">
        <v>35</v>
      </c>
      <c r="AE54" s="21" t="s">
        <v>207</v>
      </c>
      <c r="AF54" s="22">
        <v>44729.65</v>
      </c>
      <c r="AG54" s="57" t="s">
        <v>9464</v>
      </c>
      <c r="AH54" s="57" t="str">
        <f t="shared" si="1"/>
        <v>TRUE</v>
      </c>
      <c r="AI54" s="56" t="s">
        <v>9461</v>
      </c>
      <c r="AJ54" s="21"/>
      <c r="AK54" s="21"/>
      <c r="AL54" s="21"/>
      <c r="AM54" s="21"/>
      <c r="AN54" s="21"/>
    </row>
    <row r="55" spans="1:40" ht="16" x14ac:dyDescent="0.2">
      <c r="A55" s="2" t="s">
        <v>222</v>
      </c>
      <c r="B55" s="46">
        <v>54</v>
      </c>
      <c r="C55" s="2" t="b">
        <v>0</v>
      </c>
      <c r="D55" s="2" t="b">
        <v>0</v>
      </c>
      <c r="E55" s="2" t="b">
        <v>0</v>
      </c>
      <c r="F55" s="2" t="b">
        <v>0</v>
      </c>
      <c r="G55" s="2" t="s">
        <v>31</v>
      </c>
      <c r="H55" s="2" t="s">
        <v>223</v>
      </c>
      <c r="I55" s="2" t="s">
        <v>224</v>
      </c>
      <c r="J55" s="2" t="s">
        <v>35</v>
      </c>
      <c r="K55" s="2" t="s">
        <v>35</v>
      </c>
      <c r="L55" s="2" t="s">
        <v>35</v>
      </c>
      <c r="M55" s="2" t="s">
        <v>35</v>
      </c>
      <c r="N55" s="2" t="s">
        <v>35</v>
      </c>
      <c r="O55" s="11">
        <v>44729.672945486112</v>
      </c>
      <c r="P55" s="11">
        <v>44729.673537870367</v>
      </c>
      <c r="Q55" s="27">
        <f t="shared" si="0"/>
        <v>5.9238425455987453E-4</v>
      </c>
      <c r="R55" s="65">
        <f t="shared" si="2"/>
        <v>1.6145717527251691E-3</v>
      </c>
      <c r="S55" s="2">
        <v>0</v>
      </c>
      <c r="T55" s="2" t="s">
        <v>36</v>
      </c>
      <c r="U55" s="2" t="s">
        <v>37</v>
      </c>
      <c r="V55" s="2" t="s">
        <v>38</v>
      </c>
      <c r="W55" s="2" t="s">
        <v>35</v>
      </c>
      <c r="X55" s="2" t="s">
        <v>35</v>
      </c>
      <c r="Y55" s="2" t="s">
        <v>35</v>
      </c>
      <c r="Z55" s="2" t="b">
        <v>0</v>
      </c>
      <c r="AA55" s="2" t="s">
        <v>35</v>
      </c>
      <c r="AB55" s="2" t="s">
        <v>35</v>
      </c>
      <c r="AC55" s="2">
        <v>6</v>
      </c>
      <c r="AD55" s="2" t="s">
        <v>35</v>
      </c>
      <c r="AE55" s="2" t="s">
        <v>207</v>
      </c>
      <c r="AF55" s="11">
        <v>44729.65</v>
      </c>
      <c r="AG55" s="53"/>
      <c r="AH55" s="53" t="b">
        <f t="shared" si="1"/>
        <v>0</v>
      </c>
      <c r="AI55" s="54" t="str" cm="1">
        <f t="array" ref="AI55">TRANSPOSE(_xlfn._xlws.FILTER(images!L:L,images!F:F=Barrierenmessung!A55, ""))</f>
        <v>https://captureandgo.cloudlab.zhaw.ch/uploads/image_d3214206bf.jpg</v>
      </c>
      <c r="AJ55" s="2"/>
      <c r="AK55" s="2"/>
      <c r="AL55" s="2"/>
      <c r="AM55" s="2"/>
      <c r="AN55" s="2"/>
    </row>
    <row r="56" spans="1:40" ht="16" x14ac:dyDescent="0.2">
      <c r="A56" s="2" t="s">
        <v>225</v>
      </c>
      <c r="B56" s="46">
        <v>55</v>
      </c>
      <c r="C56" s="2" t="b">
        <v>0</v>
      </c>
      <c r="D56" s="2" t="b">
        <v>0</v>
      </c>
      <c r="E56" s="2" t="b">
        <v>0</v>
      </c>
      <c r="F56" s="2" t="b">
        <v>0</v>
      </c>
      <c r="G56" s="2" t="s">
        <v>31</v>
      </c>
      <c r="H56" s="2" t="s">
        <v>226</v>
      </c>
      <c r="I56" s="2" t="s">
        <v>227</v>
      </c>
      <c r="J56" s="2" t="s">
        <v>35</v>
      </c>
      <c r="K56" s="2" t="s">
        <v>35</v>
      </c>
      <c r="L56" s="2" t="s">
        <v>35</v>
      </c>
      <c r="M56" s="2" t="s">
        <v>35</v>
      </c>
      <c r="N56" s="2" t="s">
        <v>35</v>
      </c>
      <c r="O56" s="11">
        <v>44729.674743981479</v>
      </c>
      <c r="P56" s="11">
        <v>44729.675521087964</v>
      </c>
      <c r="Q56" s="27">
        <f t="shared" si="0"/>
        <v>7.7710648474749178E-4</v>
      </c>
      <c r="R56" s="65">
        <f t="shared" si="2"/>
        <v>1.9832175967167132E-3</v>
      </c>
      <c r="S56" s="2">
        <v>0</v>
      </c>
      <c r="T56" s="2" t="s">
        <v>109</v>
      </c>
      <c r="U56" s="2" t="s">
        <v>110</v>
      </c>
      <c r="V56" s="2" t="s">
        <v>38</v>
      </c>
      <c r="W56" s="2" t="s">
        <v>35</v>
      </c>
      <c r="X56" s="2">
        <v>0</v>
      </c>
      <c r="Y56" s="2" t="s">
        <v>228</v>
      </c>
      <c r="Z56" s="2" t="b">
        <v>0</v>
      </c>
      <c r="AA56" s="2" t="s">
        <v>35</v>
      </c>
      <c r="AB56" s="2" t="s">
        <v>35</v>
      </c>
      <c r="AC56" s="2" t="s">
        <v>35</v>
      </c>
      <c r="AD56" s="2" t="s">
        <v>35</v>
      </c>
      <c r="AE56" s="2" t="s">
        <v>207</v>
      </c>
      <c r="AF56" s="11">
        <v>44729.65</v>
      </c>
      <c r="AG56" s="53"/>
      <c r="AH56" s="53" t="b">
        <f t="shared" si="1"/>
        <v>0</v>
      </c>
      <c r="AI56" s="54" t="str" cm="1">
        <f t="array" ref="AI56:AK56">TRANSPOSE(_xlfn._xlws.FILTER(images!L:L,images!F:F=Barrierenmessung!A56, ""))</f>
        <v>https://captureandgo.cloudlab.zhaw.ch/uploads/image_c5d187c231.jpg</v>
      </c>
      <c r="AJ56" s="2" t="str">
        <v>https://captureandgo.cloudlab.zhaw.ch/uploads/image_e4538ee3f9.jpg</v>
      </c>
      <c r="AK56" s="2" t="str">
        <v>https://captureandgo.cloudlab.zhaw.ch/uploads/image_b29120d548.jpg</v>
      </c>
      <c r="AL56" s="2"/>
      <c r="AM56" s="2"/>
      <c r="AN56" s="2"/>
    </row>
    <row r="57" spans="1:40" ht="16" x14ac:dyDescent="0.2">
      <c r="A57" s="31" t="s">
        <v>229</v>
      </c>
      <c r="B57" s="31">
        <v>56</v>
      </c>
      <c r="C57" s="31" t="b">
        <v>0</v>
      </c>
      <c r="D57" s="31" t="b">
        <v>0</v>
      </c>
      <c r="E57" s="31" t="b">
        <v>0</v>
      </c>
      <c r="F57" s="31" t="b">
        <v>0</v>
      </c>
      <c r="G57" s="31" t="s">
        <v>31</v>
      </c>
      <c r="H57" s="31" t="s">
        <v>230</v>
      </c>
      <c r="I57" s="31" t="s">
        <v>231</v>
      </c>
      <c r="J57" s="31" t="s">
        <v>35</v>
      </c>
      <c r="K57" s="31" t="s">
        <v>35</v>
      </c>
      <c r="L57" s="31" t="s">
        <v>35</v>
      </c>
      <c r="M57" s="31" t="s">
        <v>35</v>
      </c>
      <c r="N57" s="31" t="s">
        <v>35</v>
      </c>
      <c r="O57" s="32">
        <v>44729.684437731485</v>
      </c>
      <c r="P57" s="32">
        <v>44729.685455185187</v>
      </c>
      <c r="Q57" s="30">
        <f t="shared" si="0"/>
        <v>1.0174537019338459E-3</v>
      </c>
      <c r="R57" s="30">
        <f t="shared" si="2"/>
        <v>9.9340972228674218E-3</v>
      </c>
      <c r="S57" s="31">
        <v>0</v>
      </c>
      <c r="T57" s="31" t="s">
        <v>36</v>
      </c>
      <c r="U57" s="31" t="s">
        <v>37</v>
      </c>
      <c r="V57" s="31" t="s">
        <v>38</v>
      </c>
      <c r="W57" s="31" t="s">
        <v>35</v>
      </c>
      <c r="X57" s="31" t="s">
        <v>35</v>
      </c>
      <c r="Y57" s="31" t="s">
        <v>35</v>
      </c>
      <c r="Z57" s="31" t="b">
        <v>0</v>
      </c>
      <c r="AA57" s="31" t="s">
        <v>35</v>
      </c>
      <c r="AB57" s="31" t="s">
        <v>35</v>
      </c>
      <c r="AC57" s="31">
        <v>6</v>
      </c>
      <c r="AD57" s="31" t="s">
        <v>35</v>
      </c>
      <c r="AE57" s="31" t="s">
        <v>207</v>
      </c>
      <c r="AF57" s="32">
        <v>44729.65</v>
      </c>
      <c r="AG57" s="55" t="s">
        <v>9408</v>
      </c>
      <c r="AH57" s="55" t="b">
        <f t="shared" si="1"/>
        <v>0</v>
      </c>
      <c r="AI57" s="62" t="str" cm="1">
        <f t="array" ref="AI57">TRANSPOSE(_xlfn._xlws.FILTER(images!L:L,images!F:F=Barrierenmessung!A57, ""))</f>
        <v>https://captureandgo.cloudlab.zhaw.ch/uploads/image_fde92c76be.jpg</v>
      </c>
      <c r="AJ57" s="31"/>
      <c r="AK57" s="31"/>
      <c r="AL57" s="31"/>
      <c r="AM57" s="31"/>
      <c r="AN57" s="31"/>
    </row>
    <row r="58" spans="1:40" ht="16" x14ac:dyDescent="0.2">
      <c r="A58" s="2" t="s">
        <v>232</v>
      </c>
      <c r="B58" s="46">
        <v>57</v>
      </c>
      <c r="C58" s="2" t="b">
        <v>0</v>
      </c>
      <c r="D58" s="2" t="b">
        <v>0</v>
      </c>
      <c r="E58" s="2" t="b">
        <v>0</v>
      </c>
      <c r="F58" s="2" t="b">
        <v>0</v>
      </c>
      <c r="G58" s="2" t="s">
        <v>31</v>
      </c>
      <c r="H58" s="68" t="s">
        <v>149</v>
      </c>
      <c r="I58" s="2" t="s">
        <v>233</v>
      </c>
      <c r="J58" s="2" t="s">
        <v>35</v>
      </c>
      <c r="K58" s="2" t="s">
        <v>35</v>
      </c>
      <c r="L58" s="2" t="s">
        <v>35</v>
      </c>
      <c r="M58" s="2">
        <v>26</v>
      </c>
      <c r="N58" s="2">
        <v>16</v>
      </c>
      <c r="O58" s="11">
        <v>44729.692116585647</v>
      </c>
      <c r="P58" s="11">
        <v>44729.692117222221</v>
      </c>
      <c r="Q58" s="27">
        <f t="shared" si="0"/>
        <v>6.3657353166490793E-7</v>
      </c>
      <c r="R58" s="65">
        <f t="shared" si="2"/>
        <v>6.6620370344026014E-3</v>
      </c>
      <c r="S58" s="2">
        <v>0</v>
      </c>
      <c r="T58" s="2" t="s">
        <v>54</v>
      </c>
      <c r="U58" s="2" t="s">
        <v>55</v>
      </c>
      <c r="V58" s="2" t="s">
        <v>38</v>
      </c>
      <c r="W58" s="2" t="s">
        <v>35</v>
      </c>
      <c r="X58" s="2" t="s">
        <v>35</v>
      </c>
      <c r="Y58" s="2" t="s">
        <v>35</v>
      </c>
      <c r="Z58" s="2" t="b">
        <v>0</v>
      </c>
      <c r="AA58" s="2" t="s">
        <v>35</v>
      </c>
      <c r="AB58" s="2" t="s">
        <v>35</v>
      </c>
      <c r="AC58" s="2" t="s">
        <v>35</v>
      </c>
      <c r="AD58" s="2" t="s">
        <v>35</v>
      </c>
      <c r="AE58" s="2" t="s">
        <v>207</v>
      </c>
      <c r="AF58" s="11">
        <v>44729.65</v>
      </c>
      <c r="AG58" s="53"/>
      <c r="AH58" s="53" t="str">
        <f t="shared" si="1"/>
        <v>TRUE</v>
      </c>
      <c r="AI58" s="56" t="s">
        <v>9466</v>
      </c>
      <c r="AJ58" s="2"/>
      <c r="AK58" s="2"/>
      <c r="AL58" s="2"/>
      <c r="AM58" s="2"/>
      <c r="AN58" s="2"/>
    </row>
    <row r="59" spans="1:40" ht="80" x14ac:dyDescent="0.2">
      <c r="A59" s="4" t="s">
        <v>234</v>
      </c>
      <c r="B59" s="4">
        <v>58</v>
      </c>
      <c r="C59" s="4" t="b">
        <v>0</v>
      </c>
      <c r="D59" s="4" t="b">
        <v>0</v>
      </c>
      <c r="E59" s="4" t="b">
        <v>0</v>
      </c>
      <c r="F59" s="4" t="b">
        <v>0</v>
      </c>
      <c r="G59" s="4" t="s">
        <v>121</v>
      </c>
      <c r="H59" s="68" t="s">
        <v>149</v>
      </c>
      <c r="I59" s="4" t="s">
        <v>235</v>
      </c>
      <c r="J59" s="4" t="s">
        <v>35</v>
      </c>
      <c r="K59" s="4" t="s">
        <v>35</v>
      </c>
      <c r="L59" s="4" t="s">
        <v>35</v>
      </c>
      <c r="M59" s="4">
        <v>16</v>
      </c>
      <c r="N59" s="4">
        <v>16</v>
      </c>
      <c r="O59" s="13">
        <v>44729.692116851853</v>
      </c>
      <c r="P59" s="13">
        <v>44729.692117511571</v>
      </c>
      <c r="Q59" s="15">
        <f t="shared" si="0"/>
        <v>6.5971835283562541E-7</v>
      </c>
      <c r="R59" s="15">
        <f t="shared" si="2"/>
        <v>2.8935028240084648E-7</v>
      </c>
      <c r="S59" s="4">
        <v>0</v>
      </c>
      <c r="T59" s="4" t="s">
        <v>54</v>
      </c>
      <c r="U59" s="4" t="s">
        <v>55</v>
      </c>
      <c r="V59" s="4" t="s">
        <v>38</v>
      </c>
      <c r="W59" s="4" t="s">
        <v>35</v>
      </c>
      <c r="X59" s="4" t="s">
        <v>35</v>
      </c>
      <c r="Y59" s="4" t="s">
        <v>35</v>
      </c>
      <c r="Z59" s="4" t="b">
        <v>0</v>
      </c>
      <c r="AA59" s="4" t="s">
        <v>35</v>
      </c>
      <c r="AB59" s="4" t="s">
        <v>35</v>
      </c>
      <c r="AC59" s="4" t="s">
        <v>35</v>
      </c>
      <c r="AD59" s="4" t="s">
        <v>35</v>
      </c>
      <c r="AE59" s="4" t="s">
        <v>207</v>
      </c>
      <c r="AF59" s="13">
        <v>44729.65</v>
      </c>
      <c r="AG59" s="58" t="s">
        <v>9402</v>
      </c>
      <c r="AH59" s="58" t="str">
        <f t="shared" si="1"/>
        <v>TRUE</v>
      </c>
      <c r="AI59" s="56" t="s">
        <v>9465</v>
      </c>
      <c r="AJ59" s="4"/>
      <c r="AK59" s="4"/>
      <c r="AL59" s="4"/>
      <c r="AM59" s="4"/>
      <c r="AN59" s="4"/>
    </row>
    <row r="60" spans="1:40" ht="16" x14ac:dyDescent="0.2">
      <c r="A60" s="46" t="s">
        <v>236</v>
      </c>
      <c r="B60" s="46">
        <v>59</v>
      </c>
      <c r="C60" s="46" t="b">
        <v>0</v>
      </c>
      <c r="D60" s="46" t="b">
        <v>0</v>
      </c>
      <c r="E60" s="46" t="b">
        <v>0</v>
      </c>
      <c r="F60" s="46" t="b">
        <v>0</v>
      </c>
      <c r="G60" s="46" t="s">
        <v>31</v>
      </c>
      <c r="H60" s="46" t="s">
        <v>237</v>
      </c>
      <c r="I60" s="46" t="s">
        <v>238</v>
      </c>
      <c r="J60" s="46" t="s">
        <v>35</v>
      </c>
      <c r="K60" s="46" t="s">
        <v>35</v>
      </c>
      <c r="L60" s="46" t="s">
        <v>35</v>
      </c>
      <c r="M60" s="46">
        <v>28</v>
      </c>
      <c r="N60" s="46">
        <v>15</v>
      </c>
      <c r="O60" s="66">
        <v>44729.692116886574</v>
      </c>
      <c r="P60" s="66">
        <v>44729.692878379632</v>
      </c>
      <c r="Q60" s="65">
        <f t="shared" si="0"/>
        <v>7.6149305823491886E-4</v>
      </c>
      <c r="R60" s="65">
        <f t="shared" si="2"/>
        <v>7.6086806075181812E-4</v>
      </c>
      <c r="S60" s="46">
        <v>0</v>
      </c>
      <c r="T60" s="46" t="s">
        <v>54</v>
      </c>
      <c r="U60" s="46" t="s">
        <v>55</v>
      </c>
      <c r="V60" s="46" t="s">
        <v>38</v>
      </c>
      <c r="W60" s="46" t="s">
        <v>35</v>
      </c>
      <c r="X60" s="46" t="s">
        <v>35</v>
      </c>
      <c r="Y60" s="46" t="s">
        <v>35</v>
      </c>
      <c r="Z60" s="46" t="b">
        <v>0</v>
      </c>
      <c r="AA60" s="46" t="s">
        <v>35</v>
      </c>
      <c r="AB60" s="46" t="s">
        <v>35</v>
      </c>
      <c r="AC60" s="46" t="s">
        <v>35</v>
      </c>
      <c r="AD60" s="46" t="s">
        <v>35</v>
      </c>
      <c r="AE60" s="46" t="s">
        <v>207</v>
      </c>
      <c r="AF60" s="66">
        <v>44729.65</v>
      </c>
      <c r="AG60" s="67" t="s">
        <v>9403</v>
      </c>
      <c r="AH60" s="53" t="b">
        <f t="shared" si="1"/>
        <v>0</v>
      </c>
      <c r="AI60" s="73" t="str" cm="1">
        <f t="array" ref="AI60">TRANSPOSE(_xlfn._xlws.FILTER(images!L:L,images!F:F=Barrierenmessung!A60, ""))</f>
        <v>https://captureandgo.cloudlab.zhaw.ch/uploads/image_95cf72b454.jpg</v>
      </c>
      <c r="AJ60" s="46"/>
      <c r="AK60" s="46"/>
      <c r="AL60" s="46"/>
      <c r="AM60" s="46"/>
      <c r="AN60" s="46"/>
    </row>
    <row r="61" spans="1:40" ht="16" x14ac:dyDescent="0.2">
      <c r="A61" s="2" t="s">
        <v>239</v>
      </c>
      <c r="B61" s="46">
        <v>60</v>
      </c>
      <c r="C61" s="2" t="b">
        <v>0</v>
      </c>
      <c r="D61" s="2" t="b">
        <v>0</v>
      </c>
      <c r="E61" s="2" t="b">
        <v>0</v>
      </c>
      <c r="F61" s="2" t="b">
        <v>0</v>
      </c>
      <c r="G61" s="2" t="s">
        <v>31</v>
      </c>
      <c r="H61" s="2" t="s">
        <v>240</v>
      </c>
      <c r="I61" s="2" t="s">
        <v>241</v>
      </c>
      <c r="J61" s="2" t="s">
        <v>35</v>
      </c>
      <c r="K61" s="2" t="s">
        <v>35</v>
      </c>
      <c r="L61" s="2" t="s">
        <v>35</v>
      </c>
      <c r="M61" s="2">
        <v>11</v>
      </c>
      <c r="N61" s="2">
        <v>15</v>
      </c>
      <c r="O61" s="11">
        <v>44729.69323675926</v>
      </c>
      <c r="P61" s="11">
        <v>44729.693588634262</v>
      </c>
      <c r="Q61" s="27">
        <f t="shared" si="0"/>
        <v>3.5187500179745257E-4</v>
      </c>
      <c r="R61" s="65">
        <f t="shared" si="2"/>
        <v>7.1025462966645136E-4</v>
      </c>
      <c r="S61" s="2">
        <v>0</v>
      </c>
      <c r="T61" s="2" t="s">
        <v>54</v>
      </c>
      <c r="U61" s="2" t="s">
        <v>55</v>
      </c>
      <c r="V61" s="2" t="s">
        <v>38</v>
      </c>
      <c r="W61" s="2" t="s">
        <v>35</v>
      </c>
      <c r="X61" s="2" t="s">
        <v>35</v>
      </c>
      <c r="Y61" s="2" t="s">
        <v>35</v>
      </c>
      <c r="Z61" s="2" t="b">
        <v>0</v>
      </c>
      <c r="AA61" s="2" t="s">
        <v>35</v>
      </c>
      <c r="AB61" s="2" t="s">
        <v>35</v>
      </c>
      <c r="AC61" s="2" t="s">
        <v>35</v>
      </c>
      <c r="AD61" s="2" t="s">
        <v>35</v>
      </c>
      <c r="AE61" s="2" t="s">
        <v>207</v>
      </c>
      <c r="AF61" s="11">
        <v>44729.65</v>
      </c>
      <c r="AG61" s="53"/>
      <c r="AH61" s="53" t="b">
        <f t="shared" si="1"/>
        <v>0</v>
      </c>
      <c r="AI61" s="54" t="str" cm="1">
        <f t="array" ref="AI61">TRANSPOSE(_xlfn._xlws.FILTER(images!L:L,images!F:F=Barrierenmessung!A61, ""))</f>
        <v>https://captureandgo.cloudlab.zhaw.ch/uploads/image_b69bd742ab.jpg</v>
      </c>
      <c r="AJ61" s="2"/>
      <c r="AK61" s="2"/>
      <c r="AL61" s="2"/>
      <c r="AM61" s="2"/>
      <c r="AN61" s="2"/>
    </row>
    <row r="62" spans="1:40" ht="16" x14ac:dyDescent="0.2">
      <c r="A62" s="2" t="s">
        <v>242</v>
      </c>
      <c r="B62" s="46">
        <v>61</v>
      </c>
      <c r="C62" s="2" t="b">
        <v>0</v>
      </c>
      <c r="D62" s="2" t="b">
        <v>0</v>
      </c>
      <c r="E62" s="2" t="b">
        <v>0</v>
      </c>
      <c r="F62" s="2" t="b">
        <v>0</v>
      </c>
      <c r="G62" s="2" t="s">
        <v>31</v>
      </c>
      <c r="H62" s="2" t="s">
        <v>243</v>
      </c>
      <c r="I62" s="2" t="s">
        <v>244</v>
      </c>
      <c r="J62" s="2" t="s">
        <v>35</v>
      </c>
      <c r="K62" s="2" t="s">
        <v>35</v>
      </c>
      <c r="L62" s="2" t="s">
        <v>35</v>
      </c>
      <c r="M62" s="2" t="s">
        <v>35</v>
      </c>
      <c r="N62" s="2" t="s">
        <v>35</v>
      </c>
      <c r="O62" s="11">
        <v>44729.693961053243</v>
      </c>
      <c r="P62" s="11">
        <v>44729.694490949078</v>
      </c>
      <c r="Q62" s="27">
        <f t="shared" si="0"/>
        <v>5.2989583491580561E-4</v>
      </c>
      <c r="R62" s="65">
        <f t="shared" si="2"/>
        <v>9.0231481590308249E-4</v>
      </c>
      <c r="S62" s="2">
        <v>0</v>
      </c>
      <c r="T62" s="2" t="s">
        <v>36</v>
      </c>
      <c r="U62" s="2" t="s">
        <v>37</v>
      </c>
      <c r="V62" s="2" t="s">
        <v>38</v>
      </c>
      <c r="W62" s="2" t="s">
        <v>35</v>
      </c>
      <c r="X62" s="2" t="s">
        <v>35</v>
      </c>
      <c r="Y62" s="2" t="s">
        <v>35</v>
      </c>
      <c r="Z62" s="2" t="b">
        <v>0</v>
      </c>
      <c r="AA62" s="2" t="s">
        <v>35</v>
      </c>
      <c r="AB62" s="2" t="s">
        <v>35</v>
      </c>
      <c r="AC62" s="2">
        <v>10</v>
      </c>
      <c r="AD62" s="2" t="s">
        <v>35</v>
      </c>
      <c r="AE62" s="2" t="s">
        <v>207</v>
      </c>
      <c r="AF62" s="11">
        <v>44729.65</v>
      </c>
      <c r="AG62" s="53"/>
      <c r="AH62" s="53" t="b">
        <f t="shared" si="1"/>
        <v>0</v>
      </c>
      <c r="AI62" s="54" t="str" cm="1">
        <f t="array" ref="AI62">TRANSPOSE(_xlfn._xlws.FILTER(images!L:L,images!F:F=Barrierenmessung!A62, ""))</f>
        <v>https://captureandgo.cloudlab.zhaw.ch/uploads/image_123f0e927a.jpg</v>
      </c>
      <c r="AJ62" s="2"/>
      <c r="AK62" s="2"/>
      <c r="AL62" s="2"/>
      <c r="AM62" s="2"/>
      <c r="AN62" s="2"/>
    </row>
    <row r="63" spans="1:40" ht="16" x14ac:dyDescent="0.2">
      <c r="A63" s="2" t="s">
        <v>245</v>
      </c>
      <c r="B63" s="46">
        <v>62</v>
      </c>
      <c r="C63" s="2" t="b">
        <v>0</v>
      </c>
      <c r="D63" s="2" t="b">
        <v>0</v>
      </c>
      <c r="E63" s="2" t="b">
        <v>0</v>
      </c>
      <c r="F63" s="2" t="b">
        <v>0</v>
      </c>
      <c r="G63" s="2" t="s">
        <v>31</v>
      </c>
      <c r="H63" s="2" t="s">
        <v>246</v>
      </c>
      <c r="I63" s="2" t="s">
        <v>247</v>
      </c>
      <c r="J63" s="2" t="s">
        <v>248</v>
      </c>
      <c r="K63" s="2" t="s">
        <v>35</v>
      </c>
      <c r="L63" s="2" t="s">
        <v>35</v>
      </c>
      <c r="M63" s="2" t="s">
        <v>35</v>
      </c>
      <c r="N63" s="2" t="s">
        <v>35</v>
      </c>
      <c r="O63" s="11">
        <v>44729.696403483795</v>
      </c>
      <c r="P63" s="11">
        <v>44729.699458877316</v>
      </c>
      <c r="Q63" s="27">
        <f t="shared" si="0"/>
        <v>3.0553935212083161E-3</v>
      </c>
      <c r="R63" s="65">
        <f t="shared" si="2"/>
        <v>4.9679282383294776E-3</v>
      </c>
      <c r="S63" s="2">
        <v>0</v>
      </c>
      <c r="T63" s="2" t="s">
        <v>36</v>
      </c>
      <c r="U63" s="2" t="s">
        <v>37</v>
      </c>
      <c r="V63" s="2" t="s">
        <v>38</v>
      </c>
      <c r="W63" s="2" t="s">
        <v>35</v>
      </c>
      <c r="X63" s="2" t="s">
        <v>35</v>
      </c>
      <c r="Y63" s="2" t="s">
        <v>35</v>
      </c>
      <c r="Z63" s="2" t="b">
        <v>0</v>
      </c>
      <c r="AA63" s="2" t="s">
        <v>35</v>
      </c>
      <c r="AB63" s="2">
        <v>100</v>
      </c>
      <c r="AC63" s="2">
        <v>6</v>
      </c>
      <c r="AD63" s="2">
        <v>4</v>
      </c>
      <c r="AE63" s="2" t="s">
        <v>207</v>
      </c>
      <c r="AF63" s="11">
        <v>44729.65</v>
      </c>
      <c r="AG63" s="53"/>
      <c r="AH63" s="53" t="b">
        <f t="shared" si="1"/>
        <v>0</v>
      </c>
      <c r="AI63" s="54" t="str" cm="1">
        <f t="array" ref="AI63:AM63">TRANSPOSE(_xlfn._xlws.FILTER(images!L:L,images!F:F=Barrierenmessung!A63, ""))</f>
        <v>https://captureandgo.cloudlab.zhaw.ch/uploads/image_bca53250bd.jpg</v>
      </c>
      <c r="AJ63" s="2" t="str">
        <v>https://captureandgo.cloudlab.zhaw.ch/uploads/image_e69040e7ba.jpg</v>
      </c>
      <c r="AK63" s="2" t="str">
        <v>https://captureandgo.cloudlab.zhaw.ch/uploads/image_43c529a4be.jpg</v>
      </c>
      <c r="AL63" s="2" t="str">
        <v>https://captureandgo.cloudlab.zhaw.ch/uploads/image_bff841bd1c.jpg</v>
      </c>
      <c r="AM63" s="2" t="str">
        <v>https://captureandgo.cloudlab.zhaw.ch/uploads/image_db027b745a.jpg</v>
      </c>
      <c r="AN63" s="2"/>
    </row>
    <row r="64" spans="1:40" ht="16" x14ac:dyDescent="0.2">
      <c r="A64" s="2" t="s">
        <v>249</v>
      </c>
      <c r="B64" s="46">
        <v>63</v>
      </c>
      <c r="C64" s="2" t="b">
        <v>0</v>
      </c>
      <c r="D64" s="2" t="b">
        <v>0</v>
      </c>
      <c r="E64" s="2" t="b">
        <v>0</v>
      </c>
      <c r="F64" s="2" t="b">
        <v>0</v>
      </c>
      <c r="G64" s="2" t="s">
        <v>31</v>
      </c>
      <c r="H64" s="2" t="s">
        <v>250</v>
      </c>
      <c r="I64" s="2" t="s">
        <v>251</v>
      </c>
      <c r="J64" s="2" t="s">
        <v>35</v>
      </c>
      <c r="K64" s="2" t="s">
        <v>35</v>
      </c>
      <c r="L64" s="2" t="s">
        <v>35</v>
      </c>
      <c r="M64" s="2" t="s">
        <v>35</v>
      </c>
      <c r="N64" s="2" t="s">
        <v>35</v>
      </c>
      <c r="O64" s="11">
        <v>44729.700144490744</v>
      </c>
      <c r="P64" s="11">
        <v>44729.701377280093</v>
      </c>
      <c r="Q64" s="27">
        <f t="shared" si="0"/>
        <v>1.2327893491601571E-3</v>
      </c>
      <c r="R64" s="65">
        <f t="shared" si="2"/>
        <v>1.9184027769370005E-3</v>
      </c>
      <c r="S64" s="2">
        <v>0</v>
      </c>
      <c r="T64" s="2" t="s">
        <v>36</v>
      </c>
      <c r="U64" s="2" t="s">
        <v>37</v>
      </c>
      <c r="V64" s="2" t="s">
        <v>38</v>
      </c>
      <c r="W64" s="2" t="s">
        <v>35</v>
      </c>
      <c r="X64" s="2" t="s">
        <v>35</v>
      </c>
      <c r="Y64" s="2" t="s">
        <v>35</v>
      </c>
      <c r="Z64" s="2" t="b">
        <v>0</v>
      </c>
      <c r="AA64" s="2" t="s">
        <v>35</v>
      </c>
      <c r="AB64" s="2" t="s">
        <v>35</v>
      </c>
      <c r="AC64" s="2">
        <v>7</v>
      </c>
      <c r="AD64" s="2" t="s">
        <v>35</v>
      </c>
      <c r="AE64" s="2" t="s">
        <v>207</v>
      </c>
      <c r="AF64" s="11">
        <v>44729.65</v>
      </c>
      <c r="AG64" s="53"/>
      <c r="AH64" s="53" t="b">
        <f t="shared" si="1"/>
        <v>0</v>
      </c>
      <c r="AI64" s="54" t="str" cm="1">
        <f t="array" ref="AI64:AJ64">TRANSPOSE(_xlfn._xlws.FILTER(images!L:L,images!F:F=Barrierenmessung!A64, ""))</f>
        <v>https://captureandgo.cloudlab.zhaw.ch/uploads/image_73b5485ae4.jpg</v>
      </c>
      <c r="AJ64" s="2" t="str">
        <v>https://captureandgo.cloudlab.zhaw.ch/uploads/image_99e56be21f.jpg</v>
      </c>
      <c r="AK64" s="2"/>
      <c r="AL64" s="2"/>
      <c r="AM64" s="2"/>
      <c r="AN64" s="2"/>
    </row>
    <row r="65" spans="1:40" ht="16" x14ac:dyDescent="0.2">
      <c r="A65" s="2" t="s">
        <v>252</v>
      </c>
      <c r="B65" s="46">
        <v>64</v>
      </c>
      <c r="C65" s="2" t="b">
        <v>0</v>
      </c>
      <c r="D65" s="2" t="b">
        <v>0</v>
      </c>
      <c r="E65" s="2" t="b">
        <v>0</v>
      </c>
      <c r="F65" s="2" t="b">
        <v>0</v>
      </c>
      <c r="G65" s="2" t="s">
        <v>31</v>
      </c>
      <c r="H65" s="2" t="s">
        <v>253</v>
      </c>
      <c r="I65" s="2" t="s">
        <v>254</v>
      </c>
      <c r="J65" s="2" t="s">
        <v>35</v>
      </c>
      <c r="K65" s="2" t="s">
        <v>35</v>
      </c>
      <c r="L65" s="2" t="s">
        <v>35</v>
      </c>
      <c r="M65" s="2" t="s">
        <v>35</v>
      </c>
      <c r="N65" s="2" t="s">
        <v>35</v>
      </c>
      <c r="O65" s="11">
        <v>44729.702117731482</v>
      </c>
      <c r="P65" s="11">
        <v>44729.703053715275</v>
      </c>
      <c r="Q65" s="27">
        <f t="shared" si="0"/>
        <v>9.3598379316972569E-4</v>
      </c>
      <c r="R65" s="65">
        <f t="shared" si="2"/>
        <v>1.6764351821620949E-3</v>
      </c>
      <c r="S65" s="2">
        <v>0</v>
      </c>
      <c r="T65" s="2" t="s">
        <v>36</v>
      </c>
      <c r="U65" s="2" t="s">
        <v>37</v>
      </c>
      <c r="V65" s="2" t="s">
        <v>38</v>
      </c>
      <c r="W65" s="2" t="s">
        <v>35</v>
      </c>
      <c r="X65" s="2" t="s">
        <v>35</v>
      </c>
      <c r="Y65" s="2" t="s">
        <v>35</v>
      </c>
      <c r="Z65" s="2" t="b">
        <v>0</v>
      </c>
      <c r="AA65" s="2" t="s">
        <v>35</v>
      </c>
      <c r="AB65" s="2">
        <v>100</v>
      </c>
      <c r="AC65" s="2">
        <v>7</v>
      </c>
      <c r="AD65" s="2">
        <v>3</v>
      </c>
      <c r="AE65" s="2" t="s">
        <v>207</v>
      </c>
      <c r="AF65" s="11">
        <v>44729.65</v>
      </c>
      <c r="AG65" s="53"/>
      <c r="AH65" s="53" t="b">
        <f t="shared" si="1"/>
        <v>0</v>
      </c>
      <c r="AI65" s="54" t="str" cm="1">
        <f t="array" ref="AI65">TRANSPOSE(_xlfn._xlws.FILTER(images!L:L,images!F:F=Barrierenmessung!A65, ""))</f>
        <v>https://captureandgo.cloudlab.zhaw.ch/uploads/image_2935e23d9c.jpg</v>
      </c>
      <c r="AJ65" s="2"/>
      <c r="AK65" s="2"/>
      <c r="AL65" s="2"/>
      <c r="AM65" s="2"/>
      <c r="AN65" s="2"/>
    </row>
    <row r="66" spans="1:40" ht="16" x14ac:dyDescent="0.2">
      <c r="A66" s="2" t="s">
        <v>255</v>
      </c>
      <c r="B66" s="46">
        <v>65</v>
      </c>
      <c r="C66" s="2" t="b">
        <v>0</v>
      </c>
      <c r="D66" s="2" t="b">
        <v>0</v>
      </c>
      <c r="E66" s="2" t="b">
        <v>0</v>
      </c>
      <c r="F66" s="2" t="b">
        <v>0</v>
      </c>
      <c r="G66" s="2" t="s">
        <v>31</v>
      </c>
      <c r="H66" s="2" t="s">
        <v>256</v>
      </c>
      <c r="I66" s="2" t="s">
        <v>257</v>
      </c>
      <c r="J66" s="2" t="s">
        <v>35</v>
      </c>
      <c r="K66" s="2" t="s">
        <v>35</v>
      </c>
      <c r="L66" s="2" t="s">
        <v>35</v>
      </c>
      <c r="M66" s="2" t="s">
        <v>35</v>
      </c>
      <c r="N66" s="2" t="s">
        <v>35</v>
      </c>
      <c r="O66" s="11">
        <v>44729.704942037039</v>
      </c>
      <c r="P66" s="11">
        <v>44729.705578518522</v>
      </c>
      <c r="Q66" s="27">
        <f t="shared" ref="Q66:Q129" si="3">P66-O66</f>
        <v>6.364814835251309E-4</v>
      </c>
      <c r="R66" s="65">
        <f t="shared" si="2"/>
        <v>2.52480324706994E-3</v>
      </c>
      <c r="S66" s="2">
        <v>0</v>
      </c>
      <c r="T66" s="2" t="s">
        <v>36</v>
      </c>
      <c r="U66" s="2" t="s">
        <v>37</v>
      </c>
      <c r="V66" s="2" t="s">
        <v>38</v>
      </c>
      <c r="W66" s="2" t="s">
        <v>35</v>
      </c>
      <c r="X66" s="2" t="s">
        <v>35</v>
      </c>
      <c r="Y66" s="2" t="s">
        <v>35</v>
      </c>
      <c r="Z66" s="2" t="b">
        <v>0</v>
      </c>
      <c r="AA66" s="2" t="s">
        <v>35</v>
      </c>
      <c r="AB66" s="2" t="s">
        <v>35</v>
      </c>
      <c r="AC66" s="2">
        <v>6</v>
      </c>
      <c r="AD66" s="2">
        <v>5</v>
      </c>
      <c r="AE66" s="2" t="s">
        <v>207</v>
      </c>
      <c r="AF66" s="11">
        <v>44729.65</v>
      </c>
      <c r="AG66" s="53"/>
      <c r="AH66" s="53" t="b">
        <f t="shared" si="1"/>
        <v>0</v>
      </c>
      <c r="AI66" s="54" t="str" cm="1">
        <f t="array" ref="AI66">TRANSPOSE(_xlfn._xlws.FILTER(images!L:L,images!F:F=Barrierenmessung!A66, ""))</f>
        <v>https://captureandgo.cloudlab.zhaw.ch/uploads/image_44862f3000.jpg</v>
      </c>
      <c r="AJ66" s="2"/>
      <c r="AK66" s="2"/>
      <c r="AL66" s="2"/>
      <c r="AM66" s="2"/>
      <c r="AN66" s="2"/>
    </row>
    <row r="67" spans="1:40" ht="16" x14ac:dyDescent="0.2">
      <c r="A67" s="2" t="s">
        <v>258</v>
      </c>
      <c r="B67" s="46">
        <v>66</v>
      </c>
      <c r="C67" s="2" t="b">
        <v>0</v>
      </c>
      <c r="D67" s="2" t="b">
        <v>0</v>
      </c>
      <c r="E67" s="2" t="b">
        <v>0</v>
      </c>
      <c r="F67" s="2" t="b">
        <v>0</v>
      </c>
      <c r="G67" s="2" t="s">
        <v>31</v>
      </c>
      <c r="H67" s="2" t="s">
        <v>259</v>
      </c>
      <c r="I67" s="2" t="s">
        <v>260</v>
      </c>
      <c r="J67" s="2" t="s">
        <v>35</v>
      </c>
      <c r="K67" s="2" t="s">
        <v>35</v>
      </c>
      <c r="L67" s="2" t="s">
        <v>35</v>
      </c>
      <c r="M67" s="2" t="s">
        <v>35</v>
      </c>
      <c r="N67" s="2" t="s">
        <v>35</v>
      </c>
      <c r="O67" s="11">
        <v>44729.707264201388</v>
      </c>
      <c r="P67" s="11">
        <v>44729.707896145832</v>
      </c>
      <c r="Q67" s="27">
        <f t="shared" si="3"/>
        <v>6.31944443739485E-4</v>
      </c>
      <c r="R67" s="65">
        <f t="shared" si="2"/>
        <v>2.3176273098215461E-3</v>
      </c>
      <c r="S67" s="2">
        <v>0</v>
      </c>
      <c r="T67" s="2" t="s">
        <v>36</v>
      </c>
      <c r="U67" s="2" t="s">
        <v>37</v>
      </c>
      <c r="V67" s="2" t="s">
        <v>38</v>
      </c>
      <c r="W67" s="2" t="s">
        <v>35</v>
      </c>
      <c r="X67" s="2" t="s">
        <v>35</v>
      </c>
      <c r="Y67" s="2" t="s">
        <v>35</v>
      </c>
      <c r="Z67" s="2" t="b">
        <v>0</v>
      </c>
      <c r="AA67" s="2" t="s">
        <v>35</v>
      </c>
      <c r="AB67" s="2" t="s">
        <v>35</v>
      </c>
      <c r="AC67" s="2">
        <v>6</v>
      </c>
      <c r="AD67" s="2" t="s">
        <v>35</v>
      </c>
      <c r="AE67" s="2" t="s">
        <v>207</v>
      </c>
      <c r="AF67" s="11">
        <v>44729.65</v>
      </c>
      <c r="AG67" s="53"/>
      <c r="AH67" s="53" t="b">
        <f t="shared" ref="AH67:AH130" si="4">IF(Q67&lt;TIME(0,0,1),"TRUE")</f>
        <v>0</v>
      </c>
      <c r="AI67" s="54" t="str" cm="1">
        <f t="array" ref="AI67">TRANSPOSE(_xlfn._xlws.FILTER(images!L:L,images!F:F=Barrierenmessung!A67, ""))</f>
        <v>https://captureandgo.cloudlab.zhaw.ch/uploads/image_c1ac07306c.jpg</v>
      </c>
      <c r="AJ67" s="2"/>
      <c r="AK67" s="2"/>
      <c r="AL67" s="2"/>
      <c r="AM67" s="2"/>
      <c r="AN67" s="2"/>
    </row>
    <row r="68" spans="1:40" ht="16" x14ac:dyDescent="0.2">
      <c r="A68" s="2" t="s">
        <v>261</v>
      </c>
      <c r="B68" s="46">
        <v>67</v>
      </c>
      <c r="C68" s="2" t="b">
        <v>0</v>
      </c>
      <c r="D68" s="2" t="b">
        <v>0</v>
      </c>
      <c r="E68" s="2" t="b">
        <v>0</v>
      </c>
      <c r="F68" s="2" t="b">
        <v>1</v>
      </c>
      <c r="G68" s="2" t="s">
        <v>31</v>
      </c>
      <c r="H68" s="2" t="s">
        <v>262</v>
      </c>
      <c r="I68" s="2" t="s">
        <v>263</v>
      </c>
      <c r="J68" s="2" t="s">
        <v>264</v>
      </c>
      <c r="K68" s="2" t="s">
        <v>35</v>
      </c>
      <c r="L68" s="2">
        <v>13</v>
      </c>
      <c r="M68" s="2" t="s">
        <v>35</v>
      </c>
      <c r="N68" s="2" t="s">
        <v>35</v>
      </c>
      <c r="O68" s="11">
        <v>44729.710955462964</v>
      </c>
      <c r="P68" s="11">
        <v>44729.712188124999</v>
      </c>
      <c r="Q68" s="27">
        <f t="shared" si="3"/>
        <v>1.2326620344538242E-3</v>
      </c>
      <c r="R68" s="65">
        <f t="shared" si="2"/>
        <v>4.291979166737292E-3</v>
      </c>
      <c r="S68" s="2">
        <v>0</v>
      </c>
      <c r="T68" s="2" t="s">
        <v>265</v>
      </c>
      <c r="U68" s="2" t="s">
        <v>266</v>
      </c>
      <c r="V68" s="2" t="s">
        <v>38</v>
      </c>
      <c r="W68" s="2" t="s">
        <v>35</v>
      </c>
      <c r="X68" s="2" t="s">
        <v>35</v>
      </c>
      <c r="Y68" s="2" t="s">
        <v>35</v>
      </c>
      <c r="Z68" s="2" t="b">
        <v>0</v>
      </c>
      <c r="AA68" s="2" t="s">
        <v>35</v>
      </c>
      <c r="AB68" s="2" t="s">
        <v>35</v>
      </c>
      <c r="AC68" s="2" t="s">
        <v>35</v>
      </c>
      <c r="AD68" s="2" t="s">
        <v>35</v>
      </c>
      <c r="AE68" s="2" t="s">
        <v>207</v>
      </c>
      <c r="AF68" s="11">
        <v>44729.65</v>
      </c>
      <c r="AG68" s="53"/>
      <c r="AH68" s="53" t="b">
        <f t="shared" si="4"/>
        <v>0</v>
      </c>
      <c r="AI68" s="54" t="str" cm="1">
        <f t="array" ref="AI68">TRANSPOSE(_xlfn._xlws.FILTER(images!L:L,images!F:F=Barrierenmessung!A68, ""))</f>
        <v>https://captureandgo.cloudlab.zhaw.ch/uploads/image_15d9f58198.jpg</v>
      </c>
      <c r="AJ68" s="2"/>
      <c r="AK68" s="2"/>
      <c r="AL68" s="2"/>
      <c r="AM68" s="2"/>
      <c r="AN68" s="2"/>
    </row>
    <row r="69" spans="1:40" ht="16" x14ac:dyDescent="0.2">
      <c r="A69" s="2" t="s">
        <v>267</v>
      </c>
      <c r="B69" s="46">
        <v>68</v>
      </c>
      <c r="C69" s="2" t="b">
        <v>0</v>
      </c>
      <c r="D69" s="2" t="b">
        <v>0</v>
      </c>
      <c r="E69" s="2" t="b">
        <v>0</v>
      </c>
      <c r="F69" s="2" t="b">
        <v>1</v>
      </c>
      <c r="G69" s="2" t="s">
        <v>31</v>
      </c>
      <c r="H69" s="2" t="s">
        <v>268</v>
      </c>
      <c r="I69" s="2" t="s">
        <v>269</v>
      </c>
      <c r="J69" s="2" t="s">
        <v>270</v>
      </c>
      <c r="K69" s="2" t="s">
        <v>35</v>
      </c>
      <c r="L69" s="2">
        <v>11</v>
      </c>
      <c r="M69" s="2" t="s">
        <v>35</v>
      </c>
      <c r="N69" s="2" t="s">
        <v>35</v>
      </c>
      <c r="O69" s="11">
        <v>44729.71243378472</v>
      </c>
      <c r="P69" s="11">
        <v>44729.713172048614</v>
      </c>
      <c r="Q69" s="27">
        <f t="shared" si="3"/>
        <v>7.3826389416353777E-4</v>
      </c>
      <c r="R69" s="65">
        <f t="shared" ref="R69:R132" si="5">MIN(P69-P68, P69-AF69)</f>
        <v>9.8392361542209983E-4</v>
      </c>
      <c r="S69" s="2">
        <v>0</v>
      </c>
      <c r="T69" s="2" t="s">
        <v>265</v>
      </c>
      <c r="U69" s="2" t="s">
        <v>266</v>
      </c>
      <c r="V69" s="2" t="s">
        <v>38</v>
      </c>
      <c r="W69" s="2" t="s">
        <v>35</v>
      </c>
      <c r="X69" s="2" t="s">
        <v>35</v>
      </c>
      <c r="Y69" s="2" t="s">
        <v>35</v>
      </c>
      <c r="Z69" s="2" t="b">
        <v>0</v>
      </c>
      <c r="AA69" s="2" t="s">
        <v>35</v>
      </c>
      <c r="AB69" s="2" t="s">
        <v>35</v>
      </c>
      <c r="AC69" s="2" t="s">
        <v>35</v>
      </c>
      <c r="AD69" s="2" t="s">
        <v>35</v>
      </c>
      <c r="AE69" s="2" t="s">
        <v>207</v>
      </c>
      <c r="AF69" s="11">
        <v>44729.65</v>
      </c>
      <c r="AG69" s="53"/>
      <c r="AH69" s="53" t="b">
        <f t="shared" si="4"/>
        <v>0</v>
      </c>
      <c r="AI69" s="54" t="str" cm="1">
        <f t="array" ref="AI69">TRANSPOSE(_xlfn._xlws.FILTER(images!L:L,images!F:F=Barrierenmessung!A69, ""))</f>
        <v>https://captureandgo.cloudlab.zhaw.ch/uploads/image_a8c07a28f0.jpg</v>
      </c>
      <c r="AJ69" s="2"/>
      <c r="AK69" s="2"/>
      <c r="AL69" s="2"/>
      <c r="AM69" s="2"/>
      <c r="AN69" s="2"/>
    </row>
    <row r="70" spans="1:40" ht="16" x14ac:dyDescent="0.2">
      <c r="A70" s="31" t="s">
        <v>271</v>
      </c>
      <c r="B70" s="31">
        <v>69</v>
      </c>
      <c r="C70" s="31" t="b">
        <v>0</v>
      </c>
      <c r="D70" s="31" t="b">
        <v>0</v>
      </c>
      <c r="E70" s="31" t="b">
        <v>0</v>
      </c>
      <c r="F70" s="31" t="b">
        <v>0</v>
      </c>
      <c r="G70" s="31" t="s">
        <v>31</v>
      </c>
      <c r="H70" s="31" t="s">
        <v>272</v>
      </c>
      <c r="I70" s="31" t="s">
        <v>273</v>
      </c>
      <c r="J70" s="31" t="s">
        <v>274</v>
      </c>
      <c r="K70" s="31" t="s">
        <v>35</v>
      </c>
      <c r="L70" s="31" t="s">
        <v>35</v>
      </c>
      <c r="M70" s="31" t="s">
        <v>35</v>
      </c>
      <c r="N70" s="31" t="s">
        <v>35</v>
      </c>
      <c r="O70" s="32">
        <v>44729.725462546296</v>
      </c>
      <c r="P70" s="32">
        <v>44729.726083182868</v>
      </c>
      <c r="Q70" s="30">
        <f t="shared" si="3"/>
        <v>6.2063657242106274E-4</v>
      </c>
      <c r="R70" s="30">
        <f t="shared" si="5"/>
        <v>1.2911134253954515E-2</v>
      </c>
      <c r="S70" s="31">
        <v>0</v>
      </c>
      <c r="T70" s="31" t="s">
        <v>36</v>
      </c>
      <c r="U70" s="31" t="s">
        <v>37</v>
      </c>
      <c r="V70" s="31" t="s">
        <v>38</v>
      </c>
      <c r="W70" s="31" t="s">
        <v>35</v>
      </c>
      <c r="X70" s="31" t="s">
        <v>35</v>
      </c>
      <c r="Y70" s="31" t="s">
        <v>35</v>
      </c>
      <c r="Z70" s="31" t="b">
        <v>0</v>
      </c>
      <c r="AA70" s="31" t="s">
        <v>35</v>
      </c>
      <c r="AB70" s="31">
        <v>114</v>
      </c>
      <c r="AC70" s="31" t="s">
        <v>35</v>
      </c>
      <c r="AD70" s="31" t="s">
        <v>35</v>
      </c>
      <c r="AE70" s="31" t="s">
        <v>207</v>
      </c>
      <c r="AF70" s="32">
        <v>44729.65</v>
      </c>
      <c r="AG70" s="55" t="s">
        <v>9408</v>
      </c>
      <c r="AH70" s="55" t="b">
        <f t="shared" si="4"/>
        <v>0</v>
      </c>
      <c r="AI70" s="62" t="str" cm="1">
        <f t="array" ref="AI70">TRANSPOSE(_xlfn._xlws.FILTER(images!L:L,images!F:F=Barrierenmessung!A70, ""))</f>
        <v>https://captureandgo.cloudlab.zhaw.ch/uploads/image_2eeaafe0fb.jpg</v>
      </c>
      <c r="AJ70" s="31"/>
      <c r="AK70" s="31"/>
      <c r="AL70" s="31"/>
      <c r="AM70" s="31"/>
      <c r="AN70" s="31"/>
    </row>
    <row r="71" spans="1:40" ht="16" x14ac:dyDescent="0.2">
      <c r="A71" s="2" t="s">
        <v>275</v>
      </c>
      <c r="B71" s="46">
        <v>70</v>
      </c>
      <c r="C71" s="2" t="b">
        <v>0</v>
      </c>
      <c r="D71" s="2" t="b">
        <v>0</v>
      </c>
      <c r="E71" s="2" t="b">
        <v>0</v>
      </c>
      <c r="F71" s="2" t="b">
        <v>1</v>
      </c>
      <c r="G71" s="2" t="s">
        <v>31</v>
      </c>
      <c r="H71" s="2" t="s">
        <v>276</v>
      </c>
      <c r="I71" s="2" t="s">
        <v>277</v>
      </c>
      <c r="J71" s="2" t="s">
        <v>278</v>
      </c>
      <c r="K71" s="2" t="s">
        <v>35</v>
      </c>
      <c r="L71" s="2">
        <v>11</v>
      </c>
      <c r="M71" s="2" t="s">
        <v>35</v>
      </c>
      <c r="N71" s="2" t="s">
        <v>35</v>
      </c>
      <c r="O71" s="11">
        <v>44729.730478900463</v>
      </c>
      <c r="P71" s="11">
        <v>44729.730823391204</v>
      </c>
      <c r="Q71" s="27">
        <f t="shared" si="3"/>
        <v>3.4449074155418202E-4</v>
      </c>
      <c r="R71" s="65">
        <f t="shared" si="5"/>
        <v>4.7402083364431746E-3</v>
      </c>
      <c r="S71" s="2">
        <v>0</v>
      </c>
      <c r="T71" s="2" t="s">
        <v>265</v>
      </c>
      <c r="U71" s="2" t="s">
        <v>266</v>
      </c>
      <c r="V71" s="2" t="s">
        <v>38</v>
      </c>
      <c r="W71" s="2" t="s">
        <v>35</v>
      </c>
      <c r="X71" s="2" t="s">
        <v>35</v>
      </c>
      <c r="Y71" s="2" t="s">
        <v>35</v>
      </c>
      <c r="Z71" s="2" t="b">
        <v>0</v>
      </c>
      <c r="AA71" s="2" t="s">
        <v>35</v>
      </c>
      <c r="AB71" s="2" t="s">
        <v>35</v>
      </c>
      <c r="AC71" s="2" t="s">
        <v>35</v>
      </c>
      <c r="AD71" s="2" t="s">
        <v>35</v>
      </c>
      <c r="AE71" s="2" t="s">
        <v>207</v>
      </c>
      <c r="AF71" s="11">
        <v>44729.65</v>
      </c>
      <c r="AG71" s="53"/>
      <c r="AH71" s="53" t="b">
        <f t="shared" si="4"/>
        <v>0</v>
      </c>
      <c r="AI71" s="54" t="str" cm="1">
        <f t="array" ref="AI71">TRANSPOSE(_xlfn._xlws.FILTER(images!L:L,images!F:F=Barrierenmessung!A71, ""))</f>
        <v>https://captureandgo.cloudlab.zhaw.ch/uploads/image_d8d935ad86.jpg</v>
      </c>
      <c r="AJ71" s="2"/>
      <c r="AK71" s="2"/>
      <c r="AL71" s="2"/>
      <c r="AM71" s="2"/>
      <c r="AN71" s="2"/>
    </row>
    <row r="72" spans="1:40" ht="16" x14ac:dyDescent="0.2">
      <c r="A72" s="2" t="s">
        <v>279</v>
      </c>
      <c r="B72" s="46">
        <v>71</v>
      </c>
      <c r="C72" s="2" t="b">
        <v>0</v>
      </c>
      <c r="D72" s="2" t="b">
        <v>0</v>
      </c>
      <c r="E72" s="2" t="b">
        <v>0</v>
      </c>
      <c r="F72" s="2" t="b">
        <v>1</v>
      </c>
      <c r="G72" s="2" t="s">
        <v>31</v>
      </c>
      <c r="H72" s="2" t="s">
        <v>280</v>
      </c>
      <c r="I72" s="2" t="s">
        <v>269</v>
      </c>
      <c r="J72" s="2" t="s">
        <v>281</v>
      </c>
      <c r="K72" s="2" t="s">
        <v>35</v>
      </c>
      <c r="L72" s="2">
        <v>13</v>
      </c>
      <c r="M72" s="2" t="s">
        <v>35</v>
      </c>
      <c r="N72" s="2" t="s">
        <v>35</v>
      </c>
      <c r="O72" s="11">
        <v>44729.730997638886</v>
      </c>
      <c r="P72" s="11">
        <v>44729.731314178243</v>
      </c>
      <c r="Q72" s="27">
        <f t="shared" si="3"/>
        <v>3.1653935729991645E-4</v>
      </c>
      <c r="R72" s="65">
        <f t="shared" si="5"/>
        <v>4.9078703887062147E-4</v>
      </c>
      <c r="S72" s="2">
        <v>0</v>
      </c>
      <c r="T72" s="2" t="s">
        <v>265</v>
      </c>
      <c r="U72" s="2" t="s">
        <v>266</v>
      </c>
      <c r="V72" s="2" t="s">
        <v>38</v>
      </c>
      <c r="W72" s="2" t="s">
        <v>35</v>
      </c>
      <c r="X72" s="2" t="s">
        <v>35</v>
      </c>
      <c r="Y72" s="2" t="s">
        <v>35</v>
      </c>
      <c r="Z72" s="2" t="b">
        <v>0</v>
      </c>
      <c r="AA72" s="2" t="s">
        <v>35</v>
      </c>
      <c r="AB72" s="2" t="s">
        <v>35</v>
      </c>
      <c r="AC72" s="2" t="s">
        <v>35</v>
      </c>
      <c r="AD72" s="2" t="s">
        <v>35</v>
      </c>
      <c r="AE72" s="2" t="s">
        <v>207</v>
      </c>
      <c r="AF72" s="11">
        <v>44729.65</v>
      </c>
      <c r="AG72" s="53"/>
      <c r="AH72" s="53" t="b">
        <f t="shared" si="4"/>
        <v>0</v>
      </c>
      <c r="AI72" s="54" t="str" cm="1">
        <f t="array" ref="AI72">TRANSPOSE(_xlfn._xlws.FILTER(images!L:L,images!F:F=Barrierenmessung!A72, ""))</f>
        <v>https://captureandgo.cloudlab.zhaw.ch/uploads/image_d32ca51927.jpg</v>
      </c>
      <c r="AJ72" s="2"/>
      <c r="AK72" s="2"/>
      <c r="AL72" s="2"/>
      <c r="AM72" s="2"/>
      <c r="AN72" s="2"/>
    </row>
    <row r="73" spans="1:40" ht="16" x14ac:dyDescent="0.2">
      <c r="A73" s="2" t="s">
        <v>282</v>
      </c>
      <c r="B73" s="46">
        <v>72</v>
      </c>
      <c r="C73" s="2" t="b">
        <v>0</v>
      </c>
      <c r="D73" s="2" t="b">
        <v>0</v>
      </c>
      <c r="E73" s="2" t="b">
        <v>0</v>
      </c>
      <c r="F73" s="2" t="b">
        <v>1</v>
      </c>
      <c r="G73" s="2" t="s">
        <v>31</v>
      </c>
      <c r="H73" s="2" t="s">
        <v>283</v>
      </c>
      <c r="I73" s="2" t="s">
        <v>284</v>
      </c>
      <c r="J73" s="2" t="s">
        <v>281</v>
      </c>
      <c r="K73" s="2" t="s">
        <v>35</v>
      </c>
      <c r="L73" s="2">
        <v>12</v>
      </c>
      <c r="M73" s="2" t="s">
        <v>35</v>
      </c>
      <c r="N73" s="2" t="s">
        <v>35</v>
      </c>
      <c r="O73" s="11">
        <v>44729.731803831019</v>
      </c>
      <c r="P73" s="11">
        <v>44729.732245902778</v>
      </c>
      <c r="Q73" s="27">
        <f t="shared" si="3"/>
        <v>4.4207175960764289E-4</v>
      </c>
      <c r="R73" s="65">
        <f t="shared" si="5"/>
        <v>9.3172453489387408E-4</v>
      </c>
      <c r="S73" s="2">
        <v>0</v>
      </c>
      <c r="T73" s="2" t="s">
        <v>265</v>
      </c>
      <c r="U73" s="2" t="s">
        <v>266</v>
      </c>
      <c r="V73" s="2" t="s">
        <v>38</v>
      </c>
      <c r="W73" s="2" t="s">
        <v>35</v>
      </c>
      <c r="X73" s="2" t="s">
        <v>35</v>
      </c>
      <c r="Y73" s="2" t="s">
        <v>35</v>
      </c>
      <c r="Z73" s="2" t="b">
        <v>0</v>
      </c>
      <c r="AA73" s="2" t="s">
        <v>35</v>
      </c>
      <c r="AB73" s="2" t="s">
        <v>35</v>
      </c>
      <c r="AC73" s="2" t="s">
        <v>35</v>
      </c>
      <c r="AD73" s="2" t="s">
        <v>35</v>
      </c>
      <c r="AE73" s="2" t="s">
        <v>207</v>
      </c>
      <c r="AF73" s="11">
        <v>44729.65</v>
      </c>
      <c r="AG73" s="53"/>
      <c r="AH73" s="53" t="b">
        <f t="shared" si="4"/>
        <v>0</v>
      </c>
      <c r="AI73" s="54" t="str" cm="1">
        <f t="array" ref="AI73">TRANSPOSE(_xlfn._xlws.FILTER(images!L:L,images!F:F=Barrierenmessung!A73, ""))</f>
        <v>https://captureandgo.cloudlab.zhaw.ch/uploads/image_eded844f1c.jpg</v>
      </c>
      <c r="AJ73" s="2"/>
      <c r="AK73" s="2"/>
      <c r="AL73" s="2"/>
      <c r="AM73" s="2"/>
      <c r="AN73" s="2"/>
    </row>
    <row r="74" spans="1:40" ht="16" x14ac:dyDescent="0.2">
      <c r="A74" s="2" t="s">
        <v>285</v>
      </c>
      <c r="B74" s="46">
        <v>73</v>
      </c>
      <c r="C74" s="2" t="b">
        <v>0</v>
      </c>
      <c r="D74" s="2" t="b">
        <v>0</v>
      </c>
      <c r="E74" s="2" t="b">
        <v>0</v>
      </c>
      <c r="F74" s="2" t="b">
        <v>1</v>
      </c>
      <c r="G74" s="2" t="s">
        <v>31</v>
      </c>
      <c r="H74" s="2" t="s">
        <v>286</v>
      </c>
      <c r="I74" s="2" t="s">
        <v>287</v>
      </c>
      <c r="J74" s="2" t="s">
        <v>281</v>
      </c>
      <c r="K74" s="2" t="s">
        <v>35</v>
      </c>
      <c r="L74" s="2">
        <v>11</v>
      </c>
      <c r="M74" s="2" t="s">
        <v>35</v>
      </c>
      <c r="N74" s="2" t="s">
        <v>35</v>
      </c>
      <c r="O74" s="11">
        <v>44729.732348101854</v>
      </c>
      <c r="P74" s="11">
        <v>44729.732645289354</v>
      </c>
      <c r="Q74" s="27">
        <f t="shared" si="3"/>
        <v>2.971875001094304E-4</v>
      </c>
      <c r="R74" s="65">
        <f t="shared" si="5"/>
        <v>3.993865757365711E-4</v>
      </c>
      <c r="S74" s="2">
        <v>0</v>
      </c>
      <c r="T74" s="2" t="s">
        <v>265</v>
      </c>
      <c r="U74" s="2" t="s">
        <v>266</v>
      </c>
      <c r="V74" s="2" t="s">
        <v>38</v>
      </c>
      <c r="W74" s="2" t="s">
        <v>35</v>
      </c>
      <c r="X74" s="2" t="s">
        <v>35</v>
      </c>
      <c r="Y74" s="2" t="s">
        <v>35</v>
      </c>
      <c r="Z74" s="2" t="b">
        <v>0</v>
      </c>
      <c r="AA74" s="2" t="s">
        <v>35</v>
      </c>
      <c r="AB74" s="2" t="s">
        <v>35</v>
      </c>
      <c r="AC74" s="2" t="s">
        <v>35</v>
      </c>
      <c r="AD74" s="2" t="s">
        <v>35</v>
      </c>
      <c r="AE74" s="2" t="s">
        <v>207</v>
      </c>
      <c r="AF74" s="11">
        <v>44729.65</v>
      </c>
      <c r="AG74" s="53"/>
      <c r="AH74" s="53" t="b">
        <f t="shared" si="4"/>
        <v>0</v>
      </c>
      <c r="AI74" s="54" t="str" cm="1">
        <f t="array" ref="AI74">TRANSPOSE(_xlfn._xlws.FILTER(images!L:L,images!F:F=Barrierenmessung!A74, ""))</f>
        <v>https://captureandgo.cloudlab.zhaw.ch/uploads/image_6dd9cf3d29.jpg</v>
      </c>
      <c r="AJ74" s="2"/>
      <c r="AK74" s="2"/>
      <c r="AL74" s="2"/>
      <c r="AM74" s="2"/>
      <c r="AN74" s="2"/>
    </row>
    <row r="75" spans="1:40" ht="16" customHeight="1" x14ac:dyDescent="0.2">
      <c r="A75" s="2" t="s">
        <v>288</v>
      </c>
      <c r="B75" s="46">
        <v>74</v>
      </c>
      <c r="C75" s="2" t="b">
        <v>0</v>
      </c>
      <c r="D75" s="2" t="b">
        <v>0</v>
      </c>
      <c r="E75" s="2" t="b">
        <v>0</v>
      </c>
      <c r="F75" s="2" t="b">
        <v>0</v>
      </c>
      <c r="G75" s="2" t="s">
        <v>31</v>
      </c>
      <c r="H75" s="2" t="s">
        <v>289</v>
      </c>
      <c r="I75" s="2" t="s">
        <v>290</v>
      </c>
      <c r="J75" s="2" t="s">
        <v>35</v>
      </c>
      <c r="K75" s="2" t="s">
        <v>35</v>
      </c>
      <c r="L75" s="2" t="s">
        <v>35</v>
      </c>
      <c r="M75" s="2" t="s">
        <v>35</v>
      </c>
      <c r="N75" s="2" t="s">
        <v>35</v>
      </c>
      <c r="O75" s="11">
        <v>44729.734635300927</v>
      </c>
      <c r="P75" s="11">
        <v>44729.735632546297</v>
      </c>
      <c r="Q75" s="27">
        <f t="shared" si="3"/>
        <v>9.9724536994472146E-4</v>
      </c>
      <c r="R75" s="65">
        <f t="shared" si="5"/>
        <v>2.9872569430153817E-3</v>
      </c>
      <c r="S75" s="2">
        <v>0</v>
      </c>
      <c r="T75" s="2" t="s">
        <v>36</v>
      </c>
      <c r="U75" s="2" t="s">
        <v>37</v>
      </c>
      <c r="V75" s="2" t="s">
        <v>38</v>
      </c>
      <c r="W75" s="2" t="s">
        <v>35</v>
      </c>
      <c r="X75" s="2" t="s">
        <v>35</v>
      </c>
      <c r="Y75" s="2" t="s">
        <v>35</v>
      </c>
      <c r="Z75" s="2" t="b">
        <v>0</v>
      </c>
      <c r="AA75" s="2" t="s">
        <v>35</v>
      </c>
      <c r="AB75" s="2">
        <v>100</v>
      </c>
      <c r="AC75" s="2">
        <v>4</v>
      </c>
      <c r="AD75" s="2">
        <v>4</v>
      </c>
      <c r="AE75" s="2" t="s">
        <v>207</v>
      </c>
      <c r="AF75" s="11">
        <v>44729.65</v>
      </c>
      <c r="AG75" s="53"/>
      <c r="AH75" s="53" t="b">
        <f t="shared" si="4"/>
        <v>0</v>
      </c>
      <c r="AI75" s="54" t="str" cm="1">
        <f t="array" ref="AI75">TRANSPOSE(_xlfn._xlws.FILTER(images!L:L,images!F:F=Barrierenmessung!A75, ""))</f>
        <v>https://captureandgo.cloudlab.zhaw.ch/uploads/image_926c8b452e.jpg</v>
      </c>
      <c r="AJ75" s="2"/>
      <c r="AK75" s="2"/>
      <c r="AL75" s="2"/>
      <c r="AM75" s="2"/>
      <c r="AN75" s="2"/>
    </row>
    <row r="76" spans="1:40" ht="16" customHeight="1" x14ac:dyDescent="0.2">
      <c r="A76" s="2" t="s">
        <v>291</v>
      </c>
      <c r="B76" s="46">
        <v>75</v>
      </c>
      <c r="C76" s="2" t="b">
        <v>0</v>
      </c>
      <c r="D76" s="2" t="b">
        <v>0</v>
      </c>
      <c r="E76" s="2" t="b">
        <v>0</v>
      </c>
      <c r="F76" s="2" t="b">
        <v>0</v>
      </c>
      <c r="G76" s="2" t="s">
        <v>31</v>
      </c>
      <c r="H76" s="2" t="s">
        <v>292</v>
      </c>
      <c r="I76" s="2" t="s">
        <v>293</v>
      </c>
      <c r="J76" s="2" t="s">
        <v>294</v>
      </c>
      <c r="K76" s="2" t="s">
        <v>35</v>
      </c>
      <c r="L76" s="2" t="s">
        <v>35</v>
      </c>
      <c r="M76" s="2" t="s">
        <v>35</v>
      </c>
      <c r="N76" s="2" t="s">
        <v>35</v>
      </c>
      <c r="O76" s="11">
        <v>44729.736581400466</v>
      </c>
      <c r="P76" s="11">
        <v>44729.737693981479</v>
      </c>
      <c r="Q76" s="27">
        <f t="shared" si="3"/>
        <v>1.1125810124212876E-3</v>
      </c>
      <c r="R76" s="65">
        <f t="shared" si="5"/>
        <v>2.0614351815311238E-3</v>
      </c>
      <c r="S76" s="2">
        <v>0</v>
      </c>
      <c r="T76" s="2" t="s">
        <v>36</v>
      </c>
      <c r="U76" s="2" t="s">
        <v>37</v>
      </c>
      <c r="V76" s="2" t="s">
        <v>38</v>
      </c>
      <c r="W76" s="2" t="s">
        <v>35</v>
      </c>
      <c r="X76" s="2" t="s">
        <v>35</v>
      </c>
      <c r="Y76" s="2" t="s">
        <v>35</v>
      </c>
      <c r="Z76" s="2" t="b">
        <v>0</v>
      </c>
      <c r="AA76" s="2" t="s">
        <v>35</v>
      </c>
      <c r="AB76" s="2" t="s">
        <v>35</v>
      </c>
      <c r="AC76" s="2">
        <v>9</v>
      </c>
      <c r="AD76" s="2">
        <v>6</v>
      </c>
      <c r="AE76" s="2" t="s">
        <v>207</v>
      </c>
      <c r="AF76" s="11">
        <v>44729.65</v>
      </c>
      <c r="AG76" s="53"/>
      <c r="AH76" s="53" t="b">
        <f t="shared" si="4"/>
        <v>0</v>
      </c>
      <c r="AI76" s="54" t="str" cm="1">
        <f t="array" ref="AI76">TRANSPOSE(_xlfn._xlws.FILTER(images!L:L,images!F:F=Barrierenmessung!A76, ""))</f>
        <v>https://captureandgo.cloudlab.zhaw.ch/uploads/image_b5cd027fba.jpg</v>
      </c>
      <c r="AJ76" s="2"/>
      <c r="AK76" s="2"/>
      <c r="AL76" s="2"/>
      <c r="AM76" s="2"/>
      <c r="AN76" s="2"/>
    </row>
    <row r="77" spans="1:40" ht="80" x14ac:dyDescent="0.2">
      <c r="A77" s="4" t="s">
        <v>295</v>
      </c>
      <c r="B77" s="4">
        <v>76</v>
      </c>
      <c r="C77" s="4" t="b">
        <v>0</v>
      </c>
      <c r="D77" s="4" t="b">
        <v>0</v>
      </c>
      <c r="E77" s="4" t="b">
        <v>0</v>
      </c>
      <c r="F77" s="4" t="b">
        <v>0</v>
      </c>
      <c r="G77" s="4" t="s">
        <v>121</v>
      </c>
      <c r="H77" s="68" t="s">
        <v>149</v>
      </c>
      <c r="I77" s="4" t="s">
        <v>296</v>
      </c>
      <c r="J77" s="4" t="s">
        <v>35</v>
      </c>
      <c r="K77" s="4" t="s">
        <v>35</v>
      </c>
      <c r="L77" s="4" t="s">
        <v>35</v>
      </c>
      <c r="M77" s="4" t="s">
        <v>35</v>
      </c>
      <c r="N77" s="4" t="s">
        <v>35</v>
      </c>
      <c r="O77" s="13">
        <v>44729.740461006942</v>
      </c>
      <c r="P77" s="13">
        <v>44729.740865995373</v>
      </c>
      <c r="Q77" s="15">
        <f t="shared" si="3"/>
        <v>4.0498843009117991E-4</v>
      </c>
      <c r="R77" s="15">
        <f t="shared" si="5"/>
        <v>3.1720138940727338E-3</v>
      </c>
      <c r="S77" s="4">
        <v>0</v>
      </c>
      <c r="T77" s="4" t="s">
        <v>36</v>
      </c>
      <c r="U77" s="4" t="s">
        <v>37</v>
      </c>
      <c r="V77" s="4" t="s">
        <v>38</v>
      </c>
      <c r="W77" s="4" t="s">
        <v>35</v>
      </c>
      <c r="X77" s="4" t="s">
        <v>35</v>
      </c>
      <c r="Y77" s="4" t="s">
        <v>35</v>
      </c>
      <c r="Z77" s="4" t="b">
        <v>0</v>
      </c>
      <c r="AA77" s="4" t="s">
        <v>35</v>
      </c>
      <c r="AB77" s="4">
        <v>90</v>
      </c>
      <c r="AC77" s="4" t="s">
        <v>35</v>
      </c>
      <c r="AD77" s="4" t="s">
        <v>35</v>
      </c>
      <c r="AE77" s="4" t="s">
        <v>207</v>
      </c>
      <c r="AF77" s="13">
        <v>44729.65</v>
      </c>
      <c r="AG77" s="58" t="s">
        <v>9469</v>
      </c>
      <c r="AH77" s="58" t="b">
        <f t="shared" si="4"/>
        <v>0</v>
      </c>
      <c r="AI77" s="56"/>
      <c r="AJ77" s="4"/>
      <c r="AK77" s="4"/>
      <c r="AL77" s="4"/>
      <c r="AM77" s="4"/>
      <c r="AN77" s="4"/>
    </row>
    <row r="78" spans="1:40" ht="16" x14ac:dyDescent="0.2">
      <c r="A78" s="2" t="s">
        <v>297</v>
      </c>
      <c r="B78" s="46">
        <v>77</v>
      </c>
      <c r="C78" s="2" t="b">
        <v>0</v>
      </c>
      <c r="D78" s="2" t="b">
        <v>0</v>
      </c>
      <c r="E78" s="2" t="b">
        <v>0</v>
      </c>
      <c r="F78" s="2" t="b">
        <v>0</v>
      </c>
      <c r="G78" s="2" t="s">
        <v>31</v>
      </c>
      <c r="H78" s="68" t="s">
        <v>149</v>
      </c>
      <c r="I78" s="2" t="s">
        <v>298</v>
      </c>
      <c r="J78" s="2" t="s">
        <v>35</v>
      </c>
      <c r="K78" s="2" t="s">
        <v>35</v>
      </c>
      <c r="L78" s="2" t="s">
        <v>35</v>
      </c>
      <c r="M78" s="2" t="s">
        <v>35</v>
      </c>
      <c r="N78" s="2" t="s">
        <v>35</v>
      </c>
      <c r="O78" s="11">
        <v>44729.746537916668</v>
      </c>
      <c r="P78" s="11">
        <v>44729.74655729167</v>
      </c>
      <c r="Q78" s="27">
        <f t="shared" si="3"/>
        <v>1.9375002011656761E-5</v>
      </c>
      <c r="R78" s="65">
        <f t="shared" si="5"/>
        <v>5.6912962973001413E-3</v>
      </c>
      <c r="S78" s="2">
        <v>0</v>
      </c>
      <c r="T78" s="2" t="s">
        <v>36</v>
      </c>
      <c r="U78" s="2" t="s">
        <v>37</v>
      </c>
      <c r="V78" s="2" t="s">
        <v>38</v>
      </c>
      <c r="W78" s="2" t="s">
        <v>35</v>
      </c>
      <c r="X78" s="2" t="s">
        <v>35</v>
      </c>
      <c r="Y78" s="2" t="s">
        <v>35</v>
      </c>
      <c r="Z78" s="2" t="b">
        <v>0</v>
      </c>
      <c r="AA78" s="2" t="s">
        <v>35</v>
      </c>
      <c r="AB78" s="2" t="s">
        <v>35</v>
      </c>
      <c r="AC78" s="2">
        <v>9</v>
      </c>
      <c r="AD78" s="2" t="s">
        <v>35</v>
      </c>
      <c r="AE78" s="2" t="s">
        <v>207</v>
      </c>
      <c r="AF78" s="11">
        <v>44729.65</v>
      </c>
      <c r="AG78" s="59"/>
      <c r="AH78" s="53" t="b">
        <f t="shared" si="4"/>
        <v>0</v>
      </c>
      <c r="AI78" s="56" t="s">
        <v>9467</v>
      </c>
      <c r="AJ78" s="2"/>
      <c r="AK78" s="2"/>
      <c r="AL78" s="2"/>
      <c r="AM78" s="2"/>
      <c r="AN78" s="2"/>
    </row>
    <row r="79" spans="1:40" ht="48" x14ac:dyDescent="0.2">
      <c r="A79" s="4" t="s">
        <v>299</v>
      </c>
      <c r="B79" s="4">
        <v>78</v>
      </c>
      <c r="C79" s="4" t="b">
        <v>0</v>
      </c>
      <c r="D79" s="4" t="b">
        <v>0</v>
      </c>
      <c r="E79" s="4" t="b">
        <v>0</v>
      </c>
      <c r="F79" s="4" t="b">
        <v>0</v>
      </c>
      <c r="G79" s="4" t="s">
        <v>121</v>
      </c>
      <c r="H79" s="68" t="s">
        <v>149</v>
      </c>
      <c r="I79" s="4" t="s">
        <v>300</v>
      </c>
      <c r="J79" s="4" t="s">
        <v>35</v>
      </c>
      <c r="K79" s="4" t="s">
        <v>35</v>
      </c>
      <c r="L79" s="4" t="s">
        <v>35</v>
      </c>
      <c r="M79" s="4" t="s">
        <v>35</v>
      </c>
      <c r="N79" s="4" t="s">
        <v>35</v>
      </c>
      <c r="O79" s="13">
        <v>44729.746557442129</v>
      </c>
      <c r="P79" s="13">
        <v>44729.747284097219</v>
      </c>
      <c r="Q79" s="15">
        <f t="shared" si="3"/>
        <v>7.2665508923819289E-4</v>
      </c>
      <c r="R79" s="15">
        <f t="shared" si="5"/>
        <v>7.2680554876569659E-4</v>
      </c>
      <c r="S79" s="4">
        <v>0</v>
      </c>
      <c r="T79" s="4" t="s">
        <v>36</v>
      </c>
      <c r="U79" s="4" t="s">
        <v>37</v>
      </c>
      <c r="V79" s="4" t="s">
        <v>38</v>
      </c>
      <c r="W79" s="4" t="s">
        <v>35</v>
      </c>
      <c r="X79" s="4" t="s">
        <v>35</v>
      </c>
      <c r="Y79" s="4" t="s">
        <v>35</v>
      </c>
      <c r="Z79" s="4" t="b">
        <v>0</v>
      </c>
      <c r="AA79" s="4" t="s">
        <v>35</v>
      </c>
      <c r="AB79" s="4">
        <v>85</v>
      </c>
      <c r="AC79" s="4">
        <v>8</v>
      </c>
      <c r="AD79" s="4">
        <v>3</v>
      </c>
      <c r="AE79" s="4" t="s">
        <v>207</v>
      </c>
      <c r="AF79" s="60">
        <v>44729.65</v>
      </c>
      <c r="AG79" s="58" t="s">
        <v>9470</v>
      </c>
      <c r="AH79" s="58" t="b">
        <f t="shared" si="4"/>
        <v>0</v>
      </c>
      <c r="AI79" s="56"/>
      <c r="AJ79" s="4"/>
      <c r="AK79" s="4"/>
      <c r="AL79" s="4"/>
      <c r="AM79" s="4"/>
      <c r="AN79" s="4"/>
    </row>
    <row r="80" spans="1:40" ht="16" x14ac:dyDescent="0.2">
      <c r="A80" s="2" t="s">
        <v>301</v>
      </c>
      <c r="B80" s="46">
        <v>79</v>
      </c>
      <c r="C80" s="2" t="b">
        <v>0</v>
      </c>
      <c r="D80" s="2" t="b">
        <v>0</v>
      </c>
      <c r="E80" s="2" t="b">
        <v>0</v>
      </c>
      <c r="F80" s="2" t="b">
        <v>0</v>
      </c>
      <c r="G80" s="2" t="s">
        <v>31</v>
      </c>
      <c r="H80" s="2" t="s">
        <v>302</v>
      </c>
      <c r="I80" s="2" t="s">
        <v>303</v>
      </c>
      <c r="J80" s="2" t="s">
        <v>35</v>
      </c>
      <c r="K80" s="2" t="s">
        <v>35</v>
      </c>
      <c r="L80" s="2" t="s">
        <v>35</v>
      </c>
      <c r="M80" s="2" t="s">
        <v>35</v>
      </c>
      <c r="N80" s="2" t="s">
        <v>35</v>
      </c>
      <c r="O80" s="11">
        <v>44729.748957118056</v>
      </c>
      <c r="P80" s="11">
        <v>44729.749200219907</v>
      </c>
      <c r="Q80" s="27">
        <f t="shared" si="3"/>
        <v>2.4310185108333826E-4</v>
      </c>
      <c r="R80" s="65">
        <f t="shared" si="5"/>
        <v>1.916122688271571E-3</v>
      </c>
      <c r="S80" s="2">
        <v>0</v>
      </c>
      <c r="T80" s="2" t="s">
        <v>36</v>
      </c>
      <c r="U80" s="2" t="s">
        <v>37</v>
      </c>
      <c r="V80" s="2" t="s">
        <v>38</v>
      </c>
      <c r="W80" s="2" t="s">
        <v>35</v>
      </c>
      <c r="X80" s="2" t="s">
        <v>35</v>
      </c>
      <c r="Y80" s="2" t="s">
        <v>35</v>
      </c>
      <c r="Z80" s="2" t="b">
        <v>0</v>
      </c>
      <c r="AA80" s="2" t="s">
        <v>35</v>
      </c>
      <c r="AB80" s="2">
        <v>100</v>
      </c>
      <c r="AC80" s="2" t="s">
        <v>35</v>
      </c>
      <c r="AD80" s="2" t="s">
        <v>35</v>
      </c>
      <c r="AE80" s="2" t="s">
        <v>207</v>
      </c>
      <c r="AF80" s="11">
        <v>44729.65</v>
      </c>
      <c r="AG80" s="53"/>
      <c r="AH80" s="53" t="b">
        <f t="shared" si="4"/>
        <v>0</v>
      </c>
      <c r="AI80" s="54" t="str" cm="1">
        <f t="array" ref="AI80">TRANSPOSE(_xlfn._xlws.FILTER(images!L:L,images!F:F=Barrierenmessung!A80, ""))</f>
        <v>https://captureandgo.cloudlab.zhaw.ch/uploads/image_42159cd4a0.jpg</v>
      </c>
      <c r="AJ80" s="2"/>
      <c r="AK80" s="2"/>
      <c r="AL80" s="2"/>
      <c r="AM80" s="2"/>
      <c r="AN80" s="2"/>
    </row>
    <row r="81" spans="1:40" ht="16" x14ac:dyDescent="0.2">
      <c r="A81" s="2" t="s">
        <v>304</v>
      </c>
      <c r="B81" s="46">
        <v>80</v>
      </c>
      <c r="C81" s="2" t="b">
        <v>0</v>
      </c>
      <c r="D81" s="2" t="b">
        <v>0</v>
      </c>
      <c r="E81" s="2" t="b">
        <v>0</v>
      </c>
      <c r="F81" s="2" t="b">
        <v>0</v>
      </c>
      <c r="G81" s="2" t="s">
        <v>31</v>
      </c>
      <c r="H81" s="2" t="s">
        <v>305</v>
      </c>
      <c r="I81" s="2" t="s">
        <v>306</v>
      </c>
      <c r="J81" s="2" t="s">
        <v>274</v>
      </c>
      <c r="K81" s="2" t="s">
        <v>35</v>
      </c>
      <c r="L81" s="2" t="s">
        <v>35</v>
      </c>
      <c r="M81" s="2" t="s">
        <v>35</v>
      </c>
      <c r="N81" s="2" t="s">
        <v>35</v>
      </c>
      <c r="O81" s="11">
        <v>44735.406863703705</v>
      </c>
      <c r="P81" s="11">
        <v>44735.407190497688</v>
      </c>
      <c r="Q81" s="27">
        <f t="shared" si="3"/>
        <v>3.2679398282198235E-4</v>
      </c>
      <c r="R81" s="65">
        <f t="shared" si="5"/>
        <v>9.4049768813420087E-4</v>
      </c>
      <c r="S81" s="2">
        <v>0</v>
      </c>
      <c r="T81" s="2" t="s">
        <v>109</v>
      </c>
      <c r="U81" s="2" t="s">
        <v>110</v>
      </c>
      <c r="V81" s="2" t="s">
        <v>38</v>
      </c>
      <c r="W81" s="2" t="s">
        <v>35</v>
      </c>
      <c r="X81" s="2">
        <v>110</v>
      </c>
      <c r="Y81" s="2" t="s">
        <v>35</v>
      </c>
      <c r="Z81" s="2" t="b">
        <v>0</v>
      </c>
      <c r="AA81" s="2" t="s">
        <v>35</v>
      </c>
      <c r="AB81" s="2" t="s">
        <v>35</v>
      </c>
      <c r="AC81" s="2" t="s">
        <v>35</v>
      </c>
      <c r="AD81" s="2" t="s">
        <v>35</v>
      </c>
      <c r="AE81" s="2" t="s">
        <v>207</v>
      </c>
      <c r="AF81" s="11">
        <v>44735.40625</v>
      </c>
      <c r="AG81" s="53"/>
      <c r="AH81" s="53" t="b">
        <f t="shared" si="4"/>
        <v>0</v>
      </c>
      <c r="AI81" s="54" t="str" cm="1">
        <f t="array" ref="AI81">TRANSPOSE(_xlfn._xlws.FILTER(images!L:L,images!F:F=Barrierenmessung!A81, ""))</f>
        <v>https://captureandgo.cloudlab.zhaw.ch/uploads/image_a03eb0e5b0.jpg</v>
      </c>
      <c r="AJ81" s="2"/>
      <c r="AK81" s="2"/>
      <c r="AL81" s="2"/>
      <c r="AM81" s="2"/>
      <c r="AN81" s="2"/>
    </row>
    <row r="82" spans="1:40" ht="16" x14ac:dyDescent="0.2">
      <c r="A82" s="2" t="s">
        <v>307</v>
      </c>
      <c r="B82" s="46">
        <v>81</v>
      </c>
      <c r="C82" s="2" t="b">
        <v>0</v>
      </c>
      <c r="D82" s="2" t="b">
        <v>0</v>
      </c>
      <c r="E82" s="2" t="b">
        <v>0</v>
      </c>
      <c r="F82" s="2" t="b">
        <v>1</v>
      </c>
      <c r="G82" s="2" t="s">
        <v>31</v>
      </c>
      <c r="H82" s="2" t="s">
        <v>308</v>
      </c>
      <c r="I82" s="2" t="s">
        <v>309</v>
      </c>
      <c r="J82" s="2" t="s">
        <v>281</v>
      </c>
      <c r="K82" s="2" t="s">
        <v>35</v>
      </c>
      <c r="L82" s="2">
        <v>12</v>
      </c>
      <c r="M82" s="2" t="s">
        <v>35</v>
      </c>
      <c r="N82" s="2" t="s">
        <v>35</v>
      </c>
      <c r="O82" s="11">
        <v>44735.407535023151</v>
      </c>
      <c r="P82" s="11">
        <v>44735.408239444441</v>
      </c>
      <c r="Q82" s="27">
        <f t="shared" si="3"/>
        <v>7.0442129072034732E-4</v>
      </c>
      <c r="R82" s="65">
        <f t="shared" si="5"/>
        <v>1.0489467531442642E-3</v>
      </c>
      <c r="S82" s="2">
        <v>0</v>
      </c>
      <c r="T82" s="2" t="s">
        <v>265</v>
      </c>
      <c r="U82" s="2" t="s">
        <v>266</v>
      </c>
      <c r="V82" s="2" t="s">
        <v>38</v>
      </c>
      <c r="W82" s="2" t="s">
        <v>35</v>
      </c>
      <c r="X82" s="2" t="s">
        <v>35</v>
      </c>
      <c r="Y82" s="2" t="s">
        <v>35</v>
      </c>
      <c r="Z82" s="2" t="b">
        <v>0</v>
      </c>
      <c r="AA82" s="2" t="s">
        <v>35</v>
      </c>
      <c r="AB82" s="2" t="s">
        <v>35</v>
      </c>
      <c r="AC82" s="2" t="s">
        <v>35</v>
      </c>
      <c r="AD82" s="2" t="s">
        <v>35</v>
      </c>
      <c r="AE82" s="2" t="s">
        <v>207</v>
      </c>
      <c r="AF82" s="11">
        <v>44735.40625</v>
      </c>
      <c r="AG82" s="53"/>
      <c r="AH82" s="53" t="b">
        <f t="shared" si="4"/>
        <v>0</v>
      </c>
      <c r="AI82" s="54" t="str" cm="1">
        <f t="array" ref="AI82">TRANSPOSE(_xlfn._xlws.FILTER(images!L:L,images!F:F=Barrierenmessung!A82, ""))</f>
        <v>https://captureandgo.cloudlab.zhaw.ch/uploads/image_14f55dc056.jpg</v>
      </c>
      <c r="AJ82" s="2"/>
      <c r="AK82" s="2"/>
      <c r="AL82" s="2"/>
      <c r="AM82" s="2"/>
      <c r="AN82" s="2"/>
    </row>
    <row r="83" spans="1:40" ht="16" x14ac:dyDescent="0.2">
      <c r="A83" s="2" t="s">
        <v>310</v>
      </c>
      <c r="B83" s="46">
        <v>82</v>
      </c>
      <c r="C83" s="2" t="b">
        <v>0</v>
      </c>
      <c r="D83" s="2" t="b">
        <v>0</v>
      </c>
      <c r="E83" s="2" t="b">
        <v>0</v>
      </c>
      <c r="F83" s="2" t="b">
        <v>0</v>
      </c>
      <c r="G83" s="2" t="s">
        <v>31</v>
      </c>
      <c r="H83" s="2" t="s">
        <v>311</v>
      </c>
      <c r="I83" s="2" t="s">
        <v>312</v>
      </c>
      <c r="J83" s="2" t="s">
        <v>313</v>
      </c>
      <c r="K83" s="2" t="s">
        <v>35</v>
      </c>
      <c r="L83" s="2" t="s">
        <v>35</v>
      </c>
      <c r="M83" s="2" t="s">
        <v>35</v>
      </c>
      <c r="N83" s="2" t="s">
        <v>35</v>
      </c>
      <c r="O83" s="11">
        <v>44735.408557453702</v>
      </c>
      <c r="P83" s="11">
        <v>44735.409805856485</v>
      </c>
      <c r="Q83" s="27">
        <f t="shared" si="3"/>
        <v>1.2484027829486877E-3</v>
      </c>
      <c r="R83" s="65">
        <f t="shared" si="5"/>
        <v>1.5664120437577367E-3</v>
      </c>
      <c r="S83" s="2">
        <v>0</v>
      </c>
      <c r="T83" s="2" t="s">
        <v>124</v>
      </c>
      <c r="U83" s="2" t="s">
        <v>125</v>
      </c>
      <c r="V83" s="2" t="s">
        <v>38</v>
      </c>
      <c r="W83" s="2" t="s">
        <v>35</v>
      </c>
      <c r="X83" s="2" t="s">
        <v>35</v>
      </c>
      <c r="Y83" s="2" t="s">
        <v>35</v>
      </c>
      <c r="Z83" s="2" t="b">
        <v>0</v>
      </c>
      <c r="AA83" s="2" t="s">
        <v>35</v>
      </c>
      <c r="AB83" s="2">
        <v>4</v>
      </c>
      <c r="AC83" s="2" t="s">
        <v>35</v>
      </c>
      <c r="AD83" s="2" t="s">
        <v>35</v>
      </c>
      <c r="AE83" s="2" t="s">
        <v>207</v>
      </c>
      <c r="AF83" s="11">
        <v>44735.40625</v>
      </c>
      <c r="AG83" s="53"/>
      <c r="AH83" s="53" t="b">
        <f t="shared" si="4"/>
        <v>0</v>
      </c>
      <c r="AI83" s="54" t="str" cm="1">
        <f t="array" ref="AI83">TRANSPOSE(_xlfn._xlws.FILTER(images!L:L,images!F:F=Barrierenmessung!A83, ""))</f>
        <v>https://captureandgo.cloudlab.zhaw.ch/uploads/image_28990cb158.jpg</v>
      </c>
      <c r="AJ83" s="2"/>
      <c r="AK83" s="2"/>
      <c r="AL83" s="2"/>
      <c r="AM83" s="2"/>
      <c r="AN83" s="2"/>
    </row>
    <row r="84" spans="1:40" ht="16" x14ac:dyDescent="0.2">
      <c r="A84" s="2" t="s">
        <v>314</v>
      </c>
      <c r="B84" s="46">
        <v>83</v>
      </c>
      <c r="C84" s="2" t="b">
        <v>0</v>
      </c>
      <c r="D84" s="2" t="b">
        <v>0</v>
      </c>
      <c r="E84" s="2" t="b">
        <v>0</v>
      </c>
      <c r="F84" s="2" t="b">
        <v>1</v>
      </c>
      <c r="G84" s="2" t="s">
        <v>31</v>
      </c>
      <c r="H84" s="2" t="s">
        <v>315</v>
      </c>
      <c r="I84" s="2" t="s">
        <v>316</v>
      </c>
      <c r="J84" s="2" t="s">
        <v>281</v>
      </c>
      <c r="K84" s="2" t="s">
        <v>35</v>
      </c>
      <c r="L84" s="2">
        <v>12</v>
      </c>
      <c r="M84" s="2" t="s">
        <v>35</v>
      </c>
      <c r="N84" s="2" t="s">
        <v>35</v>
      </c>
      <c r="O84" s="11">
        <v>44735.409953252318</v>
      </c>
      <c r="P84" s="11">
        <v>44735.410521412035</v>
      </c>
      <c r="Q84" s="27">
        <f t="shared" si="3"/>
        <v>5.6815971765900031E-4</v>
      </c>
      <c r="R84" s="65">
        <f t="shared" si="5"/>
        <v>7.1555555041413754E-4</v>
      </c>
      <c r="S84" s="2">
        <v>0</v>
      </c>
      <c r="T84" s="2" t="s">
        <v>265</v>
      </c>
      <c r="U84" s="2" t="s">
        <v>266</v>
      </c>
      <c r="V84" s="2" t="s">
        <v>38</v>
      </c>
      <c r="W84" s="2" t="s">
        <v>35</v>
      </c>
      <c r="X84" s="2" t="s">
        <v>35</v>
      </c>
      <c r="Y84" s="2" t="s">
        <v>35</v>
      </c>
      <c r="Z84" s="2" t="b">
        <v>0</v>
      </c>
      <c r="AA84" s="2" t="s">
        <v>35</v>
      </c>
      <c r="AB84" s="2" t="s">
        <v>35</v>
      </c>
      <c r="AC84" s="2" t="s">
        <v>35</v>
      </c>
      <c r="AD84" s="2" t="s">
        <v>35</v>
      </c>
      <c r="AE84" s="2" t="s">
        <v>207</v>
      </c>
      <c r="AF84" s="11">
        <v>44735.40625</v>
      </c>
      <c r="AG84" s="53"/>
      <c r="AH84" s="53" t="b">
        <f t="shared" si="4"/>
        <v>0</v>
      </c>
      <c r="AI84" s="54" t="str" cm="1">
        <f t="array" ref="AI84">TRANSPOSE(_xlfn._xlws.FILTER(images!L:L,images!F:F=Barrierenmessung!A84, ""))</f>
        <v>https://captureandgo.cloudlab.zhaw.ch/uploads/image_dd78c7a38b.jpg</v>
      </c>
      <c r="AJ84" s="2"/>
      <c r="AK84" s="2"/>
      <c r="AL84" s="2"/>
      <c r="AM84" s="2"/>
      <c r="AN84" s="2"/>
    </row>
    <row r="85" spans="1:40" ht="16" x14ac:dyDescent="0.2">
      <c r="A85" s="2" t="s">
        <v>317</v>
      </c>
      <c r="B85" s="46">
        <v>84</v>
      </c>
      <c r="C85" s="2" t="b">
        <v>0</v>
      </c>
      <c r="D85" s="2" t="b">
        <v>0</v>
      </c>
      <c r="E85" s="2" t="b">
        <v>0</v>
      </c>
      <c r="F85" s="2" t="b">
        <v>0</v>
      </c>
      <c r="G85" s="2" t="s">
        <v>31</v>
      </c>
      <c r="H85" s="2" t="s">
        <v>318</v>
      </c>
      <c r="I85" s="2" t="s">
        <v>319</v>
      </c>
      <c r="J85" s="2" t="s">
        <v>313</v>
      </c>
      <c r="K85" s="2" t="s">
        <v>35</v>
      </c>
      <c r="L85" s="2" t="s">
        <v>35</v>
      </c>
      <c r="M85" s="2" t="s">
        <v>35</v>
      </c>
      <c r="N85" s="2" t="s">
        <v>35</v>
      </c>
      <c r="O85" s="11">
        <v>44735.41093716435</v>
      </c>
      <c r="P85" s="11">
        <v>44735.411220011571</v>
      </c>
      <c r="Q85" s="27">
        <f t="shared" si="3"/>
        <v>2.828472206601873E-4</v>
      </c>
      <c r="R85" s="65">
        <f t="shared" si="5"/>
        <v>6.9859953509876505E-4</v>
      </c>
      <c r="S85" s="2">
        <v>0</v>
      </c>
      <c r="T85" s="2" t="s">
        <v>124</v>
      </c>
      <c r="U85" s="2" t="s">
        <v>125</v>
      </c>
      <c r="V85" s="2" t="s">
        <v>38</v>
      </c>
      <c r="W85" s="2" t="s">
        <v>35</v>
      </c>
      <c r="X85" s="2" t="s">
        <v>35</v>
      </c>
      <c r="Y85" s="2" t="s">
        <v>35</v>
      </c>
      <c r="Z85" s="2" t="b">
        <v>0</v>
      </c>
      <c r="AA85" s="2" t="s">
        <v>35</v>
      </c>
      <c r="AB85" s="2">
        <v>4</v>
      </c>
      <c r="AC85" s="2" t="s">
        <v>35</v>
      </c>
      <c r="AD85" s="2" t="s">
        <v>35</v>
      </c>
      <c r="AE85" s="2" t="s">
        <v>207</v>
      </c>
      <c r="AF85" s="11">
        <v>44735.40625</v>
      </c>
      <c r="AG85" s="53"/>
      <c r="AH85" s="53" t="b">
        <f t="shared" si="4"/>
        <v>0</v>
      </c>
      <c r="AI85" s="54" t="str" cm="1">
        <f t="array" ref="AI85">TRANSPOSE(_xlfn._xlws.FILTER(images!L:L,images!F:F=Barrierenmessung!A85, ""))</f>
        <v>https://captureandgo.cloudlab.zhaw.ch/uploads/image_e9a5ef78e5.jpg</v>
      </c>
      <c r="AJ85" s="2"/>
      <c r="AK85" s="2"/>
      <c r="AL85" s="2"/>
      <c r="AM85" s="2"/>
      <c r="AN85" s="2"/>
    </row>
    <row r="86" spans="1:40" ht="16" x14ac:dyDescent="0.2">
      <c r="A86" s="2" t="s">
        <v>320</v>
      </c>
      <c r="B86" s="46">
        <v>85</v>
      </c>
      <c r="C86" s="2" t="b">
        <v>0</v>
      </c>
      <c r="D86" s="2" t="b">
        <v>0</v>
      </c>
      <c r="E86" s="2" t="b">
        <v>0</v>
      </c>
      <c r="F86" s="2" t="b">
        <v>0</v>
      </c>
      <c r="G86" s="2" t="s">
        <v>31</v>
      </c>
      <c r="H86" s="2" t="s">
        <v>321</v>
      </c>
      <c r="I86" s="2" t="s">
        <v>322</v>
      </c>
      <c r="J86" s="2" t="s">
        <v>35</v>
      </c>
      <c r="K86" s="2" t="s">
        <v>35</v>
      </c>
      <c r="L86" s="2" t="s">
        <v>35</v>
      </c>
      <c r="M86" s="2" t="s">
        <v>35</v>
      </c>
      <c r="N86" s="2" t="s">
        <v>35</v>
      </c>
      <c r="O86" s="11">
        <v>44735.412984479168</v>
      </c>
      <c r="P86" s="11">
        <v>44735.413450659726</v>
      </c>
      <c r="Q86" s="27">
        <f t="shared" si="3"/>
        <v>4.661805578507483E-4</v>
      </c>
      <c r="R86" s="65">
        <f t="shared" si="5"/>
        <v>2.2306481550913304E-3</v>
      </c>
      <c r="S86" s="2">
        <v>0</v>
      </c>
      <c r="T86" s="2" t="s">
        <v>36</v>
      </c>
      <c r="U86" s="2" t="s">
        <v>37</v>
      </c>
      <c r="V86" s="2" t="s">
        <v>38</v>
      </c>
      <c r="W86" s="2" t="s">
        <v>35</v>
      </c>
      <c r="X86" s="2" t="s">
        <v>35</v>
      </c>
      <c r="Y86" s="2" t="s">
        <v>35</v>
      </c>
      <c r="Z86" s="2" t="b">
        <v>0</v>
      </c>
      <c r="AA86" s="2" t="s">
        <v>35</v>
      </c>
      <c r="AB86" s="2" t="s">
        <v>35</v>
      </c>
      <c r="AC86" s="2">
        <v>5</v>
      </c>
      <c r="AD86" s="2" t="s">
        <v>35</v>
      </c>
      <c r="AE86" s="2" t="s">
        <v>207</v>
      </c>
      <c r="AF86" s="11">
        <v>44735.40625</v>
      </c>
      <c r="AG86" s="53"/>
      <c r="AH86" s="53" t="b">
        <f t="shared" si="4"/>
        <v>0</v>
      </c>
      <c r="AI86" s="54" t="str" cm="1">
        <f t="array" ref="AI86">TRANSPOSE(_xlfn._xlws.FILTER(images!L:L,images!F:F=Barrierenmessung!A86, ""))</f>
        <v>https://captureandgo.cloudlab.zhaw.ch/uploads/image_8bdcc766ac.jpg</v>
      </c>
      <c r="AJ86" s="2"/>
      <c r="AK86" s="2"/>
      <c r="AL86" s="2"/>
      <c r="AM86" s="2"/>
      <c r="AN86" s="2"/>
    </row>
    <row r="87" spans="1:40" ht="16" x14ac:dyDescent="0.2">
      <c r="A87" s="31" t="s">
        <v>323</v>
      </c>
      <c r="B87" s="31">
        <v>86</v>
      </c>
      <c r="C87" s="31" t="b">
        <v>0</v>
      </c>
      <c r="D87" s="31" t="b">
        <v>0</v>
      </c>
      <c r="E87" s="31" t="b">
        <v>0</v>
      </c>
      <c r="F87" s="31" t="b">
        <v>0</v>
      </c>
      <c r="G87" s="31" t="s">
        <v>31</v>
      </c>
      <c r="H87" s="31" t="s">
        <v>324</v>
      </c>
      <c r="I87" s="31" t="s">
        <v>325</v>
      </c>
      <c r="J87" s="31" t="s">
        <v>35</v>
      </c>
      <c r="K87" s="31" t="s">
        <v>35</v>
      </c>
      <c r="L87" s="31" t="s">
        <v>35</v>
      </c>
      <c r="M87" s="31" t="s">
        <v>35</v>
      </c>
      <c r="N87" s="31" t="s">
        <v>35</v>
      </c>
      <c r="O87" s="32">
        <v>44735.423411516203</v>
      </c>
      <c r="P87" s="32">
        <v>44735.42445972222</v>
      </c>
      <c r="Q87" s="30">
        <f t="shared" si="3"/>
        <v>1.0482060170033947E-3</v>
      </c>
      <c r="R87" s="30">
        <f t="shared" si="5"/>
        <v>1.1009062494849786E-2</v>
      </c>
      <c r="S87" s="31">
        <v>0</v>
      </c>
      <c r="T87" s="31" t="s">
        <v>36</v>
      </c>
      <c r="U87" s="31" t="s">
        <v>37</v>
      </c>
      <c r="V87" s="31" t="s">
        <v>38</v>
      </c>
      <c r="W87" s="31" t="s">
        <v>35</v>
      </c>
      <c r="X87" s="31" t="s">
        <v>35</v>
      </c>
      <c r="Y87" s="31" t="s">
        <v>35</v>
      </c>
      <c r="Z87" s="31" t="b">
        <v>0</v>
      </c>
      <c r="AA87" s="31" t="s">
        <v>35</v>
      </c>
      <c r="AB87" s="31" t="s">
        <v>35</v>
      </c>
      <c r="AC87" s="31">
        <v>5</v>
      </c>
      <c r="AD87" s="31">
        <v>3</v>
      </c>
      <c r="AE87" s="31" t="s">
        <v>207</v>
      </c>
      <c r="AF87" s="32">
        <v>44735.40625</v>
      </c>
      <c r="AG87" s="55" t="s">
        <v>9408</v>
      </c>
      <c r="AH87" s="55" t="b">
        <f t="shared" si="4"/>
        <v>0</v>
      </c>
      <c r="AI87" s="62" t="str" cm="1">
        <f t="array" ref="AI87:AK87">TRANSPOSE(_xlfn._xlws.FILTER(images!L:L,images!F:F=Barrierenmessung!A87, ""))</f>
        <v>https://captureandgo.cloudlab.zhaw.ch/uploads/image_43008b892b.jpg</v>
      </c>
      <c r="AJ87" s="31" t="str">
        <v>https://captureandgo.cloudlab.zhaw.ch/uploads/image_cd3834f9ab.jpg</v>
      </c>
      <c r="AK87" s="31" t="str">
        <v>https://captureandgo.cloudlab.zhaw.ch/uploads/image_6574041a87.jpg</v>
      </c>
      <c r="AL87" s="31"/>
      <c r="AM87" s="31"/>
      <c r="AN87" s="31"/>
    </row>
    <row r="88" spans="1:40" ht="16" x14ac:dyDescent="0.2">
      <c r="A88" s="2" t="s">
        <v>326</v>
      </c>
      <c r="B88" s="46">
        <v>87</v>
      </c>
      <c r="C88" s="2" t="b">
        <v>0</v>
      </c>
      <c r="D88" s="2" t="b">
        <v>0</v>
      </c>
      <c r="E88" s="2" t="b">
        <v>0</v>
      </c>
      <c r="F88" s="2" t="b">
        <v>0</v>
      </c>
      <c r="G88" s="2" t="s">
        <v>31</v>
      </c>
      <c r="H88" s="2" t="s">
        <v>327</v>
      </c>
      <c r="I88" s="2" t="s">
        <v>328</v>
      </c>
      <c r="J88" s="2" t="s">
        <v>35</v>
      </c>
      <c r="K88" s="2" t="s">
        <v>35</v>
      </c>
      <c r="L88" s="2" t="s">
        <v>35</v>
      </c>
      <c r="M88" s="2" t="s">
        <v>35</v>
      </c>
      <c r="N88" s="2" t="s">
        <v>35</v>
      </c>
      <c r="O88" s="11">
        <v>44735.425170335649</v>
      </c>
      <c r="P88" s="11">
        <v>44735.425384247683</v>
      </c>
      <c r="Q88" s="27">
        <f t="shared" si="3"/>
        <v>2.1391203335952014E-4</v>
      </c>
      <c r="R88" s="65">
        <f t="shared" si="5"/>
        <v>9.2452546232379973E-4</v>
      </c>
      <c r="S88" s="2">
        <v>0</v>
      </c>
      <c r="T88" s="2" t="s">
        <v>36</v>
      </c>
      <c r="U88" s="2" t="s">
        <v>37</v>
      </c>
      <c r="V88" s="2" t="s">
        <v>38</v>
      </c>
      <c r="W88" s="2" t="s">
        <v>35</v>
      </c>
      <c r="X88" s="2" t="s">
        <v>35</v>
      </c>
      <c r="Y88" s="2" t="s">
        <v>35</v>
      </c>
      <c r="Z88" s="2" t="b">
        <v>0</v>
      </c>
      <c r="AA88" s="2" t="s">
        <v>35</v>
      </c>
      <c r="AB88" s="2" t="s">
        <v>35</v>
      </c>
      <c r="AC88" s="2">
        <v>7</v>
      </c>
      <c r="AD88" s="2" t="s">
        <v>35</v>
      </c>
      <c r="AE88" s="2" t="s">
        <v>207</v>
      </c>
      <c r="AF88" s="11">
        <v>44735.40625</v>
      </c>
      <c r="AG88" s="53"/>
      <c r="AH88" s="53" t="b">
        <f t="shared" si="4"/>
        <v>0</v>
      </c>
      <c r="AI88" s="54" t="str" cm="1">
        <f t="array" ref="AI88">TRANSPOSE(_xlfn._xlws.FILTER(images!L:L,images!F:F=Barrierenmessung!A88, ""))</f>
        <v>https://captureandgo.cloudlab.zhaw.ch/uploads/image_d2a179154e.jpg</v>
      </c>
      <c r="AJ88" s="2"/>
      <c r="AK88" s="2"/>
      <c r="AL88" s="2"/>
      <c r="AM88" s="2"/>
      <c r="AN88" s="2"/>
    </row>
    <row r="89" spans="1:40" ht="32" x14ac:dyDescent="0.2">
      <c r="A89" s="4" t="s">
        <v>329</v>
      </c>
      <c r="B89" s="4">
        <v>88</v>
      </c>
      <c r="C89" s="4" t="b">
        <v>0</v>
      </c>
      <c r="D89" s="4" t="b">
        <v>0</v>
      </c>
      <c r="E89" s="4" t="b">
        <v>0</v>
      </c>
      <c r="F89" s="4" t="b">
        <v>0</v>
      </c>
      <c r="G89" s="4" t="s">
        <v>121</v>
      </c>
      <c r="H89" s="68" t="s">
        <v>149</v>
      </c>
      <c r="I89" s="4" t="s">
        <v>330</v>
      </c>
      <c r="J89" s="4" t="s">
        <v>35</v>
      </c>
      <c r="K89" s="4" t="s">
        <v>35</v>
      </c>
      <c r="L89" s="4" t="s">
        <v>35</v>
      </c>
      <c r="M89" s="4" t="s">
        <v>35</v>
      </c>
      <c r="N89" s="4" t="s">
        <v>35</v>
      </c>
      <c r="O89" s="13">
        <v>44735.427842303237</v>
      </c>
      <c r="P89" s="13">
        <v>44735.42784488426</v>
      </c>
      <c r="Q89" s="15">
        <f t="shared" si="3"/>
        <v>2.5810222723521292E-6</v>
      </c>
      <c r="R89" s="15">
        <f t="shared" si="5"/>
        <v>2.4606365768704563E-3</v>
      </c>
      <c r="S89" s="4">
        <v>0</v>
      </c>
      <c r="T89" s="4" t="s">
        <v>36</v>
      </c>
      <c r="U89" s="4" t="s">
        <v>37</v>
      </c>
      <c r="V89" s="4" t="s">
        <v>38</v>
      </c>
      <c r="W89" s="4" t="s">
        <v>35</v>
      </c>
      <c r="X89" s="4" t="s">
        <v>35</v>
      </c>
      <c r="Y89" s="4" t="s">
        <v>35</v>
      </c>
      <c r="Z89" s="4" t="b">
        <v>0</v>
      </c>
      <c r="AA89" s="4" t="s">
        <v>35</v>
      </c>
      <c r="AB89" s="4" t="s">
        <v>35</v>
      </c>
      <c r="AC89" s="4">
        <v>6</v>
      </c>
      <c r="AD89" s="4" t="s">
        <v>35</v>
      </c>
      <c r="AE89" s="4" t="s">
        <v>207</v>
      </c>
      <c r="AF89" s="13">
        <v>44735.40625</v>
      </c>
      <c r="AG89" s="58" t="s">
        <v>9404</v>
      </c>
      <c r="AH89" s="58" t="str">
        <f t="shared" si="4"/>
        <v>TRUE</v>
      </c>
      <c r="AI89" s="56" t="s">
        <v>9468</v>
      </c>
      <c r="AJ89" s="4"/>
      <c r="AK89" s="4"/>
      <c r="AL89" s="4"/>
      <c r="AM89" s="4"/>
      <c r="AN89" s="4"/>
    </row>
    <row r="90" spans="1:40" ht="16" x14ac:dyDescent="0.2">
      <c r="A90" s="46" t="s">
        <v>331</v>
      </c>
      <c r="B90" s="46">
        <v>89</v>
      </c>
      <c r="C90" s="46" t="b">
        <v>0</v>
      </c>
      <c r="D90" s="46" t="b">
        <v>0</v>
      </c>
      <c r="E90" s="46" t="b">
        <v>0</v>
      </c>
      <c r="F90" s="46" t="b">
        <v>0</v>
      </c>
      <c r="G90" s="46" t="s">
        <v>31</v>
      </c>
      <c r="H90" s="46" t="s">
        <v>332</v>
      </c>
      <c r="I90" s="46" t="s">
        <v>333</v>
      </c>
      <c r="J90" s="46" t="s">
        <v>35</v>
      </c>
      <c r="K90" s="46" t="s">
        <v>35</v>
      </c>
      <c r="L90" s="46" t="s">
        <v>35</v>
      </c>
      <c r="M90" s="46" t="s">
        <v>35</v>
      </c>
      <c r="N90" s="46" t="s">
        <v>35</v>
      </c>
      <c r="O90" s="66">
        <v>44735.427842372686</v>
      </c>
      <c r="P90" s="66">
        <v>44735.428901516207</v>
      </c>
      <c r="Q90" s="65">
        <f t="shared" si="3"/>
        <v>1.0591435202513821E-3</v>
      </c>
      <c r="R90" s="65">
        <f t="shared" si="5"/>
        <v>1.0566319469944574E-3</v>
      </c>
      <c r="S90" s="46">
        <v>0</v>
      </c>
      <c r="T90" s="46" t="s">
        <v>36</v>
      </c>
      <c r="U90" s="46" t="s">
        <v>37</v>
      </c>
      <c r="V90" s="46" t="s">
        <v>38</v>
      </c>
      <c r="W90" s="46" t="s">
        <v>35</v>
      </c>
      <c r="X90" s="46" t="s">
        <v>35</v>
      </c>
      <c r="Y90" s="46" t="s">
        <v>35</v>
      </c>
      <c r="Z90" s="46" t="b">
        <v>0</v>
      </c>
      <c r="AA90" s="46" t="s">
        <v>35</v>
      </c>
      <c r="AB90" s="46" t="s">
        <v>35</v>
      </c>
      <c r="AC90" s="46">
        <v>4</v>
      </c>
      <c r="AD90" s="46" t="s">
        <v>35</v>
      </c>
      <c r="AE90" s="46" t="s">
        <v>207</v>
      </c>
      <c r="AF90" s="66">
        <v>44735.40625</v>
      </c>
      <c r="AG90" s="67"/>
      <c r="AH90" s="53" t="b">
        <f t="shared" si="4"/>
        <v>0</v>
      </c>
      <c r="AI90" s="73" t="str" cm="1">
        <f t="array" ref="AI90">TRANSPOSE(_xlfn._xlws.FILTER(images!L:L,images!F:F=Barrierenmessung!A90, ""))</f>
        <v>https://captureandgo.cloudlab.zhaw.ch/uploads/image_9a49b597dd.jpg</v>
      </c>
      <c r="AJ90" s="46"/>
      <c r="AK90" s="46"/>
      <c r="AL90" s="46"/>
      <c r="AM90" s="46"/>
      <c r="AN90" s="46"/>
    </row>
    <row r="91" spans="1:40" ht="64" x14ac:dyDescent="0.2">
      <c r="A91" s="31" t="s">
        <v>334</v>
      </c>
      <c r="B91" s="31">
        <v>90</v>
      </c>
      <c r="C91" s="31" t="b">
        <v>0</v>
      </c>
      <c r="D91" s="31" t="b">
        <v>0</v>
      </c>
      <c r="E91" s="31" t="b">
        <v>0</v>
      </c>
      <c r="F91" s="31" t="b">
        <v>0</v>
      </c>
      <c r="G91" s="31" t="s">
        <v>31</v>
      </c>
      <c r="H91" s="31" t="s">
        <v>335</v>
      </c>
      <c r="I91" s="31" t="s">
        <v>336</v>
      </c>
      <c r="J91" s="31" t="s">
        <v>35</v>
      </c>
      <c r="K91" s="31" t="s">
        <v>35</v>
      </c>
      <c r="L91" s="31" t="s">
        <v>35</v>
      </c>
      <c r="M91" s="31" t="s">
        <v>35</v>
      </c>
      <c r="N91" s="31" t="s">
        <v>35</v>
      </c>
      <c r="O91" s="32">
        <v>44735.459319027781</v>
      </c>
      <c r="P91" s="32">
        <v>44735.459471215276</v>
      </c>
      <c r="Q91" s="30">
        <f t="shared" si="3"/>
        <v>1.5218749467749149E-4</v>
      </c>
      <c r="R91" s="30">
        <f t="shared" si="5"/>
        <v>3.0569699069019407E-2</v>
      </c>
      <c r="S91" s="31">
        <v>0</v>
      </c>
      <c r="T91" s="31" t="s">
        <v>36</v>
      </c>
      <c r="U91" s="31" t="s">
        <v>37</v>
      </c>
      <c r="V91" s="31" t="s">
        <v>38</v>
      </c>
      <c r="W91" s="31" t="s">
        <v>35</v>
      </c>
      <c r="X91" s="31" t="s">
        <v>35</v>
      </c>
      <c r="Y91" s="31" t="s">
        <v>35</v>
      </c>
      <c r="Z91" s="31" t="b">
        <v>0</v>
      </c>
      <c r="AA91" s="31" t="s">
        <v>35</v>
      </c>
      <c r="AB91" s="31" t="s">
        <v>35</v>
      </c>
      <c r="AC91" s="31">
        <v>4</v>
      </c>
      <c r="AD91" s="31" t="s">
        <v>35</v>
      </c>
      <c r="AE91" s="31" t="s">
        <v>207</v>
      </c>
      <c r="AF91" s="32">
        <v>44735.40625</v>
      </c>
      <c r="AG91" s="55" t="s">
        <v>9407</v>
      </c>
      <c r="AH91" s="55" t="b">
        <f t="shared" si="4"/>
        <v>0</v>
      </c>
      <c r="AI91" s="62" t="str" cm="1">
        <f t="array" ref="AI91">TRANSPOSE(_xlfn._xlws.FILTER(images!L:L,images!F:F=Barrierenmessung!A91, ""))</f>
        <v>https://captureandgo.cloudlab.zhaw.ch/uploads/image_e4c603bfae.jpg</v>
      </c>
      <c r="AJ91" s="31"/>
      <c r="AK91" s="31"/>
      <c r="AL91" s="31"/>
      <c r="AM91" s="31"/>
      <c r="AN91" s="31"/>
    </row>
    <row r="92" spans="1:40" ht="16" x14ac:dyDescent="0.2">
      <c r="A92" s="2" t="s">
        <v>337</v>
      </c>
      <c r="B92" s="46">
        <v>91</v>
      </c>
      <c r="C92" s="2" t="b">
        <v>0</v>
      </c>
      <c r="D92" s="2" t="b">
        <v>0</v>
      </c>
      <c r="E92" s="2" t="b">
        <v>0</v>
      </c>
      <c r="F92" s="2" t="b">
        <v>0</v>
      </c>
      <c r="G92" s="2" t="s">
        <v>31</v>
      </c>
      <c r="H92" s="2" t="s">
        <v>338</v>
      </c>
      <c r="I92" s="2" t="s">
        <v>339</v>
      </c>
      <c r="J92" s="2" t="s">
        <v>35</v>
      </c>
      <c r="K92" s="2" t="s">
        <v>35</v>
      </c>
      <c r="L92" s="2" t="s">
        <v>35</v>
      </c>
      <c r="M92" s="2" t="s">
        <v>35</v>
      </c>
      <c r="N92" s="2" t="s">
        <v>35</v>
      </c>
      <c r="O92" s="11">
        <v>44735.459959872685</v>
      </c>
      <c r="P92" s="11">
        <v>44735.460114791669</v>
      </c>
      <c r="Q92" s="27">
        <f t="shared" si="3"/>
        <v>1.5491898375330493E-4</v>
      </c>
      <c r="R92" s="65">
        <f t="shared" si="5"/>
        <v>6.435763934860006E-4</v>
      </c>
      <c r="S92" s="2">
        <v>0</v>
      </c>
      <c r="T92" s="2" t="s">
        <v>36</v>
      </c>
      <c r="U92" s="2" t="s">
        <v>37</v>
      </c>
      <c r="V92" s="2" t="s">
        <v>38</v>
      </c>
      <c r="W92" s="2" t="s">
        <v>35</v>
      </c>
      <c r="X92" s="2" t="s">
        <v>35</v>
      </c>
      <c r="Y92" s="2" t="s">
        <v>35</v>
      </c>
      <c r="Z92" s="2" t="b">
        <v>0</v>
      </c>
      <c r="AA92" s="2" t="s">
        <v>35</v>
      </c>
      <c r="AB92" s="2" t="s">
        <v>35</v>
      </c>
      <c r="AC92" s="2" t="s">
        <v>35</v>
      </c>
      <c r="AD92" s="2">
        <v>3</v>
      </c>
      <c r="AE92" s="2" t="s">
        <v>207</v>
      </c>
      <c r="AF92" s="11">
        <v>44735.40625</v>
      </c>
      <c r="AG92" s="53"/>
      <c r="AH92" s="53" t="b">
        <f t="shared" si="4"/>
        <v>0</v>
      </c>
      <c r="AI92" s="54" t="str" cm="1">
        <f t="array" ref="AI92">TRANSPOSE(_xlfn._xlws.FILTER(images!L:L,images!F:F=Barrierenmessung!A92, ""))</f>
        <v>https://captureandgo.cloudlab.zhaw.ch/uploads/image_bcbefb246b.jpg</v>
      </c>
      <c r="AJ92" s="2"/>
      <c r="AK92" s="2"/>
      <c r="AL92" s="2"/>
      <c r="AM92" s="2"/>
      <c r="AN92" s="2"/>
    </row>
    <row r="93" spans="1:40" ht="16" x14ac:dyDescent="0.2">
      <c r="A93" s="2" t="s">
        <v>340</v>
      </c>
      <c r="B93" s="46">
        <v>92</v>
      </c>
      <c r="C93" s="2" t="b">
        <v>0</v>
      </c>
      <c r="D93" s="2" t="b">
        <v>0</v>
      </c>
      <c r="E93" s="2" t="b">
        <v>0</v>
      </c>
      <c r="F93" s="2" t="b">
        <v>0</v>
      </c>
      <c r="G93" s="2" t="s">
        <v>31</v>
      </c>
      <c r="H93" s="2" t="s">
        <v>341</v>
      </c>
      <c r="I93" s="2" t="s">
        <v>342</v>
      </c>
      <c r="J93" s="2" t="s">
        <v>35</v>
      </c>
      <c r="K93" s="2" t="s">
        <v>35</v>
      </c>
      <c r="L93" s="2" t="s">
        <v>35</v>
      </c>
      <c r="M93" s="2" t="s">
        <v>35</v>
      </c>
      <c r="N93" s="2" t="s">
        <v>35</v>
      </c>
      <c r="O93" s="11">
        <v>44735.461427905095</v>
      </c>
      <c r="P93" s="11">
        <v>44735.461558055555</v>
      </c>
      <c r="Q93" s="27">
        <f t="shared" si="3"/>
        <v>1.3015045988140628E-4</v>
      </c>
      <c r="R93" s="65">
        <f t="shared" si="5"/>
        <v>1.4432638854486868E-3</v>
      </c>
      <c r="S93" s="2">
        <v>0</v>
      </c>
      <c r="T93" s="2" t="s">
        <v>36</v>
      </c>
      <c r="U93" s="2" t="s">
        <v>37</v>
      </c>
      <c r="V93" s="2" t="s">
        <v>38</v>
      </c>
      <c r="W93" s="2" t="s">
        <v>35</v>
      </c>
      <c r="X93" s="2" t="s">
        <v>35</v>
      </c>
      <c r="Y93" s="2" t="s">
        <v>35</v>
      </c>
      <c r="Z93" s="2" t="b">
        <v>0</v>
      </c>
      <c r="AA93" s="2" t="s">
        <v>35</v>
      </c>
      <c r="AB93" s="2" t="s">
        <v>35</v>
      </c>
      <c r="AC93" s="2" t="s">
        <v>35</v>
      </c>
      <c r="AD93" s="2">
        <v>4</v>
      </c>
      <c r="AE93" s="2" t="s">
        <v>207</v>
      </c>
      <c r="AF93" s="11">
        <v>44735.40625</v>
      </c>
      <c r="AG93" s="53"/>
      <c r="AH93" s="53" t="b">
        <f t="shared" si="4"/>
        <v>0</v>
      </c>
      <c r="AI93" s="54" t="str" cm="1">
        <f t="array" ref="AI93">TRANSPOSE(_xlfn._xlws.FILTER(images!L:L,images!F:F=Barrierenmessung!A93, ""))</f>
        <v>https://captureandgo.cloudlab.zhaw.ch/uploads/image_41e13c57da.jpg</v>
      </c>
      <c r="AJ93" s="2"/>
      <c r="AK93" s="2"/>
      <c r="AL93" s="2"/>
      <c r="AM93" s="2"/>
      <c r="AN93" s="2"/>
    </row>
    <row r="94" spans="1:40" ht="16" x14ac:dyDescent="0.2">
      <c r="A94" s="2" t="s">
        <v>343</v>
      </c>
      <c r="B94" s="46">
        <v>93</v>
      </c>
      <c r="C94" s="2" t="b">
        <v>0</v>
      </c>
      <c r="D94" s="2" t="b">
        <v>0</v>
      </c>
      <c r="E94" s="2" t="b">
        <v>0</v>
      </c>
      <c r="F94" s="2" t="b">
        <v>0</v>
      </c>
      <c r="G94" s="2" t="s">
        <v>31</v>
      </c>
      <c r="H94" s="2" t="s">
        <v>344</v>
      </c>
      <c r="I94" s="2" t="s">
        <v>345</v>
      </c>
      <c r="J94" s="2" t="s">
        <v>35</v>
      </c>
      <c r="K94" s="2" t="s">
        <v>35</v>
      </c>
      <c r="L94" s="2" t="s">
        <v>35</v>
      </c>
      <c r="M94" s="2" t="s">
        <v>35</v>
      </c>
      <c r="N94" s="2" t="s">
        <v>35</v>
      </c>
      <c r="O94" s="11">
        <v>44735.464761689815</v>
      </c>
      <c r="P94" s="11">
        <v>44735.46519072917</v>
      </c>
      <c r="Q94" s="27">
        <f t="shared" si="3"/>
        <v>4.290393553674221E-4</v>
      </c>
      <c r="R94" s="65">
        <f t="shared" si="5"/>
        <v>3.6326736153569072E-3</v>
      </c>
      <c r="S94" s="2">
        <v>0</v>
      </c>
      <c r="T94" s="2" t="s">
        <v>36</v>
      </c>
      <c r="U94" s="2" t="s">
        <v>37</v>
      </c>
      <c r="V94" s="2" t="s">
        <v>38</v>
      </c>
      <c r="W94" s="2" t="s">
        <v>35</v>
      </c>
      <c r="X94" s="2" t="s">
        <v>35</v>
      </c>
      <c r="Y94" s="2" t="s">
        <v>35</v>
      </c>
      <c r="Z94" s="2" t="b">
        <v>0</v>
      </c>
      <c r="AA94" s="2" t="s">
        <v>35</v>
      </c>
      <c r="AB94" s="2" t="s">
        <v>35</v>
      </c>
      <c r="AC94" s="2" t="s">
        <v>35</v>
      </c>
      <c r="AD94" s="2">
        <v>5</v>
      </c>
      <c r="AE94" s="2" t="s">
        <v>207</v>
      </c>
      <c r="AF94" s="11">
        <v>44735.40625</v>
      </c>
      <c r="AG94" s="53"/>
      <c r="AH94" s="53" t="b">
        <f t="shared" si="4"/>
        <v>0</v>
      </c>
      <c r="AI94" s="54" t="str" cm="1">
        <f t="array" ref="AI94:AK94">TRANSPOSE(_xlfn._xlws.FILTER(images!L:L,images!F:F=Barrierenmessung!A94, ""))</f>
        <v>https://captureandgo.cloudlab.zhaw.ch/uploads/image_aeecb5f65b.jpg</v>
      </c>
      <c r="AJ94" s="2" t="str">
        <v>https://captureandgo.cloudlab.zhaw.ch/uploads/image_002bf2d537.jpg</v>
      </c>
      <c r="AK94" s="2" t="str">
        <v>https://captureandgo.cloudlab.zhaw.ch/uploads/image_7e920bcd40.jpg</v>
      </c>
      <c r="AL94" s="2"/>
      <c r="AM94" s="2"/>
      <c r="AN94" s="2"/>
    </row>
    <row r="95" spans="1:40" ht="16" x14ac:dyDescent="0.2">
      <c r="A95" s="2" t="s">
        <v>346</v>
      </c>
      <c r="B95" s="46">
        <v>94</v>
      </c>
      <c r="C95" s="2" t="b">
        <v>0</v>
      </c>
      <c r="D95" s="2" t="b">
        <v>0</v>
      </c>
      <c r="E95" s="2" t="b">
        <v>0</v>
      </c>
      <c r="F95" s="2" t="b">
        <v>0</v>
      </c>
      <c r="G95" s="2" t="s">
        <v>31</v>
      </c>
      <c r="H95" s="2" t="s">
        <v>347</v>
      </c>
      <c r="I95" s="2" t="s">
        <v>348</v>
      </c>
      <c r="J95" s="2" t="s">
        <v>35</v>
      </c>
      <c r="K95" s="2" t="s">
        <v>35</v>
      </c>
      <c r="L95" s="2" t="s">
        <v>35</v>
      </c>
      <c r="M95" s="2">
        <v>61</v>
      </c>
      <c r="N95" s="2">
        <v>15</v>
      </c>
      <c r="O95" s="11">
        <v>44735.47098204861</v>
      </c>
      <c r="P95" s="11">
        <v>44735.471405208336</v>
      </c>
      <c r="Q95" s="27">
        <f t="shared" si="3"/>
        <v>4.2315972677897662E-4</v>
      </c>
      <c r="R95" s="65">
        <f t="shared" si="5"/>
        <v>6.2144791663740762E-3</v>
      </c>
      <c r="S95" s="2">
        <v>0</v>
      </c>
      <c r="T95" s="2" t="s">
        <v>54</v>
      </c>
      <c r="U95" s="2" t="s">
        <v>55</v>
      </c>
      <c r="V95" s="2" t="s">
        <v>38</v>
      </c>
      <c r="W95" s="2" t="s">
        <v>35</v>
      </c>
      <c r="X95" s="2" t="s">
        <v>35</v>
      </c>
      <c r="Y95" s="2" t="s">
        <v>35</v>
      </c>
      <c r="Z95" s="2" t="b">
        <v>0</v>
      </c>
      <c r="AA95" s="2" t="s">
        <v>35</v>
      </c>
      <c r="AB95" s="2" t="s">
        <v>35</v>
      </c>
      <c r="AC95" s="2" t="s">
        <v>35</v>
      </c>
      <c r="AD95" s="2" t="s">
        <v>35</v>
      </c>
      <c r="AE95" s="2" t="s">
        <v>207</v>
      </c>
      <c r="AF95" s="11">
        <v>44735.40625</v>
      </c>
      <c r="AG95" s="53"/>
      <c r="AH95" s="53" t="b">
        <f t="shared" si="4"/>
        <v>0</v>
      </c>
      <c r="AI95" s="54" t="str" cm="1">
        <f t="array" ref="AI95">TRANSPOSE(_xlfn._xlws.FILTER(images!L:L,images!F:F=Barrierenmessung!A95, ""))</f>
        <v>https://captureandgo.cloudlab.zhaw.ch/uploads/image_a2933f9718.jpg</v>
      </c>
      <c r="AJ95" s="2"/>
      <c r="AK95" s="2"/>
      <c r="AL95" s="2"/>
      <c r="AM95" s="2"/>
      <c r="AN95" s="2"/>
    </row>
    <row r="96" spans="1:40" ht="16" x14ac:dyDescent="0.2">
      <c r="A96" s="2" t="s">
        <v>349</v>
      </c>
      <c r="B96" s="46">
        <v>95</v>
      </c>
      <c r="C96" s="2" t="b">
        <v>0</v>
      </c>
      <c r="D96" s="2" t="b">
        <v>0</v>
      </c>
      <c r="E96" s="2" t="b">
        <v>0</v>
      </c>
      <c r="F96" s="2" t="b">
        <v>0</v>
      </c>
      <c r="G96" s="2" t="s">
        <v>31</v>
      </c>
      <c r="H96" s="2" t="s">
        <v>350</v>
      </c>
      <c r="I96" s="2" t="s">
        <v>351</v>
      </c>
      <c r="J96" s="2" t="s">
        <v>352</v>
      </c>
      <c r="K96" s="2" t="s">
        <v>35</v>
      </c>
      <c r="L96" s="2" t="s">
        <v>35</v>
      </c>
      <c r="M96" s="2" t="s">
        <v>35</v>
      </c>
      <c r="N96" s="2" t="s">
        <v>35</v>
      </c>
      <c r="O96" s="11">
        <v>44735.473035196759</v>
      </c>
      <c r="P96" s="11">
        <v>44735.473355821756</v>
      </c>
      <c r="Q96" s="27">
        <f t="shared" si="3"/>
        <v>3.2062499667517841E-4</v>
      </c>
      <c r="R96" s="65">
        <f t="shared" si="5"/>
        <v>1.9506134194671176E-3</v>
      </c>
      <c r="S96" s="2">
        <v>0</v>
      </c>
      <c r="T96" s="2" t="s">
        <v>124</v>
      </c>
      <c r="U96" s="2" t="s">
        <v>125</v>
      </c>
      <c r="V96" s="2" t="s">
        <v>38</v>
      </c>
      <c r="W96" s="2" t="s">
        <v>35</v>
      </c>
      <c r="X96" s="2" t="s">
        <v>35</v>
      </c>
      <c r="Y96" s="2" t="s">
        <v>35</v>
      </c>
      <c r="Z96" s="2" t="b">
        <v>0</v>
      </c>
      <c r="AA96" s="2" t="s">
        <v>35</v>
      </c>
      <c r="AB96" s="2">
        <v>4</v>
      </c>
      <c r="AC96" s="2" t="s">
        <v>35</v>
      </c>
      <c r="AD96" s="2" t="s">
        <v>35</v>
      </c>
      <c r="AE96" s="2" t="s">
        <v>207</v>
      </c>
      <c r="AF96" s="11">
        <v>44735.40625</v>
      </c>
      <c r="AG96" s="53"/>
      <c r="AH96" s="53" t="b">
        <f t="shared" si="4"/>
        <v>0</v>
      </c>
      <c r="AI96" s="54" t="str" cm="1">
        <f t="array" ref="AI96">TRANSPOSE(_xlfn._xlws.FILTER(images!L:L,images!F:F=Barrierenmessung!A96, ""))</f>
        <v>https://captureandgo.cloudlab.zhaw.ch/uploads/image_b1757bd236.jpg</v>
      </c>
      <c r="AJ96" s="2"/>
      <c r="AK96" s="2"/>
      <c r="AL96" s="2"/>
      <c r="AM96" s="2"/>
      <c r="AN96" s="2"/>
    </row>
    <row r="97" spans="1:40" ht="16" x14ac:dyDescent="0.2">
      <c r="A97" s="2" t="s">
        <v>353</v>
      </c>
      <c r="B97" s="46">
        <v>96</v>
      </c>
      <c r="C97" s="2" t="b">
        <v>0</v>
      </c>
      <c r="D97" s="2" t="b">
        <v>0</v>
      </c>
      <c r="E97" s="2" t="b">
        <v>0</v>
      </c>
      <c r="F97" s="2" t="b">
        <v>0</v>
      </c>
      <c r="G97" s="2" t="s">
        <v>31</v>
      </c>
      <c r="H97" s="2" t="s">
        <v>354</v>
      </c>
      <c r="I97" s="2" t="s">
        <v>355</v>
      </c>
      <c r="J97" s="2" t="s">
        <v>35</v>
      </c>
      <c r="K97" s="2" t="s">
        <v>35</v>
      </c>
      <c r="L97" s="2" t="s">
        <v>35</v>
      </c>
      <c r="M97" s="2" t="s">
        <v>35</v>
      </c>
      <c r="N97" s="2" t="s">
        <v>35</v>
      </c>
      <c r="O97" s="11">
        <v>44735.473778159721</v>
      </c>
      <c r="P97" s="11">
        <v>44735.473961643518</v>
      </c>
      <c r="Q97" s="27">
        <f t="shared" si="3"/>
        <v>1.834837967180647E-4</v>
      </c>
      <c r="R97" s="65">
        <f t="shared" si="5"/>
        <v>6.0582176229218021E-4</v>
      </c>
      <c r="S97" s="2">
        <v>0</v>
      </c>
      <c r="T97" s="2" t="s">
        <v>36</v>
      </c>
      <c r="U97" s="2" t="s">
        <v>37</v>
      </c>
      <c r="V97" s="2" t="s">
        <v>38</v>
      </c>
      <c r="W97" s="2" t="s">
        <v>35</v>
      </c>
      <c r="X97" s="2" t="s">
        <v>35</v>
      </c>
      <c r="Y97" s="2" t="s">
        <v>35</v>
      </c>
      <c r="Z97" s="2" t="b">
        <v>0</v>
      </c>
      <c r="AA97" s="2" t="s">
        <v>35</v>
      </c>
      <c r="AB97" s="2" t="s">
        <v>35</v>
      </c>
      <c r="AC97" s="2" t="s">
        <v>35</v>
      </c>
      <c r="AD97" s="2">
        <v>3</v>
      </c>
      <c r="AE97" s="2" t="s">
        <v>207</v>
      </c>
      <c r="AF97" s="11">
        <v>44735.40625</v>
      </c>
      <c r="AG97" s="53"/>
      <c r="AH97" s="53" t="b">
        <f t="shared" si="4"/>
        <v>0</v>
      </c>
      <c r="AI97" s="54" t="str" cm="1">
        <f t="array" ref="AI97">TRANSPOSE(_xlfn._xlws.FILTER(images!L:L,images!F:F=Barrierenmessung!A97, ""))</f>
        <v>https://captureandgo.cloudlab.zhaw.ch/uploads/image_a9fd137950.jpg</v>
      </c>
      <c r="AJ97" s="2"/>
      <c r="AK97" s="2"/>
      <c r="AL97" s="2"/>
      <c r="AM97" s="2"/>
      <c r="AN97" s="2"/>
    </row>
    <row r="98" spans="1:40" ht="16" x14ac:dyDescent="0.2">
      <c r="A98" s="2" t="s">
        <v>356</v>
      </c>
      <c r="B98" s="46">
        <v>97</v>
      </c>
      <c r="C98" s="2" t="b">
        <v>0</v>
      </c>
      <c r="D98" s="2" t="b">
        <v>0</v>
      </c>
      <c r="E98" s="2" t="b">
        <v>0</v>
      </c>
      <c r="F98" s="2" t="b">
        <v>0</v>
      </c>
      <c r="G98" s="2" t="s">
        <v>31</v>
      </c>
      <c r="H98" s="2" t="s">
        <v>357</v>
      </c>
      <c r="I98" s="2" t="s">
        <v>358</v>
      </c>
      <c r="J98" s="2" t="s">
        <v>35</v>
      </c>
      <c r="K98" s="2" t="s">
        <v>35</v>
      </c>
      <c r="L98" s="2" t="s">
        <v>35</v>
      </c>
      <c r="M98" s="2" t="s">
        <v>35</v>
      </c>
      <c r="N98" s="2" t="s">
        <v>35</v>
      </c>
      <c r="O98" s="11">
        <v>44735.475314131945</v>
      </c>
      <c r="P98" s="11">
        <v>44735.476063402777</v>
      </c>
      <c r="Q98" s="27">
        <f t="shared" si="3"/>
        <v>7.492708318750374E-4</v>
      </c>
      <c r="R98" s="65">
        <f t="shared" si="5"/>
        <v>2.1017592589487322E-3</v>
      </c>
      <c r="S98" s="2">
        <v>0</v>
      </c>
      <c r="T98" s="2" t="s">
        <v>124</v>
      </c>
      <c r="U98" s="2" t="s">
        <v>125</v>
      </c>
      <c r="V98" s="2" t="s">
        <v>38</v>
      </c>
      <c r="W98" s="2" t="s">
        <v>35</v>
      </c>
      <c r="X98" s="2" t="s">
        <v>35</v>
      </c>
      <c r="Y98" s="2" t="s">
        <v>35</v>
      </c>
      <c r="Z98" s="2" t="b">
        <v>0</v>
      </c>
      <c r="AA98" s="2" t="s">
        <v>35</v>
      </c>
      <c r="AB98" s="2">
        <v>4</v>
      </c>
      <c r="AC98" s="2" t="s">
        <v>35</v>
      </c>
      <c r="AD98" s="2" t="s">
        <v>35</v>
      </c>
      <c r="AE98" s="2" t="s">
        <v>207</v>
      </c>
      <c r="AF98" s="11">
        <v>44735.40625</v>
      </c>
      <c r="AG98" s="53"/>
      <c r="AH98" s="53" t="b">
        <f t="shared" si="4"/>
        <v>0</v>
      </c>
      <c r="AI98" s="54" t="str" cm="1">
        <f t="array" ref="AI98">TRANSPOSE(_xlfn._xlws.FILTER(images!L:L,images!F:F=Barrierenmessung!A98, ""))</f>
        <v>https://captureandgo.cloudlab.zhaw.ch/uploads/image_156b9ed517.jpg</v>
      </c>
      <c r="AJ98" s="2"/>
      <c r="AK98" s="2"/>
      <c r="AL98" s="2"/>
      <c r="AM98" s="2"/>
      <c r="AN98" s="2"/>
    </row>
    <row r="99" spans="1:40" ht="16" x14ac:dyDescent="0.2">
      <c r="A99" s="2" t="s">
        <v>359</v>
      </c>
      <c r="B99" s="46">
        <v>98</v>
      </c>
      <c r="C99" s="2" t="b">
        <v>0</v>
      </c>
      <c r="D99" s="2" t="b">
        <v>0</v>
      </c>
      <c r="E99" s="2" t="b">
        <v>0</v>
      </c>
      <c r="F99" s="2" t="b">
        <v>0</v>
      </c>
      <c r="G99" s="2" t="s">
        <v>31</v>
      </c>
      <c r="H99" s="2" t="s">
        <v>360</v>
      </c>
      <c r="I99" s="2" t="s">
        <v>361</v>
      </c>
      <c r="J99" s="2" t="s">
        <v>352</v>
      </c>
      <c r="K99" s="2" t="s">
        <v>35</v>
      </c>
      <c r="L99" s="2" t="s">
        <v>35</v>
      </c>
      <c r="M99" s="2" t="s">
        <v>35</v>
      </c>
      <c r="N99" s="2" t="s">
        <v>35</v>
      </c>
      <c r="O99" s="11">
        <v>44735.476845787038</v>
      </c>
      <c r="P99" s="11">
        <v>44735.477900219907</v>
      </c>
      <c r="Q99" s="27">
        <f t="shared" si="3"/>
        <v>1.0544328688411042E-3</v>
      </c>
      <c r="R99" s="65">
        <f t="shared" si="5"/>
        <v>1.8368171295151114E-3</v>
      </c>
      <c r="S99" s="2">
        <v>0</v>
      </c>
      <c r="T99" s="2" t="s">
        <v>124</v>
      </c>
      <c r="U99" s="2" t="s">
        <v>125</v>
      </c>
      <c r="V99" s="2" t="s">
        <v>38</v>
      </c>
      <c r="W99" s="2" t="s">
        <v>35</v>
      </c>
      <c r="X99" s="2" t="s">
        <v>35</v>
      </c>
      <c r="Y99" s="2" t="s">
        <v>35</v>
      </c>
      <c r="Z99" s="2" t="b">
        <v>0</v>
      </c>
      <c r="AA99" s="2" t="s">
        <v>35</v>
      </c>
      <c r="AB99" s="2">
        <v>4</v>
      </c>
      <c r="AC99" s="2" t="s">
        <v>35</v>
      </c>
      <c r="AD99" s="2" t="s">
        <v>35</v>
      </c>
      <c r="AE99" s="2" t="s">
        <v>207</v>
      </c>
      <c r="AF99" s="11">
        <v>44735.40625</v>
      </c>
      <c r="AG99" s="53"/>
      <c r="AH99" s="53" t="b">
        <f t="shared" si="4"/>
        <v>0</v>
      </c>
      <c r="AI99" s="54" t="str" cm="1">
        <f t="array" ref="AI99">TRANSPOSE(_xlfn._xlws.FILTER(images!L:L,images!F:F=Barrierenmessung!A99, ""))</f>
        <v>https://captureandgo.cloudlab.zhaw.ch/uploads/image_4a164c4a6a.jpg</v>
      </c>
      <c r="AJ99" s="2"/>
      <c r="AK99" s="2"/>
      <c r="AL99" s="2"/>
      <c r="AM99" s="2"/>
      <c r="AN99" s="2"/>
    </row>
    <row r="100" spans="1:40" ht="16" x14ac:dyDescent="0.2">
      <c r="A100" s="2" t="s">
        <v>362</v>
      </c>
      <c r="B100" s="46">
        <v>99</v>
      </c>
      <c r="C100" s="2" t="b">
        <v>0</v>
      </c>
      <c r="D100" s="2" t="b">
        <v>0</v>
      </c>
      <c r="E100" s="2" t="b">
        <v>0</v>
      </c>
      <c r="F100" s="2" t="b">
        <v>0</v>
      </c>
      <c r="G100" s="2" t="s">
        <v>31</v>
      </c>
      <c r="H100" s="2" t="s">
        <v>363</v>
      </c>
      <c r="I100" s="2" t="s">
        <v>364</v>
      </c>
      <c r="J100" s="2" t="s">
        <v>352</v>
      </c>
      <c r="K100" s="2" t="s">
        <v>35</v>
      </c>
      <c r="L100" s="2" t="s">
        <v>35</v>
      </c>
      <c r="M100" s="2" t="s">
        <v>35</v>
      </c>
      <c r="N100" s="2" t="s">
        <v>35</v>
      </c>
      <c r="O100" s="11">
        <v>44735.478199791665</v>
      </c>
      <c r="P100" s="11">
        <v>44735.478477974539</v>
      </c>
      <c r="Q100" s="27">
        <f t="shared" si="3"/>
        <v>2.7818287344416603E-4</v>
      </c>
      <c r="R100" s="65">
        <f t="shared" si="5"/>
        <v>5.777546321041882E-4</v>
      </c>
      <c r="S100" s="2">
        <v>0</v>
      </c>
      <c r="T100" s="2" t="s">
        <v>124</v>
      </c>
      <c r="U100" s="2" t="s">
        <v>125</v>
      </c>
      <c r="V100" s="2" t="s">
        <v>38</v>
      </c>
      <c r="W100" s="2" t="s">
        <v>35</v>
      </c>
      <c r="X100" s="2" t="s">
        <v>35</v>
      </c>
      <c r="Y100" s="2" t="s">
        <v>35</v>
      </c>
      <c r="Z100" s="2" t="b">
        <v>0</v>
      </c>
      <c r="AA100" s="2" t="s">
        <v>35</v>
      </c>
      <c r="AB100" s="2">
        <v>4</v>
      </c>
      <c r="AC100" s="2" t="s">
        <v>35</v>
      </c>
      <c r="AD100" s="2" t="s">
        <v>35</v>
      </c>
      <c r="AE100" s="2" t="s">
        <v>207</v>
      </c>
      <c r="AF100" s="11">
        <v>44735.40625</v>
      </c>
      <c r="AG100" s="53"/>
      <c r="AH100" s="53" t="b">
        <f t="shared" si="4"/>
        <v>0</v>
      </c>
      <c r="AI100" s="54" t="str" cm="1">
        <f t="array" ref="AI100">TRANSPOSE(_xlfn._xlws.FILTER(images!L:L,images!F:F=Barrierenmessung!A100, ""))</f>
        <v>https://captureandgo.cloudlab.zhaw.ch/uploads/image_a3d1b2ab46.jpg</v>
      </c>
      <c r="AJ100" s="2"/>
      <c r="AK100" s="2"/>
      <c r="AL100" s="2"/>
      <c r="AM100" s="2"/>
      <c r="AN100" s="2"/>
    </row>
    <row r="101" spans="1:40" ht="16" x14ac:dyDescent="0.2">
      <c r="A101" s="2" t="s">
        <v>365</v>
      </c>
      <c r="B101" s="46">
        <v>100</v>
      </c>
      <c r="C101" s="2" t="b">
        <v>0</v>
      </c>
      <c r="D101" s="2" t="b">
        <v>0</v>
      </c>
      <c r="E101" s="2" t="b">
        <v>0</v>
      </c>
      <c r="F101" s="2" t="b">
        <v>0</v>
      </c>
      <c r="G101" s="2" t="s">
        <v>31</v>
      </c>
      <c r="H101" s="2" t="s">
        <v>366</v>
      </c>
      <c r="I101" s="2" t="s">
        <v>367</v>
      </c>
      <c r="J101" s="2" t="s">
        <v>368</v>
      </c>
      <c r="K101" s="2" t="s">
        <v>35</v>
      </c>
      <c r="L101" s="2" t="s">
        <v>35</v>
      </c>
      <c r="M101" s="2" t="s">
        <v>35</v>
      </c>
      <c r="N101" s="2" t="s">
        <v>35</v>
      </c>
      <c r="O101" s="11">
        <v>44735.478567777776</v>
      </c>
      <c r="P101" s="11">
        <v>44735.479970659719</v>
      </c>
      <c r="Q101" s="27">
        <f t="shared" si="3"/>
        <v>1.4028819423401728E-3</v>
      </c>
      <c r="R101" s="65">
        <f t="shared" si="5"/>
        <v>1.4926851799828E-3</v>
      </c>
      <c r="S101" s="2">
        <v>0</v>
      </c>
      <c r="T101" s="2" t="s">
        <v>36</v>
      </c>
      <c r="U101" s="2" t="s">
        <v>37</v>
      </c>
      <c r="V101" s="2" t="s">
        <v>38</v>
      </c>
      <c r="W101" s="2" t="s">
        <v>35</v>
      </c>
      <c r="X101" s="2" t="s">
        <v>35</v>
      </c>
      <c r="Y101" s="2" t="s">
        <v>35</v>
      </c>
      <c r="Z101" s="2" t="b">
        <v>0</v>
      </c>
      <c r="AA101" s="2" t="s">
        <v>369</v>
      </c>
      <c r="AB101" s="2">
        <v>100</v>
      </c>
      <c r="AC101" s="2" t="s">
        <v>35</v>
      </c>
      <c r="AD101" s="2" t="s">
        <v>35</v>
      </c>
      <c r="AE101" s="2" t="s">
        <v>207</v>
      </c>
      <c r="AF101" s="11">
        <v>44735.40625</v>
      </c>
      <c r="AG101" s="53"/>
      <c r="AH101" s="53" t="b">
        <f t="shared" si="4"/>
        <v>0</v>
      </c>
      <c r="AI101" s="54" t="str" cm="1">
        <f t="array" ref="AI101:AK101">TRANSPOSE(_xlfn._xlws.FILTER(images!L:L,images!F:F=Barrierenmessung!A101, ""))</f>
        <v>https://captureandgo.cloudlab.zhaw.ch/uploads/image_bc3ddac8ce.jpg</v>
      </c>
      <c r="AJ101" s="2" t="str">
        <v>https://captureandgo.cloudlab.zhaw.ch/uploads/image_1af2eb30ea.jpg</v>
      </c>
      <c r="AK101" s="2" t="str">
        <v>https://captureandgo.cloudlab.zhaw.ch/uploads/image_aa764a326e.jpg</v>
      </c>
      <c r="AL101" s="2"/>
      <c r="AM101" s="2"/>
      <c r="AN101" s="2"/>
    </row>
    <row r="102" spans="1:40" ht="16" x14ac:dyDescent="0.2">
      <c r="A102" s="2" t="s">
        <v>370</v>
      </c>
      <c r="B102" s="46">
        <v>101</v>
      </c>
      <c r="C102" s="2" t="b">
        <v>0</v>
      </c>
      <c r="D102" s="2" t="b">
        <v>0</v>
      </c>
      <c r="E102" s="2" t="b">
        <v>0</v>
      </c>
      <c r="F102" s="2" t="b">
        <v>0</v>
      </c>
      <c r="G102" s="2" t="s">
        <v>31</v>
      </c>
      <c r="H102" s="2" t="s">
        <v>371</v>
      </c>
      <c r="I102" s="2" t="s">
        <v>372</v>
      </c>
      <c r="J102" s="2" t="s">
        <v>352</v>
      </c>
      <c r="K102" s="2" t="s">
        <v>35</v>
      </c>
      <c r="L102" s="2" t="s">
        <v>35</v>
      </c>
      <c r="M102" s="2" t="s">
        <v>35</v>
      </c>
      <c r="N102" s="2" t="s">
        <v>35</v>
      </c>
      <c r="O102" s="11">
        <v>44735.481152708337</v>
      </c>
      <c r="P102" s="11">
        <v>44735.481391053239</v>
      </c>
      <c r="Q102" s="27">
        <f t="shared" si="3"/>
        <v>2.3834490275476128E-4</v>
      </c>
      <c r="R102" s="65">
        <f t="shared" si="5"/>
        <v>1.4203935206751339E-3</v>
      </c>
      <c r="S102" s="2">
        <v>0</v>
      </c>
      <c r="T102" s="2" t="s">
        <v>124</v>
      </c>
      <c r="U102" s="2" t="s">
        <v>125</v>
      </c>
      <c r="V102" s="2" t="s">
        <v>38</v>
      </c>
      <c r="W102" s="2" t="s">
        <v>35</v>
      </c>
      <c r="X102" s="2" t="s">
        <v>35</v>
      </c>
      <c r="Y102" s="2" t="s">
        <v>35</v>
      </c>
      <c r="Z102" s="2" t="b">
        <v>0</v>
      </c>
      <c r="AA102" s="2" t="s">
        <v>35</v>
      </c>
      <c r="AB102" s="2">
        <v>4</v>
      </c>
      <c r="AC102" s="2" t="s">
        <v>35</v>
      </c>
      <c r="AD102" s="2" t="s">
        <v>35</v>
      </c>
      <c r="AE102" s="2" t="s">
        <v>207</v>
      </c>
      <c r="AF102" s="11">
        <v>44735.40625</v>
      </c>
      <c r="AG102" s="53"/>
      <c r="AH102" s="53" t="b">
        <f t="shared" si="4"/>
        <v>0</v>
      </c>
      <c r="AI102" s="54" t="str" cm="1">
        <f t="array" ref="AI102">TRANSPOSE(_xlfn._xlws.FILTER(images!L:L,images!F:F=Barrierenmessung!A102, ""))</f>
        <v>https://captureandgo.cloudlab.zhaw.ch/uploads/image_c659c95aa0.jpg</v>
      </c>
      <c r="AJ102" s="2"/>
      <c r="AK102" s="2"/>
      <c r="AL102" s="2"/>
      <c r="AM102" s="2"/>
      <c r="AN102" s="2"/>
    </row>
    <row r="103" spans="1:40" ht="16" x14ac:dyDescent="0.2">
      <c r="A103" s="2" t="s">
        <v>373</v>
      </c>
      <c r="B103" s="46">
        <v>102</v>
      </c>
      <c r="C103" s="2" t="b">
        <v>0</v>
      </c>
      <c r="D103" s="2" t="b">
        <v>0</v>
      </c>
      <c r="E103" s="2" t="b">
        <v>0</v>
      </c>
      <c r="F103" s="2" t="b">
        <v>0</v>
      </c>
      <c r="G103" s="2" t="s">
        <v>31</v>
      </c>
      <c r="H103" s="2" t="s">
        <v>374</v>
      </c>
      <c r="I103" s="2" t="s">
        <v>375</v>
      </c>
      <c r="J103" s="2" t="s">
        <v>352</v>
      </c>
      <c r="K103" s="2" t="s">
        <v>35</v>
      </c>
      <c r="L103" s="2" t="s">
        <v>35</v>
      </c>
      <c r="M103" s="2" t="s">
        <v>35</v>
      </c>
      <c r="N103" s="2" t="s">
        <v>35</v>
      </c>
      <c r="O103" s="11">
        <v>44735.481774305554</v>
      </c>
      <c r="P103" s="11">
        <v>44735.482161388885</v>
      </c>
      <c r="Q103" s="27">
        <f t="shared" si="3"/>
        <v>3.8708333158865571E-4</v>
      </c>
      <c r="R103" s="65">
        <f t="shared" si="5"/>
        <v>7.7033564593875781E-4</v>
      </c>
      <c r="S103" s="2">
        <v>0</v>
      </c>
      <c r="T103" s="2" t="s">
        <v>124</v>
      </c>
      <c r="U103" s="2" t="s">
        <v>125</v>
      </c>
      <c r="V103" s="2" t="s">
        <v>38</v>
      </c>
      <c r="W103" s="2" t="s">
        <v>35</v>
      </c>
      <c r="X103" s="2" t="s">
        <v>35</v>
      </c>
      <c r="Y103" s="2" t="s">
        <v>35</v>
      </c>
      <c r="Z103" s="2" t="b">
        <v>0</v>
      </c>
      <c r="AA103" s="2" t="s">
        <v>35</v>
      </c>
      <c r="AB103" s="2">
        <v>4</v>
      </c>
      <c r="AC103" s="2" t="s">
        <v>35</v>
      </c>
      <c r="AD103" s="2" t="s">
        <v>35</v>
      </c>
      <c r="AE103" s="2" t="s">
        <v>207</v>
      </c>
      <c r="AF103" s="11">
        <v>44735.40625</v>
      </c>
      <c r="AG103" s="53"/>
      <c r="AH103" s="53" t="b">
        <f t="shared" si="4"/>
        <v>0</v>
      </c>
      <c r="AI103" s="54" t="str" cm="1">
        <f t="array" ref="AI103">TRANSPOSE(_xlfn._xlws.FILTER(images!L:L,images!F:F=Barrierenmessung!A103, ""))</f>
        <v>https://captureandgo.cloudlab.zhaw.ch/uploads/image_05970481c6.jpg</v>
      </c>
      <c r="AJ103" s="2"/>
      <c r="AK103" s="2"/>
      <c r="AL103" s="2"/>
      <c r="AM103" s="2"/>
      <c r="AN103" s="2"/>
    </row>
    <row r="104" spans="1:40" ht="16" x14ac:dyDescent="0.2">
      <c r="A104" s="2" t="s">
        <v>376</v>
      </c>
      <c r="B104" s="46">
        <v>103</v>
      </c>
      <c r="C104" s="2" t="b">
        <v>0</v>
      </c>
      <c r="D104" s="2" t="b">
        <v>0</v>
      </c>
      <c r="E104" s="2" t="b">
        <v>0</v>
      </c>
      <c r="F104" s="2" t="b">
        <v>0</v>
      </c>
      <c r="G104" s="2" t="s">
        <v>31</v>
      </c>
      <c r="H104" s="2" t="s">
        <v>377</v>
      </c>
      <c r="I104" s="2" t="s">
        <v>378</v>
      </c>
      <c r="J104" s="2" t="s">
        <v>352</v>
      </c>
      <c r="K104" s="2" t="s">
        <v>35</v>
      </c>
      <c r="L104" s="2" t="s">
        <v>35</v>
      </c>
      <c r="M104" s="2" t="s">
        <v>35</v>
      </c>
      <c r="N104" s="2" t="s">
        <v>35</v>
      </c>
      <c r="O104" s="11">
        <v>44735.483523136572</v>
      </c>
      <c r="P104" s="11">
        <v>44735.483951724535</v>
      </c>
      <c r="Q104" s="27">
        <f t="shared" si="3"/>
        <v>4.2858796223299578E-4</v>
      </c>
      <c r="R104" s="65">
        <f t="shared" si="5"/>
        <v>1.7903356492752209E-3</v>
      </c>
      <c r="S104" s="2">
        <v>0</v>
      </c>
      <c r="T104" s="2" t="s">
        <v>124</v>
      </c>
      <c r="U104" s="2" t="s">
        <v>125</v>
      </c>
      <c r="V104" s="2" t="s">
        <v>38</v>
      </c>
      <c r="W104" s="2" t="s">
        <v>35</v>
      </c>
      <c r="X104" s="2" t="s">
        <v>35</v>
      </c>
      <c r="Y104" s="2" t="s">
        <v>35</v>
      </c>
      <c r="Z104" s="2" t="b">
        <v>0</v>
      </c>
      <c r="AA104" s="2" t="s">
        <v>35</v>
      </c>
      <c r="AB104" s="2">
        <v>4</v>
      </c>
      <c r="AC104" s="2" t="s">
        <v>35</v>
      </c>
      <c r="AD104" s="2" t="s">
        <v>35</v>
      </c>
      <c r="AE104" s="2" t="s">
        <v>207</v>
      </c>
      <c r="AF104" s="11">
        <v>44735.40625</v>
      </c>
      <c r="AG104" s="53"/>
      <c r="AH104" s="53" t="b">
        <f t="shared" si="4"/>
        <v>0</v>
      </c>
      <c r="AI104" s="54" t="str" cm="1">
        <f t="array" ref="AI104">TRANSPOSE(_xlfn._xlws.FILTER(images!L:L,images!F:F=Barrierenmessung!A104, ""))</f>
        <v>https://captureandgo.cloudlab.zhaw.ch/uploads/image_3e2c6b1ef6.jpg</v>
      </c>
      <c r="AJ104" s="2"/>
      <c r="AK104" s="2"/>
      <c r="AL104" s="2"/>
      <c r="AM104" s="2"/>
      <c r="AN104" s="2"/>
    </row>
    <row r="105" spans="1:40" ht="16" x14ac:dyDescent="0.2">
      <c r="A105" s="2" t="s">
        <v>379</v>
      </c>
      <c r="B105" s="46">
        <v>104</v>
      </c>
      <c r="C105" s="2" t="b">
        <v>0</v>
      </c>
      <c r="D105" s="2" t="b">
        <v>0</v>
      </c>
      <c r="E105" s="2" t="b">
        <v>0</v>
      </c>
      <c r="F105" s="2" t="b">
        <v>0</v>
      </c>
      <c r="G105" s="2" t="s">
        <v>31</v>
      </c>
      <c r="H105" s="2" t="s">
        <v>380</v>
      </c>
      <c r="I105" s="2" t="s">
        <v>381</v>
      </c>
      <c r="J105" s="2" t="s">
        <v>35</v>
      </c>
      <c r="K105" s="2" t="s">
        <v>35</v>
      </c>
      <c r="L105" s="2" t="s">
        <v>35</v>
      </c>
      <c r="M105" s="2" t="s">
        <v>35</v>
      </c>
      <c r="N105" s="2" t="s">
        <v>35</v>
      </c>
      <c r="O105" s="11">
        <v>44735.485174050926</v>
      </c>
      <c r="P105" s="11">
        <v>44735.485646828703</v>
      </c>
      <c r="Q105" s="27">
        <f t="shared" si="3"/>
        <v>4.7277777775889263E-4</v>
      </c>
      <c r="R105" s="65">
        <f t="shared" si="5"/>
        <v>1.6951041689026169E-3</v>
      </c>
      <c r="S105" s="2">
        <v>0</v>
      </c>
      <c r="T105" s="2" t="s">
        <v>36</v>
      </c>
      <c r="U105" s="2" t="s">
        <v>37</v>
      </c>
      <c r="V105" s="2" t="s">
        <v>38</v>
      </c>
      <c r="W105" s="2" t="s">
        <v>35</v>
      </c>
      <c r="X105" s="2" t="s">
        <v>35</v>
      </c>
      <c r="Y105" s="2" t="s">
        <v>35</v>
      </c>
      <c r="Z105" s="2" t="b">
        <v>0</v>
      </c>
      <c r="AA105" s="2" t="s">
        <v>35</v>
      </c>
      <c r="AB105" s="2" t="s">
        <v>35</v>
      </c>
      <c r="AC105" s="2" t="s">
        <v>35</v>
      </c>
      <c r="AD105" s="2">
        <v>4</v>
      </c>
      <c r="AE105" s="2" t="s">
        <v>207</v>
      </c>
      <c r="AF105" s="11">
        <v>44735.40625</v>
      </c>
      <c r="AG105" s="53"/>
      <c r="AH105" s="53" t="b">
        <f t="shared" si="4"/>
        <v>0</v>
      </c>
      <c r="AI105" s="54" t="str" cm="1">
        <f t="array" ref="AI105:AK105">TRANSPOSE(_xlfn._xlws.FILTER(images!L:L,images!F:F=Barrierenmessung!A105, ""))</f>
        <v>https://captureandgo.cloudlab.zhaw.ch/uploads/image_ce5917e524.jpg</v>
      </c>
      <c r="AJ105" s="2" t="str">
        <v>https://captureandgo.cloudlab.zhaw.ch/uploads/image_b7a8659bb1.jpg</v>
      </c>
      <c r="AK105" s="2" t="str">
        <v>https://captureandgo.cloudlab.zhaw.ch/uploads/image_de4ab1e3eb.jpg</v>
      </c>
      <c r="AL105" s="2"/>
      <c r="AM105" s="2"/>
      <c r="AN105" s="2"/>
    </row>
    <row r="106" spans="1:40" ht="16" x14ac:dyDescent="0.2">
      <c r="A106" s="2" t="s">
        <v>382</v>
      </c>
      <c r="B106" s="46">
        <v>105</v>
      </c>
      <c r="C106" s="2" t="b">
        <v>0</v>
      </c>
      <c r="D106" s="2" t="b">
        <v>0</v>
      </c>
      <c r="E106" s="2" t="b">
        <v>0</v>
      </c>
      <c r="F106" s="2" t="b">
        <v>0</v>
      </c>
      <c r="G106" s="2" t="s">
        <v>31</v>
      </c>
      <c r="H106" s="2" t="s">
        <v>383</v>
      </c>
      <c r="I106" s="2" t="s">
        <v>384</v>
      </c>
      <c r="J106" s="2" t="s">
        <v>352</v>
      </c>
      <c r="K106" s="2" t="s">
        <v>35</v>
      </c>
      <c r="L106" s="2" t="s">
        <v>35</v>
      </c>
      <c r="M106" s="2" t="s">
        <v>35</v>
      </c>
      <c r="N106" s="2" t="s">
        <v>35</v>
      </c>
      <c r="O106" s="11">
        <v>44735.487021805558</v>
      </c>
      <c r="P106" s="11">
        <v>44735.487392395837</v>
      </c>
      <c r="Q106" s="27">
        <f t="shared" si="3"/>
        <v>3.7059027818031609E-4</v>
      </c>
      <c r="R106" s="65">
        <f t="shared" si="5"/>
        <v>1.7455671331845224E-3</v>
      </c>
      <c r="S106" s="2">
        <v>0</v>
      </c>
      <c r="T106" s="2" t="s">
        <v>124</v>
      </c>
      <c r="U106" s="2" t="s">
        <v>125</v>
      </c>
      <c r="V106" s="2" t="s">
        <v>38</v>
      </c>
      <c r="W106" s="2" t="s">
        <v>35</v>
      </c>
      <c r="X106" s="2" t="s">
        <v>35</v>
      </c>
      <c r="Y106" s="2" t="s">
        <v>35</v>
      </c>
      <c r="Z106" s="2" t="b">
        <v>0</v>
      </c>
      <c r="AA106" s="2" t="s">
        <v>35</v>
      </c>
      <c r="AB106" s="2">
        <v>4</v>
      </c>
      <c r="AC106" s="2" t="s">
        <v>35</v>
      </c>
      <c r="AD106" s="2" t="s">
        <v>35</v>
      </c>
      <c r="AE106" s="2" t="s">
        <v>207</v>
      </c>
      <c r="AF106" s="11">
        <v>44735.40625</v>
      </c>
      <c r="AG106" s="53"/>
      <c r="AH106" s="53" t="b">
        <f t="shared" si="4"/>
        <v>0</v>
      </c>
      <c r="AI106" s="54" t="str" cm="1">
        <f t="array" ref="AI106">TRANSPOSE(_xlfn._xlws.FILTER(images!L:L,images!F:F=Barrierenmessung!A106, ""))</f>
        <v>https://captureandgo.cloudlab.zhaw.ch/uploads/image_7dd5039d16.jpg</v>
      </c>
      <c r="AJ106" s="2"/>
      <c r="AK106" s="2"/>
      <c r="AL106" s="2"/>
      <c r="AM106" s="2"/>
      <c r="AN106" s="2"/>
    </row>
    <row r="107" spans="1:40" ht="16" x14ac:dyDescent="0.2">
      <c r="A107" s="2" t="s">
        <v>385</v>
      </c>
      <c r="B107" s="46">
        <v>106</v>
      </c>
      <c r="C107" s="2" t="b">
        <v>0</v>
      </c>
      <c r="D107" s="2" t="b">
        <v>0</v>
      </c>
      <c r="E107" s="2" t="b">
        <v>0</v>
      </c>
      <c r="F107" s="2" t="b">
        <v>0</v>
      </c>
      <c r="G107" s="2" t="s">
        <v>31</v>
      </c>
      <c r="H107" s="2" t="s">
        <v>386</v>
      </c>
      <c r="I107" s="2" t="s">
        <v>387</v>
      </c>
      <c r="J107" s="2" t="s">
        <v>352</v>
      </c>
      <c r="K107" s="2" t="s">
        <v>35</v>
      </c>
      <c r="L107" s="2" t="s">
        <v>35</v>
      </c>
      <c r="M107" s="2" t="s">
        <v>35</v>
      </c>
      <c r="N107" s="2" t="s">
        <v>35</v>
      </c>
      <c r="O107" s="11">
        <v>44735.488081180556</v>
      </c>
      <c r="P107" s="11">
        <v>44735.488294131945</v>
      </c>
      <c r="Q107" s="27">
        <f t="shared" si="3"/>
        <v>2.129513886757195E-4</v>
      </c>
      <c r="R107" s="65">
        <f t="shared" si="5"/>
        <v>9.0173610806232318E-4</v>
      </c>
      <c r="S107" s="2">
        <v>0</v>
      </c>
      <c r="T107" s="2" t="s">
        <v>124</v>
      </c>
      <c r="U107" s="2" t="s">
        <v>125</v>
      </c>
      <c r="V107" s="2" t="s">
        <v>38</v>
      </c>
      <c r="W107" s="2" t="s">
        <v>35</v>
      </c>
      <c r="X107" s="2" t="s">
        <v>35</v>
      </c>
      <c r="Y107" s="2" t="s">
        <v>35</v>
      </c>
      <c r="Z107" s="2" t="b">
        <v>0</v>
      </c>
      <c r="AA107" s="2" t="s">
        <v>35</v>
      </c>
      <c r="AB107" s="2">
        <v>4</v>
      </c>
      <c r="AC107" s="2" t="s">
        <v>35</v>
      </c>
      <c r="AD107" s="2" t="s">
        <v>35</v>
      </c>
      <c r="AE107" s="2" t="s">
        <v>207</v>
      </c>
      <c r="AF107" s="11">
        <v>44735.40625</v>
      </c>
      <c r="AG107" s="53"/>
      <c r="AH107" s="53" t="b">
        <f t="shared" si="4"/>
        <v>0</v>
      </c>
      <c r="AI107" s="54" t="str" cm="1">
        <f t="array" ref="AI107">TRANSPOSE(_xlfn._xlws.FILTER(images!L:L,images!F:F=Barrierenmessung!A107, ""))</f>
        <v>https://captureandgo.cloudlab.zhaw.ch/uploads/image_65f5d35a97.jpg</v>
      </c>
      <c r="AJ107" s="2"/>
      <c r="AK107" s="2"/>
      <c r="AL107" s="2"/>
      <c r="AM107" s="2"/>
      <c r="AN107" s="2"/>
    </row>
    <row r="108" spans="1:40" ht="16" x14ac:dyDescent="0.2">
      <c r="A108" s="2" t="s">
        <v>388</v>
      </c>
      <c r="B108" s="46">
        <v>107</v>
      </c>
      <c r="C108" s="2" t="b">
        <v>0</v>
      </c>
      <c r="D108" s="2" t="b">
        <v>0</v>
      </c>
      <c r="E108" s="2" t="b">
        <v>0</v>
      </c>
      <c r="F108" s="2" t="b">
        <v>0</v>
      </c>
      <c r="G108" s="2" t="s">
        <v>31</v>
      </c>
      <c r="H108" s="2" t="s">
        <v>389</v>
      </c>
      <c r="I108" s="2" t="s">
        <v>390</v>
      </c>
      <c r="J108" s="2" t="s">
        <v>352</v>
      </c>
      <c r="K108" s="2" t="s">
        <v>35</v>
      </c>
      <c r="L108" s="2" t="s">
        <v>35</v>
      </c>
      <c r="M108" s="2" t="s">
        <v>35</v>
      </c>
      <c r="N108" s="2" t="s">
        <v>35</v>
      </c>
      <c r="O108" s="11">
        <v>44735.48886164352</v>
      </c>
      <c r="P108" s="11">
        <v>44735.48913008102</v>
      </c>
      <c r="Q108" s="27">
        <f t="shared" si="3"/>
        <v>2.6843749947147444E-4</v>
      </c>
      <c r="R108" s="65">
        <f t="shared" si="5"/>
        <v>8.3594907482620329E-4</v>
      </c>
      <c r="S108" s="2">
        <v>0</v>
      </c>
      <c r="T108" s="2" t="s">
        <v>124</v>
      </c>
      <c r="U108" s="2" t="s">
        <v>125</v>
      </c>
      <c r="V108" s="2" t="s">
        <v>38</v>
      </c>
      <c r="W108" s="2" t="s">
        <v>35</v>
      </c>
      <c r="X108" s="2" t="s">
        <v>35</v>
      </c>
      <c r="Y108" s="2" t="s">
        <v>35</v>
      </c>
      <c r="Z108" s="2" t="b">
        <v>0</v>
      </c>
      <c r="AA108" s="2" t="s">
        <v>35</v>
      </c>
      <c r="AB108" s="2">
        <v>4</v>
      </c>
      <c r="AC108" s="2" t="s">
        <v>35</v>
      </c>
      <c r="AD108" s="2" t="s">
        <v>35</v>
      </c>
      <c r="AE108" s="2" t="s">
        <v>207</v>
      </c>
      <c r="AF108" s="11">
        <v>44735.40625</v>
      </c>
      <c r="AG108" s="53"/>
      <c r="AH108" s="53" t="b">
        <f t="shared" si="4"/>
        <v>0</v>
      </c>
      <c r="AI108" s="54" t="str" cm="1">
        <f t="array" ref="AI108">TRANSPOSE(_xlfn._xlws.FILTER(images!L:L,images!F:F=Barrierenmessung!A108, ""))</f>
        <v>https://captureandgo.cloudlab.zhaw.ch/uploads/image_9ec98c5059.jpg</v>
      </c>
      <c r="AJ108" s="2"/>
      <c r="AK108" s="2"/>
      <c r="AL108" s="2"/>
      <c r="AM108" s="2"/>
      <c r="AN108" s="2"/>
    </row>
    <row r="109" spans="1:40" ht="16" x14ac:dyDescent="0.2">
      <c r="A109" s="2" t="s">
        <v>391</v>
      </c>
      <c r="B109" s="46">
        <v>108</v>
      </c>
      <c r="C109" s="2" t="b">
        <v>0</v>
      </c>
      <c r="D109" s="2" t="b">
        <v>0</v>
      </c>
      <c r="E109" s="2" t="b">
        <v>0</v>
      </c>
      <c r="F109" s="2" t="b">
        <v>0</v>
      </c>
      <c r="G109" s="2" t="s">
        <v>31</v>
      </c>
      <c r="H109" s="2" t="s">
        <v>392</v>
      </c>
      <c r="I109" s="2" t="s">
        <v>393</v>
      </c>
      <c r="J109" s="2" t="s">
        <v>35</v>
      </c>
      <c r="K109" s="2" t="s">
        <v>35</v>
      </c>
      <c r="L109" s="2" t="s">
        <v>35</v>
      </c>
      <c r="M109" s="2" t="s">
        <v>35</v>
      </c>
      <c r="N109" s="2" t="s">
        <v>35</v>
      </c>
      <c r="O109" s="11">
        <v>44735.490283506944</v>
      </c>
      <c r="P109" s="11">
        <v>44735.490491331017</v>
      </c>
      <c r="Q109" s="27">
        <f t="shared" si="3"/>
        <v>2.0782407227670774E-4</v>
      </c>
      <c r="R109" s="65">
        <f t="shared" si="5"/>
        <v>1.3612499969894998E-3</v>
      </c>
      <c r="S109" s="2">
        <v>0</v>
      </c>
      <c r="T109" s="2" t="s">
        <v>36</v>
      </c>
      <c r="U109" s="2" t="s">
        <v>37</v>
      </c>
      <c r="V109" s="2" t="s">
        <v>38</v>
      </c>
      <c r="W109" s="2" t="s">
        <v>35</v>
      </c>
      <c r="X109" s="2" t="s">
        <v>35</v>
      </c>
      <c r="Y109" s="2" t="s">
        <v>35</v>
      </c>
      <c r="Z109" s="2" t="b">
        <v>0</v>
      </c>
      <c r="AA109" s="2" t="s">
        <v>35</v>
      </c>
      <c r="AB109" s="2" t="s">
        <v>35</v>
      </c>
      <c r="AC109" s="2" t="s">
        <v>35</v>
      </c>
      <c r="AD109" s="2">
        <v>3</v>
      </c>
      <c r="AE109" s="2" t="s">
        <v>207</v>
      </c>
      <c r="AF109" s="11">
        <v>44735.40625</v>
      </c>
      <c r="AG109" s="53"/>
      <c r="AH109" s="53" t="b">
        <f t="shared" si="4"/>
        <v>0</v>
      </c>
      <c r="AI109" s="54" t="str" cm="1">
        <f t="array" ref="AI109">TRANSPOSE(_xlfn._xlws.FILTER(images!L:L,images!F:F=Barrierenmessung!A109, ""))</f>
        <v>https://captureandgo.cloudlab.zhaw.ch/uploads/image_717282610d.jpg</v>
      </c>
      <c r="AJ109" s="2"/>
      <c r="AK109" s="2"/>
      <c r="AL109" s="2"/>
      <c r="AM109" s="2"/>
      <c r="AN109" s="2"/>
    </row>
    <row r="110" spans="1:40" ht="16" x14ac:dyDescent="0.2">
      <c r="A110" s="2" t="s">
        <v>394</v>
      </c>
      <c r="B110" s="46">
        <v>109</v>
      </c>
      <c r="C110" s="2" t="b">
        <v>0</v>
      </c>
      <c r="D110" s="2" t="b">
        <v>0</v>
      </c>
      <c r="E110" s="2" t="b">
        <v>0</v>
      </c>
      <c r="F110" s="2" t="b">
        <v>0</v>
      </c>
      <c r="G110" s="2" t="s">
        <v>31</v>
      </c>
      <c r="H110" s="2" t="s">
        <v>395</v>
      </c>
      <c r="I110" s="2" t="s">
        <v>396</v>
      </c>
      <c r="J110" s="2" t="s">
        <v>352</v>
      </c>
      <c r="K110" s="2" t="s">
        <v>35</v>
      </c>
      <c r="L110" s="2" t="s">
        <v>35</v>
      </c>
      <c r="M110" s="2" t="s">
        <v>35</v>
      </c>
      <c r="N110" s="2" t="s">
        <v>35</v>
      </c>
      <c r="O110" s="11">
        <v>44735.49069958333</v>
      </c>
      <c r="P110" s="11">
        <v>44735.490988819445</v>
      </c>
      <c r="Q110" s="27">
        <f t="shared" si="3"/>
        <v>2.8923611534992233E-4</v>
      </c>
      <c r="R110" s="65">
        <f t="shared" si="5"/>
        <v>4.9748842866392806E-4</v>
      </c>
      <c r="S110" s="2">
        <v>0</v>
      </c>
      <c r="T110" s="2" t="s">
        <v>124</v>
      </c>
      <c r="U110" s="2" t="s">
        <v>125</v>
      </c>
      <c r="V110" s="2" t="s">
        <v>38</v>
      </c>
      <c r="W110" s="2" t="s">
        <v>35</v>
      </c>
      <c r="X110" s="2" t="s">
        <v>35</v>
      </c>
      <c r="Y110" s="2" t="s">
        <v>35</v>
      </c>
      <c r="Z110" s="2" t="b">
        <v>0</v>
      </c>
      <c r="AA110" s="2" t="s">
        <v>35</v>
      </c>
      <c r="AB110" s="2">
        <v>4</v>
      </c>
      <c r="AC110" s="2" t="s">
        <v>35</v>
      </c>
      <c r="AD110" s="2" t="s">
        <v>35</v>
      </c>
      <c r="AE110" s="2" t="s">
        <v>207</v>
      </c>
      <c r="AF110" s="11">
        <v>44735.40625</v>
      </c>
      <c r="AG110" s="53"/>
      <c r="AH110" s="53" t="b">
        <f t="shared" si="4"/>
        <v>0</v>
      </c>
      <c r="AI110" s="54" t="str" cm="1">
        <f t="array" ref="AI110">TRANSPOSE(_xlfn._xlws.FILTER(images!L:L,images!F:F=Barrierenmessung!A110, ""))</f>
        <v>https://captureandgo.cloudlab.zhaw.ch/uploads/image_e57143dd04.jpg</v>
      </c>
      <c r="AJ110" s="2"/>
      <c r="AK110" s="2"/>
      <c r="AL110" s="2"/>
      <c r="AM110" s="2"/>
      <c r="AN110" s="2"/>
    </row>
    <row r="111" spans="1:40" ht="16" x14ac:dyDescent="0.2">
      <c r="A111" s="2" t="s">
        <v>397</v>
      </c>
      <c r="B111" s="46">
        <v>110</v>
      </c>
      <c r="C111" s="2" t="b">
        <v>0</v>
      </c>
      <c r="D111" s="2" t="b">
        <v>0</v>
      </c>
      <c r="E111" s="2" t="b">
        <v>0</v>
      </c>
      <c r="F111" s="2" t="b">
        <v>0</v>
      </c>
      <c r="G111" s="2" t="s">
        <v>31</v>
      </c>
      <c r="H111" s="2" t="s">
        <v>398</v>
      </c>
      <c r="I111" s="2" t="s">
        <v>399</v>
      </c>
      <c r="J111" s="2" t="s">
        <v>352</v>
      </c>
      <c r="K111" s="2" t="s">
        <v>35</v>
      </c>
      <c r="L111" s="2" t="s">
        <v>35</v>
      </c>
      <c r="M111" s="2" t="s">
        <v>35</v>
      </c>
      <c r="N111" s="2" t="s">
        <v>35</v>
      </c>
      <c r="O111" s="11">
        <v>44735.492309259258</v>
      </c>
      <c r="P111" s="11">
        <v>44735.492494999999</v>
      </c>
      <c r="Q111" s="27">
        <f t="shared" si="3"/>
        <v>1.8574074056232348E-4</v>
      </c>
      <c r="R111" s="65">
        <f t="shared" si="5"/>
        <v>1.5061805534060113E-3</v>
      </c>
      <c r="S111" s="2">
        <v>0</v>
      </c>
      <c r="T111" s="2" t="s">
        <v>124</v>
      </c>
      <c r="U111" s="2" t="s">
        <v>125</v>
      </c>
      <c r="V111" s="2" t="s">
        <v>38</v>
      </c>
      <c r="W111" s="2" t="s">
        <v>35</v>
      </c>
      <c r="X111" s="2" t="s">
        <v>35</v>
      </c>
      <c r="Y111" s="2" t="s">
        <v>35</v>
      </c>
      <c r="Z111" s="2" t="b">
        <v>0</v>
      </c>
      <c r="AA111" s="2" t="s">
        <v>35</v>
      </c>
      <c r="AB111" s="2">
        <v>4</v>
      </c>
      <c r="AC111" s="2" t="s">
        <v>35</v>
      </c>
      <c r="AD111" s="2" t="s">
        <v>35</v>
      </c>
      <c r="AE111" s="2" t="s">
        <v>207</v>
      </c>
      <c r="AF111" s="11">
        <v>44735.40625</v>
      </c>
      <c r="AG111" s="53"/>
      <c r="AH111" s="53" t="b">
        <f t="shared" si="4"/>
        <v>0</v>
      </c>
      <c r="AI111" s="54" t="str" cm="1">
        <f t="array" ref="AI111">TRANSPOSE(_xlfn._xlws.FILTER(images!L:L,images!F:F=Barrierenmessung!A111, ""))</f>
        <v>https://captureandgo.cloudlab.zhaw.ch/uploads/image_78dfe5e03c.jpg</v>
      </c>
      <c r="AJ111" s="2"/>
      <c r="AK111" s="2"/>
      <c r="AL111" s="2"/>
      <c r="AM111" s="2"/>
      <c r="AN111" s="2"/>
    </row>
    <row r="112" spans="1:40" ht="16" x14ac:dyDescent="0.2">
      <c r="A112" s="2" t="s">
        <v>400</v>
      </c>
      <c r="B112" s="46">
        <v>111</v>
      </c>
      <c r="C112" s="2" t="b">
        <v>0</v>
      </c>
      <c r="D112" s="2" t="b">
        <v>0</v>
      </c>
      <c r="E112" s="2" t="b">
        <v>0</v>
      </c>
      <c r="F112" s="2" t="b">
        <v>0</v>
      </c>
      <c r="G112" s="2" t="s">
        <v>31</v>
      </c>
      <c r="H112" s="2" t="s">
        <v>401</v>
      </c>
      <c r="I112" s="2" t="s">
        <v>402</v>
      </c>
      <c r="J112" s="2" t="s">
        <v>35</v>
      </c>
      <c r="K112" s="2" t="s">
        <v>35</v>
      </c>
      <c r="L112" s="2" t="s">
        <v>35</v>
      </c>
      <c r="M112" s="2" t="s">
        <v>35</v>
      </c>
      <c r="N112" s="2" t="s">
        <v>35</v>
      </c>
      <c r="O112" s="11">
        <v>44735.493483333332</v>
      </c>
      <c r="P112" s="11">
        <v>44735.493831689811</v>
      </c>
      <c r="Q112" s="27">
        <f t="shared" si="3"/>
        <v>3.4835647966247052E-4</v>
      </c>
      <c r="R112" s="65">
        <f t="shared" si="5"/>
        <v>1.3366898128879257E-3</v>
      </c>
      <c r="S112" s="2">
        <v>0</v>
      </c>
      <c r="T112" s="2" t="s">
        <v>36</v>
      </c>
      <c r="U112" s="2" t="s">
        <v>37</v>
      </c>
      <c r="V112" s="2" t="s">
        <v>38</v>
      </c>
      <c r="W112" s="2" t="s">
        <v>35</v>
      </c>
      <c r="X112" s="2" t="s">
        <v>35</v>
      </c>
      <c r="Y112" s="2" t="s">
        <v>35</v>
      </c>
      <c r="Z112" s="2" t="b">
        <v>0</v>
      </c>
      <c r="AA112" s="2" t="s">
        <v>35</v>
      </c>
      <c r="AB112" s="2" t="s">
        <v>35</v>
      </c>
      <c r="AC112" s="2" t="s">
        <v>35</v>
      </c>
      <c r="AD112" s="2">
        <v>5</v>
      </c>
      <c r="AE112" s="2" t="s">
        <v>207</v>
      </c>
      <c r="AF112" s="11">
        <v>44735.40625</v>
      </c>
      <c r="AG112" s="53"/>
      <c r="AH112" s="53" t="b">
        <f t="shared" si="4"/>
        <v>0</v>
      </c>
      <c r="AI112" s="54" t="str" cm="1">
        <f t="array" ref="AI112">TRANSPOSE(_xlfn._xlws.FILTER(images!L:L,images!F:F=Barrierenmessung!A112, ""))</f>
        <v>https://captureandgo.cloudlab.zhaw.ch/uploads/image_1acde03522.jpg</v>
      </c>
      <c r="AJ112" s="2"/>
      <c r="AK112" s="2"/>
      <c r="AL112" s="2"/>
      <c r="AM112" s="2"/>
      <c r="AN112" s="2"/>
    </row>
    <row r="113" spans="1:40" ht="16" x14ac:dyDescent="0.2">
      <c r="A113" s="2" t="s">
        <v>403</v>
      </c>
      <c r="B113" s="46">
        <v>112</v>
      </c>
      <c r="C113" s="2" t="b">
        <v>0</v>
      </c>
      <c r="D113" s="2" t="b">
        <v>0</v>
      </c>
      <c r="E113" s="2" t="b">
        <v>0</v>
      </c>
      <c r="F113" s="2" t="b">
        <v>0</v>
      </c>
      <c r="G113" s="2" t="s">
        <v>31</v>
      </c>
      <c r="H113" s="2" t="s">
        <v>404</v>
      </c>
      <c r="I113" s="2" t="s">
        <v>405</v>
      </c>
      <c r="J113" s="2" t="s">
        <v>352</v>
      </c>
      <c r="K113" s="2" t="s">
        <v>35</v>
      </c>
      <c r="L113" s="2" t="s">
        <v>35</v>
      </c>
      <c r="M113" s="2" t="s">
        <v>35</v>
      </c>
      <c r="N113" s="2" t="s">
        <v>35</v>
      </c>
      <c r="O113" s="11">
        <v>44735.494435601853</v>
      </c>
      <c r="P113" s="11">
        <v>44735.494794432867</v>
      </c>
      <c r="Q113" s="27">
        <f t="shared" si="3"/>
        <v>3.5883101372746751E-4</v>
      </c>
      <c r="R113" s="65">
        <f t="shared" si="5"/>
        <v>9.6274305542465299E-4</v>
      </c>
      <c r="S113" s="2">
        <v>0</v>
      </c>
      <c r="T113" s="2" t="s">
        <v>124</v>
      </c>
      <c r="U113" s="2" t="s">
        <v>125</v>
      </c>
      <c r="V113" s="2" t="s">
        <v>38</v>
      </c>
      <c r="W113" s="2" t="s">
        <v>35</v>
      </c>
      <c r="X113" s="2" t="s">
        <v>35</v>
      </c>
      <c r="Y113" s="2" t="s">
        <v>35</v>
      </c>
      <c r="Z113" s="2" t="b">
        <v>0</v>
      </c>
      <c r="AA113" s="2" t="s">
        <v>35</v>
      </c>
      <c r="AB113" s="2">
        <v>4</v>
      </c>
      <c r="AC113" s="2" t="s">
        <v>35</v>
      </c>
      <c r="AD113" s="2" t="s">
        <v>35</v>
      </c>
      <c r="AE113" s="2" t="s">
        <v>207</v>
      </c>
      <c r="AF113" s="11">
        <v>44735.40625</v>
      </c>
      <c r="AG113" s="53"/>
      <c r="AH113" s="53" t="b">
        <f t="shared" si="4"/>
        <v>0</v>
      </c>
      <c r="AI113" s="54" t="str" cm="1">
        <f t="array" ref="AI113">TRANSPOSE(_xlfn._xlws.FILTER(images!L:L,images!F:F=Barrierenmessung!A113, ""))</f>
        <v>https://captureandgo.cloudlab.zhaw.ch/uploads/image_b4e05fc41b.jpg</v>
      </c>
      <c r="AJ113" s="2"/>
      <c r="AK113" s="2"/>
      <c r="AL113" s="2"/>
      <c r="AM113" s="2"/>
      <c r="AN113" s="2"/>
    </row>
    <row r="114" spans="1:40" ht="16" x14ac:dyDescent="0.2">
      <c r="A114" s="2" t="s">
        <v>406</v>
      </c>
      <c r="B114" s="46">
        <v>113</v>
      </c>
      <c r="C114" s="2" t="b">
        <v>0</v>
      </c>
      <c r="D114" s="2" t="b">
        <v>0</v>
      </c>
      <c r="E114" s="2" t="b">
        <v>0</v>
      </c>
      <c r="F114" s="2" t="b">
        <v>0</v>
      </c>
      <c r="G114" s="2" t="s">
        <v>31</v>
      </c>
      <c r="H114" s="2" t="s">
        <v>407</v>
      </c>
      <c r="I114" s="2" t="s">
        <v>408</v>
      </c>
      <c r="J114" s="2" t="s">
        <v>352</v>
      </c>
      <c r="K114" s="2" t="s">
        <v>35</v>
      </c>
      <c r="L114" s="2" t="s">
        <v>35</v>
      </c>
      <c r="M114" s="2" t="s">
        <v>35</v>
      </c>
      <c r="N114" s="2" t="s">
        <v>35</v>
      </c>
      <c r="O114" s="11">
        <v>44735.500955833333</v>
      </c>
      <c r="P114" s="11">
        <v>44735.501290752312</v>
      </c>
      <c r="Q114" s="27">
        <f t="shared" si="3"/>
        <v>3.3491897920612246E-4</v>
      </c>
      <c r="R114" s="65">
        <f t="shared" si="5"/>
        <v>6.4963194454321638E-3</v>
      </c>
      <c r="S114" s="2">
        <v>0</v>
      </c>
      <c r="T114" s="2" t="s">
        <v>124</v>
      </c>
      <c r="U114" s="2" t="s">
        <v>125</v>
      </c>
      <c r="V114" s="2" t="s">
        <v>38</v>
      </c>
      <c r="W114" s="2" t="s">
        <v>35</v>
      </c>
      <c r="X114" s="2" t="s">
        <v>35</v>
      </c>
      <c r="Y114" s="2" t="s">
        <v>35</v>
      </c>
      <c r="Z114" s="2" t="b">
        <v>0</v>
      </c>
      <c r="AA114" s="2" t="s">
        <v>35</v>
      </c>
      <c r="AB114" s="2">
        <v>4</v>
      </c>
      <c r="AC114" s="2" t="s">
        <v>35</v>
      </c>
      <c r="AD114" s="2" t="s">
        <v>35</v>
      </c>
      <c r="AE114" s="2" t="s">
        <v>207</v>
      </c>
      <c r="AF114" s="11">
        <v>44735.40625</v>
      </c>
      <c r="AG114" s="53"/>
      <c r="AH114" s="53" t="b">
        <f t="shared" si="4"/>
        <v>0</v>
      </c>
      <c r="AI114" s="54" t="str" cm="1">
        <f t="array" ref="AI114">TRANSPOSE(_xlfn._xlws.FILTER(images!L:L,images!F:F=Barrierenmessung!A114, ""))</f>
        <v>https://captureandgo.cloudlab.zhaw.ch/uploads/image_d5fba32172.jpg</v>
      </c>
      <c r="AJ114" s="2"/>
      <c r="AK114" s="2"/>
      <c r="AL114" s="2"/>
      <c r="AM114" s="2"/>
      <c r="AN114" s="2"/>
    </row>
    <row r="115" spans="1:40" ht="16" x14ac:dyDescent="0.2">
      <c r="A115" s="2" t="s">
        <v>409</v>
      </c>
      <c r="B115" s="46">
        <v>114</v>
      </c>
      <c r="C115" s="2" t="b">
        <v>0</v>
      </c>
      <c r="D115" s="2" t="b">
        <v>0</v>
      </c>
      <c r="E115" s="2" t="b">
        <v>0</v>
      </c>
      <c r="F115" s="2" t="b">
        <v>0</v>
      </c>
      <c r="G115" s="2" t="s">
        <v>31</v>
      </c>
      <c r="H115" s="2" t="s">
        <v>410</v>
      </c>
      <c r="I115" s="2" t="s">
        <v>411</v>
      </c>
      <c r="J115" s="2" t="s">
        <v>352</v>
      </c>
      <c r="K115" s="2" t="s">
        <v>35</v>
      </c>
      <c r="L115" s="2" t="s">
        <v>35</v>
      </c>
      <c r="M115" s="2" t="s">
        <v>35</v>
      </c>
      <c r="N115" s="2" t="s">
        <v>35</v>
      </c>
      <c r="O115" s="11">
        <v>44735.502778298614</v>
      </c>
      <c r="P115" s="11">
        <v>44735.5031790625</v>
      </c>
      <c r="Q115" s="27">
        <f t="shared" si="3"/>
        <v>4.0076388540910557E-4</v>
      </c>
      <c r="R115" s="65">
        <f t="shared" si="5"/>
        <v>1.8883101874962449E-3</v>
      </c>
      <c r="S115" s="2">
        <v>0</v>
      </c>
      <c r="T115" s="2" t="s">
        <v>124</v>
      </c>
      <c r="U115" s="2" t="s">
        <v>125</v>
      </c>
      <c r="V115" s="2" t="s">
        <v>38</v>
      </c>
      <c r="W115" s="2" t="s">
        <v>35</v>
      </c>
      <c r="X115" s="2" t="s">
        <v>35</v>
      </c>
      <c r="Y115" s="2" t="s">
        <v>35</v>
      </c>
      <c r="Z115" s="2" t="b">
        <v>0</v>
      </c>
      <c r="AA115" s="2" t="s">
        <v>35</v>
      </c>
      <c r="AB115" s="2">
        <v>4</v>
      </c>
      <c r="AC115" s="2" t="s">
        <v>35</v>
      </c>
      <c r="AD115" s="2" t="s">
        <v>35</v>
      </c>
      <c r="AE115" s="2" t="s">
        <v>207</v>
      </c>
      <c r="AF115" s="11">
        <v>44735.40625</v>
      </c>
      <c r="AG115" s="53"/>
      <c r="AH115" s="53" t="b">
        <f t="shared" si="4"/>
        <v>0</v>
      </c>
      <c r="AI115" s="54" t="str" cm="1">
        <f t="array" ref="AI115">TRANSPOSE(_xlfn._xlws.FILTER(images!L:L,images!F:F=Barrierenmessung!A115, ""))</f>
        <v>https://captureandgo.cloudlab.zhaw.ch/uploads/image_e6436be012.jpg</v>
      </c>
      <c r="AJ115" s="2"/>
      <c r="AK115" s="2"/>
      <c r="AL115" s="2"/>
      <c r="AM115" s="2"/>
      <c r="AN115" s="2"/>
    </row>
    <row r="116" spans="1:40" ht="16" x14ac:dyDescent="0.2">
      <c r="A116" s="2" t="s">
        <v>412</v>
      </c>
      <c r="B116" s="46">
        <v>115</v>
      </c>
      <c r="C116" s="2" t="b">
        <v>0</v>
      </c>
      <c r="D116" s="2" t="b">
        <v>0</v>
      </c>
      <c r="E116" s="2" t="b">
        <v>0</v>
      </c>
      <c r="F116" s="2" t="b">
        <v>0</v>
      </c>
      <c r="G116" s="2" t="s">
        <v>31</v>
      </c>
      <c r="H116" s="2" t="s">
        <v>413</v>
      </c>
      <c r="I116" s="2" t="s">
        <v>414</v>
      </c>
      <c r="J116" s="2" t="s">
        <v>415</v>
      </c>
      <c r="K116" s="2" t="s">
        <v>35</v>
      </c>
      <c r="L116" s="2" t="s">
        <v>35</v>
      </c>
      <c r="M116" s="2" t="s">
        <v>35</v>
      </c>
      <c r="N116" s="2" t="s">
        <v>35</v>
      </c>
      <c r="O116" s="11">
        <v>44735.503425972223</v>
      </c>
      <c r="P116" s="11">
        <v>44735.503838611112</v>
      </c>
      <c r="Q116" s="27">
        <f t="shared" si="3"/>
        <v>4.1263888851972297E-4</v>
      </c>
      <c r="R116" s="65">
        <f t="shared" si="5"/>
        <v>6.5954861202044412E-4</v>
      </c>
      <c r="S116" s="2">
        <v>0</v>
      </c>
      <c r="T116" s="2" t="s">
        <v>416</v>
      </c>
      <c r="U116" s="2" t="s">
        <v>417</v>
      </c>
      <c r="V116" s="2" t="s">
        <v>38</v>
      </c>
      <c r="W116" s="2" t="s">
        <v>35</v>
      </c>
      <c r="X116" s="2">
        <v>0</v>
      </c>
      <c r="Y116" s="2" t="s">
        <v>228</v>
      </c>
      <c r="Z116" s="2" t="b">
        <v>0</v>
      </c>
      <c r="AA116" s="2" t="s">
        <v>35</v>
      </c>
      <c r="AB116" s="2" t="s">
        <v>35</v>
      </c>
      <c r="AC116" s="2" t="s">
        <v>35</v>
      </c>
      <c r="AD116" s="2" t="s">
        <v>35</v>
      </c>
      <c r="AE116" s="2" t="s">
        <v>207</v>
      </c>
      <c r="AF116" s="11">
        <v>44735.40625</v>
      </c>
      <c r="AG116" s="53"/>
      <c r="AH116" s="53" t="b">
        <f t="shared" si="4"/>
        <v>0</v>
      </c>
      <c r="AI116" s="54" t="str" cm="1">
        <f t="array" ref="AI116">TRANSPOSE(_xlfn._xlws.FILTER(images!L:L,images!F:F=Barrierenmessung!A116, ""))</f>
        <v>https://captureandgo.cloudlab.zhaw.ch/uploads/image_eb213cd848.jpg</v>
      </c>
      <c r="AJ116" s="2"/>
      <c r="AK116" s="2"/>
      <c r="AL116" s="2"/>
      <c r="AM116" s="2"/>
      <c r="AN116" s="2"/>
    </row>
    <row r="117" spans="1:40" ht="16" x14ac:dyDescent="0.2">
      <c r="A117" s="2" t="s">
        <v>418</v>
      </c>
      <c r="B117" s="46">
        <v>116</v>
      </c>
      <c r="C117" s="2" t="b">
        <v>0</v>
      </c>
      <c r="D117" s="2" t="b">
        <v>0</v>
      </c>
      <c r="E117" s="2" t="b">
        <v>0</v>
      </c>
      <c r="F117" s="2" t="b">
        <v>0</v>
      </c>
      <c r="G117" s="2" t="s">
        <v>31</v>
      </c>
      <c r="H117" s="2" t="s">
        <v>419</v>
      </c>
      <c r="I117" s="2" t="s">
        <v>420</v>
      </c>
      <c r="J117" s="2" t="s">
        <v>35</v>
      </c>
      <c r="K117" s="2" t="s">
        <v>35</v>
      </c>
      <c r="L117" s="2" t="s">
        <v>35</v>
      </c>
      <c r="M117" s="2">
        <v>8</v>
      </c>
      <c r="N117" s="2">
        <v>5</v>
      </c>
      <c r="O117" s="11">
        <v>44735.503993009261</v>
      </c>
      <c r="P117" s="11">
        <v>44735.504813692132</v>
      </c>
      <c r="Q117" s="27">
        <f t="shared" si="3"/>
        <v>8.2068287156289443E-4</v>
      </c>
      <c r="R117" s="65">
        <f t="shared" si="5"/>
        <v>9.7508102044230327E-4</v>
      </c>
      <c r="S117" s="2">
        <v>0</v>
      </c>
      <c r="T117" s="2" t="s">
        <v>54</v>
      </c>
      <c r="U117" s="2" t="s">
        <v>55</v>
      </c>
      <c r="V117" s="2" t="s">
        <v>38</v>
      </c>
      <c r="W117" s="2" t="s">
        <v>35</v>
      </c>
      <c r="X117" s="2" t="s">
        <v>35</v>
      </c>
      <c r="Y117" s="2" t="s">
        <v>35</v>
      </c>
      <c r="Z117" s="2" t="b">
        <v>1</v>
      </c>
      <c r="AA117" s="2" t="s">
        <v>35</v>
      </c>
      <c r="AB117" s="2" t="s">
        <v>35</v>
      </c>
      <c r="AC117" s="2" t="s">
        <v>35</v>
      </c>
      <c r="AD117" s="2" t="s">
        <v>35</v>
      </c>
      <c r="AE117" s="2" t="s">
        <v>207</v>
      </c>
      <c r="AF117" s="11">
        <v>44735.40625</v>
      </c>
      <c r="AG117" s="53"/>
      <c r="AH117" s="53" t="b">
        <f t="shared" si="4"/>
        <v>0</v>
      </c>
      <c r="AI117" s="54" t="str" cm="1">
        <f t="array" ref="AI117">TRANSPOSE(_xlfn._xlws.FILTER(images!L:L,images!F:F=Barrierenmessung!A117, ""))</f>
        <v>https://captureandgo.cloudlab.zhaw.ch/uploads/image_757fa91bb5.jpg</v>
      </c>
      <c r="AJ117" s="2"/>
      <c r="AK117" s="2"/>
      <c r="AL117" s="2"/>
      <c r="AM117" s="2"/>
      <c r="AN117" s="2"/>
    </row>
    <row r="118" spans="1:40" ht="16" x14ac:dyDescent="0.2">
      <c r="A118" s="2" t="s">
        <v>421</v>
      </c>
      <c r="B118" s="46">
        <v>117</v>
      </c>
      <c r="C118" s="2" t="b">
        <v>0</v>
      </c>
      <c r="D118" s="2" t="b">
        <v>0</v>
      </c>
      <c r="E118" s="2" t="b">
        <v>0</v>
      </c>
      <c r="F118" s="2" t="b">
        <v>0</v>
      </c>
      <c r="G118" s="2" t="s">
        <v>31</v>
      </c>
      <c r="H118" s="2" t="s">
        <v>422</v>
      </c>
      <c r="I118" s="2" t="s">
        <v>423</v>
      </c>
      <c r="J118" s="2" t="s">
        <v>35</v>
      </c>
      <c r="K118" s="2" t="s">
        <v>35</v>
      </c>
      <c r="L118" s="2" t="s">
        <v>35</v>
      </c>
      <c r="M118" s="2" t="s">
        <v>35</v>
      </c>
      <c r="N118" s="2" t="s">
        <v>35</v>
      </c>
      <c r="O118" s="11">
        <v>44735.504870497687</v>
      </c>
      <c r="P118" s="11">
        <v>44735.506299884262</v>
      </c>
      <c r="Q118" s="27">
        <f t="shared" si="3"/>
        <v>1.4293865751824342E-3</v>
      </c>
      <c r="R118" s="65">
        <f t="shared" si="5"/>
        <v>1.486192129959818E-3</v>
      </c>
      <c r="S118" s="2">
        <v>0</v>
      </c>
      <c r="T118" s="2" t="s">
        <v>36</v>
      </c>
      <c r="U118" s="2" t="s">
        <v>37</v>
      </c>
      <c r="V118" s="2" t="s">
        <v>38</v>
      </c>
      <c r="W118" s="2" t="s">
        <v>35</v>
      </c>
      <c r="X118" s="2" t="s">
        <v>35</v>
      </c>
      <c r="Y118" s="2" t="s">
        <v>35</v>
      </c>
      <c r="Z118" s="2" t="b">
        <v>0</v>
      </c>
      <c r="AA118" s="2" t="s">
        <v>35</v>
      </c>
      <c r="AB118" s="2" t="s">
        <v>35</v>
      </c>
      <c r="AC118" s="2">
        <v>6</v>
      </c>
      <c r="AD118" s="2">
        <v>5</v>
      </c>
      <c r="AE118" s="2" t="s">
        <v>207</v>
      </c>
      <c r="AF118" s="11">
        <v>44735.40625</v>
      </c>
      <c r="AG118" s="53"/>
      <c r="AH118" s="53" t="b">
        <f t="shared" si="4"/>
        <v>0</v>
      </c>
      <c r="AI118" s="54" t="str" cm="1">
        <f t="array" ref="AI118">TRANSPOSE(_xlfn._xlws.FILTER(images!L:L,images!F:F=Barrierenmessung!A118, ""))</f>
        <v>https://captureandgo.cloudlab.zhaw.ch/uploads/image_da993b08fb.jpg</v>
      </c>
      <c r="AJ118" s="2"/>
      <c r="AK118" s="2"/>
      <c r="AL118" s="2"/>
      <c r="AM118" s="2"/>
      <c r="AN118" s="2"/>
    </row>
    <row r="119" spans="1:40" ht="16" x14ac:dyDescent="0.2">
      <c r="A119" s="68" t="s">
        <v>424</v>
      </c>
      <c r="B119" s="68">
        <v>118</v>
      </c>
      <c r="C119" s="68" t="b">
        <v>0</v>
      </c>
      <c r="D119" s="68" t="b">
        <v>0</v>
      </c>
      <c r="E119" s="68" t="b">
        <v>0</v>
      </c>
      <c r="F119" s="68" t="b">
        <v>0</v>
      </c>
      <c r="G119" s="68" t="s">
        <v>31</v>
      </c>
      <c r="H119" s="68" t="s">
        <v>149</v>
      </c>
      <c r="I119" s="68" t="s">
        <v>425</v>
      </c>
      <c r="J119" s="68" t="s">
        <v>35</v>
      </c>
      <c r="K119" s="68" t="s">
        <v>35</v>
      </c>
      <c r="L119" s="68" t="s">
        <v>35</v>
      </c>
      <c r="M119" s="68">
        <v>20</v>
      </c>
      <c r="N119" s="68">
        <v>15</v>
      </c>
      <c r="O119" s="69">
        <v>44735.507324050923</v>
      </c>
      <c r="P119" s="69">
        <v>44735.507817569443</v>
      </c>
      <c r="Q119" s="70">
        <f t="shared" si="3"/>
        <v>4.935185206704773E-4</v>
      </c>
      <c r="R119" s="70">
        <f t="shared" si="5"/>
        <v>1.5176851811702363E-3</v>
      </c>
      <c r="S119" s="68">
        <v>0</v>
      </c>
      <c r="T119" s="68" t="s">
        <v>54</v>
      </c>
      <c r="U119" s="68" t="s">
        <v>55</v>
      </c>
      <c r="V119" s="68" t="s">
        <v>38</v>
      </c>
      <c r="W119" s="68" t="s">
        <v>35</v>
      </c>
      <c r="X119" s="68" t="s">
        <v>35</v>
      </c>
      <c r="Y119" s="68" t="s">
        <v>35</v>
      </c>
      <c r="Z119" s="68" t="b">
        <v>0</v>
      </c>
      <c r="AA119" s="68" t="s">
        <v>35</v>
      </c>
      <c r="AB119" s="68" t="s">
        <v>35</v>
      </c>
      <c r="AC119" s="68" t="s">
        <v>35</v>
      </c>
      <c r="AD119" s="68" t="s">
        <v>35</v>
      </c>
      <c r="AE119" s="68" t="s">
        <v>207</v>
      </c>
      <c r="AF119" s="69">
        <v>44735.40625</v>
      </c>
      <c r="AG119" s="72" t="s">
        <v>9478</v>
      </c>
      <c r="AH119" s="71" t="b">
        <f t="shared" si="4"/>
        <v>0</v>
      </c>
      <c r="AI119" s="56"/>
      <c r="AJ119" s="68"/>
      <c r="AK119" s="68"/>
      <c r="AL119" s="68"/>
      <c r="AM119" s="68"/>
      <c r="AN119" s="68"/>
    </row>
    <row r="120" spans="1:40" ht="16" x14ac:dyDescent="0.2">
      <c r="A120" s="2" t="s">
        <v>426</v>
      </c>
      <c r="B120" s="46">
        <v>119</v>
      </c>
      <c r="C120" s="2" t="b">
        <v>0</v>
      </c>
      <c r="D120" s="2" t="b">
        <v>0</v>
      </c>
      <c r="E120" s="2" t="b">
        <v>0</v>
      </c>
      <c r="F120" s="2" t="b">
        <v>0</v>
      </c>
      <c r="G120" s="2" t="s">
        <v>31</v>
      </c>
      <c r="H120" s="2" t="s">
        <v>427</v>
      </c>
      <c r="I120" s="2" t="s">
        <v>428</v>
      </c>
      <c r="J120" s="2" t="s">
        <v>415</v>
      </c>
      <c r="K120" s="2" t="s">
        <v>35</v>
      </c>
      <c r="L120" s="2" t="s">
        <v>35</v>
      </c>
      <c r="M120" s="2" t="s">
        <v>35</v>
      </c>
      <c r="N120" s="2" t="s">
        <v>35</v>
      </c>
      <c r="O120" s="11">
        <v>44735.507890219909</v>
      </c>
      <c r="P120" s="11">
        <v>44735.508296712964</v>
      </c>
      <c r="Q120" s="27">
        <f t="shared" si="3"/>
        <v>4.0649305447004735E-4</v>
      </c>
      <c r="R120" s="65">
        <f t="shared" si="5"/>
        <v>4.7914352035149932E-4</v>
      </c>
      <c r="S120" s="2">
        <v>0</v>
      </c>
      <c r="T120" s="2" t="s">
        <v>416</v>
      </c>
      <c r="U120" s="2" t="s">
        <v>417</v>
      </c>
      <c r="V120" s="2" t="s">
        <v>38</v>
      </c>
      <c r="W120" s="2" t="s">
        <v>35</v>
      </c>
      <c r="X120" s="2">
        <v>0</v>
      </c>
      <c r="Y120" s="2" t="s">
        <v>35</v>
      </c>
      <c r="Z120" s="2" t="b">
        <v>0</v>
      </c>
      <c r="AA120" s="2" t="s">
        <v>35</v>
      </c>
      <c r="AB120" s="2" t="s">
        <v>35</v>
      </c>
      <c r="AC120" s="2" t="s">
        <v>35</v>
      </c>
      <c r="AD120" s="2" t="s">
        <v>35</v>
      </c>
      <c r="AE120" s="2" t="s">
        <v>207</v>
      </c>
      <c r="AF120" s="11">
        <v>44735.40625</v>
      </c>
      <c r="AG120" s="53"/>
      <c r="AH120" s="53" t="b">
        <f t="shared" si="4"/>
        <v>0</v>
      </c>
      <c r="AI120" s="54" t="str" cm="1">
        <f t="array" ref="AI120">TRANSPOSE(_xlfn._xlws.FILTER(images!L:L,images!F:F=Barrierenmessung!A120, ""))</f>
        <v>https://captureandgo.cloudlab.zhaw.ch/uploads/image_aadd7555ca.jpg</v>
      </c>
      <c r="AJ120" s="2"/>
      <c r="AK120" s="2"/>
      <c r="AL120" s="2"/>
      <c r="AM120" s="2"/>
      <c r="AN120" s="2"/>
    </row>
    <row r="121" spans="1:40" ht="16" x14ac:dyDescent="0.2">
      <c r="A121" s="2" t="s">
        <v>429</v>
      </c>
      <c r="B121" s="46">
        <v>120</v>
      </c>
      <c r="C121" s="2" t="b">
        <v>0</v>
      </c>
      <c r="D121" s="2" t="b">
        <v>0</v>
      </c>
      <c r="E121" s="2" t="b">
        <v>0</v>
      </c>
      <c r="F121" s="2" t="b">
        <v>0</v>
      </c>
      <c r="G121" s="2" t="s">
        <v>31</v>
      </c>
      <c r="H121" s="2" t="s">
        <v>430</v>
      </c>
      <c r="I121" s="2" t="s">
        <v>431</v>
      </c>
      <c r="J121" s="2" t="s">
        <v>352</v>
      </c>
      <c r="K121" s="2" t="s">
        <v>35</v>
      </c>
      <c r="L121" s="2" t="s">
        <v>35</v>
      </c>
      <c r="M121" s="2" t="s">
        <v>35</v>
      </c>
      <c r="N121" s="2" t="s">
        <v>35</v>
      </c>
      <c r="O121" s="11">
        <v>44735.508454953706</v>
      </c>
      <c r="P121" s="11">
        <v>44735.508666956019</v>
      </c>
      <c r="Q121" s="27">
        <f t="shared" si="3"/>
        <v>2.1200231276452541E-4</v>
      </c>
      <c r="R121" s="65">
        <f t="shared" si="5"/>
        <v>3.7024305493105203E-4</v>
      </c>
      <c r="S121" s="2">
        <v>0</v>
      </c>
      <c r="T121" s="2" t="s">
        <v>124</v>
      </c>
      <c r="U121" s="2" t="s">
        <v>125</v>
      </c>
      <c r="V121" s="2" t="s">
        <v>38</v>
      </c>
      <c r="W121" s="2" t="s">
        <v>35</v>
      </c>
      <c r="X121" s="2" t="s">
        <v>35</v>
      </c>
      <c r="Y121" s="2" t="s">
        <v>35</v>
      </c>
      <c r="Z121" s="2" t="b">
        <v>0</v>
      </c>
      <c r="AA121" s="2" t="s">
        <v>35</v>
      </c>
      <c r="AB121" s="2">
        <v>4</v>
      </c>
      <c r="AC121" s="2" t="s">
        <v>35</v>
      </c>
      <c r="AD121" s="2" t="s">
        <v>35</v>
      </c>
      <c r="AE121" s="2" t="s">
        <v>207</v>
      </c>
      <c r="AF121" s="11">
        <v>44735.40625</v>
      </c>
      <c r="AG121" s="53"/>
      <c r="AH121" s="53" t="b">
        <f t="shared" si="4"/>
        <v>0</v>
      </c>
      <c r="AI121" s="54" t="str" cm="1">
        <f t="array" ref="AI121">TRANSPOSE(_xlfn._xlws.FILTER(images!L:L,images!F:F=Barrierenmessung!A121, ""))</f>
        <v>https://captureandgo.cloudlab.zhaw.ch/uploads/image_7ee329b7f0.jpg</v>
      </c>
      <c r="AJ121" s="2"/>
      <c r="AK121" s="2"/>
      <c r="AL121" s="2"/>
      <c r="AM121" s="2"/>
      <c r="AN121" s="2"/>
    </row>
    <row r="122" spans="1:40" ht="16" x14ac:dyDescent="0.2">
      <c r="A122" s="2" t="s">
        <v>432</v>
      </c>
      <c r="B122" s="46">
        <v>121</v>
      </c>
      <c r="C122" s="2" t="b">
        <v>0</v>
      </c>
      <c r="D122" s="2" t="b">
        <v>0</v>
      </c>
      <c r="E122" s="2" t="b">
        <v>0</v>
      </c>
      <c r="F122" s="2" t="b">
        <v>0</v>
      </c>
      <c r="G122" s="2" t="s">
        <v>31</v>
      </c>
      <c r="H122" s="2" t="s">
        <v>433</v>
      </c>
      <c r="I122" s="2" t="s">
        <v>434</v>
      </c>
      <c r="J122" s="2" t="s">
        <v>352</v>
      </c>
      <c r="K122" s="2" t="s">
        <v>35</v>
      </c>
      <c r="L122" s="2" t="s">
        <v>35</v>
      </c>
      <c r="M122" s="2" t="s">
        <v>35</v>
      </c>
      <c r="N122" s="2" t="s">
        <v>35</v>
      </c>
      <c r="O122" s="11">
        <v>44735.509675717592</v>
      </c>
      <c r="P122" s="11">
        <v>44735.509972858796</v>
      </c>
      <c r="Q122" s="27">
        <f t="shared" si="3"/>
        <v>2.9714120319113135E-4</v>
      </c>
      <c r="R122" s="65">
        <f t="shared" si="5"/>
        <v>1.305902776948642E-3</v>
      </c>
      <c r="S122" s="2">
        <v>0</v>
      </c>
      <c r="T122" s="2" t="s">
        <v>124</v>
      </c>
      <c r="U122" s="2" t="s">
        <v>125</v>
      </c>
      <c r="V122" s="2" t="s">
        <v>38</v>
      </c>
      <c r="W122" s="2" t="s">
        <v>35</v>
      </c>
      <c r="X122" s="2" t="s">
        <v>35</v>
      </c>
      <c r="Y122" s="2" t="s">
        <v>35</v>
      </c>
      <c r="Z122" s="2" t="b">
        <v>0</v>
      </c>
      <c r="AA122" s="2" t="s">
        <v>35</v>
      </c>
      <c r="AB122" s="2">
        <v>4</v>
      </c>
      <c r="AC122" s="2" t="s">
        <v>35</v>
      </c>
      <c r="AD122" s="2" t="s">
        <v>35</v>
      </c>
      <c r="AE122" s="2" t="s">
        <v>207</v>
      </c>
      <c r="AF122" s="11">
        <v>44735.40625</v>
      </c>
      <c r="AG122" s="53"/>
      <c r="AH122" s="53" t="b">
        <f t="shared" si="4"/>
        <v>0</v>
      </c>
      <c r="AI122" s="54" t="str" cm="1">
        <f t="array" ref="AI122">TRANSPOSE(_xlfn._xlws.FILTER(images!L:L,images!F:F=Barrierenmessung!A122, ""))</f>
        <v>https://captureandgo.cloudlab.zhaw.ch/uploads/image_92774da0e1.jpg</v>
      </c>
      <c r="AJ122" s="2"/>
      <c r="AK122" s="2"/>
      <c r="AL122" s="2"/>
      <c r="AM122" s="2"/>
      <c r="AN122" s="2"/>
    </row>
    <row r="123" spans="1:40" ht="16" x14ac:dyDescent="0.2">
      <c r="A123" s="2" t="s">
        <v>435</v>
      </c>
      <c r="B123" s="46">
        <v>122</v>
      </c>
      <c r="C123" s="2" t="b">
        <v>0</v>
      </c>
      <c r="D123" s="2" t="b">
        <v>0</v>
      </c>
      <c r="E123" s="2" t="b">
        <v>0</v>
      </c>
      <c r="F123" s="2" t="b">
        <v>0</v>
      </c>
      <c r="G123" s="2" t="s">
        <v>31</v>
      </c>
      <c r="H123" s="2" t="s">
        <v>436</v>
      </c>
      <c r="I123" s="2" t="s">
        <v>437</v>
      </c>
      <c r="J123" s="2" t="s">
        <v>415</v>
      </c>
      <c r="K123" s="2" t="s">
        <v>35</v>
      </c>
      <c r="L123" s="2" t="s">
        <v>35</v>
      </c>
      <c r="M123" s="2" t="s">
        <v>35</v>
      </c>
      <c r="N123" s="2" t="s">
        <v>35</v>
      </c>
      <c r="O123" s="11">
        <v>44735.510277835645</v>
      </c>
      <c r="P123" s="11">
        <v>44735.510722766201</v>
      </c>
      <c r="Q123" s="27">
        <f t="shared" si="3"/>
        <v>4.449305561138317E-4</v>
      </c>
      <c r="R123" s="65">
        <f t="shared" si="5"/>
        <v>7.4990740540670231E-4</v>
      </c>
      <c r="S123" s="2">
        <v>0</v>
      </c>
      <c r="T123" s="2" t="s">
        <v>416</v>
      </c>
      <c r="U123" s="2" t="s">
        <v>417</v>
      </c>
      <c r="V123" s="2" t="s">
        <v>38</v>
      </c>
      <c r="W123" s="2" t="s">
        <v>35</v>
      </c>
      <c r="X123" s="2">
        <v>0</v>
      </c>
      <c r="Y123" s="2" t="s">
        <v>438</v>
      </c>
      <c r="Z123" s="2" t="b">
        <v>0</v>
      </c>
      <c r="AA123" s="2" t="s">
        <v>35</v>
      </c>
      <c r="AB123" s="2" t="s">
        <v>35</v>
      </c>
      <c r="AC123" s="2" t="s">
        <v>35</v>
      </c>
      <c r="AD123" s="2" t="s">
        <v>35</v>
      </c>
      <c r="AE123" s="2" t="s">
        <v>207</v>
      </c>
      <c r="AF123" s="11">
        <v>44735.40625</v>
      </c>
      <c r="AG123" s="53"/>
      <c r="AH123" s="53" t="b">
        <f t="shared" si="4"/>
        <v>0</v>
      </c>
      <c r="AI123" s="54" t="str" cm="1">
        <f t="array" ref="AI123">TRANSPOSE(_xlfn._xlws.FILTER(images!L:L,images!F:F=Barrierenmessung!A123, ""))</f>
        <v>https://captureandgo.cloudlab.zhaw.ch/uploads/image_b2a7e15663.jpg</v>
      </c>
      <c r="AJ123" s="2"/>
      <c r="AK123" s="2"/>
      <c r="AL123" s="2"/>
      <c r="AM123" s="2"/>
      <c r="AN123" s="2"/>
    </row>
    <row r="124" spans="1:40" ht="16" x14ac:dyDescent="0.2">
      <c r="A124" s="2" t="s">
        <v>439</v>
      </c>
      <c r="B124" s="46">
        <v>123</v>
      </c>
      <c r="C124" s="2" t="b">
        <v>0</v>
      </c>
      <c r="D124" s="2" t="b">
        <v>0</v>
      </c>
      <c r="E124" s="2" t="b">
        <v>0</v>
      </c>
      <c r="F124" s="2" t="b">
        <v>0</v>
      </c>
      <c r="G124" s="2" t="s">
        <v>31</v>
      </c>
      <c r="H124" s="2" t="s">
        <v>440</v>
      </c>
      <c r="I124" s="2" t="s">
        <v>441</v>
      </c>
      <c r="J124" s="2" t="s">
        <v>442</v>
      </c>
      <c r="K124" s="2" t="s">
        <v>35</v>
      </c>
      <c r="L124" s="2" t="s">
        <v>35</v>
      </c>
      <c r="M124" s="2" t="s">
        <v>35</v>
      </c>
      <c r="N124" s="2" t="s">
        <v>35</v>
      </c>
      <c r="O124" s="11">
        <v>44735.511027650464</v>
      </c>
      <c r="P124" s="11">
        <v>44735.511413715278</v>
      </c>
      <c r="Q124" s="27">
        <f t="shared" si="3"/>
        <v>3.8606481393799186E-4</v>
      </c>
      <c r="R124" s="65">
        <f t="shared" si="5"/>
        <v>6.9094907667022198E-4</v>
      </c>
      <c r="S124" s="2">
        <v>0</v>
      </c>
      <c r="T124" s="2" t="s">
        <v>109</v>
      </c>
      <c r="U124" s="2" t="s">
        <v>110</v>
      </c>
      <c r="V124" s="2" t="s">
        <v>38</v>
      </c>
      <c r="W124" s="2" t="s">
        <v>35</v>
      </c>
      <c r="X124" s="2">
        <v>100</v>
      </c>
      <c r="Y124" s="2" t="s">
        <v>438</v>
      </c>
      <c r="Z124" s="2" t="b">
        <v>0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2" t="s">
        <v>207</v>
      </c>
      <c r="AF124" s="11">
        <v>44735.40625</v>
      </c>
      <c r="AG124" s="53"/>
      <c r="AH124" s="53" t="b">
        <f t="shared" si="4"/>
        <v>0</v>
      </c>
      <c r="AI124" s="54" t="str" cm="1">
        <f t="array" ref="AI124">TRANSPOSE(_xlfn._xlws.FILTER(images!L:L,images!F:F=Barrierenmessung!A124, ""))</f>
        <v>https://captureandgo.cloudlab.zhaw.ch/uploads/image_522949da79.jpg</v>
      </c>
      <c r="AJ124" s="2"/>
      <c r="AK124" s="2"/>
      <c r="AL124" s="2"/>
      <c r="AM124" s="2"/>
      <c r="AN124" s="2"/>
    </row>
    <row r="125" spans="1:40" ht="16" x14ac:dyDescent="0.2">
      <c r="A125" s="2" t="s">
        <v>443</v>
      </c>
      <c r="B125" s="46">
        <v>124</v>
      </c>
      <c r="C125" s="2" t="b">
        <v>0</v>
      </c>
      <c r="D125" s="2" t="b">
        <v>0</v>
      </c>
      <c r="E125" s="2" t="b">
        <v>0</v>
      </c>
      <c r="F125" s="2" t="b">
        <v>0</v>
      </c>
      <c r="G125" s="2" t="s">
        <v>31</v>
      </c>
      <c r="H125" s="2" t="s">
        <v>444</v>
      </c>
      <c r="I125" s="2" t="s">
        <v>445</v>
      </c>
      <c r="J125" s="2" t="s">
        <v>35</v>
      </c>
      <c r="K125" s="2" t="s">
        <v>35</v>
      </c>
      <c r="L125" s="2" t="s">
        <v>35</v>
      </c>
      <c r="M125" s="2" t="s">
        <v>35</v>
      </c>
      <c r="N125" s="2" t="s">
        <v>35</v>
      </c>
      <c r="O125" s="11">
        <v>44735.511976944443</v>
      </c>
      <c r="P125" s="11">
        <v>44735.512142361113</v>
      </c>
      <c r="Q125" s="27">
        <f t="shared" si="3"/>
        <v>1.6541666991543025E-4</v>
      </c>
      <c r="R125" s="65">
        <f t="shared" si="5"/>
        <v>7.2864583489717916E-4</v>
      </c>
      <c r="S125" s="2">
        <v>0</v>
      </c>
      <c r="T125" s="2" t="s">
        <v>36</v>
      </c>
      <c r="U125" s="2" t="s">
        <v>37</v>
      </c>
      <c r="V125" s="2" t="s">
        <v>38</v>
      </c>
      <c r="W125" s="2" t="s">
        <v>35</v>
      </c>
      <c r="X125" s="2" t="s">
        <v>35</v>
      </c>
      <c r="Y125" s="2" t="s">
        <v>35</v>
      </c>
      <c r="Z125" s="2" t="b">
        <v>0</v>
      </c>
      <c r="AA125" s="2" t="s">
        <v>35</v>
      </c>
      <c r="AB125" s="2" t="s">
        <v>35</v>
      </c>
      <c r="AC125" s="2">
        <v>8</v>
      </c>
      <c r="AD125" s="2" t="s">
        <v>35</v>
      </c>
      <c r="AE125" s="2" t="s">
        <v>207</v>
      </c>
      <c r="AF125" s="11">
        <v>44735.40625</v>
      </c>
      <c r="AG125" s="53"/>
      <c r="AH125" s="53" t="b">
        <f t="shared" si="4"/>
        <v>0</v>
      </c>
      <c r="AI125" s="54" t="str" cm="1">
        <f t="array" ref="AI125">TRANSPOSE(_xlfn._xlws.FILTER(images!L:L,images!F:F=Barrierenmessung!A125, ""))</f>
        <v>https://captureandgo.cloudlab.zhaw.ch/uploads/image_05842ec0aa.jpg</v>
      </c>
      <c r="AJ125" s="2"/>
      <c r="AK125" s="2"/>
      <c r="AL125" s="2"/>
      <c r="AM125" s="2"/>
      <c r="AN125" s="2"/>
    </row>
    <row r="126" spans="1:40" ht="16" x14ac:dyDescent="0.2">
      <c r="A126" s="2" t="s">
        <v>446</v>
      </c>
      <c r="B126" s="46">
        <v>125</v>
      </c>
      <c r="C126" s="2" t="b">
        <v>0</v>
      </c>
      <c r="D126" s="2" t="b">
        <v>0</v>
      </c>
      <c r="E126" s="2" t="b">
        <v>0</v>
      </c>
      <c r="F126" s="2" t="b">
        <v>0</v>
      </c>
      <c r="G126" s="2" t="s">
        <v>31</v>
      </c>
      <c r="H126" s="2" t="s">
        <v>447</v>
      </c>
      <c r="I126" s="2" t="s">
        <v>448</v>
      </c>
      <c r="J126" s="2" t="s">
        <v>415</v>
      </c>
      <c r="K126" s="2" t="s">
        <v>35</v>
      </c>
      <c r="L126" s="2" t="s">
        <v>35</v>
      </c>
      <c r="M126" s="2" t="s">
        <v>35</v>
      </c>
      <c r="N126" s="2" t="s">
        <v>35</v>
      </c>
      <c r="O126" s="11">
        <v>44735.515552812503</v>
      </c>
      <c r="P126" s="11">
        <v>44735.515938032404</v>
      </c>
      <c r="Q126" s="27">
        <f t="shared" si="3"/>
        <v>3.8521990063600242E-4</v>
      </c>
      <c r="R126" s="65">
        <f t="shared" si="5"/>
        <v>3.7956712913000956E-3</v>
      </c>
      <c r="S126" s="2">
        <v>0</v>
      </c>
      <c r="T126" s="2" t="s">
        <v>416</v>
      </c>
      <c r="U126" s="2" t="s">
        <v>417</v>
      </c>
      <c r="V126" s="2" t="s">
        <v>38</v>
      </c>
      <c r="W126" s="2" t="s">
        <v>35</v>
      </c>
      <c r="X126" s="2">
        <v>0</v>
      </c>
      <c r="Y126" s="2" t="s">
        <v>438</v>
      </c>
      <c r="Z126" s="2" t="b">
        <v>0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2" t="s">
        <v>207</v>
      </c>
      <c r="AF126" s="11">
        <v>44735.40625</v>
      </c>
      <c r="AG126" s="53"/>
      <c r="AH126" s="53" t="b">
        <f t="shared" si="4"/>
        <v>0</v>
      </c>
      <c r="AI126" s="54" t="str" cm="1">
        <f t="array" ref="AI126">TRANSPOSE(_xlfn._xlws.FILTER(images!L:L,images!F:F=Barrierenmessung!A126, ""))</f>
        <v>https://captureandgo.cloudlab.zhaw.ch/uploads/image_998d41fa22.jpg</v>
      </c>
      <c r="AJ126" s="2"/>
      <c r="AK126" s="2"/>
      <c r="AL126" s="2"/>
      <c r="AM126" s="2"/>
      <c r="AN126" s="2"/>
    </row>
    <row r="127" spans="1:40" ht="16" x14ac:dyDescent="0.2">
      <c r="A127" s="2" t="s">
        <v>449</v>
      </c>
      <c r="B127" s="46">
        <v>126</v>
      </c>
      <c r="C127" s="2" t="b">
        <v>0</v>
      </c>
      <c r="D127" s="2" t="b">
        <v>0</v>
      </c>
      <c r="E127" s="2" t="b">
        <v>0</v>
      </c>
      <c r="F127" s="2" t="b">
        <v>0</v>
      </c>
      <c r="G127" s="2" t="s">
        <v>31</v>
      </c>
      <c r="H127" s="2" t="s">
        <v>450</v>
      </c>
      <c r="I127" s="2" t="s">
        <v>451</v>
      </c>
      <c r="J127" s="2" t="s">
        <v>35</v>
      </c>
      <c r="K127" s="2" t="s">
        <v>35</v>
      </c>
      <c r="L127" s="2" t="s">
        <v>35</v>
      </c>
      <c r="M127" s="2" t="s">
        <v>35</v>
      </c>
      <c r="N127" s="2" t="s">
        <v>35</v>
      </c>
      <c r="O127" s="11">
        <v>44735.516078865738</v>
      </c>
      <c r="P127" s="11">
        <v>44735.516451145835</v>
      </c>
      <c r="Q127" s="27">
        <f t="shared" si="3"/>
        <v>3.7228009750833735E-4</v>
      </c>
      <c r="R127" s="65">
        <f t="shared" si="5"/>
        <v>5.1311343122506514E-4</v>
      </c>
      <c r="S127" s="2">
        <v>0</v>
      </c>
      <c r="T127" s="2" t="s">
        <v>124</v>
      </c>
      <c r="U127" s="2" t="s">
        <v>125</v>
      </c>
      <c r="V127" s="2" t="s">
        <v>38</v>
      </c>
      <c r="W127" s="2" t="s">
        <v>35</v>
      </c>
      <c r="X127" s="2" t="s">
        <v>35</v>
      </c>
      <c r="Y127" s="2" t="s">
        <v>35</v>
      </c>
      <c r="Z127" s="2" t="b">
        <v>0</v>
      </c>
      <c r="AA127" s="2" t="s">
        <v>35</v>
      </c>
      <c r="AB127" s="2">
        <v>65</v>
      </c>
      <c r="AC127" s="2" t="s">
        <v>35</v>
      </c>
      <c r="AD127" s="2" t="s">
        <v>35</v>
      </c>
      <c r="AE127" s="2" t="s">
        <v>207</v>
      </c>
      <c r="AF127" s="11">
        <v>44735.40625</v>
      </c>
      <c r="AG127" s="53"/>
      <c r="AH127" s="53" t="b">
        <f t="shared" si="4"/>
        <v>0</v>
      </c>
      <c r="AI127" s="54" t="str" cm="1">
        <f t="array" ref="AI127">TRANSPOSE(_xlfn._xlws.FILTER(images!L:L,images!F:F=Barrierenmessung!A127, ""))</f>
        <v>https://captureandgo.cloudlab.zhaw.ch/uploads/image_9d43654148.jpg</v>
      </c>
      <c r="AJ127" s="2"/>
      <c r="AK127" s="2"/>
      <c r="AL127" s="2"/>
      <c r="AM127" s="2"/>
      <c r="AN127" s="2"/>
    </row>
    <row r="128" spans="1:40" ht="16" x14ac:dyDescent="0.2">
      <c r="A128" s="2" t="s">
        <v>452</v>
      </c>
      <c r="B128" s="46">
        <v>127</v>
      </c>
      <c r="C128" s="2" t="b">
        <v>0</v>
      </c>
      <c r="D128" s="2" t="b">
        <v>0</v>
      </c>
      <c r="E128" s="2" t="b">
        <v>0</v>
      </c>
      <c r="F128" s="2" t="b">
        <v>0</v>
      </c>
      <c r="G128" s="2" t="s">
        <v>31</v>
      </c>
      <c r="H128" s="2" t="s">
        <v>453</v>
      </c>
      <c r="I128" s="2" t="s">
        <v>454</v>
      </c>
      <c r="J128" s="2" t="s">
        <v>35</v>
      </c>
      <c r="K128" s="2" t="s">
        <v>35</v>
      </c>
      <c r="L128" s="2" t="s">
        <v>35</v>
      </c>
      <c r="M128" s="2" t="s">
        <v>35</v>
      </c>
      <c r="N128" s="2" t="s">
        <v>35</v>
      </c>
      <c r="O128" s="11">
        <v>44735.516947141201</v>
      </c>
      <c r="P128" s="11">
        <v>44735.517084664352</v>
      </c>
      <c r="Q128" s="27">
        <f t="shared" si="3"/>
        <v>1.3752315135207027E-4</v>
      </c>
      <c r="R128" s="65">
        <f t="shared" si="5"/>
        <v>6.3351851713377982E-4</v>
      </c>
      <c r="S128" s="2">
        <v>0</v>
      </c>
      <c r="T128" s="2" t="s">
        <v>36</v>
      </c>
      <c r="U128" s="2" t="s">
        <v>37</v>
      </c>
      <c r="V128" s="2" t="s">
        <v>38</v>
      </c>
      <c r="W128" s="2" t="s">
        <v>35</v>
      </c>
      <c r="X128" s="2" t="s">
        <v>35</v>
      </c>
      <c r="Y128" s="2" t="s">
        <v>35</v>
      </c>
      <c r="Z128" s="2" t="b">
        <v>0</v>
      </c>
      <c r="AA128" s="2" t="s">
        <v>35</v>
      </c>
      <c r="AB128" s="2" t="s">
        <v>35</v>
      </c>
      <c r="AC128" s="2" t="s">
        <v>35</v>
      </c>
      <c r="AD128" s="2">
        <v>3</v>
      </c>
      <c r="AE128" s="2" t="s">
        <v>207</v>
      </c>
      <c r="AF128" s="11">
        <v>44735.40625</v>
      </c>
      <c r="AG128" s="53"/>
      <c r="AH128" s="53" t="b">
        <f t="shared" si="4"/>
        <v>0</v>
      </c>
      <c r="AI128" s="54" t="str" cm="1">
        <f t="array" ref="AI128">TRANSPOSE(_xlfn._xlws.FILTER(images!L:L,images!F:F=Barrierenmessung!A128, ""))</f>
        <v>https://captureandgo.cloudlab.zhaw.ch/uploads/image_874531f686.jpg</v>
      </c>
      <c r="AJ128" s="2"/>
      <c r="AK128" s="2"/>
      <c r="AL128" s="2"/>
      <c r="AM128" s="2"/>
      <c r="AN128" s="2"/>
    </row>
    <row r="129" spans="1:40" ht="16" x14ac:dyDescent="0.2">
      <c r="A129" s="2" t="s">
        <v>455</v>
      </c>
      <c r="B129" s="46">
        <v>128</v>
      </c>
      <c r="C129" s="2" t="b">
        <v>0</v>
      </c>
      <c r="D129" s="2" t="b">
        <v>0</v>
      </c>
      <c r="E129" s="2" t="b">
        <v>0</v>
      </c>
      <c r="F129" s="2" t="b">
        <v>0</v>
      </c>
      <c r="G129" s="2" t="s">
        <v>31</v>
      </c>
      <c r="H129" s="2" t="s">
        <v>456</v>
      </c>
      <c r="I129" s="2" t="s">
        <v>457</v>
      </c>
      <c r="J129" s="2" t="s">
        <v>35</v>
      </c>
      <c r="K129" s="2" t="s">
        <v>35</v>
      </c>
      <c r="L129" s="2" t="s">
        <v>35</v>
      </c>
      <c r="M129" s="2">
        <v>116</v>
      </c>
      <c r="N129" s="2">
        <v>10</v>
      </c>
      <c r="O129" s="11">
        <v>44735.518321736112</v>
      </c>
      <c r="P129" s="11">
        <v>44735.520466296293</v>
      </c>
      <c r="Q129" s="27">
        <f t="shared" si="3"/>
        <v>2.1445601814775728E-3</v>
      </c>
      <c r="R129" s="65">
        <f t="shared" si="5"/>
        <v>3.3816319410107099E-3</v>
      </c>
      <c r="S129" s="2">
        <v>0</v>
      </c>
      <c r="T129" s="2" t="s">
        <v>54</v>
      </c>
      <c r="U129" s="2" t="s">
        <v>55</v>
      </c>
      <c r="V129" s="2" t="s">
        <v>38</v>
      </c>
      <c r="W129" s="2" t="s">
        <v>35</v>
      </c>
      <c r="X129" s="2" t="s">
        <v>35</v>
      </c>
      <c r="Y129" s="2" t="s">
        <v>35</v>
      </c>
      <c r="Z129" s="2" t="b">
        <v>1</v>
      </c>
      <c r="AA129" s="2" t="s">
        <v>35</v>
      </c>
      <c r="AB129" s="2" t="s">
        <v>35</v>
      </c>
      <c r="AC129" s="2" t="s">
        <v>35</v>
      </c>
      <c r="AD129" s="2" t="s">
        <v>35</v>
      </c>
      <c r="AE129" s="2" t="s">
        <v>207</v>
      </c>
      <c r="AF129" s="11">
        <v>44735.40625</v>
      </c>
      <c r="AG129" s="53"/>
      <c r="AH129" s="53" t="b">
        <f t="shared" si="4"/>
        <v>0</v>
      </c>
      <c r="AI129" s="54" t="str" cm="1">
        <f t="array" ref="AI129:AK129">TRANSPOSE(_xlfn._xlws.FILTER(images!L:L,images!F:F=Barrierenmessung!A129, ""))</f>
        <v>https://captureandgo.cloudlab.zhaw.ch/uploads/image_2374e1f72c.jpg</v>
      </c>
      <c r="AJ129" s="2" t="str">
        <v>https://captureandgo.cloudlab.zhaw.ch/uploads/image_1e4eeb6dad.jpg</v>
      </c>
      <c r="AK129" s="2" t="str">
        <v>https://captureandgo.cloudlab.zhaw.ch/uploads/image_da4be39618.jpg</v>
      </c>
      <c r="AL129" s="2"/>
      <c r="AM129" s="2"/>
      <c r="AN129" s="2"/>
    </row>
    <row r="130" spans="1:40" ht="16" x14ac:dyDescent="0.2">
      <c r="A130" s="2" t="s">
        <v>458</v>
      </c>
      <c r="B130" s="46">
        <v>129</v>
      </c>
      <c r="C130" s="2" t="b">
        <v>0</v>
      </c>
      <c r="D130" s="2" t="b">
        <v>0</v>
      </c>
      <c r="E130" s="2" t="b">
        <v>0</v>
      </c>
      <c r="F130" s="2" t="b">
        <v>0</v>
      </c>
      <c r="G130" s="2" t="s">
        <v>31</v>
      </c>
      <c r="H130" s="2" t="s">
        <v>459</v>
      </c>
      <c r="I130" s="2" t="s">
        <v>460</v>
      </c>
      <c r="J130" s="2" t="s">
        <v>35</v>
      </c>
      <c r="K130" s="2" t="s">
        <v>35</v>
      </c>
      <c r="L130" s="2" t="s">
        <v>35</v>
      </c>
      <c r="M130" s="2">
        <v>25</v>
      </c>
      <c r="N130" s="2">
        <v>14</v>
      </c>
      <c r="O130" s="11">
        <v>44735.520526064814</v>
      </c>
      <c r="P130" s="11">
        <v>44735.521136388888</v>
      </c>
      <c r="Q130" s="27">
        <f t="shared" ref="Q130:Q193" si="6">P130-O130</f>
        <v>6.1032407393213362E-4</v>
      </c>
      <c r="R130" s="65">
        <f t="shared" si="5"/>
        <v>6.7009259510086849E-4</v>
      </c>
      <c r="S130" s="2">
        <v>0</v>
      </c>
      <c r="T130" s="2" t="s">
        <v>54</v>
      </c>
      <c r="U130" s="2" t="s">
        <v>55</v>
      </c>
      <c r="V130" s="2" t="s">
        <v>38</v>
      </c>
      <c r="W130" s="2" t="s">
        <v>35</v>
      </c>
      <c r="X130" s="2" t="s">
        <v>35</v>
      </c>
      <c r="Y130" s="2" t="s">
        <v>35</v>
      </c>
      <c r="Z130" s="2" t="b">
        <v>0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2" t="s">
        <v>207</v>
      </c>
      <c r="AF130" s="11">
        <v>44735.40625</v>
      </c>
      <c r="AG130" s="53"/>
      <c r="AH130" s="53" t="b">
        <f t="shared" si="4"/>
        <v>0</v>
      </c>
      <c r="AI130" s="54" t="str" cm="1">
        <f t="array" ref="AI130">TRANSPOSE(_xlfn._xlws.FILTER(images!L:L,images!F:F=Barrierenmessung!A130, ""))</f>
        <v>https://captureandgo.cloudlab.zhaw.ch/uploads/image_e8e79a5073.jpg</v>
      </c>
      <c r="AJ130" s="2"/>
      <c r="AK130" s="2"/>
      <c r="AL130" s="2"/>
      <c r="AM130" s="2"/>
      <c r="AN130" s="2"/>
    </row>
    <row r="131" spans="1:40" ht="16" x14ac:dyDescent="0.2">
      <c r="A131" s="2" t="s">
        <v>461</v>
      </c>
      <c r="B131" s="46">
        <v>130</v>
      </c>
      <c r="C131" s="2" t="b">
        <v>0</v>
      </c>
      <c r="D131" s="2" t="b">
        <v>0</v>
      </c>
      <c r="E131" s="2" t="b">
        <v>0</v>
      </c>
      <c r="F131" s="2" t="b">
        <v>0</v>
      </c>
      <c r="G131" s="2" t="s">
        <v>31</v>
      </c>
      <c r="H131" s="2" t="s">
        <v>462</v>
      </c>
      <c r="I131" s="2" t="s">
        <v>463</v>
      </c>
      <c r="J131" s="2" t="s">
        <v>35</v>
      </c>
      <c r="K131" s="2" t="s">
        <v>35</v>
      </c>
      <c r="L131" s="2" t="s">
        <v>35</v>
      </c>
      <c r="M131" s="2" t="s">
        <v>35</v>
      </c>
      <c r="N131" s="2" t="s">
        <v>35</v>
      </c>
      <c r="O131" s="11">
        <v>44735.522200555555</v>
      </c>
      <c r="P131" s="11">
        <v>44735.522512048614</v>
      </c>
      <c r="Q131" s="27">
        <f t="shared" si="6"/>
        <v>3.1149305868893862E-4</v>
      </c>
      <c r="R131" s="65">
        <f t="shared" si="5"/>
        <v>1.3756597254541703E-3</v>
      </c>
      <c r="S131" s="2">
        <v>0</v>
      </c>
      <c r="T131" s="2" t="s">
        <v>36</v>
      </c>
      <c r="U131" s="2" t="s">
        <v>37</v>
      </c>
      <c r="V131" s="2" t="s">
        <v>38</v>
      </c>
      <c r="W131" s="2" t="s">
        <v>35</v>
      </c>
      <c r="X131" s="2" t="s">
        <v>35</v>
      </c>
      <c r="Y131" s="2" t="s">
        <v>35</v>
      </c>
      <c r="Z131" s="2" t="b">
        <v>0</v>
      </c>
      <c r="AA131" s="2" t="s">
        <v>35</v>
      </c>
      <c r="AB131" s="2" t="s">
        <v>35</v>
      </c>
      <c r="AC131" s="2">
        <v>13</v>
      </c>
      <c r="AD131" s="2" t="s">
        <v>35</v>
      </c>
      <c r="AE131" s="2" t="s">
        <v>207</v>
      </c>
      <c r="AF131" s="11">
        <v>44735.40625</v>
      </c>
      <c r="AG131" s="53"/>
      <c r="AH131" s="53" t="b">
        <f t="shared" ref="AH131:AH194" si="7">IF(Q131&lt;TIME(0,0,1),"TRUE")</f>
        <v>0</v>
      </c>
      <c r="AI131" s="54" t="str" cm="1">
        <f t="array" ref="AI131">TRANSPOSE(_xlfn._xlws.FILTER(images!L:L,images!F:F=Barrierenmessung!A131, ""))</f>
        <v>https://captureandgo.cloudlab.zhaw.ch/uploads/image_2c6cb6178e.jpg</v>
      </c>
      <c r="AJ131" s="2"/>
      <c r="AK131" s="2"/>
      <c r="AL131" s="2"/>
      <c r="AM131" s="2"/>
      <c r="AN131" s="2"/>
    </row>
    <row r="132" spans="1:40" ht="16" x14ac:dyDescent="0.2">
      <c r="A132" s="2" t="s">
        <v>464</v>
      </c>
      <c r="B132" s="46">
        <v>131</v>
      </c>
      <c r="C132" s="2" t="b">
        <v>0</v>
      </c>
      <c r="D132" s="2" t="b">
        <v>0</v>
      </c>
      <c r="E132" s="2" t="b">
        <v>0</v>
      </c>
      <c r="F132" s="2" t="b">
        <v>0</v>
      </c>
      <c r="G132" s="2" t="s">
        <v>31</v>
      </c>
      <c r="H132" s="2" t="s">
        <v>465</v>
      </c>
      <c r="I132" s="2" t="s">
        <v>466</v>
      </c>
      <c r="J132" s="2" t="s">
        <v>442</v>
      </c>
      <c r="K132" s="2" t="s">
        <v>35</v>
      </c>
      <c r="L132" s="2" t="s">
        <v>35</v>
      </c>
      <c r="M132" s="2" t="s">
        <v>35</v>
      </c>
      <c r="N132" s="2" t="s">
        <v>35</v>
      </c>
      <c r="O132" s="11">
        <v>44735.52677715278</v>
      </c>
      <c r="P132" s="11">
        <v>44735.527342476853</v>
      </c>
      <c r="Q132" s="27">
        <f t="shared" si="6"/>
        <v>5.6532407324993983E-4</v>
      </c>
      <c r="R132" s="65">
        <f t="shared" si="5"/>
        <v>4.8304282390745357E-3</v>
      </c>
      <c r="S132" s="2">
        <v>0</v>
      </c>
      <c r="T132" s="2" t="s">
        <v>416</v>
      </c>
      <c r="U132" s="2" t="s">
        <v>417</v>
      </c>
      <c r="V132" s="2" t="s">
        <v>38</v>
      </c>
      <c r="W132" s="2" t="s">
        <v>35</v>
      </c>
      <c r="X132" s="2">
        <v>55</v>
      </c>
      <c r="Y132" s="2" t="s">
        <v>438</v>
      </c>
      <c r="Z132" s="2" t="b">
        <v>0</v>
      </c>
      <c r="AA132" s="2" t="s">
        <v>35</v>
      </c>
      <c r="AB132" s="2" t="s">
        <v>35</v>
      </c>
      <c r="AC132" s="2" t="s">
        <v>35</v>
      </c>
      <c r="AD132" s="2" t="s">
        <v>35</v>
      </c>
      <c r="AE132" s="2" t="s">
        <v>207</v>
      </c>
      <c r="AF132" s="11">
        <v>44735.40625</v>
      </c>
      <c r="AG132" s="53"/>
      <c r="AH132" s="53" t="b">
        <f t="shared" si="7"/>
        <v>0</v>
      </c>
      <c r="AI132" s="54" t="str" cm="1">
        <f t="array" ref="AI132">TRANSPOSE(_xlfn._xlws.FILTER(images!L:L,images!F:F=Barrierenmessung!A132, ""))</f>
        <v>https://captureandgo.cloudlab.zhaw.ch/uploads/image_cb0f0c4fc0.jpg</v>
      </c>
      <c r="AJ132" s="2"/>
      <c r="AK132" s="2"/>
      <c r="AL132" s="2"/>
      <c r="AM132" s="2"/>
      <c r="AN132" s="2"/>
    </row>
    <row r="133" spans="1:40" ht="16" x14ac:dyDescent="0.2">
      <c r="A133" s="68" t="s">
        <v>467</v>
      </c>
      <c r="B133" s="68">
        <v>132</v>
      </c>
      <c r="C133" s="68" t="b">
        <v>0</v>
      </c>
      <c r="D133" s="68" t="b">
        <v>0</v>
      </c>
      <c r="E133" s="68" t="b">
        <v>0</v>
      </c>
      <c r="F133" s="68" t="b">
        <v>0</v>
      </c>
      <c r="G133" s="68" t="s">
        <v>31</v>
      </c>
      <c r="H133" s="68" t="s">
        <v>149</v>
      </c>
      <c r="I133" s="68" t="s">
        <v>468</v>
      </c>
      <c r="J133" s="68" t="s">
        <v>35</v>
      </c>
      <c r="K133" s="68" t="s">
        <v>35</v>
      </c>
      <c r="L133" s="68" t="s">
        <v>35</v>
      </c>
      <c r="M133" s="68">
        <v>10</v>
      </c>
      <c r="N133" s="68">
        <v>15</v>
      </c>
      <c r="O133" s="69">
        <v>44735.527854201391</v>
      </c>
      <c r="P133" s="69">
        <v>44735.528068622683</v>
      </c>
      <c r="Q133" s="70">
        <f t="shared" si="6"/>
        <v>2.1442129218485206E-4</v>
      </c>
      <c r="R133" s="70">
        <f t="shared" ref="R133:R196" si="8">MIN(P133-P132, P133-AF133)</f>
        <v>7.2614583041286096E-4</v>
      </c>
      <c r="S133" s="68">
        <v>0</v>
      </c>
      <c r="T133" s="68" t="s">
        <v>54</v>
      </c>
      <c r="U133" s="68" t="s">
        <v>55</v>
      </c>
      <c r="V133" s="68" t="s">
        <v>38</v>
      </c>
      <c r="W133" s="68" t="s">
        <v>35</v>
      </c>
      <c r="X133" s="68" t="s">
        <v>35</v>
      </c>
      <c r="Y133" s="68" t="s">
        <v>35</v>
      </c>
      <c r="Z133" s="68" t="b">
        <v>0</v>
      </c>
      <c r="AA133" s="68" t="s">
        <v>35</v>
      </c>
      <c r="AB133" s="68" t="s">
        <v>35</v>
      </c>
      <c r="AC133" s="68" t="s">
        <v>35</v>
      </c>
      <c r="AD133" s="68" t="s">
        <v>35</v>
      </c>
      <c r="AE133" s="68" t="s">
        <v>207</v>
      </c>
      <c r="AF133" s="69">
        <v>44735.40625</v>
      </c>
      <c r="AG133" s="71" t="s">
        <v>9478</v>
      </c>
      <c r="AH133" s="71" t="b">
        <f t="shared" si="7"/>
        <v>0</v>
      </c>
      <c r="AI133" s="56"/>
      <c r="AJ133" s="68"/>
      <c r="AK133" s="68"/>
      <c r="AL133" s="68"/>
      <c r="AM133" s="68"/>
      <c r="AN133" s="68"/>
    </row>
    <row r="134" spans="1:40" ht="16" x14ac:dyDescent="0.2">
      <c r="A134" s="2" t="s">
        <v>469</v>
      </c>
      <c r="B134" s="46">
        <v>133</v>
      </c>
      <c r="C134" s="2" t="b">
        <v>0</v>
      </c>
      <c r="D134" s="2" t="b">
        <v>0</v>
      </c>
      <c r="E134" s="2" t="b">
        <v>0</v>
      </c>
      <c r="F134" s="2" t="b">
        <v>0</v>
      </c>
      <c r="G134" s="2" t="s">
        <v>31</v>
      </c>
      <c r="H134" s="2" t="s">
        <v>470</v>
      </c>
      <c r="I134" s="2" t="s">
        <v>471</v>
      </c>
      <c r="J134" s="2" t="s">
        <v>35</v>
      </c>
      <c r="K134" s="2" t="s">
        <v>35</v>
      </c>
      <c r="L134" s="2" t="s">
        <v>35</v>
      </c>
      <c r="M134" s="2" t="s">
        <v>35</v>
      </c>
      <c r="N134" s="2" t="s">
        <v>35</v>
      </c>
      <c r="O134" s="11">
        <v>44735.528627766202</v>
      </c>
      <c r="P134" s="11">
        <v>44735.52891108796</v>
      </c>
      <c r="Q134" s="27">
        <f t="shared" si="6"/>
        <v>2.8332175861578435E-4</v>
      </c>
      <c r="R134" s="65">
        <f t="shared" si="8"/>
        <v>8.4246527694631368E-4</v>
      </c>
      <c r="S134" s="2">
        <v>0</v>
      </c>
      <c r="T134" s="2" t="s">
        <v>36</v>
      </c>
      <c r="U134" s="2" t="s">
        <v>37</v>
      </c>
      <c r="V134" s="2" t="s">
        <v>38</v>
      </c>
      <c r="W134" s="2" t="s">
        <v>35</v>
      </c>
      <c r="X134" s="2" t="s">
        <v>35</v>
      </c>
      <c r="Y134" s="2" t="s">
        <v>35</v>
      </c>
      <c r="Z134" s="2" t="b">
        <v>0</v>
      </c>
      <c r="AA134" s="2" t="s">
        <v>35</v>
      </c>
      <c r="AB134" s="2" t="s">
        <v>35</v>
      </c>
      <c r="AC134" s="2">
        <v>7</v>
      </c>
      <c r="AD134" s="2" t="s">
        <v>35</v>
      </c>
      <c r="AE134" s="2" t="s">
        <v>207</v>
      </c>
      <c r="AF134" s="11">
        <v>44735.40625</v>
      </c>
      <c r="AG134" s="53"/>
      <c r="AH134" s="53" t="b">
        <f t="shared" si="7"/>
        <v>0</v>
      </c>
      <c r="AI134" s="54" t="str" cm="1">
        <f t="array" ref="AI134">TRANSPOSE(_xlfn._xlws.FILTER(images!L:L,images!F:F=Barrierenmessung!A134, ""))</f>
        <v>https://captureandgo.cloudlab.zhaw.ch/uploads/image_0d74217a2a.jpg</v>
      </c>
      <c r="AJ134" s="2"/>
      <c r="AK134" s="2"/>
      <c r="AL134" s="2"/>
      <c r="AM134" s="2"/>
      <c r="AN134" s="2"/>
    </row>
    <row r="135" spans="1:40" ht="16" x14ac:dyDescent="0.2">
      <c r="A135" s="2" t="s">
        <v>472</v>
      </c>
      <c r="B135" s="46">
        <v>134</v>
      </c>
      <c r="C135" s="2" t="b">
        <v>0</v>
      </c>
      <c r="D135" s="2" t="b">
        <v>0</v>
      </c>
      <c r="E135" s="2" t="b">
        <v>0</v>
      </c>
      <c r="F135" s="2" t="b">
        <v>0</v>
      </c>
      <c r="G135" s="2" t="s">
        <v>31</v>
      </c>
      <c r="H135" s="2" t="s">
        <v>473</v>
      </c>
      <c r="I135" s="2" t="s">
        <v>474</v>
      </c>
      <c r="J135" s="2" t="s">
        <v>475</v>
      </c>
      <c r="K135" s="2" t="s">
        <v>35</v>
      </c>
      <c r="L135" s="2" t="s">
        <v>35</v>
      </c>
      <c r="M135" s="2" t="s">
        <v>35</v>
      </c>
      <c r="N135" s="2" t="s">
        <v>35</v>
      </c>
      <c r="O135" s="11">
        <v>44735.52940097222</v>
      </c>
      <c r="P135" s="11">
        <v>44735.53016415509</v>
      </c>
      <c r="Q135" s="27">
        <f t="shared" si="6"/>
        <v>7.6318287028698251E-4</v>
      </c>
      <c r="R135" s="65">
        <f t="shared" si="8"/>
        <v>1.2530671301647089E-3</v>
      </c>
      <c r="S135" s="2">
        <v>0</v>
      </c>
      <c r="T135" s="2" t="s">
        <v>109</v>
      </c>
      <c r="U135" s="2" t="s">
        <v>110</v>
      </c>
      <c r="V135" s="2" t="s">
        <v>38</v>
      </c>
      <c r="W135" s="2" t="s">
        <v>35</v>
      </c>
      <c r="X135" s="2">
        <v>80</v>
      </c>
      <c r="Y135" s="2" t="s">
        <v>438</v>
      </c>
      <c r="Z135" s="2" t="b">
        <v>0</v>
      </c>
      <c r="AA135" s="2" t="s">
        <v>35</v>
      </c>
      <c r="AB135" s="2" t="s">
        <v>35</v>
      </c>
      <c r="AC135" s="2" t="s">
        <v>35</v>
      </c>
      <c r="AD135" s="2" t="s">
        <v>35</v>
      </c>
      <c r="AE135" s="2" t="s">
        <v>207</v>
      </c>
      <c r="AF135" s="11">
        <v>44735.40625</v>
      </c>
      <c r="AG135" s="53"/>
      <c r="AH135" s="53" t="b">
        <f t="shared" si="7"/>
        <v>0</v>
      </c>
      <c r="AI135" s="54" t="str" cm="1">
        <f t="array" ref="AI135">TRANSPOSE(_xlfn._xlws.FILTER(images!L:L,images!F:F=Barrierenmessung!A135, ""))</f>
        <v>https://captureandgo.cloudlab.zhaw.ch/uploads/image_22b723b877.jpg</v>
      </c>
      <c r="AJ135" s="2"/>
      <c r="AK135" s="2"/>
      <c r="AL135" s="2"/>
      <c r="AM135" s="2"/>
      <c r="AN135" s="2"/>
    </row>
    <row r="136" spans="1:40" ht="16" x14ac:dyDescent="0.2">
      <c r="A136" s="2" t="s">
        <v>476</v>
      </c>
      <c r="B136" s="46">
        <v>135</v>
      </c>
      <c r="C136" s="2" t="b">
        <v>0</v>
      </c>
      <c r="D136" s="2" t="b">
        <v>0</v>
      </c>
      <c r="E136" s="2" t="b">
        <v>0</v>
      </c>
      <c r="F136" s="2" t="b">
        <v>0</v>
      </c>
      <c r="G136" s="2" t="s">
        <v>31</v>
      </c>
      <c r="H136" s="2" t="s">
        <v>477</v>
      </c>
      <c r="I136" s="2" t="s">
        <v>478</v>
      </c>
      <c r="J136" s="2" t="s">
        <v>479</v>
      </c>
      <c r="K136" s="2" t="s">
        <v>35</v>
      </c>
      <c r="L136" s="2" t="s">
        <v>35</v>
      </c>
      <c r="M136" s="2" t="s">
        <v>35</v>
      </c>
      <c r="N136" s="2" t="s">
        <v>35</v>
      </c>
      <c r="O136" s="11">
        <v>44735.530819224536</v>
      </c>
      <c r="P136" s="11">
        <v>44735.531538368057</v>
      </c>
      <c r="Q136" s="27">
        <f t="shared" si="6"/>
        <v>7.1914352156454697E-4</v>
      </c>
      <c r="R136" s="65">
        <f t="shared" si="8"/>
        <v>1.3742129667662084E-3</v>
      </c>
      <c r="S136" s="2">
        <v>0</v>
      </c>
      <c r="T136" s="2" t="s">
        <v>109</v>
      </c>
      <c r="U136" s="2" t="s">
        <v>110</v>
      </c>
      <c r="V136" s="2" t="s">
        <v>38</v>
      </c>
      <c r="W136" s="2" t="s">
        <v>35</v>
      </c>
      <c r="X136" s="2">
        <v>90</v>
      </c>
      <c r="Y136" s="2" t="s">
        <v>438</v>
      </c>
      <c r="Z136" s="2" t="b">
        <v>0</v>
      </c>
      <c r="AA136" s="2" t="s">
        <v>35</v>
      </c>
      <c r="AB136" s="2" t="s">
        <v>35</v>
      </c>
      <c r="AC136" s="2" t="s">
        <v>35</v>
      </c>
      <c r="AD136" s="2" t="s">
        <v>35</v>
      </c>
      <c r="AE136" s="2" t="s">
        <v>207</v>
      </c>
      <c r="AF136" s="11">
        <v>44735.40625</v>
      </c>
      <c r="AG136" s="53"/>
      <c r="AH136" s="53" t="b">
        <f t="shared" si="7"/>
        <v>0</v>
      </c>
      <c r="AI136" s="54" t="str" cm="1">
        <f t="array" ref="AI136">TRANSPOSE(_xlfn._xlws.FILTER(images!L:L,images!F:F=Barrierenmessung!A136, ""))</f>
        <v>https://captureandgo.cloudlab.zhaw.ch/uploads/image_4f216f42b0.jpg</v>
      </c>
      <c r="AJ136" s="2"/>
      <c r="AK136" s="2"/>
      <c r="AL136" s="2"/>
      <c r="AM136" s="2"/>
      <c r="AN136" s="2"/>
    </row>
    <row r="137" spans="1:40" ht="16" x14ac:dyDescent="0.2">
      <c r="A137" s="2" t="s">
        <v>480</v>
      </c>
      <c r="B137" s="46">
        <v>136</v>
      </c>
      <c r="C137" s="2" t="b">
        <v>0</v>
      </c>
      <c r="D137" s="2" t="b">
        <v>0</v>
      </c>
      <c r="E137" s="2" t="b">
        <v>0</v>
      </c>
      <c r="F137" s="2" t="b">
        <v>0</v>
      </c>
      <c r="G137" s="2" t="s">
        <v>31</v>
      </c>
      <c r="H137" s="2" t="s">
        <v>481</v>
      </c>
      <c r="I137" s="2" t="s">
        <v>482</v>
      </c>
      <c r="J137" s="2" t="s">
        <v>35</v>
      </c>
      <c r="K137" s="2" t="s">
        <v>35</v>
      </c>
      <c r="L137" s="2" t="s">
        <v>35</v>
      </c>
      <c r="M137" s="2">
        <v>33</v>
      </c>
      <c r="N137" s="2">
        <v>14</v>
      </c>
      <c r="O137" s="11">
        <v>44735.534803171293</v>
      </c>
      <c r="P137" s="11">
        <v>44735.53550395833</v>
      </c>
      <c r="Q137" s="27">
        <f t="shared" si="6"/>
        <v>7.0078703720355406E-4</v>
      </c>
      <c r="R137" s="65">
        <f t="shared" si="8"/>
        <v>3.9655902728554793E-3</v>
      </c>
      <c r="S137" s="2">
        <v>0</v>
      </c>
      <c r="T137" s="2" t="s">
        <v>54</v>
      </c>
      <c r="U137" s="2" t="s">
        <v>55</v>
      </c>
      <c r="V137" s="2" t="s">
        <v>38</v>
      </c>
      <c r="W137" s="2" t="s">
        <v>35</v>
      </c>
      <c r="X137" s="2" t="s">
        <v>35</v>
      </c>
      <c r="Y137" s="2" t="s">
        <v>35</v>
      </c>
      <c r="Z137" s="2" t="b">
        <v>0</v>
      </c>
      <c r="AA137" s="2" t="s">
        <v>35</v>
      </c>
      <c r="AB137" s="2" t="s">
        <v>35</v>
      </c>
      <c r="AC137" s="2" t="s">
        <v>35</v>
      </c>
      <c r="AD137" s="2" t="s">
        <v>35</v>
      </c>
      <c r="AE137" s="2" t="s">
        <v>207</v>
      </c>
      <c r="AF137" s="11">
        <v>44735.40625</v>
      </c>
      <c r="AG137" s="53"/>
      <c r="AH137" s="53" t="b">
        <f t="shared" si="7"/>
        <v>0</v>
      </c>
      <c r="AI137" s="54" t="str" cm="1">
        <f t="array" ref="AI137">TRANSPOSE(_xlfn._xlws.FILTER(images!L:L,images!F:F=Barrierenmessung!A137, ""))</f>
        <v>https://captureandgo.cloudlab.zhaw.ch/uploads/image_6e136d631a.jpg</v>
      </c>
      <c r="AJ137" s="2"/>
      <c r="AK137" s="2"/>
      <c r="AL137" s="2"/>
      <c r="AM137" s="2"/>
      <c r="AN137" s="2"/>
    </row>
    <row r="138" spans="1:40" ht="16" x14ac:dyDescent="0.2">
      <c r="A138" s="2" t="s">
        <v>483</v>
      </c>
      <c r="B138" s="46">
        <v>137</v>
      </c>
      <c r="C138" s="2" t="b">
        <v>0</v>
      </c>
      <c r="D138" s="2" t="b">
        <v>0</v>
      </c>
      <c r="E138" s="2" t="b">
        <v>0</v>
      </c>
      <c r="F138" s="2" t="b">
        <v>0</v>
      </c>
      <c r="G138" s="2" t="s">
        <v>31</v>
      </c>
      <c r="H138" s="2" t="s">
        <v>484</v>
      </c>
      <c r="I138" s="2" t="s">
        <v>485</v>
      </c>
      <c r="J138" s="2" t="s">
        <v>35</v>
      </c>
      <c r="K138" s="2" t="s">
        <v>35</v>
      </c>
      <c r="L138" s="2" t="s">
        <v>35</v>
      </c>
      <c r="M138" s="2">
        <v>5</v>
      </c>
      <c r="N138" s="2">
        <v>15</v>
      </c>
      <c r="O138" s="11">
        <v>44735.535563414349</v>
      </c>
      <c r="P138" s="11">
        <v>44735.535874212961</v>
      </c>
      <c r="Q138" s="27">
        <f t="shared" si="6"/>
        <v>3.1079861219041049E-4</v>
      </c>
      <c r="R138" s="65">
        <f t="shared" si="8"/>
        <v>3.7025463097961619E-4</v>
      </c>
      <c r="S138" s="2">
        <v>0</v>
      </c>
      <c r="T138" s="2" t="s">
        <v>54</v>
      </c>
      <c r="U138" s="2" t="s">
        <v>55</v>
      </c>
      <c r="V138" s="2" t="s">
        <v>38</v>
      </c>
      <c r="W138" s="2" t="s">
        <v>35</v>
      </c>
      <c r="X138" s="2" t="s">
        <v>35</v>
      </c>
      <c r="Y138" s="2" t="s">
        <v>35</v>
      </c>
      <c r="Z138" s="2" t="b">
        <v>0</v>
      </c>
      <c r="AA138" s="2" t="s">
        <v>35</v>
      </c>
      <c r="AB138" s="2" t="s">
        <v>35</v>
      </c>
      <c r="AC138" s="2" t="s">
        <v>35</v>
      </c>
      <c r="AD138" s="2" t="s">
        <v>35</v>
      </c>
      <c r="AE138" s="2" t="s">
        <v>207</v>
      </c>
      <c r="AF138" s="11">
        <v>44735.40625</v>
      </c>
      <c r="AG138" s="53"/>
      <c r="AH138" s="53" t="b">
        <f t="shared" si="7"/>
        <v>0</v>
      </c>
      <c r="AI138" s="54" t="str" cm="1">
        <f t="array" ref="AI138">TRANSPOSE(_xlfn._xlws.FILTER(images!L:L,images!F:F=Barrierenmessung!A138, ""))</f>
        <v>https://captureandgo.cloudlab.zhaw.ch/uploads/image_b266c864ea.jpg</v>
      </c>
      <c r="AJ138" s="2"/>
      <c r="AK138" s="2"/>
      <c r="AL138" s="2"/>
      <c r="AM138" s="2"/>
      <c r="AN138" s="2"/>
    </row>
    <row r="139" spans="1:40" ht="16" x14ac:dyDescent="0.2">
      <c r="A139" s="2" t="s">
        <v>486</v>
      </c>
      <c r="B139" s="46">
        <v>138</v>
      </c>
      <c r="C139" s="2" t="b">
        <v>0</v>
      </c>
      <c r="D139" s="2" t="b">
        <v>0</v>
      </c>
      <c r="E139" s="2" t="b">
        <v>0</v>
      </c>
      <c r="F139" s="2" t="b">
        <v>0</v>
      </c>
      <c r="G139" s="2" t="s">
        <v>31</v>
      </c>
      <c r="H139" s="2" t="s">
        <v>487</v>
      </c>
      <c r="I139" s="2" t="s">
        <v>488</v>
      </c>
      <c r="J139" s="2" t="s">
        <v>352</v>
      </c>
      <c r="K139" s="2" t="s">
        <v>35</v>
      </c>
      <c r="L139" s="2" t="s">
        <v>35</v>
      </c>
      <c r="M139" s="2" t="s">
        <v>35</v>
      </c>
      <c r="N139" s="2" t="s">
        <v>35</v>
      </c>
      <c r="O139" s="11">
        <v>44735.53630310185</v>
      </c>
      <c r="P139" s="11">
        <v>44735.53664082176</v>
      </c>
      <c r="Q139" s="27">
        <f t="shared" si="6"/>
        <v>3.3771991002140567E-4</v>
      </c>
      <c r="R139" s="65">
        <f t="shared" si="8"/>
        <v>7.6660879858536646E-4</v>
      </c>
      <c r="S139" s="2">
        <v>0</v>
      </c>
      <c r="T139" s="2" t="s">
        <v>124</v>
      </c>
      <c r="U139" s="2" t="s">
        <v>125</v>
      </c>
      <c r="V139" s="2" t="s">
        <v>38</v>
      </c>
      <c r="W139" s="2" t="s">
        <v>35</v>
      </c>
      <c r="X139" s="2" t="s">
        <v>35</v>
      </c>
      <c r="Y139" s="2" t="s">
        <v>35</v>
      </c>
      <c r="Z139" s="2" t="b">
        <v>0</v>
      </c>
      <c r="AA139" s="2" t="s">
        <v>35</v>
      </c>
      <c r="AB139" s="2">
        <v>4</v>
      </c>
      <c r="AC139" s="2" t="s">
        <v>35</v>
      </c>
      <c r="AD139" s="2" t="s">
        <v>35</v>
      </c>
      <c r="AE139" s="2" t="s">
        <v>207</v>
      </c>
      <c r="AF139" s="11">
        <v>44735.40625</v>
      </c>
      <c r="AG139" s="53"/>
      <c r="AH139" s="53" t="b">
        <f t="shared" si="7"/>
        <v>0</v>
      </c>
      <c r="AI139" s="54" t="str" cm="1">
        <f t="array" ref="AI139">TRANSPOSE(_xlfn._xlws.FILTER(images!L:L,images!F:F=Barrierenmessung!A139, ""))</f>
        <v>https://captureandgo.cloudlab.zhaw.ch/uploads/image_ff22712385.jpg</v>
      </c>
      <c r="AJ139" s="2"/>
      <c r="AK139" s="2"/>
      <c r="AL139" s="2"/>
      <c r="AM139" s="2"/>
      <c r="AN139" s="2"/>
    </row>
    <row r="140" spans="1:40" ht="16" x14ac:dyDescent="0.2">
      <c r="A140" s="2" t="s">
        <v>489</v>
      </c>
      <c r="B140" s="46">
        <v>139</v>
      </c>
      <c r="C140" s="2" t="b">
        <v>0</v>
      </c>
      <c r="D140" s="2" t="b">
        <v>0</v>
      </c>
      <c r="E140" s="2" t="b">
        <v>0</v>
      </c>
      <c r="F140" s="2" t="b">
        <v>0</v>
      </c>
      <c r="G140" s="2" t="s">
        <v>31</v>
      </c>
      <c r="H140" s="2" t="s">
        <v>490</v>
      </c>
      <c r="I140" s="2" t="s">
        <v>491</v>
      </c>
      <c r="J140" s="2" t="s">
        <v>352</v>
      </c>
      <c r="K140" s="2" t="s">
        <v>35</v>
      </c>
      <c r="L140" s="2" t="s">
        <v>35</v>
      </c>
      <c r="M140" s="2" t="s">
        <v>35</v>
      </c>
      <c r="N140" s="2" t="s">
        <v>35</v>
      </c>
      <c r="O140" s="11">
        <v>44736.388243449073</v>
      </c>
      <c r="P140" s="11">
        <v>44736.388578402781</v>
      </c>
      <c r="Q140" s="27">
        <f t="shared" si="6"/>
        <v>3.3495370735181496E-4</v>
      </c>
      <c r="R140" s="65">
        <f t="shared" si="8"/>
        <v>1.0784027836052701E-3</v>
      </c>
      <c r="S140" s="2">
        <v>0</v>
      </c>
      <c r="T140" s="2" t="s">
        <v>124</v>
      </c>
      <c r="U140" s="2" t="s">
        <v>125</v>
      </c>
      <c r="V140" s="2" t="s">
        <v>38</v>
      </c>
      <c r="W140" s="2" t="s">
        <v>35</v>
      </c>
      <c r="X140" s="2" t="s">
        <v>35</v>
      </c>
      <c r="Y140" s="2" t="s">
        <v>35</v>
      </c>
      <c r="Z140" s="2" t="b">
        <v>0</v>
      </c>
      <c r="AA140" s="2" t="s">
        <v>35</v>
      </c>
      <c r="AB140" s="2">
        <v>4</v>
      </c>
      <c r="AC140" s="2" t="s">
        <v>35</v>
      </c>
      <c r="AD140" s="2" t="s">
        <v>35</v>
      </c>
      <c r="AE140" s="2" t="s">
        <v>492</v>
      </c>
      <c r="AF140" s="11">
        <v>44736.387499999997</v>
      </c>
      <c r="AG140" s="53"/>
      <c r="AH140" s="53" t="b">
        <f t="shared" si="7"/>
        <v>0</v>
      </c>
      <c r="AI140" s="54" t="str" cm="1">
        <f t="array" ref="AI140">TRANSPOSE(_xlfn._xlws.FILTER(images!L:L,images!F:F=Barrierenmessung!A140, ""))</f>
        <v>https://captureandgo.cloudlab.zhaw.ch/uploads/image_c58d1cbb04.jpg</v>
      </c>
      <c r="AJ140" s="2"/>
      <c r="AK140" s="2"/>
      <c r="AL140" s="2"/>
      <c r="AM140" s="2"/>
      <c r="AN140" s="2"/>
    </row>
    <row r="141" spans="1:40" ht="16" x14ac:dyDescent="0.2">
      <c r="A141" s="2" t="s">
        <v>493</v>
      </c>
      <c r="B141" s="46">
        <v>140</v>
      </c>
      <c r="C141" s="2" t="b">
        <v>0</v>
      </c>
      <c r="D141" s="2" t="b">
        <v>0</v>
      </c>
      <c r="E141" s="2" t="b">
        <v>0</v>
      </c>
      <c r="F141" s="2" t="b">
        <v>0</v>
      </c>
      <c r="G141" s="2" t="s">
        <v>31</v>
      </c>
      <c r="H141" s="2" t="s">
        <v>494</v>
      </c>
      <c r="I141" s="2" t="s">
        <v>495</v>
      </c>
      <c r="J141" s="2" t="s">
        <v>35</v>
      </c>
      <c r="K141" s="2" t="s">
        <v>35</v>
      </c>
      <c r="L141" s="2">
        <v>10</v>
      </c>
      <c r="M141" s="2" t="s">
        <v>35</v>
      </c>
      <c r="N141" s="2" t="s">
        <v>35</v>
      </c>
      <c r="O141" s="11">
        <v>44736.390081365738</v>
      </c>
      <c r="P141" s="11">
        <v>44736.390578275466</v>
      </c>
      <c r="Q141" s="27">
        <f t="shared" si="6"/>
        <v>4.9690972809912637E-4</v>
      </c>
      <c r="R141" s="65">
        <f t="shared" si="8"/>
        <v>1.9998726857011206E-3</v>
      </c>
      <c r="S141" s="2">
        <v>0</v>
      </c>
      <c r="T141" s="2" t="s">
        <v>265</v>
      </c>
      <c r="U141" s="2" t="s">
        <v>266</v>
      </c>
      <c r="V141" s="2" t="s">
        <v>38</v>
      </c>
      <c r="W141" s="2" t="s">
        <v>35</v>
      </c>
      <c r="X141" s="2" t="s">
        <v>35</v>
      </c>
      <c r="Y141" s="2" t="s">
        <v>35</v>
      </c>
      <c r="Z141" s="2" t="b">
        <v>0</v>
      </c>
      <c r="AA141" s="2" t="s">
        <v>35</v>
      </c>
      <c r="AB141" s="2" t="s">
        <v>35</v>
      </c>
      <c r="AC141" s="2" t="s">
        <v>35</v>
      </c>
      <c r="AD141" s="2" t="s">
        <v>35</v>
      </c>
      <c r="AE141" s="2" t="s">
        <v>492</v>
      </c>
      <c r="AF141" s="11">
        <v>44736.387499999997</v>
      </c>
      <c r="AG141" s="53"/>
      <c r="AH141" s="53" t="b">
        <f t="shared" si="7"/>
        <v>0</v>
      </c>
      <c r="AI141" s="54" t="str" cm="1">
        <f t="array" ref="AI141">TRANSPOSE(_xlfn._xlws.FILTER(images!L:L,images!F:F=Barrierenmessung!A141, ""))</f>
        <v>https://captureandgo.cloudlab.zhaw.ch/uploads/image_20b334a758.jpg</v>
      </c>
      <c r="AJ141" s="2"/>
      <c r="AK141" s="2"/>
      <c r="AL141" s="2"/>
      <c r="AM141" s="2"/>
      <c r="AN141" s="2"/>
    </row>
    <row r="142" spans="1:40" ht="16" x14ac:dyDescent="0.2">
      <c r="A142" s="2" t="s">
        <v>496</v>
      </c>
      <c r="B142" s="46">
        <v>141</v>
      </c>
      <c r="C142" s="2" t="b">
        <v>0</v>
      </c>
      <c r="D142" s="2" t="b">
        <v>0</v>
      </c>
      <c r="E142" s="2" t="b">
        <v>0</v>
      </c>
      <c r="F142" s="2" t="b">
        <v>0</v>
      </c>
      <c r="G142" s="2" t="s">
        <v>31</v>
      </c>
      <c r="H142" s="2" t="s">
        <v>497</v>
      </c>
      <c r="I142" s="2" t="s">
        <v>498</v>
      </c>
      <c r="J142" s="2" t="s">
        <v>35</v>
      </c>
      <c r="K142" s="2" t="s">
        <v>35</v>
      </c>
      <c r="L142" s="2">
        <v>10</v>
      </c>
      <c r="M142" s="2" t="s">
        <v>35</v>
      </c>
      <c r="N142" s="2" t="s">
        <v>35</v>
      </c>
      <c r="O142" s="11">
        <v>44736.390620034719</v>
      </c>
      <c r="P142" s="11">
        <v>44736.391001053242</v>
      </c>
      <c r="Q142" s="27">
        <f t="shared" si="6"/>
        <v>3.8101852260297164E-4</v>
      </c>
      <c r="R142" s="65">
        <f t="shared" si="8"/>
        <v>4.2277777538402006E-4</v>
      </c>
      <c r="S142" s="2">
        <v>0</v>
      </c>
      <c r="T142" s="2" t="s">
        <v>265</v>
      </c>
      <c r="U142" s="2" t="s">
        <v>266</v>
      </c>
      <c r="V142" s="2" t="s">
        <v>38</v>
      </c>
      <c r="W142" s="2" t="s">
        <v>35</v>
      </c>
      <c r="X142" s="2" t="s">
        <v>35</v>
      </c>
      <c r="Y142" s="2" t="s">
        <v>35</v>
      </c>
      <c r="Z142" s="2" t="b">
        <v>0</v>
      </c>
      <c r="AA142" s="2" t="s">
        <v>35</v>
      </c>
      <c r="AB142" s="2" t="s">
        <v>35</v>
      </c>
      <c r="AC142" s="2" t="s">
        <v>35</v>
      </c>
      <c r="AD142" s="2" t="s">
        <v>35</v>
      </c>
      <c r="AE142" s="2" t="s">
        <v>492</v>
      </c>
      <c r="AF142" s="11">
        <v>44736.387499942131</v>
      </c>
      <c r="AG142" s="53"/>
      <c r="AH142" s="53" t="b">
        <f t="shared" si="7"/>
        <v>0</v>
      </c>
      <c r="AI142" s="54" t="str" cm="1">
        <f t="array" ref="AI142">TRANSPOSE(_xlfn._xlws.FILTER(images!L:L,images!F:F=Barrierenmessung!A142, ""))</f>
        <v>https://captureandgo.cloudlab.zhaw.ch/uploads/image_f5b9eefbc1.jpg</v>
      </c>
      <c r="AJ142" s="2"/>
      <c r="AK142" s="2"/>
      <c r="AL142" s="2"/>
      <c r="AM142" s="2"/>
      <c r="AN142" s="2"/>
    </row>
    <row r="143" spans="1:40" ht="16" x14ac:dyDescent="0.2">
      <c r="A143" s="2" t="s">
        <v>499</v>
      </c>
      <c r="B143" s="46">
        <v>142</v>
      </c>
      <c r="C143" s="2" t="b">
        <v>0</v>
      </c>
      <c r="D143" s="2" t="b">
        <v>0</v>
      </c>
      <c r="E143" s="2" t="b">
        <v>0</v>
      </c>
      <c r="F143" s="2" t="b">
        <v>0</v>
      </c>
      <c r="G143" s="2" t="s">
        <v>31</v>
      </c>
      <c r="H143" s="2" t="s">
        <v>500</v>
      </c>
      <c r="I143" s="2" t="s">
        <v>501</v>
      </c>
      <c r="J143" s="2" t="s">
        <v>352</v>
      </c>
      <c r="K143" s="2" t="s">
        <v>35</v>
      </c>
      <c r="L143" s="2" t="s">
        <v>35</v>
      </c>
      <c r="M143" s="2" t="s">
        <v>35</v>
      </c>
      <c r="N143" s="2" t="s">
        <v>35</v>
      </c>
      <c r="O143" s="11">
        <v>44736.391045254626</v>
      </c>
      <c r="P143" s="11">
        <v>44736.391252766203</v>
      </c>
      <c r="Q143" s="27">
        <f t="shared" si="6"/>
        <v>2.0751157717313617E-4</v>
      </c>
      <c r="R143" s="65">
        <f t="shared" si="8"/>
        <v>2.5171296147163957E-4</v>
      </c>
      <c r="S143" s="2">
        <v>0</v>
      </c>
      <c r="T143" s="2" t="s">
        <v>124</v>
      </c>
      <c r="U143" s="2" t="s">
        <v>125</v>
      </c>
      <c r="V143" s="2" t="s">
        <v>38</v>
      </c>
      <c r="W143" s="2" t="s">
        <v>35</v>
      </c>
      <c r="X143" s="2" t="s">
        <v>35</v>
      </c>
      <c r="Y143" s="2" t="s">
        <v>35</v>
      </c>
      <c r="Z143" s="2" t="b">
        <v>0</v>
      </c>
      <c r="AA143" s="2" t="s">
        <v>35</v>
      </c>
      <c r="AB143" s="2">
        <v>4</v>
      </c>
      <c r="AC143" s="2" t="s">
        <v>35</v>
      </c>
      <c r="AD143" s="2" t="s">
        <v>35</v>
      </c>
      <c r="AE143" s="2" t="s">
        <v>492</v>
      </c>
      <c r="AF143" s="11">
        <v>44736.387499942131</v>
      </c>
      <c r="AG143" s="53"/>
      <c r="AH143" s="53" t="b">
        <f t="shared" si="7"/>
        <v>0</v>
      </c>
      <c r="AI143" s="54" t="str" cm="1">
        <f t="array" ref="AI143">TRANSPOSE(_xlfn._xlws.FILTER(images!L:L,images!F:F=Barrierenmessung!A143, ""))</f>
        <v>https://captureandgo.cloudlab.zhaw.ch/uploads/image_f66725936e.jpg</v>
      </c>
      <c r="AJ143" s="2"/>
      <c r="AK143" s="2"/>
      <c r="AL143" s="2"/>
      <c r="AM143" s="2"/>
      <c r="AN143" s="2"/>
    </row>
    <row r="144" spans="1:40" ht="16" x14ac:dyDescent="0.2">
      <c r="A144" s="2" t="s">
        <v>502</v>
      </c>
      <c r="B144" s="46">
        <v>143</v>
      </c>
      <c r="C144" s="2" t="b">
        <v>0</v>
      </c>
      <c r="D144" s="2" t="b">
        <v>0</v>
      </c>
      <c r="E144" s="2" t="b">
        <v>0</v>
      </c>
      <c r="F144" s="2" t="b">
        <v>0</v>
      </c>
      <c r="G144" s="2" t="s">
        <v>31</v>
      </c>
      <c r="H144" s="2" t="s">
        <v>503</v>
      </c>
      <c r="I144" s="2" t="s">
        <v>504</v>
      </c>
      <c r="J144" s="2" t="s">
        <v>35</v>
      </c>
      <c r="K144" s="2" t="s">
        <v>35</v>
      </c>
      <c r="L144" s="2">
        <v>10</v>
      </c>
      <c r="M144" s="2" t="s">
        <v>35</v>
      </c>
      <c r="N144" s="2" t="s">
        <v>35</v>
      </c>
      <c r="O144" s="11">
        <v>44736.391525289349</v>
      </c>
      <c r="P144" s="11">
        <v>44736.391750925926</v>
      </c>
      <c r="Q144" s="27">
        <f t="shared" si="6"/>
        <v>2.2563657694263384E-4</v>
      </c>
      <c r="R144" s="65">
        <f t="shared" si="8"/>
        <v>4.9815972306532785E-4</v>
      </c>
      <c r="S144" s="2">
        <v>0</v>
      </c>
      <c r="T144" s="2" t="s">
        <v>265</v>
      </c>
      <c r="U144" s="2" t="s">
        <v>266</v>
      </c>
      <c r="V144" s="2" t="s">
        <v>38</v>
      </c>
      <c r="W144" s="2" t="s">
        <v>35</v>
      </c>
      <c r="X144" s="2" t="s">
        <v>35</v>
      </c>
      <c r="Y144" s="2" t="s">
        <v>35</v>
      </c>
      <c r="Z144" s="2" t="b">
        <v>0</v>
      </c>
      <c r="AA144" s="2" t="s">
        <v>35</v>
      </c>
      <c r="AB144" s="2" t="s">
        <v>35</v>
      </c>
      <c r="AC144" s="2" t="s">
        <v>35</v>
      </c>
      <c r="AD144" s="2" t="s">
        <v>35</v>
      </c>
      <c r="AE144" s="2" t="s">
        <v>492</v>
      </c>
      <c r="AF144" s="11">
        <v>44736.387499942131</v>
      </c>
      <c r="AG144" s="53"/>
      <c r="AH144" s="53" t="b">
        <f t="shared" si="7"/>
        <v>0</v>
      </c>
      <c r="AI144" s="54" t="str" cm="1">
        <f t="array" ref="AI144">TRANSPOSE(_xlfn._xlws.FILTER(images!L:L,images!F:F=Barrierenmessung!A144, ""))</f>
        <v>https://captureandgo.cloudlab.zhaw.ch/uploads/image_98029e43fa.jpg</v>
      </c>
      <c r="AJ144" s="2"/>
      <c r="AK144" s="2"/>
      <c r="AL144" s="2"/>
      <c r="AM144" s="2"/>
      <c r="AN144" s="2"/>
    </row>
    <row r="145" spans="1:40" ht="16" x14ac:dyDescent="0.2">
      <c r="A145" s="2" t="s">
        <v>505</v>
      </c>
      <c r="B145" s="46">
        <v>144</v>
      </c>
      <c r="C145" s="2" t="b">
        <v>0</v>
      </c>
      <c r="D145" s="2" t="b">
        <v>0</v>
      </c>
      <c r="E145" s="2" t="b">
        <v>0</v>
      </c>
      <c r="F145" s="2" t="b">
        <v>0</v>
      </c>
      <c r="G145" s="2" t="s">
        <v>31</v>
      </c>
      <c r="H145" s="2" t="s">
        <v>506</v>
      </c>
      <c r="I145" s="2" t="s">
        <v>507</v>
      </c>
      <c r="J145" s="2" t="s">
        <v>352</v>
      </c>
      <c r="K145" s="2" t="s">
        <v>35</v>
      </c>
      <c r="L145" s="2" t="s">
        <v>35</v>
      </c>
      <c r="M145" s="2" t="s">
        <v>35</v>
      </c>
      <c r="N145" s="2" t="s">
        <v>35</v>
      </c>
      <c r="O145" s="11">
        <v>44736.391797986114</v>
      </c>
      <c r="P145" s="11">
        <v>44736.391995219907</v>
      </c>
      <c r="Q145" s="27">
        <f t="shared" si="6"/>
        <v>1.9723379227798432E-4</v>
      </c>
      <c r="R145" s="65">
        <f t="shared" si="8"/>
        <v>2.4429398035863414E-4</v>
      </c>
      <c r="S145" s="2">
        <v>0</v>
      </c>
      <c r="T145" s="2" t="s">
        <v>124</v>
      </c>
      <c r="U145" s="2" t="s">
        <v>125</v>
      </c>
      <c r="V145" s="2" t="s">
        <v>38</v>
      </c>
      <c r="W145" s="2" t="s">
        <v>35</v>
      </c>
      <c r="X145" s="2" t="s">
        <v>35</v>
      </c>
      <c r="Y145" s="2" t="s">
        <v>35</v>
      </c>
      <c r="Z145" s="2" t="b">
        <v>0</v>
      </c>
      <c r="AA145" s="2" t="s">
        <v>35</v>
      </c>
      <c r="AB145" s="2">
        <v>4</v>
      </c>
      <c r="AC145" s="2" t="s">
        <v>35</v>
      </c>
      <c r="AD145" s="2" t="s">
        <v>35</v>
      </c>
      <c r="AE145" s="2" t="s">
        <v>492</v>
      </c>
      <c r="AF145" s="11">
        <v>44736.387499942131</v>
      </c>
      <c r="AG145" s="53"/>
      <c r="AH145" s="53" t="b">
        <f t="shared" si="7"/>
        <v>0</v>
      </c>
      <c r="AI145" s="54" t="str" cm="1">
        <f t="array" ref="AI145">TRANSPOSE(_xlfn._xlws.FILTER(images!L:L,images!F:F=Barrierenmessung!A145, ""))</f>
        <v>https://captureandgo.cloudlab.zhaw.ch/uploads/image_dc3daeb79a.jpg</v>
      </c>
      <c r="AJ145" s="2"/>
      <c r="AK145" s="2"/>
      <c r="AL145" s="2"/>
      <c r="AM145" s="2"/>
      <c r="AN145" s="2"/>
    </row>
    <row r="146" spans="1:40" ht="16" x14ac:dyDescent="0.2">
      <c r="A146" s="2" t="s">
        <v>508</v>
      </c>
      <c r="B146" s="46">
        <v>145</v>
      </c>
      <c r="C146" s="2" t="b">
        <v>0</v>
      </c>
      <c r="D146" s="2" t="b">
        <v>0</v>
      </c>
      <c r="E146" s="2" t="b">
        <v>0</v>
      </c>
      <c r="F146" s="2" t="b">
        <v>0</v>
      </c>
      <c r="G146" s="2" t="s">
        <v>31</v>
      </c>
      <c r="H146" s="2" t="s">
        <v>509</v>
      </c>
      <c r="I146" s="2" t="s">
        <v>510</v>
      </c>
      <c r="J146" s="2" t="s">
        <v>35</v>
      </c>
      <c r="K146" s="2" t="s">
        <v>35</v>
      </c>
      <c r="L146" s="2">
        <v>10</v>
      </c>
      <c r="M146" s="2" t="s">
        <v>35</v>
      </c>
      <c r="N146" s="2" t="s">
        <v>35</v>
      </c>
      <c r="O146" s="11">
        <v>44736.392065532411</v>
      </c>
      <c r="P146" s="11">
        <v>44736.392364803243</v>
      </c>
      <c r="Q146" s="27">
        <f t="shared" si="6"/>
        <v>2.9927083232905716E-4</v>
      </c>
      <c r="R146" s="65">
        <f t="shared" si="8"/>
        <v>3.695833365782164E-4</v>
      </c>
      <c r="S146" s="2">
        <v>0</v>
      </c>
      <c r="T146" s="2" t="s">
        <v>265</v>
      </c>
      <c r="U146" s="2" t="s">
        <v>266</v>
      </c>
      <c r="V146" s="2" t="s">
        <v>38</v>
      </c>
      <c r="W146" s="2" t="s">
        <v>35</v>
      </c>
      <c r="X146" s="2" t="s">
        <v>35</v>
      </c>
      <c r="Y146" s="2" t="s">
        <v>35</v>
      </c>
      <c r="Z146" s="2" t="b">
        <v>0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2" t="s">
        <v>492</v>
      </c>
      <c r="AF146" s="11">
        <v>44736.387499942131</v>
      </c>
      <c r="AG146" s="53"/>
      <c r="AH146" s="53" t="b">
        <f t="shared" si="7"/>
        <v>0</v>
      </c>
      <c r="AI146" s="54" t="str" cm="1">
        <f t="array" ref="AI146">TRANSPOSE(_xlfn._xlws.FILTER(images!L:L,images!F:F=Barrierenmessung!A146, ""))</f>
        <v>https://captureandgo.cloudlab.zhaw.ch/uploads/image_f43d2d39b9.jpg</v>
      </c>
      <c r="AJ146" s="2"/>
      <c r="AK146" s="2"/>
      <c r="AL146" s="2"/>
      <c r="AM146" s="2"/>
      <c r="AN146" s="2"/>
    </row>
    <row r="147" spans="1:40" ht="16" x14ac:dyDescent="0.2">
      <c r="A147" s="2" t="s">
        <v>511</v>
      </c>
      <c r="B147" s="46">
        <v>146</v>
      </c>
      <c r="C147" s="2" t="b">
        <v>0</v>
      </c>
      <c r="D147" s="2" t="b">
        <v>0</v>
      </c>
      <c r="E147" s="2" t="b">
        <v>0</v>
      </c>
      <c r="F147" s="2" t="b">
        <v>0</v>
      </c>
      <c r="G147" s="2" t="s">
        <v>31</v>
      </c>
      <c r="H147" s="2" t="s">
        <v>512</v>
      </c>
      <c r="I147" s="2" t="s">
        <v>513</v>
      </c>
      <c r="J147" s="2" t="s">
        <v>352</v>
      </c>
      <c r="K147" s="2" t="s">
        <v>35</v>
      </c>
      <c r="L147" s="2" t="s">
        <v>35</v>
      </c>
      <c r="M147" s="2" t="s">
        <v>35</v>
      </c>
      <c r="N147" s="2" t="s">
        <v>35</v>
      </c>
      <c r="O147" s="11">
        <v>44736.392599039355</v>
      </c>
      <c r="P147" s="11">
        <v>44736.393427708332</v>
      </c>
      <c r="Q147" s="27">
        <f t="shared" si="6"/>
        <v>8.2866897719213739E-4</v>
      </c>
      <c r="R147" s="65">
        <f t="shared" si="8"/>
        <v>1.0629050884745084E-3</v>
      </c>
      <c r="S147" s="2">
        <v>0</v>
      </c>
      <c r="T147" s="2" t="s">
        <v>124</v>
      </c>
      <c r="U147" s="2" t="s">
        <v>125</v>
      </c>
      <c r="V147" s="2" t="s">
        <v>38</v>
      </c>
      <c r="W147" s="2" t="s">
        <v>35</v>
      </c>
      <c r="X147" s="2" t="s">
        <v>35</v>
      </c>
      <c r="Y147" s="2" t="s">
        <v>35</v>
      </c>
      <c r="Z147" s="2" t="b">
        <v>0</v>
      </c>
      <c r="AA147" s="2" t="s">
        <v>35</v>
      </c>
      <c r="AB147" s="2">
        <v>4</v>
      </c>
      <c r="AC147" s="2" t="s">
        <v>35</v>
      </c>
      <c r="AD147" s="2" t="s">
        <v>35</v>
      </c>
      <c r="AE147" s="2" t="s">
        <v>492</v>
      </c>
      <c r="AF147" s="11">
        <v>44736.387499942131</v>
      </c>
      <c r="AG147" s="53"/>
      <c r="AH147" s="53" t="b">
        <f t="shared" si="7"/>
        <v>0</v>
      </c>
      <c r="AI147" s="54" t="str" cm="1">
        <f t="array" ref="AI147">TRANSPOSE(_xlfn._xlws.FILTER(images!L:L,images!F:F=Barrierenmessung!A147, ""))</f>
        <v>https://captureandgo.cloudlab.zhaw.ch/uploads/image_4a03c4709b.jpg</v>
      </c>
      <c r="AJ147" s="2"/>
      <c r="AK147" s="2"/>
      <c r="AL147" s="2"/>
      <c r="AM147" s="2"/>
      <c r="AN147" s="2"/>
    </row>
    <row r="148" spans="1:40" ht="16" x14ac:dyDescent="0.2">
      <c r="A148" s="2" t="s">
        <v>514</v>
      </c>
      <c r="B148" s="46">
        <v>147</v>
      </c>
      <c r="C148" s="2" t="b">
        <v>0</v>
      </c>
      <c r="D148" s="2" t="b">
        <v>0</v>
      </c>
      <c r="E148" s="2" t="b">
        <v>0</v>
      </c>
      <c r="F148" s="2" t="b">
        <v>0</v>
      </c>
      <c r="G148" s="2" t="s">
        <v>31</v>
      </c>
      <c r="H148" s="2" t="s">
        <v>515</v>
      </c>
      <c r="I148" s="2" t="s">
        <v>516</v>
      </c>
      <c r="J148" s="2" t="s">
        <v>352</v>
      </c>
      <c r="K148" s="2" t="s">
        <v>35</v>
      </c>
      <c r="L148" s="2" t="s">
        <v>35</v>
      </c>
      <c r="M148" s="2" t="s">
        <v>35</v>
      </c>
      <c r="N148" s="2" t="s">
        <v>35</v>
      </c>
      <c r="O148" s="11">
        <v>44736.393515648146</v>
      </c>
      <c r="P148" s="11">
        <v>44736.393723449073</v>
      </c>
      <c r="Q148" s="27">
        <f t="shared" si="6"/>
        <v>2.0780092745553702E-4</v>
      </c>
      <c r="R148" s="65">
        <f t="shared" si="8"/>
        <v>2.9574074142146856E-4</v>
      </c>
      <c r="S148" s="2">
        <v>0</v>
      </c>
      <c r="T148" s="2" t="s">
        <v>124</v>
      </c>
      <c r="U148" s="2" t="s">
        <v>125</v>
      </c>
      <c r="V148" s="2" t="s">
        <v>38</v>
      </c>
      <c r="W148" s="2" t="s">
        <v>35</v>
      </c>
      <c r="X148" s="2" t="s">
        <v>35</v>
      </c>
      <c r="Y148" s="2" t="s">
        <v>35</v>
      </c>
      <c r="Z148" s="2" t="b">
        <v>0</v>
      </c>
      <c r="AA148" s="2" t="s">
        <v>35</v>
      </c>
      <c r="AB148" s="2">
        <v>4</v>
      </c>
      <c r="AC148" s="2" t="s">
        <v>35</v>
      </c>
      <c r="AD148" s="2" t="s">
        <v>35</v>
      </c>
      <c r="AE148" s="2" t="s">
        <v>492</v>
      </c>
      <c r="AF148" s="11">
        <v>44736.387499942131</v>
      </c>
      <c r="AG148" s="53"/>
      <c r="AH148" s="53" t="b">
        <f t="shared" si="7"/>
        <v>0</v>
      </c>
      <c r="AI148" s="54" t="str" cm="1">
        <f t="array" ref="AI148">TRANSPOSE(_xlfn._xlws.FILTER(images!L:L,images!F:F=Barrierenmessung!A148, ""))</f>
        <v>https://captureandgo.cloudlab.zhaw.ch/uploads/image_9ecd06830b.jpg</v>
      </c>
      <c r="AJ148" s="2"/>
      <c r="AK148" s="2"/>
      <c r="AL148" s="2"/>
      <c r="AM148" s="2"/>
      <c r="AN148" s="2"/>
    </row>
    <row r="149" spans="1:40" ht="16" x14ac:dyDescent="0.2">
      <c r="A149" s="2" t="s">
        <v>517</v>
      </c>
      <c r="B149" s="46">
        <v>148</v>
      </c>
      <c r="C149" s="2" t="b">
        <v>0</v>
      </c>
      <c r="D149" s="2" t="b">
        <v>0</v>
      </c>
      <c r="E149" s="2" t="b">
        <v>0</v>
      </c>
      <c r="F149" s="2" t="b">
        <v>0</v>
      </c>
      <c r="G149" s="2" t="s">
        <v>31</v>
      </c>
      <c r="H149" s="2" t="s">
        <v>518</v>
      </c>
      <c r="I149" s="2" t="s">
        <v>519</v>
      </c>
      <c r="J149" s="2" t="s">
        <v>352</v>
      </c>
      <c r="K149" s="2" t="s">
        <v>35</v>
      </c>
      <c r="L149" s="2" t="s">
        <v>35</v>
      </c>
      <c r="M149" s="2" t="s">
        <v>35</v>
      </c>
      <c r="N149" s="2" t="s">
        <v>35</v>
      </c>
      <c r="O149" s="11">
        <v>44736.393920995368</v>
      </c>
      <c r="P149" s="11">
        <v>44736.394257569445</v>
      </c>
      <c r="Q149" s="27">
        <f t="shared" si="6"/>
        <v>3.3657407766440883E-4</v>
      </c>
      <c r="R149" s="65">
        <f t="shared" si="8"/>
        <v>5.3412037232192233E-4</v>
      </c>
      <c r="S149" s="2">
        <v>0</v>
      </c>
      <c r="T149" s="2" t="s">
        <v>124</v>
      </c>
      <c r="U149" s="2" t="s">
        <v>125</v>
      </c>
      <c r="V149" s="2" t="s">
        <v>38</v>
      </c>
      <c r="W149" s="2" t="s">
        <v>35</v>
      </c>
      <c r="X149" s="2" t="s">
        <v>35</v>
      </c>
      <c r="Y149" s="2" t="s">
        <v>35</v>
      </c>
      <c r="Z149" s="2" t="b">
        <v>0</v>
      </c>
      <c r="AA149" s="2" t="s">
        <v>35</v>
      </c>
      <c r="AB149" s="2">
        <v>4</v>
      </c>
      <c r="AC149" s="2" t="s">
        <v>35</v>
      </c>
      <c r="AD149" s="2" t="s">
        <v>35</v>
      </c>
      <c r="AE149" s="2" t="s">
        <v>492</v>
      </c>
      <c r="AF149" s="11">
        <v>44736.387499942131</v>
      </c>
      <c r="AG149" s="53"/>
      <c r="AH149" s="53" t="b">
        <f t="shared" si="7"/>
        <v>0</v>
      </c>
      <c r="AI149" s="54" t="str" cm="1">
        <f t="array" ref="AI149">TRANSPOSE(_xlfn._xlws.FILTER(images!L:L,images!F:F=Barrierenmessung!A149, ""))</f>
        <v>https://captureandgo.cloudlab.zhaw.ch/uploads/image_364fb167ea.jpg</v>
      </c>
      <c r="AJ149" s="2"/>
      <c r="AK149" s="2"/>
      <c r="AL149" s="2"/>
      <c r="AM149" s="2"/>
      <c r="AN149" s="2"/>
    </row>
    <row r="150" spans="1:40" ht="16" x14ac:dyDescent="0.2">
      <c r="A150" s="2" t="s">
        <v>520</v>
      </c>
      <c r="B150" s="46">
        <v>149</v>
      </c>
      <c r="C150" s="2" t="b">
        <v>0</v>
      </c>
      <c r="D150" s="2" t="b">
        <v>0</v>
      </c>
      <c r="E150" s="2" t="b">
        <v>0</v>
      </c>
      <c r="F150" s="2" t="b">
        <v>0</v>
      </c>
      <c r="G150" s="2" t="s">
        <v>31</v>
      </c>
      <c r="H150" s="2" t="s">
        <v>521</v>
      </c>
      <c r="I150" s="2" t="s">
        <v>522</v>
      </c>
      <c r="J150" s="2" t="s">
        <v>352</v>
      </c>
      <c r="K150" s="2" t="s">
        <v>35</v>
      </c>
      <c r="L150" s="2" t="s">
        <v>35</v>
      </c>
      <c r="M150" s="2" t="s">
        <v>35</v>
      </c>
      <c r="N150" s="2" t="s">
        <v>35</v>
      </c>
      <c r="O150" s="11">
        <v>44736.394485694444</v>
      </c>
      <c r="P150" s="11">
        <v>44736.394796932873</v>
      </c>
      <c r="Q150" s="27">
        <f t="shared" si="6"/>
        <v>3.1123842927627265E-4</v>
      </c>
      <c r="R150" s="65">
        <f t="shared" si="8"/>
        <v>5.3936342737870291E-4</v>
      </c>
      <c r="S150" s="2">
        <v>0</v>
      </c>
      <c r="T150" s="2" t="s">
        <v>124</v>
      </c>
      <c r="U150" s="2" t="s">
        <v>125</v>
      </c>
      <c r="V150" s="2" t="s">
        <v>38</v>
      </c>
      <c r="W150" s="2" t="s">
        <v>35</v>
      </c>
      <c r="X150" s="2" t="s">
        <v>35</v>
      </c>
      <c r="Y150" s="2" t="s">
        <v>35</v>
      </c>
      <c r="Z150" s="2" t="b">
        <v>0</v>
      </c>
      <c r="AA150" s="2" t="s">
        <v>35</v>
      </c>
      <c r="AB150" s="2">
        <v>4</v>
      </c>
      <c r="AC150" s="2" t="s">
        <v>35</v>
      </c>
      <c r="AD150" s="2" t="s">
        <v>35</v>
      </c>
      <c r="AE150" s="2" t="s">
        <v>492</v>
      </c>
      <c r="AF150" s="11">
        <v>44736.387499942131</v>
      </c>
      <c r="AG150" s="53"/>
      <c r="AH150" s="53" t="b">
        <f t="shared" si="7"/>
        <v>0</v>
      </c>
      <c r="AI150" s="54" t="str" cm="1">
        <f t="array" ref="AI150">TRANSPOSE(_xlfn._xlws.FILTER(images!L:L,images!F:F=Barrierenmessung!A150, ""))</f>
        <v>https://captureandgo.cloudlab.zhaw.ch/uploads/image_6d691e7485.jpg</v>
      </c>
      <c r="AJ150" s="2"/>
      <c r="AK150" s="2"/>
      <c r="AL150" s="2"/>
      <c r="AM150" s="2"/>
      <c r="AN150" s="2"/>
    </row>
    <row r="151" spans="1:40" ht="16" x14ac:dyDescent="0.2">
      <c r="A151" s="2" t="s">
        <v>523</v>
      </c>
      <c r="B151" s="46">
        <v>150</v>
      </c>
      <c r="C151" s="2" t="b">
        <v>0</v>
      </c>
      <c r="D151" s="2" t="b">
        <v>0</v>
      </c>
      <c r="E151" s="2" t="b">
        <v>0</v>
      </c>
      <c r="F151" s="2" t="b">
        <v>0</v>
      </c>
      <c r="G151" s="2" t="s">
        <v>31</v>
      </c>
      <c r="H151" s="2" t="s">
        <v>524</v>
      </c>
      <c r="I151" s="2" t="s">
        <v>525</v>
      </c>
      <c r="J151" s="2" t="s">
        <v>526</v>
      </c>
      <c r="K151" s="2" t="s">
        <v>35</v>
      </c>
      <c r="L151" s="2" t="s">
        <v>35</v>
      </c>
      <c r="M151" s="2" t="s">
        <v>35</v>
      </c>
      <c r="N151" s="2" t="s">
        <v>35</v>
      </c>
      <c r="O151" s="11">
        <v>44736.395688009259</v>
      </c>
      <c r="P151" s="11">
        <v>44736.396009884258</v>
      </c>
      <c r="Q151" s="27">
        <f t="shared" si="6"/>
        <v>3.2187499891733751E-4</v>
      </c>
      <c r="R151" s="65">
        <f t="shared" si="8"/>
        <v>1.2129513852414675E-3</v>
      </c>
      <c r="S151" s="2">
        <v>0</v>
      </c>
      <c r="T151" s="2" t="s">
        <v>109</v>
      </c>
      <c r="U151" s="2" t="s">
        <v>110</v>
      </c>
      <c r="V151" s="2" t="s">
        <v>38</v>
      </c>
      <c r="W151" s="2" t="s">
        <v>35</v>
      </c>
      <c r="X151" s="2">
        <v>115</v>
      </c>
      <c r="Y151" s="2" t="s">
        <v>35</v>
      </c>
      <c r="Z151" s="2" t="b">
        <v>0</v>
      </c>
      <c r="AA151" s="2" t="s">
        <v>35</v>
      </c>
      <c r="AB151" s="2" t="s">
        <v>35</v>
      </c>
      <c r="AC151" s="2" t="s">
        <v>35</v>
      </c>
      <c r="AD151" s="2" t="s">
        <v>35</v>
      </c>
      <c r="AE151" s="2" t="s">
        <v>492</v>
      </c>
      <c r="AF151" s="11">
        <v>44736.387499942131</v>
      </c>
      <c r="AG151" s="53"/>
      <c r="AH151" s="53" t="b">
        <f t="shared" si="7"/>
        <v>0</v>
      </c>
      <c r="AI151" s="54" t="str" cm="1">
        <f t="array" ref="AI151">TRANSPOSE(_xlfn._xlws.FILTER(images!L:L,images!F:F=Barrierenmessung!A151, ""))</f>
        <v>https://captureandgo.cloudlab.zhaw.ch/uploads/image_afcaa3f3ab.jpg</v>
      </c>
      <c r="AJ151" s="2"/>
      <c r="AK151" s="2"/>
      <c r="AL151" s="2"/>
      <c r="AM151" s="2"/>
      <c r="AN151" s="2"/>
    </row>
    <row r="152" spans="1:40" ht="16" x14ac:dyDescent="0.2">
      <c r="A152" s="2" t="s">
        <v>527</v>
      </c>
      <c r="B152" s="46">
        <v>151</v>
      </c>
      <c r="C152" s="2" t="b">
        <v>0</v>
      </c>
      <c r="D152" s="2" t="b">
        <v>0</v>
      </c>
      <c r="E152" s="2" t="b">
        <v>0</v>
      </c>
      <c r="F152" s="2" t="b">
        <v>0</v>
      </c>
      <c r="G152" s="2" t="s">
        <v>31</v>
      </c>
      <c r="H152" s="2" t="s">
        <v>528</v>
      </c>
      <c r="I152" s="2" t="s">
        <v>529</v>
      </c>
      <c r="J152" s="2" t="s">
        <v>530</v>
      </c>
      <c r="K152" s="2" t="s">
        <v>35</v>
      </c>
      <c r="L152" s="2" t="s">
        <v>35</v>
      </c>
      <c r="M152" s="2" t="s">
        <v>35</v>
      </c>
      <c r="N152" s="2" t="s">
        <v>35</v>
      </c>
      <c r="O152" s="11">
        <v>44736.396367581016</v>
      </c>
      <c r="P152" s="11">
        <v>44736.396848090277</v>
      </c>
      <c r="Q152" s="27">
        <f t="shared" si="6"/>
        <v>4.8050926125142723E-4</v>
      </c>
      <c r="R152" s="65">
        <f t="shared" si="8"/>
        <v>8.3820601867046207E-4</v>
      </c>
      <c r="S152" s="2">
        <v>0</v>
      </c>
      <c r="T152" s="2" t="s">
        <v>109</v>
      </c>
      <c r="U152" s="2" t="s">
        <v>110</v>
      </c>
      <c r="V152" s="2" t="s">
        <v>38</v>
      </c>
      <c r="W152" s="2" t="s">
        <v>35</v>
      </c>
      <c r="X152" s="2">
        <v>85</v>
      </c>
      <c r="Y152" s="2" t="s">
        <v>35</v>
      </c>
      <c r="Z152" s="2" t="b">
        <v>0</v>
      </c>
      <c r="AA152" s="2" t="s">
        <v>35</v>
      </c>
      <c r="AB152" s="2" t="s">
        <v>35</v>
      </c>
      <c r="AC152" s="2" t="s">
        <v>35</v>
      </c>
      <c r="AD152" s="2" t="s">
        <v>35</v>
      </c>
      <c r="AE152" s="2" t="s">
        <v>492</v>
      </c>
      <c r="AF152" s="11">
        <v>44736.387499942131</v>
      </c>
      <c r="AG152" s="53"/>
      <c r="AH152" s="53" t="b">
        <f t="shared" si="7"/>
        <v>0</v>
      </c>
      <c r="AI152" s="54" t="str" cm="1">
        <f t="array" ref="AI152">TRANSPOSE(_xlfn._xlws.FILTER(images!L:L,images!F:F=Barrierenmessung!A152, ""))</f>
        <v>https://captureandgo.cloudlab.zhaw.ch/uploads/image_ba35088fc9.jpg</v>
      </c>
      <c r="AJ152" s="2"/>
      <c r="AK152" s="2"/>
      <c r="AL152" s="2"/>
      <c r="AM152" s="2"/>
      <c r="AN152" s="2"/>
    </row>
    <row r="153" spans="1:40" ht="16" x14ac:dyDescent="0.2">
      <c r="A153" s="2" t="s">
        <v>531</v>
      </c>
      <c r="B153" s="46">
        <v>152</v>
      </c>
      <c r="C153" s="2" t="b">
        <v>0</v>
      </c>
      <c r="D153" s="2" t="b">
        <v>0</v>
      </c>
      <c r="E153" s="2" t="b">
        <v>0</v>
      </c>
      <c r="F153" s="2" t="b">
        <v>1</v>
      </c>
      <c r="G153" s="2" t="s">
        <v>31</v>
      </c>
      <c r="H153" s="2" t="s">
        <v>532</v>
      </c>
      <c r="I153" s="2" t="s">
        <v>533</v>
      </c>
      <c r="J153" s="2" t="s">
        <v>281</v>
      </c>
      <c r="K153" s="2" t="s">
        <v>35</v>
      </c>
      <c r="L153" s="2">
        <v>11</v>
      </c>
      <c r="M153" s="2" t="s">
        <v>35</v>
      </c>
      <c r="N153" s="2" t="s">
        <v>35</v>
      </c>
      <c r="O153" s="11">
        <v>44736.39724395833</v>
      </c>
      <c r="P153" s="11">
        <v>44736.397790104165</v>
      </c>
      <c r="Q153" s="27">
        <f t="shared" si="6"/>
        <v>5.4614583496004343E-4</v>
      </c>
      <c r="R153" s="65">
        <f t="shared" si="8"/>
        <v>9.4201388856163248E-4</v>
      </c>
      <c r="S153" s="2">
        <v>0</v>
      </c>
      <c r="T153" s="2" t="s">
        <v>265</v>
      </c>
      <c r="U153" s="2" t="s">
        <v>266</v>
      </c>
      <c r="V153" s="2" t="s">
        <v>38</v>
      </c>
      <c r="W153" s="2" t="s">
        <v>35</v>
      </c>
      <c r="X153" s="2" t="s">
        <v>35</v>
      </c>
      <c r="Y153" s="2" t="s">
        <v>35</v>
      </c>
      <c r="Z153" s="2" t="b">
        <v>0</v>
      </c>
      <c r="AA153" s="2" t="s">
        <v>35</v>
      </c>
      <c r="AB153" s="2" t="s">
        <v>35</v>
      </c>
      <c r="AC153" s="2" t="s">
        <v>35</v>
      </c>
      <c r="AD153" s="2" t="s">
        <v>35</v>
      </c>
      <c r="AE153" s="2" t="s">
        <v>492</v>
      </c>
      <c r="AF153" s="11">
        <v>44736.387499942131</v>
      </c>
      <c r="AG153" s="53"/>
      <c r="AH153" s="53" t="b">
        <f t="shared" si="7"/>
        <v>0</v>
      </c>
      <c r="AI153" s="54" t="str" cm="1">
        <f t="array" ref="AI153">TRANSPOSE(_xlfn._xlws.FILTER(images!L:L,images!F:F=Barrierenmessung!A153, ""))</f>
        <v>https://captureandgo.cloudlab.zhaw.ch/uploads/image_36cf73874c.jpg</v>
      </c>
      <c r="AJ153" s="2"/>
      <c r="AK153" s="2"/>
      <c r="AL153" s="2"/>
      <c r="AM153" s="2"/>
      <c r="AN153" s="2"/>
    </row>
    <row r="154" spans="1:40" ht="16" x14ac:dyDescent="0.2">
      <c r="A154" s="2" t="s">
        <v>534</v>
      </c>
      <c r="B154" s="46">
        <v>153</v>
      </c>
      <c r="C154" s="2" t="b">
        <v>0</v>
      </c>
      <c r="D154" s="2" t="b">
        <v>0</v>
      </c>
      <c r="E154" s="2" t="b">
        <v>0</v>
      </c>
      <c r="F154" s="2" t="b">
        <v>0</v>
      </c>
      <c r="G154" s="2" t="s">
        <v>31</v>
      </c>
      <c r="H154" s="2" t="s">
        <v>535</v>
      </c>
      <c r="I154" s="2" t="s">
        <v>536</v>
      </c>
      <c r="J154" s="2" t="s">
        <v>352</v>
      </c>
      <c r="K154" s="2" t="s">
        <v>35</v>
      </c>
      <c r="L154" s="2" t="s">
        <v>35</v>
      </c>
      <c r="M154" s="2" t="s">
        <v>35</v>
      </c>
      <c r="N154" s="2" t="s">
        <v>35</v>
      </c>
      <c r="O154" s="11">
        <v>44736.397905231483</v>
      </c>
      <c r="P154" s="11">
        <v>44736.398356805556</v>
      </c>
      <c r="Q154" s="27">
        <f t="shared" si="6"/>
        <v>4.5157407294027507E-4</v>
      </c>
      <c r="R154" s="65">
        <f t="shared" si="8"/>
        <v>5.6670139019843191E-4</v>
      </c>
      <c r="S154" s="2">
        <v>0</v>
      </c>
      <c r="T154" s="2" t="s">
        <v>124</v>
      </c>
      <c r="U154" s="2" t="s">
        <v>125</v>
      </c>
      <c r="V154" s="2" t="s">
        <v>38</v>
      </c>
      <c r="W154" s="2" t="s">
        <v>35</v>
      </c>
      <c r="X154" s="2" t="s">
        <v>35</v>
      </c>
      <c r="Y154" s="2" t="s">
        <v>35</v>
      </c>
      <c r="Z154" s="2" t="b">
        <v>0</v>
      </c>
      <c r="AA154" s="2" t="s">
        <v>35</v>
      </c>
      <c r="AB154" s="2">
        <v>4</v>
      </c>
      <c r="AC154" s="2" t="s">
        <v>35</v>
      </c>
      <c r="AD154" s="2" t="s">
        <v>35</v>
      </c>
      <c r="AE154" s="2" t="s">
        <v>492</v>
      </c>
      <c r="AF154" s="11">
        <v>44736.387499942131</v>
      </c>
      <c r="AG154" s="53"/>
      <c r="AH154" s="53" t="b">
        <f t="shared" si="7"/>
        <v>0</v>
      </c>
      <c r="AI154" s="54" t="str" cm="1">
        <f t="array" ref="AI154">TRANSPOSE(_xlfn._xlws.FILTER(images!L:L,images!F:F=Barrierenmessung!A154, ""))</f>
        <v>https://captureandgo.cloudlab.zhaw.ch/uploads/image_633b3265e6.jpg</v>
      </c>
      <c r="AJ154" s="2"/>
      <c r="AK154" s="2"/>
      <c r="AL154" s="2"/>
      <c r="AM154" s="2"/>
      <c r="AN154" s="2"/>
    </row>
    <row r="155" spans="1:40" ht="16" x14ac:dyDescent="0.2">
      <c r="A155" s="2" t="s">
        <v>537</v>
      </c>
      <c r="B155" s="46">
        <v>154</v>
      </c>
      <c r="C155" s="2" t="b">
        <v>0</v>
      </c>
      <c r="D155" s="2" t="b">
        <v>0</v>
      </c>
      <c r="E155" s="2" t="b">
        <v>0</v>
      </c>
      <c r="F155" s="2" t="b">
        <v>1</v>
      </c>
      <c r="G155" s="2" t="s">
        <v>31</v>
      </c>
      <c r="H155" s="2" t="s">
        <v>538</v>
      </c>
      <c r="I155" s="2" t="s">
        <v>539</v>
      </c>
      <c r="J155" s="2" t="s">
        <v>540</v>
      </c>
      <c r="K155" s="2" t="s">
        <v>35</v>
      </c>
      <c r="L155" s="2">
        <v>11</v>
      </c>
      <c r="M155" s="2" t="s">
        <v>35</v>
      </c>
      <c r="N155" s="2" t="s">
        <v>35</v>
      </c>
      <c r="O155" s="11">
        <v>44736.398390150462</v>
      </c>
      <c r="P155" s="11">
        <v>44736.398998379627</v>
      </c>
      <c r="Q155" s="27">
        <f t="shared" si="6"/>
        <v>6.0822916566394269E-4</v>
      </c>
      <c r="R155" s="65">
        <f t="shared" si="8"/>
        <v>6.4157407177845016E-4</v>
      </c>
      <c r="S155" s="2">
        <v>0</v>
      </c>
      <c r="T155" s="2" t="s">
        <v>265</v>
      </c>
      <c r="U155" s="2" t="s">
        <v>266</v>
      </c>
      <c r="V155" s="2" t="s">
        <v>38</v>
      </c>
      <c r="W155" s="2" t="s">
        <v>35</v>
      </c>
      <c r="X155" s="2" t="s">
        <v>35</v>
      </c>
      <c r="Y155" s="2" t="s">
        <v>35</v>
      </c>
      <c r="Z155" s="2" t="b">
        <v>0</v>
      </c>
      <c r="AA155" s="2" t="s">
        <v>35</v>
      </c>
      <c r="AB155" s="2" t="s">
        <v>35</v>
      </c>
      <c r="AC155" s="2" t="s">
        <v>35</v>
      </c>
      <c r="AD155" s="2" t="s">
        <v>35</v>
      </c>
      <c r="AE155" s="2" t="s">
        <v>492</v>
      </c>
      <c r="AF155" s="11">
        <v>44736.387499942131</v>
      </c>
      <c r="AG155" s="53"/>
      <c r="AH155" s="53" t="b">
        <f t="shared" si="7"/>
        <v>0</v>
      </c>
      <c r="AI155" s="54" t="str" cm="1">
        <f t="array" ref="AI155">TRANSPOSE(_xlfn._xlws.FILTER(images!L:L,images!F:F=Barrierenmessung!A155, ""))</f>
        <v>https://captureandgo.cloudlab.zhaw.ch/uploads/image_522998313d.jpg</v>
      </c>
      <c r="AJ155" s="2"/>
      <c r="AK155" s="2"/>
      <c r="AL155" s="2"/>
      <c r="AM155" s="2"/>
      <c r="AN155" s="2"/>
    </row>
    <row r="156" spans="1:40" ht="16" x14ac:dyDescent="0.2">
      <c r="A156" s="2" t="s">
        <v>541</v>
      </c>
      <c r="B156" s="46">
        <v>155</v>
      </c>
      <c r="C156" s="2" t="b">
        <v>0</v>
      </c>
      <c r="D156" s="2" t="b">
        <v>0</v>
      </c>
      <c r="E156" s="2" t="b">
        <v>0</v>
      </c>
      <c r="F156" s="2" t="b">
        <v>0</v>
      </c>
      <c r="G156" s="2" t="s">
        <v>31</v>
      </c>
      <c r="H156" s="2" t="s">
        <v>542</v>
      </c>
      <c r="I156" s="2" t="s">
        <v>543</v>
      </c>
      <c r="J156" s="2" t="s">
        <v>352</v>
      </c>
      <c r="K156" s="2" t="s">
        <v>35</v>
      </c>
      <c r="L156" s="2" t="s">
        <v>35</v>
      </c>
      <c r="M156" s="2" t="s">
        <v>35</v>
      </c>
      <c r="N156" s="2" t="s">
        <v>35</v>
      </c>
      <c r="O156" s="11">
        <v>44736.399983437499</v>
      </c>
      <c r="P156" s="11">
        <v>44736.400191423614</v>
      </c>
      <c r="Q156" s="27">
        <f t="shared" si="6"/>
        <v>2.0798611512873322E-4</v>
      </c>
      <c r="R156" s="65">
        <f t="shared" si="8"/>
        <v>1.1930439868592657E-3</v>
      </c>
      <c r="S156" s="2">
        <v>0</v>
      </c>
      <c r="T156" s="2" t="s">
        <v>124</v>
      </c>
      <c r="U156" s="2" t="s">
        <v>125</v>
      </c>
      <c r="V156" s="2" t="s">
        <v>38</v>
      </c>
      <c r="W156" s="2" t="s">
        <v>35</v>
      </c>
      <c r="X156" s="2" t="s">
        <v>35</v>
      </c>
      <c r="Y156" s="2" t="s">
        <v>35</v>
      </c>
      <c r="Z156" s="2" t="b">
        <v>0</v>
      </c>
      <c r="AA156" s="2" t="s">
        <v>35</v>
      </c>
      <c r="AB156" s="2">
        <v>4</v>
      </c>
      <c r="AC156" s="2" t="s">
        <v>35</v>
      </c>
      <c r="AD156" s="2" t="s">
        <v>35</v>
      </c>
      <c r="AE156" s="2" t="s">
        <v>492</v>
      </c>
      <c r="AF156" s="11">
        <v>44736.387499942131</v>
      </c>
      <c r="AG156" s="53"/>
      <c r="AH156" s="53" t="b">
        <f t="shared" si="7"/>
        <v>0</v>
      </c>
      <c r="AI156" s="54" t="str" cm="1">
        <f t="array" ref="AI156">TRANSPOSE(_xlfn._xlws.FILTER(images!L:L,images!F:F=Barrierenmessung!A156, ""))</f>
        <v>https://captureandgo.cloudlab.zhaw.ch/uploads/image_41aa1349c5.jpg</v>
      </c>
      <c r="AJ156" s="2"/>
      <c r="AK156" s="2"/>
      <c r="AL156" s="2"/>
      <c r="AM156" s="2"/>
      <c r="AN156" s="2"/>
    </row>
    <row r="157" spans="1:40" ht="16" x14ac:dyDescent="0.2">
      <c r="A157" s="2" t="s">
        <v>544</v>
      </c>
      <c r="B157" s="46">
        <v>156</v>
      </c>
      <c r="C157" s="2" t="b">
        <v>0</v>
      </c>
      <c r="D157" s="2" t="b">
        <v>0</v>
      </c>
      <c r="E157" s="2" t="b">
        <v>0</v>
      </c>
      <c r="F157" s="2" t="b">
        <v>0</v>
      </c>
      <c r="G157" s="2" t="s">
        <v>31</v>
      </c>
      <c r="H157" s="2" t="s">
        <v>545</v>
      </c>
      <c r="I157" s="2" t="s">
        <v>546</v>
      </c>
      <c r="J157" s="2" t="s">
        <v>35</v>
      </c>
      <c r="K157" s="2" t="s">
        <v>35</v>
      </c>
      <c r="L157" s="2">
        <v>11</v>
      </c>
      <c r="M157" s="2" t="s">
        <v>35</v>
      </c>
      <c r="N157" s="2" t="s">
        <v>35</v>
      </c>
      <c r="O157" s="11">
        <v>44736.40037369213</v>
      </c>
      <c r="P157" s="11">
        <v>44736.400668298615</v>
      </c>
      <c r="Q157" s="27">
        <f t="shared" si="6"/>
        <v>2.9460648511303589E-4</v>
      </c>
      <c r="R157" s="65">
        <f t="shared" si="8"/>
        <v>4.7687500045867637E-4</v>
      </c>
      <c r="S157" s="2">
        <v>0</v>
      </c>
      <c r="T157" s="2" t="s">
        <v>265</v>
      </c>
      <c r="U157" s="2" t="s">
        <v>266</v>
      </c>
      <c r="V157" s="2" t="s">
        <v>38</v>
      </c>
      <c r="W157" s="2" t="s">
        <v>35</v>
      </c>
      <c r="X157" s="2" t="s">
        <v>35</v>
      </c>
      <c r="Y157" s="2" t="s">
        <v>35</v>
      </c>
      <c r="Z157" s="2" t="b">
        <v>0</v>
      </c>
      <c r="AA157" s="2" t="s">
        <v>35</v>
      </c>
      <c r="AB157" s="2" t="s">
        <v>35</v>
      </c>
      <c r="AC157" s="2" t="s">
        <v>35</v>
      </c>
      <c r="AD157" s="2" t="s">
        <v>35</v>
      </c>
      <c r="AE157" s="2" t="s">
        <v>492</v>
      </c>
      <c r="AF157" s="11">
        <v>44736.387499942131</v>
      </c>
      <c r="AG157" s="53"/>
      <c r="AH157" s="53" t="b">
        <f t="shared" si="7"/>
        <v>0</v>
      </c>
      <c r="AI157" s="54" t="str" cm="1">
        <f t="array" ref="AI157">TRANSPOSE(_xlfn._xlws.FILTER(images!L:L,images!F:F=Barrierenmessung!A157, ""))</f>
        <v>https://captureandgo.cloudlab.zhaw.ch/uploads/image_0597e19243.jpg</v>
      </c>
      <c r="AJ157" s="2"/>
      <c r="AK157" s="2"/>
      <c r="AL157" s="2"/>
      <c r="AM157" s="2"/>
      <c r="AN157" s="2"/>
    </row>
    <row r="158" spans="1:40" ht="16" x14ac:dyDescent="0.2">
      <c r="A158" s="2" t="s">
        <v>547</v>
      </c>
      <c r="B158" s="46">
        <v>157</v>
      </c>
      <c r="C158" s="2" t="b">
        <v>0</v>
      </c>
      <c r="D158" s="2" t="b">
        <v>0</v>
      </c>
      <c r="E158" s="2" t="b">
        <v>0</v>
      </c>
      <c r="F158" s="2" t="b">
        <v>0</v>
      </c>
      <c r="G158" s="2" t="s">
        <v>31</v>
      </c>
      <c r="H158" s="2" t="s">
        <v>548</v>
      </c>
      <c r="I158" s="2" t="s">
        <v>549</v>
      </c>
      <c r="J158" s="2" t="s">
        <v>35</v>
      </c>
      <c r="K158" s="2" t="s">
        <v>35</v>
      </c>
      <c r="L158" s="2" t="s">
        <v>35</v>
      </c>
      <c r="M158" s="2" t="s">
        <v>35</v>
      </c>
      <c r="N158" s="2" t="s">
        <v>35</v>
      </c>
      <c r="O158" s="11">
        <v>44736.402341493056</v>
      </c>
      <c r="P158" s="11">
        <v>44736.402649062496</v>
      </c>
      <c r="Q158" s="27">
        <f t="shared" si="6"/>
        <v>3.0756944033782929E-4</v>
      </c>
      <c r="R158" s="65">
        <f t="shared" si="8"/>
        <v>1.9807638818747364E-3</v>
      </c>
      <c r="S158" s="2">
        <v>0</v>
      </c>
      <c r="T158" s="2" t="s">
        <v>36</v>
      </c>
      <c r="U158" s="2" t="s">
        <v>37</v>
      </c>
      <c r="V158" s="2" t="s">
        <v>38</v>
      </c>
      <c r="W158" s="2" t="s">
        <v>35</v>
      </c>
      <c r="X158" s="2" t="s">
        <v>35</v>
      </c>
      <c r="Y158" s="2" t="s">
        <v>35</v>
      </c>
      <c r="Z158" s="2" t="b">
        <v>0</v>
      </c>
      <c r="AA158" s="2" t="s">
        <v>35</v>
      </c>
      <c r="AB158" s="2" t="s">
        <v>35</v>
      </c>
      <c r="AC158" s="2" t="s">
        <v>35</v>
      </c>
      <c r="AD158" s="2">
        <v>3</v>
      </c>
      <c r="AE158" s="2" t="s">
        <v>492</v>
      </c>
      <c r="AF158" s="11">
        <v>44736.387499942131</v>
      </c>
      <c r="AG158" s="53"/>
      <c r="AH158" s="53" t="b">
        <f t="shared" si="7"/>
        <v>0</v>
      </c>
      <c r="AI158" s="54" t="str" cm="1">
        <f t="array" ref="AI158">TRANSPOSE(_xlfn._xlws.FILTER(images!L:L,images!F:F=Barrierenmessung!A158, ""))</f>
        <v>https://captureandgo.cloudlab.zhaw.ch/uploads/image_4aa55ae6f7.jpg</v>
      </c>
      <c r="AJ158" s="2"/>
      <c r="AK158" s="2"/>
      <c r="AL158" s="2"/>
      <c r="AM158" s="2"/>
      <c r="AN158" s="2"/>
    </row>
    <row r="159" spans="1:40" ht="16" x14ac:dyDescent="0.2">
      <c r="A159" s="68" t="s">
        <v>550</v>
      </c>
      <c r="B159" s="68">
        <v>158</v>
      </c>
      <c r="C159" s="68" t="b">
        <v>0</v>
      </c>
      <c r="D159" s="68" t="b">
        <v>0</v>
      </c>
      <c r="E159" s="68" t="b">
        <v>0</v>
      </c>
      <c r="F159" s="68" t="b">
        <v>0</v>
      </c>
      <c r="G159" s="68" t="s">
        <v>31</v>
      </c>
      <c r="H159" s="68" t="s">
        <v>149</v>
      </c>
      <c r="I159" s="68" t="s">
        <v>551</v>
      </c>
      <c r="J159" s="68" t="s">
        <v>35</v>
      </c>
      <c r="K159" s="68" t="s">
        <v>35</v>
      </c>
      <c r="L159" s="68" t="s">
        <v>35</v>
      </c>
      <c r="M159" s="68" t="s">
        <v>35</v>
      </c>
      <c r="N159" s="68" t="s">
        <v>35</v>
      </c>
      <c r="O159" s="69">
        <v>44736.404562476855</v>
      </c>
      <c r="P159" s="69">
        <v>44736.404653715275</v>
      </c>
      <c r="Q159" s="70">
        <f t="shared" si="6"/>
        <v>9.123842028202489E-5</v>
      </c>
      <c r="R159" s="70">
        <f t="shared" si="8"/>
        <v>2.0046527788508683E-3</v>
      </c>
      <c r="S159" s="68">
        <v>0</v>
      </c>
      <c r="T159" s="68" t="s">
        <v>36</v>
      </c>
      <c r="U159" s="68" t="s">
        <v>37</v>
      </c>
      <c r="V159" s="68" t="s">
        <v>38</v>
      </c>
      <c r="W159" s="68" t="s">
        <v>35</v>
      </c>
      <c r="X159" s="68" t="s">
        <v>35</v>
      </c>
      <c r="Y159" s="68" t="s">
        <v>35</v>
      </c>
      <c r="Z159" s="68" t="b">
        <v>0</v>
      </c>
      <c r="AA159" s="68" t="s">
        <v>35</v>
      </c>
      <c r="AB159" s="68" t="s">
        <v>35</v>
      </c>
      <c r="AC159" s="68" t="s">
        <v>35</v>
      </c>
      <c r="AD159" s="68">
        <v>2</v>
      </c>
      <c r="AE159" s="68" t="s">
        <v>492</v>
      </c>
      <c r="AF159" s="69">
        <v>44736.387499942131</v>
      </c>
      <c r="AG159" s="71"/>
      <c r="AH159" s="71" t="b">
        <f t="shared" si="7"/>
        <v>0</v>
      </c>
      <c r="AI159" s="56" t="s">
        <v>9471</v>
      </c>
      <c r="AJ159" s="68"/>
      <c r="AK159" s="68"/>
      <c r="AL159" s="68"/>
      <c r="AM159" s="68"/>
      <c r="AN159" s="68"/>
    </row>
    <row r="160" spans="1:40" ht="16" x14ac:dyDescent="0.2">
      <c r="A160" s="2" t="s">
        <v>552</v>
      </c>
      <c r="B160" s="46">
        <v>159</v>
      </c>
      <c r="C160" s="2" t="b">
        <v>0</v>
      </c>
      <c r="D160" s="2" t="b">
        <v>0</v>
      </c>
      <c r="E160" s="2" t="b">
        <v>0</v>
      </c>
      <c r="F160" s="2" t="b">
        <v>0</v>
      </c>
      <c r="G160" s="2" t="s">
        <v>31</v>
      </c>
      <c r="H160" s="2" t="s">
        <v>553</v>
      </c>
      <c r="I160" s="2" t="s">
        <v>554</v>
      </c>
      <c r="J160" s="2" t="s">
        <v>352</v>
      </c>
      <c r="K160" s="2" t="s">
        <v>35</v>
      </c>
      <c r="L160" s="2" t="s">
        <v>35</v>
      </c>
      <c r="M160" s="2" t="s">
        <v>35</v>
      </c>
      <c r="N160" s="2" t="s">
        <v>35</v>
      </c>
      <c r="O160" s="11">
        <v>44736.404800150463</v>
      </c>
      <c r="P160" s="11">
        <v>44736.404953784724</v>
      </c>
      <c r="Q160" s="27">
        <f t="shared" si="6"/>
        <v>1.5363426064141095E-4</v>
      </c>
      <c r="R160" s="65">
        <f t="shared" si="8"/>
        <v>3.0006944871274754E-4</v>
      </c>
      <c r="S160" s="2">
        <v>0</v>
      </c>
      <c r="T160" s="2" t="s">
        <v>124</v>
      </c>
      <c r="U160" s="2" t="s">
        <v>125</v>
      </c>
      <c r="V160" s="2" t="s">
        <v>38</v>
      </c>
      <c r="W160" s="2" t="s">
        <v>35</v>
      </c>
      <c r="X160" s="2" t="s">
        <v>35</v>
      </c>
      <c r="Y160" s="2" t="s">
        <v>35</v>
      </c>
      <c r="Z160" s="2" t="b">
        <v>0</v>
      </c>
      <c r="AA160" s="2" t="s">
        <v>35</v>
      </c>
      <c r="AB160" s="2">
        <v>4</v>
      </c>
      <c r="AC160" s="2" t="s">
        <v>35</v>
      </c>
      <c r="AD160" s="2" t="s">
        <v>35</v>
      </c>
      <c r="AE160" s="2" t="s">
        <v>492</v>
      </c>
      <c r="AF160" s="11">
        <v>44736.387499942131</v>
      </c>
      <c r="AG160" s="53"/>
      <c r="AH160" s="53" t="b">
        <f t="shared" si="7"/>
        <v>0</v>
      </c>
      <c r="AI160" s="54" t="str" cm="1">
        <f t="array" ref="AI160">TRANSPOSE(_xlfn._xlws.FILTER(images!L:L,images!F:F=Barrierenmessung!A160, ""))</f>
        <v>https://captureandgo.cloudlab.zhaw.ch/uploads/image_5797a69dd7.jpg</v>
      </c>
      <c r="AJ160" s="2"/>
      <c r="AK160" s="2"/>
      <c r="AL160" s="2"/>
      <c r="AM160" s="2"/>
      <c r="AN160" s="2"/>
    </row>
    <row r="161" spans="1:40" ht="16" x14ac:dyDescent="0.2">
      <c r="A161" s="68" t="s">
        <v>555</v>
      </c>
      <c r="B161" s="68">
        <v>160</v>
      </c>
      <c r="C161" s="68" t="b">
        <v>0</v>
      </c>
      <c r="D161" s="68" t="b">
        <v>0</v>
      </c>
      <c r="E161" s="68" t="b">
        <v>0</v>
      </c>
      <c r="F161" s="68" t="b">
        <v>0</v>
      </c>
      <c r="G161" s="68" t="s">
        <v>31</v>
      </c>
      <c r="H161" s="68" t="s">
        <v>149</v>
      </c>
      <c r="I161" s="68" t="s">
        <v>556</v>
      </c>
      <c r="J161" s="68" t="s">
        <v>557</v>
      </c>
      <c r="K161" s="68" t="s">
        <v>35</v>
      </c>
      <c r="L161" s="68" t="s">
        <v>35</v>
      </c>
      <c r="M161" s="68" t="s">
        <v>35</v>
      </c>
      <c r="N161" s="68" t="s">
        <v>35</v>
      </c>
      <c r="O161" s="69">
        <v>44736.407819178239</v>
      </c>
      <c r="P161" s="69">
        <v>44736.408299247683</v>
      </c>
      <c r="Q161" s="70">
        <f t="shared" si="6"/>
        <v>4.8006944416556507E-4</v>
      </c>
      <c r="R161" s="70">
        <f t="shared" si="8"/>
        <v>3.3454629592597485E-3</v>
      </c>
      <c r="S161" s="68">
        <v>0</v>
      </c>
      <c r="T161" s="68" t="s">
        <v>109</v>
      </c>
      <c r="U161" s="68" t="s">
        <v>110</v>
      </c>
      <c r="V161" s="68" t="s">
        <v>38</v>
      </c>
      <c r="W161" s="68" t="s">
        <v>35</v>
      </c>
      <c r="X161" s="68">
        <v>89</v>
      </c>
      <c r="Y161" s="68" t="s">
        <v>35</v>
      </c>
      <c r="Z161" s="68" t="b">
        <v>0</v>
      </c>
      <c r="AA161" s="68" t="s">
        <v>35</v>
      </c>
      <c r="AB161" s="68" t="s">
        <v>35</v>
      </c>
      <c r="AC161" s="68" t="s">
        <v>35</v>
      </c>
      <c r="AD161" s="68" t="s">
        <v>35</v>
      </c>
      <c r="AE161" s="68" t="s">
        <v>492</v>
      </c>
      <c r="AF161" s="69">
        <v>44736.387499942131</v>
      </c>
      <c r="AG161" s="71"/>
      <c r="AH161" s="71" t="b">
        <f t="shared" si="7"/>
        <v>0</v>
      </c>
      <c r="AI161" s="56" t="s">
        <v>9472</v>
      </c>
      <c r="AJ161" s="68"/>
      <c r="AK161" s="68"/>
      <c r="AL161" s="68"/>
      <c r="AM161" s="68"/>
      <c r="AN161" s="68"/>
    </row>
    <row r="162" spans="1:40" ht="48" x14ac:dyDescent="0.2">
      <c r="A162" s="21" t="s">
        <v>558</v>
      </c>
      <c r="B162" s="21">
        <v>161</v>
      </c>
      <c r="C162" s="21" t="b">
        <v>0</v>
      </c>
      <c r="D162" s="21" t="b">
        <v>0</v>
      </c>
      <c r="E162" s="21" t="b">
        <v>0</v>
      </c>
      <c r="F162" s="21" t="b">
        <v>0</v>
      </c>
      <c r="G162" s="21" t="s">
        <v>31</v>
      </c>
      <c r="H162" s="68" t="s">
        <v>149</v>
      </c>
      <c r="I162" s="21" t="s">
        <v>559</v>
      </c>
      <c r="J162" s="21" t="s">
        <v>35</v>
      </c>
      <c r="K162" s="21" t="s">
        <v>35</v>
      </c>
      <c r="L162" s="21" t="s">
        <v>35</v>
      </c>
      <c r="M162" s="21" t="s">
        <v>35</v>
      </c>
      <c r="N162" s="21" t="s">
        <v>35</v>
      </c>
      <c r="O162" s="22">
        <v>44736.407819583335</v>
      </c>
      <c r="P162" s="22">
        <v>44736.407851365744</v>
      </c>
      <c r="Q162" s="23">
        <f t="shared" si="6"/>
        <v>3.1782408768776804E-5</v>
      </c>
      <c r="R162" s="23">
        <f t="shared" si="8"/>
        <v>-4.4788193918066099E-4</v>
      </c>
      <c r="S162" s="21">
        <v>0</v>
      </c>
      <c r="T162" s="21" t="s">
        <v>36</v>
      </c>
      <c r="U162" s="21" t="s">
        <v>37</v>
      </c>
      <c r="V162" s="21" t="s">
        <v>38</v>
      </c>
      <c r="W162" s="21" t="s">
        <v>35</v>
      </c>
      <c r="X162" s="21" t="s">
        <v>35</v>
      </c>
      <c r="Y162" s="21" t="s">
        <v>35</v>
      </c>
      <c r="Z162" s="21" t="b">
        <v>0</v>
      </c>
      <c r="AA162" s="21" t="s">
        <v>35</v>
      </c>
      <c r="AB162" s="21" t="s">
        <v>35</v>
      </c>
      <c r="AC162" s="21" t="s">
        <v>35</v>
      </c>
      <c r="AD162" s="21">
        <v>4</v>
      </c>
      <c r="AE162" s="21" t="s">
        <v>492</v>
      </c>
      <c r="AF162" s="22">
        <v>44736.387499942131</v>
      </c>
      <c r="AG162" s="57" t="s">
        <v>9405</v>
      </c>
      <c r="AH162" s="57" t="b">
        <f t="shared" si="7"/>
        <v>0</v>
      </c>
      <c r="AI162" s="56" t="s">
        <v>9474</v>
      </c>
      <c r="AJ162" s="21"/>
      <c r="AK162" s="21"/>
      <c r="AL162" s="21"/>
      <c r="AM162" s="21"/>
      <c r="AN162" s="21"/>
    </row>
    <row r="163" spans="1:40" ht="16" x14ac:dyDescent="0.2">
      <c r="A163" s="2" t="s">
        <v>560</v>
      </c>
      <c r="B163" s="46">
        <v>162</v>
      </c>
      <c r="C163" s="2" t="b">
        <v>0</v>
      </c>
      <c r="D163" s="2" t="b">
        <v>0</v>
      </c>
      <c r="E163" s="2" t="b">
        <v>0</v>
      </c>
      <c r="F163" s="2" t="b">
        <v>0</v>
      </c>
      <c r="G163" s="2" t="s">
        <v>31</v>
      </c>
      <c r="H163" s="2" t="s">
        <v>561</v>
      </c>
      <c r="I163" s="2" t="s">
        <v>562</v>
      </c>
      <c r="J163" s="2" t="s">
        <v>563</v>
      </c>
      <c r="K163" s="2" t="s">
        <v>35</v>
      </c>
      <c r="L163" s="2" t="s">
        <v>35</v>
      </c>
      <c r="M163" s="2" t="s">
        <v>35</v>
      </c>
      <c r="N163" s="2" t="s">
        <v>35</v>
      </c>
      <c r="O163" s="11">
        <v>44736.408426041664</v>
      </c>
      <c r="P163" s="11">
        <v>44736.410016724534</v>
      </c>
      <c r="Q163" s="27">
        <f t="shared" si="6"/>
        <v>1.5906828703009523E-3</v>
      </c>
      <c r="R163" s="65">
        <f t="shared" si="8"/>
        <v>2.165358790080063E-3</v>
      </c>
      <c r="S163" s="2">
        <v>0</v>
      </c>
      <c r="T163" s="2" t="s">
        <v>416</v>
      </c>
      <c r="U163" s="2" t="s">
        <v>417</v>
      </c>
      <c r="V163" s="2" t="s">
        <v>38</v>
      </c>
      <c r="W163" s="2" t="s">
        <v>35</v>
      </c>
      <c r="X163" s="2">
        <v>89</v>
      </c>
      <c r="Y163" s="2" t="s">
        <v>564</v>
      </c>
      <c r="Z163" s="2" t="b">
        <v>0</v>
      </c>
      <c r="AA163" s="2" t="s">
        <v>35</v>
      </c>
      <c r="AB163" s="2" t="s">
        <v>35</v>
      </c>
      <c r="AC163" s="2" t="s">
        <v>35</v>
      </c>
      <c r="AD163" s="2" t="s">
        <v>35</v>
      </c>
      <c r="AE163" s="2" t="s">
        <v>492</v>
      </c>
      <c r="AF163" s="11">
        <v>44736.387499942131</v>
      </c>
      <c r="AG163" s="53"/>
      <c r="AH163" s="53" t="b">
        <f t="shared" si="7"/>
        <v>0</v>
      </c>
      <c r="AI163" s="54" t="str" cm="1">
        <f t="array" ref="AI163:AK163">TRANSPOSE(_xlfn._xlws.FILTER(images!L:L,images!F:F=Barrierenmessung!A163, ""))</f>
        <v>https://captureandgo.cloudlab.zhaw.ch/uploads/image_4dfde82fd3.jpg</v>
      </c>
      <c r="AJ163" s="2" t="str">
        <v>https://captureandgo.cloudlab.zhaw.ch/uploads/image_a2de2d37e7.jpg</v>
      </c>
      <c r="AK163" s="2" t="str">
        <v>https://captureandgo.cloudlab.zhaw.ch/uploads/image_703fb51126.jpg</v>
      </c>
      <c r="AL163" s="2"/>
      <c r="AM163" s="2"/>
      <c r="AN163" s="2"/>
    </row>
    <row r="164" spans="1:40" ht="16" x14ac:dyDescent="0.2">
      <c r="A164" s="2" t="s">
        <v>565</v>
      </c>
      <c r="B164" s="46">
        <v>163</v>
      </c>
      <c r="C164" s="2" t="b">
        <v>0</v>
      </c>
      <c r="D164" s="2" t="b">
        <v>0</v>
      </c>
      <c r="E164" s="2" t="b">
        <v>0</v>
      </c>
      <c r="F164" s="2" t="b">
        <v>0</v>
      </c>
      <c r="G164" s="2" t="s">
        <v>31</v>
      </c>
      <c r="H164" s="2" t="s">
        <v>566</v>
      </c>
      <c r="I164" s="2" t="s">
        <v>567</v>
      </c>
      <c r="J164" s="2" t="s">
        <v>35</v>
      </c>
      <c r="K164" s="2" t="s">
        <v>35</v>
      </c>
      <c r="L164" s="2" t="s">
        <v>35</v>
      </c>
      <c r="M164" s="2">
        <v>17</v>
      </c>
      <c r="N164" s="2">
        <v>17</v>
      </c>
      <c r="O164" s="11">
        <v>44736.410451574076</v>
      </c>
      <c r="P164" s="11">
        <v>44736.410649768521</v>
      </c>
      <c r="Q164" s="27">
        <f t="shared" si="6"/>
        <v>1.9819444423774257E-4</v>
      </c>
      <c r="R164" s="65">
        <f t="shared" si="8"/>
        <v>6.3304398645414039E-4</v>
      </c>
      <c r="S164" s="2">
        <v>0</v>
      </c>
      <c r="T164" s="2" t="s">
        <v>54</v>
      </c>
      <c r="U164" s="2" t="s">
        <v>55</v>
      </c>
      <c r="V164" s="2" t="s">
        <v>38</v>
      </c>
      <c r="W164" s="2" t="s">
        <v>35</v>
      </c>
      <c r="X164" s="2" t="s">
        <v>35</v>
      </c>
      <c r="Y164" s="2" t="s">
        <v>35</v>
      </c>
      <c r="Z164" s="2" t="b">
        <v>0</v>
      </c>
      <c r="AA164" s="2" t="s">
        <v>35</v>
      </c>
      <c r="AB164" s="2" t="s">
        <v>35</v>
      </c>
      <c r="AC164" s="2" t="s">
        <v>35</v>
      </c>
      <c r="AD164" s="2" t="s">
        <v>35</v>
      </c>
      <c r="AE164" s="2" t="s">
        <v>492</v>
      </c>
      <c r="AF164" s="11">
        <v>44736.387499942131</v>
      </c>
      <c r="AG164" s="53"/>
      <c r="AH164" s="53" t="b">
        <f t="shared" si="7"/>
        <v>0</v>
      </c>
      <c r="AI164" s="54" t="str" cm="1">
        <f t="array" ref="AI164">TRANSPOSE(_xlfn._xlws.FILTER(images!L:L,images!F:F=Barrierenmessung!A164, ""))</f>
        <v>https://captureandgo.cloudlab.zhaw.ch/uploads/image_cdeaec269b.jpg</v>
      </c>
      <c r="AJ164" s="2"/>
      <c r="AK164" s="2"/>
      <c r="AL164" s="2"/>
      <c r="AM164" s="2"/>
      <c r="AN164" s="2"/>
    </row>
    <row r="165" spans="1:40" ht="16" x14ac:dyDescent="0.2">
      <c r="A165" s="2" t="s">
        <v>568</v>
      </c>
      <c r="B165" s="46">
        <v>164</v>
      </c>
      <c r="C165" s="2" t="b">
        <v>0</v>
      </c>
      <c r="D165" s="2" t="b">
        <v>0</v>
      </c>
      <c r="E165" s="2" t="b">
        <v>0</v>
      </c>
      <c r="F165" s="2" t="b">
        <v>0</v>
      </c>
      <c r="G165" s="2" t="s">
        <v>31</v>
      </c>
      <c r="H165" s="2" t="s">
        <v>569</v>
      </c>
      <c r="I165" s="2" t="s">
        <v>570</v>
      </c>
      <c r="J165" s="2" t="s">
        <v>35</v>
      </c>
      <c r="K165" s="2" t="s">
        <v>35</v>
      </c>
      <c r="L165" s="2" t="s">
        <v>35</v>
      </c>
      <c r="M165" s="2" t="s">
        <v>35</v>
      </c>
      <c r="N165" s="2" t="s">
        <v>35</v>
      </c>
      <c r="O165" s="11">
        <v>44736.411900891202</v>
      </c>
      <c r="P165" s="11">
        <v>44736.412093206018</v>
      </c>
      <c r="Q165" s="27">
        <f t="shared" si="6"/>
        <v>1.9231481564929709E-4</v>
      </c>
      <c r="R165" s="65">
        <f t="shared" si="8"/>
        <v>1.4434374970733188E-3</v>
      </c>
      <c r="S165" s="2">
        <v>0</v>
      </c>
      <c r="T165" s="2" t="s">
        <v>36</v>
      </c>
      <c r="U165" s="2" t="s">
        <v>37</v>
      </c>
      <c r="V165" s="2" t="s">
        <v>38</v>
      </c>
      <c r="W165" s="2" t="s">
        <v>35</v>
      </c>
      <c r="X165" s="2" t="s">
        <v>35</v>
      </c>
      <c r="Y165" s="2" t="s">
        <v>35</v>
      </c>
      <c r="Z165" s="2" t="b">
        <v>0</v>
      </c>
      <c r="AA165" s="2" t="s">
        <v>35</v>
      </c>
      <c r="AB165" s="2" t="s">
        <v>35</v>
      </c>
      <c r="AC165" s="2" t="s">
        <v>35</v>
      </c>
      <c r="AD165" s="2">
        <v>3</v>
      </c>
      <c r="AE165" s="2" t="s">
        <v>492</v>
      </c>
      <c r="AF165" s="11">
        <v>44736.387499942131</v>
      </c>
      <c r="AG165" s="53"/>
      <c r="AH165" s="53" t="b">
        <f t="shared" si="7"/>
        <v>0</v>
      </c>
      <c r="AI165" s="54" t="str" cm="1">
        <f t="array" ref="AI165">TRANSPOSE(_xlfn._xlws.FILTER(images!L:L,images!F:F=Barrierenmessung!A165, ""))</f>
        <v>https://captureandgo.cloudlab.zhaw.ch/uploads/image_ee9dd3afb9.jpg</v>
      </c>
      <c r="AJ165" s="2"/>
      <c r="AK165" s="2"/>
      <c r="AL165" s="2"/>
      <c r="AM165" s="2"/>
      <c r="AN165" s="2"/>
    </row>
    <row r="166" spans="1:40" ht="16" x14ac:dyDescent="0.2">
      <c r="A166" s="2" t="s">
        <v>571</v>
      </c>
      <c r="B166" s="46">
        <v>165</v>
      </c>
      <c r="C166" s="2" t="b">
        <v>0</v>
      </c>
      <c r="D166" s="2" t="b">
        <v>0</v>
      </c>
      <c r="E166" s="2" t="b">
        <v>0</v>
      </c>
      <c r="F166" s="2" t="b">
        <v>0</v>
      </c>
      <c r="G166" s="2" t="s">
        <v>31</v>
      </c>
      <c r="H166" s="2" t="s">
        <v>572</v>
      </c>
      <c r="I166" s="2" t="s">
        <v>573</v>
      </c>
      <c r="J166" s="2" t="s">
        <v>563</v>
      </c>
      <c r="K166" s="2" t="s">
        <v>35</v>
      </c>
      <c r="L166" s="2" t="s">
        <v>35</v>
      </c>
      <c r="M166" s="2" t="s">
        <v>35</v>
      </c>
      <c r="N166" s="2" t="s">
        <v>35</v>
      </c>
      <c r="O166" s="11">
        <v>44736.412365243057</v>
      </c>
      <c r="P166" s="11">
        <v>44736.41283854167</v>
      </c>
      <c r="Q166" s="27">
        <f t="shared" si="6"/>
        <v>4.7329861263278872E-4</v>
      </c>
      <c r="R166" s="65">
        <f t="shared" si="8"/>
        <v>7.4533565202727914E-4</v>
      </c>
      <c r="S166" s="2">
        <v>0</v>
      </c>
      <c r="T166" s="2" t="s">
        <v>416</v>
      </c>
      <c r="U166" s="2" t="s">
        <v>417</v>
      </c>
      <c r="V166" s="2" t="s">
        <v>38</v>
      </c>
      <c r="W166" s="2" t="s">
        <v>35</v>
      </c>
      <c r="X166" s="2">
        <v>96</v>
      </c>
      <c r="Y166" s="2" t="s">
        <v>564</v>
      </c>
      <c r="Z166" s="2" t="b">
        <v>0</v>
      </c>
      <c r="AA166" s="2" t="s">
        <v>35</v>
      </c>
      <c r="AB166" s="2" t="s">
        <v>35</v>
      </c>
      <c r="AC166" s="2" t="s">
        <v>35</v>
      </c>
      <c r="AD166" s="2" t="s">
        <v>35</v>
      </c>
      <c r="AE166" s="2" t="s">
        <v>492</v>
      </c>
      <c r="AF166" s="11">
        <v>44736.387499942131</v>
      </c>
      <c r="AG166" s="53"/>
      <c r="AH166" s="53" t="b">
        <f t="shared" si="7"/>
        <v>0</v>
      </c>
      <c r="AI166" s="54" t="str" cm="1">
        <f t="array" ref="AI166">TRANSPOSE(_xlfn._xlws.FILTER(images!L:L,images!F:F=Barrierenmessung!A166, ""))</f>
        <v>https://captureandgo.cloudlab.zhaw.ch/uploads/image_c1ef8c731f.jpg</v>
      </c>
      <c r="AJ166" s="2"/>
      <c r="AK166" s="2"/>
      <c r="AL166" s="2"/>
      <c r="AM166" s="2"/>
      <c r="AN166" s="2"/>
    </row>
    <row r="167" spans="1:40" ht="16" x14ac:dyDescent="0.2">
      <c r="A167" s="2" t="s">
        <v>574</v>
      </c>
      <c r="B167" s="46">
        <v>166</v>
      </c>
      <c r="C167" s="2" t="b">
        <v>0</v>
      </c>
      <c r="D167" s="2" t="b">
        <v>0</v>
      </c>
      <c r="E167" s="2" t="b">
        <v>0</v>
      </c>
      <c r="F167" s="2" t="b">
        <v>0</v>
      </c>
      <c r="G167" s="2" t="s">
        <v>31</v>
      </c>
      <c r="H167" s="2" t="s">
        <v>575</v>
      </c>
      <c r="I167" s="2" t="s">
        <v>576</v>
      </c>
      <c r="J167" s="2" t="s">
        <v>35</v>
      </c>
      <c r="K167" s="2" t="s">
        <v>35</v>
      </c>
      <c r="L167" s="2" t="s">
        <v>35</v>
      </c>
      <c r="M167" s="2" t="s">
        <v>35</v>
      </c>
      <c r="N167" s="2" t="s">
        <v>35</v>
      </c>
      <c r="O167" s="11">
        <v>44736.413240925925</v>
      </c>
      <c r="P167" s="11">
        <v>44736.41368863426</v>
      </c>
      <c r="Q167" s="27">
        <f t="shared" si="6"/>
        <v>4.4770833483198658E-4</v>
      </c>
      <c r="R167" s="65">
        <f t="shared" si="8"/>
        <v>8.5009259055368602E-4</v>
      </c>
      <c r="S167" s="2">
        <v>0</v>
      </c>
      <c r="T167" s="2" t="s">
        <v>36</v>
      </c>
      <c r="U167" s="2" t="s">
        <v>37</v>
      </c>
      <c r="V167" s="2" t="s">
        <v>38</v>
      </c>
      <c r="W167" s="2" t="s">
        <v>35</v>
      </c>
      <c r="X167" s="2" t="s">
        <v>35</v>
      </c>
      <c r="Y167" s="2" t="s">
        <v>35</v>
      </c>
      <c r="Z167" s="2" t="b">
        <v>0</v>
      </c>
      <c r="AA167" s="2" t="s">
        <v>35</v>
      </c>
      <c r="AB167" s="2" t="s">
        <v>35</v>
      </c>
      <c r="AC167" s="2">
        <v>8</v>
      </c>
      <c r="AD167" s="2" t="s">
        <v>35</v>
      </c>
      <c r="AE167" s="2" t="s">
        <v>492</v>
      </c>
      <c r="AF167" s="11">
        <v>44736.387499942131</v>
      </c>
      <c r="AG167" s="53"/>
      <c r="AH167" s="53" t="b">
        <f t="shared" si="7"/>
        <v>0</v>
      </c>
      <c r="AI167" s="54" t="str" cm="1">
        <f t="array" ref="AI167">TRANSPOSE(_xlfn._xlws.FILTER(images!L:L,images!F:F=Barrierenmessung!A167, ""))</f>
        <v>https://captureandgo.cloudlab.zhaw.ch/uploads/image_ce410f2002.jpg</v>
      </c>
      <c r="AJ167" s="2"/>
      <c r="AK167" s="2"/>
      <c r="AL167" s="2"/>
      <c r="AM167" s="2"/>
      <c r="AN167" s="2"/>
    </row>
    <row r="168" spans="1:40" ht="16" x14ac:dyDescent="0.2">
      <c r="A168" s="2" t="s">
        <v>577</v>
      </c>
      <c r="B168" s="46">
        <v>167</v>
      </c>
      <c r="C168" s="2" t="b">
        <v>0</v>
      </c>
      <c r="D168" s="2" t="b">
        <v>0</v>
      </c>
      <c r="E168" s="2" t="b">
        <v>0</v>
      </c>
      <c r="F168" s="2" t="b">
        <v>0</v>
      </c>
      <c r="G168" s="2" t="s">
        <v>31</v>
      </c>
      <c r="H168" s="2" t="s">
        <v>578</v>
      </c>
      <c r="I168" s="2" t="s">
        <v>579</v>
      </c>
      <c r="J168" s="2" t="s">
        <v>35</v>
      </c>
      <c r="K168" s="2" t="s">
        <v>35</v>
      </c>
      <c r="L168" s="2" t="s">
        <v>35</v>
      </c>
      <c r="M168" s="2" t="s">
        <v>35</v>
      </c>
      <c r="N168" s="2" t="s">
        <v>35</v>
      </c>
      <c r="O168" s="11">
        <v>44736.413720115743</v>
      </c>
      <c r="P168" s="11">
        <v>44736.413920069448</v>
      </c>
      <c r="Q168" s="27">
        <f t="shared" si="6"/>
        <v>1.999537053052336E-4</v>
      </c>
      <c r="R168" s="65">
        <f t="shared" si="8"/>
        <v>2.3143518774304539E-4</v>
      </c>
      <c r="S168" s="2">
        <v>0</v>
      </c>
      <c r="T168" s="2" t="s">
        <v>36</v>
      </c>
      <c r="U168" s="2" t="s">
        <v>37</v>
      </c>
      <c r="V168" s="2" t="s">
        <v>38</v>
      </c>
      <c r="W168" s="2" t="s">
        <v>35</v>
      </c>
      <c r="X168" s="2" t="s">
        <v>35</v>
      </c>
      <c r="Y168" s="2" t="s">
        <v>35</v>
      </c>
      <c r="Z168" s="2" t="b">
        <v>0</v>
      </c>
      <c r="AA168" s="2" t="s">
        <v>35</v>
      </c>
      <c r="AB168" s="2" t="s">
        <v>35</v>
      </c>
      <c r="AC168" s="2" t="s">
        <v>35</v>
      </c>
      <c r="AD168" s="2">
        <v>6</v>
      </c>
      <c r="AE168" s="2" t="s">
        <v>492</v>
      </c>
      <c r="AF168" s="11">
        <v>44736.387499942131</v>
      </c>
      <c r="AG168" s="53"/>
      <c r="AH168" s="53" t="b">
        <f t="shared" si="7"/>
        <v>0</v>
      </c>
      <c r="AI168" s="54" t="str" cm="1">
        <f t="array" ref="AI168">TRANSPOSE(_xlfn._xlws.FILTER(images!L:L,images!F:F=Barrierenmessung!A168, ""))</f>
        <v>https://captureandgo.cloudlab.zhaw.ch/uploads/image_ed1f7c7bff.jpg</v>
      </c>
      <c r="AJ168" s="2"/>
      <c r="AK168" s="2"/>
      <c r="AL168" s="2"/>
      <c r="AM168" s="2"/>
      <c r="AN168" s="2"/>
    </row>
    <row r="169" spans="1:40" ht="16" x14ac:dyDescent="0.2">
      <c r="A169" s="68" t="s">
        <v>580</v>
      </c>
      <c r="B169" s="68">
        <v>168</v>
      </c>
      <c r="C169" s="68" t="b">
        <v>0</v>
      </c>
      <c r="D169" s="68" t="b">
        <v>0</v>
      </c>
      <c r="E169" s="68" t="b">
        <v>0</v>
      </c>
      <c r="F169" s="68" t="b">
        <v>0</v>
      </c>
      <c r="G169" s="68" t="s">
        <v>31</v>
      </c>
      <c r="H169" s="68" t="s">
        <v>149</v>
      </c>
      <c r="I169" s="68" t="s">
        <v>581</v>
      </c>
      <c r="J169" s="68" t="s">
        <v>35</v>
      </c>
      <c r="K169" s="68" t="s">
        <v>35</v>
      </c>
      <c r="L169" s="68" t="s">
        <v>35</v>
      </c>
      <c r="M169" s="68" t="s">
        <v>35</v>
      </c>
      <c r="N169" s="68" t="s">
        <v>35</v>
      </c>
      <c r="O169" s="69">
        <v>44736.418747835647</v>
      </c>
      <c r="P169" s="69">
        <v>44736.418775555554</v>
      </c>
      <c r="Q169" s="70">
        <f t="shared" si="6"/>
        <v>2.7719906938727945E-5</v>
      </c>
      <c r="R169" s="70">
        <f t="shared" si="8"/>
        <v>4.8554861059528776E-3</v>
      </c>
      <c r="S169" s="68">
        <v>0</v>
      </c>
      <c r="T169" s="68" t="s">
        <v>36</v>
      </c>
      <c r="U169" s="68" t="s">
        <v>37</v>
      </c>
      <c r="V169" s="68" t="s">
        <v>38</v>
      </c>
      <c r="W169" s="68" t="s">
        <v>35</v>
      </c>
      <c r="X169" s="68" t="s">
        <v>35</v>
      </c>
      <c r="Y169" s="68" t="s">
        <v>35</v>
      </c>
      <c r="Z169" s="68" t="b">
        <v>0</v>
      </c>
      <c r="AA169" s="68" t="s">
        <v>35</v>
      </c>
      <c r="AB169" s="68" t="s">
        <v>35</v>
      </c>
      <c r="AC169" s="68" t="s">
        <v>35</v>
      </c>
      <c r="AD169" s="68">
        <v>4</v>
      </c>
      <c r="AE169" s="68" t="s">
        <v>492</v>
      </c>
      <c r="AF169" s="69">
        <v>44736.387499942131</v>
      </c>
      <c r="AG169" s="71"/>
      <c r="AH169" s="71" t="b">
        <f t="shared" si="7"/>
        <v>0</v>
      </c>
      <c r="AI169" s="56" t="s">
        <v>9476</v>
      </c>
      <c r="AJ169" s="68"/>
      <c r="AK169" s="68"/>
      <c r="AL169" s="68"/>
      <c r="AM169" s="68"/>
      <c r="AN169" s="68"/>
    </row>
    <row r="170" spans="1:40" ht="16" x14ac:dyDescent="0.2">
      <c r="A170" s="4" t="s">
        <v>582</v>
      </c>
      <c r="B170" s="4">
        <v>169</v>
      </c>
      <c r="C170" s="4" t="b">
        <v>0</v>
      </c>
      <c r="D170" s="4" t="b">
        <v>0</v>
      </c>
      <c r="E170" s="4" t="b">
        <v>0</v>
      </c>
      <c r="F170" s="4" t="b">
        <v>0</v>
      </c>
      <c r="G170" s="4" t="s">
        <v>121</v>
      </c>
      <c r="H170" s="68" t="s">
        <v>149</v>
      </c>
      <c r="I170" s="4" t="s">
        <v>583</v>
      </c>
      <c r="J170" s="4" t="s">
        <v>584</v>
      </c>
      <c r="K170" s="4" t="s">
        <v>35</v>
      </c>
      <c r="L170" s="4" t="s">
        <v>35</v>
      </c>
      <c r="M170" s="4" t="s">
        <v>35</v>
      </c>
      <c r="N170" s="4" t="s">
        <v>35</v>
      </c>
      <c r="O170" s="13">
        <v>44736.41876119213</v>
      </c>
      <c r="P170" s="13">
        <v>44736.418775682869</v>
      </c>
      <c r="Q170" s="15">
        <f t="shared" si="6"/>
        <v>1.4490738976746798E-5</v>
      </c>
      <c r="R170" s="15">
        <f t="shared" si="8"/>
        <v>1.2731470633298159E-7</v>
      </c>
      <c r="S170" s="4">
        <v>0</v>
      </c>
      <c r="T170" s="4" t="s">
        <v>36</v>
      </c>
      <c r="U170" s="4" t="s">
        <v>37</v>
      </c>
      <c r="V170" s="4" t="s">
        <v>38</v>
      </c>
      <c r="W170" s="4" t="s">
        <v>35</v>
      </c>
      <c r="X170" s="4" t="s">
        <v>35</v>
      </c>
      <c r="Y170" s="4" t="s">
        <v>35</v>
      </c>
      <c r="Z170" s="4" t="b">
        <v>0</v>
      </c>
      <c r="AA170" s="4" t="s">
        <v>35</v>
      </c>
      <c r="AB170" s="4" t="s">
        <v>35</v>
      </c>
      <c r="AC170" s="4">
        <v>9</v>
      </c>
      <c r="AD170" s="4">
        <v>4</v>
      </c>
      <c r="AE170" s="4" t="s">
        <v>492</v>
      </c>
      <c r="AF170" s="13">
        <v>44736.387499942131</v>
      </c>
      <c r="AG170" s="58"/>
      <c r="AH170" s="58" t="b">
        <f t="shared" si="7"/>
        <v>0</v>
      </c>
      <c r="AI170" s="56" t="s">
        <v>9475</v>
      </c>
      <c r="AJ170" s="4"/>
      <c r="AK170" s="4"/>
      <c r="AL170" s="4"/>
      <c r="AM170" s="4"/>
      <c r="AN170" s="4"/>
    </row>
    <row r="171" spans="1:40" ht="16" x14ac:dyDescent="0.2">
      <c r="A171" s="46" t="s">
        <v>585</v>
      </c>
      <c r="B171" s="46">
        <v>170</v>
      </c>
      <c r="C171" s="46" t="b">
        <v>0</v>
      </c>
      <c r="D171" s="46" t="b">
        <v>0</v>
      </c>
      <c r="E171" s="46" t="b">
        <v>0</v>
      </c>
      <c r="F171" s="46" t="b">
        <v>0</v>
      </c>
      <c r="G171" s="46" t="s">
        <v>31</v>
      </c>
      <c r="H171" s="46" t="s">
        <v>586</v>
      </c>
      <c r="I171" s="46" t="s">
        <v>587</v>
      </c>
      <c r="J171" s="46" t="s">
        <v>588</v>
      </c>
      <c r="K171" s="46" t="s">
        <v>35</v>
      </c>
      <c r="L171" s="46" t="s">
        <v>35</v>
      </c>
      <c r="M171" s="46" t="s">
        <v>35</v>
      </c>
      <c r="N171" s="46" t="s">
        <v>35</v>
      </c>
      <c r="O171" s="66">
        <v>44736.418761226851</v>
      </c>
      <c r="P171" s="66">
        <v>44736.419815949077</v>
      </c>
      <c r="Q171" s="65">
        <f t="shared" si="6"/>
        <v>1.0547222263994627E-3</v>
      </c>
      <c r="R171" s="65">
        <f t="shared" si="8"/>
        <v>1.0402662082924508E-3</v>
      </c>
      <c r="S171" s="46">
        <v>0</v>
      </c>
      <c r="T171" s="46" t="s">
        <v>36</v>
      </c>
      <c r="U171" s="46" t="s">
        <v>37</v>
      </c>
      <c r="V171" s="46" t="s">
        <v>38</v>
      </c>
      <c r="W171" s="46" t="s">
        <v>35</v>
      </c>
      <c r="X171" s="46" t="s">
        <v>35</v>
      </c>
      <c r="Y171" s="46" t="s">
        <v>35</v>
      </c>
      <c r="Z171" s="46" t="b">
        <v>0</v>
      </c>
      <c r="AA171" s="46" t="s">
        <v>35</v>
      </c>
      <c r="AB171" s="46" t="s">
        <v>35</v>
      </c>
      <c r="AC171" s="46">
        <v>4</v>
      </c>
      <c r="AD171" s="46">
        <v>4</v>
      </c>
      <c r="AE171" s="46" t="s">
        <v>492</v>
      </c>
      <c r="AF171" s="66">
        <v>44736.387499942131</v>
      </c>
      <c r="AG171" s="67"/>
      <c r="AH171" s="53" t="b">
        <f t="shared" si="7"/>
        <v>0</v>
      </c>
      <c r="AI171" s="73" t="str" cm="1">
        <f t="array" ref="AI171">TRANSPOSE(_xlfn._xlws.FILTER(images!L:L,images!F:F=Barrierenmessung!A171, ""))</f>
        <v>https://captureandgo.cloudlab.zhaw.ch/uploads/image_034c5f39e4.jpg</v>
      </c>
      <c r="AJ171" s="46"/>
      <c r="AK171" s="46"/>
      <c r="AL171" s="46"/>
      <c r="AM171" s="46"/>
      <c r="AN171" s="46"/>
    </row>
    <row r="172" spans="1:40" ht="16" x14ac:dyDescent="0.2">
      <c r="A172" s="2" t="s">
        <v>589</v>
      </c>
      <c r="B172" s="46">
        <v>171</v>
      </c>
      <c r="C172" s="2" t="b">
        <v>0</v>
      </c>
      <c r="D172" s="2" t="b">
        <v>0</v>
      </c>
      <c r="E172" s="2" t="b">
        <v>0</v>
      </c>
      <c r="F172" s="2" t="b">
        <v>0</v>
      </c>
      <c r="G172" s="2" t="s">
        <v>31</v>
      </c>
      <c r="H172" s="2" t="s">
        <v>590</v>
      </c>
      <c r="I172" s="2" t="s">
        <v>591</v>
      </c>
      <c r="J172" s="2" t="s">
        <v>35</v>
      </c>
      <c r="K172" s="2" t="s">
        <v>35</v>
      </c>
      <c r="L172" s="2" t="s">
        <v>35</v>
      </c>
      <c r="M172" s="2" t="s">
        <v>35</v>
      </c>
      <c r="N172" s="2" t="s">
        <v>35</v>
      </c>
      <c r="O172" s="11">
        <v>44736.419866307871</v>
      </c>
      <c r="P172" s="11">
        <v>44736.420235196761</v>
      </c>
      <c r="Q172" s="27">
        <f t="shared" si="6"/>
        <v>3.6888889007968828E-4</v>
      </c>
      <c r="R172" s="65">
        <f t="shared" si="8"/>
        <v>4.1924768447643146E-4</v>
      </c>
      <c r="S172" s="2">
        <v>0</v>
      </c>
      <c r="T172" s="2" t="s">
        <v>36</v>
      </c>
      <c r="U172" s="2" t="s">
        <v>37</v>
      </c>
      <c r="V172" s="2" t="s">
        <v>38</v>
      </c>
      <c r="W172" s="2" t="s">
        <v>35</v>
      </c>
      <c r="X172" s="2" t="s">
        <v>35</v>
      </c>
      <c r="Y172" s="2" t="s">
        <v>35</v>
      </c>
      <c r="Z172" s="2" t="b">
        <v>0</v>
      </c>
      <c r="AA172" s="2" t="s">
        <v>35</v>
      </c>
      <c r="AB172" s="2" t="s">
        <v>35</v>
      </c>
      <c r="AC172" s="2" t="s">
        <v>35</v>
      </c>
      <c r="AD172" s="2">
        <v>4</v>
      </c>
      <c r="AE172" s="2" t="s">
        <v>492</v>
      </c>
      <c r="AF172" s="11">
        <v>44736.387499942131</v>
      </c>
      <c r="AG172" s="53"/>
      <c r="AH172" s="53" t="b">
        <f t="shared" si="7"/>
        <v>0</v>
      </c>
      <c r="AI172" s="54" t="str" cm="1">
        <f t="array" ref="AI172">TRANSPOSE(_xlfn._xlws.FILTER(images!L:L,images!F:F=Barrierenmessung!A172, ""))</f>
        <v>https://captureandgo.cloudlab.zhaw.ch/uploads/image_6bf0a227c6.jpg</v>
      </c>
      <c r="AJ172" s="2"/>
      <c r="AK172" s="2"/>
      <c r="AL172" s="2"/>
      <c r="AM172" s="2"/>
      <c r="AN172" s="2"/>
    </row>
    <row r="173" spans="1:40" ht="16" x14ac:dyDescent="0.2">
      <c r="A173" s="2" t="s">
        <v>592</v>
      </c>
      <c r="B173" s="46">
        <v>172</v>
      </c>
      <c r="C173" s="2" t="b">
        <v>0</v>
      </c>
      <c r="D173" s="2" t="b">
        <v>0</v>
      </c>
      <c r="E173" s="2" t="b">
        <v>0</v>
      </c>
      <c r="F173" s="2" t="b">
        <v>0</v>
      </c>
      <c r="G173" s="2" t="s">
        <v>31</v>
      </c>
      <c r="H173" s="2" t="s">
        <v>593</v>
      </c>
      <c r="I173" s="2" t="s">
        <v>594</v>
      </c>
      <c r="J173" s="2" t="s">
        <v>35</v>
      </c>
      <c r="K173" s="2" t="s">
        <v>35</v>
      </c>
      <c r="L173" s="2" t="s">
        <v>35</v>
      </c>
      <c r="M173" s="2" t="s">
        <v>35</v>
      </c>
      <c r="N173" s="2" t="s">
        <v>35</v>
      </c>
      <c r="O173" s="11">
        <v>44736.42148827546</v>
      </c>
      <c r="P173" s="11">
        <v>44736.421627997683</v>
      </c>
      <c r="Q173" s="27">
        <f t="shared" si="6"/>
        <v>1.3972222222946584E-4</v>
      </c>
      <c r="R173" s="65">
        <f t="shared" si="8"/>
        <v>1.3928009211667813E-3</v>
      </c>
      <c r="S173" s="2">
        <v>0</v>
      </c>
      <c r="T173" s="2" t="s">
        <v>36</v>
      </c>
      <c r="U173" s="2" t="s">
        <v>37</v>
      </c>
      <c r="V173" s="2" t="s">
        <v>38</v>
      </c>
      <c r="W173" s="2" t="s">
        <v>35</v>
      </c>
      <c r="X173" s="2" t="s">
        <v>35</v>
      </c>
      <c r="Y173" s="2" t="s">
        <v>35</v>
      </c>
      <c r="Z173" s="2" t="b">
        <v>0</v>
      </c>
      <c r="AA173" s="2" t="s">
        <v>35</v>
      </c>
      <c r="AB173" s="2" t="s">
        <v>35</v>
      </c>
      <c r="AC173" s="2" t="s">
        <v>35</v>
      </c>
      <c r="AD173" s="2">
        <v>2</v>
      </c>
      <c r="AE173" s="2" t="s">
        <v>492</v>
      </c>
      <c r="AF173" s="11">
        <v>44736.387499942131</v>
      </c>
      <c r="AG173" s="53"/>
      <c r="AH173" s="53" t="b">
        <f t="shared" si="7"/>
        <v>0</v>
      </c>
      <c r="AI173" s="54" t="str" cm="1">
        <f t="array" ref="AI173">TRANSPOSE(_xlfn._xlws.FILTER(images!L:L,images!F:F=Barrierenmessung!A173, ""))</f>
        <v>https://captureandgo.cloudlab.zhaw.ch/uploads/image_0ab6363229.jpg</v>
      </c>
      <c r="AJ173" s="2"/>
      <c r="AK173" s="2"/>
      <c r="AL173" s="2"/>
      <c r="AM173" s="2"/>
      <c r="AN173" s="2"/>
    </row>
    <row r="174" spans="1:40" ht="16" x14ac:dyDescent="0.2">
      <c r="A174" s="2" t="s">
        <v>595</v>
      </c>
      <c r="B174" s="46">
        <v>173</v>
      </c>
      <c r="C174" s="2" t="b">
        <v>0</v>
      </c>
      <c r="D174" s="2" t="b">
        <v>0</v>
      </c>
      <c r="E174" s="2" t="b">
        <v>0</v>
      </c>
      <c r="F174" s="2" t="b">
        <v>0</v>
      </c>
      <c r="G174" s="2" t="s">
        <v>31</v>
      </c>
      <c r="H174" s="2" t="s">
        <v>596</v>
      </c>
      <c r="I174" s="2" t="s">
        <v>597</v>
      </c>
      <c r="J174" s="2" t="s">
        <v>598</v>
      </c>
      <c r="K174" s="2" t="s">
        <v>35</v>
      </c>
      <c r="L174" s="2" t="s">
        <v>35</v>
      </c>
      <c r="M174" s="2" t="s">
        <v>35</v>
      </c>
      <c r="N174" s="2" t="s">
        <v>35</v>
      </c>
      <c r="O174" s="11">
        <v>44736.421960277781</v>
      </c>
      <c r="P174" s="11">
        <v>44736.422284652777</v>
      </c>
      <c r="Q174" s="27">
        <f t="shared" si="6"/>
        <v>3.2437499612569809E-4</v>
      </c>
      <c r="R174" s="65">
        <f t="shared" si="8"/>
        <v>6.5665509464452043E-4</v>
      </c>
      <c r="S174" s="2">
        <v>0</v>
      </c>
      <c r="T174" s="2" t="s">
        <v>36</v>
      </c>
      <c r="U174" s="2" t="s">
        <v>37</v>
      </c>
      <c r="V174" s="2" t="s">
        <v>38</v>
      </c>
      <c r="W174" s="2" t="s">
        <v>35</v>
      </c>
      <c r="X174" s="2" t="s">
        <v>35</v>
      </c>
      <c r="Y174" s="2" t="s">
        <v>35</v>
      </c>
      <c r="Z174" s="2" t="b">
        <v>0</v>
      </c>
      <c r="AA174" s="2" t="s">
        <v>35</v>
      </c>
      <c r="AB174" s="2" t="s">
        <v>35</v>
      </c>
      <c r="AC174" s="2">
        <v>4</v>
      </c>
      <c r="AD174" s="2" t="s">
        <v>35</v>
      </c>
      <c r="AE174" s="2" t="s">
        <v>492</v>
      </c>
      <c r="AF174" s="11">
        <v>44736.387499942131</v>
      </c>
      <c r="AG174" s="53"/>
      <c r="AH174" s="53" t="b">
        <f t="shared" si="7"/>
        <v>0</v>
      </c>
      <c r="AI174" s="54" t="str" cm="1">
        <f t="array" ref="AI174">TRANSPOSE(_xlfn._xlws.FILTER(images!L:L,images!F:F=Barrierenmessung!A174, ""))</f>
        <v>https://captureandgo.cloudlab.zhaw.ch/uploads/image_a579125529.jpg</v>
      </c>
      <c r="AJ174" s="2"/>
      <c r="AK174" s="2"/>
      <c r="AL174" s="2"/>
      <c r="AM174" s="2"/>
      <c r="AN174" s="2"/>
    </row>
    <row r="175" spans="1:40" ht="16" x14ac:dyDescent="0.2">
      <c r="A175" s="2" t="s">
        <v>599</v>
      </c>
      <c r="B175" s="46">
        <v>174</v>
      </c>
      <c r="C175" s="2" t="b">
        <v>0</v>
      </c>
      <c r="D175" s="2" t="b">
        <v>0</v>
      </c>
      <c r="E175" s="2" t="b">
        <v>0</v>
      </c>
      <c r="F175" s="2" t="b">
        <v>0</v>
      </c>
      <c r="G175" s="2" t="s">
        <v>31</v>
      </c>
      <c r="H175" s="2" t="s">
        <v>600</v>
      </c>
      <c r="I175" s="2" t="s">
        <v>601</v>
      </c>
      <c r="J175" s="2" t="s">
        <v>602</v>
      </c>
      <c r="K175" s="2" t="s">
        <v>35</v>
      </c>
      <c r="L175" s="2" t="s">
        <v>35</v>
      </c>
      <c r="M175" s="2" t="s">
        <v>35</v>
      </c>
      <c r="N175" s="2" t="s">
        <v>35</v>
      </c>
      <c r="O175" s="11">
        <v>44736.422736550929</v>
      </c>
      <c r="P175" s="11">
        <v>44736.423546458333</v>
      </c>
      <c r="Q175" s="27">
        <f t="shared" si="6"/>
        <v>8.0990740389097482E-4</v>
      </c>
      <c r="R175" s="65">
        <f t="shared" si="8"/>
        <v>1.2618055552593432E-3</v>
      </c>
      <c r="S175" s="2">
        <v>0</v>
      </c>
      <c r="T175" s="2" t="s">
        <v>36</v>
      </c>
      <c r="U175" s="2" t="s">
        <v>37</v>
      </c>
      <c r="V175" s="2" t="s">
        <v>38</v>
      </c>
      <c r="W175" s="2" t="s">
        <v>35</v>
      </c>
      <c r="X175" s="2" t="s">
        <v>35</v>
      </c>
      <c r="Y175" s="2" t="s">
        <v>35</v>
      </c>
      <c r="Z175" s="2" t="b">
        <v>0</v>
      </c>
      <c r="AA175" s="2" t="s">
        <v>35</v>
      </c>
      <c r="AB175" s="2" t="s">
        <v>35</v>
      </c>
      <c r="AC175" s="2">
        <v>5</v>
      </c>
      <c r="AD175" s="2" t="s">
        <v>35</v>
      </c>
      <c r="AE175" s="2" t="s">
        <v>492</v>
      </c>
      <c r="AF175" s="11">
        <v>44736.387499942131</v>
      </c>
      <c r="AG175" s="53"/>
      <c r="AH175" s="53" t="b">
        <f t="shared" si="7"/>
        <v>0</v>
      </c>
      <c r="AI175" s="54" t="str" cm="1">
        <f t="array" ref="AI175">TRANSPOSE(_xlfn._xlws.FILTER(images!L:L,images!F:F=Barrierenmessung!A175, ""))</f>
        <v>https://captureandgo.cloudlab.zhaw.ch/uploads/image_e44f00fe75.jpg</v>
      </c>
      <c r="AJ175" s="2"/>
      <c r="AK175" s="2"/>
      <c r="AL175" s="2"/>
      <c r="AM175" s="2"/>
      <c r="AN175" s="2"/>
    </row>
    <row r="176" spans="1:40" ht="16" x14ac:dyDescent="0.2">
      <c r="A176" s="2" t="s">
        <v>603</v>
      </c>
      <c r="B176" s="46">
        <v>175</v>
      </c>
      <c r="C176" s="2" t="b">
        <v>0</v>
      </c>
      <c r="D176" s="2" t="b">
        <v>0</v>
      </c>
      <c r="E176" s="2" t="b">
        <v>0</v>
      </c>
      <c r="F176" s="2" t="b">
        <v>0</v>
      </c>
      <c r="G176" s="2" t="s">
        <v>31</v>
      </c>
      <c r="H176" s="2" t="s">
        <v>604</v>
      </c>
      <c r="I176" s="2" t="s">
        <v>605</v>
      </c>
      <c r="J176" s="2" t="s">
        <v>35</v>
      </c>
      <c r="K176" s="2" t="s">
        <v>35</v>
      </c>
      <c r="L176" s="2" t="s">
        <v>35</v>
      </c>
      <c r="M176" s="2" t="s">
        <v>35</v>
      </c>
      <c r="N176" s="2" t="s">
        <v>35</v>
      </c>
      <c r="O176" s="11">
        <v>44736.424343287035</v>
      </c>
      <c r="P176" s="11">
        <v>44736.424500138892</v>
      </c>
      <c r="Q176" s="27">
        <f t="shared" si="6"/>
        <v>1.5685185644542798E-4</v>
      </c>
      <c r="R176" s="65">
        <f t="shared" si="8"/>
        <v>9.5368055917788297E-4</v>
      </c>
      <c r="S176" s="2">
        <v>0</v>
      </c>
      <c r="T176" s="2" t="s">
        <v>36</v>
      </c>
      <c r="U176" s="2" t="s">
        <v>37</v>
      </c>
      <c r="V176" s="2" t="s">
        <v>38</v>
      </c>
      <c r="W176" s="2" t="s">
        <v>35</v>
      </c>
      <c r="X176" s="2" t="s">
        <v>35</v>
      </c>
      <c r="Y176" s="2" t="s">
        <v>35</v>
      </c>
      <c r="Z176" s="2" t="b">
        <v>0</v>
      </c>
      <c r="AA176" s="2" t="s">
        <v>35</v>
      </c>
      <c r="AB176" s="2" t="s">
        <v>35</v>
      </c>
      <c r="AC176" s="2" t="s">
        <v>35</v>
      </c>
      <c r="AD176" s="2">
        <v>4</v>
      </c>
      <c r="AE176" s="2" t="s">
        <v>492</v>
      </c>
      <c r="AF176" s="11">
        <v>44736.387499942131</v>
      </c>
      <c r="AG176" s="53"/>
      <c r="AH176" s="53" t="b">
        <f t="shared" si="7"/>
        <v>0</v>
      </c>
      <c r="AI176" s="54" t="str" cm="1">
        <f t="array" ref="AI176">TRANSPOSE(_xlfn._xlws.FILTER(images!L:L,images!F:F=Barrierenmessung!A176, ""))</f>
        <v>https://captureandgo.cloudlab.zhaw.ch/uploads/image_9d044ff222.jpg</v>
      </c>
      <c r="AJ176" s="2"/>
      <c r="AK176" s="2"/>
      <c r="AL176" s="2"/>
      <c r="AM176" s="2"/>
      <c r="AN176" s="2"/>
    </row>
    <row r="177" spans="1:40" ht="16" x14ac:dyDescent="0.2">
      <c r="A177" s="2" t="s">
        <v>606</v>
      </c>
      <c r="B177" s="46">
        <v>176</v>
      </c>
      <c r="C177" s="2" t="b">
        <v>0</v>
      </c>
      <c r="D177" s="2" t="b">
        <v>0</v>
      </c>
      <c r="E177" s="2" t="b">
        <v>0</v>
      </c>
      <c r="F177" s="2" t="b">
        <v>0</v>
      </c>
      <c r="G177" s="2" t="s">
        <v>31</v>
      </c>
      <c r="H177" s="2" t="s">
        <v>607</v>
      </c>
      <c r="I177" s="2" t="s">
        <v>608</v>
      </c>
      <c r="J177" s="2" t="s">
        <v>35</v>
      </c>
      <c r="K177" s="2" t="s">
        <v>35</v>
      </c>
      <c r="L177" s="2" t="s">
        <v>35</v>
      </c>
      <c r="M177" s="2" t="s">
        <v>35</v>
      </c>
      <c r="N177" s="2" t="s">
        <v>35</v>
      </c>
      <c r="O177" s="11">
        <v>44736.426496342596</v>
      </c>
      <c r="P177" s="11">
        <v>44736.426652569447</v>
      </c>
      <c r="Q177" s="27">
        <f t="shared" si="6"/>
        <v>1.5622685168636963E-4</v>
      </c>
      <c r="R177" s="65">
        <f t="shared" si="8"/>
        <v>2.1524305557250045E-3</v>
      </c>
      <c r="S177" s="2">
        <v>0</v>
      </c>
      <c r="T177" s="2" t="s">
        <v>36</v>
      </c>
      <c r="U177" s="2" t="s">
        <v>37</v>
      </c>
      <c r="V177" s="2" t="s">
        <v>38</v>
      </c>
      <c r="W177" s="2" t="s">
        <v>35</v>
      </c>
      <c r="X177" s="2" t="s">
        <v>35</v>
      </c>
      <c r="Y177" s="2" t="s">
        <v>35</v>
      </c>
      <c r="Z177" s="2" t="b">
        <v>0</v>
      </c>
      <c r="AA177" s="2" t="s">
        <v>35</v>
      </c>
      <c r="AB177" s="2" t="s">
        <v>35</v>
      </c>
      <c r="AC177" s="2" t="s">
        <v>35</v>
      </c>
      <c r="AD177" s="2">
        <v>4</v>
      </c>
      <c r="AE177" s="2" t="s">
        <v>492</v>
      </c>
      <c r="AF177" s="11">
        <v>44736.387499942131</v>
      </c>
      <c r="AG177" s="53"/>
      <c r="AH177" s="53" t="b">
        <f t="shared" si="7"/>
        <v>0</v>
      </c>
      <c r="AI177" s="54" t="str" cm="1">
        <f t="array" ref="AI177">TRANSPOSE(_xlfn._xlws.FILTER(images!L:L,images!F:F=Barrierenmessung!A177, ""))</f>
        <v>https://captureandgo.cloudlab.zhaw.ch/uploads/image_d3b42d8531.jpg</v>
      </c>
      <c r="AJ177" s="2"/>
      <c r="AK177" s="2"/>
      <c r="AL177" s="2"/>
      <c r="AM177" s="2"/>
      <c r="AN177" s="2"/>
    </row>
    <row r="178" spans="1:40" ht="16" x14ac:dyDescent="0.2">
      <c r="A178" s="2" t="s">
        <v>609</v>
      </c>
      <c r="B178" s="46">
        <v>177</v>
      </c>
      <c r="C178" s="2" t="b">
        <v>0</v>
      </c>
      <c r="D178" s="2" t="b">
        <v>0</v>
      </c>
      <c r="E178" s="2" t="b">
        <v>0</v>
      </c>
      <c r="F178" s="2" t="b">
        <v>0</v>
      </c>
      <c r="G178" s="2" t="s">
        <v>31</v>
      </c>
      <c r="H178" s="2" t="s">
        <v>610</v>
      </c>
      <c r="I178" s="2" t="s">
        <v>611</v>
      </c>
      <c r="J178" s="2" t="s">
        <v>35</v>
      </c>
      <c r="K178" s="2" t="s">
        <v>35</v>
      </c>
      <c r="L178" s="2" t="s">
        <v>35</v>
      </c>
      <c r="M178" s="2" t="s">
        <v>35</v>
      </c>
      <c r="N178" s="2" t="s">
        <v>35</v>
      </c>
      <c r="O178" s="11">
        <v>44736.427273831017</v>
      </c>
      <c r="P178" s="11">
        <v>44736.427495868054</v>
      </c>
      <c r="Q178" s="27">
        <f t="shared" si="6"/>
        <v>2.2203703701961786E-4</v>
      </c>
      <c r="R178" s="65">
        <f t="shared" si="8"/>
        <v>8.4329860692378134E-4</v>
      </c>
      <c r="S178" s="2">
        <v>0</v>
      </c>
      <c r="T178" s="2" t="s">
        <v>36</v>
      </c>
      <c r="U178" s="2" t="s">
        <v>37</v>
      </c>
      <c r="V178" s="2" t="s">
        <v>38</v>
      </c>
      <c r="W178" s="2" t="s">
        <v>35</v>
      </c>
      <c r="X178" s="2" t="s">
        <v>35</v>
      </c>
      <c r="Y178" s="2" t="s">
        <v>35</v>
      </c>
      <c r="Z178" s="2" t="b">
        <v>0</v>
      </c>
      <c r="AA178" s="2" t="s">
        <v>35</v>
      </c>
      <c r="AB178" s="2" t="s">
        <v>35</v>
      </c>
      <c r="AC178" s="2" t="s">
        <v>35</v>
      </c>
      <c r="AD178" s="2">
        <v>2</v>
      </c>
      <c r="AE178" s="2" t="s">
        <v>492</v>
      </c>
      <c r="AF178" s="11">
        <v>44736.387499942131</v>
      </c>
      <c r="AG178" s="53"/>
      <c r="AH178" s="53" t="b">
        <f t="shared" si="7"/>
        <v>0</v>
      </c>
      <c r="AI178" s="54" t="str" cm="1">
        <f t="array" ref="AI178">TRANSPOSE(_xlfn._xlws.FILTER(images!L:L,images!F:F=Barrierenmessung!A178, ""))</f>
        <v>https://captureandgo.cloudlab.zhaw.ch/uploads/image_7d2e4ba699.jpg</v>
      </c>
      <c r="AJ178" s="2"/>
      <c r="AK178" s="2"/>
      <c r="AL178" s="2"/>
      <c r="AM178" s="2"/>
      <c r="AN178" s="2"/>
    </row>
    <row r="179" spans="1:40" ht="16" x14ac:dyDescent="0.2">
      <c r="A179" s="2" t="s">
        <v>612</v>
      </c>
      <c r="B179" s="46">
        <v>178</v>
      </c>
      <c r="C179" s="2" t="b">
        <v>0</v>
      </c>
      <c r="D179" s="2" t="b">
        <v>0</v>
      </c>
      <c r="E179" s="2" t="b">
        <v>0</v>
      </c>
      <c r="F179" s="2" t="b">
        <v>0</v>
      </c>
      <c r="G179" s="2" t="s">
        <v>31</v>
      </c>
      <c r="H179" s="2" t="s">
        <v>613</v>
      </c>
      <c r="I179" s="2" t="s">
        <v>614</v>
      </c>
      <c r="J179" s="2" t="s">
        <v>35</v>
      </c>
      <c r="K179" s="2" t="s">
        <v>35</v>
      </c>
      <c r="L179" s="2" t="s">
        <v>35</v>
      </c>
      <c r="M179" s="2" t="s">
        <v>35</v>
      </c>
      <c r="N179" s="2" t="s">
        <v>35</v>
      </c>
      <c r="O179" s="11">
        <v>44736.428087997687</v>
      </c>
      <c r="P179" s="11">
        <v>44736.428263321759</v>
      </c>
      <c r="Q179" s="27">
        <f t="shared" si="6"/>
        <v>1.7532407218823209E-4</v>
      </c>
      <c r="R179" s="65">
        <f t="shared" si="8"/>
        <v>7.6745370461139828E-4</v>
      </c>
      <c r="S179" s="2">
        <v>0</v>
      </c>
      <c r="T179" s="2" t="s">
        <v>36</v>
      </c>
      <c r="U179" s="2" t="s">
        <v>37</v>
      </c>
      <c r="V179" s="2" t="s">
        <v>38</v>
      </c>
      <c r="W179" s="2" t="s">
        <v>35</v>
      </c>
      <c r="X179" s="2" t="s">
        <v>35</v>
      </c>
      <c r="Y179" s="2" t="s">
        <v>35</v>
      </c>
      <c r="Z179" s="2" t="b">
        <v>0</v>
      </c>
      <c r="AA179" s="2" t="s">
        <v>35</v>
      </c>
      <c r="AB179" s="2" t="s">
        <v>35</v>
      </c>
      <c r="AC179" s="2" t="s">
        <v>35</v>
      </c>
      <c r="AD179" s="2">
        <v>2</v>
      </c>
      <c r="AE179" s="2" t="s">
        <v>492</v>
      </c>
      <c r="AF179" s="11">
        <v>44736.387499942131</v>
      </c>
      <c r="AG179" s="53"/>
      <c r="AH179" s="53" t="b">
        <f t="shared" si="7"/>
        <v>0</v>
      </c>
      <c r="AI179" s="54" t="str" cm="1">
        <f t="array" ref="AI179">TRANSPOSE(_xlfn._xlws.FILTER(images!L:L,images!F:F=Barrierenmessung!A179, ""))</f>
        <v>https://captureandgo.cloudlab.zhaw.ch/uploads/image_ff37bfe6d8.jpg</v>
      </c>
      <c r="AJ179" s="2"/>
      <c r="AK179" s="2"/>
      <c r="AL179" s="2"/>
      <c r="AM179" s="2"/>
      <c r="AN179" s="2"/>
    </row>
    <row r="180" spans="1:40" ht="16" x14ac:dyDescent="0.2">
      <c r="A180" s="2" t="s">
        <v>615</v>
      </c>
      <c r="B180" s="46">
        <v>179</v>
      </c>
      <c r="C180" s="2" t="b">
        <v>0</v>
      </c>
      <c r="D180" s="2" t="b">
        <v>0</v>
      </c>
      <c r="E180" s="2" t="b">
        <v>0</v>
      </c>
      <c r="F180" s="2" t="b">
        <v>0</v>
      </c>
      <c r="G180" s="2" t="s">
        <v>31</v>
      </c>
      <c r="H180" s="2" t="s">
        <v>616</v>
      </c>
      <c r="I180" s="2" t="s">
        <v>617</v>
      </c>
      <c r="J180" s="2" t="s">
        <v>35</v>
      </c>
      <c r="K180" s="2" t="s">
        <v>35</v>
      </c>
      <c r="L180" s="2" t="s">
        <v>35</v>
      </c>
      <c r="M180" s="2" t="s">
        <v>35</v>
      </c>
      <c r="N180" s="2" t="s">
        <v>35</v>
      </c>
      <c r="O180" s="11">
        <v>44736.429177916667</v>
      </c>
      <c r="P180" s="11">
        <v>44736.429305439815</v>
      </c>
      <c r="Q180" s="27">
        <f t="shared" si="6"/>
        <v>1.2752314796671271E-4</v>
      </c>
      <c r="R180" s="65">
        <f t="shared" si="8"/>
        <v>1.0421180559205823E-3</v>
      </c>
      <c r="S180" s="2">
        <v>0</v>
      </c>
      <c r="T180" s="2" t="s">
        <v>36</v>
      </c>
      <c r="U180" s="2" t="s">
        <v>37</v>
      </c>
      <c r="V180" s="2" t="s">
        <v>38</v>
      </c>
      <c r="W180" s="2" t="s">
        <v>35</v>
      </c>
      <c r="X180" s="2" t="s">
        <v>35</v>
      </c>
      <c r="Y180" s="2" t="s">
        <v>35</v>
      </c>
      <c r="Z180" s="2" t="b">
        <v>0</v>
      </c>
      <c r="AA180" s="2" t="s">
        <v>35</v>
      </c>
      <c r="AB180" s="2" t="s">
        <v>35</v>
      </c>
      <c r="AC180" s="2" t="s">
        <v>35</v>
      </c>
      <c r="AD180" s="2">
        <v>4</v>
      </c>
      <c r="AE180" s="2" t="s">
        <v>492</v>
      </c>
      <c r="AF180" s="11">
        <v>44736.387499942131</v>
      </c>
      <c r="AG180" s="53"/>
      <c r="AH180" s="53" t="b">
        <f t="shared" si="7"/>
        <v>0</v>
      </c>
      <c r="AI180" s="54" t="str" cm="1">
        <f t="array" ref="AI180">TRANSPOSE(_xlfn._xlws.FILTER(images!L:L,images!F:F=Barrierenmessung!A180, ""))</f>
        <v>https://captureandgo.cloudlab.zhaw.ch/uploads/image_81eb563d8a.jpg</v>
      </c>
      <c r="AJ180" s="2"/>
      <c r="AK180" s="2"/>
      <c r="AL180" s="2"/>
      <c r="AM180" s="2"/>
      <c r="AN180" s="2"/>
    </row>
    <row r="181" spans="1:40" ht="16" x14ac:dyDescent="0.2">
      <c r="A181" s="2" t="s">
        <v>618</v>
      </c>
      <c r="B181" s="46">
        <v>180</v>
      </c>
      <c r="C181" s="2" t="b">
        <v>0</v>
      </c>
      <c r="D181" s="2" t="b">
        <v>0</v>
      </c>
      <c r="E181" s="2" t="b">
        <v>0</v>
      </c>
      <c r="F181" s="2" t="b">
        <v>0</v>
      </c>
      <c r="G181" s="2" t="s">
        <v>31</v>
      </c>
      <c r="H181" s="2" t="s">
        <v>619</v>
      </c>
      <c r="I181" s="2" t="s">
        <v>620</v>
      </c>
      <c r="J181" s="2" t="s">
        <v>621</v>
      </c>
      <c r="K181" s="2" t="s">
        <v>35</v>
      </c>
      <c r="L181" s="2" t="s">
        <v>35</v>
      </c>
      <c r="M181" s="2" t="s">
        <v>35</v>
      </c>
      <c r="N181" s="2" t="s">
        <v>35</v>
      </c>
      <c r="O181" s="11">
        <v>44736.429726724535</v>
      </c>
      <c r="P181" s="11">
        <v>44736.430408159722</v>
      </c>
      <c r="Q181" s="27">
        <f t="shared" si="6"/>
        <v>6.8143518728902563E-4</v>
      </c>
      <c r="R181" s="65">
        <f t="shared" si="8"/>
        <v>1.1027199070667848E-3</v>
      </c>
      <c r="S181" s="2">
        <v>0</v>
      </c>
      <c r="T181" s="2" t="s">
        <v>36</v>
      </c>
      <c r="U181" s="2" t="s">
        <v>37</v>
      </c>
      <c r="V181" s="2" t="s">
        <v>38</v>
      </c>
      <c r="W181" s="2" t="s">
        <v>35</v>
      </c>
      <c r="X181" s="2" t="s">
        <v>35</v>
      </c>
      <c r="Y181" s="2" t="s">
        <v>35</v>
      </c>
      <c r="Z181" s="2" t="b">
        <v>0</v>
      </c>
      <c r="AA181" s="2" t="s">
        <v>35</v>
      </c>
      <c r="AB181" s="2" t="s">
        <v>35</v>
      </c>
      <c r="AC181" s="2">
        <v>10</v>
      </c>
      <c r="AD181" s="2" t="s">
        <v>35</v>
      </c>
      <c r="AE181" s="2" t="s">
        <v>492</v>
      </c>
      <c r="AF181" s="11">
        <v>44736.387499942131</v>
      </c>
      <c r="AG181" s="53"/>
      <c r="AH181" s="53" t="b">
        <f t="shared" si="7"/>
        <v>0</v>
      </c>
      <c r="AI181" s="54" t="str" cm="1">
        <f t="array" ref="AI181">TRANSPOSE(_xlfn._xlws.FILTER(images!L:L,images!F:F=Barrierenmessung!A181, ""))</f>
        <v>https://captureandgo.cloudlab.zhaw.ch/uploads/image_3fd9fba916.jpg</v>
      </c>
      <c r="AJ181" s="2"/>
      <c r="AK181" s="2"/>
      <c r="AL181" s="2"/>
      <c r="AM181" s="2"/>
      <c r="AN181" s="2"/>
    </row>
    <row r="182" spans="1:40" ht="16" x14ac:dyDescent="0.2">
      <c r="A182" s="2" t="s">
        <v>622</v>
      </c>
      <c r="B182" s="46">
        <v>181</v>
      </c>
      <c r="C182" s="2" t="b">
        <v>0</v>
      </c>
      <c r="D182" s="2" t="b">
        <v>0</v>
      </c>
      <c r="E182" s="2" t="b">
        <v>0</v>
      </c>
      <c r="F182" s="2" t="b">
        <v>0</v>
      </c>
      <c r="G182" s="2" t="s">
        <v>31</v>
      </c>
      <c r="H182" s="2" t="s">
        <v>623</v>
      </c>
      <c r="I182" s="2" t="s">
        <v>624</v>
      </c>
      <c r="J182" s="2" t="s">
        <v>625</v>
      </c>
      <c r="K182" s="2" t="s">
        <v>35</v>
      </c>
      <c r="L182" s="2" t="s">
        <v>35</v>
      </c>
      <c r="M182" s="2">
        <v>25</v>
      </c>
      <c r="N182" s="2">
        <v>7</v>
      </c>
      <c r="O182" s="11">
        <v>44736.430470902778</v>
      </c>
      <c r="P182" s="11">
        <v>44736.431572824076</v>
      </c>
      <c r="Q182" s="27">
        <f t="shared" si="6"/>
        <v>1.101921297959052E-3</v>
      </c>
      <c r="R182" s="65">
        <f t="shared" si="8"/>
        <v>1.1646643542917445E-3</v>
      </c>
      <c r="S182" s="2">
        <v>0</v>
      </c>
      <c r="T182" s="2" t="s">
        <v>54</v>
      </c>
      <c r="U182" s="2" t="s">
        <v>55</v>
      </c>
      <c r="V182" s="2" t="s">
        <v>38</v>
      </c>
      <c r="W182" s="2" t="s">
        <v>35</v>
      </c>
      <c r="X182" s="2" t="s">
        <v>35</v>
      </c>
      <c r="Y182" s="2" t="s">
        <v>35</v>
      </c>
      <c r="Z182" s="2" t="b">
        <v>1</v>
      </c>
      <c r="AA182" s="2" t="s">
        <v>35</v>
      </c>
      <c r="AB182" s="2" t="s">
        <v>35</v>
      </c>
      <c r="AC182" s="2" t="s">
        <v>35</v>
      </c>
      <c r="AD182" s="2" t="s">
        <v>35</v>
      </c>
      <c r="AE182" s="2" t="s">
        <v>492</v>
      </c>
      <c r="AF182" s="11">
        <v>44736.387499942131</v>
      </c>
      <c r="AG182" s="53"/>
      <c r="AH182" s="53" t="b">
        <f t="shared" si="7"/>
        <v>0</v>
      </c>
      <c r="AI182" s="54" t="str" cm="1">
        <f t="array" ref="AI182">TRANSPOSE(_xlfn._xlws.FILTER(images!L:L,images!F:F=Barrierenmessung!A182, ""))</f>
        <v>https://captureandgo.cloudlab.zhaw.ch/uploads/image_4e45c06b66.jpg</v>
      </c>
      <c r="AJ182" s="2"/>
      <c r="AK182" s="2"/>
      <c r="AL182" s="2"/>
      <c r="AM182" s="2"/>
      <c r="AN182" s="2"/>
    </row>
    <row r="183" spans="1:40" ht="16" x14ac:dyDescent="0.2">
      <c r="A183" s="2" t="s">
        <v>626</v>
      </c>
      <c r="B183" s="46">
        <v>182</v>
      </c>
      <c r="C183" s="2" t="b">
        <v>0</v>
      </c>
      <c r="D183" s="2" t="b">
        <v>0</v>
      </c>
      <c r="E183" s="2" t="b">
        <v>0</v>
      </c>
      <c r="F183" s="2" t="b">
        <v>0</v>
      </c>
      <c r="G183" s="2" t="s">
        <v>31</v>
      </c>
      <c r="H183" s="2" t="s">
        <v>627</v>
      </c>
      <c r="I183" s="2" t="s">
        <v>628</v>
      </c>
      <c r="J183" s="2" t="s">
        <v>35</v>
      </c>
      <c r="K183" s="2" t="s">
        <v>35</v>
      </c>
      <c r="L183" s="2" t="s">
        <v>35</v>
      </c>
      <c r="M183" s="2" t="s">
        <v>35</v>
      </c>
      <c r="N183" s="2" t="s">
        <v>35</v>
      </c>
      <c r="O183" s="11">
        <v>44736.431912094908</v>
      </c>
      <c r="P183" s="11">
        <v>44736.432055775462</v>
      </c>
      <c r="Q183" s="27">
        <f t="shared" si="6"/>
        <v>1.4368055417435244E-4</v>
      </c>
      <c r="R183" s="65">
        <f t="shared" si="8"/>
        <v>4.829513854929246E-4</v>
      </c>
      <c r="S183" s="2">
        <v>0</v>
      </c>
      <c r="T183" s="2" t="s">
        <v>36</v>
      </c>
      <c r="U183" s="2" t="s">
        <v>37</v>
      </c>
      <c r="V183" s="2" t="s">
        <v>38</v>
      </c>
      <c r="W183" s="2" t="s">
        <v>35</v>
      </c>
      <c r="X183" s="2" t="s">
        <v>35</v>
      </c>
      <c r="Y183" s="2" t="s">
        <v>35</v>
      </c>
      <c r="Z183" s="2" t="b">
        <v>0</v>
      </c>
      <c r="AA183" s="2" t="s">
        <v>35</v>
      </c>
      <c r="AB183" s="2" t="s">
        <v>35</v>
      </c>
      <c r="AC183" s="2" t="s">
        <v>35</v>
      </c>
      <c r="AD183" s="2">
        <v>2</v>
      </c>
      <c r="AE183" s="2" t="s">
        <v>492</v>
      </c>
      <c r="AF183" s="11">
        <v>44736.387499942131</v>
      </c>
      <c r="AG183" s="53"/>
      <c r="AH183" s="53" t="b">
        <f t="shared" si="7"/>
        <v>0</v>
      </c>
      <c r="AI183" s="54" t="str" cm="1">
        <f t="array" ref="AI183">TRANSPOSE(_xlfn._xlws.FILTER(images!L:L,images!F:F=Barrierenmessung!A183, ""))</f>
        <v>https://captureandgo.cloudlab.zhaw.ch/uploads/image_190aa2b755.jpg</v>
      </c>
      <c r="AJ183" s="2"/>
      <c r="AK183" s="2"/>
      <c r="AL183" s="2"/>
      <c r="AM183" s="2"/>
      <c r="AN183" s="2"/>
    </row>
    <row r="184" spans="1:40" ht="16" x14ac:dyDescent="0.2">
      <c r="A184" s="2" t="s">
        <v>629</v>
      </c>
      <c r="B184" s="46">
        <v>183</v>
      </c>
      <c r="C184" s="2" t="b">
        <v>0</v>
      </c>
      <c r="D184" s="2" t="b">
        <v>0</v>
      </c>
      <c r="E184" s="2" t="b">
        <v>0</v>
      </c>
      <c r="F184" s="2" t="b">
        <v>0</v>
      </c>
      <c r="G184" s="2" t="s">
        <v>31</v>
      </c>
      <c r="H184" s="2" t="s">
        <v>630</v>
      </c>
      <c r="I184" s="2" t="s">
        <v>631</v>
      </c>
      <c r="J184" s="2" t="s">
        <v>621</v>
      </c>
      <c r="K184" s="2" t="s">
        <v>35</v>
      </c>
      <c r="L184" s="2" t="s">
        <v>35</v>
      </c>
      <c r="M184" s="2" t="s">
        <v>35</v>
      </c>
      <c r="N184" s="2" t="s">
        <v>35</v>
      </c>
      <c r="O184" s="11">
        <v>44736.432479988427</v>
      </c>
      <c r="P184" s="11">
        <v>44736.433038136573</v>
      </c>
      <c r="Q184" s="27">
        <f t="shared" si="6"/>
        <v>5.581481455010362E-4</v>
      </c>
      <c r="R184" s="65">
        <f t="shared" si="8"/>
        <v>9.8236111080041155E-4</v>
      </c>
      <c r="S184" s="2">
        <v>0</v>
      </c>
      <c r="T184" s="2" t="s">
        <v>36</v>
      </c>
      <c r="U184" s="2" t="s">
        <v>37</v>
      </c>
      <c r="V184" s="2" t="s">
        <v>38</v>
      </c>
      <c r="W184" s="2" t="s">
        <v>35</v>
      </c>
      <c r="X184" s="2" t="s">
        <v>35</v>
      </c>
      <c r="Y184" s="2" t="s">
        <v>35</v>
      </c>
      <c r="Z184" s="2" t="b">
        <v>0</v>
      </c>
      <c r="AA184" s="2" t="s">
        <v>35</v>
      </c>
      <c r="AB184" s="2" t="s">
        <v>35</v>
      </c>
      <c r="AC184" s="2">
        <v>10</v>
      </c>
      <c r="AD184" s="2" t="s">
        <v>35</v>
      </c>
      <c r="AE184" s="2" t="s">
        <v>492</v>
      </c>
      <c r="AF184" s="11">
        <v>44736.387499942131</v>
      </c>
      <c r="AG184" s="53"/>
      <c r="AH184" s="53" t="b">
        <f t="shared" si="7"/>
        <v>0</v>
      </c>
      <c r="AI184" s="54" t="str" cm="1">
        <f t="array" ref="AI184">TRANSPOSE(_xlfn._xlws.FILTER(images!L:L,images!F:F=Barrierenmessung!A184, ""))</f>
        <v>https://captureandgo.cloudlab.zhaw.ch/uploads/image_d218ed28cb.jpg</v>
      </c>
      <c r="AJ184" s="2"/>
      <c r="AK184" s="2"/>
      <c r="AL184" s="2"/>
      <c r="AM184" s="2"/>
      <c r="AN184" s="2"/>
    </row>
    <row r="185" spans="1:40" ht="16" x14ac:dyDescent="0.2">
      <c r="A185" s="2" t="s">
        <v>632</v>
      </c>
      <c r="B185" s="46">
        <v>184</v>
      </c>
      <c r="C185" s="2" t="b">
        <v>0</v>
      </c>
      <c r="D185" s="2" t="b">
        <v>0</v>
      </c>
      <c r="E185" s="2" t="b">
        <v>0</v>
      </c>
      <c r="F185" s="2" t="b">
        <v>0</v>
      </c>
      <c r="G185" s="2" t="s">
        <v>31</v>
      </c>
      <c r="H185" s="2" t="s">
        <v>633</v>
      </c>
      <c r="I185" s="2" t="s">
        <v>634</v>
      </c>
      <c r="J185" s="2" t="s">
        <v>35</v>
      </c>
      <c r="K185" s="2" t="s">
        <v>35</v>
      </c>
      <c r="L185" s="2" t="s">
        <v>35</v>
      </c>
      <c r="M185" s="2" t="s">
        <v>35</v>
      </c>
      <c r="N185" s="2" t="s">
        <v>35</v>
      </c>
      <c r="O185" s="11">
        <v>44736.433617754628</v>
      </c>
      <c r="P185" s="11">
        <v>44736.433797060185</v>
      </c>
      <c r="Q185" s="27">
        <f t="shared" si="6"/>
        <v>1.7930555623024702E-4</v>
      </c>
      <c r="R185" s="65">
        <f t="shared" si="8"/>
        <v>7.589236120111309E-4</v>
      </c>
      <c r="S185" s="2">
        <v>0</v>
      </c>
      <c r="T185" s="2" t="s">
        <v>36</v>
      </c>
      <c r="U185" s="2" t="s">
        <v>37</v>
      </c>
      <c r="V185" s="2" t="s">
        <v>38</v>
      </c>
      <c r="W185" s="2" t="s">
        <v>35</v>
      </c>
      <c r="X185" s="2" t="s">
        <v>35</v>
      </c>
      <c r="Y185" s="2" t="s">
        <v>35</v>
      </c>
      <c r="Z185" s="2" t="b">
        <v>0</v>
      </c>
      <c r="AA185" s="2" t="s">
        <v>35</v>
      </c>
      <c r="AB185" s="2" t="s">
        <v>35</v>
      </c>
      <c r="AC185" s="2" t="s">
        <v>35</v>
      </c>
      <c r="AD185" s="2">
        <v>3</v>
      </c>
      <c r="AE185" s="2" t="s">
        <v>492</v>
      </c>
      <c r="AF185" s="11">
        <v>44736.387499942131</v>
      </c>
      <c r="AG185" s="53"/>
      <c r="AH185" s="53" t="b">
        <f t="shared" si="7"/>
        <v>0</v>
      </c>
      <c r="AI185" s="54" t="str" cm="1">
        <f t="array" ref="AI185">TRANSPOSE(_xlfn._xlws.FILTER(images!L:L,images!F:F=Barrierenmessung!A185, ""))</f>
        <v>https://captureandgo.cloudlab.zhaw.ch/uploads/image_1bab8335b6.jpg</v>
      </c>
      <c r="AJ185" s="2"/>
      <c r="AK185" s="2"/>
      <c r="AL185" s="2"/>
      <c r="AM185" s="2"/>
      <c r="AN185" s="2"/>
    </row>
    <row r="186" spans="1:40" ht="16" x14ac:dyDescent="0.2">
      <c r="A186" s="2" t="s">
        <v>635</v>
      </c>
      <c r="B186" s="46">
        <v>185</v>
      </c>
      <c r="C186" s="2" t="b">
        <v>0</v>
      </c>
      <c r="D186" s="2" t="b">
        <v>0</v>
      </c>
      <c r="E186" s="2" t="b">
        <v>0</v>
      </c>
      <c r="F186" s="2" t="b">
        <v>0</v>
      </c>
      <c r="G186" s="2" t="s">
        <v>31</v>
      </c>
      <c r="H186" s="2" t="s">
        <v>636</v>
      </c>
      <c r="I186" s="2" t="s">
        <v>637</v>
      </c>
      <c r="J186" s="2" t="s">
        <v>621</v>
      </c>
      <c r="K186" s="2" t="s">
        <v>35</v>
      </c>
      <c r="L186" s="2" t="s">
        <v>35</v>
      </c>
      <c r="M186" s="2" t="s">
        <v>35</v>
      </c>
      <c r="N186" s="2" t="s">
        <v>35</v>
      </c>
      <c r="O186" s="11">
        <v>44736.434579953704</v>
      </c>
      <c r="P186" s="11">
        <v>44736.434888541669</v>
      </c>
      <c r="Q186" s="27">
        <f t="shared" si="6"/>
        <v>3.0858796526445076E-4</v>
      </c>
      <c r="R186" s="65">
        <f t="shared" si="8"/>
        <v>1.0914814847637899E-3</v>
      </c>
      <c r="S186" s="2">
        <v>0</v>
      </c>
      <c r="T186" s="2" t="s">
        <v>36</v>
      </c>
      <c r="U186" s="2" t="s">
        <v>37</v>
      </c>
      <c r="V186" s="2" t="s">
        <v>38</v>
      </c>
      <c r="W186" s="2" t="s">
        <v>35</v>
      </c>
      <c r="X186" s="2" t="s">
        <v>35</v>
      </c>
      <c r="Y186" s="2" t="s">
        <v>35</v>
      </c>
      <c r="Z186" s="2" t="b">
        <v>0</v>
      </c>
      <c r="AA186" s="2" t="s">
        <v>35</v>
      </c>
      <c r="AB186" s="2" t="s">
        <v>35</v>
      </c>
      <c r="AC186" s="2">
        <v>6</v>
      </c>
      <c r="AD186" s="2" t="s">
        <v>35</v>
      </c>
      <c r="AE186" s="2" t="s">
        <v>492</v>
      </c>
      <c r="AF186" s="11">
        <v>44736.387499942131</v>
      </c>
      <c r="AG186" s="53"/>
      <c r="AH186" s="53" t="b">
        <f t="shared" si="7"/>
        <v>0</v>
      </c>
      <c r="AI186" s="54" t="str" cm="1">
        <f t="array" ref="AI186">TRANSPOSE(_xlfn._xlws.FILTER(images!L:L,images!F:F=Barrierenmessung!A186, ""))</f>
        <v>https://captureandgo.cloudlab.zhaw.ch/uploads/image_aa29cbf1bc.jpg</v>
      </c>
      <c r="AJ186" s="2"/>
      <c r="AK186" s="2"/>
      <c r="AL186" s="2"/>
      <c r="AM186" s="2"/>
      <c r="AN186" s="2"/>
    </row>
    <row r="187" spans="1:40" ht="16" x14ac:dyDescent="0.2">
      <c r="A187" s="2" t="s">
        <v>638</v>
      </c>
      <c r="B187" s="46">
        <v>186</v>
      </c>
      <c r="C187" s="2" t="b">
        <v>0</v>
      </c>
      <c r="D187" s="2" t="b">
        <v>0</v>
      </c>
      <c r="E187" s="2" t="b">
        <v>0</v>
      </c>
      <c r="F187" s="2" t="b">
        <v>0</v>
      </c>
      <c r="G187" s="2" t="s">
        <v>31</v>
      </c>
      <c r="H187" s="2" t="s">
        <v>639</v>
      </c>
      <c r="I187" s="2" t="s">
        <v>640</v>
      </c>
      <c r="J187" s="2" t="s">
        <v>621</v>
      </c>
      <c r="K187" s="2" t="s">
        <v>35</v>
      </c>
      <c r="L187" s="2" t="s">
        <v>35</v>
      </c>
      <c r="M187" s="2" t="s">
        <v>35</v>
      </c>
      <c r="N187" s="2" t="s">
        <v>35</v>
      </c>
      <c r="O187" s="11">
        <v>44736.435659062503</v>
      </c>
      <c r="P187" s="11">
        <v>44736.435957291666</v>
      </c>
      <c r="Q187" s="27">
        <f t="shared" si="6"/>
        <v>2.9822916258126497E-4</v>
      </c>
      <c r="R187" s="65">
        <f t="shared" si="8"/>
        <v>1.068749996193219E-3</v>
      </c>
      <c r="S187" s="2">
        <v>0</v>
      </c>
      <c r="T187" s="2" t="s">
        <v>36</v>
      </c>
      <c r="U187" s="2" t="s">
        <v>37</v>
      </c>
      <c r="V187" s="2" t="s">
        <v>38</v>
      </c>
      <c r="W187" s="2" t="s">
        <v>35</v>
      </c>
      <c r="X187" s="2" t="s">
        <v>35</v>
      </c>
      <c r="Y187" s="2" t="s">
        <v>35</v>
      </c>
      <c r="Z187" s="2" t="b">
        <v>0</v>
      </c>
      <c r="AA187" s="2" t="s">
        <v>35</v>
      </c>
      <c r="AB187" s="2" t="s">
        <v>35</v>
      </c>
      <c r="AC187" s="2">
        <v>6</v>
      </c>
      <c r="AD187" s="2" t="s">
        <v>35</v>
      </c>
      <c r="AE187" s="2" t="s">
        <v>492</v>
      </c>
      <c r="AF187" s="11">
        <v>44736.387499942131</v>
      </c>
      <c r="AG187" s="53"/>
      <c r="AH187" s="53" t="b">
        <f t="shared" si="7"/>
        <v>0</v>
      </c>
      <c r="AI187" s="54" t="str" cm="1">
        <f t="array" ref="AI187">TRANSPOSE(_xlfn._xlws.FILTER(images!L:L,images!F:F=Barrierenmessung!A187, ""))</f>
        <v>https://captureandgo.cloudlab.zhaw.ch/uploads/image_bc3c385e41.jpg</v>
      </c>
      <c r="AJ187" s="2"/>
      <c r="AK187" s="2"/>
      <c r="AL187" s="2"/>
      <c r="AM187" s="2"/>
      <c r="AN187" s="2"/>
    </row>
    <row r="188" spans="1:40" ht="16" x14ac:dyDescent="0.2">
      <c r="A188" s="2" t="s">
        <v>641</v>
      </c>
      <c r="B188" s="46">
        <v>187</v>
      </c>
      <c r="C188" s="2" t="b">
        <v>0</v>
      </c>
      <c r="D188" s="2" t="b">
        <v>0</v>
      </c>
      <c r="E188" s="2" t="b">
        <v>0</v>
      </c>
      <c r="F188" s="2" t="b">
        <v>0</v>
      </c>
      <c r="G188" s="2" t="s">
        <v>31</v>
      </c>
      <c r="H188" s="2" t="s">
        <v>642</v>
      </c>
      <c r="I188" s="2" t="s">
        <v>643</v>
      </c>
      <c r="J188" s="2" t="s">
        <v>35</v>
      </c>
      <c r="K188" s="2" t="s">
        <v>35</v>
      </c>
      <c r="L188" s="2" t="s">
        <v>35</v>
      </c>
      <c r="M188" s="2" t="s">
        <v>35</v>
      </c>
      <c r="N188" s="2" t="s">
        <v>35</v>
      </c>
      <c r="O188" s="11">
        <v>44736.436488715277</v>
      </c>
      <c r="P188" s="11">
        <v>44736.436678391205</v>
      </c>
      <c r="Q188" s="27">
        <f t="shared" si="6"/>
        <v>1.8967592768603936E-4</v>
      </c>
      <c r="R188" s="65">
        <f t="shared" si="8"/>
        <v>7.2109953907784075E-4</v>
      </c>
      <c r="S188" s="2">
        <v>0</v>
      </c>
      <c r="T188" s="2" t="s">
        <v>36</v>
      </c>
      <c r="U188" s="2" t="s">
        <v>37</v>
      </c>
      <c r="V188" s="2" t="s">
        <v>38</v>
      </c>
      <c r="W188" s="2" t="s">
        <v>35</v>
      </c>
      <c r="X188" s="2" t="s">
        <v>35</v>
      </c>
      <c r="Y188" s="2" t="s">
        <v>35</v>
      </c>
      <c r="Z188" s="2" t="b">
        <v>0</v>
      </c>
      <c r="AA188" s="2" t="s">
        <v>35</v>
      </c>
      <c r="AB188" s="2" t="s">
        <v>35</v>
      </c>
      <c r="AC188" s="2" t="s">
        <v>35</v>
      </c>
      <c r="AD188" s="2">
        <v>5</v>
      </c>
      <c r="AE188" s="2" t="s">
        <v>492</v>
      </c>
      <c r="AF188" s="11">
        <v>44736.387499942131</v>
      </c>
      <c r="AG188" s="53"/>
      <c r="AH188" s="53" t="b">
        <f t="shared" si="7"/>
        <v>0</v>
      </c>
      <c r="AI188" s="54" t="str" cm="1">
        <f t="array" ref="AI188">TRANSPOSE(_xlfn._xlws.FILTER(images!L:L,images!F:F=Barrierenmessung!A188, ""))</f>
        <v>https://captureandgo.cloudlab.zhaw.ch/uploads/image_da8d2054e3.jpg</v>
      </c>
      <c r="AJ188" s="2"/>
      <c r="AK188" s="2"/>
      <c r="AL188" s="2"/>
      <c r="AM188" s="2"/>
      <c r="AN188" s="2"/>
    </row>
    <row r="189" spans="1:40" ht="16" x14ac:dyDescent="0.2">
      <c r="A189" s="2" t="s">
        <v>644</v>
      </c>
      <c r="B189" s="46">
        <v>188</v>
      </c>
      <c r="C189" s="2" t="b">
        <v>0</v>
      </c>
      <c r="D189" s="2" t="b">
        <v>0</v>
      </c>
      <c r="E189" s="2" t="b">
        <v>0</v>
      </c>
      <c r="F189" s="2" t="b">
        <v>0</v>
      </c>
      <c r="G189" s="2" t="s">
        <v>31</v>
      </c>
      <c r="H189" s="2" t="s">
        <v>645</v>
      </c>
      <c r="I189" s="2" t="s">
        <v>646</v>
      </c>
      <c r="J189" s="2" t="s">
        <v>621</v>
      </c>
      <c r="K189" s="2" t="s">
        <v>35</v>
      </c>
      <c r="L189" s="2" t="s">
        <v>35</v>
      </c>
      <c r="M189" s="2" t="s">
        <v>35</v>
      </c>
      <c r="N189" s="2" t="s">
        <v>35</v>
      </c>
      <c r="O189" s="11">
        <v>44736.437247499998</v>
      </c>
      <c r="P189" s="11">
        <v>44736.437903981481</v>
      </c>
      <c r="Q189" s="27">
        <f t="shared" si="6"/>
        <v>6.564814830198884E-4</v>
      </c>
      <c r="R189" s="65">
        <f t="shared" si="8"/>
        <v>1.2255902765900828E-3</v>
      </c>
      <c r="S189" s="2">
        <v>0</v>
      </c>
      <c r="T189" s="2" t="s">
        <v>36</v>
      </c>
      <c r="U189" s="2" t="s">
        <v>37</v>
      </c>
      <c r="V189" s="2" t="s">
        <v>38</v>
      </c>
      <c r="W189" s="2" t="s">
        <v>35</v>
      </c>
      <c r="X189" s="2" t="s">
        <v>35</v>
      </c>
      <c r="Y189" s="2" t="s">
        <v>35</v>
      </c>
      <c r="Z189" s="2" t="b">
        <v>0</v>
      </c>
      <c r="AA189" s="2" t="s">
        <v>35</v>
      </c>
      <c r="AB189" s="2" t="s">
        <v>35</v>
      </c>
      <c r="AC189" s="2">
        <v>7</v>
      </c>
      <c r="AD189" s="2" t="s">
        <v>35</v>
      </c>
      <c r="AE189" s="2" t="s">
        <v>492</v>
      </c>
      <c r="AF189" s="11">
        <v>44736.387499942131</v>
      </c>
      <c r="AG189" s="53"/>
      <c r="AH189" s="53" t="b">
        <f t="shared" si="7"/>
        <v>0</v>
      </c>
      <c r="AI189" s="54" t="str" cm="1">
        <f t="array" ref="AI189:AK189">TRANSPOSE(_xlfn._xlws.FILTER(images!L:L,images!F:F=Barrierenmessung!A189, ""))</f>
        <v>https://captureandgo.cloudlab.zhaw.ch/uploads/image_536b00a68e.jpg</v>
      </c>
      <c r="AJ189" s="2" t="str">
        <v>https://captureandgo.cloudlab.zhaw.ch/uploads/image_a1d58c27e0.jpg</v>
      </c>
      <c r="AK189" s="2" t="str">
        <v>https://captureandgo.cloudlab.zhaw.ch/uploads/image_5b4e7fb563.jpg</v>
      </c>
      <c r="AL189" s="2"/>
      <c r="AM189" s="2"/>
      <c r="AN189" s="2"/>
    </row>
    <row r="190" spans="1:40" ht="16" x14ac:dyDescent="0.2">
      <c r="A190" s="2" t="s">
        <v>647</v>
      </c>
      <c r="B190" s="46">
        <v>189</v>
      </c>
      <c r="C190" s="2" t="b">
        <v>0</v>
      </c>
      <c r="D190" s="2" t="b">
        <v>0</v>
      </c>
      <c r="E190" s="2" t="b">
        <v>0</v>
      </c>
      <c r="F190" s="2" t="b">
        <v>0</v>
      </c>
      <c r="G190" s="2" t="s">
        <v>31</v>
      </c>
      <c r="H190" s="2" t="s">
        <v>648</v>
      </c>
      <c r="I190" s="2" t="s">
        <v>649</v>
      </c>
      <c r="J190" s="2" t="s">
        <v>621</v>
      </c>
      <c r="K190" s="2" t="s">
        <v>35</v>
      </c>
      <c r="L190" s="2" t="s">
        <v>35</v>
      </c>
      <c r="M190" s="2" t="s">
        <v>35</v>
      </c>
      <c r="N190" s="2" t="s">
        <v>35</v>
      </c>
      <c r="O190" s="11">
        <v>44736.439377673611</v>
      </c>
      <c r="P190" s="11">
        <v>44736.439802581015</v>
      </c>
      <c r="Q190" s="27">
        <f t="shared" si="6"/>
        <v>4.2490740452194586E-4</v>
      </c>
      <c r="R190" s="65">
        <f t="shared" si="8"/>
        <v>1.8985995338880457E-3</v>
      </c>
      <c r="S190" s="2">
        <v>0</v>
      </c>
      <c r="T190" s="2" t="s">
        <v>36</v>
      </c>
      <c r="U190" s="2" t="s">
        <v>37</v>
      </c>
      <c r="V190" s="2" t="s">
        <v>38</v>
      </c>
      <c r="W190" s="2" t="s">
        <v>35</v>
      </c>
      <c r="X190" s="2" t="s">
        <v>35</v>
      </c>
      <c r="Y190" s="2" t="s">
        <v>35</v>
      </c>
      <c r="Z190" s="2" t="b">
        <v>0</v>
      </c>
      <c r="AA190" s="2" t="s">
        <v>35</v>
      </c>
      <c r="AB190" s="2" t="s">
        <v>35</v>
      </c>
      <c r="AC190" s="2">
        <v>4</v>
      </c>
      <c r="AD190" s="2">
        <v>3</v>
      </c>
      <c r="AE190" s="2" t="s">
        <v>492</v>
      </c>
      <c r="AF190" s="11">
        <v>44736.387499942131</v>
      </c>
      <c r="AG190" s="53"/>
      <c r="AH190" s="53" t="b">
        <f t="shared" si="7"/>
        <v>0</v>
      </c>
      <c r="AI190" s="54" t="str" cm="1">
        <f t="array" ref="AI190">TRANSPOSE(_xlfn._xlws.FILTER(images!L:L,images!F:F=Barrierenmessung!A190, ""))</f>
        <v>https://captureandgo.cloudlab.zhaw.ch/uploads/image_56c9188754.jpg</v>
      </c>
      <c r="AJ190" s="2"/>
      <c r="AK190" s="2"/>
      <c r="AL190" s="2"/>
      <c r="AM190" s="2"/>
      <c r="AN190" s="2"/>
    </row>
    <row r="191" spans="1:40" ht="16" x14ac:dyDescent="0.2">
      <c r="A191" s="2" t="s">
        <v>650</v>
      </c>
      <c r="B191" s="46">
        <v>190</v>
      </c>
      <c r="C191" s="2" t="b">
        <v>0</v>
      </c>
      <c r="D191" s="2" t="b">
        <v>0</v>
      </c>
      <c r="E191" s="2" t="b">
        <v>0</v>
      </c>
      <c r="F191" s="2" t="b">
        <v>0</v>
      </c>
      <c r="G191" s="2" t="s">
        <v>31</v>
      </c>
      <c r="H191" s="2" t="s">
        <v>651</v>
      </c>
      <c r="I191" s="2" t="s">
        <v>652</v>
      </c>
      <c r="J191" s="2" t="s">
        <v>35</v>
      </c>
      <c r="K191" s="2" t="s">
        <v>35</v>
      </c>
      <c r="L191" s="2" t="s">
        <v>35</v>
      </c>
      <c r="M191" s="2" t="s">
        <v>35</v>
      </c>
      <c r="N191" s="2" t="s">
        <v>35</v>
      </c>
      <c r="O191" s="11">
        <v>44736.439967060185</v>
      </c>
      <c r="P191" s="11">
        <v>44736.440332500002</v>
      </c>
      <c r="Q191" s="27">
        <f t="shared" si="6"/>
        <v>3.6543981696013361E-4</v>
      </c>
      <c r="R191" s="65">
        <f t="shared" si="8"/>
        <v>5.2991898701293394E-4</v>
      </c>
      <c r="S191" s="2">
        <v>0</v>
      </c>
      <c r="T191" s="2" t="s">
        <v>36</v>
      </c>
      <c r="U191" s="2" t="s">
        <v>37</v>
      </c>
      <c r="V191" s="2" t="s">
        <v>38</v>
      </c>
      <c r="W191" s="2" t="s">
        <v>35</v>
      </c>
      <c r="X191" s="2" t="s">
        <v>35</v>
      </c>
      <c r="Y191" s="2" t="s">
        <v>35</v>
      </c>
      <c r="Z191" s="2" t="b">
        <v>0</v>
      </c>
      <c r="AA191" s="2" t="s">
        <v>35</v>
      </c>
      <c r="AB191" s="2" t="s">
        <v>35</v>
      </c>
      <c r="AC191" s="2" t="s">
        <v>35</v>
      </c>
      <c r="AD191" s="2">
        <v>6</v>
      </c>
      <c r="AE191" s="2" t="s">
        <v>492</v>
      </c>
      <c r="AF191" s="11">
        <v>44736.387499942131</v>
      </c>
      <c r="AG191" s="53"/>
      <c r="AH191" s="53" t="b">
        <f t="shared" si="7"/>
        <v>0</v>
      </c>
      <c r="AI191" s="54" t="str" cm="1">
        <f t="array" ref="AI191">TRANSPOSE(_xlfn._xlws.FILTER(images!L:L,images!F:F=Barrierenmessung!A191, ""))</f>
        <v>https://captureandgo.cloudlab.zhaw.ch/uploads/image_6296df424e.jpg</v>
      </c>
      <c r="AJ191" s="2"/>
      <c r="AK191" s="2"/>
      <c r="AL191" s="2"/>
      <c r="AM191" s="2"/>
      <c r="AN191" s="2"/>
    </row>
    <row r="192" spans="1:40" ht="16" x14ac:dyDescent="0.2">
      <c r="A192" s="2" t="s">
        <v>653</v>
      </c>
      <c r="B192" s="46">
        <v>191</v>
      </c>
      <c r="C192" s="2" t="b">
        <v>0</v>
      </c>
      <c r="D192" s="2" t="b">
        <v>0</v>
      </c>
      <c r="E192" s="2" t="b">
        <v>0</v>
      </c>
      <c r="F192" s="2" t="b">
        <v>0</v>
      </c>
      <c r="G192" s="2" t="s">
        <v>31</v>
      </c>
      <c r="H192" s="2" t="s">
        <v>654</v>
      </c>
      <c r="I192" s="2" t="s">
        <v>655</v>
      </c>
      <c r="J192" s="2" t="s">
        <v>621</v>
      </c>
      <c r="K192" s="2" t="s">
        <v>35</v>
      </c>
      <c r="L192" s="2" t="s">
        <v>35</v>
      </c>
      <c r="M192" s="2" t="s">
        <v>35</v>
      </c>
      <c r="N192" s="2" t="s">
        <v>35</v>
      </c>
      <c r="O192" s="11">
        <v>44736.440649652781</v>
      </c>
      <c r="P192" s="11">
        <v>44736.440928680553</v>
      </c>
      <c r="Q192" s="27">
        <f t="shared" si="6"/>
        <v>2.7902777219424024E-4</v>
      </c>
      <c r="R192" s="65">
        <f t="shared" si="8"/>
        <v>5.9618055092869326E-4</v>
      </c>
      <c r="S192" s="2">
        <v>0</v>
      </c>
      <c r="T192" s="2" t="s">
        <v>36</v>
      </c>
      <c r="U192" s="2" t="s">
        <v>37</v>
      </c>
      <c r="V192" s="2" t="s">
        <v>38</v>
      </c>
      <c r="W192" s="2" t="s">
        <v>35</v>
      </c>
      <c r="X192" s="2" t="s">
        <v>35</v>
      </c>
      <c r="Y192" s="2" t="s">
        <v>35</v>
      </c>
      <c r="Z192" s="2" t="b">
        <v>0</v>
      </c>
      <c r="AA192" s="2" t="s">
        <v>35</v>
      </c>
      <c r="AB192" s="2" t="s">
        <v>35</v>
      </c>
      <c r="AC192" s="2">
        <v>4</v>
      </c>
      <c r="AD192" s="2">
        <v>5</v>
      </c>
      <c r="AE192" s="2" t="s">
        <v>492</v>
      </c>
      <c r="AF192" s="11">
        <v>44736.387499942131</v>
      </c>
      <c r="AG192" s="53"/>
      <c r="AH192" s="53" t="b">
        <f t="shared" si="7"/>
        <v>0</v>
      </c>
      <c r="AI192" s="54" t="str" cm="1">
        <f t="array" ref="AI192">TRANSPOSE(_xlfn._xlws.FILTER(images!L:L,images!F:F=Barrierenmessung!A192, ""))</f>
        <v>https://captureandgo.cloudlab.zhaw.ch/uploads/image_8a53df9d18.jpg</v>
      </c>
      <c r="AJ192" s="2"/>
      <c r="AK192" s="2"/>
      <c r="AL192" s="2"/>
      <c r="AM192" s="2"/>
      <c r="AN192" s="2"/>
    </row>
    <row r="193" spans="1:40" ht="16" x14ac:dyDescent="0.2">
      <c r="A193" s="2" t="s">
        <v>656</v>
      </c>
      <c r="B193" s="46">
        <v>192</v>
      </c>
      <c r="C193" s="2" t="b">
        <v>0</v>
      </c>
      <c r="D193" s="2" t="b">
        <v>0</v>
      </c>
      <c r="E193" s="2" t="b">
        <v>0</v>
      </c>
      <c r="F193" s="2" t="b">
        <v>0</v>
      </c>
      <c r="G193" s="2" t="s">
        <v>31</v>
      </c>
      <c r="H193" s="2" t="s">
        <v>657</v>
      </c>
      <c r="I193" s="2" t="s">
        <v>658</v>
      </c>
      <c r="J193" s="2" t="s">
        <v>35</v>
      </c>
      <c r="K193" s="2" t="s">
        <v>35</v>
      </c>
      <c r="L193" s="2" t="s">
        <v>35</v>
      </c>
      <c r="M193" s="2" t="s">
        <v>35</v>
      </c>
      <c r="N193" s="2" t="s">
        <v>35</v>
      </c>
      <c r="O193" s="11">
        <v>44736.44180591435</v>
      </c>
      <c r="P193" s="11">
        <v>44736.441958113428</v>
      </c>
      <c r="Q193" s="27">
        <f t="shared" si="6"/>
        <v>1.5219907800201327E-4</v>
      </c>
      <c r="R193" s="65">
        <f t="shared" si="8"/>
        <v>1.0294328749296255E-3</v>
      </c>
      <c r="S193" s="2">
        <v>0</v>
      </c>
      <c r="T193" s="2" t="s">
        <v>36</v>
      </c>
      <c r="U193" s="2" t="s">
        <v>37</v>
      </c>
      <c r="V193" s="2" t="s">
        <v>38</v>
      </c>
      <c r="W193" s="2" t="s">
        <v>35</v>
      </c>
      <c r="X193" s="2" t="s">
        <v>35</v>
      </c>
      <c r="Y193" s="2" t="s">
        <v>35</v>
      </c>
      <c r="Z193" s="2" t="b">
        <v>0</v>
      </c>
      <c r="AA193" s="2" t="s">
        <v>35</v>
      </c>
      <c r="AB193" s="2" t="s">
        <v>35</v>
      </c>
      <c r="AC193" s="2" t="s">
        <v>35</v>
      </c>
      <c r="AD193" s="2">
        <v>2</v>
      </c>
      <c r="AE193" s="2" t="s">
        <v>492</v>
      </c>
      <c r="AF193" s="11">
        <v>44736.387499942131</v>
      </c>
      <c r="AG193" s="53"/>
      <c r="AH193" s="53" t="b">
        <f t="shared" si="7"/>
        <v>0</v>
      </c>
      <c r="AI193" s="54" t="str" cm="1">
        <f t="array" ref="AI193">TRANSPOSE(_xlfn._xlws.FILTER(images!L:L,images!F:F=Barrierenmessung!A193, ""))</f>
        <v>https://captureandgo.cloudlab.zhaw.ch/uploads/image_9e9eb09f84.jpg</v>
      </c>
      <c r="AJ193" s="2"/>
      <c r="AK193" s="2"/>
      <c r="AL193" s="2"/>
      <c r="AM193" s="2"/>
      <c r="AN193" s="2"/>
    </row>
    <row r="194" spans="1:40" ht="16" x14ac:dyDescent="0.2">
      <c r="A194" s="2" t="s">
        <v>659</v>
      </c>
      <c r="B194" s="46">
        <v>193</v>
      </c>
      <c r="C194" s="2" t="b">
        <v>0</v>
      </c>
      <c r="D194" s="2" t="b">
        <v>0</v>
      </c>
      <c r="E194" s="2" t="b">
        <v>0</v>
      </c>
      <c r="F194" s="2" t="b">
        <v>0</v>
      </c>
      <c r="G194" s="2" t="s">
        <v>31</v>
      </c>
      <c r="H194" s="2" t="s">
        <v>660</v>
      </c>
      <c r="I194" s="2" t="s">
        <v>661</v>
      </c>
      <c r="J194" s="2" t="s">
        <v>662</v>
      </c>
      <c r="K194" s="2" t="s">
        <v>35</v>
      </c>
      <c r="L194" s="2" t="s">
        <v>35</v>
      </c>
      <c r="M194" s="2" t="s">
        <v>35</v>
      </c>
      <c r="N194" s="2" t="s">
        <v>35</v>
      </c>
      <c r="O194" s="11">
        <v>44736.442537499999</v>
      </c>
      <c r="P194" s="11">
        <v>44736.442853842593</v>
      </c>
      <c r="Q194" s="27">
        <f t="shared" ref="Q194:Q257" si="9">P194-O194</f>
        <v>3.1634259357815608E-4</v>
      </c>
      <c r="R194" s="65">
        <f t="shared" si="8"/>
        <v>8.9572916476754472E-4</v>
      </c>
      <c r="S194" s="2">
        <v>0</v>
      </c>
      <c r="T194" s="2" t="s">
        <v>36</v>
      </c>
      <c r="U194" s="2" t="s">
        <v>37</v>
      </c>
      <c r="V194" s="2" t="s">
        <v>38</v>
      </c>
      <c r="W194" s="2" t="s">
        <v>35</v>
      </c>
      <c r="X194" s="2" t="s">
        <v>35</v>
      </c>
      <c r="Y194" s="2" t="s">
        <v>35</v>
      </c>
      <c r="Z194" s="2" t="b">
        <v>0</v>
      </c>
      <c r="AA194" s="2" t="s">
        <v>35</v>
      </c>
      <c r="AB194" s="2" t="s">
        <v>35</v>
      </c>
      <c r="AC194" s="2">
        <v>6</v>
      </c>
      <c r="AD194" s="2" t="s">
        <v>35</v>
      </c>
      <c r="AE194" s="2" t="s">
        <v>492</v>
      </c>
      <c r="AF194" s="11">
        <v>44736.387499942131</v>
      </c>
      <c r="AG194" s="53"/>
      <c r="AH194" s="53" t="b">
        <f t="shared" si="7"/>
        <v>0</v>
      </c>
      <c r="AI194" s="54" t="str" cm="1">
        <f t="array" ref="AI194">TRANSPOSE(_xlfn._xlws.FILTER(images!L:L,images!F:F=Barrierenmessung!A194, ""))</f>
        <v>https://captureandgo.cloudlab.zhaw.ch/uploads/image_b0254bac4b.jpg</v>
      </c>
      <c r="AJ194" s="2"/>
      <c r="AK194" s="2"/>
      <c r="AL194" s="2"/>
      <c r="AM194" s="2"/>
      <c r="AN194" s="2"/>
    </row>
    <row r="195" spans="1:40" ht="16" x14ac:dyDescent="0.2">
      <c r="A195" s="2" t="s">
        <v>663</v>
      </c>
      <c r="B195" s="46">
        <v>194</v>
      </c>
      <c r="C195" s="2" t="b">
        <v>0</v>
      </c>
      <c r="D195" s="2" t="b">
        <v>0</v>
      </c>
      <c r="E195" s="2" t="b">
        <v>0</v>
      </c>
      <c r="F195" s="2" t="b">
        <v>0</v>
      </c>
      <c r="G195" s="2" t="s">
        <v>31</v>
      </c>
      <c r="H195" s="2" t="s">
        <v>664</v>
      </c>
      <c r="I195" s="2" t="s">
        <v>665</v>
      </c>
      <c r="J195" s="2" t="s">
        <v>35</v>
      </c>
      <c r="K195" s="2" t="s">
        <v>35</v>
      </c>
      <c r="L195" s="2" t="s">
        <v>35</v>
      </c>
      <c r="M195" s="2" t="s">
        <v>35</v>
      </c>
      <c r="N195" s="2" t="s">
        <v>35</v>
      </c>
      <c r="O195" s="11">
        <v>44736.443556087965</v>
      </c>
      <c r="P195" s="11">
        <v>44736.443994502311</v>
      </c>
      <c r="Q195" s="27">
        <f t="shared" si="9"/>
        <v>4.3841434671776369E-4</v>
      </c>
      <c r="R195" s="65">
        <f t="shared" si="8"/>
        <v>1.1406597186578438E-3</v>
      </c>
      <c r="S195" s="2">
        <v>0</v>
      </c>
      <c r="T195" s="2" t="s">
        <v>36</v>
      </c>
      <c r="U195" s="2" t="s">
        <v>37</v>
      </c>
      <c r="V195" s="2" t="s">
        <v>38</v>
      </c>
      <c r="W195" s="2" t="s">
        <v>35</v>
      </c>
      <c r="X195" s="2" t="s">
        <v>35</v>
      </c>
      <c r="Y195" s="2" t="s">
        <v>35</v>
      </c>
      <c r="Z195" s="2" t="b">
        <v>0</v>
      </c>
      <c r="AA195" s="2" t="s">
        <v>35</v>
      </c>
      <c r="AB195" s="2" t="s">
        <v>35</v>
      </c>
      <c r="AC195" s="2">
        <v>5</v>
      </c>
      <c r="AD195" s="2">
        <v>5</v>
      </c>
      <c r="AE195" s="2" t="s">
        <v>492</v>
      </c>
      <c r="AF195" s="11">
        <v>44736.387499942131</v>
      </c>
      <c r="AG195" s="53"/>
      <c r="AH195" s="53" t="b">
        <f t="shared" ref="AH195:AH258" si="10">IF(Q195&lt;TIME(0,0,1),"TRUE")</f>
        <v>0</v>
      </c>
      <c r="AI195" s="54" t="str" cm="1">
        <f t="array" ref="AI195">TRANSPOSE(_xlfn._xlws.FILTER(images!L:L,images!F:F=Barrierenmessung!A195, ""))</f>
        <v>https://captureandgo.cloudlab.zhaw.ch/uploads/image_1ad429564f.jpg</v>
      </c>
      <c r="AJ195" s="2"/>
      <c r="AK195" s="2"/>
      <c r="AL195" s="2"/>
      <c r="AM195" s="2"/>
      <c r="AN195" s="2"/>
    </row>
    <row r="196" spans="1:40" ht="16" x14ac:dyDescent="0.2">
      <c r="A196" s="2" t="s">
        <v>666</v>
      </c>
      <c r="B196" s="46">
        <v>195</v>
      </c>
      <c r="C196" s="2" t="b">
        <v>0</v>
      </c>
      <c r="D196" s="2" t="b">
        <v>0</v>
      </c>
      <c r="E196" s="2" t="b">
        <v>0</v>
      </c>
      <c r="F196" s="2" t="b">
        <v>0</v>
      </c>
      <c r="G196" s="2" t="s">
        <v>31</v>
      </c>
      <c r="H196" s="2" t="s">
        <v>667</v>
      </c>
      <c r="I196" s="2" t="s">
        <v>668</v>
      </c>
      <c r="J196" s="2" t="s">
        <v>35</v>
      </c>
      <c r="K196" s="2" t="s">
        <v>35</v>
      </c>
      <c r="L196" s="2" t="s">
        <v>35</v>
      </c>
      <c r="M196" s="2" t="s">
        <v>35</v>
      </c>
      <c r="N196" s="2" t="s">
        <v>35</v>
      </c>
      <c r="O196" s="11">
        <v>44736.444668240743</v>
      </c>
      <c r="P196" s="11">
        <v>44736.444909027778</v>
      </c>
      <c r="Q196" s="27">
        <f t="shared" si="9"/>
        <v>2.4078703427221626E-4</v>
      </c>
      <c r="R196" s="65">
        <f t="shared" si="8"/>
        <v>9.1452546621439978E-4</v>
      </c>
      <c r="S196" s="2">
        <v>0</v>
      </c>
      <c r="T196" s="2" t="s">
        <v>36</v>
      </c>
      <c r="U196" s="2" t="s">
        <v>37</v>
      </c>
      <c r="V196" s="2" t="s">
        <v>38</v>
      </c>
      <c r="W196" s="2" t="s">
        <v>35</v>
      </c>
      <c r="X196" s="2" t="s">
        <v>35</v>
      </c>
      <c r="Y196" s="2" t="s">
        <v>35</v>
      </c>
      <c r="Z196" s="2" t="b">
        <v>0</v>
      </c>
      <c r="AA196" s="2" t="s">
        <v>35</v>
      </c>
      <c r="AB196" s="2" t="s">
        <v>35</v>
      </c>
      <c r="AC196" s="2" t="s">
        <v>35</v>
      </c>
      <c r="AD196" s="2">
        <v>3</v>
      </c>
      <c r="AE196" s="2" t="s">
        <v>492</v>
      </c>
      <c r="AF196" s="11">
        <v>44736.387499942131</v>
      </c>
      <c r="AG196" s="53"/>
      <c r="AH196" s="53" t="b">
        <f t="shared" si="10"/>
        <v>0</v>
      </c>
      <c r="AI196" s="54" t="str" cm="1">
        <f t="array" ref="AI196">TRANSPOSE(_xlfn._xlws.FILTER(images!L:L,images!F:F=Barrierenmessung!A196, ""))</f>
        <v>https://captureandgo.cloudlab.zhaw.ch/uploads/image_24c6e119a5.jpg</v>
      </c>
      <c r="AJ196" s="2"/>
      <c r="AK196" s="2"/>
      <c r="AL196" s="2"/>
      <c r="AM196" s="2"/>
      <c r="AN196" s="2"/>
    </row>
    <row r="197" spans="1:40" ht="16" x14ac:dyDescent="0.2">
      <c r="A197" s="2" t="s">
        <v>669</v>
      </c>
      <c r="B197" s="46">
        <v>196</v>
      </c>
      <c r="C197" s="2" t="b">
        <v>0</v>
      </c>
      <c r="D197" s="2" t="b">
        <v>0</v>
      </c>
      <c r="E197" s="2" t="b">
        <v>0</v>
      </c>
      <c r="F197" s="2" t="b">
        <v>0</v>
      </c>
      <c r="G197" s="2" t="s">
        <v>31</v>
      </c>
      <c r="H197" s="2" t="s">
        <v>670</v>
      </c>
      <c r="I197" s="2" t="s">
        <v>671</v>
      </c>
      <c r="J197" s="2" t="s">
        <v>602</v>
      </c>
      <c r="K197" s="2" t="s">
        <v>35</v>
      </c>
      <c r="L197" s="2" t="s">
        <v>35</v>
      </c>
      <c r="M197" s="2" t="s">
        <v>35</v>
      </c>
      <c r="N197" s="2" t="s">
        <v>35</v>
      </c>
      <c r="O197" s="11">
        <v>44736.446847164349</v>
      </c>
      <c r="P197" s="11">
        <v>44736.447243414354</v>
      </c>
      <c r="Q197" s="27">
        <f t="shared" si="9"/>
        <v>3.9625000499654561E-4</v>
      </c>
      <c r="R197" s="65">
        <f t="shared" ref="R197:R260" si="11">MIN(P197-P196, P197-AF197)</f>
        <v>2.3343865759670734E-3</v>
      </c>
      <c r="S197" s="2">
        <v>0</v>
      </c>
      <c r="T197" s="2" t="s">
        <v>36</v>
      </c>
      <c r="U197" s="2" t="s">
        <v>37</v>
      </c>
      <c r="V197" s="2" t="s">
        <v>38</v>
      </c>
      <c r="W197" s="2" t="s">
        <v>35</v>
      </c>
      <c r="X197" s="2" t="s">
        <v>35</v>
      </c>
      <c r="Y197" s="2" t="s">
        <v>35</v>
      </c>
      <c r="Z197" s="2" t="b">
        <v>0</v>
      </c>
      <c r="AA197" s="2" t="s">
        <v>35</v>
      </c>
      <c r="AB197" s="2" t="s">
        <v>35</v>
      </c>
      <c r="AC197" s="2">
        <v>4</v>
      </c>
      <c r="AD197" s="2" t="s">
        <v>35</v>
      </c>
      <c r="AE197" s="2" t="s">
        <v>492</v>
      </c>
      <c r="AF197" s="11">
        <v>44736.387499942131</v>
      </c>
      <c r="AG197" s="53"/>
      <c r="AH197" s="53" t="b">
        <f t="shared" si="10"/>
        <v>0</v>
      </c>
      <c r="AI197" s="54" t="str" cm="1">
        <f t="array" ref="AI197">TRANSPOSE(_xlfn._xlws.FILTER(images!L:L,images!F:F=Barrierenmessung!A197, ""))</f>
        <v>https://captureandgo.cloudlab.zhaw.ch/uploads/image_5dd00282c8.jpg</v>
      </c>
      <c r="AJ197" s="2"/>
      <c r="AK197" s="2"/>
      <c r="AL197" s="2"/>
      <c r="AM197" s="2"/>
      <c r="AN197" s="2"/>
    </row>
    <row r="198" spans="1:40" ht="16" x14ac:dyDescent="0.2">
      <c r="A198" s="2" t="s">
        <v>672</v>
      </c>
      <c r="B198" s="46">
        <v>197</v>
      </c>
      <c r="C198" s="2" t="b">
        <v>0</v>
      </c>
      <c r="D198" s="2" t="b">
        <v>0</v>
      </c>
      <c r="E198" s="2" t="b">
        <v>0</v>
      </c>
      <c r="F198" s="2" t="b">
        <v>0</v>
      </c>
      <c r="G198" s="2" t="s">
        <v>31</v>
      </c>
      <c r="H198" s="2" t="s">
        <v>673</v>
      </c>
      <c r="I198" s="2" t="s">
        <v>674</v>
      </c>
      <c r="J198" s="2" t="s">
        <v>675</v>
      </c>
      <c r="K198" s="2" t="s">
        <v>35</v>
      </c>
      <c r="L198" s="2" t="s">
        <v>35</v>
      </c>
      <c r="M198" s="2" t="s">
        <v>35</v>
      </c>
      <c r="N198" s="2" t="s">
        <v>35</v>
      </c>
      <c r="O198" s="11">
        <v>44736.447903518521</v>
      </c>
      <c r="P198" s="11">
        <v>44736.450911585649</v>
      </c>
      <c r="Q198" s="27">
        <f t="shared" si="9"/>
        <v>3.0080671276664361E-3</v>
      </c>
      <c r="R198" s="65">
        <f t="shared" si="11"/>
        <v>3.6681712954305112E-3</v>
      </c>
      <c r="S198" s="2">
        <v>0</v>
      </c>
      <c r="T198" s="2" t="s">
        <v>124</v>
      </c>
      <c r="U198" s="2" t="s">
        <v>125</v>
      </c>
      <c r="V198" s="2" t="s">
        <v>38</v>
      </c>
      <c r="W198" s="2" t="s">
        <v>35</v>
      </c>
      <c r="X198" s="2" t="s">
        <v>35</v>
      </c>
      <c r="Y198" s="2" t="s">
        <v>35</v>
      </c>
      <c r="Z198" s="2" t="b">
        <v>0</v>
      </c>
      <c r="AA198" s="2" t="s">
        <v>35</v>
      </c>
      <c r="AB198" s="2">
        <v>4</v>
      </c>
      <c r="AC198" s="2" t="s">
        <v>35</v>
      </c>
      <c r="AD198" s="2" t="s">
        <v>35</v>
      </c>
      <c r="AE198" s="2" t="s">
        <v>492</v>
      </c>
      <c r="AF198" s="11">
        <v>44736.387499942131</v>
      </c>
      <c r="AG198" s="53"/>
      <c r="AH198" s="53" t="b">
        <f t="shared" si="10"/>
        <v>0</v>
      </c>
      <c r="AI198" s="54" t="str" cm="1">
        <f t="array" ref="AI198">TRANSPOSE(_xlfn._xlws.FILTER(images!L:L,images!F:F=Barrierenmessung!A198, ""))</f>
        <v>https://captureandgo.cloudlab.zhaw.ch/uploads/image_4872644012.jpg</v>
      </c>
      <c r="AJ198" s="2"/>
      <c r="AK198" s="2"/>
      <c r="AL198" s="2"/>
      <c r="AM198" s="2"/>
      <c r="AN198" s="2"/>
    </row>
    <row r="199" spans="1:40" ht="16" x14ac:dyDescent="0.2">
      <c r="A199" s="2" t="s">
        <v>676</v>
      </c>
      <c r="B199" s="46">
        <v>198</v>
      </c>
      <c r="C199" s="2" t="b">
        <v>0</v>
      </c>
      <c r="D199" s="2" t="b">
        <v>0</v>
      </c>
      <c r="E199" s="2" t="b">
        <v>0</v>
      </c>
      <c r="F199" s="2" t="b">
        <v>0</v>
      </c>
      <c r="G199" s="2" t="s">
        <v>31</v>
      </c>
      <c r="H199" s="2" t="s">
        <v>677</v>
      </c>
      <c r="I199" s="2" t="s">
        <v>678</v>
      </c>
      <c r="J199" s="2" t="s">
        <v>35</v>
      </c>
      <c r="K199" s="2" t="s">
        <v>35</v>
      </c>
      <c r="L199" s="2" t="s">
        <v>35</v>
      </c>
      <c r="M199" s="2" t="s">
        <v>35</v>
      </c>
      <c r="N199" s="2" t="s">
        <v>35</v>
      </c>
      <c r="O199" s="11">
        <v>44736.452521874999</v>
      </c>
      <c r="P199" s="11">
        <v>44736.452665856479</v>
      </c>
      <c r="Q199" s="27">
        <f t="shared" si="9"/>
        <v>1.4398148050531745E-4</v>
      </c>
      <c r="R199" s="65">
        <f t="shared" si="11"/>
        <v>1.7542708301334642E-3</v>
      </c>
      <c r="S199" s="2">
        <v>0</v>
      </c>
      <c r="T199" s="2" t="s">
        <v>36</v>
      </c>
      <c r="U199" s="2" t="s">
        <v>37</v>
      </c>
      <c r="V199" s="2" t="s">
        <v>38</v>
      </c>
      <c r="W199" s="2" t="s">
        <v>35</v>
      </c>
      <c r="X199" s="2" t="s">
        <v>35</v>
      </c>
      <c r="Y199" s="2" t="s">
        <v>35</v>
      </c>
      <c r="Z199" s="2" t="b">
        <v>0</v>
      </c>
      <c r="AA199" s="2" t="s">
        <v>35</v>
      </c>
      <c r="AB199" s="2" t="s">
        <v>35</v>
      </c>
      <c r="AC199" s="2" t="s">
        <v>35</v>
      </c>
      <c r="AD199" s="2">
        <v>2</v>
      </c>
      <c r="AE199" s="2" t="s">
        <v>492</v>
      </c>
      <c r="AF199" s="11">
        <v>44736.387499942131</v>
      </c>
      <c r="AG199" s="53"/>
      <c r="AH199" s="53" t="b">
        <f t="shared" si="10"/>
        <v>0</v>
      </c>
      <c r="AI199" s="54" t="str" cm="1">
        <f t="array" ref="AI199">TRANSPOSE(_xlfn._xlws.FILTER(images!L:L,images!F:F=Barrierenmessung!A199, ""))</f>
        <v>https://captureandgo.cloudlab.zhaw.ch/uploads/image_11c17a6bd6.jpg</v>
      </c>
      <c r="AJ199" s="2"/>
      <c r="AK199" s="2"/>
      <c r="AL199" s="2"/>
      <c r="AM199" s="2"/>
      <c r="AN199" s="2"/>
    </row>
    <row r="200" spans="1:40" ht="16" x14ac:dyDescent="0.2">
      <c r="A200" s="2" t="s">
        <v>679</v>
      </c>
      <c r="B200" s="46">
        <v>199</v>
      </c>
      <c r="C200" s="2" t="b">
        <v>0</v>
      </c>
      <c r="D200" s="2" t="b">
        <v>0</v>
      </c>
      <c r="E200" s="2" t="b">
        <v>0</v>
      </c>
      <c r="F200" s="2" t="b">
        <v>0</v>
      </c>
      <c r="G200" s="2" t="s">
        <v>31</v>
      </c>
      <c r="H200" s="2" t="s">
        <v>680</v>
      </c>
      <c r="I200" s="2" t="s">
        <v>681</v>
      </c>
      <c r="J200" s="2" t="s">
        <v>675</v>
      </c>
      <c r="K200" s="2" t="s">
        <v>35</v>
      </c>
      <c r="L200" s="2" t="s">
        <v>35</v>
      </c>
      <c r="M200" s="2" t="s">
        <v>35</v>
      </c>
      <c r="N200" s="2" t="s">
        <v>35</v>
      </c>
      <c r="O200" s="11">
        <v>44736.453368564813</v>
      </c>
      <c r="P200" s="11">
        <v>44736.45360364583</v>
      </c>
      <c r="Q200" s="27">
        <f t="shared" si="9"/>
        <v>2.3508101730840281E-4</v>
      </c>
      <c r="R200" s="65">
        <f t="shared" si="11"/>
        <v>9.3778935115551576E-4</v>
      </c>
      <c r="S200" s="2">
        <v>0</v>
      </c>
      <c r="T200" s="2" t="s">
        <v>124</v>
      </c>
      <c r="U200" s="2" t="s">
        <v>125</v>
      </c>
      <c r="V200" s="2" t="s">
        <v>38</v>
      </c>
      <c r="W200" s="2" t="s">
        <v>35</v>
      </c>
      <c r="X200" s="2" t="s">
        <v>35</v>
      </c>
      <c r="Y200" s="2" t="s">
        <v>35</v>
      </c>
      <c r="Z200" s="2" t="b">
        <v>0</v>
      </c>
      <c r="AA200" s="2" t="s">
        <v>35</v>
      </c>
      <c r="AB200" s="2">
        <v>4</v>
      </c>
      <c r="AC200" s="2" t="s">
        <v>35</v>
      </c>
      <c r="AD200" s="2" t="s">
        <v>35</v>
      </c>
      <c r="AE200" s="2" t="s">
        <v>492</v>
      </c>
      <c r="AF200" s="11">
        <v>44736.387499942131</v>
      </c>
      <c r="AG200" s="53"/>
      <c r="AH200" s="53" t="b">
        <f t="shared" si="10"/>
        <v>0</v>
      </c>
      <c r="AI200" s="54" t="str" cm="1">
        <f t="array" ref="AI200">TRANSPOSE(_xlfn._xlws.FILTER(images!L:L,images!F:F=Barrierenmessung!A200, ""))</f>
        <v>https://captureandgo.cloudlab.zhaw.ch/uploads/image_454a74c90f.jpg</v>
      </c>
      <c r="AJ200" s="2"/>
      <c r="AK200" s="2"/>
      <c r="AL200" s="2"/>
      <c r="AM200" s="2"/>
      <c r="AN200" s="2"/>
    </row>
    <row r="201" spans="1:40" ht="16" x14ac:dyDescent="0.2">
      <c r="A201" s="2" t="s">
        <v>682</v>
      </c>
      <c r="B201" s="46">
        <v>200</v>
      </c>
      <c r="C201" s="2" t="b">
        <v>0</v>
      </c>
      <c r="D201" s="2" t="b">
        <v>0</v>
      </c>
      <c r="E201" s="2" t="b">
        <v>0</v>
      </c>
      <c r="F201" s="2" t="b">
        <v>0</v>
      </c>
      <c r="G201" s="2" t="s">
        <v>31</v>
      </c>
      <c r="H201" s="2" t="s">
        <v>683</v>
      </c>
      <c r="I201" s="2" t="s">
        <v>684</v>
      </c>
      <c r="J201" s="2" t="s">
        <v>675</v>
      </c>
      <c r="K201" s="2" t="s">
        <v>35</v>
      </c>
      <c r="L201" s="2" t="s">
        <v>35</v>
      </c>
      <c r="M201" s="2" t="s">
        <v>35</v>
      </c>
      <c r="N201" s="2" t="s">
        <v>35</v>
      </c>
      <c r="O201" s="11">
        <v>44736.453729594905</v>
      </c>
      <c r="P201" s="11">
        <v>44736.455519803239</v>
      </c>
      <c r="Q201" s="27">
        <f t="shared" si="9"/>
        <v>1.7902083345688879E-3</v>
      </c>
      <c r="R201" s="65">
        <f t="shared" si="11"/>
        <v>1.9161574091413058E-3</v>
      </c>
      <c r="S201" s="2">
        <v>0</v>
      </c>
      <c r="T201" s="2" t="s">
        <v>124</v>
      </c>
      <c r="U201" s="2" t="s">
        <v>125</v>
      </c>
      <c r="V201" s="2" t="s">
        <v>38</v>
      </c>
      <c r="W201" s="2" t="s">
        <v>35</v>
      </c>
      <c r="X201" s="2" t="s">
        <v>35</v>
      </c>
      <c r="Y201" s="2" t="s">
        <v>35</v>
      </c>
      <c r="Z201" s="2" t="b">
        <v>0</v>
      </c>
      <c r="AA201" s="2" t="s">
        <v>35</v>
      </c>
      <c r="AB201" s="2">
        <v>4</v>
      </c>
      <c r="AC201" s="2" t="s">
        <v>35</v>
      </c>
      <c r="AD201" s="2" t="s">
        <v>35</v>
      </c>
      <c r="AE201" s="2" t="s">
        <v>492</v>
      </c>
      <c r="AF201" s="11">
        <v>44736.387499942131</v>
      </c>
      <c r="AG201" s="53"/>
      <c r="AH201" s="53" t="b">
        <f t="shared" si="10"/>
        <v>0</v>
      </c>
      <c r="AI201" s="54" t="str" cm="1">
        <f t="array" ref="AI201:AK201">TRANSPOSE(_xlfn._xlws.FILTER(images!L:L,images!F:F=Barrierenmessung!A201, ""))</f>
        <v>https://captureandgo.cloudlab.zhaw.ch/uploads/image_57a0180172.jpg</v>
      </c>
      <c r="AJ201" s="2" t="str">
        <v>https://captureandgo.cloudlab.zhaw.ch/uploads/image_72a32899a4.jpg</v>
      </c>
      <c r="AK201" s="2" t="str">
        <v>https://captureandgo.cloudlab.zhaw.ch/uploads/image_7a7f223006.jpg</v>
      </c>
      <c r="AL201" s="2"/>
      <c r="AM201" s="2"/>
      <c r="AN201" s="2"/>
    </row>
    <row r="202" spans="1:40" ht="16" x14ac:dyDescent="0.2">
      <c r="A202" s="68" t="s">
        <v>685</v>
      </c>
      <c r="B202" s="68">
        <v>201</v>
      </c>
      <c r="C202" s="68" t="b">
        <v>0</v>
      </c>
      <c r="D202" s="68" t="b">
        <v>0</v>
      </c>
      <c r="E202" s="68" t="b">
        <v>0</v>
      </c>
      <c r="F202" s="68" t="b">
        <v>0</v>
      </c>
      <c r="G202" s="68" t="s">
        <v>31</v>
      </c>
      <c r="H202" s="68" t="s">
        <v>149</v>
      </c>
      <c r="I202" s="68" t="s">
        <v>686</v>
      </c>
      <c r="J202" s="68" t="s">
        <v>687</v>
      </c>
      <c r="K202" s="68" t="s">
        <v>35</v>
      </c>
      <c r="L202" s="68" t="s">
        <v>35</v>
      </c>
      <c r="M202" s="68">
        <v>6</v>
      </c>
      <c r="N202" s="68">
        <v>15</v>
      </c>
      <c r="O202" s="69">
        <v>44737.416616076385</v>
      </c>
      <c r="P202" s="69">
        <v>44737.416830949071</v>
      </c>
      <c r="Q202" s="70">
        <f t="shared" si="9"/>
        <v>2.1487268531927839E-4</v>
      </c>
      <c r="R202" s="70">
        <f t="shared" si="11"/>
        <v>2.2476157391793095E-3</v>
      </c>
      <c r="S202" s="68">
        <v>0</v>
      </c>
      <c r="T202" s="68" t="s">
        <v>54</v>
      </c>
      <c r="U202" s="68" t="s">
        <v>55</v>
      </c>
      <c r="V202" s="68" t="s">
        <v>38</v>
      </c>
      <c r="W202" s="68" t="s">
        <v>35</v>
      </c>
      <c r="X202" s="68" t="s">
        <v>35</v>
      </c>
      <c r="Y202" s="68" t="s">
        <v>35</v>
      </c>
      <c r="Z202" s="68" t="b">
        <v>0</v>
      </c>
      <c r="AA202" s="68" t="s">
        <v>35</v>
      </c>
      <c r="AB202" s="68" t="s">
        <v>35</v>
      </c>
      <c r="AC202" s="68" t="s">
        <v>35</v>
      </c>
      <c r="AD202" s="68" t="s">
        <v>35</v>
      </c>
      <c r="AE202" s="68" t="s">
        <v>688</v>
      </c>
      <c r="AF202" s="69">
        <v>44737.414583333331</v>
      </c>
      <c r="AG202" s="71"/>
      <c r="AH202" s="71" t="b">
        <f t="shared" si="10"/>
        <v>0</v>
      </c>
      <c r="AI202" s="56" t="str" cm="1">
        <f t="array" ref="AI202">TRANSPOSE(_xlfn._xlws.FILTER(images!L:L,images!F:F=Barrierenmessung!A202, ""))</f>
        <v/>
      </c>
      <c r="AJ202" s="68"/>
      <c r="AK202" s="68"/>
      <c r="AL202" s="68"/>
      <c r="AM202" s="68"/>
      <c r="AN202" s="68"/>
    </row>
    <row r="203" spans="1:40" ht="16" x14ac:dyDescent="0.2">
      <c r="A203" s="2" t="s">
        <v>689</v>
      </c>
      <c r="B203" s="46">
        <v>202</v>
      </c>
      <c r="C203" s="2" t="b">
        <v>0</v>
      </c>
      <c r="D203" s="2" t="b">
        <v>0</v>
      </c>
      <c r="E203" s="2" t="b">
        <v>0</v>
      </c>
      <c r="F203" s="2" t="b">
        <v>0</v>
      </c>
      <c r="G203" s="2" t="s">
        <v>31</v>
      </c>
      <c r="H203" s="2" t="s">
        <v>690</v>
      </c>
      <c r="I203" s="2" t="s">
        <v>691</v>
      </c>
      <c r="J203" s="2" t="s">
        <v>675</v>
      </c>
      <c r="K203" s="2" t="s">
        <v>35</v>
      </c>
      <c r="L203" s="2" t="s">
        <v>35</v>
      </c>
      <c r="M203" s="2" t="s">
        <v>35</v>
      </c>
      <c r="N203" s="2" t="s">
        <v>35</v>
      </c>
      <c r="O203" s="11">
        <v>44737.417721921294</v>
      </c>
      <c r="P203" s="11">
        <v>44737.417890046294</v>
      </c>
      <c r="Q203" s="27">
        <f t="shared" si="9"/>
        <v>1.6812499961815774E-4</v>
      </c>
      <c r="R203" s="65">
        <f t="shared" si="11"/>
        <v>1.0590972233330831E-3</v>
      </c>
      <c r="S203" s="2">
        <v>0</v>
      </c>
      <c r="T203" s="2" t="s">
        <v>124</v>
      </c>
      <c r="U203" s="2" t="s">
        <v>125</v>
      </c>
      <c r="V203" s="2" t="s">
        <v>38</v>
      </c>
      <c r="W203" s="2" t="s">
        <v>35</v>
      </c>
      <c r="X203" s="2" t="s">
        <v>35</v>
      </c>
      <c r="Y203" s="2" t="s">
        <v>35</v>
      </c>
      <c r="Z203" s="2" t="b">
        <v>0</v>
      </c>
      <c r="AA203" s="2" t="s">
        <v>35</v>
      </c>
      <c r="AB203" s="2">
        <v>4</v>
      </c>
      <c r="AC203" s="2" t="s">
        <v>35</v>
      </c>
      <c r="AD203" s="2" t="s">
        <v>35</v>
      </c>
      <c r="AE203" s="2" t="s">
        <v>688</v>
      </c>
      <c r="AF203" s="11">
        <v>44737.414583333331</v>
      </c>
      <c r="AG203" s="53"/>
      <c r="AH203" s="53" t="b">
        <f t="shared" si="10"/>
        <v>0</v>
      </c>
      <c r="AI203" s="54" t="str" cm="1">
        <f t="array" ref="AI203">TRANSPOSE(_xlfn._xlws.FILTER(images!L:L,images!F:F=Barrierenmessung!A203, ""))</f>
        <v>https://captureandgo.cloudlab.zhaw.ch/uploads/image_cc59af072c.jpg</v>
      </c>
      <c r="AJ203" s="2"/>
      <c r="AK203" s="2"/>
      <c r="AL203" s="2"/>
      <c r="AM203" s="2"/>
      <c r="AN203" s="2"/>
    </row>
    <row r="204" spans="1:40" ht="16" x14ac:dyDescent="0.2">
      <c r="A204" s="2" t="s">
        <v>692</v>
      </c>
      <c r="B204" s="46">
        <v>203</v>
      </c>
      <c r="C204" s="2" t="b">
        <v>0</v>
      </c>
      <c r="D204" s="2" t="b">
        <v>0</v>
      </c>
      <c r="E204" s="2" t="b">
        <v>0</v>
      </c>
      <c r="F204" s="2" t="b">
        <v>0</v>
      </c>
      <c r="G204" s="2" t="s">
        <v>31</v>
      </c>
      <c r="H204" s="2" t="s">
        <v>693</v>
      </c>
      <c r="I204" s="2" t="s">
        <v>691</v>
      </c>
      <c r="J204" s="2" t="s">
        <v>35</v>
      </c>
      <c r="K204" s="2" t="s">
        <v>35</v>
      </c>
      <c r="L204" s="2" t="s">
        <v>35</v>
      </c>
      <c r="M204" s="2" t="s">
        <v>35</v>
      </c>
      <c r="N204" s="2" t="s">
        <v>35</v>
      </c>
      <c r="O204" s="11">
        <v>44737.418235428238</v>
      </c>
      <c r="P204" s="11">
        <v>44737.418423414354</v>
      </c>
      <c r="Q204" s="27">
        <f t="shared" si="9"/>
        <v>1.8798611563397571E-4</v>
      </c>
      <c r="R204" s="65">
        <f t="shared" si="11"/>
        <v>5.3336806013248861E-4</v>
      </c>
      <c r="S204" s="2">
        <v>0</v>
      </c>
      <c r="T204" s="2" t="s">
        <v>36</v>
      </c>
      <c r="U204" s="2" t="s">
        <v>37</v>
      </c>
      <c r="V204" s="2" t="s">
        <v>38</v>
      </c>
      <c r="W204" s="2" t="s">
        <v>35</v>
      </c>
      <c r="X204" s="2" t="s">
        <v>35</v>
      </c>
      <c r="Y204" s="2" t="s">
        <v>35</v>
      </c>
      <c r="Z204" s="2" t="b">
        <v>0</v>
      </c>
      <c r="AA204" s="2" t="s">
        <v>35</v>
      </c>
      <c r="AB204" s="2" t="s">
        <v>35</v>
      </c>
      <c r="AC204" s="2" t="s">
        <v>35</v>
      </c>
      <c r="AD204" s="2">
        <v>3</v>
      </c>
      <c r="AE204" s="2" t="s">
        <v>688</v>
      </c>
      <c r="AF204" s="11">
        <v>44737.414583275466</v>
      </c>
      <c r="AG204" s="53"/>
      <c r="AH204" s="53" t="b">
        <f t="shared" si="10"/>
        <v>0</v>
      </c>
      <c r="AI204" s="54" t="str" cm="1">
        <f t="array" ref="AI204">TRANSPOSE(_xlfn._xlws.FILTER(images!L:L,images!F:F=Barrierenmessung!A204, ""))</f>
        <v>https://captureandgo.cloudlab.zhaw.ch/uploads/image_f6bc713561.jpg</v>
      </c>
      <c r="AJ204" s="2"/>
      <c r="AK204" s="2"/>
      <c r="AL204" s="2"/>
      <c r="AM204" s="2"/>
      <c r="AN204" s="2"/>
    </row>
    <row r="205" spans="1:40" ht="16" x14ac:dyDescent="0.2">
      <c r="A205" s="2" t="s">
        <v>694</v>
      </c>
      <c r="B205" s="46">
        <v>204</v>
      </c>
      <c r="C205" s="2" t="b">
        <v>0</v>
      </c>
      <c r="D205" s="2" t="b">
        <v>0</v>
      </c>
      <c r="E205" s="2" t="b">
        <v>0</v>
      </c>
      <c r="F205" s="2" t="b">
        <v>0</v>
      </c>
      <c r="G205" s="2" t="s">
        <v>31</v>
      </c>
      <c r="H205" s="2" t="s">
        <v>695</v>
      </c>
      <c r="I205" s="2" t="s">
        <v>696</v>
      </c>
      <c r="J205" s="2" t="s">
        <v>35</v>
      </c>
      <c r="K205" s="2" t="s">
        <v>35</v>
      </c>
      <c r="L205" s="2" t="s">
        <v>35</v>
      </c>
      <c r="M205" s="2" t="s">
        <v>35</v>
      </c>
      <c r="N205" s="2" t="s">
        <v>35</v>
      </c>
      <c r="O205" s="11">
        <v>44737.419182187499</v>
      </c>
      <c r="P205" s="11">
        <v>44737.419541122683</v>
      </c>
      <c r="Q205" s="27">
        <f t="shared" si="9"/>
        <v>3.5893518361262977E-4</v>
      </c>
      <c r="R205" s="65">
        <f t="shared" si="11"/>
        <v>1.1177083288202994E-3</v>
      </c>
      <c r="S205" s="2">
        <v>0</v>
      </c>
      <c r="T205" s="2" t="s">
        <v>36</v>
      </c>
      <c r="U205" s="2" t="s">
        <v>37</v>
      </c>
      <c r="V205" s="2" t="s">
        <v>38</v>
      </c>
      <c r="W205" s="2" t="s">
        <v>35</v>
      </c>
      <c r="X205" s="2" t="s">
        <v>35</v>
      </c>
      <c r="Y205" s="2" t="s">
        <v>35</v>
      </c>
      <c r="Z205" s="2" t="b">
        <v>0</v>
      </c>
      <c r="AA205" s="2" t="s">
        <v>35</v>
      </c>
      <c r="AB205" s="2" t="s">
        <v>35</v>
      </c>
      <c r="AC205" s="2" t="s">
        <v>35</v>
      </c>
      <c r="AD205" s="2">
        <v>3</v>
      </c>
      <c r="AE205" s="2" t="s">
        <v>688</v>
      </c>
      <c r="AF205" s="11">
        <v>44737.414583275466</v>
      </c>
      <c r="AG205" s="53"/>
      <c r="AH205" s="53" t="b">
        <f t="shared" si="10"/>
        <v>0</v>
      </c>
      <c r="AI205" s="54" t="str" cm="1">
        <f t="array" ref="AI205">TRANSPOSE(_xlfn._xlws.FILTER(images!L:L,images!F:F=Barrierenmessung!A205, ""))</f>
        <v>https://captureandgo.cloudlab.zhaw.ch/uploads/image_93b0f673aa.jpg</v>
      </c>
      <c r="AJ205" s="2"/>
      <c r="AK205" s="2"/>
      <c r="AL205" s="2"/>
      <c r="AM205" s="2"/>
      <c r="AN205" s="2"/>
    </row>
    <row r="206" spans="1:40" ht="16" x14ac:dyDescent="0.2">
      <c r="A206" s="2" t="s">
        <v>697</v>
      </c>
      <c r="B206" s="46">
        <v>205</v>
      </c>
      <c r="C206" s="2" t="b">
        <v>0</v>
      </c>
      <c r="D206" s="2" t="b">
        <v>0</v>
      </c>
      <c r="E206" s="2" t="b">
        <v>0</v>
      </c>
      <c r="F206" s="2" t="b">
        <v>0</v>
      </c>
      <c r="G206" s="2" t="s">
        <v>31</v>
      </c>
      <c r="H206" s="2" t="s">
        <v>698</v>
      </c>
      <c r="I206" s="2" t="s">
        <v>699</v>
      </c>
      <c r="J206" s="2" t="s">
        <v>700</v>
      </c>
      <c r="K206" s="2" t="s">
        <v>35</v>
      </c>
      <c r="L206" s="2" t="s">
        <v>35</v>
      </c>
      <c r="M206" s="2" t="s">
        <v>35</v>
      </c>
      <c r="N206" s="2" t="s">
        <v>35</v>
      </c>
      <c r="O206" s="11">
        <v>44737.421559166665</v>
      </c>
      <c r="P206" s="11">
        <v>44737.422376898146</v>
      </c>
      <c r="Q206" s="27">
        <f t="shared" si="9"/>
        <v>8.1773148122010753E-4</v>
      </c>
      <c r="R206" s="65">
        <f t="shared" si="11"/>
        <v>2.8357754636090249E-3</v>
      </c>
      <c r="S206" s="2">
        <v>0</v>
      </c>
      <c r="T206" s="2" t="s">
        <v>36</v>
      </c>
      <c r="U206" s="2" t="s">
        <v>37</v>
      </c>
      <c r="V206" s="2" t="s">
        <v>38</v>
      </c>
      <c r="W206" s="2" t="s">
        <v>35</v>
      </c>
      <c r="X206" s="2" t="s">
        <v>35</v>
      </c>
      <c r="Y206" s="2" t="s">
        <v>35</v>
      </c>
      <c r="Z206" s="2" t="b">
        <v>0</v>
      </c>
      <c r="AA206" s="2" t="s">
        <v>35</v>
      </c>
      <c r="AB206" s="2" t="s">
        <v>35</v>
      </c>
      <c r="AC206" s="2">
        <v>4</v>
      </c>
      <c r="AD206" s="2">
        <v>2</v>
      </c>
      <c r="AE206" s="2" t="s">
        <v>688</v>
      </c>
      <c r="AF206" s="11">
        <v>44737.414583275466</v>
      </c>
      <c r="AG206" s="53"/>
      <c r="AH206" s="53" t="b">
        <f t="shared" si="10"/>
        <v>0</v>
      </c>
      <c r="AI206" s="54" t="str" cm="1">
        <f t="array" ref="AI206">TRANSPOSE(_xlfn._xlws.FILTER(images!L:L,images!F:F=Barrierenmessung!A206, ""))</f>
        <v>https://captureandgo.cloudlab.zhaw.ch/uploads/image_cd25afe1fd.jpg</v>
      </c>
      <c r="AJ206" s="2"/>
      <c r="AK206" s="2"/>
      <c r="AL206" s="2"/>
      <c r="AM206" s="2"/>
      <c r="AN206" s="2"/>
    </row>
    <row r="207" spans="1:40" ht="16" x14ac:dyDescent="0.2">
      <c r="A207" s="2" t="s">
        <v>701</v>
      </c>
      <c r="B207" s="46">
        <v>206</v>
      </c>
      <c r="C207" s="2" t="b">
        <v>0</v>
      </c>
      <c r="D207" s="2" t="b">
        <v>0</v>
      </c>
      <c r="E207" s="2" t="b">
        <v>0</v>
      </c>
      <c r="F207" s="2" t="b">
        <v>0</v>
      </c>
      <c r="G207" s="2" t="s">
        <v>31</v>
      </c>
      <c r="H207" s="2" t="s">
        <v>702</v>
      </c>
      <c r="I207" s="2" t="s">
        <v>703</v>
      </c>
      <c r="J207" s="2" t="s">
        <v>35</v>
      </c>
      <c r="K207" s="2" t="s">
        <v>35</v>
      </c>
      <c r="L207" s="2" t="s">
        <v>35</v>
      </c>
      <c r="M207" s="2" t="s">
        <v>35</v>
      </c>
      <c r="N207" s="2" t="s">
        <v>35</v>
      </c>
      <c r="O207" s="11">
        <v>44737.422413865737</v>
      </c>
      <c r="P207" s="11">
        <v>44737.422642696758</v>
      </c>
      <c r="Q207" s="27">
        <f t="shared" si="9"/>
        <v>2.2883102064952254E-4</v>
      </c>
      <c r="R207" s="65">
        <f t="shared" si="11"/>
        <v>2.6579861150821671E-4</v>
      </c>
      <c r="S207" s="2">
        <v>0</v>
      </c>
      <c r="T207" s="2" t="s">
        <v>36</v>
      </c>
      <c r="U207" s="2" t="s">
        <v>37</v>
      </c>
      <c r="V207" s="2" t="s">
        <v>38</v>
      </c>
      <c r="W207" s="2" t="s">
        <v>35</v>
      </c>
      <c r="X207" s="2" t="s">
        <v>35</v>
      </c>
      <c r="Y207" s="2" t="s">
        <v>35</v>
      </c>
      <c r="Z207" s="2" t="b">
        <v>0</v>
      </c>
      <c r="AA207" s="2" t="s">
        <v>35</v>
      </c>
      <c r="AB207" s="2" t="s">
        <v>35</v>
      </c>
      <c r="AC207" s="2" t="s">
        <v>35</v>
      </c>
      <c r="AD207" s="2">
        <v>4</v>
      </c>
      <c r="AE207" s="2" t="s">
        <v>688</v>
      </c>
      <c r="AF207" s="11">
        <v>44737.414583275466</v>
      </c>
      <c r="AG207" s="53"/>
      <c r="AH207" s="53" t="b">
        <f t="shared" si="10"/>
        <v>0</v>
      </c>
      <c r="AI207" s="54" t="str" cm="1">
        <f t="array" ref="AI207">TRANSPOSE(_xlfn._xlws.FILTER(images!L:L,images!F:F=Barrierenmessung!A207, ""))</f>
        <v>https://captureandgo.cloudlab.zhaw.ch/uploads/image_da13e43304.jpg</v>
      </c>
      <c r="AJ207" s="2"/>
      <c r="AK207" s="2"/>
      <c r="AL207" s="2"/>
      <c r="AM207" s="2"/>
      <c r="AN207" s="2"/>
    </row>
    <row r="208" spans="1:40" ht="16" x14ac:dyDescent="0.2">
      <c r="A208" s="2" t="s">
        <v>704</v>
      </c>
      <c r="B208" s="46">
        <v>207</v>
      </c>
      <c r="C208" s="2" t="b">
        <v>0</v>
      </c>
      <c r="D208" s="2" t="b">
        <v>0</v>
      </c>
      <c r="E208" s="2" t="b">
        <v>0</v>
      </c>
      <c r="F208" s="2" t="b">
        <v>0</v>
      </c>
      <c r="G208" s="2" t="s">
        <v>31</v>
      </c>
      <c r="H208" s="2" t="s">
        <v>705</v>
      </c>
      <c r="I208" s="2" t="s">
        <v>706</v>
      </c>
      <c r="J208" s="2" t="s">
        <v>675</v>
      </c>
      <c r="K208" s="2" t="s">
        <v>35</v>
      </c>
      <c r="L208" s="2" t="s">
        <v>35</v>
      </c>
      <c r="M208" s="2" t="s">
        <v>35</v>
      </c>
      <c r="N208" s="2" t="s">
        <v>35</v>
      </c>
      <c r="O208" s="11">
        <v>44737.422684884259</v>
      </c>
      <c r="P208" s="11">
        <v>44737.422848425929</v>
      </c>
      <c r="Q208" s="27">
        <f t="shared" si="9"/>
        <v>1.6354167019017041E-4</v>
      </c>
      <c r="R208" s="65">
        <f t="shared" si="11"/>
        <v>2.0572917128447443E-4</v>
      </c>
      <c r="S208" s="2">
        <v>0</v>
      </c>
      <c r="T208" s="2" t="s">
        <v>124</v>
      </c>
      <c r="U208" s="2" t="s">
        <v>125</v>
      </c>
      <c r="V208" s="2" t="s">
        <v>38</v>
      </c>
      <c r="W208" s="2" t="s">
        <v>35</v>
      </c>
      <c r="X208" s="2" t="s">
        <v>35</v>
      </c>
      <c r="Y208" s="2" t="s">
        <v>35</v>
      </c>
      <c r="Z208" s="2" t="b">
        <v>0</v>
      </c>
      <c r="AA208" s="2" t="s">
        <v>35</v>
      </c>
      <c r="AB208" s="2">
        <v>4</v>
      </c>
      <c r="AC208" s="2" t="s">
        <v>35</v>
      </c>
      <c r="AD208" s="2" t="s">
        <v>35</v>
      </c>
      <c r="AE208" s="2" t="s">
        <v>688</v>
      </c>
      <c r="AF208" s="11">
        <v>44737.414583275466</v>
      </c>
      <c r="AG208" s="53"/>
      <c r="AH208" s="53" t="b">
        <f t="shared" si="10"/>
        <v>0</v>
      </c>
      <c r="AI208" s="54" t="str" cm="1">
        <f t="array" ref="AI208">TRANSPOSE(_xlfn._xlws.FILTER(images!L:L,images!F:F=Barrierenmessung!A208, ""))</f>
        <v>https://captureandgo.cloudlab.zhaw.ch/uploads/image_6e29e1e8af.jpg</v>
      </c>
      <c r="AJ208" s="2"/>
      <c r="AK208" s="2"/>
      <c r="AL208" s="2"/>
      <c r="AM208" s="2"/>
      <c r="AN208" s="2"/>
    </row>
    <row r="209" spans="1:40" ht="16" x14ac:dyDescent="0.2">
      <c r="A209" s="2" t="s">
        <v>707</v>
      </c>
      <c r="B209" s="46">
        <v>208</v>
      </c>
      <c r="C209" s="2" t="b">
        <v>0</v>
      </c>
      <c r="D209" s="2" t="b">
        <v>0</v>
      </c>
      <c r="E209" s="2" t="b">
        <v>0</v>
      </c>
      <c r="F209" s="2" t="b">
        <v>0</v>
      </c>
      <c r="G209" s="2" t="s">
        <v>31</v>
      </c>
      <c r="H209" s="2" t="s">
        <v>708</v>
      </c>
      <c r="I209" s="2" t="s">
        <v>709</v>
      </c>
      <c r="J209" s="2" t="s">
        <v>35</v>
      </c>
      <c r="K209" s="2" t="s">
        <v>35</v>
      </c>
      <c r="L209" s="2" t="s">
        <v>35</v>
      </c>
      <c r="M209" s="2" t="s">
        <v>35</v>
      </c>
      <c r="N209" s="2" t="s">
        <v>35</v>
      </c>
      <c r="O209" s="11">
        <v>44737.423463321757</v>
      </c>
      <c r="P209" s="11">
        <v>44737.423833125002</v>
      </c>
      <c r="Q209" s="27">
        <f t="shared" si="9"/>
        <v>3.6980324512114748E-4</v>
      </c>
      <c r="R209" s="65">
        <f t="shared" si="11"/>
        <v>9.8469907243270427E-4</v>
      </c>
      <c r="S209" s="2">
        <v>0</v>
      </c>
      <c r="T209" s="2" t="s">
        <v>36</v>
      </c>
      <c r="U209" s="2" t="s">
        <v>37</v>
      </c>
      <c r="V209" s="2" t="s">
        <v>38</v>
      </c>
      <c r="W209" s="2" t="s">
        <v>35</v>
      </c>
      <c r="X209" s="2" t="s">
        <v>35</v>
      </c>
      <c r="Y209" s="2" t="s">
        <v>35</v>
      </c>
      <c r="Z209" s="2" t="b">
        <v>0</v>
      </c>
      <c r="AA209" s="2" t="s">
        <v>35</v>
      </c>
      <c r="AB209" s="2" t="s">
        <v>35</v>
      </c>
      <c r="AC209" s="2" t="s">
        <v>35</v>
      </c>
      <c r="AD209" s="2">
        <v>3</v>
      </c>
      <c r="AE209" s="2" t="s">
        <v>688</v>
      </c>
      <c r="AF209" s="11">
        <v>44737.414583275466</v>
      </c>
      <c r="AG209" s="53"/>
      <c r="AH209" s="53" t="b">
        <f t="shared" si="10"/>
        <v>0</v>
      </c>
      <c r="AI209" s="54" t="str" cm="1">
        <f t="array" ref="AI209">TRANSPOSE(_xlfn._xlws.FILTER(images!L:L,images!F:F=Barrierenmessung!A209, ""))</f>
        <v>https://captureandgo.cloudlab.zhaw.ch/uploads/image_59c8e9dbf1.jpg</v>
      </c>
      <c r="AJ209" s="2"/>
      <c r="AK209" s="2"/>
      <c r="AL209" s="2"/>
      <c r="AM209" s="2"/>
      <c r="AN209" s="2"/>
    </row>
    <row r="210" spans="1:40" ht="16" x14ac:dyDescent="0.2">
      <c r="A210" s="2" t="s">
        <v>710</v>
      </c>
      <c r="B210" s="46">
        <v>209</v>
      </c>
      <c r="C210" s="2" t="b">
        <v>0</v>
      </c>
      <c r="D210" s="2" t="b">
        <v>0</v>
      </c>
      <c r="E210" s="2" t="b">
        <v>0</v>
      </c>
      <c r="F210" s="2" t="b">
        <v>0</v>
      </c>
      <c r="G210" s="2" t="s">
        <v>31</v>
      </c>
      <c r="H210" s="2" t="s">
        <v>711</v>
      </c>
      <c r="I210" s="2" t="s">
        <v>712</v>
      </c>
      <c r="J210" s="2" t="s">
        <v>675</v>
      </c>
      <c r="K210" s="2" t="s">
        <v>35</v>
      </c>
      <c r="L210" s="2" t="s">
        <v>35</v>
      </c>
      <c r="M210" s="2" t="s">
        <v>35</v>
      </c>
      <c r="N210" s="2" t="s">
        <v>35</v>
      </c>
      <c r="O210" s="11">
        <v>44737.424236909719</v>
      </c>
      <c r="P210" s="11">
        <v>44737.424655069444</v>
      </c>
      <c r="Q210" s="27">
        <f t="shared" si="9"/>
        <v>4.1815972508629784E-4</v>
      </c>
      <c r="R210" s="65">
        <f t="shared" si="11"/>
        <v>8.2194444257766008E-4</v>
      </c>
      <c r="S210" s="2">
        <v>0</v>
      </c>
      <c r="T210" s="2" t="s">
        <v>124</v>
      </c>
      <c r="U210" s="2" t="s">
        <v>125</v>
      </c>
      <c r="V210" s="2" t="s">
        <v>38</v>
      </c>
      <c r="W210" s="2" t="s">
        <v>35</v>
      </c>
      <c r="X210" s="2" t="s">
        <v>35</v>
      </c>
      <c r="Y210" s="2" t="s">
        <v>35</v>
      </c>
      <c r="Z210" s="2" t="b">
        <v>0</v>
      </c>
      <c r="AA210" s="2" t="s">
        <v>35</v>
      </c>
      <c r="AB210" s="2">
        <v>4</v>
      </c>
      <c r="AC210" s="2" t="s">
        <v>35</v>
      </c>
      <c r="AD210" s="2" t="s">
        <v>35</v>
      </c>
      <c r="AE210" s="2" t="s">
        <v>688</v>
      </c>
      <c r="AF210" s="11">
        <v>44737.414583275466</v>
      </c>
      <c r="AG210" s="53"/>
      <c r="AH210" s="53" t="b">
        <f t="shared" si="10"/>
        <v>0</v>
      </c>
      <c r="AI210" s="54" t="str" cm="1">
        <f t="array" ref="AI210">TRANSPOSE(_xlfn._xlws.FILTER(images!L:L,images!F:F=Barrierenmessung!A210, ""))</f>
        <v>https://captureandgo.cloudlab.zhaw.ch/uploads/image_bbb5aa1808.jpg</v>
      </c>
      <c r="AJ210" s="2"/>
      <c r="AK210" s="2"/>
      <c r="AL210" s="2"/>
      <c r="AM210" s="2"/>
      <c r="AN210" s="2"/>
    </row>
    <row r="211" spans="1:40" ht="16" x14ac:dyDescent="0.2">
      <c r="A211" s="2" t="s">
        <v>713</v>
      </c>
      <c r="B211" s="46">
        <v>210</v>
      </c>
      <c r="C211" s="2" t="b">
        <v>0</v>
      </c>
      <c r="D211" s="2" t="b">
        <v>0</v>
      </c>
      <c r="E211" s="2" t="b">
        <v>0</v>
      </c>
      <c r="F211" s="2" t="b">
        <v>0</v>
      </c>
      <c r="G211" s="2" t="s">
        <v>31</v>
      </c>
      <c r="H211" s="2" t="s">
        <v>714</v>
      </c>
      <c r="I211" s="2" t="s">
        <v>715</v>
      </c>
      <c r="J211" s="2" t="s">
        <v>35</v>
      </c>
      <c r="K211" s="2" t="s">
        <v>35</v>
      </c>
      <c r="L211" s="2" t="s">
        <v>35</v>
      </c>
      <c r="M211" s="2" t="s">
        <v>35</v>
      </c>
      <c r="N211" s="2" t="s">
        <v>35</v>
      </c>
      <c r="O211" s="11">
        <v>44737.424690532411</v>
      </c>
      <c r="P211" s="11">
        <v>44737.42517422454</v>
      </c>
      <c r="Q211" s="27">
        <f t="shared" si="9"/>
        <v>4.8369212890975177E-4</v>
      </c>
      <c r="R211" s="65">
        <f t="shared" si="11"/>
        <v>5.1915509538957849E-4</v>
      </c>
      <c r="S211" s="2">
        <v>0</v>
      </c>
      <c r="T211" s="2" t="s">
        <v>36</v>
      </c>
      <c r="U211" s="2" t="s">
        <v>37</v>
      </c>
      <c r="V211" s="2" t="s">
        <v>38</v>
      </c>
      <c r="W211" s="2" t="s">
        <v>35</v>
      </c>
      <c r="X211" s="2" t="s">
        <v>35</v>
      </c>
      <c r="Y211" s="2" t="s">
        <v>35</v>
      </c>
      <c r="Z211" s="2" t="b">
        <v>0</v>
      </c>
      <c r="AA211" s="2" t="s">
        <v>35</v>
      </c>
      <c r="AB211" s="2" t="s">
        <v>35</v>
      </c>
      <c r="AC211" s="2" t="s">
        <v>35</v>
      </c>
      <c r="AD211" s="2">
        <v>4</v>
      </c>
      <c r="AE211" s="2" t="s">
        <v>688</v>
      </c>
      <c r="AF211" s="11">
        <v>44737.414583275466</v>
      </c>
      <c r="AG211" s="53"/>
      <c r="AH211" s="53" t="b">
        <f t="shared" si="10"/>
        <v>0</v>
      </c>
      <c r="AI211" s="54" t="str" cm="1">
        <f t="array" ref="AI211">TRANSPOSE(_xlfn._xlws.FILTER(images!L:L,images!F:F=Barrierenmessung!A211, ""))</f>
        <v>https://captureandgo.cloudlab.zhaw.ch/uploads/image_a943d11898.jpg</v>
      </c>
      <c r="AJ211" s="2"/>
      <c r="AK211" s="2"/>
      <c r="AL211" s="2"/>
      <c r="AM211" s="2"/>
      <c r="AN211" s="2"/>
    </row>
    <row r="212" spans="1:40" ht="16" x14ac:dyDescent="0.2">
      <c r="A212" s="2" t="s">
        <v>716</v>
      </c>
      <c r="B212" s="46">
        <v>211</v>
      </c>
      <c r="C212" s="2" t="b">
        <v>0</v>
      </c>
      <c r="D212" s="2" t="b">
        <v>0</v>
      </c>
      <c r="E212" s="2" t="b">
        <v>0</v>
      </c>
      <c r="F212" s="2" t="b">
        <v>0</v>
      </c>
      <c r="G212" s="2" t="s">
        <v>31</v>
      </c>
      <c r="H212" s="2" t="s">
        <v>717</v>
      </c>
      <c r="I212" s="2" t="s">
        <v>718</v>
      </c>
      <c r="J212" s="2" t="s">
        <v>675</v>
      </c>
      <c r="K212" s="2" t="s">
        <v>35</v>
      </c>
      <c r="L212" s="2" t="s">
        <v>35</v>
      </c>
      <c r="M212" s="2" t="s">
        <v>35</v>
      </c>
      <c r="N212" s="2" t="s">
        <v>35</v>
      </c>
      <c r="O212" s="11">
        <v>44737.42633905093</v>
      </c>
      <c r="P212" s="11">
        <v>44737.426552129633</v>
      </c>
      <c r="Q212" s="27">
        <f t="shared" si="9"/>
        <v>2.1307870338205248E-4</v>
      </c>
      <c r="R212" s="65">
        <f t="shared" si="11"/>
        <v>1.3779050932498649E-3</v>
      </c>
      <c r="S212" s="2">
        <v>0</v>
      </c>
      <c r="T212" s="2" t="s">
        <v>124</v>
      </c>
      <c r="U212" s="2" t="s">
        <v>125</v>
      </c>
      <c r="V212" s="2" t="s">
        <v>38</v>
      </c>
      <c r="W212" s="2" t="s">
        <v>35</v>
      </c>
      <c r="X212" s="2" t="s">
        <v>35</v>
      </c>
      <c r="Y212" s="2" t="s">
        <v>35</v>
      </c>
      <c r="Z212" s="2" t="b">
        <v>0</v>
      </c>
      <c r="AA212" s="2" t="s">
        <v>35</v>
      </c>
      <c r="AB212" s="2">
        <v>4</v>
      </c>
      <c r="AC212" s="2" t="s">
        <v>35</v>
      </c>
      <c r="AD212" s="2" t="s">
        <v>35</v>
      </c>
      <c r="AE212" s="2" t="s">
        <v>688</v>
      </c>
      <c r="AF212" s="11">
        <v>44737.414583275466</v>
      </c>
      <c r="AG212" s="53"/>
      <c r="AH212" s="53" t="b">
        <f t="shared" si="10"/>
        <v>0</v>
      </c>
      <c r="AI212" s="54" t="str" cm="1">
        <f t="array" ref="AI212">TRANSPOSE(_xlfn._xlws.FILTER(images!L:L,images!F:F=Barrierenmessung!A212, ""))</f>
        <v>https://captureandgo.cloudlab.zhaw.ch/uploads/image_a3ad5bab2f.jpg</v>
      </c>
      <c r="AJ212" s="2"/>
      <c r="AK212" s="2"/>
      <c r="AL212" s="2"/>
      <c r="AM212" s="2"/>
      <c r="AN212" s="2"/>
    </row>
    <row r="213" spans="1:40" ht="16" x14ac:dyDescent="0.2">
      <c r="A213" s="2" t="s">
        <v>719</v>
      </c>
      <c r="B213" s="46">
        <v>212</v>
      </c>
      <c r="C213" s="2" t="b">
        <v>0</v>
      </c>
      <c r="D213" s="2" t="b">
        <v>0</v>
      </c>
      <c r="E213" s="2" t="b">
        <v>0</v>
      </c>
      <c r="F213" s="2" t="b">
        <v>0</v>
      </c>
      <c r="G213" s="2" t="s">
        <v>31</v>
      </c>
      <c r="H213" s="2" t="s">
        <v>720</v>
      </c>
      <c r="I213" s="2" t="s">
        <v>721</v>
      </c>
      <c r="J213" s="2" t="s">
        <v>35</v>
      </c>
      <c r="K213" s="2" t="s">
        <v>35</v>
      </c>
      <c r="L213" s="2" t="s">
        <v>35</v>
      </c>
      <c r="M213" s="2" t="s">
        <v>35</v>
      </c>
      <c r="N213" s="2" t="s">
        <v>35</v>
      </c>
      <c r="O213" s="11">
        <v>44737.426629837966</v>
      </c>
      <c r="P213" s="11">
        <v>44737.42687275463</v>
      </c>
      <c r="Q213" s="27">
        <f t="shared" si="9"/>
        <v>2.4291666341014206E-4</v>
      </c>
      <c r="R213" s="65">
        <f t="shared" si="11"/>
        <v>3.2062499667517841E-4</v>
      </c>
      <c r="S213" s="2">
        <v>0</v>
      </c>
      <c r="T213" s="2" t="s">
        <v>36</v>
      </c>
      <c r="U213" s="2" t="s">
        <v>37</v>
      </c>
      <c r="V213" s="2" t="s">
        <v>38</v>
      </c>
      <c r="W213" s="2" t="s">
        <v>35</v>
      </c>
      <c r="X213" s="2" t="s">
        <v>35</v>
      </c>
      <c r="Y213" s="2" t="s">
        <v>35</v>
      </c>
      <c r="Z213" s="2" t="b">
        <v>0</v>
      </c>
      <c r="AA213" s="2" t="s">
        <v>35</v>
      </c>
      <c r="AB213" s="2" t="s">
        <v>35</v>
      </c>
      <c r="AC213" s="2" t="s">
        <v>35</v>
      </c>
      <c r="AD213" s="2">
        <v>3</v>
      </c>
      <c r="AE213" s="2" t="s">
        <v>688</v>
      </c>
      <c r="AF213" s="11">
        <v>44737.414583275466</v>
      </c>
      <c r="AG213" s="53"/>
      <c r="AH213" s="53" t="b">
        <f t="shared" si="10"/>
        <v>0</v>
      </c>
      <c r="AI213" s="54" t="str" cm="1">
        <f t="array" ref="AI213">TRANSPOSE(_xlfn._xlws.FILTER(images!L:L,images!F:F=Barrierenmessung!A213, ""))</f>
        <v>https://captureandgo.cloudlab.zhaw.ch/uploads/image_45847ccc92.jpg</v>
      </c>
      <c r="AJ213" s="2"/>
      <c r="AK213" s="2"/>
      <c r="AL213" s="2"/>
      <c r="AM213" s="2"/>
      <c r="AN213" s="2"/>
    </row>
    <row r="214" spans="1:40" ht="16" x14ac:dyDescent="0.2">
      <c r="A214" s="2" t="s">
        <v>722</v>
      </c>
      <c r="B214" s="46">
        <v>213</v>
      </c>
      <c r="C214" s="2" t="b">
        <v>0</v>
      </c>
      <c r="D214" s="2" t="b">
        <v>0</v>
      </c>
      <c r="E214" s="2" t="b">
        <v>0</v>
      </c>
      <c r="F214" s="2" t="b">
        <v>0</v>
      </c>
      <c r="G214" s="2" t="s">
        <v>31</v>
      </c>
      <c r="H214" s="2" t="s">
        <v>723</v>
      </c>
      <c r="I214" s="2" t="s">
        <v>724</v>
      </c>
      <c r="J214" s="2" t="s">
        <v>725</v>
      </c>
      <c r="K214" s="2" t="s">
        <v>35</v>
      </c>
      <c r="L214" s="2" t="s">
        <v>35</v>
      </c>
      <c r="M214" s="2" t="s">
        <v>35</v>
      </c>
      <c r="N214" s="2" t="s">
        <v>35</v>
      </c>
      <c r="O214" s="11">
        <v>44737.427613472224</v>
      </c>
      <c r="P214" s="11">
        <v>44737.4280340162</v>
      </c>
      <c r="Q214" s="27">
        <f t="shared" si="9"/>
        <v>4.2054397636093199E-4</v>
      </c>
      <c r="R214" s="65">
        <f t="shared" si="11"/>
        <v>1.1612615708145313E-3</v>
      </c>
      <c r="S214" s="2">
        <v>0</v>
      </c>
      <c r="T214" s="2" t="s">
        <v>36</v>
      </c>
      <c r="U214" s="2" t="s">
        <v>37</v>
      </c>
      <c r="V214" s="2" t="s">
        <v>38</v>
      </c>
      <c r="W214" s="2" t="s">
        <v>35</v>
      </c>
      <c r="X214" s="2" t="s">
        <v>35</v>
      </c>
      <c r="Y214" s="2" t="s">
        <v>35</v>
      </c>
      <c r="Z214" s="2" t="b">
        <v>0</v>
      </c>
      <c r="AA214" s="2" t="s">
        <v>35</v>
      </c>
      <c r="AB214" s="2" t="s">
        <v>35</v>
      </c>
      <c r="AC214" s="2">
        <v>5</v>
      </c>
      <c r="AD214" s="2">
        <v>2</v>
      </c>
      <c r="AE214" s="2" t="s">
        <v>688</v>
      </c>
      <c r="AF214" s="11">
        <v>44737.414583275466</v>
      </c>
      <c r="AG214" s="53"/>
      <c r="AH214" s="53" t="b">
        <f t="shared" si="10"/>
        <v>0</v>
      </c>
      <c r="AI214" s="54" t="str" cm="1">
        <f t="array" ref="AI214">TRANSPOSE(_xlfn._xlws.FILTER(images!L:L,images!F:F=Barrierenmessung!A214, ""))</f>
        <v>https://captureandgo.cloudlab.zhaw.ch/uploads/image_aff2253283.jpg</v>
      </c>
      <c r="AJ214" s="2"/>
      <c r="AK214" s="2"/>
      <c r="AL214" s="2"/>
      <c r="AM214" s="2"/>
      <c r="AN214" s="2"/>
    </row>
    <row r="215" spans="1:40" ht="16" x14ac:dyDescent="0.2">
      <c r="A215" s="68" t="s">
        <v>726</v>
      </c>
      <c r="B215" s="68">
        <v>214</v>
      </c>
      <c r="C215" s="68" t="b">
        <v>0</v>
      </c>
      <c r="D215" s="68" t="b">
        <v>0</v>
      </c>
      <c r="E215" s="68" t="b">
        <v>0</v>
      </c>
      <c r="F215" s="68" t="b">
        <v>0</v>
      </c>
      <c r="G215" s="68" t="s">
        <v>31</v>
      </c>
      <c r="H215" s="68" t="s">
        <v>149</v>
      </c>
      <c r="I215" s="68" t="s">
        <v>727</v>
      </c>
      <c r="J215" s="68" t="s">
        <v>725</v>
      </c>
      <c r="K215" s="68" t="s">
        <v>35</v>
      </c>
      <c r="L215" s="68" t="s">
        <v>35</v>
      </c>
      <c r="M215" s="68" t="s">
        <v>35</v>
      </c>
      <c r="N215" s="68" t="s">
        <v>35</v>
      </c>
      <c r="O215" s="69">
        <v>44737.429277800926</v>
      </c>
      <c r="P215" s="69">
        <v>44737.429609814812</v>
      </c>
      <c r="Q215" s="70">
        <f t="shared" si="9"/>
        <v>3.320138857816346E-4</v>
      </c>
      <c r="R215" s="70">
        <f t="shared" si="11"/>
        <v>1.5757986111566424E-3</v>
      </c>
      <c r="S215" s="68">
        <v>0</v>
      </c>
      <c r="T215" s="68" t="s">
        <v>36</v>
      </c>
      <c r="U215" s="68" t="s">
        <v>37</v>
      </c>
      <c r="V215" s="68" t="s">
        <v>38</v>
      </c>
      <c r="W215" s="68" t="s">
        <v>35</v>
      </c>
      <c r="X215" s="68" t="s">
        <v>35</v>
      </c>
      <c r="Y215" s="68" t="s">
        <v>35</v>
      </c>
      <c r="Z215" s="68" t="b">
        <v>0</v>
      </c>
      <c r="AA215" s="68" t="s">
        <v>35</v>
      </c>
      <c r="AB215" s="68" t="s">
        <v>35</v>
      </c>
      <c r="AC215" s="68">
        <v>5</v>
      </c>
      <c r="AD215" s="68" t="s">
        <v>35</v>
      </c>
      <c r="AE215" s="68" t="s">
        <v>688</v>
      </c>
      <c r="AF215" s="69">
        <v>44737.414583275466</v>
      </c>
      <c r="AG215" s="71"/>
      <c r="AH215" s="71" t="b">
        <f t="shared" si="10"/>
        <v>0</v>
      </c>
      <c r="AI215" s="56" t="str" cm="1">
        <f t="array" ref="AI215">TRANSPOSE(_xlfn._xlws.FILTER(images!L:L,images!F:F=Barrierenmessung!A215, ""))</f>
        <v/>
      </c>
      <c r="AJ215" s="68"/>
      <c r="AK215" s="68"/>
      <c r="AL215" s="68"/>
      <c r="AM215" s="68"/>
      <c r="AN215" s="68"/>
    </row>
    <row r="216" spans="1:40" ht="16" x14ac:dyDescent="0.2">
      <c r="A216" s="2" t="s">
        <v>728</v>
      </c>
      <c r="B216" s="46">
        <v>215</v>
      </c>
      <c r="C216" s="2" t="b">
        <v>0</v>
      </c>
      <c r="D216" s="2" t="b">
        <v>0</v>
      </c>
      <c r="E216" s="2" t="b">
        <v>0</v>
      </c>
      <c r="F216" s="2" t="b">
        <v>0</v>
      </c>
      <c r="G216" s="2" t="s">
        <v>31</v>
      </c>
      <c r="H216" s="2" t="s">
        <v>729</v>
      </c>
      <c r="I216" s="2" t="s">
        <v>730</v>
      </c>
      <c r="J216" s="2" t="s">
        <v>725</v>
      </c>
      <c r="K216" s="2" t="s">
        <v>35</v>
      </c>
      <c r="L216" s="2" t="s">
        <v>35</v>
      </c>
      <c r="M216" s="2" t="s">
        <v>35</v>
      </c>
      <c r="N216" s="2" t="s">
        <v>35</v>
      </c>
      <c r="O216" s="11">
        <v>44737.430784374999</v>
      </c>
      <c r="P216" s="11">
        <v>44737.431031597225</v>
      </c>
      <c r="Q216" s="27">
        <f t="shared" si="9"/>
        <v>2.4722222588025033E-4</v>
      </c>
      <c r="R216" s="65">
        <f t="shared" si="11"/>
        <v>1.4217824136721902E-3</v>
      </c>
      <c r="S216" s="2">
        <v>0</v>
      </c>
      <c r="T216" s="2" t="s">
        <v>36</v>
      </c>
      <c r="U216" s="2" t="s">
        <v>37</v>
      </c>
      <c r="V216" s="2" t="s">
        <v>38</v>
      </c>
      <c r="W216" s="2" t="s">
        <v>35</v>
      </c>
      <c r="X216" s="2" t="s">
        <v>35</v>
      </c>
      <c r="Y216" s="2" t="s">
        <v>35</v>
      </c>
      <c r="Z216" s="2" t="b">
        <v>0</v>
      </c>
      <c r="AA216" s="2" t="s">
        <v>35</v>
      </c>
      <c r="AB216" s="2" t="s">
        <v>35</v>
      </c>
      <c r="AC216" s="2">
        <v>4</v>
      </c>
      <c r="AD216" s="2" t="s">
        <v>35</v>
      </c>
      <c r="AE216" s="2" t="s">
        <v>688</v>
      </c>
      <c r="AF216" s="11">
        <v>44737.414583275466</v>
      </c>
      <c r="AG216" s="53"/>
      <c r="AH216" s="53" t="b">
        <f t="shared" si="10"/>
        <v>0</v>
      </c>
      <c r="AI216" s="54" t="str" cm="1">
        <f t="array" ref="AI216">TRANSPOSE(_xlfn._xlws.FILTER(images!L:L,images!F:F=Barrierenmessung!A216, ""))</f>
        <v>https://captureandgo.cloudlab.zhaw.ch/uploads/image_632cc81bca.jpg</v>
      </c>
      <c r="AJ216" s="2"/>
      <c r="AK216" s="2"/>
      <c r="AL216" s="2"/>
      <c r="AM216" s="2"/>
      <c r="AN216" s="2"/>
    </row>
    <row r="217" spans="1:40" ht="16" x14ac:dyDescent="0.2">
      <c r="A217" s="2" t="s">
        <v>731</v>
      </c>
      <c r="B217" s="46">
        <v>216</v>
      </c>
      <c r="C217" s="2" t="b">
        <v>0</v>
      </c>
      <c r="D217" s="2" t="b">
        <v>0</v>
      </c>
      <c r="E217" s="2" t="b">
        <v>0</v>
      </c>
      <c r="F217" s="2" t="b">
        <v>0</v>
      </c>
      <c r="G217" s="2" t="s">
        <v>31</v>
      </c>
      <c r="H217" s="2" t="s">
        <v>732</v>
      </c>
      <c r="I217" s="2" t="s">
        <v>733</v>
      </c>
      <c r="J217" s="2" t="s">
        <v>35</v>
      </c>
      <c r="K217" s="2" t="s">
        <v>35</v>
      </c>
      <c r="L217" s="2" t="s">
        <v>35</v>
      </c>
      <c r="M217" s="2">
        <v>53</v>
      </c>
      <c r="N217" s="2">
        <v>9</v>
      </c>
      <c r="O217" s="11">
        <v>44737.433453379628</v>
      </c>
      <c r="P217" s="11">
        <v>44737.433721504633</v>
      </c>
      <c r="Q217" s="27">
        <f t="shared" si="9"/>
        <v>2.6812500436790287E-4</v>
      </c>
      <c r="R217" s="65">
        <f t="shared" si="11"/>
        <v>2.6899074073298834E-3</v>
      </c>
      <c r="S217" s="2">
        <v>0</v>
      </c>
      <c r="T217" s="2" t="s">
        <v>54</v>
      </c>
      <c r="U217" s="2" t="s">
        <v>55</v>
      </c>
      <c r="V217" s="2" t="s">
        <v>38</v>
      </c>
      <c r="W217" s="2" t="s">
        <v>35</v>
      </c>
      <c r="X217" s="2" t="s">
        <v>35</v>
      </c>
      <c r="Y217" s="2" t="s">
        <v>35</v>
      </c>
      <c r="Z217" s="2" t="b">
        <v>1</v>
      </c>
      <c r="AA217" s="2" t="s">
        <v>35</v>
      </c>
      <c r="AB217" s="2" t="s">
        <v>35</v>
      </c>
      <c r="AC217" s="2" t="s">
        <v>35</v>
      </c>
      <c r="AD217" s="2" t="s">
        <v>35</v>
      </c>
      <c r="AE217" s="2" t="s">
        <v>688</v>
      </c>
      <c r="AF217" s="11">
        <v>44737.414583275466</v>
      </c>
      <c r="AG217" s="53"/>
      <c r="AH217" s="53" t="b">
        <f t="shared" si="10"/>
        <v>0</v>
      </c>
      <c r="AI217" s="54" t="str" cm="1">
        <f t="array" ref="AI217">TRANSPOSE(_xlfn._xlws.FILTER(images!L:L,images!F:F=Barrierenmessung!A217, ""))</f>
        <v>https://captureandgo.cloudlab.zhaw.ch/uploads/image_8e98b9f75d.jpg</v>
      </c>
      <c r="AJ217" s="2"/>
      <c r="AK217" s="2"/>
      <c r="AL217" s="2"/>
      <c r="AM217" s="2"/>
      <c r="AN217" s="2"/>
    </row>
    <row r="218" spans="1:40" ht="16" x14ac:dyDescent="0.2">
      <c r="A218" s="68" t="s">
        <v>734</v>
      </c>
      <c r="B218" s="68">
        <v>217</v>
      </c>
      <c r="C218" s="68" t="b">
        <v>0</v>
      </c>
      <c r="D218" s="68" t="b">
        <v>0</v>
      </c>
      <c r="E218" s="68" t="b">
        <v>0</v>
      </c>
      <c r="F218" s="68" t="b">
        <v>0</v>
      </c>
      <c r="G218" s="68" t="s">
        <v>31</v>
      </c>
      <c r="H218" s="68" t="s">
        <v>149</v>
      </c>
      <c r="I218" s="68" t="s">
        <v>735</v>
      </c>
      <c r="J218" s="68" t="s">
        <v>736</v>
      </c>
      <c r="K218" s="68" t="s">
        <v>35</v>
      </c>
      <c r="L218" s="68" t="s">
        <v>35</v>
      </c>
      <c r="M218" s="68" t="s">
        <v>35</v>
      </c>
      <c r="N218" s="68" t="s">
        <v>35</v>
      </c>
      <c r="O218" s="69">
        <v>44737.434814189815</v>
      </c>
      <c r="P218" s="69">
        <v>44737.435091423613</v>
      </c>
      <c r="Q218" s="70">
        <f t="shared" si="9"/>
        <v>2.7723379753297195E-4</v>
      </c>
      <c r="R218" s="70">
        <f t="shared" si="11"/>
        <v>1.3699189803446643E-3</v>
      </c>
      <c r="S218" s="68">
        <v>0</v>
      </c>
      <c r="T218" s="68" t="s">
        <v>36</v>
      </c>
      <c r="U218" s="68" t="s">
        <v>37</v>
      </c>
      <c r="V218" s="68" t="s">
        <v>38</v>
      </c>
      <c r="W218" s="68" t="s">
        <v>35</v>
      </c>
      <c r="X218" s="68" t="s">
        <v>35</v>
      </c>
      <c r="Y218" s="68" t="s">
        <v>35</v>
      </c>
      <c r="Z218" s="68" t="b">
        <v>0</v>
      </c>
      <c r="AA218" s="68" t="s">
        <v>35</v>
      </c>
      <c r="AB218" s="68" t="s">
        <v>35</v>
      </c>
      <c r="AC218" s="68">
        <v>12</v>
      </c>
      <c r="AD218" s="68" t="s">
        <v>35</v>
      </c>
      <c r="AE218" s="68" t="s">
        <v>688</v>
      </c>
      <c r="AF218" s="69">
        <v>44737.414583275466</v>
      </c>
      <c r="AG218" s="71"/>
      <c r="AH218" s="71" t="b">
        <f t="shared" si="10"/>
        <v>0</v>
      </c>
      <c r="AI218" s="56" t="str" cm="1">
        <f t="array" ref="AI218">TRANSPOSE(_xlfn._xlws.FILTER(images!L:L,images!F:F=Barrierenmessung!A218, ""))</f>
        <v/>
      </c>
      <c r="AJ218" s="68"/>
      <c r="AK218" s="68"/>
      <c r="AL218" s="68"/>
      <c r="AM218" s="68"/>
      <c r="AN218" s="68"/>
    </row>
    <row r="219" spans="1:40" ht="16" x14ac:dyDescent="0.2">
      <c r="A219" s="2" t="s">
        <v>737</v>
      </c>
      <c r="B219" s="46">
        <v>218</v>
      </c>
      <c r="C219" s="2" t="b">
        <v>0</v>
      </c>
      <c r="D219" s="2" t="b">
        <v>0</v>
      </c>
      <c r="E219" s="2" t="b">
        <v>0</v>
      </c>
      <c r="F219" s="2" t="b">
        <v>0</v>
      </c>
      <c r="G219" s="2" t="s">
        <v>31</v>
      </c>
      <c r="H219" s="2" t="s">
        <v>738</v>
      </c>
      <c r="I219" s="2" t="s">
        <v>739</v>
      </c>
      <c r="J219" s="2" t="s">
        <v>740</v>
      </c>
      <c r="K219" s="2" t="s">
        <v>35</v>
      </c>
      <c r="L219" s="2" t="s">
        <v>35</v>
      </c>
      <c r="M219" s="2" t="s">
        <v>35</v>
      </c>
      <c r="N219" s="2" t="s">
        <v>35</v>
      </c>
      <c r="O219" s="11">
        <v>44737.436764409722</v>
      </c>
      <c r="P219" s="11">
        <v>44737.437331331021</v>
      </c>
      <c r="Q219" s="27">
        <f t="shared" si="9"/>
        <v>5.6692129874136299E-4</v>
      </c>
      <c r="R219" s="65">
        <f t="shared" si="11"/>
        <v>2.2399074077839032E-3</v>
      </c>
      <c r="S219" s="2">
        <v>0</v>
      </c>
      <c r="T219" s="2" t="s">
        <v>36</v>
      </c>
      <c r="U219" s="2" t="s">
        <v>37</v>
      </c>
      <c r="V219" s="2" t="s">
        <v>38</v>
      </c>
      <c r="W219" s="2" t="s">
        <v>35</v>
      </c>
      <c r="X219" s="2" t="s">
        <v>35</v>
      </c>
      <c r="Y219" s="2" t="s">
        <v>35</v>
      </c>
      <c r="Z219" s="2" t="b">
        <v>0</v>
      </c>
      <c r="AA219" s="2" t="s">
        <v>35</v>
      </c>
      <c r="AB219" s="2" t="s">
        <v>35</v>
      </c>
      <c r="AC219" s="2">
        <v>4</v>
      </c>
      <c r="AD219" s="2">
        <v>3</v>
      </c>
      <c r="AE219" s="2" t="s">
        <v>688</v>
      </c>
      <c r="AF219" s="11">
        <v>44737.414583275466</v>
      </c>
      <c r="AG219" s="53"/>
      <c r="AH219" s="53" t="b">
        <f t="shared" si="10"/>
        <v>0</v>
      </c>
      <c r="AI219" s="54" t="str" cm="1">
        <f t="array" ref="AI219">TRANSPOSE(_xlfn._xlws.FILTER(images!L:L,images!F:F=Barrierenmessung!A219, ""))</f>
        <v>https://captureandgo.cloudlab.zhaw.ch/uploads/image_be10a4baad.jpg</v>
      </c>
      <c r="AJ219" s="2"/>
      <c r="AK219" s="2"/>
      <c r="AL219" s="2"/>
      <c r="AM219" s="2"/>
      <c r="AN219" s="2"/>
    </row>
    <row r="220" spans="1:40" ht="16" x14ac:dyDescent="0.2">
      <c r="A220" s="2" t="s">
        <v>741</v>
      </c>
      <c r="B220" s="46">
        <v>219</v>
      </c>
      <c r="C220" s="2" t="b">
        <v>0</v>
      </c>
      <c r="D220" s="2" t="b">
        <v>0</v>
      </c>
      <c r="E220" s="2" t="b">
        <v>0</v>
      </c>
      <c r="F220" s="2" t="b">
        <v>0</v>
      </c>
      <c r="G220" s="2" t="s">
        <v>31</v>
      </c>
      <c r="H220" s="2" t="s">
        <v>742</v>
      </c>
      <c r="I220" s="2" t="s">
        <v>743</v>
      </c>
      <c r="J220" s="2" t="s">
        <v>35</v>
      </c>
      <c r="K220" s="2" t="s">
        <v>35</v>
      </c>
      <c r="L220" s="2" t="s">
        <v>35</v>
      </c>
      <c r="M220" s="2" t="s">
        <v>35</v>
      </c>
      <c r="N220" s="2" t="s">
        <v>35</v>
      </c>
      <c r="O220" s="11">
        <v>44737.438985358793</v>
      </c>
      <c r="P220" s="11">
        <v>44737.439096064816</v>
      </c>
      <c r="Q220" s="27">
        <f t="shared" si="9"/>
        <v>1.1070602340623736E-4</v>
      </c>
      <c r="R220" s="65">
        <f t="shared" si="11"/>
        <v>1.7647337954258546E-3</v>
      </c>
      <c r="S220" s="2">
        <v>0</v>
      </c>
      <c r="T220" s="2" t="s">
        <v>36</v>
      </c>
      <c r="U220" s="2" t="s">
        <v>37</v>
      </c>
      <c r="V220" s="2" t="s">
        <v>38</v>
      </c>
      <c r="W220" s="2" t="s">
        <v>35</v>
      </c>
      <c r="X220" s="2" t="s">
        <v>35</v>
      </c>
      <c r="Y220" s="2" t="s">
        <v>35</v>
      </c>
      <c r="Z220" s="2" t="b">
        <v>0</v>
      </c>
      <c r="AA220" s="2" t="s">
        <v>35</v>
      </c>
      <c r="AB220" s="2" t="s">
        <v>35</v>
      </c>
      <c r="AC220" s="2" t="s">
        <v>35</v>
      </c>
      <c r="AD220" s="2">
        <v>2</v>
      </c>
      <c r="AE220" s="2" t="s">
        <v>688</v>
      </c>
      <c r="AF220" s="11">
        <v>44737.414583275466</v>
      </c>
      <c r="AG220" s="53"/>
      <c r="AH220" s="53" t="b">
        <f t="shared" si="10"/>
        <v>0</v>
      </c>
      <c r="AI220" s="54" t="str" cm="1">
        <f t="array" ref="AI220">TRANSPOSE(_xlfn._xlws.FILTER(images!L:L,images!F:F=Barrierenmessung!A220, ""))</f>
        <v>https://captureandgo.cloudlab.zhaw.ch/uploads/image_df40740495.jpg</v>
      </c>
      <c r="AJ220" s="2"/>
      <c r="AK220" s="2"/>
      <c r="AL220" s="2"/>
      <c r="AM220" s="2"/>
      <c r="AN220" s="2"/>
    </row>
    <row r="221" spans="1:40" ht="16" x14ac:dyDescent="0.2">
      <c r="A221" s="2" t="s">
        <v>744</v>
      </c>
      <c r="B221" s="46">
        <v>220</v>
      </c>
      <c r="C221" s="2" t="b">
        <v>0</v>
      </c>
      <c r="D221" s="2" t="b">
        <v>0</v>
      </c>
      <c r="E221" s="2" t="b">
        <v>0</v>
      </c>
      <c r="F221" s="2" t="b">
        <v>0</v>
      </c>
      <c r="G221" s="2" t="s">
        <v>31</v>
      </c>
      <c r="H221" s="2" t="s">
        <v>745</v>
      </c>
      <c r="I221" s="2" t="s">
        <v>746</v>
      </c>
      <c r="J221" s="2" t="s">
        <v>675</v>
      </c>
      <c r="K221" s="2" t="s">
        <v>35</v>
      </c>
      <c r="L221" s="2" t="s">
        <v>35</v>
      </c>
      <c r="M221" s="2" t="s">
        <v>35</v>
      </c>
      <c r="N221" s="2" t="s">
        <v>35</v>
      </c>
      <c r="O221" s="11">
        <v>44737.439672569446</v>
      </c>
      <c r="P221" s="11">
        <v>44737.439962962962</v>
      </c>
      <c r="Q221" s="27">
        <f t="shared" si="9"/>
        <v>2.9039351647952572E-4</v>
      </c>
      <c r="R221" s="65">
        <f t="shared" si="11"/>
        <v>8.6689814634155482E-4</v>
      </c>
      <c r="S221" s="2">
        <v>0</v>
      </c>
      <c r="T221" s="2" t="s">
        <v>124</v>
      </c>
      <c r="U221" s="2" t="s">
        <v>125</v>
      </c>
      <c r="V221" s="2" t="s">
        <v>38</v>
      </c>
      <c r="W221" s="2" t="s">
        <v>35</v>
      </c>
      <c r="X221" s="2" t="s">
        <v>35</v>
      </c>
      <c r="Y221" s="2" t="s">
        <v>35</v>
      </c>
      <c r="Z221" s="2" t="b">
        <v>0</v>
      </c>
      <c r="AA221" s="2" t="s">
        <v>35</v>
      </c>
      <c r="AB221" s="2">
        <v>4</v>
      </c>
      <c r="AC221" s="2" t="s">
        <v>35</v>
      </c>
      <c r="AD221" s="2" t="s">
        <v>35</v>
      </c>
      <c r="AE221" s="2" t="s">
        <v>688</v>
      </c>
      <c r="AF221" s="11">
        <v>44737.414583275466</v>
      </c>
      <c r="AG221" s="53"/>
      <c r="AH221" s="53" t="b">
        <f t="shared" si="10"/>
        <v>0</v>
      </c>
      <c r="AI221" s="54" t="str" cm="1">
        <f t="array" ref="AI221">TRANSPOSE(_xlfn._xlws.FILTER(images!L:L,images!F:F=Barrierenmessung!A221, ""))</f>
        <v>https://captureandgo.cloudlab.zhaw.ch/uploads/image_3b61a7da55.jpg</v>
      </c>
      <c r="AJ221" s="2"/>
      <c r="AK221" s="2"/>
      <c r="AL221" s="2"/>
      <c r="AM221" s="2"/>
      <c r="AN221" s="2"/>
    </row>
    <row r="222" spans="1:40" ht="16" x14ac:dyDescent="0.2">
      <c r="A222" s="2" t="s">
        <v>747</v>
      </c>
      <c r="B222" s="46">
        <v>221</v>
      </c>
      <c r="C222" s="2" t="b">
        <v>0</v>
      </c>
      <c r="D222" s="2" t="b">
        <v>0</v>
      </c>
      <c r="E222" s="2" t="b">
        <v>0</v>
      </c>
      <c r="F222" s="2" t="b">
        <v>0</v>
      </c>
      <c r="G222" s="2" t="s">
        <v>31</v>
      </c>
      <c r="H222" s="2" t="s">
        <v>748</v>
      </c>
      <c r="I222" s="2" t="s">
        <v>749</v>
      </c>
      <c r="J222" s="2" t="s">
        <v>736</v>
      </c>
      <c r="K222" s="2" t="s">
        <v>35</v>
      </c>
      <c r="L222" s="2" t="s">
        <v>35</v>
      </c>
      <c r="M222" s="2" t="s">
        <v>35</v>
      </c>
      <c r="N222" s="2" t="s">
        <v>35</v>
      </c>
      <c r="O222" s="11">
        <v>44737.44006025463</v>
      </c>
      <c r="P222" s="11">
        <v>44737.44147484954</v>
      </c>
      <c r="Q222" s="27">
        <f t="shared" si="9"/>
        <v>1.4145949098747224E-3</v>
      </c>
      <c r="R222" s="65">
        <f t="shared" si="11"/>
        <v>1.5118865776457824E-3</v>
      </c>
      <c r="S222" s="2">
        <v>0</v>
      </c>
      <c r="T222" s="2" t="s">
        <v>36</v>
      </c>
      <c r="U222" s="2" t="s">
        <v>37</v>
      </c>
      <c r="V222" s="2" t="s">
        <v>38</v>
      </c>
      <c r="W222" s="2" t="s">
        <v>35</v>
      </c>
      <c r="X222" s="2" t="s">
        <v>35</v>
      </c>
      <c r="Y222" s="2" t="s">
        <v>35</v>
      </c>
      <c r="Z222" s="2" t="b">
        <v>0</v>
      </c>
      <c r="AA222" s="2" t="s">
        <v>35</v>
      </c>
      <c r="AB222" s="2" t="s">
        <v>35</v>
      </c>
      <c r="AC222" s="2">
        <v>4</v>
      </c>
      <c r="AD222" s="2">
        <v>5</v>
      </c>
      <c r="AE222" s="2" t="s">
        <v>688</v>
      </c>
      <c r="AF222" s="11">
        <v>44737.414583275466</v>
      </c>
      <c r="AG222" s="53"/>
      <c r="AH222" s="53" t="b">
        <f t="shared" si="10"/>
        <v>0</v>
      </c>
      <c r="AI222" s="54" t="str" cm="1">
        <f t="array" ref="AI222:AJ222">TRANSPOSE(_xlfn._xlws.FILTER(images!L:L,images!F:F=Barrierenmessung!A222, ""))</f>
        <v>https://captureandgo.cloudlab.zhaw.ch/uploads/image_90d29160c9.jpg</v>
      </c>
      <c r="AJ222" s="2" t="str">
        <v>https://captureandgo.cloudlab.zhaw.ch/uploads/image_d55350cb8b.jpg</v>
      </c>
      <c r="AK222" s="2"/>
      <c r="AL222" s="2"/>
      <c r="AM222" s="2"/>
      <c r="AN222" s="2"/>
    </row>
    <row r="223" spans="1:40" ht="16" x14ac:dyDescent="0.2">
      <c r="A223" s="2" t="s">
        <v>750</v>
      </c>
      <c r="B223" s="46">
        <v>222</v>
      </c>
      <c r="C223" s="2" t="b">
        <v>0</v>
      </c>
      <c r="D223" s="2" t="b">
        <v>0</v>
      </c>
      <c r="E223" s="2" t="b">
        <v>0</v>
      </c>
      <c r="F223" s="2" t="b">
        <v>0</v>
      </c>
      <c r="G223" s="2" t="s">
        <v>31</v>
      </c>
      <c r="H223" s="2" t="s">
        <v>751</v>
      </c>
      <c r="I223" s="2" t="s">
        <v>752</v>
      </c>
      <c r="J223" s="2" t="s">
        <v>35</v>
      </c>
      <c r="K223" s="2" t="s">
        <v>35</v>
      </c>
      <c r="L223" s="2" t="s">
        <v>35</v>
      </c>
      <c r="M223" s="2" t="s">
        <v>35</v>
      </c>
      <c r="N223" s="2" t="s">
        <v>35</v>
      </c>
      <c r="O223" s="11">
        <v>44737.443087083331</v>
      </c>
      <c r="P223" s="11">
        <v>44737.44319982639</v>
      </c>
      <c r="Q223" s="27">
        <f t="shared" si="9"/>
        <v>1.1274305870756507E-4</v>
      </c>
      <c r="R223" s="65">
        <f t="shared" si="11"/>
        <v>1.7249768498004414E-3</v>
      </c>
      <c r="S223" s="2">
        <v>0</v>
      </c>
      <c r="T223" s="2" t="s">
        <v>36</v>
      </c>
      <c r="U223" s="2" t="s">
        <v>37</v>
      </c>
      <c r="V223" s="2" t="s">
        <v>38</v>
      </c>
      <c r="W223" s="2" t="s">
        <v>35</v>
      </c>
      <c r="X223" s="2" t="s">
        <v>35</v>
      </c>
      <c r="Y223" s="2" t="s">
        <v>35</v>
      </c>
      <c r="Z223" s="2" t="b">
        <v>0</v>
      </c>
      <c r="AA223" s="2" t="s">
        <v>35</v>
      </c>
      <c r="AB223" s="2" t="s">
        <v>35</v>
      </c>
      <c r="AC223" s="2" t="s">
        <v>35</v>
      </c>
      <c r="AD223" s="2">
        <v>2</v>
      </c>
      <c r="AE223" s="2" t="s">
        <v>688</v>
      </c>
      <c r="AF223" s="11">
        <v>44737.414583275466</v>
      </c>
      <c r="AG223" s="53"/>
      <c r="AH223" s="53" t="b">
        <f t="shared" si="10"/>
        <v>0</v>
      </c>
      <c r="AI223" s="54" t="str" cm="1">
        <f t="array" ref="AI223">TRANSPOSE(_xlfn._xlws.FILTER(images!L:L,images!F:F=Barrierenmessung!A223, ""))</f>
        <v>https://captureandgo.cloudlab.zhaw.ch/uploads/image_7810bcd817.jpg</v>
      </c>
      <c r="AJ223" s="2"/>
      <c r="AK223" s="2"/>
      <c r="AL223" s="2"/>
      <c r="AM223" s="2"/>
      <c r="AN223" s="2"/>
    </row>
    <row r="224" spans="1:40" ht="16" x14ac:dyDescent="0.2">
      <c r="A224" s="2" t="s">
        <v>753</v>
      </c>
      <c r="B224" s="46">
        <v>223</v>
      </c>
      <c r="C224" s="2" t="b">
        <v>0</v>
      </c>
      <c r="D224" s="2" t="b">
        <v>0</v>
      </c>
      <c r="E224" s="2" t="b">
        <v>0</v>
      </c>
      <c r="F224" s="2" t="b">
        <v>0</v>
      </c>
      <c r="G224" s="2" t="s">
        <v>31</v>
      </c>
      <c r="H224" s="2" t="s">
        <v>754</v>
      </c>
      <c r="I224" s="2" t="s">
        <v>755</v>
      </c>
      <c r="J224" s="2" t="s">
        <v>736</v>
      </c>
      <c r="K224" s="2" t="s">
        <v>35</v>
      </c>
      <c r="L224" s="2" t="s">
        <v>35</v>
      </c>
      <c r="M224" s="2" t="s">
        <v>35</v>
      </c>
      <c r="N224" s="2" t="s">
        <v>35</v>
      </c>
      <c r="O224" s="11">
        <v>44737.444362592592</v>
      </c>
      <c r="P224" s="11">
        <v>44737.444947638891</v>
      </c>
      <c r="Q224" s="27">
        <f t="shared" si="9"/>
        <v>5.8504629851086065E-4</v>
      </c>
      <c r="R224" s="65">
        <f t="shared" si="11"/>
        <v>1.747812500980217E-3</v>
      </c>
      <c r="S224" s="2">
        <v>0</v>
      </c>
      <c r="T224" s="2" t="s">
        <v>36</v>
      </c>
      <c r="U224" s="2" t="s">
        <v>37</v>
      </c>
      <c r="V224" s="2" t="s">
        <v>38</v>
      </c>
      <c r="W224" s="2" t="s">
        <v>35</v>
      </c>
      <c r="X224" s="2" t="s">
        <v>35</v>
      </c>
      <c r="Y224" s="2" t="s">
        <v>35</v>
      </c>
      <c r="Z224" s="2" t="b">
        <v>0</v>
      </c>
      <c r="AA224" s="2" t="s">
        <v>35</v>
      </c>
      <c r="AB224" s="2" t="s">
        <v>35</v>
      </c>
      <c r="AC224" s="2">
        <v>4</v>
      </c>
      <c r="AD224" s="2" t="s">
        <v>35</v>
      </c>
      <c r="AE224" s="2" t="s">
        <v>688</v>
      </c>
      <c r="AF224" s="11">
        <v>44737.414583275466</v>
      </c>
      <c r="AG224" s="53"/>
      <c r="AH224" s="53" t="b">
        <f t="shared" si="10"/>
        <v>0</v>
      </c>
      <c r="AI224" s="54" t="str" cm="1">
        <f t="array" ref="AI224">TRANSPOSE(_xlfn._xlws.FILTER(images!L:L,images!F:F=Barrierenmessung!A224, ""))</f>
        <v>https://captureandgo.cloudlab.zhaw.ch/uploads/image_fd7c6a3fe7.jpg</v>
      </c>
      <c r="AJ224" s="2"/>
      <c r="AK224" s="2"/>
      <c r="AL224" s="2"/>
      <c r="AM224" s="2"/>
      <c r="AN224" s="2"/>
    </row>
    <row r="225" spans="1:40" ht="16" x14ac:dyDescent="0.2">
      <c r="A225" s="2" t="s">
        <v>756</v>
      </c>
      <c r="B225" s="46">
        <v>224</v>
      </c>
      <c r="C225" s="2" t="b">
        <v>0</v>
      </c>
      <c r="D225" s="2" t="b">
        <v>0</v>
      </c>
      <c r="E225" s="2" t="b">
        <v>0</v>
      </c>
      <c r="F225" s="2" t="b">
        <v>0</v>
      </c>
      <c r="G225" s="2" t="s">
        <v>31</v>
      </c>
      <c r="H225" s="2" t="s">
        <v>757</v>
      </c>
      <c r="I225" s="2" t="s">
        <v>758</v>
      </c>
      <c r="J225" s="2" t="s">
        <v>759</v>
      </c>
      <c r="K225" s="2" t="s">
        <v>35</v>
      </c>
      <c r="L225" s="2" t="s">
        <v>35</v>
      </c>
      <c r="M225" s="2" t="s">
        <v>35</v>
      </c>
      <c r="N225" s="2" t="s">
        <v>35</v>
      </c>
      <c r="O225" s="11">
        <v>44737.446973078702</v>
      </c>
      <c r="P225" s="11">
        <v>44737.4480453125</v>
      </c>
      <c r="Q225" s="27">
        <f t="shared" si="9"/>
        <v>1.0722337974584661E-3</v>
      </c>
      <c r="R225" s="65">
        <f t="shared" si="11"/>
        <v>3.0976736088632606E-3</v>
      </c>
      <c r="S225" s="2">
        <v>0</v>
      </c>
      <c r="T225" s="2" t="s">
        <v>109</v>
      </c>
      <c r="U225" s="2" t="s">
        <v>110</v>
      </c>
      <c r="V225" s="2" t="s">
        <v>38</v>
      </c>
      <c r="W225" s="2" t="s">
        <v>35</v>
      </c>
      <c r="X225" s="2">
        <v>0</v>
      </c>
      <c r="Y225" s="2" t="s">
        <v>35</v>
      </c>
      <c r="Z225" s="2" t="b">
        <v>0</v>
      </c>
      <c r="AA225" s="2" t="s">
        <v>35</v>
      </c>
      <c r="AB225" s="2" t="s">
        <v>35</v>
      </c>
      <c r="AC225" s="2" t="s">
        <v>35</v>
      </c>
      <c r="AD225" s="2" t="s">
        <v>35</v>
      </c>
      <c r="AE225" s="2" t="s">
        <v>688</v>
      </c>
      <c r="AF225" s="11">
        <v>44737.414583275466</v>
      </c>
      <c r="AG225" s="53"/>
      <c r="AH225" s="53" t="b">
        <f t="shared" si="10"/>
        <v>0</v>
      </c>
      <c r="AI225" s="54" t="str" cm="1">
        <f t="array" ref="AI225:AK225">TRANSPOSE(_xlfn._xlws.FILTER(images!L:L,images!F:F=Barrierenmessung!A225, ""))</f>
        <v>https://captureandgo.cloudlab.zhaw.ch/uploads/image_55b623c2ea.jpg</v>
      </c>
      <c r="AJ225" s="2" t="str">
        <v>https://captureandgo.cloudlab.zhaw.ch/uploads/image_c4aa2cd922.jpg</v>
      </c>
      <c r="AK225" s="2" t="str">
        <v>https://captureandgo.cloudlab.zhaw.ch/uploads/image_30489e6162.jpg</v>
      </c>
      <c r="AL225" s="2"/>
      <c r="AM225" s="2"/>
      <c r="AN225" s="2"/>
    </row>
    <row r="226" spans="1:40" ht="16" x14ac:dyDescent="0.2">
      <c r="A226" s="2" t="s">
        <v>760</v>
      </c>
      <c r="B226" s="46">
        <v>225</v>
      </c>
      <c r="C226" s="2" t="b">
        <v>0</v>
      </c>
      <c r="D226" s="2" t="b">
        <v>0</v>
      </c>
      <c r="E226" s="2" t="b">
        <v>0</v>
      </c>
      <c r="F226" s="2" t="b">
        <v>0</v>
      </c>
      <c r="G226" s="2" t="s">
        <v>31</v>
      </c>
      <c r="H226" s="2" t="s">
        <v>761</v>
      </c>
      <c r="I226" s="2" t="s">
        <v>762</v>
      </c>
      <c r="J226" s="2" t="s">
        <v>35</v>
      </c>
      <c r="K226" s="2" t="s">
        <v>35</v>
      </c>
      <c r="L226" s="2" t="s">
        <v>35</v>
      </c>
      <c r="M226" s="2" t="s">
        <v>35</v>
      </c>
      <c r="N226" s="2" t="s">
        <v>35</v>
      </c>
      <c r="O226" s="11">
        <v>44737.448360821756</v>
      </c>
      <c r="P226" s="11">
        <v>44737.448481134263</v>
      </c>
      <c r="Q226" s="27">
        <f t="shared" si="9"/>
        <v>1.2031250662403181E-4</v>
      </c>
      <c r="R226" s="65">
        <f t="shared" si="11"/>
        <v>4.3582176294876263E-4</v>
      </c>
      <c r="S226" s="2">
        <v>0</v>
      </c>
      <c r="T226" s="2" t="s">
        <v>36</v>
      </c>
      <c r="U226" s="2" t="s">
        <v>37</v>
      </c>
      <c r="V226" s="2" t="s">
        <v>38</v>
      </c>
      <c r="W226" s="2" t="s">
        <v>35</v>
      </c>
      <c r="X226" s="2" t="s">
        <v>35</v>
      </c>
      <c r="Y226" s="2" t="s">
        <v>35</v>
      </c>
      <c r="Z226" s="2" t="b">
        <v>0</v>
      </c>
      <c r="AA226" s="2" t="s">
        <v>35</v>
      </c>
      <c r="AB226" s="2" t="s">
        <v>35</v>
      </c>
      <c r="AC226" s="2" t="s">
        <v>35</v>
      </c>
      <c r="AD226" s="2">
        <v>5</v>
      </c>
      <c r="AE226" s="2" t="s">
        <v>688</v>
      </c>
      <c r="AF226" s="11">
        <v>44737.414583275466</v>
      </c>
      <c r="AG226" s="53"/>
      <c r="AH226" s="53" t="b">
        <f t="shared" si="10"/>
        <v>0</v>
      </c>
      <c r="AI226" s="54" t="str" cm="1">
        <f t="array" ref="AI226">TRANSPOSE(_xlfn._xlws.FILTER(images!L:L,images!F:F=Barrierenmessung!A226, ""))</f>
        <v>https://captureandgo.cloudlab.zhaw.ch/uploads/image_bedca5f6cb.jpg</v>
      </c>
      <c r="AJ226" s="2"/>
      <c r="AK226" s="2"/>
      <c r="AL226" s="2"/>
      <c r="AM226" s="2"/>
      <c r="AN226" s="2"/>
    </row>
    <row r="227" spans="1:40" ht="16" x14ac:dyDescent="0.2">
      <c r="A227" s="2" t="s">
        <v>763</v>
      </c>
      <c r="B227" s="46">
        <v>226</v>
      </c>
      <c r="C227" s="2" t="b">
        <v>0</v>
      </c>
      <c r="D227" s="2" t="b">
        <v>0</v>
      </c>
      <c r="E227" s="2" t="b">
        <v>0</v>
      </c>
      <c r="F227" s="2" t="b">
        <v>0</v>
      </c>
      <c r="G227" s="2" t="s">
        <v>31</v>
      </c>
      <c r="H227" s="2" t="s">
        <v>764</v>
      </c>
      <c r="I227" s="2" t="s">
        <v>765</v>
      </c>
      <c r="J227" s="2" t="s">
        <v>766</v>
      </c>
      <c r="K227" s="2" t="s">
        <v>35</v>
      </c>
      <c r="L227" s="2" t="s">
        <v>35</v>
      </c>
      <c r="M227" s="2" t="s">
        <v>35</v>
      </c>
      <c r="N227" s="2" t="s">
        <v>35</v>
      </c>
      <c r="O227" s="11">
        <v>44737.449153344911</v>
      </c>
      <c r="P227" s="11">
        <v>44737.449407673608</v>
      </c>
      <c r="Q227" s="27">
        <f t="shared" si="9"/>
        <v>2.5432869733776897E-4</v>
      </c>
      <c r="R227" s="65">
        <f t="shared" si="11"/>
        <v>9.265393455279991E-4</v>
      </c>
      <c r="S227" s="2">
        <v>0</v>
      </c>
      <c r="T227" s="2" t="s">
        <v>36</v>
      </c>
      <c r="U227" s="2" t="s">
        <v>37</v>
      </c>
      <c r="V227" s="2" t="s">
        <v>38</v>
      </c>
      <c r="W227" s="2" t="s">
        <v>35</v>
      </c>
      <c r="X227" s="2" t="s">
        <v>35</v>
      </c>
      <c r="Y227" s="2" t="s">
        <v>35</v>
      </c>
      <c r="Z227" s="2" t="b">
        <v>0</v>
      </c>
      <c r="AA227" s="2" t="s">
        <v>35</v>
      </c>
      <c r="AB227" s="2" t="s">
        <v>35</v>
      </c>
      <c r="AC227" s="2">
        <v>4</v>
      </c>
      <c r="AD227" s="2">
        <v>3</v>
      </c>
      <c r="AE227" s="2" t="s">
        <v>688</v>
      </c>
      <c r="AF227" s="11">
        <v>44737.414583275466</v>
      </c>
      <c r="AG227" s="53"/>
      <c r="AH227" s="53" t="b">
        <f t="shared" si="10"/>
        <v>0</v>
      </c>
      <c r="AI227" s="54" t="str" cm="1">
        <f t="array" ref="AI227">TRANSPOSE(_xlfn._xlws.FILTER(images!L:L,images!F:F=Barrierenmessung!A227, ""))</f>
        <v>https://captureandgo.cloudlab.zhaw.ch/uploads/image_3d08f60ab2.jpg</v>
      </c>
      <c r="AJ227" s="2"/>
      <c r="AK227" s="2"/>
      <c r="AL227" s="2"/>
      <c r="AM227" s="2"/>
      <c r="AN227" s="2"/>
    </row>
    <row r="228" spans="1:40" ht="16" x14ac:dyDescent="0.2">
      <c r="A228" s="2" t="s">
        <v>767</v>
      </c>
      <c r="B228" s="46">
        <v>227</v>
      </c>
      <c r="C228" s="2" t="b">
        <v>0</v>
      </c>
      <c r="D228" s="2" t="b">
        <v>0</v>
      </c>
      <c r="E228" s="2" t="b">
        <v>0</v>
      </c>
      <c r="F228" s="2" t="b">
        <v>0</v>
      </c>
      <c r="G228" s="2" t="s">
        <v>31</v>
      </c>
      <c r="H228" s="2" t="s">
        <v>768</v>
      </c>
      <c r="I228" s="2" t="s">
        <v>769</v>
      </c>
      <c r="J228" s="2" t="s">
        <v>766</v>
      </c>
      <c r="K228" s="2" t="s">
        <v>35</v>
      </c>
      <c r="L228" s="2" t="s">
        <v>35</v>
      </c>
      <c r="M228" s="2" t="s">
        <v>35</v>
      </c>
      <c r="N228" s="2" t="s">
        <v>35</v>
      </c>
      <c r="O228" s="11">
        <v>44737.44971079861</v>
      </c>
      <c r="P228" s="11">
        <v>44737.4508446412</v>
      </c>
      <c r="Q228" s="27">
        <f t="shared" si="9"/>
        <v>1.1338425902067684E-3</v>
      </c>
      <c r="R228" s="65">
        <f t="shared" si="11"/>
        <v>1.4369675918715075E-3</v>
      </c>
      <c r="S228" s="2">
        <v>0</v>
      </c>
      <c r="T228" s="2" t="s">
        <v>36</v>
      </c>
      <c r="U228" s="2" t="s">
        <v>37</v>
      </c>
      <c r="V228" s="2" t="s">
        <v>38</v>
      </c>
      <c r="W228" s="2" t="s">
        <v>35</v>
      </c>
      <c r="X228" s="2" t="s">
        <v>35</v>
      </c>
      <c r="Y228" s="2" t="s">
        <v>35</v>
      </c>
      <c r="Z228" s="2" t="b">
        <v>0</v>
      </c>
      <c r="AA228" s="2" t="s">
        <v>35</v>
      </c>
      <c r="AB228" s="2" t="s">
        <v>35</v>
      </c>
      <c r="AC228" s="2">
        <v>4</v>
      </c>
      <c r="AD228" s="2">
        <v>7</v>
      </c>
      <c r="AE228" s="2" t="s">
        <v>688</v>
      </c>
      <c r="AF228" s="11">
        <v>44737.414583275466</v>
      </c>
      <c r="AG228" s="53"/>
      <c r="AH228" s="53" t="b">
        <f t="shared" si="10"/>
        <v>0</v>
      </c>
      <c r="AI228" s="54" t="str" cm="1">
        <f t="array" ref="AI228">TRANSPOSE(_xlfn._xlws.FILTER(images!L:L,images!F:F=Barrierenmessung!A228, ""))</f>
        <v>https://captureandgo.cloudlab.zhaw.ch/uploads/image_ca0b42a928.jpg</v>
      </c>
      <c r="AJ228" s="2"/>
      <c r="AK228" s="2"/>
      <c r="AL228" s="2"/>
      <c r="AM228" s="2"/>
      <c r="AN228" s="2"/>
    </row>
    <row r="229" spans="1:40" ht="16" x14ac:dyDescent="0.2">
      <c r="A229" s="2" t="s">
        <v>770</v>
      </c>
      <c r="B229" s="46">
        <v>228</v>
      </c>
      <c r="C229" s="2" t="b">
        <v>0</v>
      </c>
      <c r="D229" s="2" t="b">
        <v>0</v>
      </c>
      <c r="E229" s="2" t="b">
        <v>0</v>
      </c>
      <c r="F229" s="2" t="b">
        <v>0</v>
      </c>
      <c r="G229" s="2" t="s">
        <v>31</v>
      </c>
      <c r="H229" s="2" t="s">
        <v>771</v>
      </c>
      <c r="I229" s="2" t="s">
        <v>772</v>
      </c>
      <c r="J229" s="2" t="s">
        <v>773</v>
      </c>
      <c r="K229" s="2" t="s">
        <v>35</v>
      </c>
      <c r="L229" s="2" t="s">
        <v>35</v>
      </c>
      <c r="M229" s="2" t="s">
        <v>35</v>
      </c>
      <c r="N229" s="2" t="s">
        <v>35</v>
      </c>
      <c r="O229" s="11">
        <v>44737.45124771991</v>
      </c>
      <c r="P229" s="11">
        <v>44737.451695694443</v>
      </c>
      <c r="Q229" s="27">
        <f t="shared" si="9"/>
        <v>4.4797453301725909E-4</v>
      </c>
      <c r="R229" s="65">
        <f t="shared" si="11"/>
        <v>8.5105324251344427E-4</v>
      </c>
      <c r="S229" s="2">
        <v>0</v>
      </c>
      <c r="T229" s="2" t="s">
        <v>36</v>
      </c>
      <c r="U229" s="2" t="s">
        <v>37</v>
      </c>
      <c r="V229" s="2" t="s">
        <v>38</v>
      </c>
      <c r="W229" s="2" t="s">
        <v>35</v>
      </c>
      <c r="X229" s="2" t="s">
        <v>35</v>
      </c>
      <c r="Y229" s="2" t="s">
        <v>35</v>
      </c>
      <c r="Z229" s="2" t="b">
        <v>0</v>
      </c>
      <c r="AA229" s="2" t="s">
        <v>35</v>
      </c>
      <c r="AB229" s="2" t="s">
        <v>35</v>
      </c>
      <c r="AC229" s="2">
        <v>9</v>
      </c>
      <c r="AD229" s="2" t="s">
        <v>35</v>
      </c>
      <c r="AE229" s="2" t="s">
        <v>688</v>
      </c>
      <c r="AF229" s="11">
        <v>44737.414583275466</v>
      </c>
      <c r="AG229" s="53"/>
      <c r="AH229" s="53" t="b">
        <f t="shared" si="10"/>
        <v>0</v>
      </c>
      <c r="AI229" s="54" t="str" cm="1">
        <f t="array" ref="AI229">TRANSPOSE(_xlfn._xlws.FILTER(images!L:L,images!F:F=Barrierenmessung!A229, ""))</f>
        <v>https://captureandgo.cloudlab.zhaw.ch/uploads/image_e87a6a55a4.jpg</v>
      </c>
      <c r="AJ229" s="2"/>
      <c r="AK229" s="2"/>
      <c r="AL229" s="2"/>
      <c r="AM229" s="2"/>
      <c r="AN229" s="2"/>
    </row>
    <row r="230" spans="1:40" ht="16" x14ac:dyDescent="0.2">
      <c r="A230" s="2" t="s">
        <v>774</v>
      </c>
      <c r="B230" s="46">
        <v>229</v>
      </c>
      <c r="C230" s="2" t="b">
        <v>0</v>
      </c>
      <c r="D230" s="2" t="b">
        <v>0</v>
      </c>
      <c r="E230" s="2" t="b">
        <v>0</v>
      </c>
      <c r="F230" s="2" t="b">
        <v>0</v>
      </c>
      <c r="G230" s="2" t="s">
        <v>31</v>
      </c>
      <c r="H230" s="2" t="s">
        <v>775</v>
      </c>
      <c r="I230" s="2" t="s">
        <v>776</v>
      </c>
      <c r="J230" s="2" t="s">
        <v>35</v>
      </c>
      <c r="K230" s="2" t="s">
        <v>35</v>
      </c>
      <c r="L230" s="2" t="s">
        <v>35</v>
      </c>
      <c r="M230" s="2">
        <v>56</v>
      </c>
      <c r="N230" s="2">
        <v>15</v>
      </c>
      <c r="O230" s="11">
        <v>44737.452346006947</v>
      </c>
      <c r="P230" s="11">
        <v>44737.453287881945</v>
      </c>
      <c r="Q230" s="27">
        <f t="shared" si="9"/>
        <v>9.4187499780673534E-4</v>
      </c>
      <c r="R230" s="65">
        <f t="shared" si="11"/>
        <v>1.5921875019557774E-3</v>
      </c>
      <c r="S230" s="2">
        <v>0</v>
      </c>
      <c r="T230" s="2" t="s">
        <v>54</v>
      </c>
      <c r="U230" s="2" t="s">
        <v>55</v>
      </c>
      <c r="V230" s="2" t="s">
        <v>38</v>
      </c>
      <c r="W230" s="2" t="s">
        <v>35</v>
      </c>
      <c r="X230" s="2" t="s">
        <v>35</v>
      </c>
      <c r="Y230" s="2" t="s">
        <v>35</v>
      </c>
      <c r="Z230" s="2" t="b">
        <v>0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2" t="s">
        <v>688</v>
      </c>
      <c r="AF230" s="11">
        <v>44737.414583275466</v>
      </c>
      <c r="AG230" s="53"/>
      <c r="AH230" s="53" t="b">
        <f t="shared" si="10"/>
        <v>0</v>
      </c>
      <c r="AI230" s="54" t="str" cm="1">
        <f t="array" ref="AI230">TRANSPOSE(_xlfn._xlws.FILTER(images!L:L,images!F:F=Barrierenmessung!A230, ""))</f>
        <v>https://captureandgo.cloudlab.zhaw.ch/uploads/image_be4c8fd9f2.jpg</v>
      </c>
      <c r="AJ230" s="2"/>
      <c r="AK230" s="2"/>
      <c r="AL230" s="2"/>
      <c r="AM230" s="2"/>
      <c r="AN230" s="2"/>
    </row>
    <row r="231" spans="1:40" ht="16" x14ac:dyDescent="0.2">
      <c r="A231" s="2" t="s">
        <v>777</v>
      </c>
      <c r="B231" s="46">
        <v>230</v>
      </c>
      <c r="C231" s="2" t="b">
        <v>0</v>
      </c>
      <c r="D231" s="2" t="b">
        <v>0</v>
      </c>
      <c r="E231" s="2" t="b">
        <v>0</v>
      </c>
      <c r="F231" s="2" t="b">
        <v>0</v>
      </c>
      <c r="G231" s="2" t="s">
        <v>31</v>
      </c>
      <c r="H231" s="2" t="s">
        <v>778</v>
      </c>
      <c r="I231" s="2" t="s">
        <v>779</v>
      </c>
      <c r="J231" s="2" t="s">
        <v>35</v>
      </c>
      <c r="K231" s="2" t="s">
        <v>35</v>
      </c>
      <c r="L231" s="2" t="s">
        <v>35</v>
      </c>
      <c r="M231" s="2" t="s">
        <v>35</v>
      </c>
      <c r="N231" s="2" t="s">
        <v>35</v>
      </c>
      <c r="O231" s="11">
        <v>44737.455675509256</v>
      </c>
      <c r="P231" s="11">
        <v>44737.455867280092</v>
      </c>
      <c r="Q231" s="27">
        <f t="shared" si="9"/>
        <v>1.9177083595423028E-4</v>
      </c>
      <c r="R231" s="65">
        <f t="shared" si="11"/>
        <v>2.5793981476454064E-3</v>
      </c>
      <c r="S231" s="2">
        <v>0</v>
      </c>
      <c r="T231" s="2" t="s">
        <v>36</v>
      </c>
      <c r="U231" s="2" t="s">
        <v>37</v>
      </c>
      <c r="V231" s="2" t="s">
        <v>38</v>
      </c>
      <c r="W231" s="2" t="s">
        <v>35</v>
      </c>
      <c r="X231" s="2" t="s">
        <v>35</v>
      </c>
      <c r="Y231" s="2" t="s">
        <v>35</v>
      </c>
      <c r="Z231" s="2" t="b">
        <v>0</v>
      </c>
      <c r="AA231" s="2" t="s">
        <v>35</v>
      </c>
      <c r="AB231" s="2" t="s">
        <v>35</v>
      </c>
      <c r="AC231" s="2" t="s">
        <v>35</v>
      </c>
      <c r="AD231" s="2">
        <v>5</v>
      </c>
      <c r="AE231" s="2" t="s">
        <v>688</v>
      </c>
      <c r="AF231" s="11">
        <v>44737.414583275466</v>
      </c>
      <c r="AG231" s="53"/>
      <c r="AH231" s="53" t="b">
        <f t="shared" si="10"/>
        <v>0</v>
      </c>
      <c r="AI231" s="54" t="str" cm="1">
        <f t="array" ref="AI231">TRANSPOSE(_xlfn._xlws.FILTER(images!L:L,images!F:F=Barrierenmessung!A231, ""))</f>
        <v>https://captureandgo.cloudlab.zhaw.ch/uploads/image_95f1cf4e6f.jpg</v>
      </c>
      <c r="AJ231" s="2"/>
      <c r="AK231" s="2"/>
      <c r="AL231" s="2"/>
      <c r="AM231" s="2"/>
      <c r="AN231" s="2"/>
    </row>
    <row r="232" spans="1:40" ht="16" x14ac:dyDescent="0.2">
      <c r="A232" s="2" t="s">
        <v>780</v>
      </c>
      <c r="B232" s="46">
        <v>231</v>
      </c>
      <c r="C232" s="2" t="b">
        <v>0</v>
      </c>
      <c r="D232" s="2" t="b">
        <v>0</v>
      </c>
      <c r="E232" s="2" t="b">
        <v>0</v>
      </c>
      <c r="F232" s="2" t="b">
        <v>0</v>
      </c>
      <c r="G232" s="2" t="s">
        <v>31</v>
      </c>
      <c r="H232" s="2" t="s">
        <v>781</v>
      </c>
      <c r="I232" s="2" t="s">
        <v>782</v>
      </c>
      <c r="J232" s="2" t="s">
        <v>35</v>
      </c>
      <c r="K232" s="2" t="s">
        <v>35</v>
      </c>
      <c r="L232" s="2" t="s">
        <v>35</v>
      </c>
      <c r="M232" s="2">
        <v>30</v>
      </c>
      <c r="N232" s="2">
        <v>14</v>
      </c>
      <c r="O232" s="11">
        <v>44737.456030428242</v>
      </c>
      <c r="P232" s="11">
        <v>44737.456588564812</v>
      </c>
      <c r="Q232" s="27">
        <f t="shared" si="9"/>
        <v>5.5813656945247203E-4</v>
      </c>
      <c r="R232" s="65">
        <f t="shared" si="11"/>
        <v>7.2128471947507933E-4</v>
      </c>
      <c r="S232" s="2">
        <v>0</v>
      </c>
      <c r="T232" s="2" t="s">
        <v>54</v>
      </c>
      <c r="U232" s="2" t="s">
        <v>55</v>
      </c>
      <c r="V232" s="2" t="s">
        <v>38</v>
      </c>
      <c r="W232" s="2" t="s">
        <v>35</v>
      </c>
      <c r="X232" s="2" t="s">
        <v>35</v>
      </c>
      <c r="Y232" s="2" t="s">
        <v>35</v>
      </c>
      <c r="Z232" s="2" t="b">
        <v>0</v>
      </c>
      <c r="AA232" s="2" t="s">
        <v>35</v>
      </c>
      <c r="AB232" s="2" t="s">
        <v>35</v>
      </c>
      <c r="AC232" s="2" t="s">
        <v>35</v>
      </c>
      <c r="AD232" s="2" t="s">
        <v>35</v>
      </c>
      <c r="AE232" s="2" t="s">
        <v>688</v>
      </c>
      <c r="AF232" s="11">
        <v>44737.414583275466</v>
      </c>
      <c r="AG232" s="53"/>
      <c r="AH232" s="53" t="b">
        <f t="shared" si="10"/>
        <v>0</v>
      </c>
      <c r="AI232" s="54" t="str" cm="1">
        <f t="array" ref="AI232">TRANSPOSE(_xlfn._xlws.FILTER(images!L:L,images!F:F=Barrierenmessung!A232, ""))</f>
        <v>https://captureandgo.cloudlab.zhaw.ch/uploads/image_2ffe322280.jpg</v>
      </c>
      <c r="AJ232" s="2"/>
      <c r="AK232" s="2"/>
      <c r="AL232" s="2"/>
      <c r="AM232" s="2"/>
      <c r="AN232" s="2"/>
    </row>
    <row r="233" spans="1:40" ht="16" x14ac:dyDescent="0.2">
      <c r="A233" s="2" t="s">
        <v>783</v>
      </c>
      <c r="B233" s="46">
        <v>232</v>
      </c>
      <c r="C233" s="2" t="b">
        <v>0</v>
      </c>
      <c r="D233" s="2" t="b">
        <v>0</v>
      </c>
      <c r="E233" s="2" t="b">
        <v>0</v>
      </c>
      <c r="F233" s="2" t="b">
        <v>0</v>
      </c>
      <c r="G233" s="2" t="s">
        <v>31</v>
      </c>
      <c r="H233" s="2" t="s">
        <v>784</v>
      </c>
      <c r="I233" s="2" t="s">
        <v>785</v>
      </c>
      <c r="J233" s="2" t="s">
        <v>773</v>
      </c>
      <c r="K233" s="2" t="s">
        <v>35</v>
      </c>
      <c r="L233" s="2" t="s">
        <v>35</v>
      </c>
      <c r="M233" s="2" t="s">
        <v>35</v>
      </c>
      <c r="N233" s="2" t="s">
        <v>35</v>
      </c>
      <c r="O233" s="11">
        <v>44737.456719583337</v>
      </c>
      <c r="P233" s="11">
        <v>44737.457253761575</v>
      </c>
      <c r="Q233" s="27">
        <f t="shared" si="9"/>
        <v>5.3417823801282793E-4</v>
      </c>
      <c r="R233" s="65">
        <f t="shared" si="11"/>
        <v>6.6519676329335198E-4</v>
      </c>
      <c r="S233" s="2">
        <v>0</v>
      </c>
      <c r="T233" s="2" t="s">
        <v>36</v>
      </c>
      <c r="U233" s="2" t="s">
        <v>37</v>
      </c>
      <c r="V233" s="2" t="s">
        <v>38</v>
      </c>
      <c r="W233" s="2" t="s">
        <v>35</v>
      </c>
      <c r="X233" s="2" t="s">
        <v>35</v>
      </c>
      <c r="Y233" s="2" t="s">
        <v>35</v>
      </c>
      <c r="Z233" s="2" t="b">
        <v>0</v>
      </c>
      <c r="AA233" s="2" t="s">
        <v>35</v>
      </c>
      <c r="AB233" s="2" t="s">
        <v>35</v>
      </c>
      <c r="AC233" s="2">
        <v>6</v>
      </c>
      <c r="AD233" s="2" t="s">
        <v>35</v>
      </c>
      <c r="AE233" s="2" t="s">
        <v>688</v>
      </c>
      <c r="AF233" s="11">
        <v>44737.414583275466</v>
      </c>
      <c r="AG233" s="53"/>
      <c r="AH233" s="53" t="b">
        <f t="shared" si="10"/>
        <v>0</v>
      </c>
      <c r="AI233" s="54" t="str" cm="1">
        <f t="array" ref="AI233">TRANSPOSE(_xlfn._xlws.FILTER(images!L:L,images!F:F=Barrierenmessung!A233, ""))</f>
        <v>https://captureandgo.cloudlab.zhaw.ch/uploads/image_83a01c5196.jpg</v>
      </c>
      <c r="AJ233" s="2"/>
      <c r="AK233" s="2"/>
      <c r="AL233" s="2"/>
      <c r="AM233" s="2"/>
      <c r="AN233" s="2"/>
    </row>
    <row r="234" spans="1:40" ht="16" x14ac:dyDescent="0.2">
      <c r="A234" s="2" t="s">
        <v>786</v>
      </c>
      <c r="B234" s="46">
        <v>233</v>
      </c>
      <c r="C234" s="2" t="b">
        <v>0</v>
      </c>
      <c r="D234" s="2" t="b">
        <v>0</v>
      </c>
      <c r="E234" s="2" t="b">
        <v>0</v>
      </c>
      <c r="F234" s="2" t="b">
        <v>0</v>
      </c>
      <c r="G234" s="2" t="s">
        <v>31</v>
      </c>
      <c r="H234" s="2" t="s">
        <v>787</v>
      </c>
      <c r="I234" s="2" t="s">
        <v>788</v>
      </c>
      <c r="J234" s="2" t="s">
        <v>773</v>
      </c>
      <c r="K234" s="2" t="s">
        <v>35</v>
      </c>
      <c r="L234" s="2" t="s">
        <v>35</v>
      </c>
      <c r="M234" s="2" t="s">
        <v>35</v>
      </c>
      <c r="N234" s="2" t="s">
        <v>35</v>
      </c>
      <c r="O234" s="11">
        <v>44737.459764247687</v>
      </c>
      <c r="P234" s="11">
        <v>44737.460178541667</v>
      </c>
      <c r="Q234" s="27">
        <f t="shared" si="9"/>
        <v>4.1429397970205173E-4</v>
      </c>
      <c r="R234" s="65">
        <f t="shared" si="11"/>
        <v>2.9247800921439193E-3</v>
      </c>
      <c r="S234" s="2">
        <v>0</v>
      </c>
      <c r="T234" s="2" t="s">
        <v>36</v>
      </c>
      <c r="U234" s="2" t="s">
        <v>37</v>
      </c>
      <c r="V234" s="2" t="s">
        <v>38</v>
      </c>
      <c r="W234" s="2" t="s">
        <v>35</v>
      </c>
      <c r="X234" s="2" t="s">
        <v>35</v>
      </c>
      <c r="Y234" s="2" t="s">
        <v>35</v>
      </c>
      <c r="Z234" s="2" t="b">
        <v>0</v>
      </c>
      <c r="AA234" s="2" t="s">
        <v>35</v>
      </c>
      <c r="AB234" s="2" t="s">
        <v>35</v>
      </c>
      <c r="AC234" s="2">
        <v>7</v>
      </c>
      <c r="AD234" s="2" t="s">
        <v>35</v>
      </c>
      <c r="AE234" s="2" t="s">
        <v>688</v>
      </c>
      <c r="AF234" s="11">
        <v>44737.414583275466</v>
      </c>
      <c r="AG234" s="53"/>
      <c r="AH234" s="53" t="b">
        <f t="shared" si="10"/>
        <v>0</v>
      </c>
      <c r="AI234" s="54" t="str" cm="1">
        <f t="array" ref="AI234">TRANSPOSE(_xlfn._xlws.FILTER(images!L:L,images!F:F=Barrierenmessung!A234, ""))</f>
        <v>https://captureandgo.cloudlab.zhaw.ch/uploads/image_1b8711be80.jpg</v>
      </c>
      <c r="AJ234" s="2"/>
      <c r="AK234" s="2"/>
      <c r="AL234" s="2"/>
      <c r="AM234" s="2"/>
      <c r="AN234" s="2"/>
    </row>
    <row r="235" spans="1:40" ht="16" x14ac:dyDescent="0.2">
      <c r="A235" s="2" t="s">
        <v>789</v>
      </c>
      <c r="B235" s="46">
        <v>234</v>
      </c>
      <c r="C235" s="2" t="b">
        <v>0</v>
      </c>
      <c r="D235" s="2" t="b">
        <v>0</v>
      </c>
      <c r="E235" s="2" t="b">
        <v>0</v>
      </c>
      <c r="F235" s="2" t="b">
        <v>0</v>
      </c>
      <c r="G235" s="2" t="s">
        <v>31</v>
      </c>
      <c r="H235" s="2" t="s">
        <v>790</v>
      </c>
      <c r="I235" s="2" t="s">
        <v>791</v>
      </c>
      <c r="J235" s="2" t="s">
        <v>35</v>
      </c>
      <c r="K235" s="2" t="s">
        <v>35</v>
      </c>
      <c r="L235" s="2" t="s">
        <v>35</v>
      </c>
      <c r="M235" s="2" t="s">
        <v>35</v>
      </c>
      <c r="N235" s="2" t="s">
        <v>35</v>
      </c>
      <c r="O235" s="11">
        <v>44737.464108136577</v>
      </c>
      <c r="P235" s="11">
        <v>44737.464261053239</v>
      </c>
      <c r="Q235" s="27">
        <f t="shared" si="9"/>
        <v>1.5291666204575449E-4</v>
      </c>
      <c r="R235" s="65">
        <f t="shared" si="11"/>
        <v>3.7216435157461092E-4</v>
      </c>
      <c r="S235" s="2">
        <v>0</v>
      </c>
      <c r="T235" s="2" t="s">
        <v>36</v>
      </c>
      <c r="U235" s="2" t="s">
        <v>37</v>
      </c>
      <c r="V235" s="2" t="s">
        <v>38</v>
      </c>
      <c r="W235" s="2" t="s">
        <v>35</v>
      </c>
      <c r="X235" s="2" t="s">
        <v>35</v>
      </c>
      <c r="Y235" s="2" t="s">
        <v>35</v>
      </c>
      <c r="Z235" s="2" t="b">
        <v>0</v>
      </c>
      <c r="AA235" s="2" t="s">
        <v>35</v>
      </c>
      <c r="AB235" s="2" t="s">
        <v>35</v>
      </c>
      <c r="AC235" s="2" t="s">
        <v>35</v>
      </c>
      <c r="AD235" s="2">
        <v>3</v>
      </c>
      <c r="AE235" s="2" t="s">
        <v>792</v>
      </c>
      <c r="AF235" s="11">
        <v>44737.463888888888</v>
      </c>
      <c r="AG235" s="53"/>
      <c r="AH235" s="53" t="b">
        <f t="shared" si="10"/>
        <v>0</v>
      </c>
      <c r="AI235" s="54" t="str" cm="1">
        <f t="array" ref="AI235">TRANSPOSE(_xlfn._xlws.FILTER(images!L:L,images!F:F=Barrierenmessung!A235, ""))</f>
        <v>https://captureandgo.cloudlab.zhaw.ch/uploads/image_04f14e174a.jpg</v>
      </c>
      <c r="AJ235" s="2"/>
      <c r="AK235" s="2"/>
      <c r="AL235" s="2"/>
      <c r="AM235" s="2"/>
      <c r="AN235" s="2"/>
    </row>
    <row r="236" spans="1:40" ht="16" x14ac:dyDescent="0.2">
      <c r="A236" s="2" t="s">
        <v>793</v>
      </c>
      <c r="B236" s="46">
        <v>235</v>
      </c>
      <c r="C236" s="2" t="b">
        <v>0</v>
      </c>
      <c r="D236" s="2" t="b">
        <v>0</v>
      </c>
      <c r="E236" s="2" t="b">
        <v>0</v>
      </c>
      <c r="F236" s="2" t="b">
        <v>0</v>
      </c>
      <c r="G236" s="2" t="s">
        <v>31</v>
      </c>
      <c r="H236" s="2" t="s">
        <v>794</v>
      </c>
      <c r="I236" s="2" t="s">
        <v>795</v>
      </c>
      <c r="J236" s="2" t="s">
        <v>35</v>
      </c>
      <c r="K236" s="2" t="s">
        <v>35</v>
      </c>
      <c r="L236" s="2" t="s">
        <v>35</v>
      </c>
      <c r="M236" s="2" t="s">
        <v>35</v>
      </c>
      <c r="N236" s="2" t="s">
        <v>35</v>
      </c>
      <c r="O236" s="11">
        <v>44737.466522395836</v>
      </c>
      <c r="P236" s="11">
        <v>44737.466633483797</v>
      </c>
      <c r="Q236" s="27">
        <f t="shared" si="9"/>
        <v>1.1108796024927869E-4</v>
      </c>
      <c r="R236" s="65">
        <f t="shared" si="11"/>
        <v>2.3724305574432947E-3</v>
      </c>
      <c r="S236" s="2">
        <v>0</v>
      </c>
      <c r="T236" s="2" t="s">
        <v>36</v>
      </c>
      <c r="U236" s="2" t="s">
        <v>37</v>
      </c>
      <c r="V236" s="2" t="s">
        <v>38</v>
      </c>
      <c r="W236" s="2" t="s">
        <v>35</v>
      </c>
      <c r="X236" s="2" t="s">
        <v>35</v>
      </c>
      <c r="Y236" s="2" t="s">
        <v>35</v>
      </c>
      <c r="Z236" s="2" t="b">
        <v>0</v>
      </c>
      <c r="AA236" s="2" t="s">
        <v>35</v>
      </c>
      <c r="AB236" s="2" t="s">
        <v>35</v>
      </c>
      <c r="AC236" s="2" t="s">
        <v>35</v>
      </c>
      <c r="AD236" s="2">
        <v>2</v>
      </c>
      <c r="AE236" s="2" t="s">
        <v>792</v>
      </c>
      <c r="AF236" s="11">
        <v>44737.463888888888</v>
      </c>
      <c r="AG236" s="53"/>
      <c r="AH236" s="53" t="b">
        <f t="shared" si="10"/>
        <v>0</v>
      </c>
      <c r="AI236" s="54" t="str" cm="1">
        <f t="array" ref="AI236">TRANSPOSE(_xlfn._xlws.FILTER(images!L:L,images!F:F=Barrierenmessung!A236, ""))</f>
        <v>https://captureandgo.cloudlab.zhaw.ch/uploads/image_58170f5254.jpg</v>
      </c>
      <c r="AJ236" s="2"/>
      <c r="AK236" s="2"/>
      <c r="AL236" s="2"/>
      <c r="AM236" s="2"/>
      <c r="AN236" s="2"/>
    </row>
    <row r="237" spans="1:40" ht="16" x14ac:dyDescent="0.2">
      <c r="A237" s="2" t="s">
        <v>796</v>
      </c>
      <c r="B237" s="46">
        <v>236</v>
      </c>
      <c r="C237" s="2" t="b">
        <v>0</v>
      </c>
      <c r="D237" s="2" t="b">
        <v>0</v>
      </c>
      <c r="E237" s="2" t="b">
        <v>0</v>
      </c>
      <c r="F237" s="2" t="b">
        <v>0</v>
      </c>
      <c r="G237" s="2" t="s">
        <v>31</v>
      </c>
      <c r="H237" s="2" t="s">
        <v>797</v>
      </c>
      <c r="I237" s="2" t="s">
        <v>798</v>
      </c>
      <c r="J237" s="2" t="s">
        <v>35</v>
      </c>
      <c r="K237" s="2" t="s">
        <v>35</v>
      </c>
      <c r="L237" s="2" t="s">
        <v>35</v>
      </c>
      <c r="M237" s="2" t="s">
        <v>35</v>
      </c>
      <c r="N237" s="2" t="s">
        <v>35</v>
      </c>
      <c r="O237" s="11">
        <v>44737.467113831015</v>
      </c>
      <c r="P237" s="11">
        <v>44737.467305289349</v>
      </c>
      <c r="Q237" s="27">
        <f t="shared" si="9"/>
        <v>1.914583335747011E-4</v>
      </c>
      <c r="R237" s="65">
        <f t="shared" si="11"/>
        <v>6.7180555197410285E-4</v>
      </c>
      <c r="S237" s="2">
        <v>0</v>
      </c>
      <c r="T237" s="2" t="s">
        <v>36</v>
      </c>
      <c r="U237" s="2" t="s">
        <v>37</v>
      </c>
      <c r="V237" s="2" t="s">
        <v>38</v>
      </c>
      <c r="W237" s="2" t="s">
        <v>35</v>
      </c>
      <c r="X237" s="2" t="s">
        <v>35</v>
      </c>
      <c r="Y237" s="2" t="s">
        <v>35</v>
      </c>
      <c r="Z237" s="2" t="b">
        <v>0</v>
      </c>
      <c r="AA237" s="2" t="s">
        <v>35</v>
      </c>
      <c r="AB237" s="2" t="s">
        <v>35</v>
      </c>
      <c r="AC237" s="2" t="s">
        <v>35</v>
      </c>
      <c r="AD237" s="2">
        <v>2</v>
      </c>
      <c r="AE237" s="2" t="s">
        <v>792</v>
      </c>
      <c r="AF237" s="11">
        <v>44737.463888831022</v>
      </c>
      <c r="AG237" s="53"/>
      <c r="AH237" s="53" t="b">
        <f t="shared" si="10"/>
        <v>0</v>
      </c>
      <c r="AI237" s="54" t="str" cm="1">
        <f t="array" ref="AI237">TRANSPOSE(_xlfn._xlws.FILTER(images!L:L,images!F:F=Barrierenmessung!A237, ""))</f>
        <v>https://captureandgo.cloudlab.zhaw.ch/uploads/image_3ba6dfcdde.jpg</v>
      </c>
      <c r="AJ237" s="2"/>
      <c r="AK237" s="2"/>
      <c r="AL237" s="2"/>
      <c r="AM237" s="2"/>
      <c r="AN237" s="2"/>
    </row>
    <row r="238" spans="1:40" ht="16" x14ac:dyDescent="0.2">
      <c r="A238" s="2" t="s">
        <v>799</v>
      </c>
      <c r="B238" s="46">
        <v>237</v>
      </c>
      <c r="C238" s="2" t="b">
        <v>0</v>
      </c>
      <c r="D238" s="2" t="b">
        <v>0</v>
      </c>
      <c r="E238" s="2" t="b">
        <v>0</v>
      </c>
      <c r="F238" s="2" t="b">
        <v>0</v>
      </c>
      <c r="G238" s="2" t="s">
        <v>31</v>
      </c>
      <c r="H238" s="2" t="s">
        <v>800</v>
      </c>
      <c r="I238" s="2" t="s">
        <v>801</v>
      </c>
      <c r="J238" s="2" t="s">
        <v>35</v>
      </c>
      <c r="K238" s="2" t="s">
        <v>35</v>
      </c>
      <c r="L238" s="2">
        <v>4</v>
      </c>
      <c r="M238" s="2" t="s">
        <v>35</v>
      </c>
      <c r="N238" s="2" t="s">
        <v>35</v>
      </c>
      <c r="O238" s="11">
        <v>44737.467515405093</v>
      </c>
      <c r="P238" s="11">
        <v>44737.467977152781</v>
      </c>
      <c r="Q238" s="27">
        <f t="shared" si="9"/>
        <v>4.6174768795026466E-4</v>
      </c>
      <c r="R238" s="65">
        <f t="shared" si="11"/>
        <v>6.7186343221692368E-4</v>
      </c>
      <c r="S238" s="2">
        <v>0</v>
      </c>
      <c r="T238" s="2" t="s">
        <v>265</v>
      </c>
      <c r="U238" s="2" t="s">
        <v>266</v>
      </c>
      <c r="V238" s="2" t="s">
        <v>38</v>
      </c>
      <c r="W238" s="2" t="s">
        <v>35</v>
      </c>
      <c r="X238" s="2" t="s">
        <v>35</v>
      </c>
      <c r="Y238" s="2" t="s">
        <v>35</v>
      </c>
      <c r="Z238" s="2" t="b">
        <v>0</v>
      </c>
      <c r="AA238" s="2" t="s">
        <v>35</v>
      </c>
      <c r="AB238" s="2" t="s">
        <v>35</v>
      </c>
      <c r="AC238" s="2" t="s">
        <v>35</v>
      </c>
      <c r="AD238" s="2" t="s">
        <v>35</v>
      </c>
      <c r="AE238" s="2" t="s">
        <v>792</v>
      </c>
      <c r="AF238" s="11">
        <v>44737.463888831022</v>
      </c>
      <c r="AG238" s="53"/>
      <c r="AH238" s="53" t="b">
        <f t="shared" si="10"/>
        <v>0</v>
      </c>
      <c r="AI238" s="54" t="str" cm="1">
        <f t="array" ref="AI238">TRANSPOSE(_xlfn._xlws.FILTER(images!L:L,images!F:F=Barrierenmessung!A238, ""))</f>
        <v>https://captureandgo.cloudlab.zhaw.ch/uploads/image_065f71efda.jpg</v>
      </c>
      <c r="AJ238" s="2"/>
      <c r="AK238" s="2"/>
      <c r="AL238" s="2"/>
      <c r="AM238" s="2"/>
      <c r="AN238" s="2"/>
    </row>
    <row r="239" spans="1:40" ht="16" x14ac:dyDescent="0.2">
      <c r="A239" s="2" t="s">
        <v>802</v>
      </c>
      <c r="B239" s="46">
        <v>238</v>
      </c>
      <c r="C239" s="2" t="b">
        <v>0</v>
      </c>
      <c r="D239" s="2" t="b">
        <v>0</v>
      </c>
      <c r="E239" s="2" t="b">
        <v>0</v>
      </c>
      <c r="F239" s="2" t="b">
        <v>0</v>
      </c>
      <c r="G239" s="2" t="s">
        <v>31</v>
      </c>
      <c r="H239" s="2" t="s">
        <v>803</v>
      </c>
      <c r="I239" s="2" t="s">
        <v>804</v>
      </c>
      <c r="J239" s="2" t="s">
        <v>35</v>
      </c>
      <c r="K239" s="2" t="s">
        <v>35</v>
      </c>
      <c r="L239" s="2" t="s">
        <v>35</v>
      </c>
      <c r="M239" s="2" t="s">
        <v>35</v>
      </c>
      <c r="N239" s="2" t="s">
        <v>35</v>
      </c>
      <c r="O239" s="11">
        <v>44737.468881527777</v>
      </c>
      <c r="P239" s="11">
        <v>44737.469520567131</v>
      </c>
      <c r="Q239" s="27">
        <f t="shared" si="9"/>
        <v>6.390393537003547E-4</v>
      </c>
      <c r="R239" s="65">
        <f t="shared" si="11"/>
        <v>1.5434143497259356E-3</v>
      </c>
      <c r="S239" s="2">
        <v>0</v>
      </c>
      <c r="T239" s="2" t="s">
        <v>36</v>
      </c>
      <c r="U239" s="2" t="s">
        <v>37</v>
      </c>
      <c r="V239" s="2" t="s">
        <v>38</v>
      </c>
      <c r="W239" s="2" t="s">
        <v>35</v>
      </c>
      <c r="X239" s="2" t="s">
        <v>35</v>
      </c>
      <c r="Y239" s="2" t="s">
        <v>35</v>
      </c>
      <c r="Z239" s="2" t="b">
        <v>0</v>
      </c>
      <c r="AA239" s="2" t="s">
        <v>35</v>
      </c>
      <c r="AB239" s="2" t="s">
        <v>35</v>
      </c>
      <c r="AC239" s="2" t="s">
        <v>35</v>
      </c>
      <c r="AD239" s="2">
        <v>3</v>
      </c>
      <c r="AE239" s="2" t="s">
        <v>792</v>
      </c>
      <c r="AF239" s="11">
        <v>44737.463888831022</v>
      </c>
      <c r="AG239" s="53"/>
      <c r="AH239" s="53" t="b">
        <f t="shared" si="10"/>
        <v>0</v>
      </c>
      <c r="AI239" s="54" t="str" cm="1">
        <f t="array" ref="AI239">TRANSPOSE(_xlfn._xlws.FILTER(images!L:L,images!F:F=Barrierenmessung!A239, ""))</f>
        <v>https://captureandgo.cloudlab.zhaw.ch/uploads/image_1c9d6ba850.jpg</v>
      </c>
      <c r="AJ239" s="2"/>
      <c r="AK239" s="2"/>
      <c r="AL239" s="2"/>
      <c r="AM239" s="2"/>
      <c r="AN239" s="2"/>
    </row>
    <row r="240" spans="1:40" ht="16" x14ac:dyDescent="0.2">
      <c r="A240" s="2" t="s">
        <v>805</v>
      </c>
      <c r="B240" s="46">
        <v>239</v>
      </c>
      <c r="C240" s="2" t="b">
        <v>0</v>
      </c>
      <c r="D240" s="2" t="b">
        <v>0</v>
      </c>
      <c r="E240" s="2" t="b">
        <v>0</v>
      </c>
      <c r="F240" s="2" t="b">
        <v>0</v>
      </c>
      <c r="G240" s="2" t="s">
        <v>31</v>
      </c>
      <c r="H240" s="2" t="s">
        <v>806</v>
      </c>
      <c r="I240" s="2" t="s">
        <v>807</v>
      </c>
      <c r="J240" s="2" t="s">
        <v>35</v>
      </c>
      <c r="K240" s="2" t="s">
        <v>35</v>
      </c>
      <c r="L240" s="2" t="s">
        <v>35</v>
      </c>
      <c r="M240" s="2" t="s">
        <v>35</v>
      </c>
      <c r="N240" s="2" t="s">
        <v>35</v>
      </c>
      <c r="O240" s="11">
        <v>44737.470912523146</v>
      </c>
      <c r="P240" s="11">
        <v>44737.471022152778</v>
      </c>
      <c r="Q240" s="27">
        <f t="shared" si="9"/>
        <v>1.096296327887103E-4</v>
      </c>
      <c r="R240" s="65">
        <f t="shared" si="11"/>
        <v>1.5015856479294598E-3</v>
      </c>
      <c r="S240" s="2">
        <v>0</v>
      </c>
      <c r="T240" s="2" t="s">
        <v>36</v>
      </c>
      <c r="U240" s="2" t="s">
        <v>37</v>
      </c>
      <c r="V240" s="2" t="s">
        <v>38</v>
      </c>
      <c r="W240" s="2" t="s">
        <v>35</v>
      </c>
      <c r="X240" s="2" t="s">
        <v>35</v>
      </c>
      <c r="Y240" s="2" t="s">
        <v>35</v>
      </c>
      <c r="Z240" s="2" t="b">
        <v>0</v>
      </c>
      <c r="AA240" s="2" t="s">
        <v>35</v>
      </c>
      <c r="AB240" s="2" t="s">
        <v>35</v>
      </c>
      <c r="AC240" s="2" t="s">
        <v>35</v>
      </c>
      <c r="AD240" s="2">
        <v>4</v>
      </c>
      <c r="AE240" s="2" t="s">
        <v>792</v>
      </c>
      <c r="AF240" s="11">
        <v>44737.463888831022</v>
      </c>
      <c r="AG240" s="53"/>
      <c r="AH240" s="53" t="b">
        <f t="shared" si="10"/>
        <v>0</v>
      </c>
      <c r="AI240" s="54" t="str" cm="1">
        <f t="array" ref="AI240">TRANSPOSE(_xlfn._xlws.FILTER(images!L:L,images!F:F=Barrierenmessung!A240, ""))</f>
        <v>https://captureandgo.cloudlab.zhaw.ch/uploads/image_ed123c83f9.jpg</v>
      </c>
      <c r="AJ240" s="2"/>
      <c r="AK240" s="2"/>
      <c r="AL240" s="2"/>
      <c r="AM240" s="2"/>
      <c r="AN240" s="2"/>
    </row>
    <row r="241" spans="1:40" ht="16" x14ac:dyDescent="0.2">
      <c r="A241" s="2" t="s">
        <v>808</v>
      </c>
      <c r="B241" s="46">
        <v>240</v>
      </c>
      <c r="C241" s="2" t="b">
        <v>0</v>
      </c>
      <c r="D241" s="2" t="b">
        <v>0</v>
      </c>
      <c r="E241" s="2" t="b">
        <v>0</v>
      </c>
      <c r="F241" s="2" t="b">
        <v>0</v>
      </c>
      <c r="G241" s="2" t="s">
        <v>31</v>
      </c>
      <c r="H241" s="2" t="s">
        <v>809</v>
      </c>
      <c r="I241" s="2" t="s">
        <v>810</v>
      </c>
      <c r="J241" s="2" t="s">
        <v>35</v>
      </c>
      <c r="K241" s="2" t="s">
        <v>35</v>
      </c>
      <c r="L241" s="2" t="s">
        <v>35</v>
      </c>
      <c r="M241" s="2" t="s">
        <v>35</v>
      </c>
      <c r="N241" s="2" t="s">
        <v>35</v>
      </c>
      <c r="O241" s="11">
        <v>44737.475397905095</v>
      </c>
      <c r="P241" s="11">
        <v>44737.475664803242</v>
      </c>
      <c r="Q241" s="27">
        <f t="shared" si="9"/>
        <v>2.6689814694691449E-4</v>
      </c>
      <c r="R241" s="65">
        <f t="shared" si="11"/>
        <v>4.6426504632108845E-3</v>
      </c>
      <c r="S241" s="2">
        <v>0</v>
      </c>
      <c r="T241" s="2" t="s">
        <v>36</v>
      </c>
      <c r="U241" s="2" t="s">
        <v>37</v>
      </c>
      <c r="V241" s="2" t="s">
        <v>38</v>
      </c>
      <c r="W241" s="2" t="s">
        <v>35</v>
      </c>
      <c r="X241" s="2" t="s">
        <v>35</v>
      </c>
      <c r="Y241" s="2" t="s">
        <v>35</v>
      </c>
      <c r="Z241" s="2" t="b">
        <v>0</v>
      </c>
      <c r="AA241" s="2" t="s">
        <v>35</v>
      </c>
      <c r="AB241" s="2">
        <v>116</v>
      </c>
      <c r="AC241" s="2" t="s">
        <v>35</v>
      </c>
      <c r="AD241" s="2">
        <v>2</v>
      </c>
      <c r="AE241" s="2" t="s">
        <v>792</v>
      </c>
      <c r="AF241" s="11">
        <v>44737.463888831022</v>
      </c>
      <c r="AG241" s="53"/>
      <c r="AH241" s="53" t="b">
        <f t="shared" si="10"/>
        <v>0</v>
      </c>
      <c r="AI241" s="54" t="str" cm="1">
        <f t="array" ref="AI241">TRANSPOSE(_xlfn._xlws.FILTER(images!L:L,images!F:F=Barrierenmessung!A241, ""))</f>
        <v>https://captureandgo.cloudlab.zhaw.ch/uploads/image_42d4320cd5.jpg</v>
      </c>
      <c r="AJ241" s="2"/>
      <c r="AK241" s="2"/>
      <c r="AL241" s="2"/>
      <c r="AM241" s="2"/>
      <c r="AN241" s="2"/>
    </row>
    <row r="242" spans="1:40" ht="16" x14ac:dyDescent="0.2">
      <c r="A242" s="68" t="s">
        <v>811</v>
      </c>
      <c r="B242" s="68">
        <v>241</v>
      </c>
      <c r="C242" s="68" t="b">
        <v>0</v>
      </c>
      <c r="D242" s="68" t="b">
        <v>0</v>
      </c>
      <c r="E242" s="68" t="b">
        <v>0</v>
      </c>
      <c r="F242" s="68" t="b">
        <v>0</v>
      </c>
      <c r="G242" s="68" t="s">
        <v>31</v>
      </c>
      <c r="H242" s="68" t="s">
        <v>149</v>
      </c>
      <c r="I242" s="68" t="s">
        <v>812</v>
      </c>
      <c r="J242" s="68" t="s">
        <v>35</v>
      </c>
      <c r="K242" s="68" t="s">
        <v>35</v>
      </c>
      <c r="L242" s="68" t="s">
        <v>35</v>
      </c>
      <c r="M242" s="68" t="s">
        <v>35</v>
      </c>
      <c r="N242" s="68" t="s">
        <v>35</v>
      </c>
      <c r="O242" s="69">
        <v>44737.476955231483</v>
      </c>
      <c r="P242" s="69">
        <v>44737.477078275464</v>
      </c>
      <c r="Q242" s="70">
        <f t="shared" si="9"/>
        <v>1.2304398114793003E-4</v>
      </c>
      <c r="R242" s="70">
        <f t="shared" si="11"/>
        <v>1.4134722223388962E-3</v>
      </c>
      <c r="S242" s="68">
        <v>0</v>
      </c>
      <c r="T242" s="68" t="s">
        <v>36</v>
      </c>
      <c r="U242" s="68" t="s">
        <v>37</v>
      </c>
      <c r="V242" s="68" t="s">
        <v>38</v>
      </c>
      <c r="W242" s="68" t="s">
        <v>35</v>
      </c>
      <c r="X242" s="68" t="s">
        <v>35</v>
      </c>
      <c r="Y242" s="68" t="s">
        <v>35</v>
      </c>
      <c r="Z242" s="68" t="b">
        <v>0</v>
      </c>
      <c r="AA242" s="68" t="s">
        <v>35</v>
      </c>
      <c r="AB242" s="68" t="s">
        <v>35</v>
      </c>
      <c r="AC242" s="68" t="s">
        <v>35</v>
      </c>
      <c r="AD242" s="68">
        <v>2</v>
      </c>
      <c r="AE242" s="68" t="s">
        <v>792</v>
      </c>
      <c r="AF242" s="69">
        <v>44737.463888831022</v>
      </c>
      <c r="AG242" s="71"/>
      <c r="AH242" s="71" t="b">
        <f t="shared" si="10"/>
        <v>0</v>
      </c>
      <c r="AI242" s="56" t="str" cm="1">
        <f t="array" ref="AI242">TRANSPOSE(_xlfn._xlws.FILTER(images!L:L,images!F:F=Barrierenmessung!A242, ""))</f>
        <v/>
      </c>
      <c r="AJ242" s="68"/>
      <c r="AK242" s="68"/>
      <c r="AL242" s="68"/>
      <c r="AM242" s="68"/>
      <c r="AN242" s="68"/>
    </row>
    <row r="243" spans="1:40" ht="16" x14ac:dyDescent="0.2">
      <c r="A243" s="2" t="s">
        <v>813</v>
      </c>
      <c r="B243" s="46">
        <v>242</v>
      </c>
      <c r="C243" s="2" t="b">
        <v>0</v>
      </c>
      <c r="D243" s="2" t="b">
        <v>0</v>
      </c>
      <c r="E243" s="2" t="b">
        <v>0</v>
      </c>
      <c r="F243" s="2" t="b">
        <v>0</v>
      </c>
      <c r="G243" s="2" t="s">
        <v>31</v>
      </c>
      <c r="H243" s="2" t="s">
        <v>814</v>
      </c>
      <c r="I243" s="2" t="s">
        <v>815</v>
      </c>
      <c r="J243" s="2" t="s">
        <v>35</v>
      </c>
      <c r="K243" s="2" t="s">
        <v>35</v>
      </c>
      <c r="L243" s="2" t="s">
        <v>35</v>
      </c>
      <c r="M243" s="2">
        <v>9</v>
      </c>
      <c r="N243" s="2">
        <v>13</v>
      </c>
      <c r="O243" s="11">
        <v>44737.477272881944</v>
      </c>
      <c r="P243" s="11">
        <v>44737.477657719908</v>
      </c>
      <c r="Q243" s="27">
        <f t="shared" si="9"/>
        <v>3.8483796379296109E-4</v>
      </c>
      <c r="R243" s="65">
        <f t="shared" si="11"/>
        <v>5.7944444415625185E-4</v>
      </c>
      <c r="S243" s="2">
        <v>0</v>
      </c>
      <c r="T243" s="2" t="s">
        <v>54</v>
      </c>
      <c r="U243" s="2" t="s">
        <v>55</v>
      </c>
      <c r="V243" s="2" t="s">
        <v>38</v>
      </c>
      <c r="W243" s="2" t="s">
        <v>35</v>
      </c>
      <c r="X243" s="2" t="s">
        <v>35</v>
      </c>
      <c r="Y243" s="2" t="s">
        <v>35</v>
      </c>
      <c r="Z243" s="2" t="b">
        <v>0</v>
      </c>
      <c r="AA243" s="2" t="s">
        <v>35</v>
      </c>
      <c r="AB243" s="2" t="s">
        <v>35</v>
      </c>
      <c r="AC243" s="2" t="s">
        <v>35</v>
      </c>
      <c r="AD243" s="2" t="s">
        <v>35</v>
      </c>
      <c r="AE243" s="2" t="s">
        <v>792</v>
      </c>
      <c r="AF243" s="11">
        <v>44737.463888831022</v>
      </c>
      <c r="AG243" s="53"/>
      <c r="AH243" s="53" t="b">
        <f t="shared" si="10"/>
        <v>0</v>
      </c>
      <c r="AI243" s="54" t="str" cm="1">
        <f t="array" ref="AI243">TRANSPOSE(_xlfn._xlws.FILTER(images!L:L,images!F:F=Barrierenmessung!A243, ""))</f>
        <v>https://captureandgo.cloudlab.zhaw.ch/uploads/image_546204e6d8.jpg</v>
      </c>
      <c r="AJ243" s="2"/>
      <c r="AK243" s="2"/>
      <c r="AL243" s="2"/>
      <c r="AM243" s="2"/>
      <c r="AN243" s="2"/>
    </row>
    <row r="244" spans="1:40" ht="16" x14ac:dyDescent="0.2">
      <c r="A244" s="2" t="s">
        <v>816</v>
      </c>
      <c r="B244" s="46">
        <v>243</v>
      </c>
      <c r="C244" s="2" t="b">
        <v>0</v>
      </c>
      <c r="D244" s="2" t="b">
        <v>0</v>
      </c>
      <c r="E244" s="2" t="b">
        <v>0</v>
      </c>
      <c r="F244" s="2" t="b">
        <v>0</v>
      </c>
      <c r="G244" s="2" t="s">
        <v>31</v>
      </c>
      <c r="H244" s="2" t="s">
        <v>817</v>
      </c>
      <c r="I244" s="2" t="s">
        <v>818</v>
      </c>
      <c r="J244" s="2" t="s">
        <v>35</v>
      </c>
      <c r="K244" s="2" t="s">
        <v>35</v>
      </c>
      <c r="L244" s="2" t="s">
        <v>35</v>
      </c>
      <c r="M244" s="2" t="s">
        <v>35</v>
      </c>
      <c r="N244" s="2" t="s">
        <v>35</v>
      </c>
      <c r="O244" s="11">
        <v>44737.478603773146</v>
      </c>
      <c r="P244" s="11">
        <v>44737.47876351852</v>
      </c>
      <c r="Q244" s="27">
        <f t="shared" si="9"/>
        <v>1.5974537382135168E-4</v>
      </c>
      <c r="R244" s="65">
        <f t="shared" si="11"/>
        <v>1.1057986121159047E-3</v>
      </c>
      <c r="S244" s="2">
        <v>0</v>
      </c>
      <c r="T244" s="2" t="s">
        <v>36</v>
      </c>
      <c r="U244" s="2" t="s">
        <v>37</v>
      </c>
      <c r="V244" s="2" t="s">
        <v>38</v>
      </c>
      <c r="W244" s="2" t="s">
        <v>35</v>
      </c>
      <c r="X244" s="2" t="s">
        <v>35</v>
      </c>
      <c r="Y244" s="2" t="s">
        <v>35</v>
      </c>
      <c r="Z244" s="2" t="b">
        <v>0</v>
      </c>
      <c r="AA244" s="2" t="s">
        <v>35</v>
      </c>
      <c r="AB244" s="2" t="s">
        <v>35</v>
      </c>
      <c r="AC244" s="2" t="s">
        <v>35</v>
      </c>
      <c r="AD244" s="2">
        <v>3</v>
      </c>
      <c r="AE244" s="2" t="s">
        <v>792</v>
      </c>
      <c r="AF244" s="11">
        <v>44737.463888831022</v>
      </c>
      <c r="AG244" s="53"/>
      <c r="AH244" s="53" t="b">
        <f t="shared" si="10"/>
        <v>0</v>
      </c>
      <c r="AI244" s="54" t="str" cm="1">
        <f t="array" ref="AI244">TRANSPOSE(_xlfn._xlws.FILTER(images!L:L,images!F:F=Barrierenmessung!A244, ""))</f>
        <v>https://captureandgo.cloudlab.zhaw.ch/uploads/image_f51daa4549.jpg</v>
      </c>
      <c r="AJ244" s="2"/>
      <c r="AK244" s="2"/>
      <c r="AL244" s="2"/>
      <c r="AM244" s="2"/>
      <c r="AN244" s="2"/>
    </row>
    <row r="245" spans="1:40" ht="16" x14ac:dyDescent="0.2">
      <c r="A245" s="2" t="s">
        <v>819</v>
      </c>
      <c r="B245" s="46">
        <v>244</v>
      </c>
      <c r="C245" s="2" t="b">
        <v>0</v>
      </c>
      <c r="D245" s="2" t="b">
        <v>0</v>
      </c>
      <c r="E245" s="2" t="b">
        <v>0</v>
      </c>
      <c r="F245" s="2" t="b">
        <v>0</v>
      </c>
      <c r="G245" s="2" t="s">
        <v>31</v>
      </c>
      <c r="H245" s="2" t="s">
        <v>820</v>
      </c>
      <c r="I245" s="2" t="s">
        <v>821</v>
      </c>
      <c r="J245" s="2" t="s">
        <v>675</v>
      </c>
      <c r="K245" s="2" t="s">
        <v>35</v>
      </c>
      <c r="L245" s="2" t="s">
        <v>35</v>
      </c>
      <c r="M245" s="2" t="s">
        <v>35</v>
      </c>
      <c r="N245" s="2" t="s">
        <v>35</v>
      </c>
      <c r="O245" s="11">
        <v>44737.478912870371</v>
      </c>
      <c r="P245" s="11">
        <v>44737.479154618057</v>
      </c>
      <c r="Q245" s="27">
        <f t="shared" si="9"/>
        <v>2.4174768623197451E-4</v>
      </c>
      <c r="R245" s="65">
        <f t="shared" si="11"/>
        <v>3.9109953650040552E-4</v>
      </c>
      <c r="S245" s="2">
        <v>0</v>
      </c>
      <c r="T245" s="2" t="s">
        <v>124</v>
      </c>
      <c r="U245" s="2" t="s">
        <v>125</v>
      </c>
      <c r="V245" s="2" t="s">
        <v>38</v>
      </c>
      <c r="W245" s="2" t="s">
        <v>35</v>
      </c>
      <c r="X245" s="2" t="s">
        <v>35</v>
      </c>
      <c r="Y245" s="2" t="s">
        <v>35</v>
      </c>
      <c r="Z245" s="2" t="b">
        <v>0</v>
      </c>
      <c r="AA245" s="2" t="s">
        <v>35</v>
      </c>
      <c r="AB245" s="2">
        <v>4</v>
      </c>
      <c r="AC245" s="2" t="s">
        <v>35</v>
      </c>
      <c r="AD245" s="2" t="s">
        <v>35</v>
      </c>
      <c r="AE245" s="2" t="s">
        <v>792</v>
      </c>
      <c r="AF245" s="11">
        <v>44737.463888831022</v>
      </c>
      <c r="AG245" s="53"/>
      <c r="AH245" s="53" t="b">
        <f t="shared" si="10"/>
        <v>0</v>
      </c>
      <c r="AI245" s="54" t="str" cm="1">
        <f t="array" ref="AI245">TRANSPOSE(_xlfn._xlws.FILTER(images!L:L,images!F:F=Barrierenmessung!A245, ""))</f>
        <v>https://captureandgo.cloudlab.zhaw.ch/uploads/image_d7fb528a58.jpg</v>
      </c>
      <c r="AJ245" s="2"/>
      <c r="AK245" s="2"/>
      <c r="AL245" s="2"/>
      <c r="AM245" s="2"/>
      <c r="AN245" s="2"/>
    </row>
    <row r="246" spans="1:40" ht="16" x14ac:dyDescent="0.2">
      <c r="A246" s="2" t="s">
        <v>822</v>
      </c>
      <c r="B246" s="46">
        <v>245</v>
      </c>
      <c r="C246" s="2" t="b">
        <v>0</v>
      </c>
      <c r="D246" s="2" t="b">
        <v>0</v>
      </c>
      <c r="E246" s="2" t="b">
        <v>0</v>
      </c>
      <c r="F246" s="2" t="b">
        <v>0</v>
      </c>
      <c r="G246" s="2" t="s">
        <v>31</v>
      </c>
      <c r="H246" s="2" t="s">
        <v>823</v>
      </c>
      <c r="I246" s="2" t="s">
        <v>821</v>
      </c>
      <c r="J246" s="2" t="s">
        <v>35</v>
      </c>
      <c r="K246" s="2" t="s">
        <v>35</v>
      </c>
      <c r="L246" s="2" t="s">
        <v>35</v>
      </c>
      <c r="M246" s="2" t="s">
        <v>35</v>
      </c>
      <c r="N246" s="2" t="s">
        <v>35</v>
      </c>
      <c r="O246" s="11">
        <v>44737.479511805555</v>
      </c>
      <c r="P246" s="11">
        <v>44737.479644768522</v>
      </c>
      <c r="Q246" s="27">
        <f t="shared" si="9"/>
        <v>1.3296296674525365E-4</v>
      </c>
      <c r="R246" s="65">
        <f t="shared" si="11"/>
        <v>4.9015046533895656E-4</v>
      </c>
      <c r="S246" s="2">
        <v>0</v>
      </c>
      <c r="T246" s="2" t="s">
        <v>36</v>
      </c>
      <c r="U246" s="2" t="s">
        <v>37</v>
      </c>
      <c r="V246" s="2" t="s">
        <v>38</v>
      </c>
      <c r="W246" s="2" t="s">
        <v>35</v>
      </c>
      <c r="X246" s="2" t="s">
        <v>35</v>
      </c>
      <c r="Y246" s="2" t="s">
        <v>35</v>
      </c>
      <c r="Z246" s="2" t="b">
        <v>0</v>
      </c>
      <c r="AA246" s="2" t="s">
        <v>35</v>
      </c>
      <c r="AB246" s="2" t="s">
        <v>35</v>
      </c>
      <c r="AC246" s="2" t="s">
        <v>35</v>
      </c>
      <c r="AD246" s="2">
        <v>3</v>
      </c>
      <c r="AE246" s="2" t="s">
        <v>792</v>
      </c>
      <c r="AF246" s="11">
        <v>44737.463888831022</v>
      </c>
      <c r="AG246" s="53"/>
      <c r="AH246" s="53" t="b">
        <f t="shared" si="10"/>
        <v>0</v>
      </c>
      <c r="AI246" s="54" t="str" cm="1">
        <f t="array" ref="AI246">TRANSPOSE(_xlfn._xlws.FILTER(images!L:L,images!F:F=Barrierenmessung!A246, ""))</f>
        <v>https://captureandgo.cloudlab.zhaw.ch/uploads/image_397d08c4ba.jpg</v>
      </c>
      <c r="AJ246" s="2"/>
      <c r="AK246" s="2"/>
      <c r="AL246" s="2"/>
      <c r="AM246" s="2"/>
      <c r="AN246" s="2"/>
    </row>
    <row r="247" spans="1:40" ht="16" x14ac:dyDescent="0.2">
      <c r="A247" s="2" t="s">
        <v>824</v>
      </c>
      <c r="B247" s="46">
        <v>246</v>
      </c>
      <c r="C247" s="2" t="b">
        <v>0</v>
      </c>
      <c r="D247" s="2" t="b">
        <v>0</v>
      </c>
      <c r="E247" s="2" t="b">
        <v>0</v>
      </c>
      <c r="F247" s="2" t="b">
        <v>0</v>
      </c>
      <c r="G247" s="2" t="s">
        <v>31</v>
      </c>
      <c r="H247" s="2" t="s">
        <v>825</v>
      </c>
      <c r="I247" s="2" t="s">
        <v>826</v>
      </c>
      <c r="J247" s="2" t="s">
        <v>35</v>
      </c>
      <c r="K247" s="2" t="s">
        <v>35</v>
      </c>
      <c r="L247" s="2" t="s">
        <v>35</v>
      </c>
      <c r="M247" s="2" t="s">
        <v>35</v>
      </c>
      <c r="N247" s="2" t="s">
        <v>35</v>
      </c>
      <c r="O247" s="11">
        <v>44737.480972673613</v>
      </c>
      <c r="P247" s="11">
        <v>44737.48117097222</v>
      </c>
      <c r="Q247" s="27">
        <f t="shared" si="9"/>
        <v>1.9829860684694722E-4</v>
      </c>
      <c r="R247" s="65">
        <f t="shared" si="11"/>
        <v>1.5262036977219395E-3</v>
      </c>
      <c r="S247" s="2">
        <v>0</v>
      </c>
      <c r="T247" s="2" t="s">
        <v>36</v>
      </c>
      <c r="U247" s="2" t="s">
        <v>37</v>
      </c>
      <c r="V247" s="2" t="s">
        <v>38</v>
      </c>
      <c r="W247" s="2" t="s">
        <v>35</v>
      </c>
      <c r="X247" s="2" t="s">
        <v>35</v>
      </c>
      <c r="Y247" s="2" t="s">
        <v>35</v>
      </c>
      <c r="Z247" s="2" t="b">
        <v>0</v>
      </c>
      <c r="AA247" s="2" t="s">
        <v>35</v>
      </c>
      <c r="AB247" s="2" t="s">
        <v>35</v>
      </c>
      <c r="AC247" s="2" t="s">
        <v>35</v>
      </c>
      <c r="AD247" s="2">
        <v>2</v>
      </c>
      <c r="AE247" s="2" t="s">
        <v>792</v>
      </c>
      <c r="AF247" s="11">
        <v>44737.463888831022</v>
      </c>
      <c r="AG247" s="53"/>
      <c r="AH247" s="53" t="b">
        <f t="shared" si="10"/>
        <v>0</v>
      </c>
      <c r="AI247" s="54" t="str" cm="1">
        <f t="array" ref="AI247">TRANSPOSE(_xlfn._xlws.FILTER(images!L:L,images!F:F=Barrierenmessung!A247, ""))</f>
        <v>https://captureandgo.cloudlab.zhaw.ch/uploads/image_f915fc48fa.jpg</v>
      </c>
      <c r="AJ247" s="2"/>
      <c r="AK247" s="2"/>
      <c r="AL247" s="2"/>
      <c r="AM247" s="2"/>
      <c r="AN247" s="2"/>
    </row>
    <row r="248" spans="1:40" ht="16" x14ac:dyDescent="0.2">
      <c r="A248" s="2" t="s">
        <v>827</v>
      </c>
      <c r="B248" s="46">
        <v>247</v>
      </c>
      <c r="C248" s="2" t="b">
        <v>0</v>
      </c>
      <c r="D248" s="2" t="b">
        <v>0</v>
      </c>
      <c r="E248" s="2" t="b">
        <v>0</v>
      </c>
      <c r="F248" s="2" t="b">
        <v>0</v>
      </c>
      <c r="G248" s="2" t="s">
        <v>31</v>
      </c>
      <c r="H248" s="2" t="s">
        <v>828</v>
      </c>
      <c r="I248" s="2" t="s">
        <v>829</v>
      </c>
      <c r="J248" s="2" t="s">
        <v>35</v>
      </c>
      <c r="K248" s="2" t="s">
        <v>35</v>
      </c>
      <c r="L248" s="2" t="s">
        <v>35</v>
      </c>
      <c r="M248" s="2">
        <v>18</v>
      </c>
      <c r="N248" s="2">
        <v>13</v>
      </c>
      <c r="O248" s="11">
        <v>44737.482520104168</v>
      </c>
      <c r="P248" s="11">
        <v>44737.48296050926</v>
      </c>
      <c r="Q248" s="27">
        <f t="shared" si="9"/>
        <v>4.4040509237674996E-4</v>
      </c>
      <c r="R248" s="65">
        <f t="shared" si="11"/>
        <v>1.7895370401674882E-3</v>
      </c>
      <c r="S248" s="2">
        <v>0</v>
      </c>
      <c r="T248" s="2" t="s">
        <v>54</v>
      </c>
      <c r="U248" s="2" t="s">
        <v>55</v>
      </c>
      <c r="V248" s="2" t="s">
        <v>38</v>
      </c>
      <c r="W248" s="2" t="s">
        <v>35</v>
      </c>
      <c r="X248" s="2" t="s">
        <v>35</v>
      </c>
      <c r="Y248" s="2" t="s">
        <v>35</v>
      </c>
      <c r="Z248" s="2" t="b">
        <v>0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792</v>
      </c>
      <c r="AF248" s="11">
        <v>44737.463888831022</v>
      </c>
      <c r="AG248" s="53"/>
      <c r="AH248" s="53" t="b">
        <f t="shared" si="10"/>
        <v>0</v>
      </c>
      <c r="AI248" s="54" t="str" cm="1">
        <f t="array" ref="AI248">TRANSPOSE(_xlfn._xlws.FILTER(images!L:L,images!F:F=Barrierenmessung!A248, ""))</f>
        <v>https://captureandgo.cloudlab.zhaw.ch/uploads/image_0442f28b0d.jpg</v>
      </c>
      <c r="AJ248" s="2"/>
      <c r="AK248" s="2"/>
      <c r="AL248" s="2"/>
      <c r="AM248" s="2"/>
      <c r="AN248" s="2"/>
    </row>
    <row r="249" spans="1:40" ht="16" x14ac:dyDescent="0.2">
      <c r="A249" s="2" t="s">
        <v>830</v>
      </c>
      <c r="B249" s="46">
        <v>248</v>
      </c>
      <c r="C249" s="2" t="b">
        <v>0</v>
      </c>
      <c r="D249" s="2" t="b">
        <v>0</v>
      </c>
      <c r="E249" s="2" t="b">
        <v>0</v>
      </c>
      <c r="F249" s="2" t="b">
        <v>0</v>
      </c>
      <c r="G249" s="2" t="s">
        <v>31</v>
      </c>
      <c r="H249" s="2" t="s">
        <v>831</v>
      </c>
      <c r="I249" s="2" t="s">
        <v>832</v>
      </c>
      <c r="J249" s="2" t="s">
        <v>35</v>
      </c>
      <c r="K249" s="2" t="s">
        <v>35</v>
      </c>
      <c r="L249" s="2" t="s">
        <v>35</v>
      </c>
      <c r="M249" s="2">
        <v>13</v>
      </c>
      <c r="N249" s="2">
        <v>15</v>
      </c>
      <c r="O249" s="11">
        <v>44737.483042106483</v>
      </c>
      <c r="P249" s="11">
        <v>44737.483380254627</v>
      </c>
      <c r="Q249" s="27">
        <f t="shared" si="9"/>
        <v>3.3814814378274605E-4</v>
      </c>
      <c r="R249" s="65">
        <f t="shared" si="11"/>
        <v>4.1974536725319922E-4</v>
      </c>
      <c r="S249" s="2">
        <v>0</v>
      </c>
      <c r="T249" s="2" t="s">
        <v>54</v>
      </c>
      <c r="U249" s="2" t="s">
        <v>55</v>
      </c>
      <c r="V249" s="2" t="s">
        <v>38</v>
      </c>
      <c r="W249" s="2" t="s">
        <v>35</v>
      </c>
      <c r="X249" s="2" t="s">
        <v>35</v>
      </c>
      <c r="Y249" s="2" t="s">
        <v>35</v>
      </c>
      <c r="Z249" s="2" t="b">
        <v>0</v>
      </c>
      <c r="AA249" s="2" t="s">
        <v>35</v>
      </c>
      <c r="AB249" s="2" t="s">
        <v>35</v>
      </c>
      <c r="AC249" s="2" t="s">
        <v>35</v>
      </c>
      <c r="AD249" s="2" t="s">
        <v>35</v>
      </c>
      <c r="AE249" s="2" t="s">
        <v>792</v>
      </c>
      <c r="AF249" s="11">
        <v>44737.463888831022</v>
      </c>
      <c r="AG249" s="53"/>
      <c r="AH249" s="53" t="b">
        <f t="shared" si="10"/>
        <v>0</v>
      </c>
      <c r="AI249" s="54" t="str" cm="1">
        <f t="array" ref="AI249">TRANSPOSE(_xlfn._xlws.FILTER(images!L:L,images!F:F=Barrierenmessung!A249, ""))</f>
        <v>https://captureandgo.cloudlab.zhaw.ch/uploads/image_2f179e197a.jpg</v>
      </c>
      <c r="AJ249" s="2"/>
      <c r="AK249" s="2"/>
      <c r="AL249" s="2"/>
      <c r="AM249" s="2"/>
      <c r="AN249" s="2"/>
    </row>
    <row r="250" spans="1:40" ht="16" x14ac:dyDescent="0.2">
      <c r="A250" s="68" t="s">
        <v>833</v>
      </c>
      <c r="B250" s="68">
        <v>249</v>
      </c>
      <c r="C250" s="68" t="b">
        <v>0</v>
      </c>
      <c r="D250" s="68" t="b">
        <v>0</v>
      </c>
      <c r="E250" s="68" t="b">
        <v>0</v>
      </c>
      <c r="F250" s="68" t="b">
        <v>0</v>
      </c>
      <c r="G250" s="68" t="s">
        <v>31</v>
      </c>
      <c r="H250" s="68" t="s">
        <v>149</v>
      </c>
      <c r="I250" s="68" t="s">
        <v>834</v>
      </c>
      <c r="J250" s="68" t="s">
        <v>35</v>
      </c>
      <c r="K250" s="68" t="s">
        <v>35</v>
      </c>
      <c r="L250" s="68" t="s">
        <v>35</v>
      </c>
      <c r="M250" s="68" t="s">
        <v>35</v>
      </c>
      <c r="N250" s="68" t="s">
        <v>35</v>
      </c>
      <c r="O250" s="69">
        <v>44737.486048900464</v>
      </c>
      <c r="P250" s="69">
        <v>44737.486262615741</v>
      </c>
      <c r="Q250" s="70">
        <f t="shared" si="9"/>
        <v>2.1371527691371739E-4</v>
      </c>
      <c r="R250" s="70">
        <f t="shared" si="11"/>
        <v>2.8823611137340777E-3</v>
      </c>
      <c r="S250" s="68">
        <v>0</v>
      </c>
      <c r="T250" s="68" t="s">
        <v>36</v>
      </c>
      <c r="U250" s="68" t="s">
        <v>37</v>
      </c>
      <c r="V250" s="68" t="s">
        <v>38</v>
      </c>
      <c r="W250" s="68" t="s">
        <v>35</v>
      </c>
      <c r="X250" s="68" t="s">
        <v>35</v>
      </c>
      <c r="Y250" s="68" t="s">
        <v>35</v>
      </c>
      <c r="Z250" s="68" t="b">
        <v>0</v>
      </c>
      <c r="AA250" s="68" t="s">
        <v>35</v>
      </c>
      <c r="AB250" s="68" t="s">
        <v>35</v>
      </c>
      <c r="AC250" s="68" t="s">
        <v>35</v>
      </c>
      <c r="AD250" s="68">
        <v>3</v>
      </c>
      <c r="AE250" s="68" t="s">
        <v>792</v>
      </c>
      <c r="AF250" s="69">
        <v>44737.463888831022</v>
      </c>
      <c r="AG250" s="71"/>
      <c r="AH250" s="71" t="b">
        <f t="shared" si="10"/>
        <v>0</v>
      </c>
      <c r="AI250" s="56" t="str" cm="1">
        <f t="array" ref="AI250">TRANSPOSE(_xlfn._xlws.FILTER(images!L:L,images!F:F=Barrierenmessung!A250, ""))</f>
        <v/>
      </c>
      <c r="AJ250" s="68"/>
      <c r="AK250" s="68"/>
      <c r="AL250" s="68"/>
      <c r="AM250" s="68"/>
      <c r="AN250" s="68"/>
    </row>
    <row r="251" spans="1:40" ht="16" x14ac:dyDescent="0.2">
      <c r="A251" s="2" t="s">
        <v>835</v>
      </c>
      <c r="B251" s="46">
        <v>250</v>
      </c>
      <c r="C251" s="2" t="b">
        <v>0</v>
      </c>
      <c r="D251" s="2" t="b">
        <v>0</v>
      </c>
      <c r="E251" s="2" t="b">
        <v>0</v>
      </c>
      <c r="F251" s="2" t="b">
        <v>0</v>
      </c>
      <c r="G251" s="2" t="s">
        <v>31</v>
      </c>
      <c r="H251" s="2" t="s">
        <v>836</v>
      </c>
      <c r="I251" s="2" t="s">
        <v>837</v>
      </c>
      <c r="J251" s="2" t="s">
        <v>838</v>
      </c>
      <c r="K251" s="2" t="s">
        <v>35</v>
      </c>
      <c r="L251" s="2" t="s">
        <v>35</v>
      </c>
      <c r="M251" s="2" t="s">
        <v>35</v>
      </c>
      <c r="N251" s="2" t="s">
        <v>35</v>
      </c>
      <c r="O251" s="11">
        <v>44737.48721741898</v>
      </c>
      <c r="P251" s="11">
        <v>44737.487750335647</v>
      </c>
      <c r="Q251" s="27">
        <f t="shared" si="9"/>
        <v>5.3291666699806228E-4</v>
      </c>
      <c r="R251" s="65">
        <f t="shared" si="11"/>
        <v>1.4877199064358138E-3</v>
      </c>
      <c r="S251" s="2">
        <v>0</v>
      </c>
      <c r="T251" s="2" t="s">
        <v>36</v>
      </c>
      <c r="U251" s="2" t="s">
        <v>37</v>
      </c>
      <c r="V251" s="2" t="s">
        <v>38</v>
      </c>
      <c r="W251" s="2" t="s">
        <v>35</v>
      </c>
      <c r="X251" s="2" t="s">
        <v>35</v>
      </c>
      <c r="Y251" s="2" t="s">
        <v>839</v>
      </c>
      <c r="Z251" s="2" t="b">
        <v>0</v>
      </c>
      <c r="AA251" s="2" t="s">
        <v>35</v>
      </c>
      <c r="AB251" s="2">
        <v>100</v>
      </c>
      <c r="AC251" s="2" t="s">
        <v>35</v>
      </c>
      <c r="AD251" s="2" t="s">
        <v>35</v>
      </c>
      <c r="AE251" s="2" t="s">
        <v>792</v>
      </c>
      <c r="AF251" s="11">
        <v>44737.463888831022</v>
      </c>
      <c r="AG251" s="53"/>
      <c r="AH251" s="53" t="b">
        <f t="shared" si="10"/>
        <v>0</v>
      </c>
      <c r="AI251" s="54" t="str" cm="1">
        <f t="array" ref="AI251">TRANSPOSE(_xlfn._xlws.FILTER(images!L:L,images!F:F=Barrierenmessung!A251, ""))</f>
        <v>https://captureandgo.cloudlab.zhaw.ch/uploads/image_711381d4f1.jpg</v>
      </c>
      <c r="AJ251" s="2"/>
      <c r="AK251" s="2"/>
      <c r="AL251" s="2"/>
      <c r="AM251" s="2"/>
      <c r="AN251" s="2"/>
    </row>
    <row r="252" spans="1:40" ht="16" x14ac:dyDescent="0.2">
      <c r="A252" s="2" t="s">
        <v>840</v>
      </c>
      <c r="B252" s="46">
        <v>251</v>
      </c>
      <c r="C252" s="2" t="b">
        <v>0</v>
      </c>
      <c r="D252" s="2" t="b">
        <v>0</v>
      </c>
      <c r="E252" s="2" t="b">
        <v>0</v>
      </c>
      <c r="F252" s="2" t="b">
        <v>0</v>
      </c>
      <c r="G252" s="2" t="s">
        <v>31</v>
      </c>
      <c r="H252" s="2" t="s">
        <v>841</v>
      </c>
      <c r="I252" s="2" t="s">
        <v>842</v>
      </c>
      <c r="J252" s="2" t="s">
        <v>35</v>
      </c>
      <c r="K252" s="2" t="s">
        <v>35</v>
      </c>
      <c r="L252" s="2" t="s">
        <v>35</v>
      </c>
      <c r="M252" s="2" t="s">
        <v>35</v>
      </c>
      <c r="N252" s="2" t="s">
        <v>35</v>
      </c>
      <c r="O252" s="11">
        <v>44737.488465555558</v>
      </c>
      <c r="P252" s="11">
        <v>44737.488612615743</v>
      </c>
      <c r="Q252" s="27">
        <f t="shared" si="9"/>
        <v>1.4706018555443734E-4</v>
      </c>
      <c r="R252" s="65">
        <f t="shared" si="11"/>
        <v>8.622800960438326E-4</v>
      </c>
      <c r="S252" s="2">
        <v>0</v>
      </c>
      <c r="T252" s="2" t="s">
        <v>36</v>
      </c>
      <c r="U252" s="2" t="s">
        <v>37</v>
      </c>
      <c r="V252" s="2" t="s">
        <v>38</v>
      </c>
      <c r="W252" s="2" t="s">
        <v>35</v>
      </c>
      <c r="X252" s="2" t="s">
        <v>35</v>
      </c>
      <c r="Y252" s="2" t="s">
        <v>35</v>
      </c>
      <c r="Z252" s="2" t="b">
        <v>0</v>
      </c>
      <c r="AA252" s="2" t="s">
        <v>35</v>
      </c>
      <c r="AB252" s="2" t="s">
        <v>35</v>
      </c>
      <c r="AC252" s="2" t="s">
        <v>35</v>
      </c>
      <c r="AD252" s="2">
        <v>4</v>
      </c>
      <c r="AE252" s="2" t="s">
        <v>792</v>
      </c>
      <c r="AF252" s="11">
        <v>44737.463888831022</v>
      </c>
      <c r="AG252" s="53"/>
      <c r="AH252" s="53" t="b">
        <f t="shared" si="10"/>
        <v>0</v>
      </c>
      <c r="AI252" s="54" t="str" cm="1">
        <f t="array" ref="AI252">TRANSPOSE(_xlfn._xlws.FILTER(images!L:L,images!F:F=Barrierenmessung!A252, ""))</f>
        <v>https://captureandgo.cloudlab.zhaw.ch/uploads/image_2c6dc2432d.jpg</v>
      </c>
      <c r="AJ252" s="2"/>
      <c r="AK252" s="2"/>
      <c r="AL252" s="2"/>
      <c r="AM252" s="2"/>
      <c r="AN252" s="2"/>
    </row>
    <row r="253" spans="1:40" ht="16" x14ac:dyDescent="0.2">
      <c r="A253" s="31" t="s">
        <v>843</v>
      </c>
      <c r="B253" s="31">
        <v>252</v>
      </c>
      <c r="C253" s="31" t="b">
        <v>0</v>
      </c>
      <c r="D253" s="31" t="b">
        <v>0</v>
      </c>
      <c r="E253" s="31" t="b">
        <v>0</v>
      </c>
      <c r="F253" s="31" t="b">
        <v>0</v>
      </c>
      <c r="G253" s="31" t="s">
        <v>31</v>
      </c>
      <c r="H253" s="31" t="s">
        <v>844</v>
      </c>
      <c r="I253" s="31" t="s">
        <v>845</v>
      </c>
      <c r="J253" s="31" t="s">
        <v>675</v>
      </c>
      <c r="K253" s="31" t="s">
        <v>35</v>
      </c>
      <c r="L253" s="31" t="s">
        <v>35</v>
      </c>
      <c r="M253" s="31" t="s">
        <v>35</v>
      </c>
      <c r="N253" s="31" t="s">
        <v>35</v>
      </c>
      <c r="O253" s="32">
        <v>44737.499484791668</v>
      </c>
      <c r="P253" s="32">
        <v>44737.499677361113</v>
      </c>
      <c r="Q253" s="30">
        <f t="shared" si="9"/>
        <v>1.9256944506196305E-4</v>
      </c>
      <c r="R253" s="30">
        <f t="shared" si="11"/>
        <v>1.1064745369367301E-2</v>
      </c>
      <c r="S253" s="31">
        <v>0</v>
      </c>
      <c r="T253" s="31" t="s">
        <v>124</v>
      </c>
      <c r="U253" s="31" t="s">
        <v>125</v>
      </c>
      <c r="V253" s="31" t="s">
        <v>38</v>
      </c>
      <c r="W253" s="31" t="s">
        <v>35</v>
      </c>
      <c r="X253" s="31" t="s">
        <v>35</v>
      </c>
      <c r="Y253" s="31" t="s">
        <v>35</v>
      </c>
      <c r="Z253" s="31" t="b">
        <v>0</v>
      </c>
      <c r="AA253" s="31" t="s">
        <v>35</v>
      </c>
      <c r="AB253" s="31">
        <v>4</v>
      </c>
      <c r="AC253" s="31" t="s">
        <v>35</v>
      </c>
      <c r="AD253" s="31" t="s">
        <v>35</v>
      </c>
      <c r="AE253" s="31" t="s">
        <v>792</v>
      </c>
      <c r="AF253" s="32">
        <v>44737.463888831022</v>
      </c>
      <c r="AG253" s="55" t="s">
        <v>9408</v>
      </c>
      <c r="AH253" s="55" t="b">
        <f t="shared" si="10"/>
        <v>0</v>
      </c>
      <c r="AI253" s="62" t="str" cm="1">
        <f t="array" ref="AI253">TRANSPOSE(_xlfn._xlws.FILTER(images!L:L,images!F:F=Barrierenmessung!A253, ""))</f>
        <v>https://captureandgo.cloudlab.zhaw.ch/uploads/image_1415e00117.jpg</v>
      </c>
      <c r="AJ253" s="31"/>
      <c r="AK253" s="31"/>
      <c r="AL253" s="31"/>
      <c r="AM253" s="31"/>
      <c r="AN253" s="31"/>
    </row>
    <row r="254" spans="1:40" ht="16" x14ac:dyDescent="0.2">
      <c r="A254" s="2" t="s">
        <v>846</v>
      </c>
      <c r="B254" s="46">
        <v>253</v>
      </c>
      <c r="C254" s="2" t="b">
        <v>0</v>
      </c>
      <c r="D254" s="2" t="b">
        <v>0</v>
      </c>
      <c r="E254" s="2" t="b">
        <v>0</v>
      </c>
      <c r="F254" s="2" t="b">
        <v>0</v>
      </c>
      <c r="G254" s="2" t="s">
        <v>31</v>
      </c>
      <c r="H254" s="2" t="s">
        <v>847</v>
      </c>
      <c r="I254" s="2" t="s">
        <v>848</v>
      </c>
      <c r="J254" s="2" t="s">
        <v>675</v>
      </c>
      <c r="K254" s="2" t="s">
        <v>35</v>
      </c>
      <c r="L254" s="2" t="s">
        <v>35</v>
      </c>
      <c r="M254" s="2" t="s">
        <v>35</v>
      </c>
      <c r="N254" s="2" t="s">
        <v>35</v>
      </c>
      <c r="O254" s="11">
        <v>44737.500219641202</v>
      </c>
      <c r="P254" s="11">
        <v>44737.500559976848</v>
      </c>
      <c r="Q254" s="27">
        <f t="shared" si="9"/>
        <v>3.4033564588753507E-4</v>
      </c>
      <c r="R254" s="65">
        <f t="shared" si="11"/>
        <v>8.8261573546333238E-4</v>
      </c>
      <c r="S254" s="2">
        <v>0</v>
      </c>
      <c r="T254" s="2" t="s">
        <v>124</v>
      </c>
      <c r="U254" s="2" t="s">
        <v>125</v>
      </c>
      <c r="V254" s="2" t="s">
        <v>38</v>
      </c>
      <c r="W254" s="2" t="s">
        <v>35</v>
      </c>
      <c r="X254" s="2" t="s">
        <v>35</v>
      </c>
      <c r="Y254" s="2" t="s">
        <v>35</v>
      </c>
      <c r="Z254" s="2" t="b">
        <v>0</v>
      </c>
      <c r="AA254" s="2" t="s">
        <v>35</v>
      </c>
      <c r="AB254" s="2">
        <v>4</v>
      </c>
      <c r="AC254" s="2" t="s">
        <v>35</v>
      </c>
      <c r="AD254" s="2" t="s">
        <v>35</v>
      </c>
      <c r="AE254" s="2" t="s">
        <v>792</v>
      </c>
      <c r="AF254" s="11">
        <v>44737.463888831022</v>
      </c>
      <c r="AG254" s="53"/>
      <c r="AH254" s="53" t="b">
        <f t="shared" si="10"/>
        <v>0</v>
      </c>
      <c r="AI254" s="54" t="str" cm="1">
        <f t="array" ref="AI254">TRANSPOSE(_xlfn._xlws.FILTER(images!L:L,images!F:F=Barrierenmessung!A254, ""))</f>
        <v>https://captureandgo.cloudlab.zhaw.ch/uploads/image_608efd541c.jpg</v>
      </c>
      <c r="AJ254" s="2"/>
      <c r="AK254" s="2"/>
      <c r="AL254" s="2"/>
      <c r="AM254" s="2"/>
      <c r="AN254" s="2"/>
    </row>
    <row r="255" spans="1:40" ht="16" x14ac:dyDescent="0.2">
      <c r="A255" s="2" t="s">
        <v>849</v>
      </c>
      <c r="B255" s="46">
        <v>254</v>
      </c>
      <c r="C255" s="2" t="b">
        <v>0</v>
      </c>
      <c r="D255" s="2" t="b">
        <v>0</v>
      </c>
      <c r="E255" s="2" t="b">
        <v>0</v>
      </c>
      <c r="F255" s="2" t="b">
        <v>0</v>
      </c>
      <c r="G255" s="2" t="s">
        <v>31</v>
      </c>
      <c r="H255" s="2" t="s">
        <v>850</v>
      </c>
      <c r="I255" s="2" t="s">
        <v>851</v>
      </c>
      <c r="J255" s="2" t="s">
        <v>852</v>
      </c>
      <c r="K255" s="2" t="s">
        <v>35</v>
      </c>
      <c r="L255" s="2" t="s">
        <v>35</v>
      </c>
      <c r="M255" s="2" t="s">
        <v>35</v>
      </c>
      <c r="N255" s="2" t="s">
        <v>35</v>
      </c>
      <c r="O255" s="11">
        <v>44737.501407766205</v>
      </c>
      <c r="P255" s="11">
        <v>44737.503135462961</v>
      </c>
      <c r="Q255" s="27">
        <f t="shared" si="9"/>
        <v>1.7276967555517331E-3</v>
      </c>
      <c r="R255" s="65">
        <f t="shared" si="11"/>
        <v>2.5754861126188189E-3</v>
      </c>
      <c r="S255" s="2">
        <v>0</v>
      </c>
      <c r="T255" s="2" t="s">
        <v>100</v>
      </c>
      <c r="U255" s="2" t="s">
        <v>101</v>
      </c>
      <c r="V255" s="2" t="s">
        <v>38</v>
      </c>
      <c r="W255" s="2" t="s">
        <v>35</v>
      </c>
      <c r="X255" s="2">
        <v>110</v>
      </c>
      <c r="Y255" s="2" t="s">
        <v>35</v>
      </c>
      <c r="Z255" s="2" t="b">
        <v>0</v>
      </c>
      <c r="AA255" s="2" t="s">
        <v>35</v>
      </c>
      <c r="AB255" s="2" t="s">
        <v>35</v>
      </c>
      <c r="AC255" s="2" t="s">
        <v>35</v>
      </c>
      <c r="AD255" s="2" t="s">
        <v>35</v>
      </c>
      <c r="AE255" s="2" t="s">
        <v>792</v>
      </c>
      <c r="AF255" s="11">
        <v>44737.463888831022</v>
      </c>
      <c r="AG255" s="53"/>
      <c r="AH255" s="53" t="b">
        <f t="shared" si="10"/>
        <v>0</v>
      </c>
      <c r="AI255" s="54" t="str" cm="1">
        <f t="array" ref="AI255:AM255">TRANSPOSE(_xlfn._xlws.FILTER(images!L:L,images!F:F=Barrierenmessung!A255, ""))</f>
        <v>https://captureandgo.cloudlab.zhaw.ch/uploads/image_9147ca44b1.jpg</v>
      </c>
      <c r="AJ255" s="2" t="str">
        <v>https://captureandgo.cloudlab.zhaw.ch/uploads/image_664a5ba702.jpg</v>
      </c>
      <c r="AK255" s="2" t="str">
        <v>https://captureandgo.cloudlab.zhaw.ch/uploads/image_71c2437d6b.jpg</v>
      </c>
      <c r="AL255" s="2" t="str">
        <v>https://captureandgo.cloudlab.zhaw.ch/uploads/image_9074cb4de1.jpg</v>
      </c>
      <c r="AM255" s="2" t="str">
        <v>https://captureandgo.cloudlab.zhaw.ch/uploads/image_15da14c605.jpg</v>
      </c>
      <c r="AN255" s="2"/>
    </row>
    <row r="256" spans="1:40" ht="16" x14ac:dyDescent="0.2">
      <c r="A256" s="2" t="s">
        <v>853</v>
      </c>
      <c r="B256" s="46">
        <v>255</v>
      </c>
      <c r="C256" s="2" t="b">
        <v>0</v>
      </c>
      <c r="D256" s="2" t="b">
        <v>0</v>
      </c>
      <c r="E256" s="2" t="b">
        <v>0</v>
      </c>
      <c r="F256" s="2" t="b">
        <v>0</v>
      </c>
      <c r="G256" s="2" t="s">
        <v>31</v>
      </c>
      <c r="H256" s="2" t="s">
        <v>854</v>
      </c>
      <c r="I256" s="2" t="s">
        <v>855</v>
      </c>
      <c r="J256" s="2" t="s">
        <v>35</v>
      </c>
      <c r="K256" s="2" t="s">
        <v>35</v>
      </c>
      <c r="L256" s="2">
        <v>10</v>
      </c>
      <c r="M256" s="2" t="s">
        <v>35</v>
      </c>
      <c r="N256" s="2" t="s">
        <v>35</v>
      </c>
      <c r="O256" s="11">
        <v>44737.506398194448</v>
      </c>
      <c r="P256" s="11">
        <v>44737.506841921298</v>
      </c>
      <c r="Q256" s="27">
        <f t="shared" si="9"/>
        <v>4.4372685078997165E-4</v>
      </c>
      <c r="R256" s="65">
        <f t="shared" si="11"/>
        <v>3.7064583375467919E-3</v>
      </c>
      <c r="S256" s="2">
        <v>0</v>
      </c>
      <c r="T256" s="2" t="s">
        <v>265</v>
      </c>
      <c r="U256" s="2" t="s">
        <v>266</v>
      </c>
      <c r="V256" s="2" t="s">
        <v>38</v>
      </c>
      <c r="W256" s="2" t="s">
        <v>35</v>
      </c>
      <c r="X256" s="2" t="s">
        <v>35</v>
      </c>
      <c r="Y256" s="2" t="s">
        <v>35</v>
      </c>
      <c r="Z256" s="2" t="b">
        <v>0</v>
      </c>
      <c r="AA256" s="2" t="s">
        <v>35</v>
      </c>
      <c r="AB256" s="2" t="s">
        <v>35</v>
      </c>
      <c r="AC256" s="2" t="s">
        <v>35</v>
      </c>
      <c r="AD256" s="2" t="s">
        <v>35</v>
      </c>
      <c r="AE256" s="2" t="s">
        <v>792</v>
      </c>
      <c r="AF256" s="11">
        <v>44737.463888831022</v>
      </c>
      <c r="AG256" s="53"/>
      <c r="AH256" s="53" t="b">
        <f t="shared" si="10"/>
        <v>0</v>
      </c>
      <c r="AI256" s="54" t="str" cm="1">
        <f t="array" ref="AI256">TRANSPOSE(_xlfn._xlws.FILTER(images!L:L,images!F:F=Barrierenmessung!A256, ""))</f>
        <v>https://captureandgo.cloudlab.zhaw.ch/uploads/image_b12e8b0e50.jpg</v>
      </c>
      <c r="AJ256" s="2"/>
      <c r="AK256" s="2"/>
      <c r="AL256" s="2"/>
      <c r="AM256" s="2"/>
      <c r="AN256" s="2"/>
    </row>
    <row r="257" spans="1:40" ht="16" x14ac:dyDescent="0.2">
      <c r="A257" s="2" t="s">
        <v>856</v>
      </c>
      <c r="B257" s="46">
        <v>256</v>
      </c>
      <c r="C257" s="2" t="b">
        <v>0</v>
      </c>
      <c r="D257" s="2" t="b">
        <v>0</v>
      </c>
      <c r="E257" s="2" t="b">
        <v>0</v>
      </c>
      <c r="F257" s="2" t="b">
        <v>0</v>
      </c>
      <c r="G257" s="2" t="s">
        <v>31</v>
      </c>
      <c r="H257" s="2" t="s">
        <v>857</v>
      </c>
      <c r="I257" s="2" t="s">
        <v>858</v>
      </c>
      <c r="J257" s="2" t="s">
        <v>675</v>
      </c>
      <c r="K257" s="2" t="s">
        <v>35</v>
      </c>
      <c r="L257" s="2" t="s">
        <v>35</v>
      </c>
      <c r="M257" s="2" t="s">
        <v>35</v>
      </c>
      <c r="N257" s="2" t="s">
        <v>35</v>
      </c>
      <c r="O257" s="11">
        <v>44737.506963263892</v>
      </c>
      <c r="P257" s="11">
        <v>44737.507414201391</v>
      </c>
      <c r="Q257" s="27">
        <f t="shared" si="9"/>
        <v>4.5093749940861017E-4</v>
      </c>
      <c r="R257" s="65">
        <f t="shared" si="11"/>
        <v>5.7228009245591238E-4</v>
      </c>
      <c r="S257" s="2">
        <v>0</v>
      </c>
      <c r="T257" s="2" t="s">
        <v>124</v>
      </c>
      <c r="U257" s="2" t="s">
        <v>125</v>
      </c>
      <c r="V257" s="2" t="s">
        <v>38</v>
      </c>
      <c r="W257" s="2" t="s">
        <v>35</v>
      </c>
      <c r="X257" s="2" t="s">
        <v>35</v>
      </c>
      <c r="Y257" s="2" t="s">
        <v>35</v>
      </c>
      <c r="Z257" s="2" t="b">
        <v>0</v>
      </c>
      <c r="AA257" s="2" t="s">
        <v>35</v>
      </c>
      <c r="AB257" s="2">
        <v>4</v>
      </c>
      <c r="AC257" s="2" t="s">
        <v>35</v>
      </c>
      <c r="AD257" s="2" t="s">
        <v>35</v>
      </c>
      <c r="AE257" s="2" t="s">
        <v>792</v>
      </c>
      <c r="AF257" s="11">
        <v>44737.463888831022</v>
      </c>
      <c r="AG257" s="53"/>
      <c r="AH257" s="53" t="b">
        <f t="shared" si="10"/>
        <v>0</v>
      </c>
      <c r="AI257" s="54" t="str" cm="1">
        <f t="array" ref="AI257">TRANSPOSE(_xlfn._xlws.FILTER(images!L:L,images!F:F=Barrierenmessung!A257, ""))</f>
        <v>https://captureandgo.cloudlab.zhaw.ch/uploads/image_c499bb8585.jpg</v>
      </c>
      <c r="AJ257" s="2"/>
      <c r="AK257" s="2"/>
      <c r="AL257" s="2"/>
      <c r="AM257" s="2"/>
      <c r="AN257" s="2"/>
    </row>
    <row r="258" spans="1:40" ht="16" x14ac:dyDescent="0.2">
      <c r="A258" s="2" t="s">
        <v>859</v>
      </c>
      <c r="B258" s="46">
        <v>257</v>
      </c>
      <c r="C258" s="2" t="b">
        <v>0</v>
      </c>
      <c r="D258" s="2" t="b">
        <v>0</v>
      </c>
      <c r="E258" s="2" t="b">
        <v>0</v>
      </c>
      <c r="F258" s="2" t="b">
        <v>0</v>
      </c>
      <c r="G258" s="2" t="s">
        <v>31</v>
      </c>
      <c r="H258" s="2" t="s">
        <v>860</v>
      </c>
      <c r="I258" s="2" t="s">
        <v>861</v>
      </c>
      <c r="J258" s="2" t="s">
        <v>35</v>
      </c>
      <c r="K258" s="2" t="s">
        <v>35</v>
      </c>
      <c r="L258" s="2">
        <v>10</v>
      </c>
      <c r="M258" s="2" t="s">
        <v>35</v>
      </c>
      <c r="N258" s="2" t="s">
        <v>35</v>
      </c>
      <c r="O258" s="11">
        <v>44737.507577847224</v>
      </c>
      <c r="P258" s="11">
        <v>44737.507999456022</v>
      </c>
      <c r="Q258" s="27">
        <f t="shared" ref="Q258:Q321" si="12">P258-O258</f>
        <v>4.2160879820585251E-4</v>
      </c>
      <c r="R258" s="65">
        <f t="shared" si="11"/>
        <v>5.8525463100522757E-4</v>
      </c>
      <c r="S258" s="2">
        <v>0</v>
      </c>
      <c r="T258" s="2" t="s">
        <v>265</v>
      </c>
      <c r="U258" s="2" t="s">
        <v>266</v>
      </c>
      <c r="V258" s="2" t="s">
        <v>38</v>
      </c>
      <c r="W258" s="2" t="s">
        <v>35</v>
      </c>
      <c r="X258" s="2" t="s">
        <v>35</v>
      </c>
      <c r="Y258" s="2" t="s">
        <v>35</v>
      </c>
      <c r="Z258" s="2" t="b">
        <v>0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2" t="s">
        <v>792</v>
      </c>
      <c r="AF258" s="11">
        <v>44737.463888831022</v>
      </c>
      <c r="AG258" s="53"/>
      <c r="AH258" s="53" t="b">
        <f t="shared" si="10"/>
        <v>0</v>
      </c>
      <c r="AI258" s="54" t="str" cm="1">
        <f t="array" ref="AI258">TRANSPOSE(_xlfn._xlws.FILTER(images!L:L,images!F:F=Barrierenmessung!A258, ""))</f>
        <v>https://captureandgo.cloudlab.zhaw.ch/uploads/image_ae24200eec.jpg</v>
      </c>
      <c r="AJ258" s="2"/>
      <c r="AK258" s="2"/>
      <c r="AL258" s="2"/>
      <c r="AM258" s="2"/>
      <c r="AN258" s="2"/>
    </row>
    <row r="259" spans="1:40" ht="16" x14ac:dyDescent="0.2">
      <c r="A259" s="2" t="s">
        <v>862</v>
      </c>
      <c r="B259" s="46">
        <v>258</v>
      </c>
      <c r="C259" s="2" t="b">
        <v>0</v>
      </c>
      <c r="D259" s="2" t="b">
        <v>0</v>
      </c>
      <c r="E259" s="2" t="b">
        <v>0</v>
      </c>
      <c r="F259" s="2" t="b">
        <v>0</v>
      </c>
      <c r="G259" s="2" t="s">
        <v>31</v>
      </c>
      <c r="H259" s="2" t="s">
        <v>863</v>
      </c>
      <c r="I259" s="2" t="s">
        <v>864</v>
      </c>
      <c r="J259" s="2" t="s">
        <v>35</v>
      </c>
      <c r="K259" s="2" t="s">
        <v>35</v>
      </c>
      <c r="L259" s="2" t="s">
        <v>35</v>
      </c>
      <c r="M259" s="2" t="s">
        <v>35</v>
      </c>
      <c r="N259" s="2" t="s">
        <v>35</v>
      </c>
      <c r="O259" s="11">
        <v>44737.511554328703</v>
      </c>
      <c r="P259" s="11">
        <v>44737.511744108793</v>
      </c>
      <c r="Q259" s="27">
        <f t="shared" si="12"/>
        <v>1.8978009029524401E-4</v>
      </c>
      <c r="R259" s="65">
        <f t="shared" si="11"/>
        <v>3.7446527712745592E-3</v>
      </c>
      <c r="S259" s="2">
        <v>0</v>
      </c>
      <c r="T259" s="2" t="s">
        <v>36</v>
      </c>
      <c r="U259" s="2" t="s">
        <v>37</v>
      </c>
      <c r="V259" s="2" t="s">
        <v>38</v>
      </c>
      <c r="W259" s="2" t="s">
        <v>35</v>
      </c>
      <c r="X259" s="2" t="s">
        <v>35</v>
      </c>
      <c r="Y259" s="2" t="s">
        <v>35</v>
      </c>
      <c r="Z259" s="2" t="b">
        <v>0</v>
      </c>
      <c r="AA259" s="2" t="s">
        <v>35</v>
      </c>
      <c r="AB259" s="2" t="s">
        <v>35</v>
      </c>
      <c r="AC259" s="2" t="s">
        <v>35</v>
      </c>
      <c r="AD259" s="2">
        <v>2</v>
      </c>
      <c r="AE259" s="2" t="s">
        <v>792</v>
      </c>
      <c r="AF259" s="11">
        <v>44737.463888831022</v>
      </c>
      <c r="AG259" s="53"/>
      <c r="AH259" s="53" t="b">
        <f t="shared" ref="AH259:AH322" si="13">IF(Q259&lt;TIME(0,0,1),"TRUE")</f>
        <v>0</v>
      </c>
      <c r="AI259" s="54" t="str" cm="1">
        <f t="array" ref="AI259">TRANSPOSE(_xlfn._xlws.FILTER(images!L:L,images!F:F=Barrierenmessung!A259, ""))</f>
        <v>https://captureandgo.cloudlab.zhaw.ch/uploads/image_e281b07ded.jpg</v>
      </c>
      <c r="AJ259" s="2"/>
      <c r="AK259" s="2"/>
      <c r="AL259" s="2"/>
      <c r="AM259" s="2"/>
      <c r="AN259" s="2"/>
    </row>
    <row r="260" spans="1:40" ht="16" x14ac:dyDescent="0.2">
      <c r="A260" s="2" t="s">
        <v>865</v>
      </c>
      <c r="B260" s="46">
        <v>259</v>
      </c>
      <c r="C260" s="2" t="b">
        <v>0</v>
      </c>
      <c r="D260" s="2" t="b">
        <v>0</v>
      </c>
      <c r="E260" s="2" t="b">
        <v>0</v>
      </c>
      <c r="F260" s="2" t="b">
        <v>0</v>
      </c>
      <c r="G260" s="2" t="s">
        <v>31</v>
      </c>
      <c r="H260" s="2" t="s">
        <v>866</v>
      </c>
      <c r="I260" s="2" t="s">
        <v>867</v>
      </c>
      <c r="J260" s="2" t="s">
        <v>675</v>
      </c>
      <c r="K260" s="2" t="s">
        <v>35</v>
      </c>
      <c r="L260" s="2" t="s">
        <v>35</v>
      </c>
      <c r="M260" s="2" t="s">
        <v>35</v>
      </c>
      <c r="N260" s="2" t="s">
        <v>35</v>
      </c>
      <c r="O260" s="11">
        <v>44737.512057881948</v>
      </c>
      <c r="P260" s="11">
        <v>44737.512242881945</v>
      </c>
      <c r="Q260" s="27">
        <f t="shared" si="12"/>
        <v>1.8499999714549631E-4</v>
      </c>
      <c r="R260" s="65">
        <f t="shared" si="11"/>
        <v>4.9877315177582204E-4</v>
      </c>
      <c r="S260" s="2">
        <v>0</v>
      </c>
      <c r="T260" s="2" t="s">
        <v>124</v>
      </c>
      <c r="U260" s="2" t="s">
        <v>125</v>
      </c>
      <c r="V260" s="2" t="s">
        <v>38</v>
      </c>
      <c r="W260" s="2" t="s">
        <v>35</v>
      </c>
      <c r="X260" s="2" t="s">
        <v>35</v>
      </c>
      <c r="Y260" s="2" t="s">
        <v>35</v>
      </c>
      <c r="Z260" s="2" t="b">
        <v>0</v>
      </c>
      <c r="AA260" s="2" t="s">
        <v>35</v>
      </c>
      <c r="AB260" s="2">
        <v>4</v>
      </c>
      <c r="AC260" s="2" t="s">
        <v>35</v>
      </c>
      <c r="AD260" s="2" t="s">
        <v>35</v>
      </c>
      <c r="AE260" s="2" t="s">
        <v>792</v>
      </c>
      <c r="AF260" s="11">
        <v>44737.463888831022</v>
      </c>
      <c r="AG260" s="53"/>
      <c r="AH260" s="53" t="b">
        <f t="shared" si="13"/>
        <v>0</v>
      </c>
      <c r="AI260" s="54" t="str" cm="1">
        <f t="array" ref="AI260">TRANSPOSE(_xlfn._xlws.FILTER(images!L:L,images!F:F=Barrierenmessung!A260, ""))</f>
        <v>https://captureandgo.cloudlab.zhaw.ch/uploads/image_313257b9ac.jpg</v>
      </c>
      <c r="AJ260" s="2"/>
      <c r="AK260" s="2"/>
      <c r="AL260" s="2"/>
      <c r="AM260" s="2"/>
      <c r="AN260" s="2"/>
    </row>
    <row r="261" spans="1:40" ht="16" x14ac:dyDescent="0.2">
      <c r="A261" s="2" t="s">
        <v>868</v>
      </c>
      <c r="B261" s="46">
        <v>260</v>
      </c>
      <c r="C261" s="2" t="b">
        <v>0</v>
      </c>
      <c r="D261" s="2" t="b">
        <v>0</v>
      </c>
      <c r="E261" s="2" t="b">
        <v>0</v>
      </c>
      <c r="F261" s="2" t="b">
        <v>0</v>
      </c>
      <c r="G261" s="2" t="s">
        <v>31</v>
      </c>
      <c r="H261" s="2" t="s">
        <v>869</v>
      </c>
      <c r="I261" s="2" t="s">
        <v>870</v>
      </c>
      <c r="J261" s="2" t="s">
        <v>35</v>
      </c>
      <c r="K261" s="2" t="s">
        <v>35</v>
      </c>
      <c r="L261" s="2" t="s">
        <v>35</v>
      </c>
      <c r="M261" s="2" t="s">
        <v>35</v>
      </c>
      <c r="N261" s="2" t="s">
        <v>35</v>
      </c>
      <c r="O261" s="11">
        <v>44737.51307050926</v>
      </c>
      <c r="P261" s="11">
        <v>44737.513197384258</v>
      </c>
      <c r="Q261" s="27">
        <f t="shared" si="12"/>
        <v>1.2687499838648364E-4</v>
      </c>
      <c r="R261" s="65">
        <f t="shared" ref="R261:R324" si="14">MIN(P261-P260, P261-AF261)</f>
        <v>9.5450231310678646E-4</v>
      </c>
      <c r="S261" s="2">
        <v>0</v>
      </c>
      <c r="T261" s="2" t="s">
        <v>36</v>
      </c>
      <c r="U261" s="2" t="s">
        <v>37</v>
      </c>
      <c r="V261" s="2" t="s">
        <v>38</v>
      </c>
      <c r="W261" s="2" t="s">
        <v>35</v>
      </c>
      <c r="X261" s="2" t="s">
        <v>35</v>
      </c>
      <c r="Y261" s="2" t="s">
        <v>35</v>
      </c>
      <c r="Z261" s="2" t="b">
        <v>0</v>
      </c>
      <c r="AA261" s="2" t="s">
        <v>35</v>
      </c>
      <c r="AB261" s="2" t="s">
        <v>35</v>
      </c>
      <c r="AC261" s="2" t="s">
        <v>35</v>
      </c>
      <c r="AD261" s="2">
        <v>3</v>
      </c>
      <c r="AE261" s="2" t="s">
        <v>792</v>
      </c>
      <c r="AF261" s="11">
        <v>44737.463888831022</v>
      </c>
      <c r="AG261" s="53"/>
      <c r="AH261" s="53" t="b">
        <f t="shared" si="13"/>
        <v>0</v>
      </c>
      <c r="AI261" s="54" t="str" cm="1">
        <f t="array" ref="AI261">TRANSPOSE(_xlfn._xlws.FILTER(images!L:L,images!F:F=Barrierenmessung!A261, ""))</f>
        <v>https://captureandgo.cloudlab.zhaw.ch/uploads/image_b5120e4cc7.jpg</v>
      </c>
      <c r="AJ261" s="2"/>
      <c r="AK261" s="2"/>
      <c r="AL261" s="2"/>
      <c r="AM261" s="2"/>
      <c r="AN261" s="2"/>
    </row>
    <row r="262" spans="1:40" ht="16" x14ac:dyDescent="0.2">
      <c r="A262" s="2" t="s">
        <v>871</v>
      </c>
      <c r="B262" s="46">
        <v>261</v>
      </c>
      <c r="C262" s="2" t="b">
        <v>0</v>
      </c>
      <c r="D262" s="2" t="b">
        <v>0</v>
      </c>
      <c r="E262" s="2" t="b">
        <v>0</v>
      </c>
      <c r="F262" s="2" t="b">
        <v>0</v>
      </c>
      <c r="G262" s="2" t="s">
        <v>31</v>
      </c>
      <c r="H262" s="2" t="s">
        <v>872</v>
      </c>
      <c r="I262" s="2" t="s">
        <v>873</v>
      </c>
      <c r="J262" s="2" t="s">
        <v>675</v>
      </c>
      <c r="K262" s="2" t="s">
        <v>35</v>
      </c>
      <c r="L262" s="2" t="s">
        <v>35</v>
      </c>
      <c r="M262" s="2" t="s">
        <v>35</v>
      </c>
      <c r="N262" s="2" t="s">
        <v>35</v>
      </c>
      <c r="O262" s="11">
        <v>44737.515036122684</v>
      </c>
      <c r="P262" s="11">
        <v>44737.515243530092</v>
      </c>
      <c r="Q262" s="27">
        <f t="shared" si="12"/>
        <v>2.0740740728797391E-4</v>
      </c>
      <c r="R262" s="65">
        <f t="shared" si="14"/>
        <v>2.0461458334466442E-3</v>
      </c>
      <c r="S262" s="2">
        <v>0</v>
      </c>
      <c r="T262" s="2" t="s">
        <v>124</v>
      </c>
      <c r="U262" s="2" t="s">
        <v>125</v>
      </c>
      <c r="V262" s="2" t="s">
        <v>38</v>
      </c>
      <c r="W262" s="2" t="s">
        <v>35</v>
      </c>
      <c r="X262" s="2" t="s">
        <v>35</v>
      </c>
      <c r="Y262" s="2" t="s">
        <v>35</v>
      </c>
      <c r="Z262" s="2" t="b">
        <v>0</v>
      </c>
      <c r="AA262" s="2" t="s">
        <v>35</v>
      </c>
      <c r="AB262" s="2">
        <v>4</v>
      </c>
      <c r="AC262" s="2" t="s">
        <v>35</v>
      </c>
      <c r="AD262" s="2" t="s">
        <v>35</v>
      </c>
      <c r="AE262" s="2" t="s">
        <v>792</v>
      </c>
      <c r="AF262" s="11">
        <v>44737.463888831022</v>
      </c>
      <c r="AG262" s="53"/>
      <c r="AH262" s="53" t="b">
        <f t="shared" si="13"/>
        <v>0</v>
      </c>
      <c r="AI262" s="54" t="str" cm="1">
        <f t="array" ref="AI262">TRANSPOSE(_xlfn._xlws.FILTER(images!L:L,images!F:F=Barrierenmessung!A262, ""))</f>
        <v>https://captureandgo.cloudlab.zhaw.ch/uploads/image_51fac4ad8f.jpg</v>
      </c>
      <c r="AJ262" s="2"/>
      <c r="AK262" s="2"/>
      <c r="AL262" s="2"/>
      <c r="AM262" s="2"/>
      <c r="AN262" s="2"/>
    </row>
    <row r="263" spans="1:40" ht="16" x14ac:dyDescent="0.2">
      <c r="A263" s="2" t="s">
        <v>874</v>
      </c>
      <c r="B263" s="46">
        <v>262</v>
      </c>
      <c r="C263" s="2" t="b">
        <v>0</v>
      </c>
      <c r="D263" s="2" t="b">
        <v>0</v>
      </c>
      <c r="E263" s="2" t="b">
        <v>0</v>
      </c>
      <c r="F263" s="2" t="b">
        <v>0</v>
      </c>
      <c r="G263" s="2" t="s">
        <v>31</v>
      </c>
      <c r="H263" s="2" t="s">
        <v>875</v>
      </c>
      <c r="I263" s="2" t="s">
        <v>876</v>
      </c>
      <c r="J263" s="2" t="s">
        <v>675</v>
      </c>
      <c r="K263" s="2" t="s">
        <v>35</v>
      </c>
      <c r="L263" s="2" t="s">
        <v>35</v>
      </c>
      <c r="M263" s="2" t="s">
        <v>35</v>
      </c>
      <c r="N263" s="2" t="s">
        <v>35</v>
      </c>
      <c r="O263" s="11">
        <v>44737.515482152776</v>
      </c>
      <c r="P263" s="11">
        <v>44737.515645925923</v>
      </c>
      <c r="Q263" s="27">
        <f t="shared" si="12"/>
        <v>1.6377314750570804E-4</v>
      </c>
      <c r="R263" s="65">
        <f t="shared" si="14"/>
        <v>4.0239583177026361E-4</v>
      </c>
      <c r="S263" s="2">
        <v>0</v>
      </c>
      <c r="T263" s="2" t="s">
        <v>124</v>
      </c>
      <c r="U263" s="2" t="s">
        <v>125</v>
      </c>
      <c r="V263" s="2" t="s">
        <v>38</v>
      </c>
      <c r="W263" s="2" t="s">
        <v>35</v>
      </c>
      <c r="X263" s="2" t="s">
        <v>35</v>
      </c>
      <c r="Y263" s="2" t="s">
        <v>35</v>
      </c>
      <c r="Z263" s="2" t="b">
        <v>0</v>
      </c>
      <c r="AA263" s="2" t="s">
        <v>35</v>
      </c>
      <c r="AB263" s="2">
        <v>4</v>
      </c>
      <c r="AC263" s="2" t="s">
        <v>35</v>
      </c>
      <c r="AD263" s="2" t="s">
        <v>35</v>
      </c>
      <c r="AE263" s="2" t="s">
        <v>792</v>
      </c>
      <c r="AF263" s="11">
        <v>44737.463888831022</v>
      </c>
      <c r="AG263" s="53"/>
      <c r="AH263" s="53" t="b">
        <f t="shared" si="13"/>
        <v>0</v>
      </c>
      <c r="AI263" s="54" t="str" cm="1">
        <f t="array" ref="AI263">TRANSPOSE(_xlfn._xlws.FILTER(images!L:L,images!F:F=Barrierenmessung!A263, ""))</f>
        <v>https://captureandgo.cloudlab.zhaw.ch/uploads/image_70fa4783ee.jpg</v>
      </c>
      <c r="AJ263" s="2"/>
      <c r="AK263" s="2"/>
      <c r="AL263" s="2"/>
      <c r="AM263" s="2"/>
      <c r="AN263" s="2"/>
    </row>
    <row r="264" spans="1:40" ht="16" x14ac:dyDescent="0.2">
      <c r="A264" s="2" t="s">
        <v>877</v>
      </c>
      <c r="B264" s="46">
        <v>263</v>
      </c>
      <c r="C264" s="2" t="b">
        <v>0</v>
      </c>
      <c r="D264" s="2" t="b">
        <v>0</v>
      </c>
      <c r="E264" s="2" t="b">
        <v>0</v>
      </c>
      <c r="F264" s="2" t="b">
        <v>0</v>
      </c>
      <c r="G264" s="2" t="s">
        <v>31</v>
      </c>
      <c r="H264" s="2" t="s">
        <v>878</v>
      </c>
      <c r="I264" s="2" t="s">
        <v>879</v>
      </c>
      <c r="J264" s="2" t="s">
        <v>880</v>
      </c>
      <c r="K264" s="2" t="s">
        <v>35</v>
      </c>
      <c r="L264" s="2">
        <v>0</v>
      </c>
      <c r="M264" s="2" t="s">
        <v>35</v>
      </c>
      <c r="N264" s="2" t="s">
        <v>35</v>
      </c>
      <c r="O264" s="11">
        <v>44737.515680104167</v>
      </c>
      <c r="P264" s="11">
        <v>44737.516476759258</v>
      </c>
      <c r="Q264" s="27">
        <f t="shared" si="12"/>
        <v>7.9665509110782295E-4</v>
      </c>
      <c r="R264" s="65">
        <f t="shared" si="14"/>
        <v>8.3083333447575569E-4</v>
      </c>
      <c r="S264" s="2">
        <v>0</v>
      </c>
      <c r="T264" s="2" t="s">
        <v>265</v>
      </c>
      <c r="U264" s="2" t="s">
        <v>266</v>
      </c>
      <c r="V264" s="2" t="s">
        <v>38</v>
      </c>
      <c r="W264" s="2" t="s">
        <v>35</v>
      </c>
      <c r="X264" s="2" t="s">
        <v>35</v>
      </c>
      <c r="Y264" s="2" t="s">
        <v>35</v>
      </c>
      <c r="Z264" s="2" t="b">
        <v>0</v>
      </c>
      <c r="AA264" s="2" t="s">
        <v>35</v>
      </c>
      <c r="AB264" s="2" t="s">
        <v>35</v>
      </c>
      <c r="AC264" s="2" t="s">
        <v>35</v>
      </c>
      <c r="AD264" s="2" t="s">
        <v>35</v>
      </c>
      <c r="AE264" s="2" t="s">
        <v>792</v>
      </c>
      <c r="AF264" s="11">
        <v>44737.463888831022</v>
      </c>
      <c r="AG264" s="53"/>
      <c r="AH264" s="53" t="b">
        <f t="shared" si="13"/>
        <v>0</v>
      </c>
      <c r="AI264" s="54" t="str" cm="1">
        <f t="array" ref="AI264">TRANSPOSE(_xlfn._xlws.FILTER(images!L:L,images!F:F=Barrierenmessung!A264, ""))</f>
        <v>https://captureandgo.cloudlab.zhaw.ch/uploads/image_0bee4741fa.jpg</v>
      </c>
      <c r="AJ264" s="2"/>
      <c r="AK264" s="2"/>
      <c r="AL264" s="2"/>
      <c r="AM264" s="2"/>
      <c r="AN264" s="2"/>
    </row>
    <row r="265" spans="1:40" ht="16" x14ac:dyDescent="0.2">
      <c r="A265" s="2" t="s">
        <v>881</v>
      </c>
      <c r="B265" s="46">
        <v>264</v>
      </c>
      <c r="C265" s="2" t="b">
        <v>0</v>
      </c>
      <c r="D265" s="2" t="b">
        <v>0</v>
      </c>
      <c r="E265" s="2" t="b">
        <v>0</v>
      </c>
      <c r="F265" s="2" t="b">
        <v>0</v>
      </c>
      <c r="G265" s="2" t="s">
        <v>31</v>
      </c>
      <c r="H265" s="2" t="s">
        <v>882</v>
      </c>
      <c r="I265" s="2" t="s">
        <v>883</v>
      </c>
      <c r="J265" s="2" t="s">
        <v>675</v>
      </c>
      <c r="K265" s="2" t="s">
        <v>35</v>
      </c>
      <c r="L265" s="2" t="s">
        <v>35</v>
      </c>
      <c r="M265" s="2" t="s">
        <v>35</v>
      </c>
      <c r="N265" s="2" t="s">
        <v>35</v>
      </c>
      <c r="O265" s="11">
        <v>44737.516726273148</v>
      </c>
      <c r="P265" s="11">
        <v>44737.517545532406</v>
      </c>
      <c r="Q265" s="27">
        <f t="shared" si="12"/>
        <v>8.192592576961033E-4</v>
      </c>
      <c r="R265" s="65">
        <f t="shared" si="14"/>
        <v>1.0687731482903473E-3</v>
      </c>
      <c r="S265" s="2">
        <v>0</v>
      </c>
      <c r="T265" s="2" t="s">
        <v>124</v>
      </c>
      <c r="U265" s="2" t="s">
        <v>125</v>
      </c>
      <c r="V265" s="2" t="s">
        <v>38</v>
      </c>
      <c r="W265" s="2" t="s">
        <v>35</v>
      </c>
      <c r="X265" s="2" t="s">
        <v>35</v>
      </c>
      <c r="Y265" s="2" t="s">
        <v>35</v>
      </c>
      <c r="Z265" s="2" t="b">
        <v>0</v>
      </c>
      <c r="AA265" s="2" t="s">
        <v>35</v>
      </c>
      <c r="AB265" s="2">
        <v>4</v>
      </c>
      <c r="AC265" s="2" t="s">
        <v>35</v>
      </c>
      <c r="AD265" s="2" t="s">
        <v>35</v>
      </c>
      <c r="AE265" s="2" t="s">
        <v>792</v>
      </c>
      <c r="AF265" s="11">
        <v>44737.463888831022</v>
      </c>
      <c r="AG265" s="53"/>
      <c r="AH265" s="53" t="b">
        <f t="shared" si="13"/>
        <v>0</v>
      </c>
      <c r="AI265" s="54" t="str" cm="1">
        <f t="array" ref="AI265">TRANSPOSE(_xlfn._xlws.FILTER(images!L:L,images!F:F=Barrierenmessung!A265, ""))</f>
        <v>https://captureandgo.cloudlab.zhaw.ch/uploads/image_9a034c945e.jpg</v>
      </c>
      <c r="AJ265" s="2"/>
      <c r="AK265" s="2"/>
      <c r="AL265" s="2"/>
      <c r="AM265" s="2"/>
      <c r="AN265" s="2"/>
    </row>
    <row r="266" spans="1:40" ht="16" x14ac:dyDescent="0.2">
      <c r="A266" s="2" t="s">
        <v>884</v>
      </c>
      <c r="B266" s="46">
        <v>265</v>
      </c>
      <c r="C266" s="2" t="b">
        <v>0</v>
      </c>
      <c r="D266" s="2" t="b">
        <v>0</v>
      </c>
      <c r="E266" s="2" t="b">
        <v>0</v>
      </c>
      <c r="F266" s="2" t="b">
        <v>0</v>
      </c>
      <c r="G266" s="2" t="s">
        <v>31</v>
      </c>
      <c r="H266" s="2" t="s">
        <v>885</v>
      </c>
      <c r="I266" s="2" t="s">
        <v>886</v>
      </c>
      <c r="J266" s="2" t="s">
        <v>675</v>
      </c>
      <c r="K266" s="2" t="s">
        <v>35</v>
      </c>
      <c r="L266" s="2" t="s">
        <v>35</v>
      </c>
      <c r="M266" s="2" t="s">
        <v>35</v>
      </c>
      <c r="N266" s="2" t="s">
        <v>35</v>
      </c>
      <c r="O266" s="11">
        <v>44737.51759019676</v>
      </c>
      <c r="P266" s="11">
        <v>44737.517943553241</v>
      </c>
      <c r="Q266" s="27">
        <f t="shared" si="12"/>
        <v>3.533564813551493E-4</v>
      </c>
      <c r="R266" s="65">
        <f t="shared" si="14"/>
        <v>3.9802083483664319E-4</v>
      </c>
      <c r="S266" s="2">
        <v>0</v>
      </c>
      <c r="T266" s="2" t="s">
        <v>124</v>
      </c>
      <c r="U266" s="2" t="s">
        <v>125</v>
      </c>
      <c r="V266" s="2" t="s">
        <v>38</v>
      </c>
      <c r="W266" s="2" t="s">
        <v>35</v>
      </c>
      <c r="X266" s="2" t="s">
        <v>35</v>
      </c>
      <c r="Y266" s="2" t="s">
        <v>35</v>
      </c>
      <c r="Z266" s="2" t="b">
        <v>0</v>
      </c>
      <c r="AA266" s="2" t="s">
        <v>35</v>
      </c>
      <c r="AB266" s="2">
        <v>4</v>
      </c>
      <c r="AC266" s="2" t="s">
        <v>35</v>
      </c>
      <c r="AD266" s="2" t="s">
        <v>35</v>
      </c>
      <c r="AE266" s="2" t="s">
        <v>792</v>
      </c>
      <c r="AF266" s="11">
        <v>44737.463888831022</v>
      </c>
      <c r="AG266" s="53"/>
      <c r="AH266" s="53" t="b">
        <f t="shared" si="13"/>
        <v>0</v>
      </c>
      <c r="AI266" s="54" t="str" cm="1">
        <f t="array" ref="AI266">TRANSPOSE(_xlfn._xlws.FILTER(images!L:L,images!F:F=Barrierenmessung!A266, ""))</f>
        <v>https://captureandgo.cloudlab.zhaw.ch/uploads/image_3f859db304.jpg</v>
      </c>
      <c r="AJ266" s="2"/>
      <c r="AK266" s="2"/>
      <c r="AL266" s="2"/>
      <c r="AM266" s="2"/>
      <c r="AN266" s="2"/>
    </row>
    <row r="267" spans="1:40" ht="16" x14ac:dyDescent="0.2">
      <c r="A267" s="2" t="s">
        <v>887</v>
      </c>
      <c r="B267" s="46">
        <v>266</v>
      </c>
      <c r="C267" s="2" t="b">
        <v>0</v>
      </c>
      <c r="D267" s="2" t="b">
        <v>0</v>
      </c>
      <c r="E267" s="2" t="b">
        <v>0</v>
      </c>
      <c r="F267" s="2" t="b">
        <v>0</v>
      </c>
      <c r="G267" s="2" t="s">
        <v>31</v>
      </c>
      <c r="H267" s="2" t="s">
        <v>888</v>
      </c>
      <c r="I267" s="2" t="s">
        <v>889</v>
      </c>
      <c r="J267" s="2" t="s">
        <v>675</v>
      </c>
      <c r="K267" s="2" t="s">
        <v>35</v>
      </c>
      <c r="L267" s="2" t="s">
        <v>35</v>
      </c>
      <c r="M267" s="2" t="s">
        <v>35</v>
      </c>
      <c r="N267" s="2" t="s">
        <v>35</v>
      </c>
      <c r="O267" s="11">
        <v>44737.519019074076</v>
      </c>
      <c r="P267" s="11">
        <v>44737.519171539352</v>
      </c>
      <c r="Q267" s="27">
        <f t="shared" si="12"/>
        <v>1.5246527618728578E-4</v>
      </c>
      <c r="R267" s="65">
        <f t="shared" si="14"/>
        <v>1.2279861111892387E-3</v>
      </c>
      <c r="S267" s="2">
        <v>0</v>
      </c>
      <c r="T267" s="2" t="s">
        <v>124</v>
      </c>
      <c r="U267" s="2" t="s">
        <v>125</v>
      </c>
      <c r="V267" s="2" t="s">
        <v>38</v>
      </c>
      <c r="W267" s="2" t="s">
        <v>35</v>
      </c>
      <c r="X267" s="2" t="s">
        <v>35</v>
      </c>
      <c r="Y267" s="2" t="s">
        <v>35</v>
      </c>
      <c r="Z267" s="2" t="b">
        <v>0</v>
      </c>
      <c r="AA267" s="2" t="s">
        <v>35</v>
      </c>
      <c r="AB267" s="2">
        <v>4</v>
      </c>
      <c r="AC267" s="2" t="s">
        <v>35</v>
      </c>
      <c r="AD267" s="2" t="s">
        <v>35</v>
      </c>
      <c r="AE267" s="2" t="s">
        <v>792</v>
      </c>
      <c r="AF267" s="11">
        <v>44737.463888831022</v>
      </c>
      <c r="AG267" s="53"/>
      <c r="AH267" s="53" t="b">
        <f t="shared" si="13"/>
        <v>0</v>
      </c>
      <c r="AI267" s="54" t="str" cm="1">
        <f t="array" ref="AI267">TRANSPOSE(_xlfn._xlws.FILTER(images!L:L,images!F:F=Barrierenmessung!A267, ""))</f>
        <v>https://captureandgo.cloudlab.zhaw.ch/uploads/image_f7f6e760b4.jpg</v>
      </c>
      <c r="AJ267" s="2"/>
      <c r="AK267" s="2"/>
      <c r="AL267" s="2"/>
      <c r="AM267" s="2"/>
      <c r="AN267" s="2"/>
    </row>
    <row r="268" spans="1:40" ht="16" x14ac:dyDescent="0.2">
      <c r="A268" s="2" t="s">
        <v>890</v>
      </c>
      <c r="B268" s="46">
        <v>267</v>
      </c>
      <c r="C268" s="2" t="b">
        <v>0</v>
      </c>
      <c r="D268" s="2" t="b">
        <v>0</v>
      </c>
      <c r="E268" s="2" t="b">
        <v>0</v>
      </c>
      <c r="F268" s="2" t="b">
        <v>0</v>
      </c>
      <c r="G268" s="2" t="s">
        <v>31</v>
      </c>
      <c r="H268" s="2" t="s">
        <v>891</v>
      </c>
      <c r="I268" s="2" t="s">
        <v>892</v>
      </c>
      <c r="J268" s="2" t="s">
        <v>35</v>
      </c>
      <c r="K268" s="2" t="s">
        <v>35</v>
      </c>
      <c r="L268" s="2" t="s">
        <v>35</v>
      </c>
      <c r="M268" s="2" t="s">
        <v>35</v>
      </c>
      <c r="N268" s="2" t="s">
        <v>35</v>
      </c>
      <c r="O268" s="11">
        <v>44737.519880115738</v>
      </c>
      <c r="P268" s="11">
        <v>44737.520084502314</v>
      </c>
      <c r="Q268" s="27">
        <f t="shared" si="12"/>
        <v>2.0438657520571724E-4</v>
      </c>
      <c r="R268" s="65">
        <f t="shared" si="14"/>
        <v>9.1296296159271151E-4</v>
      </c>
      <c r="S268" s="2">
        <v>0</v>
      </c>
      <c r="T268" s="2" t="s">
        <v>36</v>
      </c>
      <c r="U268" s="2" t="s">
        <v>37</v>
      </c>
      <c r="V268" s="2" t="s">
        <v>38</v>
      </c>
      <c r="W268" s="2" t="s">
        <v>35</v>
      </c>
      <c r="X268" s="2" t="s">
        <v>35</v>
      </c>
      <c r="Y268" s="2" t="s">
        <v>35</v>
      </c>
      <c r="Z268" s="2" t="b">
        <v>0</v>
      </c>
      <c r="AA268" s="2" t="s">
        <v>35</v>
      </c>
      <c r="AB268" s="2" t="s">
        <v>35</v>
      </c>
      <c r="AC268" s="2" t="s">
        <v>35</v>
      </c>
      <c r="AD268" s="2">
        <v>2</v>
      </c>
      <c r="AE268" s="2" t="s">
        <v>792</v>
      </c>
      <c r="AF268" s="11">
        <v>44737.463888831022</v>
      </c>
      <c r="AG268" s="53"/>
      <c r="AH268" s="53" t="b">
        <f t="shared" si="13"/>
        <v>0</v>
      </c>
      <c r="AI268" s="54" t="str" cm="1">
        <f t="array" ref="AI268">TRANSPOSE(_xlfn._xlws.FILTER(images!L:L,images!F:F=Barrierenmessung!A268, ""))</f>
        <v>https://captureandgo.cloudlab.zhaw.ch/uploads/image_0728427b8d.jpg</v>
      </c>
      <c r="AJ268" s="2"/>
      <c r="AK268" s="2"/>
      <c r="AL268" s="2"/>
      <c r="AM268" s="2"/>
      <c r="AN268" s="2"/>
    </row>
    <row r="269" spans="1:40" ht="16" x14ac:dyDescent="0.2">
      <c r="A269" s="2" t="s">
        <v>893</v>
      </c>
      <c r="B269" s="46">
        <v>268</v>
      </c>
      <c r="C269" s="2" t="b">
        <v>0</v>
      </c>
      <c r="D269" s="2" t="b">
        <v>0</v>
      </c>
      <c r="E269" s="2" t="b">
        <v>0</v>
      </c>
      <c r="F269" s="2" t="b">
        <v>0</v>
      </c>
      <c r="G269" s="2" t="s">
        <v>31</v>
      </c>
      <c r="H269" s="2" t="s">
        <v>894</v>
      </c>
      <c r="I269" s="2" t="s">
        <v>895</v>
      </c>
      <c r="J269" s="2" t="s">
        <v>896</v>
      </c>
      <c r="K269" s="2" t="s">
        <v>35</v>
      </c>
      <c r="L269" s="2" t="s">
        <v>35</v>
      </c>
      <c r="M269" s="2" t="s">
        <v>35</v>
      </c>
      <c r="N269" s="2" t="s">
        <v>35</v>
      </c>
      <c r="O269" s="11">
        <v>44737.521164027778</v>
      </c>
      <c r="P269" s="11">
        <v>44737.521375462966</v>
      </c>
      <c r="Q269" s="27">
        <f t="shared" si="12"/>
        <v>2.1143518824828789E-4</v>
      </c>
      <c r="R269" s="65">
        <f t="shared" si="14"/>
        <v>1.2909606521134265E-3</v>
      </c>
      <c r="S269" s="2">
        <v>0</v>
      </c>
      <c r="T269" s="2" t="s">
        <v>109</v>
      </c>
      <c r="U269" s="2" t="s">
        <v>110</v>
      </c>
      <c r="V269" s="2" t="s">
        <v>38</v>
      </c>
      <c r="W269" s="2" t="s">
        <v>35</v>
      </c>
      <c r="X269" s="2">
        <v>106</v>
      </c>
      <c r="Y269" s="2" t="s">
        <v>35</v>
      </c>
      <c r="Z269" s="2" t="b">
        <v>0</v>
      </c>
      <c r="AA269" s="2" t="s">
        <v>35</v>
      </c>
      <c r="AB269" s="2" t="s">
        <v>35</v>
      </c>
      <c r="AC269" s="2" t="s">
        <v>35</v>
      </c>
      <c r="AD269" s="2" t="s">
        <v>35</v>
      </c>
      <c r="AE269" s="2" t="s">
        <v>792</v>
      </c>
      <c r="AF269" s="11">
        <v>44737.463888831022</v>
      </c>
      <c r="AG269" s="53"/>
      <c r="AH269" s="53" t="b">
        <f t="shared" si="13"/>
        <v>0</v>
      </c>
      <c r="AI269" s="54" t="str" cm="1">
        <f t="array" ref="AI269">TRANSPOSE(_xlfn._xlws.FILTER(images!L:L,images!F:F=Barrierenmessung!A269, ""))</f>
        <v>https://captureandgo.cloudlab.zhaw.ch/uploads/image_669664cf97.jpg</v>
      </c>
      <c r="AJ269" s="2"/>
      <c r="AK269" s="2"/>
      <c r="AL269" s="2"/>
      <c r="AM269" s="2"/>
      <c r="AN269" s="2"/>
    </row>
    <row r="270" spans="1:40" ht="16" x14ac:dyDescent="0.2">
      <c r="A270" s="2" t="s">
        <v>897</v>
      </c>
      <c r="B270" s="46">
        <v>269</v>
      </c>
      <c r="C270" s="2" t="b">
        <v>0</v>
      </c>
      <c r="D270" s="2" t="b">
        <v>0</v>
      </c>
      <c r="E270" s="2" t="b">
        <v>0</v>
      </c>
      <c r="F270" s="2" t="b">
        <v>0</v>
      </c>
      <c r="G270" s="2" t="s">
        <v>31</v>
      </c>
      <c r="H270" s="2" t="s">
        <v>898</v>
      </c>
      <c r="I270" s="2" t="s">
        <v>899</v>
      </c>
      <c r="J270" s="2" t="s">
        <v>896</v>
      </c>
      <c r="K270" s="2" t="s">
        <v>35</v>
      </c>
      <c r="L270" s="2" t="s">
        <v>35</v>
      </c>
      <c r="M270" s="2" t="s">
        <v>35</v>
      </c>
      <c r="N270" s="2" t="s">
        <v>35</v>
      </c>
      <c r="O270" s="11">
        <v>44737.521658518519</v>
      </c>
      <c r="P270" s="11">
        <v>44737.521891215278</v>
      </c>
      <c r="Q270" s="27">
        <f t="shared" si="12"/>
        <v>2.3269675875781104E-4</v>
      </c>
      <c r="R270" s="65">
        <f t="shared" si="14"/>
        <v>5.1575231191236526E-4</v>
      </c>
      <c r="S270" s="2">
        <v>0</v>
      </c>
      <c r="T270" s="2" t="s">
        <v>109</v>
      </c>
      <c r="U270" s="2" t="s">
        <v>110</v>
      </c>
      <c r="V270" s="2" t="s">
        <v>38</v>
      </c>
      <c r="W270" s="2" t="s">
        <v>35</v>
      </c>
      <c r="X270" s="2">
        <v>110</v>
      </c>
      <c r="Y270" s="2" t="s">
        <v>35</v>
      </c>
      <c r="Z270" s="2" t="b">
        <v>0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2" t="s">
        <v>792</v>
      </c>
      <c r="AF270" s="11">
        <v>44737.463888831022</v>
      </c>
      <c r="AG270" s="53"/>
      <c r="AH270" s="53" t="b">
        <f t="shared" si="13"/>
        <v>0</v>
      </c>
      <c r="AI270" s="54" t="str" cm="1">
        <f t="array" ref="AI270">TRANSPOSE(_xlfn._xlws.FILTER(images!L:L,images!F:F=Barrierenmessung!A270, ""))</f>
        <v>https://captureandgo.cloudlab.zhaw.ch/uploads/image_696ad1abc5.jpg</v>
      </c>
      <c r="AJ270" s="2"/>
      <c r="AK270" s="2"/>
      <c r="AL270" s="2"/>
      <c r="AM270" s="2"/>
      <c r="AN270" s="2"/>
    </row>
    <row r="271" spans="1:40" ht="16" x14ac:dyDescent="0.2">
      <c r="A271" s="2" t="s">
        <v>900</v>
      </c>
      <c r="B271" s="46">
        <v>270</v>
      </c>
      <c r="C271" s="2" t="b">
        <v>0</v>
      </c>
      <c r="D271" s="2" t="b">
        <v>0</v>
      </c>
      <c r="E271" s="2" t="b">
        <v>0</v>
      </c>
      <c r="F271" s="2" t="b">
        <v>0</v>
      </c>
      <c r="G271" s="2" t="s">
        <v>31</v>
      </c>
      <c r="H271" s="2" t="s">
        <v>901</v>
      </c>
      <c r="I271" s="2" t="s">
        <v>902</v>
      </c>
      <c r="J271" s="2" t="s">
        <v>35</v>
      </c>
      <c r="K271" s="2" t="s">
        <v>35</v>
      </c>
      <c r="L271" s="2" t="s">
        <v>35</v>
      </c>
      <c r="M271" s="2" t="s">
        <v>35</v>
      </c>
      <c r="N271" s="2" t="s">
        <v>35</v>
      </c>
      <c r="O271" s="11">
        <v>44737.522726041665</v>
      </c>
      <c r="P271" s="11">
        <v>44737.522883981481</v>
      </c>
      <c r="Q271" s="27">
        <f t="shared" si="12"/>
        <v>1.579398158355616E-4</v>
      </c>
      <c r="R271" s="65">
        <f t="shared" si="14"/>
        <v>9.9276620312593877E-4</v>
      </c>
      <c r="S271" s="2">
        <v>0</v>
      </c>
      <c r="T271" s="2" t="s">
        <v>36</v>
      </c>
      <c r="U271" s="2" t="s">
        <v>37</v>
      </c>
      <c r="V271" s="2" t="s">
        <v>38</v>
      </c>
      <c r="W271" s="2" t="s">
        <v>35</v>
      </c>
      <c r="X271" s="2" t="s">
        <v>35</v>
      </c>
      <c r="Y271" s="2" t="s">
        <v>35</v>
      </c>
      <c r="Z271" s="2" t="b">
        <v>0</v>
      </c>
      <c r="AA271" s="2" t="s">
        <v>35</v>
      </c>
      <c r="AB271" s="2" t="s">
        <v>35</v>
      </c>
      <c r="AC271" s="2" t="s">
        <v>35</v>
      </c>
      <c r="AD271" s="2">
        <v>2</v>
      </c>
      <c r="AE271" s="2" t="s">
        <v>792</v>
      </c>
      <c r="AF271" s="11">
        <v>44737.463888831022</v>
      </c>
      <c r="AG271" s="53"/>
      <c r="AH271" s="53" t="b">
        <f t="shared" si="13"/>
        <v>0</v>
      </c>
      <c r="AI271" s="54" t="str" cm="1">
        <f t="array" ref="AI271">TRANSPOSE(_xlfn._xlws.FILTER(images!L:L,images!F:F=Barrierenmessung!A271, ""))</f>
        <v>https://captureandgo.cloudlab.zhaw.ch/uploads/image_790afb93fd.jpg</v>
      </c>
      <c r="AJ271" s="2"/>
      <c r="AK271" s="2"/>
      <c r="AL271" s="2"/>
      <c r="AM271" s="2"/>
      <c r="AN271" s="2"/>
    </row>
    <row r="272" spans="1:40" ht="16" x14ac:dyDescent="0.2">
      <c r="A272" s="2" t="s">
        <v>903</v>
      </c>
      <c r="B272" s="46">
        <v>271</v>
      </c>
      <c r="C272" s="2" t="b">
        <v>0</v>
      </c>
      <c r="D272" s="2" t="b">
        <v>0</v>
      </c>
      <c r="E272" s="2" t="b">
        <v>0</v>
      </c>
      <c r="F272" s="2" t="b">
        <v>0</v>
      </c>
      <c r="G272" s="2" t="s">
        <v>31</v>
      </c>
      <c r="H272" s="2" t="s">
        <v>904</v>
      </c>
      <c r="I272" s="2" t="s">
        <v>905</v>
      </c>
      <c r="J272" s="2" t="s">
        <v>906</v>
      </c>
      <c r="K272" s="2" t="s">
        <v>35</v>
      </c>
      <c r="L272" s="2" t="s">
        <v>35</v>
      </c>
      <c r="M272" s="2" t="s">
        <v>35</v>
      </c>
      <c r="N272" s="2" t="s">
        <v>35</v>
      </c>
      <c r="O272" s="11">
        <v>44737.523461215278</v>
      </c>
      <c r="P272" s="11">
        <v>44737.523752141205</v>
      </c>
      <c r="Q272" s="27">
        <f t="shared" si="12"/>
        <v>2.9092592740198597E-4</v>
      </c>
      <c r="R272" s="65">
        <f t="shared" si="14"/>
        <v>8.6815972463227808E-4</v>
      </c>
      <c r="S272" s="2">
        <v>0</v>
      </c>
      <c r="T272" s="2" t="s">
        <v>36</v>
      </c>
      <c r="U272" s="2" t="s">
        <v>37</v>
      </c>
      <c r="V272" s="2" t="s">
        <v>38</v>
      </c>
      <c r="W272" s="2" t="s">
        <v>35</v>
      </c>
      <c r="X272" s="2" t="s">
        <v>35</v>
      </c>
      <c r="Y272" s="2" t="s">
        <v>35</v>
      </c>
      <c r="Z272" s="2" t="b">
        <v>0</v>
      </c>
      <c r="AA272" s="2" t="s">
        <v>35</v>
      </c>
      <c r="AB272" s="2" t="s">
        <v>35</v>
      </c>
      <c r="AC272" s="2">
        <v>6</v>
      </c>
      <c r="AD272" s="2" t="s">
        <v>35</v>
      </c>
      <c r="AE272" s="2" t="s">
        <v>792</v>
      </c>
      <c r="AF272" s="11">
        <v>44737.463888831022</v>
      </c>
      <c r="AG272" s="53"/>
      <c r="AH272" s="53" t="b">
        <f t="shared" si="13"/>
        <v>0</v>
      </c>
      <c r="AI272" s="54" t="str" cm="1">
        <f t="array" ref="AI272:AK272">TRANSPOSE(_xlfn._xlws.FILTER(images!L:L,images!F:F=Barrierenmessung!A272, ""))</f>
        <v>https://captureandgo.cloudlab.zhaw.ch/uploads/image_a8ace5af74.jpg</v>
      </c>
      <c r="AJ272" s="2" t="str">
        <v>https://captureandgo.cloudlab.zhaw.ch/uploads/image_1e03c82e24.jpg</v>
      </c>
      <c r="AK272" s="2" t="str">
        <v>https://captureandgo.cloudlab.zhaw.ch/uploads/image_8b0d956b44.jpg</v>
      </c>
      <c r="AL272" s="2"/>
      <c r="AM272" s="2"/>
      <c r="AN272" s="2"/>
    </row>
    <row r="273" spans="1:40" ht="16" x14ac:dyDescent="0.2">
      <c r="A273" s="68" t="s">
        <v>907</v>
      </c>
      <c r="B273" s="68">
        <v>272</v>
      </c>
      <c r="C273" s="68" t="b">
        <v>0</v>
      </c>
      <c r="D273" s="68" t="b">
        <v>0</v>
      </c>
      <c r="E273" s="68" t="b">
        <v>0</v>
      </c>
      <c r="F273" s="68" t="b">
        <v>0</v>
      </c>
      <c r="G273" s="68" t="s">
        <v>31</v>
      </c>
      <c r="H273" s="68" t="s">
        <v>149</v>
      </c>
      <c r="I273" s="68" t="s">
        <v>908</v>
      </c>
      <c r="J273" s="68" t="s">
        <v>35</v>
      </c>
      <c r="K273" s="68" t="s">
        <v>35</v>
      </c>
      <c r="L273" s="68" t="s">
        <v>35</v>
      </c>
      <c r="M273" s="68">
        <v>15</v>
      </c>
      <c r="N273" s="68">
        <v>15</v>
      </c>
      <c r="O273" s="69">
        <v>44737.524007858796</v>
      </c>
      <c r="P273" s="69">
        <v>44737.524369988423</v>
      </c>
      <c r="Q273" s="70">
        <f t="shared" si="12"/>
        <v>3.6212962731951848E-4</v>
      </c>
      <c r="R273" s="70">
        <f t="shared" si="14"/>
        <v>6.1784721765434369E-4</v>
      </c>
      <c r="S273" s="68">
        <v>0</v>
      </c>
      <c r="T273" s="68" t="s">
        <v>54</v>
      </c>
      <c r="U273" s="68" t="s">
        <v>55</v>
      </c>
      <c r="V273" s="68" t="s">
        <v>38</v>
      </c>
      <c r="W273" s="68" t="s">
        <v>35</v>
      </c>
      <c r="X273" s="68" t="s">
        <v>35</v>
      </c>
      <c r="Y273" s="68" t="s">
        <v>35</v>
      </c>
      <c r="Z273" s="68" t="b">
        <v>0</v>
      </c>
      <c r="AA273" s="68" t="s">
        <v>35</v>
      </c>
      <c r="AB273" s="68" t="s">
        <v>35</v>
      </c>
      <c r="AC273" s="68" t="s">
        <v>35</v>
      </c>
      <c r="AD273" s="68" t="s">
        <v>35</v>
      </c>
      <c r="AE273" s="68" t="s">
        <v>792</v>
      </c>
      <c r="AF273" s="69">
        <v>44737.463888831022</v>
      </c>
      <c r="AG273" s="71"/>
      <c r="AH273" s="71" t="b">
        <f t="shared" si="13"/>
        <v>0</v>
      </c>
      <c r="AI273" s="56" t="str" cm="1">
        <f t="array" ref="AI273">TRANSPOSE(_xlfn._xlws.FILTER(images!L:L,images!F:F=Barrierenmessung!A273, ""))</f>
        <v/>
      </c>
      <c r="AJ273" s="68"/>
      <c r="AK273" s="68"/>
      <c r="AL273" s="68"/>
      <c r="AM273" s="68"/>
      <c r="AN273" s="68"/>
    </row>
    <row r="274" spans="1:40" ht="16" x14ac:dyDescent="0.2">
      <c r="A274" s="2" t="s">
        <v>909</v>
      </c>
      <c r="B274" s="46">
        <v>273</v>
      </c>
      <c r="C274" s="2" t="b">
        <v>0</v>
      </c>
      <c r="D274" s="2" t="b">
        <v>0</v>
      </c>
      <c r="E274" s="2" t="b">
        <v>0</v>
      </c>
      <c r="F274" s="2" t="b">
        <v>0</v>
      </c>
      <c r="G274" s="2" t="s">
        <v>31</v>
      </c>
      <c r="H274" s="2" t="s">
        <v>910</v>
      </c>
      <c r="I274" s="2" t="s">
        <v>911</v>
      </c>
      <c r="J274" s="2" t="s">
        <v>906</v>
      </c>
      <c r="K274" s="2" t="s">
        <v>35</v>
      </c>
      <c r="L274" s="2" t="s">
        <v>35</v>
      </c>
      <c r="M274" s="2" t="s">
        <v>35</v>
      </c>
      <c r="N274" s="2" t="s">
        <v>35</v>
      </c>
      <c r="O274" s="11">
        <v>44737.524854386575</v>
      </c>
      <c r="P274" s="11">
        <v>44737.525200081021</v>
      </c>
      <c r="Q274" s="27">
        <f t="shared" si="12"/>
        <v>3.4569444687804207E-4</v>
      </c>
      <c r="R274" s="65">
        <f t="shared" si="14"/>
        <v>8.3009259833488613E-4</v>
      </c>
      <c r="S274" s="2">
        <v>0</v>
      </c>
      <c r="T274" s="2" t="s">
        <v>36</v>
      </c>
      <c r="U274" s="2" t="s">
        <v>37</v>
      </c>
      <c r="V274" s="2" t="s">
        <v>38</v>
      </c>
      <c r="W274" s="2" t="s">
        <v>35</v>
      </c>
      <c r="X274" s="2" t="s">
        <v>35</v>
      </c>
      <c r="Y274" s="2" t="s">
        <v>35</v>
      </c>
      <c r="Z274" s="2" t="b">
        <v>0</v>
      </c>
      <c r="AA274" s="2" t="s">
        <v>35</v>
      </c>
      <c r="AB274" s="2" t="s">
        <v>35</v>
      </c>
      <c r="AC274" s="2">
        <v>4</v>
      </c>
      <c r="AD274" s="2" t="s">
        <v>35</v>
      </c>
      <c r="AE274" s="2" t="s">
        <v>792</v>
      </c>
      <c r="AF274" s="11">
        <v>44737.463888831022</v>
      </c>
      <c r="AG274" s="53"/>
      <c r="AH274" s="53" t="b">
        <f t="shared" si="13"/>
        <v>0</v>
      </c>
      <c r="AI274" s="54" t="str" cm="1">
        <f t="array" ref="AI274">TRANSPOSE(_xlfn._xlws.FILTER(images!L:L,images!F:F=Barrierenmessung!A274, ""))</f>
        <v>https://captureandgo.cloudlab.zhaw.ch/uploads/image_2d1d39d4bd.jpg</v>
      </c>
      <c r="AJ274" s="2"/>
      <c r="AK274" s="2"/>
      <c r="AL274" s="2"/>
      <c r="AM274" s="2"/>
      <c r="AN274" s="2"/>
    </row>
    <row r="275" spans="1:40" ht="16" x14ac:dyDescent="0.2">
      <c r="A275" s="2" t="s">
        <v>912</v>
      </c>
      <c r="B275" s="46">
        <v>274</v>
      </c>
      <c r="C275" s="2" t="b">
        <v>0</v>
      </c>
      <c r="D275" s="2" t="b">
        <v>0</v>
      </c>
      <c r="E275" s="2" t="b">
        <v>0</v>
      </c>
      <c r="F275" s="2" t="b">
        <v>0</v>
      </c>
      <c r="G275" s="2" t="s">
        <v>31</v>
      </c>
      <c r="H275" s="2" t="s">
        <v>913</v>
      </c>
      <c r="I275" s="2" t="s">
        <v>914</v>
      </c>
      <c r="J275" s="2" t="s">
        <v>675</v>
      </c>
      <c r="K275" s="2" t="s">
        <v>35</v>
      </c>
      <c r="L275" s="2" t="s">
        <v>35</v>
      </c>
      <c r="M275" s="2" t="s">
        <v>35</v>
      </c>
      <c r="N275" s="2" t="s">
        <v>35</v>
      </c>
      <c r="O275" s="11">
        <v>44737.526667002312</v>
      </c>
      <c r="P275" s="11">
        <v>44737.527705578701</v>
      </c>
      <c r="Q275" s="27">
        <f t="shared" si="12"/>
        <v>1.0385763889644295E-3</v>
      </c>
      <c r="R275" s="65">
        <f t="shared" si="14"/>
        <v>2.5054976795217954E-3</v>
      </c>
      <c r="S275" s="2">
        <v>0</v>
      </c>
      <c r="T275" s="2" t="s">
        <v>124</v>
      </c>
      <c r="U275" s="2" t="s">
        <v>125</v>
      </c>
      <c r="V275" s="2" t="s">
        <v>38</v>
      </c>
      <c r="W275" s="2" t="s">
        <v>35</v>
      </c>
      <c r="X275" s="2" t="s">
        <v>35</v>
      </c>
      <c r="Y275" s="2" t="s">
        <v>35</v>
      </c>
      <c r="Z275" s="2" t="b">
        <v>0</v>
      </c>
      <c r="AA275" s="2" t="s">
        <v>35</v>
      </c>
      <c r="AB275" s="2">
        <v>4</v>
      </c>
      <c r="AC275" s="2" t="s">
        <v>35</v>
      </c>
      <c r="AD275" s="2" t="s">
        <v>35</v>
      </c>
      <c r="AE275" s="2" t="s">
        <v>792</v>
      </c>
      <c r="AF275" s="11">
        <v>44737.463888831022</v>
      </c>
      <c r="AG275" s="53"/>
      <c r="AH275" s="53" t="b">
        <f t="shared" si="13"/>
        <v>0</v>
      </c>
      <c r="AI275" s="54" t="str" cm="1">
        <f t="array" ref="AI275">TRANSPOSE(_xlfn._xlws.FILTER(images!L:L,images!F:F=Barrierenmessung!A275, ""))</f>
        <v>https://captureandgo.cloudlab.zhaw.ch/uploads/image_55a89c2c23.jpg</v>
      </c>
      <c r="AJ275" s="2"/>
      <c r="AK275" s="2"/>
      <c r="AL275" s="2"/>
      <c r="AM275" s="2"/>
      <c r="AN275" s="2"/>
    </row>
    <row r="276" spans="1:40" ht="16" x14ac:dyDescent="0.2">
      <c r="A276" s="2" t="s">
        <v>915</v>
      </c>
      <c r="B276" s="46">
        <v>275</v>
      </c>
      <c r="C276" s="2" t="b">
        <v>0</v>
      </c>
      <c r="D276" s="2" t="b">
        <v>0</v>
      </c>
      <c r="E276" s="2" t="b">
        <v>0</v>
      </c>
      <c r="F276" s="2" t="b">
        <v>0</v>
      </c>
      <c r="G276" s="2" t="s">
        <v>31</v>
      </c>
      <c r="H276" s="2" t="s">
        <v>916</v>
      </c>
      <c r="I276" s="2" t="s">
        <v>917</v>
      </c>
      <c r="J276" s="2" t="s">
        <v>675</v>
      </c>
      <c r="K276" s="2" t="s">
        <v>35</v>
      </c>
      <c r="L276" s="2" t="s">
        <v>35</v>
      </c>
      <c r="M276" s="2" t="s">
        <v>35</v>
      </c>
      <c r="N276" s="2" t="s">
        <v>35</v>
      </c>
      <c r="O276" s="11">
        <v>44737.527775937502</v>
      </c>
      <c r="P276" s="11">
        <v>44737.528022847226</v>
      </c>
      <c r="Q276" s="27">
        <f t="shared" si="12"/>
        <v>2.4690972350072116E-4</v>
      </c>
      <c r="R276" s="65">
        <f t="shared" si="14"/>
        <v>3.1726852466817945E-4</v>
      </c>
      <c r="S276" s="2">
        <v>0</v>
      </c>
      <c r="T276" s="2" t="s">
        <v>124</v>
      </c>
      <c r="U276" s="2" t="s">
        <v>125</v>
      </c>
      <c r="V276" s="2" t="s">
        <v>38</v>
      </c>
      <c r="W276" s="2" t="s">
        <v>35</v>
      </c>
      <c r="X276" s="2" t="s">
        <v>35</v>
      </c>
      <c r="Y276" s="2" t="s">
        <v>35</v>
      </c>
      <c r="Z276" s="2" t="b">
        <v>0</v>
      </c>
      <c r="AA276" s="2" t="s">
        <v>35</v>
      </c>
      <c r="AB276" s="2">
        <v>4</v>
      </c>
      <c r="AC276" s="2" t="s">
        <v>35</v>
      </c>
      <c r="AD276" s="2" t="s">
        <v>35</v>
      </c>
      <c r="AE276" s="2" t="s">
        <v>792</v>
      </c>
      <c r="AF276" s="11">
        <v>44737.463888831022</v>
      </c>
      <c r="AG276" s="53"/>
      <c r="AH276" s="53" t="b">
        <f t="shared" si="13"/>
        <v>0</v>
      </c>
      <c r="AI276" s="54" t="str" cm="1">
        <f t="array" ref="AI276">TRANSPOSE(_xlfn._xlws.FILTER(images!L:L,images!F:F=Barrierenmessung!A276, ""))</f>
        <v>https://captureandgo.cloudlab.zhaw.ch/uploads/image_cdbba1c6f3.jpg</v>
      </c>
      <c r="AJ276" s="2"/>
      <c r="AK276" s="2"/>
      <c r="AL276" s="2"/>
      <c r="AM276" s="2"/>
      <c r="AN276" s="2"/>
    </row>
    <row r="277" spans="1:40" ht="16" x14ac:dyDescent="0.2">
      <c r="A277" s="2" t="s">
        <v>918</v>
      </c>
      <c r="B277" s="46">
        <v>276</v>
      </c>
      <c r="C277" s="2" t="b">
        <v>0</v>
      </c>
      <c r="D277" s="2" t="b">
        <v>0</v>
      </c>
      <c r="E277" s="2" t="b">
        <v>0</v>
      </c>
      <c r="F277" s="2" t="b">
        <v>0</v>
      </c>
      <c r="G277" s="2" t="s">
        <v>31</v>
      </c>
      <c r="H277" s="2" t="s">
        <v>919</v>
      </c>
      <c r="I277" s="2" t="s">
        <v>920</v>
      </c>
      <c r="J277" s="2" t="s">
        <v>675</v>
      </c>
      <c r="K277" s="2" t="s">
        <v>35</v>
      </c>
      <c r="L277" s="2" t="s">
        <v>35</v>
      </c>
      <c r="M277" s="2" t="s">
        <v>35</v>
      </c>
      <c r="N277" s="2" t="s">
        <v>35</v>
      </c>
      <c r="O277" s="11">
        <v>44737.529034224535</v>
      </c>
      <c r="P277" s="11">
        <v>44737.529266377314</v>
      </c>
      <c r="Q277" s="27">
        <f t="shared" si="12"/>
        <v>2.3215277906274423E-4</v>
      </c>
      <c r="R277" s="65">
        <f t="shared" si="14"/>
        <v>1.2435300886863843E-3</v>
      </c>
      <c r="S277" s="2">
        <v>0</v>
      </c>
      <c r="T277" s="2" t="s">
        <v>124</v>
      </c>
      <c r="U277" s="2" t="s">
        <v>125</v>
      </c>
      <c r="V277" s="2" t="s">
        <v>38</v>
      </c>
      <c r="W277" s="2" t="s">
        <v>35</v>
      </c>
      <c r="X277" s="2" t="s">
        <v>35</v>
      </c>
      <c r="Y277" s="2" t="s">
        <v>35</v>
      </c>
      <c r="Z277" s="2" t="b">
        <v>0</v>
      </c>
      <c r="AA277" s="2" t="s">
        <v>35</v>
      </c>
      <c r="AB277" s="2">
        <v>4</v>
      </c>
      <c r="AC277" s="2" t="s">
        <v>35</v>
      </c>
      <c r="AD277" s="2" t="s">
        <v>35</v>
      </c>
      <c r="AE277" s="2" t="s">
        <v>792</v>
      </c>
      <c r="AF277" s="11">
        <v>44737.463888831022</v>
      </c>
      <c r="AG277" s="53"/>
      <c r="AH277" s="53" t="b">
        <f t="shared" si="13"/>
        <v>0</v>
      </c>
      <c r="AI277" s="54" t="str" cm="1">
        <f t="array" ref="AI277">TRANSPOSE(_xlfn._xlws.FILTER(images!L:L,images!F:F=Barrierenmessung!A277, ""))</f>
        <v>https://captureandgo.cloudlab.zhaw.ch/uploads/image_712d99fa01.jpg</v>
      </c>
      <c r="AJ277" s="2"/>
      <c r="AK277" s="2"/>
      <c r="AL277" s="2"/>
      <c r="AM277" s="2"/>
      <c r="AN277" s="2"/>
    </row>
    <row r="278" spans="1:40" ht="16" x14ac:dyDescent="0.2">
      <c r="A278" s="2" t="s">
        <v>921</v>
      </c>
      <c r="B278" s="46">
        <v>277</v>
      </c>
      <c r="C278" s="2" t="b">
        <v>0</v>
      </c>
      <c r="D278" s="2" t="b">
        <v>0</v>
      </c>
      <c r="E278" s="2" t="b">
        <v>0</v>
      </c>
      <c r="F278" s="2" t="b">
        <v>0</v>
      </c>
      <c r="G278" s="2" t="s">
        <v>31</v>
      </c>
      <c r="H278" s="2" t="s">
        <v>922</v>
      </c>
      <c r="I278" s="2" t="s">
        <v>923</v>
      </c>
      <c r="J278" s="2" t="s">
        <v>35</v>
      </c>
      <c r="K278" s="2" t="s">
        <v>35</v>
      </c>
      <c r="L278" s="2" t="s">
        <v>35</v>
      </c>
      <c r="M278" s="2">
        <v>31</v>
      </c>
      <c r="N278" s="2">
        <v>15</v>
      </c>
      <c r="O278" s="11">
        <v>44737.52978921296</v>
      </c>
      <c r="P278" s="11">
        <v>44737.53038621528</v>
      </c>
      <c r="Q278" s="27">
        <f t="shared" si="12"/>
        <v>5.9700231940951198E-4</v>
      </c>
      <c r="R278" s="65">
        <f t="shared" si="14"/>
        <v>1.1198379652341828E-3</v>
      </c>
      <c r="S278" s="2">
        <v>0</v>
      </c>
      <c r="T278" s="2" t="s">
        <v>54</v>
      </c>
      <c r="U278" s="2" t="s">
        <v>55</v>
      </c>
      <c r="V278" s="2" t="s">
        <v>38</v>
      </c>
      <c r="W278" s="2" t="s">
        <v>35</v>
      </c>
      <c r="X278" s="2" t="s">
        <v>35</v>
      </c>
      <c r="Y278" s="2" t="s">
        <v>35</v>
      </c>
      <c r="Z278" s="2" t="b">
        <v>0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2" t="s">
        <v>792</v>
      </c>
      <c r="AF278" s="11">
        <v>44737.463888831022</v>
      </c>
      <c r="AG278" s="53"/>
      <c r="AH278" s="53" t="b">
        <f t="shared" si="13"/>
        <v>0</v>
      </c>
      <c r="AI278" s="54" t="str" cm="1">
        <f t="array" ref="AI278">TRANSPOSE(_xlfn._xlws.FILTER(images!L:L,images!F:F=Barrierenmessung!A278, ""))</f>
        <v>https://captureandgo.cloudlab.zhaw.ch/uploads/image_1f01e2c78b.jpg</v>
      </c>
      <c r="AJ278" s="2"/>
      <c r="AK278" s="2"/>
      <c r="AL278" s="2"/>
      <c r="AM278" s="2"/>
      <c r="AN278" s="2"/>
    </row>
    <row r="279" spans="1:40" ht="16" x14ac:dyDescent="0.2">
      <c r="A279" s="2" t="s">
        <v>924</v>
      </c>
      <c r="B279" s="46">
        <v>278</v>
      </c>
      <c r="C279" s="2" t="b">
        <v>0</v>
      </c>
      <c r="D279" s="2" t="b">
        <v>0</v>
      </c>
      <c r="E279" s="2" t="b">
        <v>0</v>
      </c>
      <c r="F279" s="2" t="b">
        <v>0</v>
      </c>
      <c r="G279" s="2" t="s">
        <v>31</v>
      </c>
      <c r="H279" s="2" t="s">
        <v>925</v>
      </c>
      <c r="I279" s="2" t="s">
        <v>926</v>
      </c>
      <c r="J279" s="2" t="s">
        <v>927</v>
      </c>
      <c r="K279" s="2" t="s">
        <v>35</v>
      </c>
      <c r="L279" s="2" t="s">
        <v>35</v>
      </c>
      <c r="M279" s="2" t="s">
        <v>35</v>
      </c>
      <c r="N279" s="2" t="s">
        <v>35</v>
      </c>
      <c r="O279" s="11">
        <v>44737.530469282407</v>
      </c>
      <c r="P279" s="11">
        <v>44737.530909502311</v>
      </c>
      <c r="Q279" s="27">
        <f t="shared" si="12"/>
        <v>4.4021990470355377E-4</v>
      </c>
      <c r="R279" s="65">
        <f t="shared" si="14"/>
        <v>5.232870316831395E-4</v>
      </c>
      <c r="S279" s="2">
        <v>0</v>
      </c>
      <c r="T279" s="2" t="s">
        <v>54</v>
      </c>
      <c r="U279" s="2" t="s">
        <v>55</v>
      </c>
      <c r="V279" s="2" t="s">
        <v>38</v>
      </c>
      <c r="W279" s="2" t="s">
        <v>35</v>
      </c>
      <c r="X279" s="2" t="s">
        <v>35</v>
      </c>
      <c r="Y279" s="2" t="s">
        <v>35</v>
      </c>
      <c r="Z279" s="2" t="b">
        <v>0</v>
      </c>
      <c r="AA279" s="2" t="s">
        <v>35</v>
      </c>
      <c r="AB279" s="2" t="s">
        <v>35</v>
      </c>
      <c r="AC279" s="2" t="s">
        <v>35</v>
      </c>
      <c r="AD279" s="2" t="s">
        <v>35</v>
      </c>
      <c r="AE279" s="2" t="s">
        <v>792</v>
      </c>
      <c r="AF279" s="11">
        <v>44737.463888831022</v>
      </c>
      <c r="AG279" s="53"/>
      <c r="AH279" s="53" t="b">
        <f t="shared" si="13"/>
        <v>0</v>
      </c>
      <c r="AI279" s="54" t="str" cm="1">
        <f t="array" ref="AI279">TRANSPOSE(_xlfn._xlws.FILTER(images!L:L,images!F:F=Barrierenmessung!A279, ""))</f>
        <v>https://captureandgo.cloudlab.zhaw.ch/uploads/image_1ffbde4c4e.jpg</v>
      </c>
      <c r="AJ279" s="2"/>
      <c r="AK279" s="2"/>
      <c r="AL279" s="2"/>
      <c r="AM279" s="2"/>
      <c r="AN279" s="2"/>
    </row>
    <row r="280" spans="1:40" ht="16" x14ac:dyDescent="0.2">
      <c r="A280" s="2" t="s">
        <v>928</v>
      </c>
      <c r="B280" s="46">
        <v>279</v>
      </c>
      <c r="C280" s="2" t="b">
        <v>0</v>
      </c>
      <c r="D280" s="2" t="b">
        <v>0</v>
      </c>
      <c r="E280" s="2" t="b">
        <v>0</v>
      </c>
      <c r="F280" s="2" t="b">
        <v>0</v>
      </c>
      <c r="G280" s="2" t="s">
        <v>31</v>
      </c>
      <c r="H280" s="2" t="s">
        <v>929</v>
      </c>
      <c r="I280" s="2" t="s">
        <v>930</v>
      </c>
      <c r="J280" s="2" t="s">
        <v>35</v>
      </c>
      <c r="K280" s="2" t="s">
        <v>35</v>
      </c>
      <c r="L280" s="2" t="s">
        <v>35</v>
      </c>
      <c r="M280" s="2" t="s">
        <v>35</v>
      </c>
      <c r="N280" s="2" t="s">
        <v>35</v>
      </c>
      <c r="O280" s="11">
        <v>44737.532058229168</v>
      </c>
      <c r="P280" s="11">
        <v>44737.532222604168</v>
      </c>
      <c r="Q280" s="27">
        <f t="shared" si="12"/>
        <v>1.6437500016763806E-4</v>
      </c>
      <c r="R280" s="65">
        <f t="shared" si="14"/>
        <v>1.3131018567946739E-3</v>
      </c>
      <c r="S280" s="2">
        <v>0</v>
      </c>
      <c r="T280" s="2" t="s">
        <v>36</v>
      </c>
      <c r="U280" s="2" t="s">
        <v>37</v>
      </c>
      <c r="V280" s="2" t="s">
        <v>38</v>
      </c>
      <c r="W280" s="2" t="s">
        <v>35</v>
      </c>
      <c r="X280" s="2" t="s">
        <v>35</v>
      </c>
      <c r="Y280" s="2" t="s">
        <v>35</v>
      </c>
      <c r="Z280" s="2" t="b">
        <v>0</v>
      </c>
      <c r="AA280" s="2" t="s">
        <v>35</v>
      </c>
      <c r="AB280" s="2" t="s">
        <v>35</v>
      </c>
      <c r="AC280" s="2" t="s">
        <v>35</v>
      </c>
      <c r="AD280" s="2">
        <v>3</v>
      </c>
      <c r="AE280" s="2" t="s">
        <v>792</v>
      </c>
      <c r="AF280" s="11">
        <v>44737.463888831022</v>
      </c>
      <c r="AG280" s="53"/>
      <c r="AH280" s="53" t="b">
        <f t="shared" si="13"/>
        <v>0</v>
      </c>
      <c r="AI280" s="54" t="str" cm="1">
        <f t="array" ref="AI280">TRANSPOSE(_xlfn._xlws.FILTER(images!L:L,images!F:F=Barrierenmessung!A280, ""))</f>
        <v>https://captureandgo.cloudlab.zhaw.ch/uploads/image_9afad9620f.jpg</v>
      </c>
      <c r="AJ280" s="2"/>
      <c r="AK280" s="2"/>
      <c r="AL280" s="2"/>
      <c r="AM280" s="2"/>
      <c r="AN280" s="2"/>
    </row>
    <row r="281" spans="1:40" ht="16" x14ac:dyDescent="0.2">
      <c r="A281" s="2" t="s">
        <v>931</v>
      </c>
      <c r="B281" s="46">
        <v>280</v>
      </c>
      <c r="C281" s="2" t="b">
        <v>0</v>
      </c>
      <c r="D281" s="2" t="b">
        <v>0</v>
      </c>
      <c r="E281" s="2" t="b">
        <v>0</v>
      </c>
      <c r="F281" s="2" t="b">
        <v>0</v>
      </c>
      <c r="G281" s="2" t="s">
        <v>31</v>
      </c>
      <c r="H281" s="2" t="s">
        <v>932</v>
      </c>
      <c r="I281" s="2" t="s">
        <v>933</v>
      </c>
      <c r="J281" s="2" t="s">
        <v>35</v>
      </c>
      <c r="K281" s="2" t="s">
        <v>35</v>
      </c>
      <c r="L281" s="2" t="s">
        <v>35</v>
      </c>
      <c r="M281" s="2">
        <v>29</v>
      </c>
      <c r="N281" s="2">
        <v>16</v>
      </c>
      <c r="O281" s="11">
        <v>44737.532494965279</v>
      </c>
      <c r="P281" s="11">
        <v>44737.533045694443</v>
      </c>
      <c r="Q281" s="27">
        <f t="shared" si="12"/>
        <v>5.5072916438803077E-4</v>
      </c>
      <c r="R281" s="65">
        <f t="shared" si="14"/>
        <v>8.2309027493465692E-4</v>
      </c>
      <c r="S281" s="2">
        <v>0</v>
      </c>
      <c r="T281" s="2" t="s">
        <v>54</v>
      </c>
      <c r="U281" s="2" t="s">
        <v>55</v>
      </c>
      <c r="V281" s="2" t="s">
        <v>38</v>
      </c>
      <c r="W281" s="2" t="s">
        <v>35</v>
      </c>
      <c r="X281" s="2" t="s">
        <v>35</v>
      </c>
      <c r="Y281" s="2" t="s">
        <v>35</v>
      </c>
      <c r="Z281" s="2" t="b">
        <v>0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2" t="s">
        <v>792</v>
      </c>
      <c r="AF281" s="11">
        <v>44737.463888831022</v>
      </c>
      <c r="AG281" s="53"/>
      <c r="AH281" s="53" t="b">
        <f t="shared" si="13"/>
        <v>0</v>
      </c>
      <c r="AI281" s="54" t="str" cm="1">
        <f t="array" ref="AI281">TRANSPOSE(_xlfn._xlws.FILTER(images!L:L,images!F:F=Barrierenmessung!A281, ""))</f>
        <v>https://captureandgo.cloudlab.zhaw.ch/uploads/image_524445c0b7.jpg</v>
      </c>
      <c r="AJ281" s="2"/>
      <c r="AK281" s="2"/>
      <c r="AL281" s="2"/>
      <c r="AM281" s="2"/>
      <c r="AN281" s="2"/>
    </row>
    <row r="282" spans="1:40" ht="16" x14ac:dyDescent="0.2">
      <c r="A282" s="2" t="s">
        <v>934</v>
      </c>
      <c r="B282" s="46">
        <v>281</v>
      </c>
      <c r="C282" s="2" t="b">
        <v>0</v>
      </c>
      <c r="D282" s="2" t="b">
        <v>0</v>
      </c>
      <c r="E282" s="2" t="b">
        <v>0</v>
      </c>
      <c r="F282" s="2" t="b">
        <v>0</v>
      </c>
      <c r="G282" s="2" t="s">
        <v>31</v>
      </c>
      <c r="H282" s="2" t="s">
        <v>935</v>
      </c>
      <c r="I282" s="2" t="s">
        <v>936</v>
      </c>
      <c r="J282" s="2" t="s">
        <v>35</v>
      </c>
      <c r="K282" s="2" t="s">
        <v>35</v>
      </c>
      <c r="L282" s="2" t="s">
        <v>35</v>
      </c>
      <c r="M282" s="2">
        <v>29</v>
      </c>
      <c r="N282" s="2">
        <v>15</v>
      </c>
      <c r="O282" s="11">
        <v>44737.533099421293</v>
      </c>
      <c r="P282" s="11">
        <v>44737.533664710645</v>
      </c>
      <c r="Q282" s="27">
        <f t="shared" si="12"/>
        <v>5.6528935238020495E-4</v>
      </c>
      <c r="R282" s="65">
        <f t="shared" si="14"/>
        <v>6.1901620210846886E-4</v>
      </c>
      <c r="S282" s="2">
        <v>0</v>
      </c>
      <c r="T282" s="2" t="s">
        <v>54</v>
      </c>
      <c r="U282" s="2" t="s">
        <v>55</v>
      </c>
      <c r="V282" s="2" t="s">
        <v>38</v>
      </c>
      <c r="W282" s="2" t="s">
        <v>35</v>
      </c>
      <c r="X282" s="2" t="s">
        <v>35</v>
      </c>
      <c r="Y282" s="2" t="s">
        <v>35</v>
      </c>
      <c r="Z282" s="2" t="b">
        <v>0</v>
      </c>
      <c r="AA282" s="2" t="s">
        <v>35</v>
      </c>
      <c r="AB282" s="2" t="s">
        <v>35</v>
      </c>
      <c r="AC282" s="2" t="s">
        <v>35</v>
      </c>
      <c r="AD282" s="2" t="s">
        <v>35</v>
      </c>
      <c r="AE282" s="2" t="s">
        <v>792</v>
      </c>
      <c r="AF282" s="11">
        <v>44737.463888831022</v>
      </c>
      <c r="AG282" s="53"/>
      <c r="AH282" s="53" t="b">
        <f t="shared" si="13"/>
        <v>0</v>
      </c>
      <c r="AI282" s="54" t="str" cm="1">
        <f t="array" ref="AI282">TRANSPOSE(_xlfn._xlws.FILTER(images!L:L,images!F:F=Barrierenmessung!A282, ""))</f>
        <v>https://captureandgo.cloudlab.zhaw.ch/uploads/image_eb21750f53.jpg</v>
      </c>
      <c r="AJ282" s="2"/>
      <c r="AK282" s="2"/>
      <c r="AL282" s="2"/>
      <c r="AM282" s="2"/>
      <c r="AN282" s="2"/>
    </row>
    <row r="283" spans="1:40" ht="16" x14ac:dyDescent="0.2">
      <c r="A283" s="2" t="s">
        <v>937</v>
      </c>
      <c r="B283" s="46">
        <v>282</v>
      </c>
      <c r="C283" s="2" t="b">
        <v>0</v>
      </c>
      <c r="D283" s="2" t="b">
        <v>0</v>
      </c>
      <c r="E283" s="2" t="b">
        <v>0</v>
      </c>
      <c r="F283" s="2" t="b">
        <v>0</v>
      </c>
      <c r="G283" s="2" t="s">
        <v>31</v>
      </c>
      <c r="H283" s="2" t="s">
        <v>938</v>
      </c>
      <c r="I283" s="2" t="s">
        <v>939</v>
      </c>
      <c r="J283" s="2" t="s">
        <v>940</v>
      </c>
      <c r="K283" s="2" t="s">
        <v>35</v>
      </c>
      <c r="L283" s="2" t="s">
        <v>35</v>
      </c>
      <c r="M283" s="2" t="s">
        <v>35</v>
      </c>
      <c r="N283" s="2" t="s">
        <v>35</v>
      </c>
      <c r="O283" s="11">
        <v>44740.451746446757</v>
      </c>
      <c r="P283" s="11">
        <v>44740.452059050927</v>
      </c>
      <c r="Q283" s="27">
        <f t="shared" si="12"/>
        <v>3.1260417017620057E-4</v>
      </c>
      <c r="R283" s="65">
        <f t="shared" si="14"/>
        <v>3.4479398163966835E-3</v>
      </c>
      <c r="S283" s="2">
        <v>0</v>
      </c>
      <c r="T283" s="2" t="s">
        <v>124</v>
      </c>
      <c r="U283" s="2" t="s">
        <v>125</v>
      </c>
      <c r="V283" s="2" t="s">
        <v>38</v>
      </c>
      <c r="W283" s="2" t="s">
        <v>35</v>
      </c>
      <c r="X283" s="2" t="s">
        <v>35</v>
      </c>
      <c r="Y283" s="2" t="s">
        <v>35</v>
      </c>
      <c r="Z283" s="2" t="b">
        <v>0</v>
      </c>
      <c r="AA283" s="2" t="s">
        <v>35</v>
      </c>
      <c r="AB283" s="2">
        <v>4</v>
      </c>
      <c r="AC283" s="2" t="s">
        <v>35</v>
      </c>
      <c r="AD283" s="2" t="s">
        <v>35</v>
      </c>
      <c r="AE283" s="2" t="s">
        <v>941</v>
      </c>
      <c r="AF283" s="11">
        <v>44740.448611111111</v>
      </c>
      <c r="AG283" s="53"/>
      <c r="AH283" s="53" t="b">
        <f t="shared" si="13"/>
        <v>0</v>
      </c>
      <c r="AI283" s="54" t="str" cm="1">
        <f t="array" ref="AI283">TRANSPOSE(_xlfn._xlws.FILTER(images!L:L,images!F:F=Barrierenmessung!A283, ""))</f>
        <v>https://captureandgo.cloudlab.zhaw.ch/uploads/image_de4088c070.jpg</v>
      </c>
      <c r="AJ283" s="2"/>
      <c r="AK283" s="2"/>
      <c r="AL283" s="2"/>
      <c r="AM283" s="2"/>
      <c r="AN283" s="2"/>
    </row>
    <row r="284" spans="1:40" ht="16" x14ac:dyDescent="0.2">
      <c r="A284" s="2" t="s">
        <v>942</v>
      </c>
      <c r="B284" s="46">
        <v>283</v>
      </c>
      <c r="C284" s="2" t="b">
        <v>0</v>
      </c>
      <c r="D284" s="2" t="b">
        <v>0</v>
      </c>
      <c r="E284" s="2" t="b">
        <v>0</v>
      </c>
      <c r="F284" s="2" t="b">
        <v>0</v>
      </c>
      <c r="G284" s="2" t="s">
        <v>31</v>
      </c>
      <c r="H284" s="2" t="s">
        <v>943</v>
      </c>
      <c r="I284" s="2" t="s">
        <v>944</v>
      </c>
      <c r="J284" s="2" t="s">
        <v>940</v>
      </c>
      <c r="K284" s="2" t="s">
        <v>35</v>
      </c>
      <c r="L284" s="2" t="s">
        <v>35</v>
      </c>
      <c r="M284" s="2" t="s">
        <v>35</v>
      </c>
      <c r="N284" s="2" t="s">
        <v>35</v>
      </c>
      <c r="O284" s="11">
        <v>44740.452408518518</v>
      </c>
      <c r="P284" s="11">
        <v>44740.452614745373</v>
      </c>
      <c r="Q284" s="27">
        <f t="shared" si="12"/>
        <v>2.0622685406124219E-4</v>
      </c>
      <c r="R284" s="65">
        <f t="shared" si="14"/>
        <v>5.5569444521097466E-4</v>
      </c>
      <c r="S284" s="2">
        <v>0</v>
      </c>
      <c r="T284" s="2" t="s">
        <v>124</v>
      </c>
      <c r="U284" s="2" t="s">
        <v>125</v>
      </c>
      <c r="V284" s="2" t="s">
        <v>38</v>
      </c>
      <c r="W284" s="2" t="s">
        <v>35</v>
      </c>
      <c r="X284" s="2" t="s">
        <v>35</v>
      </c>
      <c r="Y284" s="2" t="s">
        <v>35</v>
      </c>
      <c r="Z284" s="2" t="b">
        <v>0</v>
      </c>
      <c r="AA284" s="2" t="s">
        <v>35</v>
      </c>
      <c r="AB284" s="2">
        <v>4</v>
      </c>
      <c r="AC284" s="2" t="s">
        <v>35</v>
      </c>
      <c r="AD284" s="2" t="s">
        <v>35</v>
      </c>
      <c r="AE284" s="2" t="s">
        <v>941</v>
      </c>
      <c r="AF284" s="11">
        <v>44740.448611111111</v>
      </c>
      <c r="AG284" s="53"/>
      <c r="AH284" s="53" t="b">
        <f t="shared" si="13"/>
        <v>0</v>
      </c>
      <c r="AI284" s="54" t="str" cm="1">
        <f t="array" ref="AI284">TRANSPOSE(_xlfn._xlws.FILTER(images!L:L,images!F:F=Barrierenmessung!A284, ""))</f>
        <v>https://captureandgo.cloudlab.zhaw.ch/uploads/image_2419a4b7dd.jpg</v>
      </c>
      <c r="AJ284" s="2"/>
      <c r="AK284" s="2"/>
      <c r="AL284" s="2"/>
      <c r="AM284" s="2"/>
      <c r="AN284" s="2"/>
    </row>
    <row r="285" spans="1:40" ht="16" x14ac:dyDescent="0.2">
      <c r="A285" s="2" t="s">
        <v>945</v>
      </c>
      <c r="B285" s="46">
        <v>284</v>
      </c>
      <c r="C285" s="2" t="b">
        <v>0</v>
      </c>
      <c r="D285" s="2" t="b">
        <v>0</v>
      </c>
      <c r="E285" s="2" t="b">
        <v>0</v>
      </c>
      <c r="F285" s="2" t="b">
        <v>0</v>
      </c>
      <c r="G285" s="2" t="s">
        <v>31</v>
      </c>
      <c r="H285" s="2" t="s">
        <v>946</v>
      </c>
      <c r="I285" s="2" t="s">
        <v>947</v>
      </c>
      <c r="J285" s="2" t="s">
        <v>940</v>
      </c>
      <c r="K285" s="2" t="s">
        <v>35</v>
      </c>
      <c r="L285" s="2" t="s">
        <v>35</v>
      </c>
      <c r="M285" s="2" t="s">
        <v>35</v>
      </c>
      <c r="N285" s="2" t="s">
        <v>35</v>
      </c>
      <c r="O285" s="11">
        <v>44740.452987048608</v>
      </c>
      <c r="P285" s="11">
        <v>44740.453242384261</v>
      </c>
      <c r="Q285" s="27">
        <f t="shared" si="12"/>
        <v>2.5533565349178389E-4</v>
      </c>
      <c r="R285" s="65">
        <f t="shared" si="14"/>
        <v>6.2763888854533434E-4</v>
      </c>
      <c r="S285" s="2">
        <v>0</v>
      </c>
      <c r="T285" s="2" t="s">
        <v>124</v>
      </c>
      <c r="U285" s="2" t="s">
        <v>125</v>
      </c>
      <c r="V285" s="2" t="s">
        <v>38</v>
      </c>
      <c r="W285" s="2" t="s">
        <v>35</v>
      </c>
      <c r="X285" s="2" t="s">
        <v>35</v>
      </c>
      <c r="Y285" s="2" t="s">
        <v>35</v>
      </c>
      <c r="Z285" s="2" t="b">
        <v>0</v>
      </c>
      <c r="AA285" s="2" t="s">
        <v>35</v>
      </c>
      <c r="AB285" s="2">
        <v>4</v>
      </c>
      <c r="AC285" s="2" t="s">
        <v>35</v>
      </c>
      <c r="AD285" s="2" t="s">
        <v>35</v>
      </c>
      <c r="AE285" s="2" t="s">
        <v>941</v>
      </c>
      <c r="AF285" s="11">
        <v>44740.448611053238</v>
      </c>
      <c r="AG285" s="53"/>
      <c r="AH285" s="53" t="b">
        <f t="shared" si="13"/>
        <v>0</v>
      </c>
      <c r="AI285" s="54" t="str" cm="1">
        <f t="array" ref="AI285">TRANSPOSE(_xlfn._xlws.FILTER(images!L:L,images!F:F=Barrierenmessung!A285, ""))</f>
        <v>https://captureandgo.cloudlab.zhaw.ch/uploads/image_2a106c4a27.jpg</v>
      </c>
      <c r="AJ285" s="2"/>
      <c r="AK285" s="2"/>
      <c r="AL285" s="2"/>
      <c r="AM285" s="2"/>
      <c r="AN285" s="2"/>
    </row>
    <row r="286" spans="1:40" ht="16" x14ac:dyDescent="0.2">
      <c r="A286" s="2" t="s">
        <v>948</v>
      </c>
      <c r="B286" s="46">
        <v>285</v>
      </c>
      <c r="C286" s="2" t="b">
        <v>0</v>
      </c>
      <c r="D286" s="2" t="b">
        <v>0</v>
      </c>
      <c r="E286" s="2" t="b">
        <v>0</v>
      </c>
      <c r="F286" s="2" t="b">
        <v>0</v>
      </c>
      <c r="G286" s="2" t="s">
        <v>31</v>
      </c>
      <c r="H286" s="2" t="s">
        <v>949</v>
      </c>
      <c r="I286" s="2" t="s">
        <v>950</v>
      </c>
      <c r="J286" s="2" t="s">
        <v>940</v>
      </c>
      <c r="K286" s="2" t="s">
        <v>35</v>
      </c>
      <c r="L286" s="2" t="s">
        <v>35</v>
      </c>
      <c r="M286" s="2" t="s">
        <v>35</v>
      </c>
      <c r="N286" s="2" t="s">
        <v>35</v>
      </c>
      <c r="O286" s="11">
        <v>44740.454233101853</v>
      </c>
      <c r="P286" s="11">
        <v>44740.454411990744</v>
      </c>
      <c r="Q286" s="27">
        <f t="shared" si="12"/>
        <v>1.7888889124151319E-4</v>
      </c>
      <c r="R286" s="65">
        <f t="shared" si="14"/>
        <v>1.1696064830175601E-3</v>
      </c>
      <c r="S286" s="2">
        <v>0</v>
      </c>
      <c r="T286" s="2" t="s">
        <v>124</v>
      </c>
      <c r="U286" s="2" t="s">
        <v>125</v>
      </c>
      <c r="V286" s="2" t="s">
        <v>38</v>
      </c>
      <c r="W286" s="2" t="s">
        <v>35</v>
      </c>
      <c r="X286" s="2" t="s">
        <v>35</v>
      </c>
      <c r="Y286" s="2" t="s">
        <v>35</v>
      </c>
      <c r="Z286" s="2" t="b">
        <v>0</v>
      </c>
      <c r="AA286" s="2" t="s">
        <v>35</v>
      </c>
      <c r="AB286" s="2">
        <v>4</v>
      </c>
      <c r="AC286" s="2" t="s">
        <v>35</v>
      </c>
      <c r="AD286" s="2" t="s">
        <v>35</v>
      </c>
      <c r="AE286" s="2" t="s">
        <v>941</v>
      </c>
      <c r="AF286" s="11">
        <v>44740.448611053238</v>
      </c>
      <c r="AG286" s="53"/>
      <c r="AH286" s="53" t="b">
        <f t="shared" si="13"/>
        <v>0</v>
      </c>
      <c r="AI286" s="54" t="str" cm="1">
        <f t="array" ref="AI286">TRANSPOSE(_xlfn._xlws.FILTER(images!L:L,images!F:F=Barrierenmessung!A286, ""))</f>
        <v>https://captureandgo.cloudlab.zhaw.ch/uploads/image_f6880c3506.jpg</v>
      </c>
      <c r="AJ286" s="2"/>
      <c r="AK286" s="2"/>
      <c r="AL286" s="2"/>
      <c r="AM286" s="2"/>
      <c r="AN286" s="2"/>
    </row>
    <row r="287" spans="1:40" x14ac:dyDescent="0.2">
      <c r="A287" s="68" t="s">
        <v>951</v>
      </c>
      <c r="B287" s="68">
        <v>286</v>
      </c>
      <c r="C287" s="68" t="b">
        <v>0</v>
      </c>
      <c r="D287" s="68" t="b">
        <v>0</v>
      </c>
      <c r="E287" s="68" t="b">
        <v>0</v>
      </c>
      <c r="F287" s="68" t="b">
        <v>0</v>
      </c>
      <c r="G287" s="68" t="s">
        <v>31</v>
      </c>
      <c r="H287" s="68" t="s">
        <v>149</v>
      </c>
      <c r="I287" s="68" t="s">
        <v>952</v>
      </c>
      <c r="J287" s="68" t="s">
        <v>940</v>
      </c>
      <c r="K287" s="68" t="s">
        <v>35</v>
      </c>
      <c r="L287" s="68" t="s">
        <v>35</v>
      </c>
      <c r="M287" s="68" t="s">
        <v>35</v>
      </c>
      <c r="N287" s="68" t="s">
        <v>35</v>
      </c>
      <c r="O287" s="69">
        <v>44740.454495787038</v>
      </c>
      <c r="P287" s="69">
        <v>44740.454676655092</v>
      </c>
      <c r="Q287" s="70">
        <f t="shared" si="12"/>
        <v>1.8086805357597768E-4</v>
      </c>
      <c r="R287" s="70">
        <f t="shared" si="14"/>
        <v>2.6466434792382643E-4</v>
      </c>
      <c r="S287" s="68">
        <v>0</v>
      </c>
      <c r="T287" s="68" t="s">
        <v>124</v>
      </c>
      <c r="U287" s="68" t="s">
        <v>125</v>
      </c>
      <c r="V287" s="68" t="s">
        <v>38</v>
      </c>
      <c r="W287" s="68" t="s">
        <v>35</v>
      </c>
      <c r="X287" s="68" t="s">
        <v>35</v>
      </c>
      <c r="Y287" s="68" t="s">
        <v>35</v>
      </c>
      <c r="Z287" s="68" t="b">
        <v>0</v>
      </c>
      <c r="AA287" s="68" t="s">
        <v>35</v>
      </c>
      <c r="AB287" s="68">
        <v>4</v>
      </c>
      <c r="AC287" s="68" t="s">
        <v>35</v>
      </c>
      <c r="AD287" s="68" t="s">
        <v>35</v>
      </c>
      <c r="AE287" s="68" t="s">
        <v>941</v>
      </c>
      <c r="AF287" s="69">
        <v>44740.448611053238</v>
      </c>
      <c r="AG287" s="71"/>
      <c r="AH287" s="71" t="b">
        <f t="shared" si="13"/>
        <v>0</v>
      </c>
      <c r="AI287" s="56"/>
      <c r="AJ287" s="68"/>
      <c r="AK287" s="68"/>
      <c r="AL287" s="68"/>
      <c r="AM287" s="68"/>
      <c r="AN287" s="68"/>
    </row>
    <row r="288" spans="1:40" ht="16" x14ac:dyDescent="0.2">
      <c r="A288" s="2" t="s">
        <v>953</v>
      </c>
      <c r="B288" s="46">
        <v>287</v>
      </c>
      <c r="C288" s="2" t="b">
        <v>0</v>
      </c>
      <c r="D288" s="2" t="b">
        <v>0</v>
      </c>
      <c r="E288" s="2" t="b">
        <v>0</v>
      </c>
      <c r="F288" s="2" t="b">
        <v>0</v>
      </c>
      <c r="G288" s="2" t="s">
        <v>31</v>
      </c>
      <c r="H288" s="2" t="s">
        <v>954</v>
      </c>
      <c r="I288" s="2" t="s">
        <v>955</v>
      </c>
      <c r="J288" s="2" t="s">
        <v>956</v>
      </c>
      <c r="K288" s="2" t="s">
        <v>35</v>
      </c>
      <c r="L288" s="2" t="s">
        <v>35</v>
      </c>
      <c r="M288" s="2" t="s">
        <v>35</v>
      </c>
      <c r="N288" s="2" t="s">
        <v>35</v>
      </c>
      <c r="O288" s="11">
        <v>44740.455151423608</v>
      </c>
      <c r="P288" s="11">
        <v>44740.455473506947</v>
      </c>
      <c r="Q288" s="27">
        <f t="shared" si="12"/>
        <v>3.2208333868766204E-4</v>
      </c>
      <c r="R288" s="65">
        <f t="shared" si="14"/>
        <v>7.9685185482958332E-4</v>
      </c>
      <c r="S288" s="2">
        <v>0</v>
      </c>
      <c r="T288" s="2" t="s">
        <v>124</v>
      </c>
      <c r="U288" s="2" t="s">
        <v>125</v>
      </c>
      <c r="V288" s="2" t="s">
        <v>38</v>
      </c>
      <c r="W288" s="2" t="s">
        <v>35</v>
      </c>
      <c r="X288" s="2" t="s">
        <v>35</v>
      </c>
      <c r="Y288" s="2" t="s">
        <v>35</v>
      </c>
      <c r="Z288" s="2" t="b">
        <v>0</v>
      </c>
      <c r="AA288" s="2" t="s">
        <v>35</v>
      </c>
      <c r="AB288" s="2">
        <v>4</v>
      </c>
      <c r="AC288" s="2" t="s">
        <v>35</v>
      </c>
      <c r="AD288" s="2" t="s">
        <v>35</v>
      </c>
      <c r="AE288" s="2" t="s">
        <v>941</v>
      </c>
      <c r="AF288" s="11">
        <v>44740.448611053238</v>
      </c>
      <c r="AG288" s="53"/>
      <c r="AH288" s="53" t="b">
        <f t="shared" si="13"/>
        <v>0</v>
      </c>
      <c r="AI288" s="54" t="str" cm="1">
        <f t="array" ref="AI288">TRANSPOSE(_xlfn._xlws.FILTER(images!L:L,images!F:F=Barrierenmessung!A288, ""))</f>
        <v>https://captureandgo.cloudlab.zhaw.ch/uploads/image_ecd1d14fb7.jpg</v>
      </c>
      <c r="AJ288" s="2"/>
      <c r="AK288" s="2"/>
      <c r="AL288" s="2"/>
      <c r="AM288" s="2"/>
      <c r="AN288" s="2"/>
    </row>
    <row r="289" spans="1:40" ht="16" x14ac:dyDescent="0.2">
      <c r="A289" s="2" t="s">
        <v>957</v>
      </c>
      <c r="B289" s="46">
        <v>288</v>
      </c>
      <c r="C289" s="2" t="b">
        <v>0</v>
      </c>
      <c r="D289" s="2" t="b">
        <v>0</v>
      </c>
      <c r="E289" s="2" t="b">
        <v>0</v>
      </c>
      <c r="F289" s="2" t="b">
        <v>0</v>
      </c>
      <c r="G289" s="2" t="s">
        <v>31</v>
      </c>
      <c r="H289" s="2" t="s">
        <v>958</v>
      </c>
      <c r="I289" s="2" t="s">
        <v>959</v>
      </c>
      <c r="J289" s="2" t="s">
        <v>940</v>
      </c>
      <c r="K289" s="2" t="s">
        <v>35</v>
      </c>
      <c r="L289" s="2" t="s">
        <v>35</v>
      </c>
      <c r="M289" s="2" t="s">
        <v>35</v>
      </c>
      <c r="N289" s="2" t="s">
        <v>35</v>
      </c>
      <c r="O289" s="11">
        <v>44740.455632129633</v>
      </c>
      <c r="P289" s="11">
        <v>44740.455861203707</v>
      </c>
      <c r="Q289" s="27">
        <f t="shared" si="12"/>
        <v>2.2907407401362434E-4</v>
      </c>
      <c r="R289" s="65">
        <f t="shared" si="14"/>
        <v>3.876967602991499E-4</v>
      </c>
      <c r="S289" s="2">
        <v>0</v>
      </c>
      <c r="T289" s="2" t="s">
        <v>124</v>
      </c>
      <c r="U289" s="2" t="s">
        <v>125</v>
      </c>
      <c r="V289" s="2" t="s">
        <v>38</v>
      </c>
      <c r="W289" s="2" t="s">
        <v>35</v>
      </c>
      <c r="X289" s="2" t="s">
        <v>35</v>
      </c>
      <c r="Y289" s="2" t="s">
        <v>35</v>
      </c>
      <c r="Z289" s="2" t="b">
        <v>0</v>
      </c>
      <c r="AA289" s="2" t="s">
        <v>35</v>
      </c>
      <c r="AB289" s="2">
        <v>4</v>
      </c>
      <c r="AC289" s="2" t="s">
        <v>35</v>
      </c>
      <c r="AD289" s="2" t="s">
        <v>35</v>
      </c>
      <c r="AE289" s="2" t="s">
        <v>941</v>
      </c>
      <c r="AF289" s="11">
        <v>44740.448611053238</v>
      </c>
      <c r="AG289" s="53"/>
      <c r="AH289" s="53" t="b">
        <f t="shared" si="13"/>
        <v>0</v>
      </c>
      <c r="AI289" s="54" t="str" cm="1">
        <f t="array" ref="AI289">TRANSPOSE(_xlfn._xlws.FILTER(images!L:L,images!F:F=Barrierenmessung!A289, ""))</f>
        <v>https://captureandgo.cloudlab.zhaw.ch/uploads/image_38db06de9a.jpg</v>
      </c>
      <c r="AJ289" s="2"/>
      <c r="AK289" s="2"/>
      <c r="AL289" s="2"/>
      <c r="AM289" s="2"/>
      <c r="AN289" s="2"/>
    </row>
    <row r="290" spans="1:40" ht="16" x14ac:dyDescent="0.2">
      <c r="A290" s="2" t="s">
        <v>960</v>
      </c>
      <c r="B290" s="46">
        <v>289</v>
      </c>
      <c r="C290" s="2" t="b">
        <v>0</v>
      </c>
      <c r="D290" s="2" t="b">
        <v>0</v>
      </c>
      <c r="E290" s="2" t="b">
        <v>0</v>
      </c>
      <c r="F290" s="2" t="b">
        <v>0</v>
      </c>
      <c r="G290" s="2" t="s">
        <v>31</v>
      </c>
      <c r="H290" s="2" t="s">
        <v>961</v>
      </c>
      <c r="I290" s="2" t="s">
        <v>962</v>
      </c>
      <c r="J290" s="2" t="s">
        <v>940</v>
      </c>
      <c r="K290" s="2" t="s">
        <v>35</v>
      </c>
      <c r="L290" s="2" t="s">
        <v>35</v>
      </c>
      <c r="M290" s="2" t="s">
        <v>35</v>
      </c>
      <c r="N290" s="2" t="s">
        <v>35</v>
      </c>
      <c r="O290" s="11">
        <v>44740.456147719909</v>
      </c>
      <c r="P290" s="11">
        <v>44740.456453472223</v>
      </c>
      <c r="Q290" s="27">
        <f t="shared" si="12"/>
        <v>3.0575231357943267E-4</v>
      </c>
      <c r="R290" s="65">
        <f t="shared" si="14"/>
        <v>5.9226851590210572E-4</v>
      </c>
      <c r="S290" s="2">
        <v>0</v>
      </c>
      <c r="T290" s="2" t="s">
        <v>124</v>
      </c>
      <c r="U290" s="2" t="s">
        <v>125</v>
      </c>
      <c r="V290" s="2" t="s">
        <v>38</v>
      </c>
      <c r="W290" s="2" t="s">
        <v>35</v>
      </c>
      <c r="X290" s="2" t="s">
        <v>35</v>
      </c>
      <c r="Y290" s="2" t="s">
        <v>35</v>
      </c>
      <c r="Z290" s="2" t="b">
        <v>0</v>
      </c>
      <c r="AA290" s="2" t="s">
        <v>35</v>
      </c>
      <c r="AB290" s="2">
        <v>4</v>
      </c>
      <c r="AC290" s="2" t="s">
        <v>35</v>
      </c>
      <c r="AD290" s="2" t="s">
        <v>35</v>
      </c>
      <c r="AE290" s="2" t="s">
        <v>941</v>
      </c>
      <c r="AF290" s="11">
        <v>44740.448611053238</v>
      </c>
      <c r="AG290" s="53"/>
      <c r="AH290" s="53" t="b">
        <f t="shared" si="13"/>
        <v>0</v>
      </c>
      <c r="AI290" s="54" t="str" cm="1">
        <f t="array" ref="AI290">TRANSPOSE(_xlfn._xlws.FILTER(images!L:L,images!F:F=Barrierenmessung!A290, ""))</f>
        <v>https://captureandgo.cloudlab.zhaw.ch/uploads/image_b19958e9f3.jpg</v>
      </c>
      <c r="AJ290" s="2"/>
      <c r="AK290" s="2"/>
      <c r="AL290" s="2"/>
      <c r="AM290" s="2"/>
      <c r="AN290" s="2"/>
    </row>
    <row r="291" spans="1:40" ht="16" x14ac:dyDescent="0.2">
      <c r="A291" s="2" t="s">
        <v>963</v>
      </c>
      <c r="B291" s="46">
        <v>290</v>
      </c>
      <c r="C291" s="2" t="b">
        <v>0</v>
      </c>
      <c r="D291" s="2" t="b">
        <v>0</v>
      </c>
      <c r="E291" s="2" t="b">
        <v>0</v>
      </c>
      <c r="F291" s="2" t="b">
        <v>0</v>
      </c>
      <c r="G291" s="2" t="s">
        <v>31</v>
      </c>
      <c r="H291" s="2" t="s">
        <v>964</v>
      </c>
      <c r="I291" s="2" t="s">
        <v>965</v>
      </c>
      <c r="J291" s="2" t="s">
        <v>35</v>
      </c>
      <c r="K291" s="2" t="s">
        <v>35</v>
      </c>
      <c r="L291" s="2" t="s">
        <v>35</v>
      </c>
      <c r="M291" s="2" t="s">
        <v>35</v>
      </c>
      <c r="N291" s="2" t="s">
        <v>35</v>
      </c>
      <c r="O291" s="11">
        <v>44740.459044907409</v>
      </c>
      <c r="P291" s="11">
        <v>44740.459317731482</v>
      </c>
      <c r="Q291" s="27">
        <f t="shared" si="12"/>
        <v>2.7282407245365903E-4</v>
      </c>
      <c r="R291" s="65">
        <f t="shared" si="14"/>
        <v>2.8642592587857507E-3</v>
      </c>
      <c r="S291" s="2">
        <v>0</v>
      </c>
      <c r="T291" s="2" t="s">
        <v>36</v>
      </c>
      <c r="U291" s="2" t="s">
        <v>37</v>
      </c>
      <c r="V291" s="2" t="s">
        <v>38</v>
      </c>
      <c r="W291" s="2" t="s">
        <v>35</v>
      </c>
      <c r="X291" s="2" t="s">
        <v>35</v>
      </c>
      <c r="Y291" s="2" t="s">
        <v>35</v>
      </c>
      <c r="Z291" s="2" t="b">
        <v>0</v>
      </c>
      <c r="AA291" s="2" t="s">
        <v>35</v>
      </c>
      <c r="AB291" s="2" t="s">
        <v>35</v>
      </c>
      <c r="AC291" s="2" t="s">
        <v>35</v>
      </c>
      <c r="AD291" s="2">
        <v>2</v>
      </c>
      <c r="AE291" s="2" t="s">
        <v>941</v>
      </c>
      <c r="AF291" s="11">
        <v>44740.448611053238</v>
      </c>
      <c r="AG291" s="53"/>
      <c r="AH291" s="53" t="b">
        <f t="shared" si="13"/>
        <v>0</v>
      </c>
      <c r="AI291" s="54" t="str" cm="1">
        <f t="array" ref="AI291">TRANSPOSE(_xlfn._xlws.FILTER(images!L:L,images!F:F=Barrierenmessung!A291, ""))</f>
        <v>https://captureandgo.cloudlab.zhaw.ch/uploads/image_1d9eb9d2e9.jpg</v>
      </c>
      <c r="AJ291" s="2"/>
      <c r="AK291" s="2"/>
      <c r="AL291" s="2"/>
      <c r="AM291" s="2"/>
      <c r="AN291" s="2"/>
    </row>
    <row r="292" spans="1:40" ht="16" x14ac:dyDescent="0.2">
      <c r="A292" s="2" t="s">
        <v>966</v>
      </c>
      <c r="B292" s="46">
        <v>291</v>
      </c>
      <c r="C292" s="2" t="b">
        <v>0</v>
      </c>
      <c r="D292" s="2" t="b">
        <v>0</v>
      </c>
      <c r="E292" s="2" t="b">
        <v>0</v>
      </c>
      <c r="F292" s="2" t="b">
        <v>0</v>
      </c>
      <c r="G292" s="2" t="s">
        <v>31</v>
      </c>
      <c r="H292" s="2" t="s">
        <v>967</v>
      </c>
      <c r="I292" s="2" t="s">
        <v>968</v>
      </c>
      <c r="J292" s="2" t="s">
        <v>969</v>
      </c>
      <c r="K292" s="2" t="s">
        <v>35</v>
      </c>
      <c r="L292" s="2" t="s">
        <v>35</v>
      </c>
      <c r="M292" s="2" t="s">
        <v>35</v>
      </c>
      <c r="N292" s="2" t="s">
        <v>35</v>
      </c>
      <c r="O292" s="11">
        <v>44740.459686782408</v>
      </c>
      <c r="P292" s="11">
        <v>44740.460035555552</v>
      </c>
      <c r="Q292" s="27">
        <f t="shared" si="12"/>
        <v>3.4877314465120435E-4</v>
      </c>
      <c r="R292" s="65">
        <f t="shared" si="14"/>
        <v>7.1782407030696049E-4</v>
      </c>
      <c r="S292" s="2">
        <v>0</v>
      </c>
      <c r="T292" s="2" t="s">
        <v>124</v>
      </c>
      <c r="U292" s="2" t="s">
        <v>125</v>
      </c>
      <c r="V292" s="2" t="s">
        <v>38</v>
      </c>
      <c r="W292" s="2" t="s">
        <v>35</v>
      </c>
      <c r="X292" s="2" t="s">
        <v>35</v>
      </c>
      <c r="Y292" s="2" t="s">
        <v>35</v>
      </c>
      <c r="Z292" s="2" t="b">
        <v>0</v>
      </c>
      <c r="AA292" s="2" t="s">
        <v>35</v>
      </c>
      <c r="AB292" s="2">
        <v>4</v>
      </c>
      <c r="AC292" s="2" t="s">
        <v>35</v>
      </c>
      <c r="AD292" s="2" t="s">
        <v>35</v>
      </c>
      <c r="AE292" s="2" t="s">
        <v>941</v>
      </c>
      <c r="AF292" s="11">
        <v>44740.448611053238</v>
      </c>
      <c r="AG292" s="53"/>
      <c r="AH292" s="53" t="b">
        <f t="shared" si="13"/>
        <v>0</v>
      </c>
      <c r="AI292" s="54" t="str" cm="1">
        <f t="array" ref="AI292">TRANSPOSE(_xlfn._xlws.FILTER(images!L:L,images!F:F=Barrierenmessung!A292, ""))</f>
        <v>https://captureandgo.cloudlab.zhaw.ch/uploads/image_f8fffbf238.jpg</v>
      </c>
      <c r="AJ292" s="2"/>
      <c r="AK292" s="2"/>
      <c r="AL292" s="2"/>
      <c r="AM292" s="2"/>
      <c r="AN292" s="2"/>
    </row>
    <row r="293" spans="1:40" ht="16" x14ac:dyDescent="0.2">
      <c r="A293" s="2" t="s">
        <v>970</v>
      </c>
      <c r="B293" s="46">
        <v>292</v>
      </c>
      <c r="C293" s="2" t="b">
        <v>0</v>
      </c>
      <c r="D293" s="2" t="b">
        <v>0</v>
      </c>
      <c r="E293" s="2" t="b">
        <v>0</v>
      </c>
      <c r="F293" s="2" t="b">
        <v>0</v>
      </c>
      <c r="G293" s="2" t="s">
        <v>31</v>
      </c>
      <c r="H293" s="2" t="s">
        <v>971</v>
      </c>
      <c r="I293" s="2" t="s">
        <v>972</v>
      </c>
      <c r="J293" s="2" t="s">
        <v>940</v>
      </c>
      <c r="K293" s="2" t="s">
        <v>35</v>
      </c>
      <c r="L293" s="2" t="s">
        <v>35</v>
      </c>
      <c r="M293" s="2" t="s">
        <v>35</v>
      </c>
      <c r="N293" s="2" t="s">
        <v>35</v>
      </c>
      <c r="O293" s="11">
        <v>44740.460553888886</v>
      </c>
      <c r="P293" s="11">
        <v>44740.460740671297</v>
      </c>
      <c r="Q293" s="27">
        <f t="shared" si="12"/>
        <v>1.8678241031011567E-4</v>
      </c>
      <c r="R293" s="65">
        <f t="shared" si="14"/>
        <v>7.0511574449483305E-4</v>
      </c>
      <c r="S293" s="2">
        <v>0</v>
      </c>
      <c r="T293" s="2" t="s">
        <v>124</v>
      </c>
      <c r="U293" s="2" t="s">
        <v>125</v>
      </c>
      <c r="V293" s="2" t="s">
        <v>38</v>
      </c>
      <c r="W293" s="2" t="s">
        <v>35</v>
      </c>
      <c r="X293" s="2" t="s">
        <v>35</v>
      </c>
      <c r="Y293" s="2" t="s">
        <v>35</v>
      </c>
      <c r="Z293" s="2" t="b">
        <v>0</v>
      </c>
      <c r="AA293" s="2" t="s">
        <v>35</v>
      </c>
      <c r="AB293" s="2">
        <v>4</v>
      </c>
      <c r="AC293" s="2" t="s">
        <v>35</v>
      </c>
      <c r="AD293" s="2" t="s">
        <v>35</v>
      </c>
      <c r="AE293" s="2" t="s">
        <v>941</v>
      </c>
      <c r="AF293" s="11">
        <v>44740.448611053238</v>
      </c>
      <c r="AG293" s="53"/>
      <c r="AH293" s="53" t="b">
        <f t="shared" si="13"/>
        <v>0</v>
      </c>
      <c r="AI293" s="54" t="str" cm="1">
        <f t="array" ref="AI293">TRANSPOSE(_xlfn._xlws.FILTER(images!L:L,images!F:F=Barrierenmessung!A293, ""))</f>
        <v>https://captureandgo.cloudlab.zhaw.ch/uploads/image_d5ca00fde4.jpg</v>
      </c>
      <c r="AJ293" s="2"/>
      <c r="AK293" s="2"/>
      <c r="AL293" s="2"/>
      <c r="AM293" s="2"/>
      <c r="AN293" s="2"/>
    </row>
    <row r="294" spans="1:40" ht="16" x14ac:dyDescent="0.2">
      <c r="A294" s="2" t="s">
        <v>973</v>
      </c>
      <c r="B294" s="46">
        <v>293</v>
      </c>
      <c r="C294" s="2" t="b">
        <v>0</v>
      </c>
      <c r="D294" s="2" t="b">
        <v>0</v>
      </c>
      <c r="E294" s="2" t="b">
        <v>0</v>
      </c>
      <c r="F294" s="2" t="b">
        <v>0</v>
      </c>
      <c r="G294" s="2" t="s">
        <v>31</v>
      </c>
      <c r="H294" s="2" t="s">
        <v>974</v>
      </c>
      <c r="I294" s="2" t="s">
        <v>975</v>
      </c>
      <c r="J294" s="2" t="s">
        <v>35</v>
      </c>
      <c r="K294" s="2" t="s">
        <v>35</v>
      </c>
      <c r="L294" s="2" t="s">
        <v>35</v>
      </c>
      <c r="M294" s="2">
        <v>25</v>
      </c>
      <c r="N294" s="2">
        <v>16</v>
      </c>
      <c r="O294" s="11">
        <v>44740.462459942129</v>
      </c>
      <c r="P294" s="11">
        <v>44740.46523021991</v>
      </c>
      <c r="Q294" s="27">
        <f t="shared" si="12"/>
        <v>2.7702777806553058E-3</v>
      </c>
      <c r="R294" s="65">
        <f t="shared" si="14"/>
        <v>4.4895486134919338E-3</v>
      </c>
      <c r="S294" s="2">
        <v>0</v>
      </c>
      <c r="T294" s="2" t="s">
        <v>54</v>
      </c>
      <c r="U294" s="2" t="s">
        <v>55</v>
      </c>
      <c r="V294" s="2" t="s">
        <v>38</v>
      </c>
      <c r="W294" s="2" t="s">
        <v>35</v>
      </c>
      <c r="X294" s="2" t="s">
        <v>35</v>
      </c>
      <c r="Y294" s="2" t="s">
        <v>35</v>
      </c>
      <c r="Z294" s="2" t="b">
        <v>0</v>
      </c>
      <c r="AA294" s="2" t="s">
        <v>35</v>
      </c>
      <c r="AB294" s="2" t="s">
        <v>35</v>
      </c>
      <c r="AC294" s="2" t="s">
        <v>35</v>
      </c>
      <c r="AD294" s="2" t="s">
        <v>35</v>
      </c>
      <c r="AE294" s="2" t="s">
        <v>941</v>
      </c>
      <c r="AF294" s="11">
        <v>44740.448611053238</v>
      </c>
      <c r="AG294" s="53"/>
      <c r="AH294" s="53" t="b">
        <f t="shared" si="13"/>
        <v>0</v>
      </c>
      <c r="AI294" s="54" t="str" cm="1">
        <f t="array" ref="AI294">TRANSPOSE(_xlfn._xlws.FILTER(images!L:L,images!F:F=Barrierenmessung!A294, ""))</f>
        <v>https://captureandgo.cloudlab.zhaw.ch/uploads/image_3704a418d9.jpg</v>
      </c>
      <c r="AJ294" s="2"/>
      <c r="AK294" s="2"/>
      <c r="AL294" s="2"/>
      <c r="AM294" s="2"/>
      <c r="AN294" s="2"/>
    </row>
    <row r="295" spans="1:40" ht="16" x14ac:dyDescent="0.2">
      <c r="A295" s="2" t="s">
        <v>976</v>
      </c>
      <c r="B295" s="46">
        <v>294</v>
      </c>
      <c r="C295" s="2" t="b">
        <v>0</v>
      </c>
      <c r="D295" s="2" t="b">
        <v>0</v>
      </c>
      <c r="E295" s="2" t="b">
        <v>0</v>
      </c>
      <c r="F295" s="2" t="b">
        <v>0</v>
      </c>
      <c r="G295" s="2" t="s">
        <v>121</v>
      </c>
      <c r="H295" s="2" t="s">
        <v>977</v>
      </c>
      <c r="I295" s="2" t="s">
        <v>978</v>
      </c>
      <c r="J295" s="2" t="s">
        <v>119</v>
      </c>
      <c r="K295" s="2" t="s">
        <v>35</v>
      </c>
      <c r="L295" s="2" t="s">
        <v>35</v>
      </c>
      <c r="M295" s="2" t="s">
        <v>35</v>
      </c>
      <c r="N295" s="2" t="s">
        <v>35</v>
      </c>
      <c r="O295" s="11">
        <v>44740.46527883102</v>
      </c>
      <c r="P295" s="11">
        <v>44740.465843252314</v>
      </c>
      <c r="Q295" s="27">
        <f t="shared" si="12"/>
        <v>5.6442129425704479E-4</v>
      </c>
      <c r="R295" s="65">
        <f t="shared" si="14"/>
        <v>6.1303240363486111E-4</v>
      </c>
      <c r="S295" s="2">
        <v>0</v>
      </c>
      <c r="T295" s="2" t="s">
        <v>109</v>
      </c>
      <c r="U295" s="2" t="s">
        <v>110</v>
      </c>
      <c r="V295" s="2" t="s">
        <v>38</v>
      </c>
      <c r="W295" s="2" t="s">
        <v>35</v>
      </c>
      <c r="X295" s="2">
        <v>0</v>
      </c>
      <c r="Y295" s="2" t="s">
        <v>979</v>
      </c>
      <c r="Z295" s="2" t="b">
        <v>0</v>
      </c>
      <c r="AA295" s="2" t="s">
        <v>35</v>
      </c>
      <c r="AB295" s="2" t="s">
        <v>35</v>
      </c>
      <c r="AC295" s="2" t="s">
        <v>35</v>
      </c>
      <c r="AD295" s="2" t="s">
        <v>35</v>
      </c>
      <c r="AE295" s="2" t="s">
        <v>941</v>
      </c>
      <c r="AF295" s="11">
        <v>44740.448611053238</v>
      </c>
      <c r="AG295" s="53"/>
      <c r="AH295" s="53" t="b">
        <f t="shared" si="13"/>
        <v>0</v>
      </c>
      <c r="AI295" s="54" t="str" cm="1">
        <f t="array" ref="AI295">TRANSPOSE(_xlfn._xlws.FILTER(images!L:L,images!F:F=Barrierenmessung!A295, ""))</f>
        <v>https://captureandgo.cloudlab.zhaw.ch/uploads/image_830ddda15c.jpg</v>
      </c>
      <c r="AJ295" s="2"/>
      <c r="AK295" s="2"/>
      <c r="AL295" s="2"/>
      <c r="AM295" s="2"/>
      <c r="AN295" s="2"/>
    </row>
    <row r="296" spans="1:40" ht="16" x14ac:dyDescent="0.2">
      <c r="A296" s="2" t="s">
        <v>980</v>
      </c>
      <c r="B296" s="46">
        <v>295</v>
      </c>
      <c r="C296" s="2" t="b">
        <v>0</v>
      </c>
      <c r="D296" s="2" t="b">
        <v>0</v>
      </c>
      <c r="E296" s="2" t="b">
        <v>0</v>
      </c>
      <c r="F296" s="2" t="b">
        <v>0</v>
      </c>
      <c r="G296" s="2" t="s">
        <v>31</v>
      </c>
      <c r="H296" s="2" t="s">
        <v>981</v>
      </c>
      <c r="I296" s="2" t="s">
        <v>982</v>
      </c>
      <c r="J296" s="2" t="s">
        <v>35</v>
      </c>
      <c r="K296" s="2" t="s">
        <v>35</v>
      </c>
      <c r="L296" s="2" t="s">
        <v>35</v>
      </c>
      <c r="M296" s="2" t="s">
        <v>35</v>
      </c>
      <c r="N296" s="2" t="s">
        <v>35</v>
      </c>
      <c r="O296" s="11">
        <v>44740.468285625</v>
      </c>
      <c r="P296" s="11">
        <v>44740.46851697917</v>
      </c>
      <c r="Q296" s="27">
        <f t="shared" si="12"/>
        <v>2.3135416995501146E-4</v>
      </c>
      <c r="R296" s="65">
        <f t="shared" si="14"/>
        <v>2.673726856301073E-3</v>
      </c>
      <c r="S296" s="2">
        <v>0</v>
      </c>
      <c r="T296" s="2" t="s">
        <v>36</v>
      </c>
      <c r="U296" s="2" t="s">
        <v>37</v>
      </c>
      <c r="V296" s="2" t="s">
        <v>38</v>
      </c>
      <c r="W296" s="2" t="s">
        <v>35</v>
      </c>
      <c r="X296" s="2" t="s">
        <v>35</v>
      </c>
      <c r="Y296" s="2" t="s">
        <v>35</v>
      </c>
      <c r="Z296" s="2" t="b">
        <v>0</v>
      </c>
      <c r="AA296" s="2" t="s">
        <v>35</v>
      </c>
      <c r="AB296" s="2" t="s">
        <v>35</v>
      </c>
      <c r="AC296" s="2" t="s">
        <v>35</v>
      </c>
      <c r="AD296" s="2">
        <v>2</v>
      </c>
      <c r="AE296" s="2" t="s">
        <v>941</v>
      </c>
      <c r="AF296" s="11">
        <v>44740.448611053238</v>
      </c>
      <c r="AG296" s="53"/>
      <c r="AH296" s="53" t="b">
        <f t="shared" si="13"/>
        <v>0</v>
      </c>
      <c r="AI296" s="54" t="str" cm="1">
        <f t="array" ref="AI296">TRANSPOSE(_xlfn._xlws.FILTER(images!L:L,images!F:F=Barrierenmessung!A296, ""))</f>
        <v>https://captureandgo.cloudlab.zhaw.ch/uploads/image_971d1f2c83.jpg</v>
      </c>
      <c r="AJ296" s="2"/>
      <c r="AK296" s="2"/>
      <c r="AL296" s="2"/>
      <c r="AM296" s="2"/>
      <c r="AN296" s="2"/>
    </row>
    <row r="297" spans="1:40" ht="16" x14ac:dyDescent="0.2">
      <c r="A297" s="2" t="s">
        <v>983</v>
      </c>
      <c r="B297" s="46">
        <v>296</v>
      </c>
      <c r="C297" s="2" t="b">
        <v>0</v>
      </c>
      <c r="D297" s="2" t="b">
        <v>0</v>
      </c>
      <c r="E297" s="2" t="b">
        <v>0</v>
      </c>
      <c r="F297" s="2" t="b">
        <v>0</v>
      </c>
      <c r="G297" s="2" t="s">
        <v>31</v>
      </c>
      <c r="H297" s="2" t="s">
        <v>984</v>
      </c>
      <c r="I297" s="2" t="s">
        <v>985</v>
      </c>
      <c r="J297" s="2" t="s">
        <v>35</v>
      </c>
      <c r="K297" s="2" t="s">
        <v>35</v>
      </c>
      <c r="L297" s="2" t="s">
        <v>35</v>
      </c>
      <c r="M297" s="2" t="s">
        <v>35</v>
      </c>
      <c r="N297" s="2" t="s">
        <v>35</v>
      </c>
      <c r="O297" s="11">
        <v>44740.473271840281</v>
      </c>
      <c r="P297" s="11">
        <v>44740.473557627316</v>
      </c>
      <c r="Q297" s="27">
        <f t="shared" si="12"/>
        <v>2.8578703495441005E-4</v>
      </c>
      <c r="R297" s="65">
        <f t="shared" si="14"/>
        <v>5.0406481459503993E-3</v>
      </c>
      <c r="S297" s="2">
        <v>0</v>
      </c>
      <c r="T297" s="2" t="s">
        <v>109</v>
      </c>
      <c r="U297" s="2" t="s">
        <v>110</v>
      </c>
      <c r="V297" s="2" t="s">
        <v>38</v>
      </c>
      <c r="W297" s="2" t="s">
        <v>35</v>
      </c>
      <c r="X297" s="2">
        <v>0</v>
      </c>
      <c r="Y297" s="2" t="s">
        <v>979</v>
      </c>
      <c r="Z297" s="2" t="b">
        <v>0</v>
      </c>
      <c r="AA297" s="2" t="s">
        <v>35</v>
      </c>
      <c r="AB297" s="2" t="s">
        <v>35</v>
      </c>
      <c r="AC297" s="2" t="s">
        <v>35</v>
      </c>
      <c r="AD297" s="2" t="s">
        <v>35</v>
      </c>
      <c r="AE297" s="2" t="s">
        <v>941</v>
      </c>
      <c r="AF297" s="11">
        <v>44740.448611053238</v>
      </c>
      <c r="AG297" s="53"/>
      <c r="AH297" s="53" t="b">
        <f t="shared" si="13"/>
        <v>0</v>
      </c>
      <c r="AI297" s="54" t="str" cm="1">
        <f t="array" ref="AI297">TRANSPOSE(_xlfn._xlws.FILTER(images!L:L,images!F:F=Barrierenmessung!A297, ""))</f>
        <v>https://captureandgo.cloudlab.zhaw.ch/uploads/image_22f69bbd11.jpg</v>
      </c>
      <c r="AJ297" s="2"/>
      <c r="AK297" s="2"/>
      <c r="AL297" s="2"/>
      <c r="AM297" s="2"/>
      <c r="AN297" s="2"/>
    </row>
    <row r="298" spans="1:40" ht="16" x14ac:dyDescent="0.2">
      <c r="A298" s="2" t="s">
        <v>986</v>
      </c>
      <c r="B298" s="46">
        <v>297</v>
      </c>
      <c r="C298" s="2" t="b">
        <v>0</v>
      </c>
      <c r="D298" s="2" t="b">
        <v>0</v>
      </c>
      <c r="E298" s="2" t="b">
        <v>0</v>
      </c>
      <c r="F298" s="2" t="b">
        <v>0</v>
      </c>
      <c r="G298" s="2" t="s">
        <v>31</v>
      </c>
      <c r="H298" s="2" t="s">
        <v>987</v>
      </c>
      <c r="I298" s="2" t="s">
        <v>988</v>
      </c>
      <c r="J298" s="2" t="s">
        <v>35</v>
      </c>
      <c r="K298" s="2" t="s">
        <v>35</v>
      </c>
      <c r="L298" s="2" t="s">
        <v>35</v>
      </c>
      <c r="M298" s="2" t="s">
        <v>35</v>
      </c>
      <c r="N298" s="2" t="s">
        <v>35</v>
      </c>
      <c r="O298" s="11">
        <v>44740.475054699076</v>
      </c>
      <c r="P298" s="11">
        <v>44740.4752853588</v>
      </c>
      <c r="Q298" s="27">
        <f t="shared" si="12"/>
        <v>2.3065972345648333E-4</v>
      </c>
      <c r="R298" s="65">
        <f t="shared" si="14"/>
        <v>1.7277314836974256E-3</v>
      </c>
      <c r="S298" s="2">
        <v>0</v>
      </c>
      <c r="T298" s="2" t="s">
        <v>36</v>
      </c>
      <c r="U298" s="2" t="s">
        <v>37</v>
      </c>
      <c r="V298" s="2" t="s">
        <v>38</v>
      </c>
      <c r="W298" s="2" t="s">
        <v>35</v>
      </c>
      <c r="X298" s="2" t="s">
        <v>35</v>
      </c>
      <c r="Y298" s="2" t="s">
        <v>35</v>
      </c>
      <c r="Z298" s="2" t="b">
        <v>0</v>
      </c>
      <c r="AA298" s="2" t="s">
        <v>35</v>
      </c>
      <c r="AB298" s="2" t="s">
        <v>35</v>
      </c>
      <c r="AC298" s="2" t="s">
        <v>35</v>
      </c>
      <c r="AD298" s="2">
        <v>2</v>
      </c>
      <c r="AE298" s="2" t="s">
        <v>941</v>
      </c>
      <c r="AF298" s="11">
        <v>44740.448611053238</v>
      </c>
      <c r="AG298" s="53"/>
      <c r="AH298" s="53" t="b">
        <f t="shared" si="13"/>
        <v>0</v>
      </c>
      <c r="AI298" s="54" t="str" cm="1">
        <f t="array" ref="AI298">TRANSPOSE(_xlfn._xlws.FILTER(images!L:L,images!F:F=Barrierenmessung!A298, ""))</f>
        <v>https://captureandgo.cloudlab.zhaw.ch/uploads/image_6d0e7f8141.jpg</v>
      </c>
      <c r="AJ298" s="2"/>
      <c r="AK298" s="2"/>
      <c r="AL298" s="2"/>
      <c r="AM298" s="2"/>
      <c r="AN298" s="2"/>
    </row>
    <row r="299" spans="1:40" ht="16" x14ac:dyDescent="0.2">
      <c r="A299" s="2" t="s">
        <v>989</v>
      </c>
      <c r="B299" s="46">
        <v>298</v>
      </c>
      <c r="C299" s="2" t="b">
        <v>0</v>
      </c>
      <c r="D299" s="2" t="b">
        <v>0</v>
      </c>
      <c r="E299" s="2" t="b">
        <v>0</v>
      </c>
      <c r="F299" s="2" t="b">
        <v>0</v>
      </c>
      <c r="G299" s="2" t="s">
        <v>31</v>
      </c>
      <c r="H299" s="2" t="s">
        <v>990</v>
      </c>
      <c r="I299" s="2" t="s">
        <v>991</v>
      </c>
      <c r="J299" s="2" t="s">
        <v>940</v>
      </c>
      <c r="K299" s="2" t="s">
        <v>35</v>
      </c>
      <c r="L299" s="2" t="s">
        <v>35</v>
      </c>
      <c r="M299" s="2" t="s">
        <v>35</v>
      </c>
      <c r="N299" s="2" t="s">
        <v>35</v>
      </c>
      <c r="O299" s="11">
        <v>44740.475649456021</v>
      </c>
      <c r="P299" s="11">
        <v>44740.475853368058</v>
      </c>
      <c r="Q299" s="27">
        <f t="shared" si="12"/>
        <v>2.0391203725012019E-4</v>
      </c>
      <c r="R299" s="65">
        <f t="shared" si="14"/>
        <v>5.6800925813149661E-4</v>
      </c>
      <c r="S299" s="2">
        <v>0</v>
      </c>
      <c r="T299" s="2" t="s">
        <v>124</v>
      </c>
      <c r="U299" s="2" t="s">
        <v>125</v>
      </c>
      <c r="V299" s="2" t="s">
        <v>38</v>
      </c>
      <c r="W299" s="2" t="s">
        <v>35</v>
      </c>
      <c r="X299" s="2" t="s">
        <v>35</v>
      </c>
      <c r="Y299" s="2" t="s">
        <v>35</v>
      </c>
      <c r="Z299" s="2" t="b">
        <v>0</v>
      </c>
      <c r="AA299" s="2" t="s">
        <v>35</v>
      </c>
      <c r="AB299" s="2">
        <v>4</v>
      </c>
      <c r="AC299" s="2" t="s">
        <v>35</v>
      </c>
      <c r="AD299" s="2" t="s">
        <v>35</v>
      </c>
      <c r="AE299" s="2" t="s">
        <v>941</v>
      </c>
      <c r="AF299" s="11">
        <v>44740.448611053238</v>
      </c>
      <c r="AG299" s="53"/>
      <c r="AH299" s="53" t="b">
        <f t="shared" si="13"/>
        <v>0</v>
      </c>
      <c r="AI299" s="54" t="str" cm="1">
        <f t="array" ref="AI299">TRANSPOSE(_xlfn._xlws.FILTER(images!L:L,images!F:F=Barrierenmessung!A299, ""))</f>
        <v>https://captureandgo.cloudlab.zhaw.ch/uploads/image_26a79253f5.jpg</v>
      </c>
      <c r="AJ299" s="2"/>
      <c r="AK299" s="2"/>
      <c r="AL299" s="2"/>
      <c r="AM299" s="2"/>
      <c r="AN299" s="2"/>
    </row>
    <row r="300" spans="1:40" ht="16" x14ac:dyDescent="0.2">
      <c r="A300" s="2" t="s">
        <v>992</v>
      </c>
      <c r="B300" s="46">
        <v>299</v>
      </c>
      <c r="C300" s="2" t="b">
        <v>0</v>
      </c>
      <c r="D300" s="2" t="b">
        <v>0</v>
      </c>
      <c r="E300" s="2" t="b">
        <v>0</v>
      </c>
      <c r="F300" s="2" t="b">
        <v>0</v>
      </c>
      <c r="G300" s="2" t="s">
        <v>31</v>
      </c>
      <c r="H300" s="2" t="s">
        <v>993</v>
      </c>
      <c r="I300" s="2" t="s">
        <v>994</v>
      </c>
      <c r="J300" s="2" t="s">
        <v>35</v>
      </c>
      <c r="K300" s="2" t="s">
        <v>35</v>
      </c>
      <c r="L300" s="2" t="s">
        <v>35</v>
      </c>
      <c r="M300" s="2" t="s">
        <v>35</v>
      </c>
      <c r="N300" s="2" t="s">
        <v>35</v>
      </c>
      <c r="O300" s="11">
        <v>44740.476735358796</v>
      </c>
      <c r="P300" s="11">
        <v>44740.476877986112</v>
      </c>
      <c r="Q300" s="27">
        <f t="shared" si="12"/>
        <v>1.426273156539537E-4</v>
      </c>
      <c r="R300" s="65">
        <f t="shared" si="14"/>
        <v>1.0246180536341853E-3</v>
      </c>
      <c r="S300" s="2">
        <v>0</v>
      </c>
      <c r="T300" s="2" t="s">
        <v>36</v>
      </c>
      <c r="U300" s="2" t="s">
        <v>37</v>
      </c>
      <c r="V300" s="2" t="s">
        <v>38</v>
      </c>
      <c r="W300" s="2" t="s">
        <v>35</v>
      </c>
      <c r="X300" s="2" t="s">
        <v>35</v>
      </c>
      <c r="Y300" s="2" t="s">
        <v>35</v>
      </c>
      <c r="Z300" s="2" t="b">
        <v>0</v>
      </c>
      <c r="AA300" s="2" t="s">
        <v>35</v>
      </c>
      <c r="AB300" s="2" t="s">
        <v>35</v>
      </c>
      <c r="AC300" s="2" t="s">
        <v>35</v>
      </c>
      <c r="AD300" s="2">
        <v>2</v>
      </c>
      <c r="AE300" s="2" t="s">
        <v>941</v>
      </c>
      <c r="AF300" s="11">
        <v>44740.448611053238</v>
      </c>
      <c r="AG300" s="53"/>
      <c r="AH300" s="53" t="b">
        <f t="shared" si="13"/>
        <v>0</v>
      </c>
      <c r="AI300" s="54" t="str" cm="1">
        <f t="array" ref="AI300">TRANSPOSE(_xlfn._xlws.FILTER(images!L:L,images!F:F=Barrierenmessung!A300, ""))</f>
        <v>https://captureandgo.cloudlab.zhaw.ch/uploads/image_015a214104.jpg</v>
      </c>
      <c r="AJ300" s="2"/>
      <c r="AK300" s="2"/>
      <c r="AL300" s="2"/>
      <c r="AM300" s="2"/>
      <c r="AN300" s="2"/>
    </row>
    <row r="301" spans="1:40" ht="16" x14ac:dyDescent="0.2">
      <c r="A301" s="2" t="s">
        <v>995</v>
      </c>
      <c r="B301" s="46">
        <v>300</v>
      </c>
      <c r="C301" s="2" t="b">
        <v>0</v>
      </c>
      <c r="D301" s="2" t="b">
        <v>0</v>
      </c>
      <c r="E301" s="2" t="b">
        <v>0</v>
      </c>
      <c r="F301" s="2" t="b">
        <v>0</v>
      </c>
      <c r="G301" s="2" t="s">
        <v>31</v>
      </c>
      <c r="H301" s="2" t="s">
        <v>996</v>
      </c>
      <c r="I301" s="2" t="s">
        <v>997</v>
      </c>
      <c r="J301" s="2" t="s">
        <v>35</v>
      </c>
      <c r="K301" s="2" t="s">
        <v>35</v>
      </c>
      <c r="L301" s="2" t="s">
        <v>35</v>
      </c>
      <c r="M301" s="2" t="s">
        <v>35</v>
      </c>
      <c r="N301" s="2" t="s">
        <v>35</v>
      </c>
      <c r="O301" s="11">
        <v>44740.47823177083</v>
      </c>
      <c r="P301" s="11">
        <v>44740.47840709491</v>
      </c>
      <c r="Q301" s="27">
        <f t="shared" si="12"/>
        <v>1.7532407946418971E-4</v>
      </c>
      <c r="R301" s="65">
        <f t="shared" si="14"/>
        <v>1.529108798422385E-3</v>
      </c>
      <c r="S301" s="2">
        <v>0</v>
      </c>
      <c r="T301" s="2" t="s">
        <v>36</v>
      </c>
      <c r="U301" s="2" t="s">
        <v>37</v>
      </c>
      <c r="V301" s="2" t="s">
        <v>38</v>
      </c>
      <c r="W301" s="2" t="s">
        <v>35</v>
      </c>
      <c r="X301" s="2" t="s">
        <v>35</v>
      </c>
      <c r="Y301" s="2" t="s">
        <v>35</v>
      </c>
      <c r="Z301" s="2" t="b">
        <v>0</v>
      </c>
      <c r="AA301" s="2" t="s">
        <v>35</v>
      </c>
      <c r="AB301" s="2" t="s">
        <v>35</v>
      </c>
      <c r="AC301" s="2" t="s">
        <v>35</v>
      </c>
      <c r="AD301" s="2">
        <v>5</v>
      </c>
      <c r="AE301" s="2" t="s">
        <v>941</v>
      </c>
      <c r="AF301" s="11">
        <v>44740.448611053238</v>
      </c>
      <c r="AG301" s="53"/>
      <c r="AH301" s="53" t="b">
        <f t="shared" si="13"/>
        <v>0</v>
      </c>
      <c r="AI301" s="54" t="str" cm="1">
        <f t="array" ref="AI301">TRANSPOSE(_xlfn._xlws.FILTER(images!L:L,images!F:F=Barrierenmessung!A301, ""))</f>
        <v>https://captureandgo.cloudlab.zhaw.ch/uploads/image_f4e0b41811.jpg</v>
      </c>
      <c r="AJ301" s="2"/>
      <c r="AK301" s="2"/>
      <c r="AL301" s="2"/>
      <c r="AM301" s="2"/>
      <c r="AN301" s="2"/>
    </row>
    <row r="302" spans="1:40" ht="16" x14ac:dyDescent="0.2">
      <c r="A302" s="2" t="s">
        <v>998</v>
      </c>
      <c r="B302" s="46">
        <v>301</v>
      </c>
      <c r="C302" s="2" t="b">
        <v>0</v>
      </c>
      <c r="D302" s="2" t="b">
        <v>0</v>
      </c>
      <c r="E302" s="2" t="b">
        <v>0</v>
      </c>
      <c r="F302" s="2" t="b">
        <v>0</v>
      </c>
      <c r="G302" s="2" t="s">
        <v>31</v>
      </c>
      <c r="H302" s="2" t="s">
        <v>999</v>
      </c>
      <c r="I302" s="2" t="s">
        <v>1000</v>
      </c>
      <c r="J302" s="2" t="s">
        <v>35</v>
      </c>
      <c r="K302" s="2" t="s">
        <v>35</v>
      </c>
      <c r="L302" s="2" t="s">
        <v>35</v>
      </c>
      <c r="M302" s="2" t="s">
        <v>35</v>
      </c>
      <c r="N302" s="2" t="s">
        <v>35</v>
      </c>
      <c r="O302" s="11">
        <v>44740.479016018522</v>
      </c>
      <c r="P302" s="11">
        <v>44740.479122662036</v>
      </c>
      <c r="Q302" s="27">
        <f t="shared" si="12"/>
        <v>1.0664351430023089E-4</v>
      </c>
      <c r="R302" s="65">
        <f t="shared" si="14"/>
        <v>7.1556712646270171E-4</v>
      </c>
      <c r="S302" s="2">
        <v>0</v>
      </c>
      <c r="T302" s="2" t="s">
        <v>36</v>
      </c>
      <c r="U302" s="2" t="s">
        <v>37</v>
      </c>
      <c r="V302" s="2" t="s">
        <v>38</v>
      </c>
      <c r="W302" s="2" t="s">
        <v>35</v>
      </c>
      <c r="X302" s="2" t="s">
        <v>35</v>
      </c>
      <c r="Y302" s="2" t="s">
        <v>35</v>
      </c>
      <c r="Z302" s="2" t="b">
        <v>0</v>
      </c>
      <c r="AA302" s="2" t="s">
        <v>35</v>
      </c>
      <c r="AB302" s="2" t="s">
        <v>35</v>
      </c>
      <c r="AC302" s="2" t="s">
        <v>35</v>
      </c>
      <c r="AD302" s="2">
        <v>5</v>
      </c>
      <c r="AE302" s="2" t="s">
        <v>941</v>
      </c>
      <c r="AF302" s="11">
        <v>44740.448611053238</v>
      </c>
      <c r="AG302" s="53"/>
      <c r="AH302" s="53" t="b">
        <f t="shared" si="13"/>
        <v>0</v>
      </c>
      <c r="AI302" s="54" t="str" cm="1">
        <f t="array" ref="AI302">TRANSPOSE(_xlfn._xlws.FILTER(images!L:L,images!F:F=Barrierenmessung!A302, ""))</f>
        <v>https://captureandgo.cloudlab.zhaw.ch/uploads/image_3fa76db336.jpg</v>
      </c>
      <c r="AJ302" s="2"/>
      <c r="AK302" s="2"/>
      <c r="AL302" s="2"/>
      <c r="AM302" s="2"/>
      <c r="AN302" s="2"/>
    </row>
    <row r="303" spans="1:40" ht="16" x14ac:dyDescent="0.2">
      <c r="A303" s="2" t="s">
        <v>1001</v>
      </c>
      <c r="B303" s="46">
        <v>302</v>
      </c>
      <c r="C303" s="2" t="b">
        <v>0</v>
      </c>
      <c r="D303" s="2" t="b">
        <v>0</v>
      </c>
      <c r="E303" s="2" t="b">
        <v>0</v>
      </c>
      <c r="F303" s="2" t="b">
        <v>0</v>
      </c>
      <c r="G303" s="2" t="s">
        <v>31</v>
      </c>
      <c r="H303" s="2" t="s">
        <v>1002</v>
      </c>
      <c r="I303" s="2" t="s">
        <v>1003</v>
      </c>
      <c r="J303" s="2" t="s">
        <v>1004</v>
      </c>
      <c r="K303" s="2" t="s">
        <v>35</v>
      </c>
      <c r="L303" s="2" t="s">
        <v>35</v>
      </c>
      <c r="M303" s="2" t="s">
        <v>35</v>
      </c>
      <c r="N303" s="2" t="s">
        <v>35</v>
      </c>
      <c r="O303" s="11">
        <v>44740.481651076392</v>
      </c>
      <c r="P303" s="11">
        <v>44740.481877372687</v>
      </c>
      <c r="Q303" s="27">
        <f t="shared" si="12"/>
        <v>2.2629629529546946E-4</v>
      </c>
      <c r="R303" s="65">
        <f t="shared" si="14"/>
        <v>2.754710651061032E-3</v>
      </c>
      <c r="S303" s="2">
        <v>0</v>
      </c>
      <c r="T303" s="2" t="s">
        <v>36</v>
      </c>
      <c r="U303" s="2" t="s">
        <v>37</v>
      </c>
      <c r="V303" s="2" t="s">
        <v>38</v>
      </c>
      <c r="W303" s="2" t="s">
        <v>35</v>
      </c>
      <c r="X303" s="2" t="s">
        <v>35</v>
      </c>
      <c r="Y303" s="2" t="s">
        <v>35</v>
      </c>
      <c r="Z303" s="2" t="b">
        <v>0</v>
      </c>
      <c r="AA303" s="2" t="s">
        <v>35</v>
      </c>
      <c r="AB303" s="2" t="s">
        <v>35</v>
      </c>
      <c r="AC303" s="2">
        <v>5</v>
      </c>
      <c r="AD303" s="2" t="s">
        <v>35</v>
      </c>
      <c r="AE303" s="2" t="s">
        <v>941</v>
      </c>
      <c r="AF303" s="11">
        <v>44740.448611053238</v>
      </c>
      <c r="AG303" s="53"/>
      <c r="AH303" s="53" t="b">
        <f t="shared" si="13"/>
        <v>0</v>
      </c>
      <c r="AI303" s="54" t="str" cm="1">
        <f t="array" ref="AI303">TRANSPOSE(_xlfn._xlws.FILTER(images!L:L,images!F:F=Barrierenmessung!A303, ""))</f>
        <v>https://captureandgo.cloudlab.zhaw.ch/uploads/image_1b18cc35c5.jpg</v>
      </c>
      <c r="AJ303" s="2"/>
      <c r="AK303" s="2"/>
      <c r="AL303" s="2"/>
      <c r="AM303" s="2"/>
      <c r="AN303" s="2"/>
    </row>
    <row r="304" spans="1:40" ht="16" x14ac:dyDescent="0.2">
      <c r="A304" s="2" t="s">
        <v>1005</v>
      </c>
      <c r="B304" s="46">
        <v>303</v>
      </c>
      <c r="C304" s="2" t="b">
        <v>0</v>
      </c>
      <c r="D304" s="2" t="b">
        <v>0</v>
      </c>
      <c r="E304" s="2" t="b">
        <v>0</v>
      </c>
      <c r="F304" s="2" t="b">
        <v>0</v>
      </c>
      <c r="G304" s="2" t="s">
        <v>31</v>
      </c>
      <c r="H304" s="2" t="s">
        <v>1006</v>
      </c>
      <c r="I304" s="2" t="s">
        <v>1007</v>
      </c>
      <c r="J304" s="2" t="s">
        <v>35</v>
      </c>
      <c r="K304" s="2" t="s">
        <v>35</v>
      </c>
      <c r="L304" s="2" t="s">
        <v>35</v>
      </c>
      <c r="M304" s="2" t="s">
        <v>35</v>
      </c>
      <c r="N304" s="2" t="s">
        <v>35</v>
      </c>
      <c r="O304" s="11">
        <v>44740.483220023147</v>
      </c>
      <c r="P304" s="11">
        <v>44740.483433912035</v>
      </c>
      <c r="Q304" s="27">
        <f t="shared" si="12"/>
        <v>2.1388888853834942E-4</v>
      </c>
      <c r="R304" s="65">
        <f t="shared" si="14"/>
        <v>1.5565393478027545E-3</v>
      </c>
      <c r="S304" s="2">
        <v>0</v>
      </c>
      <c r="T304" s="2" t="s">
        <v>36</v>
      </c>
      <c r="U304" s="2" t="s">
        <v>37</v>
      </c>
      <c r="V304" s="2" t="s">
        <v>38</v>
      </c>
      <c r="W304" s="2" t="s">
        <v>35</v>
      </c>
      <c r="X304" s="2" t="s">
        <v>35</v>
      </c>
      <c r="Y304" s="2" t="s">
        <v>35</v>
      </c>
      <c r="Z304" s="2" t="b">
        <v>0</v>
      </c>
      <c r="AA304" s="2" t="s">
        <v>1008</v>
      </c>
      <c r="AB304" s="2" t="s">
        <v>35</v>
      </c>
      <c r="AC304" s="2" t="s">
        <v>35</v>
      </c>
      <c r="AD304" s="2" t="s">
        <v>35</v>
      </c>
      <c r="AE304" s="2" t="s">
        <v>941</v>
      </c>
      <c r="AF304" s="11">
        <v>44740.448611053238</v>
      </c>
      <c r="AG304" s="53"/>
      <c r="AH304" s="53" t="b">
        <f t="shared" si="13"/>
        <v>0</v>
      </c>
      <c r="AI304" s="54" t="str" cm="1">
        <f t="array" ref="AI304">TRANSPOSE(_xlfn._xlws.FILTER(images!L:L,images!F:F=Barrierenmessung!A304, ""))</f>
        <v>https://captureandgo.cloudlab.zhaw.ch/uploads/image_6dc3b54e2a.jpg</v>
      </c>
      <c r="AJ304" s="2"/>
      <c r="AK304" s="2"/>
      <c r="AL304" s="2"/>
      <c r="AM304" s="2"/>
      <c r="AN304" s="2"/>
    </row>
    <row r="305" spans="1:40" ht="16" x14ac:dyDescent="0.2">
      <c r="A305" s="2" t="s">
        <v>1009</v>
      </c>
      <c r="B305" s="46">
        <v>304</v>
      </c>
      <c r="C305" s="2" t="b">
        <v>0</v>
      </c>
      <c r="D305" s="2" t="b">
        <v>0</v>
      </c>
      <c r="E305" s="2" t="b">
        <v>0</v>
      </c>
      <c r="F305" s="2" t="b">
        <v>0</v>
      </c>
      <c r="G305" s="2" t="s">
        <v>31</v>
      </c>
      <c r="H305" s="2" t="s">
        <v>1010</v>
      </c>
      <c r="I305" s="2" t="s">
        <v>1011</v>
      </c>
      <c r="J305" s="2" t="s">
        <v>1012</v>
      </c>
      <c r="K305" s="2" t="s">
        <v>35</v>
      </c>
      <c r="L305" s="2" t="s">
        <v>35</v>
      </c>
      <c r="M305" s="2" t="s">
        <v>35</v>
      </c>
      <c r="N305" s="2" t="s">
        <v>35</v>
      </c>
      <c r="O305" s="11">
        <v>44740.484845856481</v>
      </c>
      <c r="P305" s="11">
        <v>44740.485190335647</v>
      </c>
      <c r="Q305" s="27">
        <f t="shared" si="12"/>
        <v>3.4447916550561786E-4</v>
      </c>
      <c r="R305" s="65">
        <f t="shared" si="14"/>
        <v>1.7564236113685183E-3</v>
      </c>
      <c r="S305" s="2">
        <v>0</v>
      </c>
      <c r="T305" s="2" t="s">
        <v>36</v>
      </c>
      <c r="U305" s="2" t="s">
        <v>37</v>
      </c>
      <c r="V305" s="2" t="s">
        <v>38</v>
      </c>
      <c r="W305" s="2" t="s">
        <v>35</v>
      </c>
      <c r="X305" s="2" t="s">
        <v>35</v>
      </c>
      <c r="Y305" s="2" t="s">
        <v>35</v>
      </c>
      <c r="Z305" s="2" t="b">
        <v>0</v>
      </c>
      <c r="AA305" s="2" t="s">
        <v>35</v>
      </c>
      <c r="AB305" s="2" t="s">
        <v>35</v>
      </c>
      <c r="AC305" s="2">
        <v>4</v>
      </c>
      <c r="AD305" s="2" t="s">
        <v>35</v>
      </c>
      <c r="AE305" s="2" t="s">
        <v>941</v>
      </c>
      <c r="AF305" s="11">
        <v>44740.448611053238</v>
      </c>
      <c r="AG305" s="53"/>
      <c r="AH305" s="53" t="b">
        <f t="shared" si="13"/>
        <v>0</v>
      </c>
      <c r="AI305" s="54" t="str" cm="1">
        <f t="array" ref="AI305">TRANSPOSE(_xlfn._xlws.FILTER(images!L:L,images!F:F=Barrierenmessung!A305, ""))</f>
        <v>https://captureandgo.cloudlab.zhaw.ch/uploads/image_549546d795.jpg</v>
      </c>
      <c r="AJ305" s="2"/>
      <c r="AK305" s="2"/>
      <c r="AL305" s="2"/>
      <c r="AM305" s="2"/>
      <c r="AN305" s="2"/>
    </row>
    <row r="306" spans="1:40" ht="16" x14ac:dyDescent="0.2">
      <c r="A306" s="2" t="s">
        <v>1013</v>
      </c>
      <c r="B306" s="46">
        <v>305</v>
      </c>
      <c r="C306" s="2" t="b">
        <v>0</v>
      </c>
      <c r="D306" s="2" t="b">
        <v>0</v>
      </c>
      <c r="E306" s="2" t="b">
        <v>0</v>
      </c>
      <c r="F306" s="2" t="b">
        <v>0</v>
      </c>
      <c r="G306" s="2" t="s">
        <v>31</v>
      </c>
      <c r="H306" s="2" t="s">
        <v>1014</v>
      </c>
      <c r="I306" s="2" t="s">
        <v>1015</v>
      </c>
      <c r="J306" s="2" t="s">
        <v>35</v>
      </c>
      <c r="K306" s="2" t="s">
        <v>35</v>
      </c>
      <c r="L306" s="2" t="s">
        <v>35</v>
      </c>
      <c r="M306" s="2" t="s">
        <v>35</v>
      </c>
      <c r="N306" s="2" t="s">
        <v>35</v>
      </c>
      <c r="O306" s="11">
        <v>44740.485820416667</v>
      </c>
      <c r="P306" s="11">
        <v>44740.486120844907</v>
      </c>
      <c r="Q306" s="27">
        <f t="shared" si="12"/>
        <v>3.0042824073461816E-4</v>
      </c>
      <c r="R306" s="65">
        <f t="shared" si="14"/>
        <v>9.3050926079740748E-4</v>
      </c>
      <c r="S306" s="2">
        <v>0</v>
      </c>
      <c r="T306" s="2" t="s">
        <v>36</v>
      </c>
      <c r="U306" s="2" t="s">
        <v>37</v>
      </c>
      <c r="V306" s="2" t="s">
        <v>38</v>
      </c>
      <c r="W306" s="2" t="s">
        <v>35</v>
      </c>
      <c r="X306" s="2" t="s">
        <v>35</v>
      </c>
      <c r="Y306" s="2" t="s">
        <v>35</v>
      </c>
      <c r="Z306" s="2" t="b">
        <v>0</v>
      </c>
      <c r="AA306" s="2" t="s">
        <v>1016</v>
      </c>
      <c r="AB306" s="2" t="s">
        <v>35</v>
      </c>
      <c r="AC306" s="2" t="s">
        <v>35</v>
      </c>
      <c r="AD306" s="2" t="s">
        <v>35</v>
      </c>
      <c r="AE306" s="2" t="s">
        <v>941</v>
      </c>
      <c r="AF306" s="11">
        <v>44740.448611053238</v>
      </c>
      <c r="AG306" s="53"/>
      <c r="AH306" s="53" t="b">
        <f t="shared" si="13"/>
        <v>0</v>
      </c>
      <c r="AI306" s="54" t="str" cm="1">
        <f t="array" ref="AI306">TRANSPOSE(_xlfn._xlws.FILTER(images!L:L,images!F:F=Barrierenmessung!A306, ""))</f>
        <v>https://captureandgo.cloudlab.zhaw.ch/uploads/image_8ba9a4c5d6.jpg</v>
      </c>
      <c r="AJ306" s="2"/>
      <c r="AK306" s="2"/>
      <c r="AL306" s="2"/>
      <c r="AM306" s="2"/>
      <c r="AN306" s="2"/>
    </row>
    <row r="307" spans="1:40" ht="16" x14ac:dyDescent="0.2">
      <c r="A307" s="2" t="s">
        <v>1017</v>
      </c>
      <c r="B307" s="46">
        <v>306</v>
      </c>
      <c r="C307" s="2" t="b">
        <v>0</v>
      </c>
      <c r="D307" s="2" t="b">
        <v>0</v>
      </c>
      <c r="E307" s="2" t="b">
        <v>0</v>
      </c>
      <c r="F307" s="2" t="b">
        <v>0</v>
      </c>
      <c r="G307" s="2" t="s">
        <v>31</v>
      </c>
      <c r="H307" s="2" t="s">
        <v>1018</v>
      </c>
      <c r="I307" s="2" t="s">
        <v>1019</v>
      </c>
      <c r="J307" s="2" t="s">
        <v>1020</v>
      </c>
      <c r="K307" s="2" t="s">
        <v>35</v>
      </c>
      <c r="L307" s="2" t="s">
        <v>35</v>
      </c>
      <c r="M307" s="2">
        <v>10</v>
      </c>
      <c r="N307" s="2">
        <v>15</v>
      </c>
      <c r="O307" s="11">
        <v>44740.489992303243</v>
      </c>
      <c r="P307" s="11">
        <v>44740.491162789353</v>
      </c>
      <c r="Q307" s="27">
        <f t="shared" si="12"/>
        <v>1.1704861099133268E-3</v>
      </c>
      <c r="R307" s="65">
        <f t="shared" si="14"/>
        <v>5.0419444451108575E-3</v>
      </c>
      <c r="S307" s="2">
        <v>0</v>
      </c>
      <c r="T307" s="2" t="s">
        <v>54</v>
      </c>
      <c r="U307" s="2" t="s">
        <v>55</v>
      </c>
      <c r="V307" s="2" t="s">
        <v>38</v>
      </c>
      <c r="W307" s="2" t="s">
        <v>35</v>
      </c>
      <c r="X307" s="2" t="s">
        <v>35</v>
      </c>
      <c r="Y307" s="2" t="s">
        <v>35</v>
      </c>
      <c r="Z307" s="2" t="b">
        <v>0</v>
      </c>
      <c r="AA307" s="2" t="s">
        <v>35</v>
      </c>
      <c r="AB307" s="2" t="s">
        <v>35</v>
      </c>
      <c r="AC307" s="2" t="s">
        <v>35</v>
      </c>
      <c r="AD307" s="2" t="s">
        <v>35</v>
      </c>
      <c r="AE307" s="2" t="s">
        <v>941</v>
      </c>
      <c r="AF307" s="11">
        <v>44740.448611053238</v>
      </c>
      <c r="AG307" s="53"/>
      <c r="AH307" s="53" t="b">
        <f t="shared" si="13"/>
        <v>0</v>
      </c>
      <c r="AI307" s="54" t="str" cm="1">
        <f t="array" ref="AI307">TRANSPOSE(_xlfn._xlws.FILTER(images!L:L,images!F:F=Barrierenmessung!A307, ""))</f>
        <v>https://captureandgo.cloudlab.zhaw.ch/uploads/image_46c9119e54.jpg</v>
      </c>
      <c r="AJ307" s="2"/>
      <c r="AK307" s="2"/>
      <c r="AL307" s="2"/>
      <c r="AM307" s="2"/>
      <c r="AN307" s="2"/>
    </row>
    <row r="308" spans="1:40" ht="16" x14ac:dyDescent="0.2">
      <c r="A308" s="68" t="s">
        <v>1021</v>
      </c>
      <c r="B308" s="68">
        <v>307</v>
      </c>
      <c r="C308" s="68" t="b">
        <v>0</v>
      </c>
      <c r="D308" s="68" t="b">
        <v>0</v>
      </c>
      <c r="E308" s="68" t="b">
        <v>0</v>
      </c>
      <c r="F308" s="68" t="b">
        <v>0</v>
      </c>
      <c r="G308" s="68" t="s">
        <v>31</v>
      </c>
      <c r="H308" s="68" t="s">
        <v>149</v>
      </c>
      <c r="I308" s="68" t="s">
        <v>1022</v>
      </c>
      <c r="J308" s="68" t="s">
        <v>1023</v>
      </c>
      <c r="K308" s="68" t="s">
        <v>35</v>
      </c>
      <c r="L308" s="68" t="s">
        <v>35</v>
      </c>
      <c r="M308" s="68">
        <v>3</v>
      </c>
      <c r="N308" s="68">
        <v>25</v>
      </c>
      <c r="O308" s="69">
        <v>44740.491403287037</v>
      </c>
      <c r="P308" s="69">
        <v>44740.491937824074</v>
      </c>
      <c r="Q308" s="70">
        <f t="shared" si="12"/>
        <v>5.3453703731065616E-4</v>
      </c>
      <c r="R308" s="70">
        <f t="shared" si="14"/>
        <v>7.7503472130047157E-4</v>
      </c>
      <c r="S308" s="68">
        <v>0</v>
      </c>
      <c r="T308" s="68" t="s">
        <v>54</v>
      </c>
      <c r="U308" s="68" t="s">
        <v>55</v>
      </c>
      <c r="V308" s="68" t="s">
        <v>38</v>
      </c>
      <c r="W308" s="68" t="s">
        <v>35</v>
      </c>
      <c r="X308" s="68" t="s">
        <v>35</v>
      </c>
      <c r="Y308" s="68" t="s">
        <v>35</v>
      </c>
      <c r="Z308" s="68" t="b">
        <v>0</v>
      </c>
      <c r="AA308" s="68" t="s">
        <v>35</v>
      </c>
      <c r="AB308" s="68" t="s">
        <v>35</v>
      </c>
      <c r="AC308" s="68" t="s">
        <v>35</v>
      </c>
      <c r="AD308" s="68" t="s">
        <v>35</v>
      </c>
      <c r="AE308" s="68" t="s">
        <v>941</v>
      </c>
      <c r="AF308" s="69">
        <v>44740.448611053238</v>
      </c>
      <c r="AG308" s="71"/>
      <c r="AH308" s="71" t="b">
        <f t="shared" si="13"/>
        <v>0</v>
      </c>
      <c r="AI308" s="56" t="str" cm="1">
        <f t="array" ref="AI308">TRANSPOSE(_xlfn._xlws.FILTER(images!L:L,images!F:F=Barrierenmessung!A308, ""))</f>
        <v/>
      </c>
      <c r="AJ308" s="68"/>
      <c r="AK308" s="68"/>
      <c r="AL308" s="68"/>
      <c r="AM308" s="68"/>
      <c r="AN308" s="68"/>
    </row>
    <row r="309" spans="1:40" ht="16" x14ac:dyDescent="0.2">
      <c r="A309" s="2" t="s">
        <v>1024</v>
      </c>
      <c r="B309" s="46">
        <v>308</v>
      </c>
      <c r="C309" s="2" t="b">
        <v>0</v>
      </c>
      <c r="D309" s="2" t="b">
        <v>0</v>
      </c>
      <c r="E309" s="2" t="b">
        <v>0</v>
      </c>
      <c r="F309" s="2" t="b">
        <v>0</v>
      </c>
      <c r="G309" s="2" t="s">
        <v>31</v>
      </c>
      <c r="H309" s="2" t="s">
        <v>1025</v>
      </c>
      <c r="I309" s="2" t="s">
        <v>1026</v>
      </c>
      <c r="J309" s="2" t="s">
        <v>1027</v>
      </c>
      <c r="K309" s="2" t="s">
        <v>35</v>
      </c>
      <c r="L309" s="2" t="s">
        <v>35</v>
      </c>
      <c r="M309" s="2" t="s">
        <v>35</v>
      </c>
      <c r="N309" s="2" t="s">
        <v>35</v>
      </c>
      <c r="O309" s="11">
        <v>44740.493087337964</v>
      </c>
      <c r="P309" s="11">
        <v>44740.493371064818</v>
      </c>
      <c r="Q309" s="27">
        <f t="shared" si="12"/>
        <v>2.8372685483191162E-4</v>
      </c>
      <c r="R309" s="65">
        <f t="shared" si="14"/>
        <v>1.4332407445181161E-3</v>
      </c>
      <c r="S309" s="2">
        <v>0</v>
      </c>
      <c r="T309" s="2" t="s">
        <v>36</v>
      </c>
      <c r="U309" s="2" t="s">
        <v>37</v>
      </c>
      <c r="V309" s="2" t="s">
        <v>38</v>
      </c>
      <c r="W309" s="2" t="s">
        <v>35</v>
      </c>
      <c r="X309" s="2" t="s">
        <v>35</v>
      </c>
      <c r="Y309" s="2" t="s">
        <v>35</v>
      </c>
      <c r="Z309" s="2" t="b">
        <v>0</v>
      </c>
      <c r="AA309" s="2" t="s">
        <v>35</v>
      </c>
      <c r="AB309" s="2" t="s">
        <v>35</v>
      </c>
      <c r="AC309" s="2">
        <v>4</v>
      </c>
      <c r="AD309" s="2" t="s">
        <v>35</v>
      </c>
      <c r="AE309" s="2" t="s">
        <v>941</v>
      </c>
      <c r="AF309" s="11">
        <v>44740.448611053238</v>
      </c>
      <c r="AG309" s="53"/>
      <c r="AH309" s="53" t="b">
        <f t="shared" si="13"/>
        <v>0</v>
      </c>
      <c r="AI309" s="54" t="str" cm="1">
        <f t="array" ref="AI309">TRANSPOSE(_xlfn._xlws.FILTER(images!L:L,images!F:F=Barrierenmessung!A309, ""))</f>
        <v>https://captureandgo.cloudlab.zhaw.ch/uploads/image_cb69f37a0c.jpg</v>
      </c>
      <c r="AJ309" s="2"/>
      <c r="AK309" s="2"/>
      <c r="AL309" s="2"/>
      <c r="AM309" s="2"/>
      <c r="AN309" s="2"/>
    </row>
    <row r="310" spans="1:40" ht="16" x14ac:dyDescent="0.2">
      <c r="A310" s="2" t="s">
        <v>1028</v>
      </c>
      <c r="B310" s="46">
        <v>309</v>
      </c>
      <c r="C310" s="2" t="b">
        <v>0</v>
      </c>
      <c r="D310" s="2" t="b">
        <v>0</v>
      </c>
      <c r="E310" s="2" t="b">
        <v>0</v>
      </c>
      <c r="F310" s="2" t="b">
        <v>0</v>
      </c>
      <c r="G310" s="2" t="s">
        <v>31</v>
      </c>
      <c r="H310" s="2" t="s">
        <v>1029</v>
      </c>
      <c r="I310" s="2" t="s">
        <v>1030</v>
      </c>
      <c r="J310" s="2" t="s">
        <v>1031</v>
      </c>
      <c r="K310" s="2" t="s">
        <v>35</v>
      </c>
      <c r="L310" s="2" t="s">
        <v>35</v>
      </c>
      <c r="M310" s="2" t="s">
        <v>35</v>
      </c>
      <c r="N310" s="2" t="s">
        <v>35</v>
      </c>
      <c r="O310" s="11">
        <v>44740.494386747683</v>
      </c>
      <c r="P310" s="11">
        <v>44740.494619872683</v>
      </c>
      <c r="Q310" s="27">
        <f t="shared" si="12"/>
        <v>2.3312499979510903E-4</v>
      </c>
      <c r="R310" s="65">
        <f t="shared" si="14"/>
        <v>1.2488078646128997E-3</v>
      </c>
      <c r="S310" s="2">
        <v>0</v>
      </c>
      <c r="T310" s="2" t="s">
        <v>36</v>
      </c>
      <c r="U310" s="2" t="s">
        <v>37</v>
      </c>
      <c r="V310" s="2" t="s">
        <v>38</v>
      </c>
      <c r="W310" s="2" t="s">
        <v>35</v>
      </c>
      <c r="X310" s="2" t="s">
        <v>35</v>
      </c>
      <c r="Y310" s="2" t="s">
        <v>35</v>
      </c>
      <c r="Z310" s="2" t="b">
        <v>0</v>
      </c>
      <c r="AA310" s="2" t="s">
        <v>35</v>
      </c>
      <c r="AB310" s="2" t="s">
        <v>35</v>
      </c>
      <c r="AC310" s="2">
        <v>4</v>
      </c>
      <c r="AD310" s="2" t="s">
        <v>35</v>
      </c>
      <c r="AE310" s="2" t="s">
        <v>941</v>
      </c>
      <c r="AF310" s="11">
        <v>44740.448611053238</v>
      </c>
      <c r="AG310" s="53"/>
      <c r="AH310" s="53" t="b">
        <f t="shared" si="13"/>
        <v>0</v>
      </c>
      <c r="AI310" s="54" t="str" cm="1">
        <f t="array" ref="AI310">TRANSPOSE(_xlfn._xlws.FILTER(images!L:L,images!F:F=Barrierenmessung!A310, ""))</f>
        <v>https://captureandgo.cloudlab.zhaw.ch/uploads/image_460bcbd9ec.jpg</v>
      </c>
      <c r="AJ310" s="2"/>
      <c r="AK310" s="2"/>
      <c r="AL310" s="2"/>
      <c r="AM310" s="2"/>
      <c r="AN310" s="2"/>
    </row>
    <row r="311" spans="1:40" ht="16" x14ac:dyDescent="0.2">
      <c r="A311" s="2" t="s">
        <v>1032</v>
      </c>
      <c r="B311" s="46">
        <v>310</v>
      </c>
      <c r="C311" s="2" t="b">
        <v>0</v>
      </c>
      <c r="D311" s="2" t="b">
        <v>0</v>
      </c>
      <c r="E311" s="2" t="b">
        <v>0</v>
      </c>
      <c r="F311" s="2" t="b">
        <v>0</v>
      </c>
      <c r="G311" s="2" t="s">
        <v>31</v>
      </c>
      <c r="H311" s="2" t="s">
        <v>1033</v>
      </c>
      <c r="I311" s="2" t="s">
        <v>1034</v>
      </c>
      <c r="J311" s="2" t="s">
        <v>35</v>
      </c>
      <c r="K311" s="2" t="s">
        <v>35</v>
      </c>
      <c r="L311" s="2" t="s">
        <v>35</v>
      </c>
      <c r="M311" s="2" t="s">
        <v>35</v>
      </c>
      <c r="N311" s="2" t="s">
        <v>35</v>
      </c>
      <c r="O311" s="11">
        <v>44740.494937523152</v>
      </c>
      <c r="P311" s="11">
        <v>44740.495197511576</v>
      </c>
      <c r="Q311" s="27">
        <f t="shared" si="12"/>
        <v>2.5998842465924099E-4</v>
      </c>
      <c r="R311" s="65">
        <f t="shared" si="14"/>
        <v>5.7763889344641939E-4</v>
      </c>
      <c r="S311" s="2">
        <v>0</v>
      </c>
      <c r="T311" s="2" t="s">
        <v>36</v>
      </c>
      <c r="U311" s="2" t="s">
        <v>37</v>
      </c>
      <c r="V311" s="2" t="s">
        <v>38</v>
      </c>
      <c r="W311" s="2" t="s">
        <v>35</v>
      </c>
      <c r="X311" s="2" t="s">
        <v>35</v>
      </c>
      <c r="Y311" s="2" t="s">
        <v>35</v>
      </c>
      <c r="Z311" s="2" t="b">
        <v>0</v>
      </c>
      <c r="AA311" s="2" t="s">
        <v>35</v>
      </c>
      <c r="AB311" s="2" t="s">
        <v>35</v>
      </c>
      <c r="AC311" s="2" t="s">
        <v>35</v>
      </c>
      <c r="AD311" s="2">
        <v>4</v>
      </c>
      <c r="AE311" s="2" t="s">
        <v>941</v>
      </c>
      <c r="AF311" s="11">
        <v>44740.448611053238</v>
      </c>
      <c r="AG311" s="53"/>
      <c r="AH311" s="53" t="b">
        <f t="shared" si="13"/>
        <v>0</v>
      </c>
      <c r="AI311" s="54" t="str" cm="1">
        <f t="array" ref="AI311:AK311">TRANSPOSE(_xlfn._xlws.FILTER(images!L:L,images!F:F=Barrierenmessung!A311, ""))</f>
        <v>https://captureandgo.cloudlab.zhaw.ch/uploads/image_42ecb79fc1.jpg</v>
      </c>
      <c r="AJ311" s="2" t="str">
        <v>https://captureandgo.cloudlab.zhaw.ch/uploads/image_f5a2d3fc85.jpg</v>
      </c>
      <c r="AK311" s="2" t="str">
        <v>https://captureandgo.cloudlab.zhaw.ch/uploads/image_751b74b89a.jpg</v>
      </c>
      <c r="AL311" s="2"/>
      <c r="AM311" s="2"/>
      <c r="AN311" s="2"/>
    </row>
    <row r="312" spans="1:40" ht="16" x14ac:dyDescent="0.2">
      <c r="A312" s="2" t="s">
        <v>1035</v>
      </c>
      <c r="B312" s="46">
        <v>311</v>
      </c>
      <c r="C312" s="2" t="b">
        <v>0</v>
      </c>
      <c r="D312" s="2" t="b">
        <v>0</v>
      </c>
      <c r="E312" s="2" t="b">
        <v>0</v>
      </c>
      <c r="F312" s="2" t="b">
        <v>0</v>
      </c>
      <c r="G312" s="2" t="s">
        <v>31</v>
      </c>
      <c r="H312" s="2" t="s">
        <v>1036</v>
      </c>
      <c r="I312" s="2" t="s">
        <v>1037</v>
      </c>
      <c r="J312" s="2" t="s">
        <v>1038</v>
      </c>
      <c r="K312" s="2" t="s">
        <v>35</v>
      </c>
      <c r="L312" s="2" t="s">
        <v>35</v>
      </c>
      <c r="M312" s="2" t="s">
        <v>35</v>
      </c>
      <c r="N312" s="2" t="s">
        <v>35</v>
      </c>
      <c r="O312" s="11">
        <v>44740.496797500004</v>
      </c>
      <c r="P312" s="11">
        <v>44740.497739942133</v>
      </c>
      <c r="Q312" s="27">
        <f t="shared" si="12"/>
        <v>9.4244212959893048E-4</v>
      </c>
      <c r="R312" s="65">
        <f t="shared" si="14"/>
        <v>2.5424305567867123E-3</v>
      </c>
      <c r="S312" s="2">
        <v>0</v>
      </c>
      <c r="T312" s="2" t="s">
        <v>109</v>
      </c>
      <c r="U312" s="2" t="s">
        <v>110</v>
      </c>
      <c r="V312" s="2" t="s">
        <v>38</v>
      </c>
      <c r="W312" s="2" t="s">
        <v>35</v>
      </c>
      <c r="X312" s="2">
        <v>0</v>
      </c>
      <c r="Y312" s="2" t="s">
        <v>979</v>
      </c>
      <c r="Z312" s="2" t="b">
        <v>0</v>
      </c>
      <c r="AA312" s="2" t="s">
        <v>35</v>
      </c>
      <c r="AB312" s="2" t="s">
        <v>35</v>
      </c>
      <c r="AC312" s="2" t="s">
        <v>35</v>
      </c>
      <c r="AD312" s="2" t="s">
        <v>35</v>
      </c>
      <c r="AE312" s="2" t="s">
        <v>941</v>
      </c>
      <c r="AF312" s="11">
        <v>44740.448611053238</v>
      </c>
      <c r="AG312" s="53"/>
      <c r="AH312" s="53" t="b">
        <f t="shared" si="13"/>
        <v>0</v>
      </c>
      <c r="AI312" s="54" t="str" cm="1">
        <f t="array" ref="AI312:AM312">TRANSPOSE(_xlfn._xlws.FILTER(images!L:L,images!F:F=Barrierenmessung!A312, ""))</f>
        <v>https://captureandgo.cloudlab.zhaw.ch/uploads/image_f6bc9d3b7f.jpg</v>
      </c>
      <c r="AJ312" s="2" t="str">
        <v>https://captureandgo.cloudlab.zhaw.ch/uploads/image_db7da66d48.jpg</v>
      </c>
      <c r="AK312" s="2" t="str">
        <v>https://captureandgo.cloudlab.zhaw.ch/uploads/image_0cea7b2fea.jpg</v>
      </c>
      <c r="AL312" s="2" t="str">
        <v>https://captureandgo.cloudlab.zhaw.ch/uploads/image_f1a5582920.jpg</v>
      </c>
      <c r="AM312" s="2" t="str">
        <v>https://captureandgo.cloudlab.zhaw.ch/uploads/image_a36e6ef0bb.jpg</v>
      </c>
      <c r="AN312" s="2"/>
    </row>
    <row r="313" spans="1:40" ht="16" x14ac:dyDescent="0.2">
      <c r="A313" s="2" t="s">
        <v>1039</v>
      </c>
      <c r="B313" s="46">
        <v>312</v>
      </c>
      <c r="C313" s="2" t="b">
        <v>0</v>
      </c>
      <c r="D313" s="2" t="b">
        <v>0</v>
      </c>
      <c r="E313" s="2" t="b">
        <v>0</v>
      </c>
      <c r="F313" s="2" t="b">
        <v>0</v>
      </c>
      <c r="G313" s="2" t="s">
        <v>31</v>
      </c>
      <c r="H313" s="2" t="s">
        <v>1040</v>
      </c>
      <c r="I313" s="2" t="s">
        <v>1041</v>
      </c>
      <c r="J313" s="2" t="s">
        <v>1038</v>
      </c>
      <c r="K313" s="2" t="s">
        <v>35</v>
      </c>
      <c r="L313" s="2" t="s">
        <v>35</v>
      </c>
      <c r="M313" s="2" t="s">
        <v>35</v>
      </c>
      <c r="N313" s="2" t="s">
        <v>35</v>
      </c>
      <c r="O313" s="11">
        <v>44740.498441655094</v>
      </c>
      <c r="P313" s="11">
        <v>44740.498886574074</v>
      </c>
      <c r="Q313" s="27">
        <f t="shared" si="12"/>
        <v>4.4491898006526753E-4</v>
      </c>
      <c r="R313" s="65">
        <f t="shared" si="14"/>
        <v>1.1466319410828874E-3</v>
      </c>
      <c r="S313" s="2">
        <v>0</v>
      </c>
      <c r="T313" s="2" t="s">
        <v>109</v>
      </c>
      <c r="U313" s="2" t="s">
        <v>110</v>
      </c>
      <c r="V313" s="2" t="s">
        <v>38</v>
      </c>
      <c r="W313" s="2" t="s">
        <v>35</v>
      </c>
      <c r="X313" s="2">
        <v>0</v>
      </c>
      <c r="Y313" s="2" t="s">
        <v>979</v>
      </c>
      <c r="Z313" s="2" t="b">
        <v>0</v>
      </c>
      <c r="AA313" s="2" t="s">
        <v>35</v>
      </c>
      <c r="AB313" s="2" t="s">
        <v>35</v>
      </c>
      <c r="AC313" s="2" t="s">
        <v>35</v>
      </c>
      <c r="AD313" s="2" t="s">
        <v>35</v>
      </c>
      <c r="AE313" s="2" t="s">
        <v>941</v>
      </c>
      <c r="AF313" s="11">
        <v>44740.448611053238</v>
      </c>
      <c r="AG313" s="53"/>
      <c r="AH313" s="53" t="b">
        <f t="shared" si="13"/>
        <v>0</v>
      </c>
      <c r="AI313" s="54" t="str" cm="1">
        <f t="array" ref="AI313">TRANSPOSE(_xlfn._xlws.FILTER(images!L:L,images!F:F=Barrierenmessung!A313, ""))</f>
        <v>https://captureandgo.cloudlab.zhaw.ch/uploads/image_d3c00c8a50.jpg</v>
      </c>
      <c r="AJ313" s="2"/>
      <c r="AK313" s="2"/>
      <c r="AL313" s="2"/>
      <c r="AM313" s="2"/>
      <c r="AN313" s="2"/>
    </row>
    <row r="314" spans="1:40" ht="16" x14ac:dyDescent="0.2">
      <c r="A314" s="68" t="s">
        <v>1042</v>
      </c>
      <c r="B314" s="68">
        <v>313</v>
      </c>
      <c r="C314" s="68" t="b">
        <v>0</v>
      </c>
      <c r="D314" s="68" t="b">
        <v>0</v>
      </c>
      <c r="E314" s="68" t="b">
        <v>0</v>
      </c>
      <c r="F314" s="68" t="b">
        <v>0</v>
      </c>
      <c r="G314" s="68" t="s">
        <v>31</v>
      </c>
      <c r="H314" s="68" t="s">
        <v>149</v>
      </c>
      <c r="I314" s="68" t="s">
        <v>1043</v>
      </c>
      <c r="J314" s="68" t="s">
        <v>35</v>
      </c>
      <c r="K314" s="68" t="s">
        <v>35</v>
      </c>
      <c r="L314" s="68" t="s">
        <v>35</v>
      </c>
      <c r="M314" s="68" t="s">
        <v>35</v>
      </c>
      <c r="N314" s="68" t="s">
        <v>35</v>
      </c>
      <c r="O314" s="69">
        <v>44740.499368055556</v>
      </c>
      <c r="P314" s="69">
        <v>44740.499604155091</v>
      </c>
      <c r="Q314" s="70">
        <f t="shared" si="12"/>
        <v>2.3609953495906666E-4</v>
      </c>
      <c r="R314" s="70">
        <f t="shared" si="14"/>
        <v>7.175810169428587E-4</v>
      </c>
      <c r="S314" s="68">
        <v>0</v>
      </c>
      <c r="T314" s="68" t="s">
        <v>36</v>
      </c>
      <c r="U314" s="68" t="s">
        <v>37</v>
      </c>
      <c r="V314" s="68" t="s">
        <v>38</v>
      </c>
      <c r="W314" s="68" t="s">
        <v>35</v>
      </c>
      <c r="X314" s="68" t="s">
        <v>35</v>
      </c>
      <c r="Y314" s="68" t="s">
        <v>35</v>
      </c>
      <c r="Z314" s="68" t="b">
        <v>0</v>
      </c>
      <c r="AA314" s="68" t="s">
        <v>35</v>
      </c>
      <c r="AB314" s="68" t="s">
        <v>35</v>
      </c>
      <c r="AC314" s="68" t="s">
        <v>35</v>
      </c>
      <c r="AD314" s="68">
        <v>4</v>
      </c>
      <c r="AE314" s="68" t="s">
        <v>941</v>
      </c>
      <c r="AF314" s="69">
        <v>44740.448611053238</v>
      </c>
      <c r="AG314" s="71"/>
      <c r="AH314" s="71" t="b">
        <f t="shared" si="13"/>
        <v>0</v>
      </c>
      <c r="AI314" s="56" t="str" cm="1">
        <f t="array" ref="AI314">TRANSPOSE(_xlfn._xlws.FILTER(images!L:L,images!F:F=Barrierenmessung!A314, ""))</f>
        <v/>
      </c>
      <c r="AJ314" s="68"/>
      <c r="AK314" s="68"/>
      <c r="AL314" s="68"/>
      <c r="AM314" s="68"/>
      <c r="AN314" s="68"/>
    </row>
    <row r="315" spans="1:40" ht="16" x14ac:dyDescent="0.2">
      <c r="A315" s="68" t="s">
        <v>1044</v>
      </c>
      <c r="B315" s="68">
        <v>314</v>
      </c>
      <c r="C315" s="68" t="b">
        <v>0</v>
      </c>
      <c r="D315" s="68" t="b">
        <v>0</v>
      </c>
      <c r="E315" s="68" t="b">
        <v>0</v>
      </c>
      <c r="F315" s="68" t="b">
        <v>0</v>
      </c>
      <c r="G315" s="68" t="s">
        <v>31</v>
      </c>
      <c r="H315" s="68" t="s">
        <v>149</v>
      </c>
      <c r="I315" s="68" t="s">
        <v>1045</v>
      </c>
      <c r="J315" s="68" t="s">
        <v>35</v>
      </c>
      <c r="K315" s="68" t="s">
        <v>35</v>
      </c>
      <c r="L315" s="68" t="s">
        <v>35</v>
      </c>
      <c r="M315" s="68" t="s">
        <v>35</v>
      </c>
      <c r="N315" s="68" t="s">
        <v>35</v>
      </c>
      <c r="O315" s="69">
        <v>44740.501539780096</v>
      </c>
      <c r="P315" s="69">
        <v>44740.501695624997</v>
      </c>
      <c r="Q315" s="70">
        <f t="shared" si="12"/>
        <v>1.5584490029141307E-4</v>
      </c>
      <c r="R315" s="70">
        <f t="shared" si="14"/>
        <v>2.0914699052809738E-3</v>
      </c>
      <c r="S315" s="68">
        <v>0</v>
      </c>
      <c r="T315" s="68" t="s">
        <v>36</v>
      </c>
      <c r="U315" s="68" t="s">
        <v>37</v>
      </c>
      <c r="V315" s="68" t="s">
        <v>38</v>
      </c>
      <c r="W315" s="68" t="s">
        <v>35</v>
      </c>
      <c r="X315" s="68" t="s">
        <v>35</v>
      </c>
      <c r="Y315" s="68" t="s">
        <v>35</v>
      </c>
      <c r="Z315" s="68" t="b">
        <v>0</v>
      </c>
      <c r="AA315" s="68" t="s">
        <v>35</v>
      </c>
      <c r="AB315" s="68" t="s">
        <v>35</v>
      </c>
      <c r="AC315" s="68" t="s">
        <v>35</v>
      </c>
      <c r="AD315" s="68">
        <v>3</v>
      </c>
      <c r="AE315" s="68" t="s">
        <v>941</v>
      </c>
      <c r="AF315" s="69">
        <v>44740.448611053238</v>
      </c>
      <c r="AG315" s="71"/>
      <c r="AH315" s="71" t="b">
        <f t="shared" si="13"/>
        <v>0</v>
      </c>
      <c r="AI315" s="56" t="str" cm="1">
        <f t="array" ref="AI315">TRANSPOSE(_xlfn._xlws.FILTER(images!L:L,images!F:F=Barrierenmessung!A315, ""))</f>
        <v/>
      </c>
      <c r="AJ315" s="68"/>
      <c r="AK315" s="68"/>
      <c r="AL315" s="68"/>
      <c r="AM315" s="68"/>
      <c r="AN315" s="68"/>
    </row>
    <row r="316" spans="1:40" ht="16" x14ac:dyDescent="0.2">
      <c r="A316" s="2" t="s">
        <v>1046</v>
      </c>
      <c r="B316" s="46">
        <v>315</v>
      </c>
      <c r="C316" s="2" t="b">
        <v>0</v>
      </c>
      <c r="D316" s="2" t="b">
        <v>0</v>
      </c>
      <c r="E316" s="2" t="b">
        <v>0</v>
      </c>
      <c r="F316" s="2" t="b">
        <v>0</v>
      </c>
      <c r="G316" s="2" t="s">
        <v>31</v>
      </c>
      <c r="H316" s="2" t="s">
        <v>1047</v>
      </c>
      <c r="I316" s="2" t="s">
        <v>1048</v>
      </c>
      <c r="J316" s="2" t="s">
        <v>35</v>
      </c>
      <c r="K316" s="2" t="s">
        <v>35</v>
      </c>
      <c r="L316" s="2" t="s">
        <v>35</v>
      </c>
      <c r="M316" s="2" t="s">
        <v>35</v>
      </c>
      <c r="N316" s="2" t="s">
        <v>35</v>
      </c>
      <c r="O316" s="11">
        <v>44740.502857939813</v>
      </c>
      <c r="P316" s="11">
        <v>44740.502968298613</v>
      </c>
      <c r="Q316" s="27">
        <f t="shared" si="12"/>
        <v>1.103588001569733E-4</v>
      </c>
      <c r="R316" s="65">
        <f t="shared" si="14"/>
        <v>1.2726736167678609E-3</v>
      </c>
      <c r="S316" s="2">
        <v>0</v>
      </c>
      <c r="T316" s="2" t="s">
        <v>36</v>
      </c>
      <c r="U316" s="2" t="s">
        <v>37</v>
      </c>
      <c r="V316" s="2" t="s">
        <v>38</v>
      </c>
      <c r="W316" s="2" t="s">
        <v>35</v>
      </c>
      <c r="X316" s="2" t="s">
        <v>35</v>
      </c>
      <c r="Y316" s="2" t="s">
        <v>35</v>
      </c>
      <c r="Z316" s="2" t="b">
        <v>0</v>
      </c>
      <c r="AA316" s="2" t="s">
        <v>35</v>
      </c>
      <c r="AB316" s="2" t="s">
        <v>35</v>
      </c>
      <c r="AC316" s="2" t="s">
        <v>35</v>
      </c>
      <c r="AD316" s="2">
        <v>2</v>
      </c>
      <c r="AE316" s="2" t="s">
        <v>941</v>
      </c>
      <c r="AF316" s="11">
        <v>44740.448611053238</v>
      </c>
      <c r="AG316" s="53"/>
      <c r="AH316" s="53" t="b">
        <f t="shared" si="13"/>
        <v>0</v>
      </c>
      <c r="AI316" s="54" t="str" cm="1">
        <f t="array" ref="AI316">TRANSPOSE(_xlfn._xlws.FILTER(images!L:L,images!F:F=Barrierenmessung!A316, ""))</f>
        <v>https://captureandgo.cloudlab.zhaw.ch/uploads/image_e147ef8623.jpg</v>
      </c>
      <c r="AJ316" s="2"/>
      <c r="AK316" s="2"/>
      <c r="AL316" s="2"/>
      <c r="AM316" s="2"/>
      <c r="AN316" s="2"/>
    </row>
    <row r="317" spans="1:40" ht="16" x14ac:dyDescent="0.2">
      <c r="A317" s="2" t="s">
        <v>1049</v>
      </c>
      <c r="B317" s="46">
        <v>316</v>
      </c>
      <c r="C317" s="2" t="b">
        <v>0</v>
      </c>
      <c r="D317" s="2" t="b">
        <v>0</v>
      </c>
      <c r="E317" s="2" t="b">
        <v>0</v>
      </c>
      <c r="F317" s="2" t="b">
        <v>0</v>
      </c>
      <c r="G317" s="2" t="s">
        <v>31</v>
      </c>
      <c r="H317" s="2" t="s">
        <v>1050</v>
      </c>
      <c r="I317" s="2" t="s">
        <v>1051</v>
      </c>
      <c r="J317" s="2" t="s">
        <v>35</v>
      </c>
      <c r="K317" s="2" t="s">
        <v>35</v>
      </c>
      <c r="L317" s="2" t="s">
        <v>35</v>
      </c>
      <c r="M317" s="2" t="s">
        <v>35</v>
      </c>
      <c r="N317" s="2" t="s">
        <v>35</v>
      </c>
      <c r="O317" s="11">
        <v>44740.504366597219</v>
      </c>
      <c r="P317" s="11">
        <v>44740.504527754631</v>
      </c>
      <c r="Q317" s="27">
        <f t="shared" si="12"/>
        <v>1.6115741163957864E-4</v>
      </c>
      <c r="R317" s="65">
        <f t="shared" si="14"/>
        <v>1.5594560172758065E-3</v>
      </c>
      <c r="S317" s="2">
        <v>0</v>
      </c>
      <c r="T317" s="2" t="s">
        <v>36</v>
      </c>
      <c r="U317" s="2" t="s">
        <v>37</v>
      </c>
      <c r="V317" s="2" t="s">
        <v>38</v>
      </c>
      <c r="W317" s="2" t="s">
        <v>35</v>
      </c>
      <c r="X317" s="2" t="s">
        <v>35</v>
      </c>
      <c r="Y317" s="2" t="s">
        <v>35</v>
      </c>
      <c r="Z317" s="2" t="b">
        <v>0</v>
      </c>
      <c r="AA317" s="2" t="s">
        <v>35</v>
      </c>
      <c r="AB317" s="2" t="s">
        <v>35</v>
      </c>
      <c r="AC317" s="2" t="s">
        <v>35</v>
      </c>
      <c r="AD317" s="2">
        <v>4</v>
      </c>
      <c r="AE317" s="2" t="s">
        <v>941</v>
      </c>
      <c r="AF317" s="11">
        <v>44740.448611053238</v>
      </c>
      <c r="AG317" s="53"/>
      <c r="AH317" s="53" t="b">
        <f t="shared" si="13"/>
        <v>0</v>
      </c>
      <c r="AI317" s="54" t="str" cm="1">
        <f t="array" ref="AI317">TRANSPOSE(_xlfn._xlws.FILTER(images!L:L,images!F:F=Barrierenmessung!A317, ""))</f>
        <v>https://captureandgo.cloudlab.zhaw.ch/uploads/image_e541d242a9.jpg</v>
      </c>
      <c r="AJ317" s="2"/>
      <c r="AK317" s="2"/>
      <c r="AL317" s="2"/>
      <c r="AM317" s="2"/>
      <c r="AN317" s="2"/>
    </row>
    <row r="318" spans="1:40" ht="16" x14ac:dyDescent="0.2">
      <c r="A318" s="2" t="s">
        <v>1052</v>
      </c>
      <c r="B318" s="46">
        <v>317</v>
      </c>
      <c r="C318" s="2" t="b">
        <v>0</v>
      </c>
      <c r="D318" s="2" t="b">
        <v>0</v>
      </c>
      <c r="E318" s="2" t="b">
        <v>0</v>
      </c>
      <c r="F318" s="2" t="b">
        <v>0</v>
      </c>
      <c r="G318" s="2" t="s">
        <v>31</v>
      </c>
      <c r="H318" s="2" t="s">
        <v>1053</v>
      </c>
      <c r="I318" s="2" t="s">
        <v>1054</v>
      </c>
      <c r="J318" s="2" t="s">
        <v>35</v>
      </c>
      <c r="K318" s="2" t="s">
        <v>35</v>
      </c>
      <c r="L318" s="2" t="s">
        <v>35</v>
      </c>
      <c r="M318" s="2">
        <v>3</v>
      </c>
      <c r="N318" s="2">
        <v>15</v>
      </c>
      <c r="O318" s="11">
        <v>44740.506672291667</v>
      </c>
      <c r="P318" s="11">
        <v>44740.506927175928</v>
      </c>
      <c r="Q318" s="27">
        <f t="shared" si="12"/>
        <v>2.5488426035735756E-4</v>
      </c>
      <c r="R318" s="65">
        <f t="shared" si="14"/>
        <v>2.3994212970137596E-3</v>
      </c>
      <c r="S318" s="2">
        <v>0</v>
      </c>
      <c r="T318" s="2" t="s">
        <v>54</v>
      </c>
      <c r="U318" s="2" t="s">
        <v>55</v>
      </c>
      <c r="V318" s="2" t="s">
        <v>38</v>
      </c>
      <c r="W318" s="2" t="s">
        <v>35</v>
      </c>
      <c r="X318" s="2" t="s">
        <v>35</v>
      </c>
      <c r="Y318" s="2" t="s">
        <v>35</v>
      </c>
      <c r="Z318" s="2" t="b">
        <v>0</v>
      </c>
      <c r="AA318" s="2" t="s">
        <v>35</v>
      </c>
      <c r="AB318" s="2" t="s">
        <v>35</v>
      </c>
      <c r="AC318" s="2" t="s">
        <v>35</v>
      </c>
      <c r="AD318" s="2" t="s">
        <v>35</v>
      </c>
      <c r="AE318" s="2" t="s">
        <v>941</v>
      </c>
      <c r="AF318" s="11">
        <v>44740.448611053238</v>
      </c>
      <c r="AG318" s="53"/>
      <c r="AH318" s="53" t="b">
        <f t="shared" si="13"/>
        <v>0</v>
      </c>
      <c r="AI318" s="54" t="str" cm="1">
        <f t="array" ref="AI318">TRANSPOSE(_xlfn._xlws.FILTER(images!L:L,images!F:F=Barrierenmessung!A318, ""))</f>
        <v>https://captureandgo.cloudlab.zhaw.ch/uploads/image_85823291b4.jpg</v>
      </c>
      <c r="AJ318" s="2"/>
      <c r="AK318" s="2"/>
      <c r="AL318" s="2"/>
      <c r="AM318" s="2"/>
      <c r="AN318" s="2"/>
    </row>
    <row r="319" spans="1:40" ht="16" x14ac:dyDescent="0.2">
      <c r="A319" s="2" t="s">
        <v>1055</v>
      </c>
      <c r="B319" s="46">
        <v>318</v>
      </c>
      <c r="C319" s="2" t="b">
        <v>0</v>
      </c>
      <c r="D319" s="2" t="b">
        <v>0</v>
      </c>
      <c r="E319" s="2" t="b">
        <v>0</v>
      </c>
      <c r="F319" s="2" t="b">
        <v>0</v>
      </c>
      <c r="G319" s="2" t="s">
        <v>31</v>
      </c>
      <c r="H319" s="2" t="s">
        <v>1056</v>
      </c>
      <c r="I319" s="2" t="s">
        <v>1057</v>
      </c>
      <c r="J319" s="2" t="s">
        <v>35</v>
      </c>
      <c r="K319" s="2" t="s">
        <v>35</v>
      </c>
      <c r="L319" s="2">
        <v>8</v>
      </c>
      <c r="M319" s="2" t="s">
        <v>35</v>
      </c>
      <c r="N319" s="2" t="s">
        <v>35</v>
      </c>
      <c r="O319" s="11">
        <v>44740.506985706015</v>
      </c>
      <c r="P319" s="11">
        <v>44740.507235543984</v>
      </c>
      <c r="Q319" s="27">
        <f t="shared" si="12"/>
        <v>2.4983796902233735E-4</v>
      </c>
      <c r="R319" s="65">
        <f t="shared" si="14"/>
        <v>3.0836805672151968E-4</v>
      </c>
      <c r="S319" s="2">
        <v>0</v>
      </c>
      <c r="T319" s="2" t="s">
        <v>265</v>
      </c>
      <c r="U319" s="2" t="s">
        <v>266</v>
      </c>
      <c r="V319" s="2" t="s">
        <v>38</v>
      </c>
      <c r="W319" s="2" t="s">
        <v>35</v>
      </c>
      <c r="X319" s="2" t="s">
        <v>35</v>
      </c>
      <c r="Y319" s="2" t="s">
        <v>35</v>
      </c>
      <c r="Z319" s="2" t="b">
        <v>0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2" t="s">
        <v>941</v>
      </c>
      <c r="AF319" s="11">
        <v>44740.448611053238</v>
      </c>
      <c r="AG319" s="53"/>
      <c r="AH319" s="53" t="b">
        <f t="shared" si="13"/>
        <v>0</v>
      </c>
      <c r="AI319" s="54" t="str" cm="1">
        <f t="array" ref="AI319">TRANSPOSE(_xlfn._xlws.FILTER(images!L:L,images!F:F=Barrierenmessung!A319, ""))</f>
        <v>https://captureandgo.cloudlab.zhaw.ch/uploads/image_60285acb51.jpg</v>
      </c>
      <c r="AJ319" s="2"/>
      <c r="AK319" s="2"/>
      <c r="AL319" s="2"/>
      <c r="AM319" s="2"/>
      <c r="AN319" s="2"/>
    </row>
    <row r="320" spans="1:40" ht="16" x14ac:dyDescent="0.2">
      <c r="A320" s="2" t="s">
        <v>1058</v>
      </c>
      <c r="B320" s="46">
        <v>319</v>
      </c>
      <c r="C320" s="2" t="b">
        <v>0</v>
      </c>
      <c r="D320" s="2" t="b">
        <v>0</v>
      </c>
      <c r="E320" s="2" t="b">
        <v>0</v>
      </c>
      <c r="F320" s="2" t="b">
        <v>0</v>
      </c>
      <c r="G320" s="2" t="s">
        <v>31</v>
      </c>
      <c r="H320" s="2" t="s">
        <v>1059</v>
      </c>
      <c r="I320" s="2" t="s">
        <v>1060</v>
      </c>
      <c r="J320" s="2" t="s">
        <v>35</v>
      </c>
      <c r="K320" s="2" t="s">
        <v>35</v>
      </c>
      <c r="L320" s="2" t="s">
        <v>35</v>
      </c>
      <c r="M320" s="2">
        <v>3</v>
      </c>
      <c r="N320" s="2">
        <v>15</v>
      </c>
      <c r="O320" s="11">
        <v>44740.508977511578</v>
      </c>
      <c r="P320" s="11">
        <v>44740.509178217595</v>
      </c>
      <c r="Q320" s="27">
        <f t="shared" si="12"/>
        <v>2.0070601749466732E-4</v>
      </c>
      <c r="R320" s="65">
        <f t="shared" si="14"/>
        <v>1.9426736107561737E-3</v>
      </c>
      <c r="S320" s="2">
        <v>0</v>
      </c>
      <c r="T320" s="2" t="s">
        <v>54</v>
      </c>
      <c r="U320" s="2" t="s">
        <v>55</v>
      </c>
      <c r="V320" s="2" t="s">
        <v>38</v>
      </c>
      <c r="W320" s="2" t="s">
        <v>35</v>
      </c>
      <c r="X320" s="2" t="s">
        <v>35</v>
      </c>
      <c r="Y320" s="2" t="s">
        <v>35</v>
      </c>
      <c r="Z320" s="2" t="b">
        <v>0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941</v>
      </c>
      <c r="AF320" s="11">
        <v>44740.448611053238</v>
      </c>
      <c r="AG320" s="53"/>
      <c r="AH320" s="53" t="b">
        <f t="shared" si="13"/>
        <v>0</v>
      </c>
      <c r="AI320" s="54" t="str" cm="1">
        <f t="array" ref="AI320">TRANSPOSE(_xlfn._xlws.FILTER(images!L:L,images!F:F=Barrierenmessung!A320, ""))</f>
        <v>https://captureandgo.cloudlab.zhaw.ch/uploads/image_3aa89dbf0b.jpg</v>
      </c>
      <c r="AJ320" s="2"/>
      <c r="AK320" s="2"/>
      <c r="AL320" s="2"/>
      <c r="AM320" s="2"/>
      <c r="AN320" s="2"/>
    </row>
    <row r="321" spans="1:40" ht="16" x14ac:dyDescent="0.2">
      <c r="A321" s="2" t="s">
        <v>1061</v>
      </c>
      <c r="B321" s="46">
        <v>320</v>
      </c>
      <c r="C321" s="2" t="b">
        <v>0</v>
      </c>
      <c r="D321" s="2" t="b">
        <v>0</v>
      </c>
      <c r="E321" s="2" t="b">
        <v>0</v>
      </c>
      <c r="F321" s="2" t="b">
        <v>0</v>
      </c>
      <c r="G321" s="2" t="s">
        <v>31</v>
      </c>
      <c r="H321" s="2" t="s">
        <v>1062</v>
      </c>
      <c r="I321" s="2" t="s">
        <v>1063</v>
      </c>
      <c r="J321" s="2" t="s">
        <v>35</v>
      </c>
      <c r="K321" s="2" t="s">
        <v>35</v>
      </c>
      <c r="L321" s="2">
        <v>10</v>
      </c>
      <c r="M321" s="2" t="s">
        <v>35</v>
      </c>
      <c r="N321" s="2" t="s">
        <v>35</v>
      </c>
      <c r="O321" s="11">
        <v>44740.509225266207</v>
      </c>
      <c r="P321" s="11">
        <v>44740.509412858795</v>
      </c>
      <c r="Q321" s="27">
        <f t="shared" si="12"/>
        <v>1.8759258819045499E-4</v>
      </c>
      <c r="R321" s="65">
        <f t="shared" si="14"/>
        <v>2.3464120022254065E-4</v>
      </c>
      <c r="S321" s="2">
        <v>0</v>
      </c>
      <c r="T321" s="2" t="s">
        <v>265</v>
      </c>
      <c r="U321" s="2" t="s">
        <v>266</v>
      </c>
      <c r="V321" s="2" t="s">
        <v>38</v>
      </c>
      <c r="W321" s="2" t="s">
        <v>35</v>
      </c>
      <c r="X321" s="2" t="s">
        <v>35</v>
      </c>
      <c r="Y321" s="2" t="s">
        <v>35</v>
      </c>
      <c r="Z321" s="2" t="b">
        <v>0</v>
      </c>
      <c r="AA321" s="2" t="s">
        <v>35</v>
      </c>
      <c r="AB321" s="2" t="s">
        <v>35</v>
      </c>
      <c r="AC321" s="2" t="s">
        <v>35</v>
      </c>
      <c r="AD321" s="2" t="s">
        <v>35</v>
      </c>
      <c r="AE321" s="2" t="s">
        <v>941</v>
      </c>
      <c r="AF321" s="11">
        <v>44740.448611053238</v>
      </c>
      <c r="AG321" s="53"/>
      <c r="AH321" s="53" t="b">
        <f t="shared" si="13"/>
        <v>0</v>
      </c>
      <c r="AI321" s="54" t="str" cm="1">
        <f t="array" ref="AI321">TRANSPOSE(_xlfn._xlws.FILTER(images!L:L,images!F:F=Barrierenmessung!A321, ""))</f>
        <v>https://captureandgo.cloudlab.zhaw.ch/uploads/image_92b55aba34.jpg</v>
      </c>
      <c r="AJ321" s="2"/>
      <c r="AK321" s="2"/>
      <c r="AL321" s="2"/>
      <c r="AM321" s="2"/>
      <c r="AN321" s="2"/>
    </row>
    <row r="322" spans="1:40" ht="16" x14ac:dyDescent="0.2">
      <c r="A322" s="2" t="s">
        <v>1064</v>
      </c>
      <c r="B322" s="46">
        <v>321</v>
      </c>
      <c r="C322" s="2" t="b">
        <v>0</v>
      </c>
      <c r="D322" s="2" t="b">
        <v>0</v>
      </c>
      <c r="E322" s="2" t="b">
        <v>0</v>
      </c>
      <c r="F322" s="2" t="b">
        <v>0</v>
      </c>
      <c r="G322" s="2" t="s">
        <v>31</v>
      </c>
      <c r="H322" s="2" t="s">
        <v>1065</v>
      </c>
      <c r="I322" s="2" t="s">
        <v>1066</v>
      </c>
      <c r="J322" s="2" t="s">
        <v>35</v>
      </c>
      <c r="K322" s="2" t="s">
        <v>35</v>
      </c>
      <c r="L322" s="2" t="s">
        <v>35</v>
      </c>
      <c r="M322" s="2">
        <v>2</v>
      </c>
      <c r="N322" s="2">
        <v>16</v>
      </c>
      <c r="O322" s="11">
        <v>44740.510803761572</v>
      </c>
      <c r="P322" s="11">
        <v>44740.511019560188</v>
      </c>
      <c r="Q322" s="27">
        <f t="shared" ref="Q322:Q385" si="15">P322-O322</f>
        <v>2.1579861640930176E-4</v>
      </c>
      <c r="R322" s="65">
        <f t="shared" si="14"/>
        <v>1.6067013930296525E-3</v>
      </c>
      <c r="S322" s="2">
        <v>0</v>
      </c>
      <c r="T322" s="2" t="s">
        <v>54</v>
      </c>
      <c r="U322" s="2" t="s">
        <v>55</v>
      </c>
      <c r="V322" s="2" t="s">
        <v>38</v>
      </c>
      <c r="W322" s="2" t="s">
        <v>35</v>
      </c>
      <c r="X322" s="2" t="s">
        <v>35</v>
      </c>
      <c r="Y322" s="2" t="s">
        <v>35</v>
      </c>
      <c r="Z322" s="2" t="b">
        <v>0</v>
      </c>
      <c r="AA322" s="2" t="s">
        <v>35</v>
      </c>
      <c r="AB322" s="2" t="s">
        <v>35</v>
      </c>
      <c r="AC322" s="2" t="s">
        <v>35</v>
      </c>
      <c r="AD322" s="2" t="s">
        <v>35</v>
      </c>
      <c r="AE322" s="2" t="s">
        <v>941</v>
      </c>
      <c r="AF322" s="11">
        <v>44740.448611053238</v>
      </c>
      <c r="AG322" s="53"/>
      <c r="AH322" s="53" t="b">
        <f t="shared" si="13"/>
        <v>0</v>
      </c>
      <c r="AI322" s="54" t="str" cm="1">
        <f t="array" ref="AI322">TRANSPOSE(_xlfn._xlws.FILTER(images!L:L,images!F:F=Barrierenmessung!A322, ""))</f>
        <v>https://captureandgo.cloudlab.zhaw.ch/uploads/image_45161042d5.jpg</v>
      </c>
      <c r="AJ322" s="2"/>
      <c r="AK322" s="2"/>
      <c r="AL322" s="2"/>
      <c r="AM322" s="2"/>
      <c r="AN322" s="2"/>
    </row>
    <row r="323" spans="1:40" ht="16" x14ac:dyDescent="0.2">
      <c r="A323" s="2" t="s">
        <v>1067</v>
      </c>
      <c r="B323" s="46">
        <v>322</v>
      </c>
      <c r="C323" s="2" t="b">
        <v>0</v>
      </c>
      <c r="D323" s="2" t="b">
        <v>0</v>
      </c>
      <c r="E323" s="2" t="b">
        <v>0</v>
      </c>
      <c r="F323" s="2" t="b">
        <v>0</v>
      </c>
      <c r="G323" s="2" t="s">
        <v>31</v>
      </c>
      <c r="H323" s="2" t="s">
        <v>1068</v>
      </c>
      <c r="I323" s="2" t="s">
        <v>1066</v>
      </c>
      <c r="J323" s="2" t="s">
        <v>35</v>
      </c>
      <c r="K323" s="2" t="s">
        <v>35</v>
      </c>
      <c r="L323" s="2">
        <v>8</v>
      </c>
      <c r="M323" s="2" t="s">
        <v>35</v>
      </c>
      <c r="N323" s="2" t="s">
        <v>35</v>
      </c>
      <c r="O323" s="11">
        <v>44740.511101956021</v>
      </c>
      <c r="P323" s="11">
        <v>44740.511341990743</v>
      </c>
      <c r="Q323" s="27">
        <f t="shared" si="15"/>
        <v>2.4003472208278254E-4</v>
      </c>
      <c r="R323" s="65">
        <f t="shared" si="14"/>
        <v>3.2243055466096848E-4</v>
      </c>
      <c r="S323" s="2">
        <v>0</v>
      </c>
      <c r="T323" s="2" t="s">
        <v>265</v>
      </c>
      <c r="U323" s="2" t="s">
        <v>266</v>
      </c>
      <c r="V323" s="2" t="s">
        <v>38</v>
      </c>
      <c r="W323" s="2" t="s">
        <v>35</v>
      </c>
      <c r="X323" s="2" t="s">
        <v>35</v>
      </c>
      <c r="Y323" s="2" t="s">
        <v>35</v>
      </c>
      <c r="Z323" s="2" t="b">
        <v>0</v>
      </c>
      <c r="AA323" s="2" t="s">
        <v>35</v>
      </c>
      <c r="AB323" s="2" t="s">
        <v>35</v>
      </c>
      <c r="AC323" s="2" t="s">
        <v>35</v>
      </c>
      <c r="AD323" s="2" t="s">
        <v>35</v>
      </c>
      <c r="AE323" s="2" t="s">
        <v>941</v>
      </c>
      <c r="AF323" s="11">
        <v>44740.448611053238</v>
      </c>
      <c r="AG323" s="53"/>
      <c r="AH323" s="53" t="b">
        <f t="shared" ref="AH323:AH386" si="16">IF(Q323&lt;TIME(0,0,1),"TRUE")</f>
        <v>0</v>
      </c>
      <c r="AI323" s="54" t="str" cm="1">
        <f t="array" ref="AI323">TRANSPOSE(_xlfn._xlws.FILTER(images!L:L,images!F:F=Barrierenmessung!A323, ""))</f>
        <v>https://captureandgo.cloudlab.zhaw.ch/uploads/image_cd3f6295ca.jpg</v>
      </c>
      <c r="AJ323" s="2"/>
      <c r="AK323" s="2"/>
      <c r="AL323" s="2"/>
      <c r="AM323" s="2"/>
      <c r="AN323" s="2"/>
    </row>
    <row r="324" spans="1:40" ht="16" x14ac:dyDescent="0.2">
      <c r="A324" s="2" t="s">
        <v>1069</v>
      </c>
      <c r="B324" s="46">
        <v>323</v>
      </c>
      <c r="C324" s="2" t="b">
        <v>0</v>
      </c>
      <c r="D324" s="2" t="b">
        <v>0</v>
      </c>
      <c r="E324" s="2" t="b">
        <v>0</v>
      </c>
      <c r="F324" s="2" t="b">
        <v>0</v>
      </c>
      <c r="G324" s="2" t="s">
        <v>31</v>
      </c>
      <c r="H324" s="2" t="s">
        <v>1070</v>
      </c>
      <c r="I324" s="2" t="s">
        <v>1071</v>
      </c>
      <c r="J324" s="2" t="s">
        <v>35</v>
      </c>
      <c r="K324" s="2" t="s">
        <v>35</v>
      </c>
      <c r="L324" s="2" t="s">
        <v>35</v>
      </c>
      <c r="M324" s="2" t="s">
        <v>35</v>
      </c>
      <c r="N324" s="2" t="s">
        <v>35</v>
      </c>
      <c r="O324" s="11">
        <v>44740.515258611114</v>
      </c>
      <c r="P324" s="11">
        <v>44740.515367974534</v>
      </c>
      <c r="Q324" s="27">
        <f t="shared" si="15"/>
        <v>1.0936342005152255E-4</v>
      </c>
      <c r="R324" s="65">
        <f t="shared" si="14"/>
        <v>4.0259837915073149E-3</v>
      </c>
      <c r="S324" s="2">
        <v>0</v>
      </c>
      <c r="T324" s="2" t="s">
        <v>36</v>
      </c>
      <c r="U324" s="2" t="s">
        <v>37</v>
      </c>
      <c r="V324" s="2" t="s">
        <v>38</v>
      </c>
      <c r="W324" s="2" t="s">
        <v>35</v>
      </c>
      <c r="X324" s="2" t="s">
        <v>35</v>
      </c>
      <c r="Y324" s="2" t="s">
        <v>35</v>
      </c>
      <c r="Z324" s="2" t="b">
        <v>0</v>
      </c>
      <c r="AA324" s="2" t="s">
        <v>35</v>
      </c>
      <c r="AB324" s="2" t="s">
        <v>35</v>
      </c>
      <c r="AC324" s="2" t="s">
        <v>35</v>
      </c>
      <c r="AD324" s="2">
        <v>3</v>
      </c>
      <c r="AE324" s="2" t="s">
        <v>941</v>
      </c>
      <c r="AF324" s="11">
        <v>44740.448611053238</v>
      </c>
      <c r="AG324" s="53"/>
      <c r="AH324" s="53" t="b">
        <f t="shared" si="16"/>
        <v>0</v>
      </c>
      <c r="AI324" s="54" t="str" cm="1">
        <f t="array" ref="AI324">TRANSPOSE(_xlfn._xlws.FILTER(images!L:L,images!F:F=Barrierenmessung!A324, ""))</f>
        <v>https://captureandgo.cloudlab.zhaw.ch/uploads/image_eca5af93a5.jpg</v>
      </c>
      <c r="AJ324" s="2"/>
      <c r="AK324" s="2"/>
      <c r="AL324" s="2"/>
      <c r="AM324" s="2"/>
      <c r="AN324" s="2"/>
    </row>
    <row r="325" spans="1:40" ht="16" x14ac:dyDescent="0.2">
      <c r="A325" s="2" t="s">
        <v>1072</v>
      </c>
      <c r="B325" s="46">
        <v>324</v>
      </c>
      <c r="C325" s="2" t="b">
        <v>0</v>
      </c>
      <c r="D325" s="2" t="b">
        <v>0</v>
      </c>
      <c r="E325" s="2" t="b">
        <v>0</v>
      </c>
      <c r="F325" s="2" t="b">
        <v>0</v>
      </c>
      <c r="G325" s="2" t="s">
        <v>31</v>
      </c>
      <c r="H325" s="2" t="s">
        <v>1073</v>
      </c>
      <c r="I325" s="2" t="s">
        <v>1074</v>
      </c>
      <c r="J325" s="2" t="s">
        <v>114</v>
      </c>
      <c r="K325" s="2" t="s">
        <v>35</v>
      </c>
      <c r="L325" s="2" t="s">
        <v>35</v>
      </c>
      <c r="M325" s="2" t="s">
        <v>35</v>
      </c>
      <c r="N325" s="2" t="s">
        <v>35</v>
      </c>
      <c r="O325" s="11">
        <v>44740.51988122685</v>
      </c>
      <c r="P325" s="11">
        <v>44740.520257037038</v>
      </c>
      <c r="Q325" s="27">
        <f t="shared" si="15"/>
        <v>3.7581018841592595E-4</v>
      </c>
      <c r="R325" s="65">
        <f t="shared" ref="R325:R388" si="17">MIN(P325-P324, P325-AF325)</f>
        <v>4.8890625039348379E-3</v>
      </c>
      <c r="S325" s="2">
        <v>0</v>
      </c>
      <c r="T325" s="2" t="s">
        <v>109</v>
      </c>
      <c r="U325" s="2" t="s">
        <v>110</v>
      </c>
      <c r="V325" s="2" t="s">
        <v>38</v>
      </c>
      <c r="W325" s="2" t="s">
        <v>35</v>
      </c>
      <c r="X325" s="2">
        <v>0</v>
      </c>
      <c r="Y325" s="2" t="s">
        <v>979</v>
      </c>
      <c r="Z325" s="2" t="b">
        <v>0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941</v>
      </c>
      <c r="AF325" s="11">
        <v>44740.448611053238</v>
      </c>
      <c r="AG325" s="53"/>
      <c r="AH325" s="53" t="b">
        <f t="shared" si="16"/>
        <v>0</v>
      </c>
      <c r="AI325" s="54" t="str" cm="1">
        <f t="array" ref="AI325">TRANSPOSE(_xlfn._xlws.FILTER(images!L:L,images!F:F=Barrierenmessung!A325, ""))</f>
        <v>https://captureandgo.cloudlab.zhaw.ch/uploads/image_0cbe3a9166.jpg</v>
      </c>
      <c r="AJ325" s="2"/>
      <c r="AK325" s="2"/>
      <c r="AL325" s="2"/>
      <c r="AM325" s="2"/>
      <c r="AN325" s="2"/>
    </row>
    <row r="326" spans="1:40" ht="16" x14ac:dyDescent="0.2">
      <c r="A326" s="68" t="s">
        <v>1075</v>
      </c>
      <c r="B326" s="68">
        <v>325</v>
      </c>
      <c r="C326" s="68" t="b">
        <v>0</v>
      </c>
      <c r="D326" s="68" t="b">
        <v>0</v>
      </c>
      <c r="E326" s="68" t="b">
        <v>0</v>
      </c>
      <c r="F326" s="68" t="b">
        <v>0</v>
      </c>
      <c r="G326" s="68" t="s">
        <v>31</v>
      </c>
      <c r="H326" s="68" t="s">
        <v>149</v>
      </c>
      <c r="I326" s="68" t="s">
        <v>1076</v>
      </c>
      <c r="J326" s="68" t="s">
        <v>114</v>
      </c>
      <c r="K326" s="68" t="s">
        <v>35</v>
      </c>
      <c r="L326" s="68" t="s">
        <v>35</v>
      </c>
      <c r="M326" s="68" t="s">
        <v>35</v>
      </c>
      <c r="N326" s="68" t="s">
        <v>35</v>
      </c>
      <c r="O326" s="69">
        <v>44740.520495937497</v>
      </c>
      <c r="P326" s="69">
        <v>44740.520821273145</v>
      </c>
      <c r="Q326" s="70">
        <f t="shared" si="15"/>
        <v>3.2533564808545634E-4</v>
      </c>
      <c r="R326" s="70">
        <f t="shared" si="17"/>
        <v>5.642361065838486E-4</v>
      </c>
      <c r="S326" s="68">
        <v>0</v>
      </c>
      <c r="T326" s="68" t="s">
        <v>109</v>
      </c>
      <c r="U326" s="68" t="s">
        <v>110</v>
      </c>
      <c r="V326" s="68" t="s">
        <v>38</v>
      </c>
      <c r="W326" s="68" t="s">
        <v>35</v>
      </c>
      <c r="X326" s="68">
        <v>0</v>
      </c>
      <c r="Y326" s="68" t="s">
        <v>979</v>
      </c>
      <c r="Z326" s="68" t="b">
        <v>0</v>
      </c>
      <c r="AA326" s="68" t="s">
        <v>35</v>
      </c>
      <c r="AB326" s="68" t="s">
        <v>35</v>
      </c>
      <c r="AC326" s="68" t="s">
        <v>35</v>
      </c>
      <c r="AD326" s="68" t="s">
        <v>35</v>
      </c>
      <c r="AE326" s="68" t="s">
        <v>941</v>
      </c>
      <c r="AF326" s="69">
        <v>44740.448611053238</v>
      </c>
      <c r="AG326" s="71"/>
      <c r="AH326" s="71" t="b">
        <f t="shared" si="16"/>
        <v>0</v>
      </c>
      <c r="AI326" s="56" t="str" cm="1">
        <f t="array" ref="AI326">TRANSPOSE(_xlfn._xlws.FILTER(images!L:L,images!F:F=Barrierenmessung!A326, ""))</f>
        <v/>
      </c>
      <c r="AJ326" s="68"/>
      <c r="AK326" s="68"/>
      <c r="AL326" s="68"/>
      <c r="AM326" s="68"/>
      <c r="AN326" s="68"/>
    </row>
    <row r="327" spans="1:40" ht="16" x14ac:dyDescent="0.2">
      <c r="A327" s="2" t="s">
        <v>1077</v>
      </c>
      <c r="B327" s="46">
        <v>326</v>
      </c>
      <c r="C327" s="2" t="b">
        <v>0</v>
      </c>
      <c r="D327" s="2" t="b">
        <v>0</v>
      </c>
      <c r="E327" s="2" t="b">
        <v>0</v>
      </c>
      <c r="F327" s="2" t="b">
        <v>0</v>
      </c>
      <c r="G327" s="2" t="s">
        <v>31</v>
      </c>
      <c r="H327" s="2" t="s">
        <v>1078</v>
      </c>
      <c r="I327" s="2" t="s">
        <v>1079</v>
      </c>
      <c r="J327" s="2" t="s">
        <v>1080</v>
      </c>
      <c r="K327" s="2" t="s">
        <v>35</v>
      </c>
      <c r="L327" s="2" t="s">
        <v>35</v>
      </c>
      <c r="M327" s="2" t="s">
        <v>35</v>
      </c>
      <c r="N327" s="2" t="s">
        <v>35</v>
      </c>
      <c r="O327" s="11">
        <v>44740.520946053242</v>
      </c>
      <c r="P327" s="11">
        <v>44740.522066712962</v>
      </c>
      <c r="Q327" s="27">
        <f t="shared" si="15"/>
        <v>1.1206597191630863E-3</v>
      </c>
      <c r="R327" s="65">
        <f t="shared" si="17"/>
        <v>1.2454398165573366E-3</v>
      </c>
      <c r="S327" s="2">
        <v>0</v>
      </c>
      <c r="T327" s="2" t="s">
        <v>100</v>
      </c>
      <c r="U327" s="2" t="s">
        <v>101</v>
      </c>
      <c r="V327" s="2" t="s">
        <v>38</v>
      </c>
      <c r="W327" s="2" t="s">
        <v>35</v>
      </c>
      <c r="X327" s="2">
        <v>45</v>
      </c>
      <c r="Y327" s="2" t="s">
        <v>35</v>
      </c>
      <c r="Z327" s="2" t="b">
        <v>0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941</v>
      </c>
      <c r="AF327" s="11">
        <v>44740.448611053238</v>
      </c>
      <c r="AG327" s="53"/>
      <c r="AH327" s="53" t="b">
        <f t="shared" si="16"/>
        <v>0</v>
      </c>
      <c r="AI327" s="54" t="str" cm="1">
        <f t="array" ref="AI327">TRANSPOSE(_xlfn._xlws.FILTER(images!L:L,images!F:F=Barrierenmessung!A327, ""))</f>
        <v>https://captureandgo.cloudlab.zhaw.ch/uploads/image_75e11c74a0.jpg</v>
      </c>
      <c r="AJ327" s="2"/>
      <c r="AK327" s="2"/>
      <c r="AL327" s="2"/>
      <c r="AM327" s="2"/>
      <c r="AN327" s="2"/>
    </row>
    <row r="328" spans="1:40" ht="16" x14ac:dyDescent="0.2">
      <c r="A328" s="2" t="s">
        <v>1081</v>
      </c>
      <c r="B328" s="46">
        <v>327</v>
      </c>
      <c r="C328" s="2" t="b">
        <v>0</v>
      </c>
      <c r="D328" s="2" t="b">
        <v>0</v>
      </c>
      <c r="E328" s="2" t="b">
        <v>0</v>
      </c>
      <c r="F328" s="2" t="b">
        <v>1</v>
      </c>
      <c r="G328" s="2" t="s">
        <v>31</v>
      </c>
      <c r="H328" s="2" t="s">
        <v>1082</v>
      </c>
      <c r="I328" s="2" t="s">
        <v>1083</v>
      </c>
      <c r="J328" s="2" t="s">
        <v>1084</v>
      </c>
      <c r="K328" s="2" t="s">
        <v>35</v>
      </c>
      <c r="L328" s="2">
        <v>8</v>
      </c>
      <c r="M328" s="2" t="s">
        <v>35</v>
      </c>
      <c r="N328" s="2" t="s">
        <v>35</v>
      </c>
      <c r="O328" s="11">
        <v>44740.525639050924</v>
      </c>
      <c r="P328" s="11">
        <v>44740.526760486115</v>
      </c>
      <c r="Q328" s="27">
        <f t="shared" si="15"/>
        <v>1.1214351907256059E-3</v>
      </c>
      <c r="R328" s="65">
        <f t="shared" si="17"/>
        <v>4.6937731531215832E-3</v>
      </c>
      <c r="S328" s="2">
        <v>0</v>
      </c>
      <c r="T328" s="2" t="s">
        <v>265</v>
      </c>
      <c r="U328" s="2" t="s">
        <v>266</v>
      </c>
      <c r="V328" s="2" t="s">
        <v>38</v>
      </c>
      <c r="W328" s="2" t="s">
        <v>35</v>
      </c>
      <c r="X328" s="2" t="s">
        <v>35</v>
      </c>
      <c r="Y328" s="2" t="s">
        <v>35</v>
      </c>
      <c r="Z328" s="2" t="b">
        <v>0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941</v>
      </c>
      <c r="AF328" s="11">
        <v>44740.448611053238</v>
      </c>
      <c r="AG328" s="53"/>
      <c r="AH328" s="53" t="b">
        <f t="shared" si="16"/>
        <v>0</v>
      </c>
      <c r="AI328" s="54" t="str" cm="1">
        <f t="array" ref="AI328">TRANSPOSE(_xlfn._xlws.FILTER(images!L:L,images!F:F=Barrierenmessung!A328, ""))</f>
        <v>https://captureandgo.cloudlab.zhaw.ch/uploads/image_78b295f9aa.jpg</v>
      </c>
      <c r="AJ328" s="2"/>
      <c r="AK328" s="2"/>
      <c r="AL328" s="2"/>
      <c r="AM328" s="2"/>
      <c r="AN328" s="2"/>
    </row>
    <row r="329" spans="1:40" ht="16" x14ac:dyDescent="0.2">
      <c r="A329" s="2" t="s">
        <v>1085</v>
      </c>
      <c r="B329" s="46">
        <v>328</v>
      </c>
      <c r="C329" s="2" t="b">
        <v>0</v>
      </c>
      <c r="D329" s="2" t="b">
        <v>0</v>
      </c>
      <c r="E329" s="2" t="b">
        <v>0</v>
      </c>
      <c r="F329" s="2" t="b">
        <v>0</v>
      </c>
      <c r="G329" s="2" t="s">
        <v>31</v>
      </c>
      <c r="H329" s="2" t="s">
        <v>1086</v>
      </c>
      <c r="I329" s="2" t="s">
        <v>1087</v>
      </c>
      <c r="J329" s="2" t="s">
        <v>940</v>
      </c>
      <c r="K329" s="2" t="s">
        <v>35</v>
      </c>
      <c r="L329" s="2" t="s">
        <v>35</v>
      </c>
      <c r="M329" s="2" t="s">
        <v>35</v>
      </c>
      <c r="N329" s="2" t="s">
        <v>35</v>
      </c>
      <c r="O329" s="11">
        <v>44740.528336898147</v>
      </c>
      <c r="P329" s="11">
        <v>44740.528766030089</v>
      </c>
      <c r="Q329" s="27">
        <f t="shared" si="15"/>
        <v>4.2913194192806259E-4</v>
      </c>
      <c r="R329" s="65">
        <f t="shared" si="17"/>
        <v>2.0055439745192416E-3</v>
      </c>
      <c r="S329" s="2">
        <v>0</v>
      </c>
      <c r="T329" s="2" t="s">
        <v>124</v>
      </c>
      <c r="U329" s="2" t="s">
        <v>125</v>
      </c>
      <c r="V329" s="2" t="s">
        <v>38</v>
      </c>
      <c r="W329" s="2" t="s">
        <v>35</v>
      </c>
      <c r="X329" s="2" t="s">
        <v>35</v>
      </c>
      <c r="Y329" s="2" t="s">
        <v>35</v>
      </c>
      <c r="Z329" s="2" t="b">
        <v>0</v>
      </c>
      <c r="AA329" s="2" t="s">
        <v>35</v>
      </c>
      <c r="AB329" s="2">
        <v>4</v>
      </c>
      <c r="AC329" s="2" t="s">
        <v>35</v>
      </c>
      <c r="AD329" s="2" t="s">
        <v>35</v>
      </c>
      <c r="AE329" s="2" t="s">
        <v>941</v>
      </c>
      <c r="AF329" s="11">
        <v>44740.448611053238</v>
      </c>
      <c r="AG329" s="53"/>
      <c r="AH329" s="53" t="b">
        <f t="shared" si="16"/>
        <v>0</v>
      </c>
      <c r="AI329" s="54" t="str" cm="1">
        <f t="array" ref="AI329">TRANSPOSE(_xlfn._xlws.FILTER(images!L:L,images!F:F=Barrierenmessung!A329, ""))</f>
        <v>https://captureandgo.cloudlab.zhaw.ch/uploads/image_2d20b73a8e.jpg</v>
      </c>
      <c r="AJ329" s="2"/>
      <c r="AK329" s="2"/>
      <c r="AL329" s="2"/>
      <c r="AM329" s="2"/>
      <c r="AN329" s="2"/>
    </row>
    <row r="330" spans="1:40" ht="16" x14ac:dyDescent="0.2">
      <c r="A330" s="2" t="s">
        <v>1088</v>
      </c>
      <c r="B330" s="46">
        <v>329</v>
      </c>
      <c r="C330" s="2" t="b">
        <v>0</v>
      </c>
      <c r="D330" s="2" t="b">
        <v>0</v>
      </c>
      <c r="E330" s="2" t="b">
        <v>0</v>
      </c>
      <c r="F330" s="2" t="b">
        <v>0</v>
      </c>
      <c r="G330" s="2" t="s">
        <v>31</v>
      </c>
      <c r="H330" s="2" t="s">
        <v>1089</v>
      </c>
      <c r="I330" s="2" t="s">
        <v>1090</v>
      </c>
      <c r="J330" s="2" t="s">
        <v>1091</v>
      </c>
      <c r="K330" s="2" t="s">
        <v>35</v>
      </c>
      <c r="L330" s="2" t="s">
        <v>35</v>
      </c>
      <c r="M330" s="2" t="s">
        <v>35</v>
      </c>
      <c r="N330" s="2" t="s">
        <v>35</v>
      </c>
      <c r="O330" s="11">
        <v>44740.528899328703</v>
      </c>
      <c r="P330" s="11">
        <v>44740.52940255787</v>
      </c>
      <c r="Q330" s="27">
        <f t="shared" si="15"/>
        <v>5.032291664974764E-4</v>
      </c>
      <c r="R330" s="65">
        <f t="shared" si="17"/>
        <v>6.3652778044342995E-4</v>
      </c>
      <c r="S330" s="2">
        <v>0</v>
      </c>
      <c r="T330" s="2" t="s">
        <v>109</v>
      </c>
      <c r="U330" s="2" t="s">
        <v>110</v>
      </c>
      <c r="V330" s="2" t="s">
        <v>38</v>
      </c>
      <c r="W330" s="2" t="s">
        <v>35</v>
      </c>
      <c r="X330" s="2">
        <v>0</v>
      </c>
      <c r="Y330" s="2" t="s">
        <v>979</v>
      </c>
      <c r="Z330" s="2" t="b">
        <v>0</v>
      </c>
      <c r="AA330" s="2" t="s">
        <v>35</v>
      </c>
      <c r="AB330" s="2" t="s">
        <v>35</v>
      </c>
      <c r="AC330" s="2" t="s">
        <v>35</v>
      </c>
      <c r="AD330" s="2" t="s">
        <v>35</v>
      </c>
      <c r="AE330" s="2" t="s">
        <v>941</v>
      </c>
      <c r="AF330" s="11">
        <v>44740.448611053238</v>
      </c>
      <c r="AG330" s="53"/>
      <c r="AH330" s="53" t="b">
        <f t="shared" si="16"/>
        <v>0</v>
      </c>
      <c r="AI330" s="54" t="str" cm="1">
        <f t="array" ref="AI330">TRANSPOSE(_xlfn._xlws.FILTER(images!L:L,images!F:F=Barrierenmessung!A330, ""))</f>
        <v>https://captureandgo.cloudlab.zhaw.ch/uploads/image_1e9cfd9226.jpg</v>
      </c>
      <c r="AJ330" s="2"/>
      <c r="AK330" s="2"/>
      <c r="AL330" s="2"/>
      <c r="AM330" s="2"/>
      <c r="AN330" s="2"/>
    </row>
    <row r="331" spans="1:40" ht="16" x14ac:dyDescent="0.2">
      <c r="A331" s="2" t="s">
        <v>1092</v>
      </c>
      <c r="B331" s="46">
        <v>330</v>
      </c>
      <c r="C331" s="2" t="b">
        <v>0</v>
      </c>
      <c r="D331" s="2" t="b">
        <v>0</v>
      </c>
      <c r="E331" s="2" t="b">
        <v>0</v>
      </c>
      <c r="F331" s="2" t="b">
        <v>1</v>
      </c>
      <c r="G331" s="2" t="s">
        <v>31</v>
      </c>
      <c r="H331" s="2" t="s">
        <v>1093</v>
      </c>
      <c r="I331" s="2" t="s">
        <v>1094</v>
      </c>
      <c r="J331" s="2" t="s">
        <v>1095</v>
      </c>
      <c r="K331" s="2" t="s">
        <v>35</v>
      </c>
      <c r="L331" s="2">
        <v>15</v>
      </c>
      <c r="M331" s="2" t="s">
        <v>35</v>
      </c>
      <c r="N331" s="2" t="s">
        <v>35</v>
      </c>
      <c r="O331" s="11">
        <v>44740.530813067133</v>
      </c>
      <c r="P331" s="11">
        <v>44740.531299525464</v>
      </c>
      <c r="Q331" s="27">
        <f t="shared" si="15"/>
        <v>4.8645833157934248E-4</v>
      </c>
      <c r="R331" s="65">
        <f t="shared" si="17"/>
        <v>1.8969675948028453E-3</v>
      </c>
      <c r="S331" s="2">
        <v>0</v>
      </c>
      <c r="T331" s="2" t="s">
        <v>265</v>
      </c>
      <c r="U331" s="2" t="s">
        <v>266</v>
      </c>
      <c r="V331" s="2" t="s">
        <v>38</v>
      </c>
      <c r="W331" s="2" t="s">
        <v>35</v>
      </c>
      <c r="X331" s="2" t="s">
        <v>35</v>
      </c>
      <c r="Y331" s="2" t="s">
        <v>35</v>
      </c>
      <c r="Z331" s="2" t="b">
        <v>0</v>
      </c>
      <c r="AA331" s="2" t="s">
        <v>35</v>
      </c>
      <c r="AB331" s="2" t="s">
        <v>35</v>
      </c>
      <c r="AC331" s="2" t="s">
        <v>35</v>
      </c>
      <c r="AD331" s="2" t="s">
        <v>35</v>
      </c>
      <c r="AE331" s="2" t="s">
        <v>941</v>
      </c>
      <c r="AF331" s="11">
        <v>44740.448611053238</v>
      </c>
      <c r="AG331" s="53"/>
      <c r="AH331" s="53" t="b">
        <f t="shared" si="16"/>
        <v>0</v>
      </c>
      <c r="AI331" s="54" t="str" cm="1">
        <f t="array" ref="AI331">TRANSPOSE(_xlfn._xlws.FILTER(images!L:L,images!F:F=Barrierenmessung!A331, ""))</f>
        <v>https://captureandgo.cloudlab.zhaw.ch/uploads/image_a3fce11983.jpg</v>
      </c>
      <c r="AJ331" s="2"/>
      <c r="AK331" s="2"/>
      <c r="AL331" s="2"/>
      <c r="AM331" s="2"/>
      <c r="AN331" s="2"/>
    </row>
    <row r="332" spans="1:40" ht="16" x14ac:dyDescent="0.2">
      <c r="A332" s="2" t="s">
        <v>1096</v>
      </c>
      <c r="B332" s="46">
        <v>331</v>
      </c>
      <c r="C332" s="2" t="b">
        <v>0</v>
      </c>
      <c r="D332" s="2" t="b">
        <v>0</v>
      </c>
      <c r="E332" s="2" t="b">
        <v>0</v>
      </c>
      <c r="F332" s="2" t="b">
        <v>0</v>
      </c>
      <c r="G332" s="2" t="s">
        <v>31</v>
      </c>
      <c r="H332" s="2" t="s">
        <v>1097</v>
      </c>
      <c r="I332" s="2" t="s">
        <v>1098</v>
      </c>
      <c r="J332" s="2" t="s">
        <v>1099</v>
      </c>
      <c r="K332" s="2" t="s">
        <v>35</v>
      </c>
      <c r="L332" s="2" t="s">
        <v>35</v>
      </c>
      <c r="M332" s="2" t="s">
        <v>35</v>
      </c>
      <c r="N332" s="2" t="s">
        <v>35</v>
      </c>
      <c r="O332" s="11">
        <v>44740.531541782409</v>
      </c>
      <c r="P332" s="11">
        <v>44740.532112384259</v>
      </c>
      <c r="Q332" s="27">
        <f t="shared" si="15"/>
        <v>5.7060184917645529E-4</v>
      </c>
      <c r="R332" s="65">
        <f t="shared" si="17"/>
        <v>8.1285879423376173E-4</v>
      </c>
      <c r="S332" s="2">
        <v>0</v>
      </c>
      <c r="T332" s="2" t="s">
        <v>109</v>
      </c>
      <c r="U332" s="2" t="s">
        <v>110</v>
      </c>
      <c r="V332" s="2" t="s">
        <v>38</v>
      </c>
      <c r="W332" s="2" t="s">
        <v>35</v>
      </c>
      <c r="X332" s="2">
        <v>0</v>
      </c>
      <c r="Y332" s="2" t="s">
        <v>979</v>
      </c>
      <c r="Z332" s="2" t="b">
        <v>0</v>
      </c>
      <c r="AA332" s="2" t="s">
        <v>35</v>
      </c>
      <c r="AB332" s="2" t="s">
        <v>35</v>
      </c>
      <c r="AC332" s="2" t="s">
        <v>35</v>
      </c>
      <c r="AD332" s="2" t="s">
        <v>35</v>
      </c>
      <c r="AE332" s="2" t="s">
        <v>941</v>
      </c>
      <c r="AF332" s="11">
        <v>44740.448611053238</v>
      </c>
      <c r="AG332" s="53"/>
      <c r="AH332" s="53" t="b">
        <f t="shared" si="16"/>
        <v>0</v>
      </c>
      <c r="AI332" s="54" t="str" cm="1">
        <f t="array" ref="AI332">TRANSPOSE(_xlfn._xlws.FILTER(images!L:L,images!F:F=Barrierenmessung!A332, ""))</f>
        <v>https://captureandgo.cloudlab.zhaw.ch/uploads/image_77a8a27626.jpg</v>
      </c>
      <c r="AJ332" s="2"/>
      <c r="AK332" s="2"/>
      <c r="AL332" s="2"/>
      <c r="AM332" s="2"/>
      <c r="AN332" s="2"/>
    </row>
    <row r="333" spans="1:40" ht="16" x14ac:dyDescent="0.2">
      <c r="A333" s="2" t="s">
        <v>1100</v>
      </c>
      <c r="B333" s="46">
        <v>332</v>
      </c>
      <c r="C333" s="2" t="b">
        <v>0</v>
      </c>
      <c r="D333" s="2" t="b">
        <v>0</v>
      </c>
      <c r="E333" s="2" t="b">
        <v>0</v>
      </c>
      <c r="F333" s="2" t="b">
        <v>0</v>
      </c>
      <c r="G333" s="2" t="s">
        <v>31</v>
      </c>
      <c r="H333" s="2" t="s">
        <v>1101</v>
      </c>
      <c r="I333" s="2" t="s">
        <v>1102</v>
      </c>
      <c r="J333" s="2" t="s">
        <v>119</v>
      </c>
      <c r="K333" s="2" t="s">
        <v>35</v>
      </c>
      <c r="L333" s="2" t="s">
        <v>35</v>
      </c>
      <c r="M333" s="2" t="s">
        <v>35</v>
      </c>
      <c r="N333" s="2" t="s">
        <v>35</v>
      </c>
      <c r="O333" s="11">
        <v>44740.533663703703</v>
      </c>
      <c r="P333" s="11">
        <v>44740.534286203707</v>
      </c>
      <c r="Q333" s="27">
        <f t="shared" si="15"/>
        <v>6.2250000337371603E-4</v>
      </c>
      <c r="R333" s="65">
        <f t="shared" si="17"/>
        <v>2.1738194482168183E-3</v>
      </c>
      <c r="S333" s="2">
        <v>0</v>
      </c>
      <c r="T333" s="2" t="s">
        <v>109</v>
      </c>
      <c r="U333" s="2" t="s">
        <v>110</v>
      </c>
      <c r="V333" s="2" t="s">
        <v>38</v>
      </c>
      <c r="W333" s="2" t="s">
        <v>35</v>
      </c>
      <c r="X333" s="2">
        <v>60</v>
      </c>
      <c r="Y333" s="2" t="s">
        <v>979</v>
      </c>
      <c r="Z333" s="2" t="b">
        <v>0</v>
      </c>
      <c r="AA333" s="2" t="s">
        <v>35</v>
      </c>
      <c r="AB333" s="2" t="s">
        <v>35</v>
      </c>
      <c r="AC333" s="2" t="s">
        <v>35</v>
      </c>
      <c r="AD333" s="2" t="s">
        <v>35</v>
      </c>
      <c r="AE333" s="2" t="s">
        <v>941</v>
      </c>
      <c r="AF333" s="11">
        <v>44740.448611053238</v>
      </c>
      <c r="AG333" s="53"/>
      <c r="AH333" s="53" t="b">
        <f t="shared" si="16"/>
        <v>0</v>
      </c>
      <c r="AI333" s="54" t="str" cm="1">
        <f t="array" ref="AI333">TRANSPOSE(_xlfn._xlws.FILTER(images!L:L,images!F:F=Barrierenmessung!A333, ""))</f>
        <v>https://captureandgo.cloudlab.zhaw.ch/uploads/image_16b9fe979c.jpg</v>
      </c>
      <c r="AJ333" s="2"/>
      <c r="AK333" s="2"/>
      <c r="AL333" s="2"/>
      <c r="AM333" s="2"/>
      <c r="AN333" s="2"/>
    </row>
    <row r="334" spans="1:40" ht="16" x14ac:dyDescent="0.2">
      <c r="A334" s="2" t="s">
        <v>1103</v>
      </c>
      <c r="B334" s="46">
        <v>333</v>
      </c>
      <c r="C334" s="2" t="b">
        <v>0</v>
      </c>
      <c r="D334" s="2" t="b">
        <v>0</v>
      </c>
      <c r="E334" s="2" t="b">
        <v>0</v>
      </c>
      <c r="F334" s="2" t="b">
        <v>0</v>
      </c>
      <c r="G334" s="2" t="s">
        <v>31</v>
      </c>
      <c r="H334" s="2" t="s">
        <v>1104</v>
      </c>
      <c r="I334" s="2" t="s">
        <v>1105</v>
      </c>
      <c r="J334" s="2" t="s">
        <v>1106</v>
      </c>
      <c r="K334" s="2" t="s">
        <v>35</v>
      </c>
      <c r="L334" s="2" t="s">
        <v>35</v>
      </c>
      <c r="M334" s="2" t="s">
        <v>35</v>
      </c>
      <c r="N334" s="2" t="s">
        <v>35</v>
      </c>
      <c r="O334" s="11">
        <v>44740.535989456017</v>
      </c>
      <c r="P334" s="11">
        <v>44740.536977974538</v>
      </c>
      <c r="Q334" s="27">
        <f t="shared" si="15"/>
        <v>9.8851852089865133E-4</v>
      </c>
      <c r="R334" s="65">
        <f t="shared" si="17"/>
        <v>2.6917708310065791E-3</v>
      </c>
      <c r="S334" s="2">
        <v>0</v>
      </c>
      <c r="T334" s="2" t="s">
        <v>36</v>
      </c>
      <c r="U334" s="2" t="s">
        <v>37</v>
      </c>
      <c r="V334" s="2" t="s">
        <v>38</v>
      </c>
      <c r="W334" s="2" t="s">
        <v>35</v>
      </c>
      <c r="X334" s="2" t="s">
        <v>35</v>
      </c>
      <c r="Y334" s="2" t="s">
        <v>35</v>
      </c>
      <c r="Z334" s="2" t="b">
        <v>0</v>
      </c>
      <c r="AA334" s="2" t="s">
        <v>35</v>
      </c>
      <c r="AB334" s="2" t="s">
        <v>35</v>
      </c>
      <c r="AC334" s="2">
        <v>7</v>
      </c>
      <c r="AD334" s="2" t="s">
        <v>35</v>
      </c>
      <c r="AE334" s="2" t="s">
        <v>941</v>
      </c>
      <c r="AF334" s="11">
        <v>44740.448611053238</v>
      </c>
      <c r="AG334" s="53"/>
      <c r="AH334" s="53" t="b">
        <f t="shared" si="16"/>
        <v>0</v>
      </c>
      <c r="AI334" s="54" t="str" cm="1">
        <f t="array" ref="AI334">TRANSPOSE(_xlfn._xlws.FILTER(images!L:L,images!F:F=Barrierenmessung!A334, ""))</f>
        <v>https://captureandgo.cloudlab.zhaw.ch/uploads/image_96feb448aa.jpg</v>
      </c>
      <c r="AJ334" s="2"/>
      <c r="AK334" s="2"/>
      <c r="AL334" s="2"/>
      <c r="AM334" s="2"/>
      <c r="AN334" s="2"/>
    </row>
    <row r="335" spans="1:40" ht="16" x14ac:dyDescent="0.2">
      <c r="A335" s="2" t="s">
        <v>1107</v>
      </c>
      <c r="B335" s="46">
        <v>334</v>
      </c>
      <c r="C335" s="2" t="b">
        <v>0</v>
      </c>
      <c r="D335" s="2" t="b">
        <v>0</v>
      </c>
      <c r="E335" s="2" t="b">
        <v>0</v>
      </c>
      <c r="F335" s="2" t="b">
        <v>0</v>
      </c>
      <c r="G335" s="2" t="s">
        <v>31</v>
      </c>
      <c r="H335" s="2" t="s">
        <v>1108</v>
      </c>
      <c r="I335" s="2" t="s">
        <v>1109</v>
      </c>
      <c r="J335" s="2" t="s">
        <v>1110</v>
      </c>
      <c r="K335" s="2" t="s">
        <v>35</v>
      </c>
      <c r="L335" s="2" t="s">
        <v>35</v>
      </c>
      <c r="M335" s="2" t="s">
        <v>35</v>
      </c>
      <c r="N335" s="2" t="s">
        <v>35</v>
      </c>
      <c r="O335" s="11">
        <v>44740.537943657408</v>
      </c>
      <c r="P335" s="11">
        <v>44740.538253587962</v>
      </c>
      <c r="Q335" s="27">
        <f t="shared" si="15"/>
        <v>3.0993055406725034E-4</v>
      </c>
      <c r="R335" s="65">
        <f t="shared" si="17"/>
        <v>1.2756134237861261E-3</v>
      </c>
      <c r="S335" s="2">
        <v>0</v>
      </c>
      <c r="T335" s="2" t="s">
        <v>36</v>
      </c>
      <c r="U335" s="2" t="s">
        <v>37</v>
      </c>
      <c r="V335" s="2" t="s">
        <v>38</v>
      </c>
      <c r="W335" s="2" t="s">
        <v>35</v>
      </c>
      <c r="X335" s="2" t="s">
        <v>35</v>
      </c>
      <c r="Y335" s="2" t="s">
        <v>35</v>
      </c>
      <c r="Z335" s="2" t="b">
        <v>0</v>
      </c>
      <c r="AA335" s="2" t="s">
        <v>35</v>
      </c>
      <c r="AB335" s="2" t="s">
        <v>35</v>
      </c>
      <c r="AC335" s="2">
        <v>9</v>
      </c>
      <c r="AD335" s="2" t="s">
        <v>35</v>
      </c>
      <c r="AE335" s="2" t="s">
        <v>941</v>
      </c>
      <c r="AF335" s="11">
        <v>44740.448611053238</v>
      </c>
      <c r="AG335" s="53"/>
      <c r="AH335" s="53" t="b">
        <f t="shared" si="16"/>
        <v>0</v>
      </c>
      <c r="AI335" s="54" t="str" cm="1">
        <f t="array" ref="AI335">TRANSPOSE(_xlfn._xlws.FILTER(images!L:L,images!F:F=Barrierenmessung!A335, ""))</f>
        <v>https://captureandgo.cloudlab.zhaw.ch/uploads/image_6225035019.jpg</v>
      </c>
      <c r="AJ335" s="2"/>
      <c r="AK335" s="2"/>
      <c r="AL335" s="2"/>
      <c r="AM335" s="2"/>
      <c r="AN335" s="2"/>
    </row>
    <row r="336" spans="1:40" ht="16" x14ac:dyDescent="0.2">
      <c r="A336" s="2" t="s">
        <v>1111</v>
      </c>
      <c r="B336" s="46">
        <v>335</v>
      </c>
      <c r="C336" s="2" t="b">
        <v>0</v>
      </c>
      <c r="D336" s="2" t="b">
        <v>0</v>
      </c>
      <c r="E336" s="2" t="b">
        <v>0</v>
      </c>
      <c r="F336" s="2" t="b">
        <v>0</v>
      </c>
      <c r="G336" s="2" t="s">
        <v>31</v>
      </c>
      <c r="H336" s="2" t="s">
        <v>1112</v>
      </c>
      <c r="I336" s="2" t="s">
        <v>1113</v>
      </c>
      <c r="J336" s="2" t="s">
        <v>35</v>
      </c>
      <c r="K336" s="2" t="s">
        <v>35</v>
      </c>
      <c r="L336" s="2" t="s">
        <v>35</v>
      </c>
      <c r="M336" s="2">
        <v>10</v>
      </c>
      <c r="N336" s="2">
        <v>15</v>
      </c>
      <c r="O336" s="11">
        <v>44740.538316435188</v>
      </c>
      <c r="P336" s="11">
        <v>44740.538740069445</v>
      </c>
      <c r="Q336" s="27">
        <f t="shared" si="15"/>
        <v>4.2363425745861605E-4</v>
      </c>
      <c r="R336" s="65">
        <f t="shared" si="17"/>
        <v>4.8648148367647082E-4</v>
      </c>
      <c r="S336" s="2">
        <v>0</v>
      </c>
      <c r="T336" s="2" t="s">
        <v>54</v>
      </c>
      <c r="U336" s="2" t="s">
        <v>55</v>
      </c>
      <c r="V336" s="2" t="s">
        <v>38</v>
      </c>
      <c r="W336" s="2" t="s">
        <v>35</v>
      </c>
      <c r="X336" s="2" t="s">
        <v>35</v>
      </c>
      <c r="Y336" s="2" t="s">
        <v>35</v>
      </c>
      <c r="Z336" s="2" t="b">
        <v>1</v>
      </c>
      <c r="AA336" s="2" t="s">
        <v>35</v>
      </c>
      <c r="AB336" s="2" t="s">
        <v>35</v>
      </c>
      <c r="AC336" s="2" t="s">
        <v>35</v>
      </c>
      <c r="AD336" s="2" t="s">
        <v>35</v>
      </c>
      <c r="AE336" s="2" t="s">
        <v>941</v>
      </c>
      <c r="AF336" s="11">
        <v>44740.448611053238</v>
      </c>
      <c r="AG336" s="53"/>
      <c r="AH336" s="53" t="b">
        <f t="shared" si="16"/>
        <v>0</v>
      </c>
      <c r="AI336" s="54" t="str" cm="1">
        <f t="array" ref="AI336">TRANSPOSE(_xlfn._xlws.FILTER(images!L:L,images!F:F=Barrierenmessung!A336, ""))</f>
        <v>https://captureandgo.cloudlab.zhaw.ch/uploads/image_e3bbfdd26f.jpg</v>
      </c>
      <c r="AJ336" s="2"/>
      <c r="AK336" s="2"/>
      <c r="AL336" s="2"/>
      <c r="AM336" s="2"/>
      <c r="AN336" s="2"/>
    </row>
    <row r="337" spans="1:40" ht="16" x14ac:dyDescent="0.2">
      <c r="A337" s="2" t="s">
        <v>1114</v>
      </c>
      <c r="B337" s="46">
        <v>336</v>
      </c>
      <c r="C337" s="2" t="b">
        <v>0</v>
      </c>
      <c r="D337" s="2" t="b">
        <v>0</v>
      </c>
      <c r="E337" s="2" t="b">
        <v>0</v>
      </c>
      <c r="F337" s="2" t="b">
        <v>0</v>
      </c>
      <c r="G337" s="2" t="s">
        <v>31</v>
      </c>
      <c r="H337" s="2" t="s">
        <v>1115</v>
      </c>
      <c r="I337" s="2" t="s">
        <v>1116</v>
      </c>
      <c r="J337" s="2" t="s">
        <v>675</v>
      </c>
      <c r="K337" s="2" t="s">
        <v>35</v>
      </c>
      <c r="L337" s="2" t="s">
        <v>35</v>
      </c>
      <c r="M337" s="2" t="s">
        <v>35</v>
      </c>
      <c r="N337" s="2" t="s">
        <v>35</v>
      </c>
      <c r="O337" s="11">
        <v>44743.592847418979</v>
      </c>
      <c r="P337" s="11">
        <v>44743.593009583332</v>
      </c>
      <c r="Q337" s="27">
        <f t="shared" si="15"/>
        <v>1.6216435324167833E-4</v>
      </c>
      <c r="R337" s="65">
        <f t="shared" si="17"/>
        <v>2.0373611114337109E-3</v>
      </c>
      <c r="S337" s="2">
        <v>0</v>
      </c>
      <c r="T337" s="2" t="s">
        <v>124</v>
      </c>
      <c r="U337" s="2" t="s">
        <v>125</v>
      </c>
      <c r="V337" s="2" t="s">
        <v>38</v>
      </c>
      <c r="W337" s="2" t="s">
        <v>35</v>
      </c>
      <c r="X337" s="2" t="s">
        <v>35</v>
      </c>
      <c r="Y337" s="2" t="s">
        <v>35</v>
      </c>
      <c r="Z337" s="2" t="b">
        <v>0</v>
      </c>
      <c r="AA337" s="2" t="s">
        <v>35</v>
      </c>
      <c r="AB337" s="2">
        <v>4</v>
      </c>
      <c r="AC337" s="2" t="s">
        <v>35</v>
      </c>
      <c r="AD337" s="2" t="s">
        <v>35</v>
      </c>
      <c r="AE337" s="2" t="s">
        <v>1117</v>
      </c>
      <c r="AF337" s="11">
        <v>44743.59097222222</v>
      </c>
      <c r="AG337" s="53"/>
      <c r="AH337" s="53" t="b">
        <f t="shared" si="16"/>
        <v>0</v>
      </c>
      <c r="AI337" s="54" t="str" cm="1">
        <f t="array" ref="AI337">TRANSPOSE(_xlfn._xlws.FILTER(images!L:L,images!F:F=Barrierenmessung!A337, ""))</f>
        <v>https://captureandgo.cloudlab.zhaw.ch/uploads/image_22c8cefe5b.jpg</v>
      </c>
      <c r="AJ337" s="2"/>
      <c r="AK337" s="2"/>
      <c r="AL337" s="2"/>
      <c r="AM337" s="2"/>
      <c r="AN337" s="2"/>
    </row>
    <row r="338" spans="1:40" ht="16" x14ac:dyDescent="0.2">
      <c r="A338" s="2" t="s">
        <v>1118</v>
      </c>
      <c r="B338" s="46">
        <v>337</v>
      </c>
      <c r="C338" s="2" t="b">
        <v>0</v>
      </c>
      <c r="D338" s="2" t="b">
        <v>0</v>
      </c>
      <c r="E338" s="2" t="b">
        <v>0</v>
      </c>
      <c r="F338" s="2" t="b">
        <v>0</v>
      </c>
      <c r="G338" s="2" t="s">
        <v>31</v>
      </c>
      <c r="H338" s="2" t="s">
        <v>1119</v>
      </c>
      <c r="I338" s="2" t="s">
        <v>1120</v>
      </c>
      <c r="J338" s="2" t="s">
        <v>602</v>
      </c>
      <c r="K338" s="2" t="s">
        <v>35</v>
      </c>
      <c r="L338" s="2" t="s">
        <v>35</v>
      </c>
      <c r="M338" s="2" t="s">
        <v>35</v>
      </c>
      <c r="N338" s="2" t="s">
        <v>35</v>
      </c>
      <c r="O338" s="11">
        <v>44743.594386736113</v>
      </c>
      <c r="P338" s="11">
        <v>44743.594732847225</v>
      </c>
      <c r="Q338" s="27">
        <f t="shared" si="15"/>
        <v>3.461111118667759E-4</v>
      </c>
      <c r="R338" s="65">
        <f t="shared" si="17"/>
        <v>1.7232638929272071E-3</v>
      </c>
      <c r="S338" s="2">
        <v>0</v>
      </c>
      <c r="T338" s="2" t="s">
        <v>36</v>
      </c>
      <c r="U338" s="2" t="s">
        <v>37</v>
      </c>
      <c r="V338" s="2" t="s">
        <v>38</v>
      </c>
      <c r="W338" s="2" t="s">
        <v>35</v>
      </c>
      <c r="X338" s="2" t="s">
        <v>35</v>
      </c>
      <c r="Y338" s="2" t="s">
        <v>35</v>
      </c>
      <c r="Z338" s="2" t="b">
        <v>0</v>
      </c>
      <c r="AA338" s="2" t="s">
        <v>35</v>
      </c>
      <c r="AB338" s="2" t="s">
        <v>35</v>
      </c>
      <c r="AC338" s="2">
        <v>4</v>
      </c>
      <c r="AD338" s="2">
        <v>4</v>
      </c>
      <c r="AE338" s="2" t="s">
        <v>1117</v>
      </c>
      <c r="AF338" s="11">
        <v>44743.59097222222</v>
      </c>
      <c r="AG338" s="53"/>
      <c r="AH338" s="53" t="b">
        <f t="shared" si="16"/>
        <v>0</v>
      </c>
      <c r="AI338" s="54" t="str" cm="1">
        <f t="array" ref="AI338">TRANSPOSE(_xlfn._xlws.FILTER(images!L:L,images!F:F=Barrierenmessung!A338, ""))</f>
        <v>https://captureandgo.cloudlab.zhaw.ch/uploads/image_60aa5133ad.jpg</v>
      </c>
      <c r="AJ338" s="2"/>
      <c r="AK338" s="2"/>
      <c r="AL338" s="2"/>
      <c r="AM338" s="2"/>
      <c r="AN338" s="2"/>
    </row>
    <row r="339" spans="1:40" ht="16" x14ac:dyDescent="0.2">
      <c r="A339" s="2" t="s">
        <v>1121</v>
      </c>
      <c r="B339" s="46">
        <v>338</v>
      </c>
      <c r="C339" s="2" t="b">
        <v>0</v>
      </c>
      <c r="D339" s="2" t="b">
        <v>0</v>
      </c>
      <c r="E339" s="2" t="b">
        <v>0</v>
      </c>
      <c r="F339" s="2" t="b">
        <v>0</v>
      </c>
      <c r="G339" s="2" t="s">
        <v>31</v>
      </c>
      <c r="H339" s="2" t="s">
        <v>1122</v>
      </c>
      <c r="I339" s="2" t="s">
        <v>1123</v>
      </c>
      <c r="J339" s="2" t="s">
        <v>1124</v>
      </c>
      <c r="K339" s="2" t="s">
        <v>35</v>
      </c>
      <c r="L339" s="2" t="s">
        <v>35</v>
      </c>
      <c r="M339" s="2" t="s">
        <v>35</v>
      </c>
      <c r="N339" s="2" t="s">
        <v>35</v>
      </c>
      <c r="O339" s="11">
        <v>44743.595891319441</v>
      </c>
      <c r="P339" s="11">
        <v>44743.597189756947</v>
      </c>
      <c r="Q339" s="27">
        <f t="shared" si="15"/>
        <v>1.2984375061932951E-3</v>
      </c>
      <c r="R339" s="65">
        <f t="shared" si="17"/>
        <v>2.4569097222411074E-3</v>
      </c>
      <c r="S339" s="2">
        <v>0</v>
      </c>
      <c r="T339" s="2" t="s">
        <v>416</v>
      </c>
      <c r="U339" s="2" t="s">
        <v>417</v>
      </c>
      <c r="V339" s="2" t="s">
        <v>38</v>
      </c>
      <c r="W339" s="2" t="s">
        <v>35</v>
      </c>
      <c r="X339" s="2">
        <v>100</v>
      </c>
      <c r="Y339" s="2" t="s">
        <v>228</v>
      </c>
      <c r="Z339" s="2" t="b">
        <v>0</v>
      </c>
      <c r="AA339" s="2" t="s">
        <v>35</v>
      </c>
      <c r="AB339" s="2" t="s">
        <v>35</v>
      </c>
      <c r="AC339" s="2" t="s">
        <v>35</v>
      </c>
      <c r="AD339" s="2" t="s">
        <v>35</v>
      </c>
      <c r="AE339" s="2" t="s">
        <v>1117</v>
      </c>
      <c r="AF339" s="11">
        <v>44743.590972164355</v>
      </c>
      <c r="AG339" s="53"/>
      <c r="AH339" s="53" t="b">
        <f t="shared" si="16"/>
        <v>0</v>
      </c>
      <c r="AI339" s="54" t="str" cm="1">
        <f t="array" ref="AI339">TRANSPOSE(_xlfn._xlws.FILTER(images!L:L,images!F:F=Barrierenmessung!A339, ""))</f>
        <v>https://captureandgo.cloudlab.zhaw.ch/uploads/image_29cacd0eb5.jpg</v>
      </c>
      <c r="AJ339" s="2"/>
      <c r="AK339" s="2"/>
      <c r="AL339" s="2"/>
      <c r="AM339" s="2"/>
      <c r="AN339" s="2"/>
    </row>
    <row r="340" spans="1:40" ht="16" x14ac:dyDescent="0.2">
      <c r="A340" s="31" t="s">
        <v>1125</v>
      </c>
      <c r="B340" s="31">
        <v>339</v>
      </c>
      <c r="C340" s="31" t="b">
        <v>0</v>
      </c>
      <c r="D340" s="31" t="b">
        <v>0</v>
      </c>
      <c r="E340" s="31" t="b">
        <v>0</v>
      </c>
      <c r="F340" s="31" t="b">
        <v>0</v>
      </c>
      <c r="G340" s="31" t="s">
        <v>31</v>
      </c>
      <c r="H340" s="31" t="s">
        <v>1126</v>
      </c>
      <c r="I340" s="31" t="s">
        <v>1127</v>
      </c>
      <c r="J340" s="31" t="s">
        <v>1128</v>
      </c>
      <c r="K340" s="31" t="s">
        <v>35</v>
      </c>
      <c r="L340" s="31" t="s">
        <v>35</v>
      </c>
      <c r="M340" s="31" t="s">
        <v>35</v>
      </c>
      <c r="N340" s="31" t="s">
        <v>35</v>
      </c>
      <c r="O340" s="32">
        <v>44743.610585115741</v>
      </c>
      <c r="P340" s="32">
        <v>44743.610838229164</v>
      </c>
      <c r="Q340" s="30">
        <f t="shared" si="15"/>
        <v>2.5311342324130237E-4</v>
      </c>
      <c r="R340" s="30">
        <f t="shared" si="17"/>
        <v>1.3648472217028029E-2</v>
      </c>
      <c r="S340" s="31">
        <v>0</v>
      </c>
      <c r="T340" s="31" t="s">
        <v>36</v>
      </c>
      <c r="U340" s="31" t="s">
        <v>37</v>
      </c>
      <c r="V340" s="31" t="s">
        <v>38</v>
      </c>
      <c r="W340" s="31" t="s">
        <v>35</v>
      </c>
      <c r="X340" s="31" t="s">
        <v>35</v>
      </c>
      <c r="Y340" s="31" t="s">
        <v>35</v>
      </c>
      <c r="Z340" s="31" t="b">
        <v>0</v>
      </c>
      <c r="AA340" s="31" t="s">
        <v>35</v>
      </c>
      <c r="AB340" s="31" t="s">
        <v>35</v>
      </c>
      <c r="AC340" s="31">
        <v>4</v>
      </c>
      <c r="AD340" s="31">
        <v>3</v>
      </c>
      <c r="AE340" s="31" t="s">
        <v>1117</v>
      </c>
      <c r="AF340" s="32">
        <v>44743.590972164355</v>
      </c>
      <c r="AG340" s="55" t="s">
        <v>9408</v>
      </c>
      <c r="AH340" s="55" t="b">
        <f t="shared" si="16"/>
        <v>0</v>
      </c>
      <c r="AI340" s="62" t="str" cm="1">
        <f t="array" ref="AI340">TRANSPOSE(_xlfn._xlws.FILTER(images!L:L,images!F:F=Barrierenmessung!A340, ""))</f>
        <v>https://captureandgo.cloudlab.zhaw.ch/uploads/image_96b6f999f2.jpg</v>
      </c>
      <c r="AJ340" s="31"/>
      <c r="AK340" s="31"/>
      <c r="AL340" s="31"/>
      <c r="AM340" s="31"/>
      <c r="AN340" s="31"/>
    </row>
    <row r="341" spans="1:40" ht="16" x14ac:dyDescent="0.2">
      <c r="A341" s="2" t="s">
        <v>1129</v>
      </c>
      <c r="B341" s="46">
        <v>340</v>
      </c>
      <c r="C341" s="2" t="b">
        <v>0</v>
      </c>
      <c r="D341" s="2" t="b">
        <v>0</v>
      </c>
      <c r="E341" s="2" t="b">
        <v>0</v>
      </c>
      <c r="F341" s="2" t="b">
        <v>0</v>
      </c>
      <c r="G341" s="2" t="s">
        <v>31</v>
      </c>
      <c r="H341" s="2" t="s">
        <v>1130</v>
      </c>
      <c r="I341" s="2" t="s">
        <v>1131</v>
      </c>
      <c r="J341" s="2" t="s">
        <v>35</v>
      </c>
      <c r="K341" s="2" t="s">
        <v>35</v>
      </c>
      <c r="L341" s="2" t="s">
        <v>35</v>
      </c>
      <c r="M341" s="2" t="s">
        <v>35</v>
      </c>
      <c r="N341" s="2" t="s">
        <v>35</v>
      </c>
      <c r="O341" s="11">
        <v>44743.611167858799</v>
      </c>
      <c r="P341" s="11">
        <v>44743.611326736114</v>
      </c>
      <c r="Q341" s="27">
        <f t="shared" si="15"/>
        <v>1.5887731569819152E-4</v>
      </c>
      <c r="R341" s="65">
        <f t="shared" si="17"/>
        <v>4.8850695020519197E-4</v>
      </c>
      <c r="S341" s="2">
        <v>0</v>
      </c>
      <c r="T341" s="2" t="s">
        <v>36</v>
      </c>
      <c r="U341" s="2" t="s">
        <v>37</v>
      </c>
      <c r="V341" s="2" t="s">
        <v>38</v>
      </c>
      <c r="W341" s="2" t="s">
        <v>35</v>
      </c>
      <c r="X341" s="2" t="s">
        <v>35</v>
      </c>
      <c r="Y341" s="2" t="s">
        <v>35</v>
      </c>
      <c r="Z341" s="2" t="b">
        <v>0</v>
      </c>
      <c r="AA341" s="2" t="s">
        <v>35</v>
      </c>
      <c r="AB341" s="2" t="s">
        <v>35</v>
      </c>
      <c r="AC341" s="2" t="s">
        <v>35</v>
      </c>
      <c r="AD341" s="2">
        <v>2</v>
      </c>
      <c r="AE341" s="2" t="s">
        <v>1117</v>
      </c>
      <c r="AF341" s="11">
        <v>44743.590972164355</v>
      </c>
      <c r="AG341" s="53"/>
      <c r="AH341" s="53" t="b">
        <f t="shared" si="16"/>
        <v>0</v>
      </c>
      <c r="AI341" s="54" t="str" cm="1">
        <f t="array" ref="AI341">TRANSPOSE(_xlfn._xlws.FILTER(images!L:L,images!F:F=Barrierenmessung!A341, ""))</f>
        <v>https://captureandgo.cloudlab.zhaw.ch/uploads/image_c0bb41cefc.jpg</v>
      </c>
      <c r="AJ341" s="2"/>
      <c r="AK341" s="2"/>
      <c r="AL341" s="2"/>
      <c r="AM341" s="2"/>
      <c r="AN341" s="2"/>
    </row>
    <row r="342" spans="1:40" ht="16" x14ac:dyDescent="0.2">
      <c r="A342" s="2" t="s">
        <v>1132</v>
      </c>
      <c r="B342" s="46">
        <v>341</v>
      </c>
      <c r="C342" s="2" t="b">
        <v>0</v>
      </c>
      <c r="D342" s="2" t="b">
        <v>0</v>
      </c>
      <c r="E342" s="2" t="b">
        <v>0</v>
      </c>
      <c r="F342" s="2" t="b">
        <v>0</v>
      </c>
      <c r="G342" s="2" t="s">
        <v>31</v>
      </c>
      <c r="H342" s="2" t="s">
        <v>1133</v>
      </c>
      <c r="I342" s="2" t="s">
        <v>1134</v>
      </c>
      <c r="J342" s="2" t="s">
        <v>35</v>
      </c>
      <c r="K342" s="2" t="s">
        <v>35</v>
      </c>
      <c r="L342" s="2" t="s">
        <v>35</v>
      </c>
      <c r="M342" s="2" t="s">
        <v>35</v>
      </c>
      <c r="N342" s="2" t="s">
        <v>35</v>
      </c>
      <c r="O342" s="11">
        <v>44743.612293819446</v>
      </c>
      <c r="P342" s="11">
        <v>44743.612608263888</v>
      </c>
      <c r="Q342" s="27">
        <f t="shared" si="15"/>
        <v>3.1444444175576791E-4</v>
      </c>
      <c r="R342" s="65">
        <f t="shared" si="17"/>
        <v>1.2815277732443064E-3</v>
      </c>
      <c r="S342" s="2">
        <v>0</v>
      </c>
      <c r="T342" s="2" t="s">
        <v>100</v>
      </c>
      <c r="U342" s="2" t="s">
        <v>101</v>
      </c>
      <c r="V342" s="2" t="s">
        <v>38</v>
      </c>
      <c r="W342" s="2" t="s">
        <v>35</v>
      </c>
      <c r="X342" s="2">
        <v>113</v>
      </c>
      <c r="Y342" s="2" t="s">
        <v>35</v>
      </c>
      <c r="Z342" s="2" t="b">
        <v>0</v>
      </c>
      <c r="AA342" s="2" t="s">
        <v>35</v>
      </c>
      <c r="AB342" s="2" t="s">
        <v>35</v>
      </c>
      <c r="AC342" s="2" t="s">
        <v>35</v>
      </c>
      <c r="AD342" s="2" t="s">
        <v>35</v>
      </c>
      <c r="AE342" s="2" t="s">
        <v>1117</v>
      </c>
      <c r="AF342" s="11">
        <v>44743.590972164355</v>
      </c>
      <c r="AG342" s="53"/>
      <c r="AH342" s="53" t="b">
        <f t="shared" si="16"/>
        <v>0</v>
      </c>
      <c r="AI342" s="54" t="str" cm="1">
        <f t="array" ref="AI342">TRANSPOSE(_xlfn._xlws.FILTER(images!L:L,images!F:F=Barrierenmessung!A342, ""))</f>
        <v>https://captureandgo.cloudlab.zhaw.ch/uploads/image_294a17f3d1.jpg</v>
      </c>
      <c r="AJ342" s="2"/>
      <c r="AK342" s="2"/>
      <c r="AL342" s="2"/>
      <c r="AM342" s="2"/>
      <c r="AN342" s="2"/>
    </row>
    <row r="343" spans="1:40" ht="16" x14ac:dyDescent="0.2">
      <c r="A343" s="2" t="s">
        <v>1135</v>
      </c>
      <c r="B343" s="46">
        <v>342</v>
      </c>
      <c r="C343" s="2" t="b">
        <v>0</v>
      </c>
      <c r="D343" s="2" t="b">
        <v>0</v>
      </c>
      <c r="E343" s="2" t="b">
        <v>0</v>
      </c>
      <c r="F343" s="2" t="b">
        <v>0</v>
      </c>
      <c r="G343" s="2" t="s">
        <v>31</v>
      </c>
      <c r="H343" s="2" t="s">
        <v>1136</v>
      </c>
      <c r="I343" s="2" t="s">
        <v>1137</v>
      </c>
      <c r="J343" s="2" t="s">
        <v>35</v>
      </c>
      <c r="K343" s="2" t="s">
        <v>35</v>
      </c>
      <c r="L343" s="2" t="s">
        <v>35</v>
      </c>
      <c r="M343" s="2" t="s">
        <v>35</v>
      </c>
      <c r="N343" s="2" t="s">
        <v>35</v>
      </c>
      <c r="O343" s="11">
        <v>44743.613095613429</v>
      </c>
      <c r="P343" s="11">
        <v>44743.613250844908</v>
      </c>
      <c r="Q343" s="27">
        <f t="shared" si="15"/>
        <v>1.5523147885687649E-4</v>
      </c>
      <c r="R343" s="65">
        <f t="shared" si="17"/>
        <v>6.4258102065650746E-4</v>
      </c>
      <c r="S343" s="2">
        <v>0</v>
      </c>
      <c r="T343" s="2" t="s">
        <v>100</v>
      </c>
      <c r="U343" s="2" t="s">
        <v>101</v>
      </c>
      <c r="V343" s="2" t="s">
        <v>38</v>
      </c>
      <c r="W343" s="2" t="s">
        <v>35</v>
      </c>
      <c r="X343" s="2">
        <v>113</v>
      </c>
      <c r="Y343" s="2" t="s">
        <v>35</v>
      </c>
      <c r="Z343" s="2" t="b">
        <v>0</v>
      </c>
      <c r="AA343" s="2" t="s">
        <v>35</v>
      </c>
      <c r="AB343" s="2" t="s">
        <v>35</v>
      </c>
      <c r="AC343" s="2" t="s">
        <v>35</v>
      </c>
      <c r="AD343" s="2" t="s">
        <v>35</v>
      </c>
      <c r="AE343" s="2" t="s">
        <v>1117</v>
      </c>
      <c r="AF343" s="11">
        <v>44743.590972164355</v>
      </c>
      <c r="AG343" s="53"/>
      <c r="AH343" s="53" t="b">
        <f t="shared" si="16"/>
        <v>0</v>
      </c>
      <c r="AI343" s="54" t="str" cm="1">
        <f t="array" ref="AI343">TRANSPOSE(_xlfn._xlws.FILTER(images!L:L,images!F:F=Barrierenmessung!A343, ""))</f>
        <v>https://captureandgo.cloudlab.zhaw.ch/uploads/image_5edfed8991.jpg</v>
      </c>
      <c r="AJ343" s="2"/>
      <c r="AK343" s="2"/>
      <c r="AL343" s="2"/>
      <c r="AM343" s="2"/>
      <c r="AN343" s="2"/>
    </row>
    <row r="344" spans="1:40" ht="16" x14ac:dyDescent="0.2">
      <c r="A344" s="2" t="s">
        <v>1138</v>
      </c>
      <c r="B344" s="46">
        <v>343</v>
      </c>
      <c r="C344" s="2" t="b">
        <v>0</v>
      </c>
      <c r="D344" s="2" t="b">
        <v>0</v>
      </c>
      <c r="E344" s="2" t="b">
        <v>0</v>
      </c>
      <c r="F344" s="2" t="b">
        <v>0</v>
      </c>
      <c r="G344" s="2" t="s">
        <v>31</v>
      </c>
      <c r="H344" s="2" t="s">
        <v>1139</v>
      </c>
      <c r="I344" s="2" t="s">
        <v>1140</v>
      </c>
      <c r="J344" s="2" t="s">
        <v>1141</v>
      </c>
      <c r="K344" s="2" t="s">
        <v>35</v>
      </c>
      <c r="L344" s="2" t="s">
        <v>35</v>
      </c>
      <c r="M344" s="2" t="s">
        <v>35</v>
      </c>
      <c r="N344" s="2" t="s">
        <v>35</v>
      </c>
      <c r="O344" s="11">
        <v>44743.614108715279</v>
      </c>
      <c r="P344" s="11">
        <v>44743.614588252312</v>
      </c>
      <c r="Q344" s="27">
        <f t="shared" si="15"/>
        <v>4.7953703324310482E-4</v>
      </c>
      <c r="R344" s="65">
        <f t="shared" si="17"/>
        <v>1.3374074042076245E-3</v>
      </c>
      <c r="S344" s="2">
        <v>0</v>
      </c>
      <c r="T344" s="2" t="s">
        <v>36</v>
      </c>
      <c r="U344" s="2" t="s">
        <v>37</v>
      </c>
      <c r="V344" s="2" t="s">
        <v>38</v>
      </c>
      <c r="W344" s="2" t="s">
        <v>35</v>
      </c>
      <c r="X344" s="2" t="s">
        <v>35</v>
      </c>
      <c r="Y344" s="2" t="s">
        <v>35</v>
      </c>
      <c r="Z344" s="2" t="b">
        <v>0</v>
      </c>
      <c r="AA344" s="2" t="s">
        <v>35</v>
      </c>
      <c r="AB344" s="2" t="s">
        <v>35</v>
      </c>
      <c r="AC344" s="2">
        <v>4</v>
      </c>
      <c r="AD344" s="2" t="s">
        <v>35</v>
      </c>
      <c r="AE344" s="2" t="s">
        <v>1117</v>
      </c>
      <c r="AF344" s="11">
        <v>44743.590972164355</v>
      </c>
      <c r="AG344" s="53"/>
      <c r="AH344" s="53" t="b">
        <f t="shared" si="16"/>
        <v>0</v>
      </c>
      <c r="AI344" s="54" t="str" cm="1">
        <f t="array" ref="AI344:AK344">TRANSPOSE(_xlfn._xlws.FILTER(images!L:L,images!F:F=Barrierenmessung!A344, ""))</f>
        <v>https://captureandgo.cloudlab.zhaw.ch/uploads/image_8e8328483d.jpg</v>
      </c>
      <c r="AJ344" s="2" t="str">
        <v>https://captureandgo.cloudlab.zhaw.ch/uploads/image_efaf2b8fb1.jpg</v>
      </c>
      <c r="AK344" s="2" t="str">
        <v>https://captureandgo.cloudlab.zhaw.ch/uploads/image_6fc824df33.jpg</v>
      </c>
      <c r="AL344" s="2"/>
      <c r="AM344" s="2"/>
      <c r="AN344" s="2"/>
    </row>
    <row r="345" spans="1:40" ht="16" x14ac:dyDescent="0.2">
      <c r="A345" s="2" t="s">
        <v>1142</v>
      </c>
      <c r="B345" s="46">
        <v>344</v>
      </c>
      <c r="C345" s="2" t="b">
        <v>0</v>
      </c>
      <c r="D345" s="2" t="b">
        <v>0</v>
      </c>
      <c r="E345" s="2" t="b">
        <v>0</v>
      </c>
      <c r="F345" s="2" t="b">
        <v>0</v>
      </c>
      <c r="G345" s="2" t="s">
        <v>31</v>
      </c>
      <c r="H345" s="2" t="s">
        <v>1143</v>
      </c>
      <c r="I345" s="2" t="s">
        <v>1144</v>
      </c>
      <c r="J345" s="2" t="s">
        <v>602</v>
      </c>
      <c r="K345" s="2" t="s">
        <v>35</v>
      </c>
      <c r="L345" s="2" t="s">
        <v>35</v>
      </c>
      <c r="M345" s="2" t="s">
        <v>35</v>
      </c>
      <c r="N345" s="2" t="s">
        <v>35</v>
      </c>
      <c r="O345" s="11">
        <v>44743.615936168979</v>
      </c>
      <c r="P345" s="11">
        <v>44743.616377094906</v>
      </c>
      <c r="Q345" s="27">
        <f t="shared" si="15"/>
        <v>4.4092592725064605E-4</v>
      </c>
      <c r="R345" s="65">
        <f t="shared" si="17"/>
        <v>1.78884259366896E-3</v>
      </c>
      <c r="S345" s="2">
        <v>0</v>
      </c>
      <c r="T345" s="2" t="s">
        <v>36</v>
      </c>
      <c r="U345" s="2" t="s">
        <v>37</v>
      </c>
      <c r="V345" s="2" t="s">
        <v>38</v>
      </c>
      <c r="W345" s="2" t="s">
        <v>35</v>
      </c>
      <c r="X345" s="2" t="s">
        <v>35</v>
      </c>
      <c r="Y345" s="2" t="s">
        <v>35</v>
      </c>
      <c r="Z345" s="2" t="b">
        <v>0</v>
      </c>
      <c r="AA345" s="2" t="s">
        <v>35</v>
      </c>
      <c r="AB345" s="2" t="s">
        <v>35</v>
      </c>
      <c r="AC345" s="2">
        <v>4</v>
      </c>
      <c r="AD345" s="2" t="s">
        <v>35</v>
      </c>
      <c r="AE345" s="2" t="s">
        <v>1117</v>
      </c>
      <c r="AF345" s="11">
        <v>44743.590972164355</v>
      </c>
      <c r="AG345" s="53"/>
      <c r="AH345" s="53" t="b">
        <f t="shared" si="16"/>
        <v>0</v>
      </c>
      <c r="AI345" s="54" t="str" cm="1">
        <f t="array" ref="AI345">TRANSPOSE(_xlfn._xlws.FILTER(images!L:L,images!F:F=Barrierenmessung!A345, ""))</f>
        <v>https://captureandgo.cloudlab.zhaw.ch/uploads/image_a5320e6942.jpg</v>
      </c>
      <c r="AJ345" s="2"/>
      <c r="AK345" s="2"/>
      <c r="AL345" s="2"/>
      <c r="AM345" s="2"/>
      <c r="AN345" s="2"/>
    </row>
    <row r="346" spans="1:40" ht="16" x14ac:dyDescent="0.2">
      <c r="A346" s="2" t="s">
        <v>1145</v>
      </c>
      <c r="B346" s="46">
        <v>345</v>
      </c>
      <c r="C346" s="2" t="b">
        <v>0</v>
      </c>
      <c r="D346" s="2" t="b">
        <v>0</v>
      </c>
      <c r="E346" s="2" t="b">
        <v>0</v>
      </c>
      <c r="F346" s="2" t="b">
        <v>0</v>
      </c>
      <c r="G346" s="2" t="s">
        <v>31</v>
      </c>
      <c r="H346" s="2" t="s">
        <v>1146</v>
      </c>
      <c r="I346" s="2" t="s">
        <v>1147</v>
      </c>
      <c r="J346" s="2" t="s">
        <v>35</v>
      </c>
      <c r="K346" s="2" t="s">
        <v>35</v>
      </c>
      <c r="L346" s="2" t="s">
        <v>35</v>
      </c>
      <c r="M346" s="2">
        <v>15</v>
      </c>
      <c r="N346" s="2">
        <v>17</v>
      </c>
      <c r="O346" s="11">
        <v>44743.616460011574</v>
      </c>
      <c r="P346" s="11">
        <v>44743.616722037033</v>
      </c>
      <c r="Q346" s="27">
        <f t="shared" si="15"/>
        <v>2.620254599605687E-4</v>
      </c>
      <c r="R346" s="65">
        <f t="shared" si="17"/>
        <v>3.4494212741265073E-4</v>
      </c>
      <c r="S346" s="2">
        <v>0</v>
      </c>
      <c r="T346" s="2" t="s">
        <v>54</v>
      </c>
      <c r="U346" s="2" t="s">
        <v>55</v>
      </c>
      <c r="V346" s="2" t="s">
        <v>38</v>
      </c>
      <c r="W346" s="2" t="s">
        <v>35</v>
      </c>
      <c r="X346" s="2" t="s">
        <v>35</v>
      </c>
      <c r="Y346" s="2" t="s">
        <v>35</v>
      </c>
      <c r="Z346" s="2" t="b">
        <v>0</v>
      </c>
      <c r="AA346" s="2" t="s">
        <v>35</v>
      </c>
      <c r="AB346" s="2" t="s">
        <v>35</v>
      </c>
      <c r="AC346" s="2" t="s">
        <v>35</v>
      </c>
      <c r="AD346" s="2" t="s">
        <v>35</v>
      </c>
      <c r="AE346" s="2" t="s">
        <v>1117</v>
      </c>
      <c r="AF346" s="11">
        <v>44743.590972164355</v>
      </c>
      <c r="AG346" s="53"/>
      <c r="AH346" s="53" t="b">
        <f t="shared" si="16"/>
        <v>0</v>
      </c>
      <c r="AI346" s="54" t="str" cm="1">
        <f t="array" ref="AI346">TRANSPOSE(_xlfn._xlws.FILTER(images!L:L,images!F:F=Barrierenmessung!A346, ""))</f>
        <v>https://captureandgo.cloudlab.zhaw.ch/uploads/image_03aee8f82e.jpg</v>
      </c>
      <c r="AJ346" s="2"/>
      <c r="AK346" s="2"/>
      <c r="AL346" s="2"/>
      <c r="AM346" s="2"/>
      <c r="AN346" s="2"/>
    </row>
    <row r="347" spans="1:40" ht="16" x14ac:dyDescent="0.2">
      <c r="A347" s="2" t="s">
        <v>1148</v>
      </c>
      <c r="B347" s="46">
        <v>346</v>
      </c>
      <c r="C347" s="2" t="b">
        <v>0</v>
      </c>
      <c r="D347" s="2" t="b">
        <v>0</v>
      </c>
      <c r="E347" s="2" t="b">
        <v>0</v>
      </c>
      <c r="F347" s="2" t="b">
        <v>0</v>
      </c>
      <c r="G347" s="2" t="s">
        <v>31</v>
      </c>
      <c r="H347" s="2" t="s">
        <v>1149</v>
      </c>
      <c r="I347" s="2" t="s">
        <v>1150</v>
      </c>
      <c r="J347" s="2" t="s">
        <v>35</v>
      </c>
      <c r="K347" s="2" t="s">
        <v>35</v>
      </c>
      <c r="L347" s="2">
        <v>5</v>
      </c>
      <c r="M347" s="2" t="s">
        <v>35</v>
      </c>
      <c r="N347" s="2" t="s">
        <v>35</v>
      </c>
      <c r="O347" s="11">
        <v>44743.617322916667</v>
      </c>
      <c r="P347" s="11">
        <v>44743.617508460651</v>
      </c>
      <c r="Q347" s="27">
        <f t="shared" si="15"/>
        <v>1.8554398411652073E-4</v>
      </c>
      <c r="R347" s="65">
        <f t="shared" si="17"/>
        <v>7.8642361768288538E-4</v>
      </c>
      <c r="S347" s="2">
        <v>0</v>
      </c>
      <c r="T347" s="2" t="s">
        <v>265</v>
      </c>
      <c r="U347" s="2" t="s">
        <v>266</v>
      </c>
      <c r="V347" s="2" t="s">
        <v>38</v>
      </c>
      <c r="W347" s="2" t="s">
        <v>35</v>
      </c>
      <c r="X347" s="2" t="s">
        <v>35</v>
      </c>
      <c r="Y347" s="2" t="s">
        <v>35</v>
      </c>
      <c r="Z347" s="2" t="b">
        <v>0</v>
      </c>
      <c r="AA347" s="2" t="s">
        <v>35</v>
      </c>
      <c r="AB347" s="2" t="s">
        <v>35</v>
      </c>
      <c r="AC347" s="2" t="s">
        <v>35</v>
      </c>
      <c r="AD347" s="2" t="s">
        <v>35</v>
      </c>
      <c r="AE347" s="2" t="s">
        <v>1117</v>
      </c>
      <c r="AF347" s="11">
        <v>44743.590972164355</v>
      </c>
      <c r="AG347" s="53"/>
      <c r="AH347" s="53" t="b">
        <f t="shared" si="16"/>
        <v>0</v>
      </c>
      <c r="AI347" s="54" t="str" cm="1">
        <f t="array" ref="AI347">TRANSPOSE(_xlfn._xlws.FILTER(images!L:L,images!F:F=Barrierenmessung!A347, ""))</f>
        <v>https://captureandgo.cloudlab.zhaw.ch/uploads/image_04dd4a2fdb.jpg</v>
      </c>
      <c r="AJ347" s="2"/>
      <c r="AK347" s="2"/>
      <c r="AL347" s="2"/>
      <c r="AM347" s="2"/>
      <c r="AN347" s="2"/>
    </row>
    <row r="348" spans="1:40" ht="16" x14ac:dyDescent="0.2">
      <c r="A348" s="2" t="s">
        <v>1151</v>
      </c>
      <c r="B348" s="46">
        <v>347</v>
      </c>
      <c r="C348" s="2" t="b">
        <v>0</v>
      </c>
      <c r="D348" s="2" t="b">
        <v>0</v>
      </c>
      <c r="E348" s="2" t="b">
        <v>0</v>
      </c>
      <c r="F348" s="2" t="b">
        <v>0</v>
      </c>
      <c r="G348" s="2" t="s">
        <v>31</v>
      </c>
      <c r="H348" s="2" t="s">
        <v>1152</v>
      </c>
      <c r="I348" s="2" t="s">
        <v>1153</v>
      </c>
      <c r="J348" s="2" t="s">
        <v>35</v>
      </c>
      <c r="K348" s="2" t="s">
        <v>35</v>
      </c>
      <c r="L348" s="2" t="s">
        <v>35</v>
      </c>
      <c r="M348" s="2" t="s">
        <v>35</v>
      </c>
      <c r="N348" s="2" t="s">
        <v>35</v>
      </c>
      <c r="O348" s="11">
        <v>44743.618534733796</v>
      </c>
      <c r="P348" s="11">
        <v>44743.618689270836</v>
      </c>
      <c r="Q348" s="27">
        <f t="shared" si="15"/>
        <v>1.5453703963430598E-4</v>
      </c>
      <c r="R348" s="65">
        <f t="shared" si="17"/>
        <v>1.1808101844508201E-3</v>
      </c>
      <c r="S348" s="2">
        <v>0</v>
      </c>
      <c r="T348" s="2" t="s">
        <v>36</v>
      </c>
      <c r="U348" s="2" t="s">
        <v>37</v>
      </c>
      <c r="V348" s="2" t="s">
        <v>38</v>
      </c>
      <c r="W348" s="2" t="s">
        <v>35</v>
      </c>
      <c r="X348" s="2" t="s">
        <v>35</v>
      </c>
      <c r="Y348" s="2" t="s">
        <v>35</v>
      </c>
      <c r="Z348" s="2" t="b">
        <v>0</v>
      </c>
      <c r="AA348" s="2" t="s">
        <v>35</v>
      </c>
      <c r="AB348" s="2" t="s">
        <v>35</v>
      </c>
      <c r="AC348" s="2" t="s">
        <v>35</v>
      </c>
      <c r="AD348" s="2">
        <v>2</v>
      </c>
      <c r="AE348" s="2" t="s">
        <v>1117</v>
      </c>
      <c r="AF348" s="11">
        <v>44743.590972164355</v>
      </c>
      <c r="AG348" s="53"/>
      <c r="AH348" s="53" t="b">
        <f t="shared" si="16"/>
        <v>0</v>
      </c>
      <c r="AI348" s="54" t="str" cm="1">
        <f t="array" ref="AI348">TRANSPOSE(_xlfn._xlws.FILTER(images!L:L,images!F:F=Barrierenmessung!A348, ""))</f>
        <v>https://captureandgo.cloudlab.zhaw.ch/uploads/image_8caaefb113.jpg</v>
      </c>
      <c r="AJ348" s="2"/>
      <c r="AK348" s="2"/>
      <c r="AL348" s="2"/>
      <c r="AM348" s="2"/>
      <c r="AN348" s="2"/>
    </row>
    <row r="349" spans="1:40" ht="16" x14ac:dyDescent="0.2">
      <c r="A349" s="2" t="s">
        <v>1154</v>
      </c>
      <c r="B349" s="46">
        <v>348</v>
      </c>
      <c r="C349" s="2" t="b">
        <v>0</v>
      </c>
      <c r="D349" s="2" t="b">
        <v>0</v>
      </c>
      <c r="E349" s="2" t="b">
        <v>0</v>
      </c>
      <c r="F349" s="2" t="b">
        <v>0</v>
      </c>
      <c r="G349" s="2" t="s">
        <v>31</v>
      </c>
      <c r="H349" s="2" t="s">
        <v>1155</v>
      </c>
      <c r="I349" s="2" t="s">
        <v>1156</v>
      </c>
      <c r="J349" s="2" t="s">
        <v>35</v>
      </c>
      <c r="K349" s="2" t="s">
        <v>35</v>
      </c>
      <c r="L349" s="2" t="s">
        <v>35</v>
      </c>
      <c r="M349" s="2" t="s">
        <v>35</v>
      </c>
      <c r="N349" s="2" t="s">
        <v>35</v>
      </c>
      <c r="O349" s="11">
        <v>44743.620396967592</v>
      </c>
      <c r="P349" s="11">
        <v>44743.620642476853</v>
      </c>
      <c r="Q349" s="27">
        <f t="shared" si="15"/>
        <v>2.4550926173105836E-4</v>
      </c>
      <c r="R349" s="65">
        <f t="shared" si="17"/>
        <v>1.9532060177880339E-3</v>
      </c>
      <c r="S349" s="2">
        <v>0</v>
      </c>
      <c r="T349" s="2" t="s">
        <v>36</v>
      </c>
      <c r="U349" s="2" t="s">
        <v>37</v>
      </c>
      <c r="V349" s="2" t="s">
        <v>38</v>
      </c>
      <c r="W349" s="2" t="s">
        <v>35</v>
      </c>
      <c r="X349" s="2" t="s">
        <v>35</v>
      </c>
      <c r="Y349" s="2" t="s">
        <v>35</v>
      </c>
      <c r="Z349" s="2" t="b">
        <v>0</v>
      </c>
      <c r="AA349" s="2" t="s">
        <v>35</v>
      </c>
      <c r="AB349" s="2" t="s">
        <v>35</v>
      </c>
      <c r="AC349" s="2" t="s">
        <v>35</v>
      </c>
      <c r="AD349" s="2">
        <v>2</v>
      </c>
      <c r="AE349" s="2" t="s">
        <v>1117</v>
      </c>
      <c r="AF349" s="11">
        <v>44743.590972164355</v>
      </c>
      <c r="AG349" s="53"/>
      <c r="AH349" s="53" t="b">
        <f t="shared" si="16"/>
        <v>0</v>
      </c>
      <c r="AI349" s="54" t="str" cm="1">
        <f t="array" ref="AI349">TRANSPOSE(_xlfn._xlws.FILTER(images!L:L,images!F:F=Barrierenmessung!A349, ""))</f>
        <v>https://captureandgo.cloudlab.zhaw.ch/uploads/image_25c7613308.jpg</v>
      </c>
      <c r="AJ349" s="2"/>
      <c r="AK349" s="2"/>
      <c r="AL349" s="2"/>
      <c r="AM349" s="2"/>
      <c r="AN349" s="2"/>
    </row>
    <row r="350" spans="1:40" ht="16" x14ac:dyDescent="0.2">
      <c r="A350" s="2" t="s">
        <v>1157</v>
      </c>
      <c r="B350" s="46">
        <v>349</v>
      </c>
      <c r="C350" s="2" t="b">
        <v>0</v>
      </c>
      <c r="D350" s="2" t="b">
        <v>0</v>
      </c>
      <c r="E350" s="2" t="b">
        <v>0</v>
      </c>
      <c r="F350" s="2" t="b">
        <v>0</v>
      </c>
      <c r="G350" s="2" t="s">
        <v>31</v>
      </c>
      <c r="H350" s="2" t="s">
        <v>1158</v>
      </c>
      <c r="I350" s="2" t="s">
        <v>1159</v>
      </c>
      <c r="J350" s="2" t="s">
        <v>602</v>
      </c>
      <c r="K350" s="2" t="s">
        <v>35</v>
      </c>
      <c r="L350" s="2" t="s">
        <v>35</v>
      </c>
      <c r="M350" s="2" t="s">
        <v>35</v>
      </c>
      <c r="N350" s="2" t="s">
        <v>35</v>
      </c>
      <c r="O350" s="11">
        <v>44743.622902337964</v>
      </c>
      <c r="P350" s="11">
        <v>44743.623267430557</v>
      </c>
      <c r="Q350" s="27">
        <f t="shared" si="15"/>
        <v>3.6509259371086955E-4</v>
      </c>
      <c r="R350" s="65">
        <f t="shared" si="17"/>
        <v>2.6249537040712312E-3</v>
      </c>
      <c r="S350" s="2">
        <v>0</v>
      </c>
      <c r="T350" s="2" t="s">
        <v>36</v>
      </c>
      <c r="U350" s="2" t="s">
        <v>37</v>
      </c>
      <c r="V350" s="2" t="s">
        <v>38</v>
      </c>
      <c r="W350" s="2" t="s">
        <v>35</v>
      </c>
      <c r="X350" s="2" t="s">
        <v>35</v>
      </c>
      <c r="Y350" s="2" t="s">
        <v>35</v>
      </c>
      <c r="Z350" s="2" t="b">
        <v>0</v>
      </c>
      <c r="AA350" s="2" t="s">
        <v>35</v>
      </c>
      <c r="AB350" s="2" t="s">
        <v>35</v>
      </c>
      <c r="AC350" s="2">
        <v>4</v>
      </c>
      <c r="AD350" s="2" t="s">
        <v>35</v>
      </c>
      <c r="AE350" s="2" t="s">
        <v>1117</v>
      </c>
      <c r="AF350" s="11">
        <v>44743.590972164355</v>
      </c>
      <c r="AG350" s="53"/>
      <c r="AH350" s="53" t="b">
        <f t="shared" si="16"/>
        <v>0</v>
      </c>
      <c r="AI350" s="54" t="str" cm="1">
        <f t="array" ref="AI350">TRANSPOSE(_xlfn._xlws.FILTER(images!L:L,images!F:F=Barrierenmessung!A350, ""))</f>
        <v>https://captureandgo.cloudlab.zhaw.ch/uploads/image_f5a776db64.jpg</v>
      </c>
      <c r="AJ350" s="2"/>
      <c r="AK350" s="2"/>
      <c r="AL350" s="2"/>
      <c r="AM350" s="2"/>
      <c r="AN350" s="2"/>
    </row>
    <row r="351" spans="1:40" ht="16" x14ac:dyDescent="0.2">
      <c r="A351" s="2" t="s">
        <v>1160</v>
      </c>
      <c r="B351" s="46">
        <v>350</v>
      </c>
      <c r="C351" s="2" t="b">
        <v>0</v>
      </c>
      <c r="D351" s="2" t="b">
        <v>0</v>
      </c>
      <c r="E351" s="2" t="b">
        <v>0</v>
      </c>
      <c r="F351" s="2" t="b">
        <v>0</v>
      </c>
      <c r="G351" s="2" t="s">
        <v>31</v>
      </c>
      <c r="H351" s="2" t="s">
        <v>1161</v>
      </c>
      <c r="I351" s="2" t="s">
        <v>1162</v>
      </c>
      <c r="J351" s="2" t="s">
        <v>35</v>
      </c>
      <c r="K351" s="2" t="s">
        <v>35</v>
      </c>
      <c r="L351" s="2" t="s">
        <v>35</v>
      </c>
      <c r="M351" s="2" t="s">
        <v>35</v>
      </c>
      <c r="N351" s="2" t="s">
        <v>35</v>
      </c>
      <c r="O351" s="11">
        <v>44743.623940902777</v>
      </c>
      <c r="P351" s="11">
        <v>44743.624220925929</v>
      </c>
      <c r="Q351" s="27">
        <f t="shared" si="15"/>
        <v>2.8002315229969099E-4</v>
      </c>
      <c r="R351" s="65">
        <f t="shared" si="17"/>
        <v>9.5349537150468677E-4</v>
      </c>
      <c r="S351" s="2">
        <v>0</v>
      </c>
      <c r="T351" s="2" t="s">
        <v>36</v>
      </c>
      <c r="U351" s="2" t="s">
        <v>37</v>
      </c>
      <c r="V351" s="2" t="s">
        <v>38</v>
      </c>
      <c r="W351" s="2" t="s">
        <v>35</v>
      </c>
      <c r="X351" s="2" t="s">
        <v>35</v>
      </c>
      <c r="Y351" s="2" t="s">
        <v>35</v>
      </c>
      <c r="Z351" s="2" t="b">
        <v>0</v>
      </c>
      <c r="AA351" s="2" t="s">
        <v>35</v>
      </c>
      <c r="AB351" s="2" t="s">
        <v>35</v>
      </c>
      <c r="AC351" s="2" t="s">
        <v>35</v>
      </c>
      <c r="AD351" s="2">
        <v>3</v>
      </c>
      <c r="AE351" s="2" t="s">
        <v>1117</v>
      </c>
      <c r="AF351" s="11">
        <v>44743.590972164355</v>
      </c>
      <c r="AG351" s="53"/>
      <c r="AH351" s="53" t="b">
        <f t="shared" si="16"/>
        <v>0</v>
      </c>
      <c r="AI351" s="54" t="str" cm="1">
        <f t="array" ref="AI351">TRANSPOSE(_xlfn._xlws.FILTER(images!L:L,images!F:F=Barrierenmessung!A351, ""))</f>
        <v>https://captureandgo.cloudlab.zhaw.ch/uploads/image_d77b117119.jpg</v>
      </c>
      <c r="AJ351" s="2"/>
      <c r="AK351" s="2"/>
      <c r="AL351" s="2"/>
      <c r="AM351" s="2"/>
      <c r="AN351" s="2"/>
    </row>
    <row r="352" spans="1:40" ht="16" x14ac:dyDescent="0.2">
      <c r="A352" s="2" t="s">
        <v>1163</v>
      </c>
      <c r="B352" s="46">
        <v>351</v>
      </c>
      <c r="C352" s="2" t="b">
        <v>0</v>
      </c>
      <c r="D352" s="2" t="b">
        <v>0</v>
      </c>
      <c r="E352" s="2" t="b">
        <v>0</v>
      </c>
      <c r="F352" s="2" t="b">
        <v>0</v>
      </c>
      <c r="G352" s="2" t="s">
        <v>31</v>
      </c>
      <c r="H352" s="2" t="s">
        <v>1164</v>
      </c>
      <c r="I352" s="2" t="s">
        <v>1165</v>
      </c>
      <c r="J352" s="2" t="s">
        <v>602</v>
      </c>
      <c r="K352" s="2" t="s">
        <v>35</v>
      </c>
      <c r="L352" s="2" t="s">
        <v>35</v>
      </c>
      <c r="M352" s="2" t="s">
        <v>35</v>
      </c>
      <c r="N352" s="2" t="s">
        <v>35</v>
      </c>
      <c r="O352" s="11">
        <v>44743.625078969904</v>
      </c>
      <c r="P352" s="11">
        <v>44743.625502152776</v>
      </c>
      <c r="Q352" s="27">
        <f t="shared" si="15"/>
        <v>4.2318287160014734E-4</v>
      </c>
      <c r="R352" s="65">
        <f t="shared" si="17"/>
        <v>1.2812268469133414E-3</v>
      </c>
      <c r="S352" s="2">
        <v>0</v>
      </c>
      <c r="T352" s="2" t="s">
        <v>36</v>
      </c>
      <c r="U352" s="2" t="s">
        <v>37</v>
      </c>
      <c r="V352" s="2" t="s">
        <v>38</v>
      </c>
      <c r="W352" s="2" t="s">
        <v>35</v>
      </c>
      <c r="X352" s="2" t="s">
        <v>35</v>
      </c>
      <c r="Y352" s="2" t="s">
        <v>35</v>
      </c>
      <c r="Z352" s="2" t="b">
        <v>0</v>
      </c>
      <c r="AA352" s="2" t="s">
        <v>35</v>
      </c>
      <c r="AB352" s="2" t="s">
        <v>35</v>
      </c>
      <c r="AC352" s="2">
        <v>9</v>
      </c>
      <c r="AD352" s="2">
        <v>4</v>
      </c>
      <c r="AE352" s="2" t="s">
        <v>1117</v>
      </c>
      <c r="AF352" s="11">
        <v>44743.590972164355</v>
      </c>
      <c r="AG352" s="53"/>
      <c r="AH352" s="53" t="b">
        <f t="shared" si="16"/>
        <v>0</v>
      </c>
      <c r="AI352" s="54" t="str" cm="1">
        <f t="array" ref="AI352">TRANSPOSE(_xlfn._xlws.FILTER(images!L:L,images!F:F=Barrierenmessung!A352, ""))</f>
        <v>https://captureandgo.cloudlab.zhaw.ch/uploads/image_b674532ac3.jpg</v>
      </c>
      <c r="AJ352" s="2"/>
      <c r="AK352" s="2"/>
      <c r="AL352" s="2"/>
      <c r="AM352" s="2"/>
      <c r="AN352" s="2"/>
    </row>
    <row r="353" spans="1:40" ht="16" x14ac:dyDescent="0.2">
      <c r="A353" s="2" t="s">
        <v>1166</v>
      </c>
      <c r="B353" s="46">
        <v>352</v>
      </c>
      <c r="C353" s="2" t="b">
        <v>0</v>
      </c>
      <c r="D353" s="2" t="b">
        <v>0</v>
      </c>
      <c r="E353" s="2" t="b">
        <v>0</v>
      </c>
      <c r="F353" s="2" t="b">
        <v>0</v>
      </c>
      <c r="G353" s="2" t="s">
        <v>31</v>
      </c>
      <c r="H353" s="2" t="s">
        <v>1167</v>
      </c>
      <c r="I353" s="2" t="s">
        <v>1168</v>
      </c>
      <c r="J353" s="2" t="s">
        <v>1169</v>
      </c>
      <c r="K353" s="2" t="s">
        <v>35</v>
      </c>
      <c r="L353" s="2" t="s">
        <v>35</v>
      </c>
      <c r="M353" s="2">
        <v>17</v>
      </c>
      <c r="N353" s="2">
        <v>9</v>
      </c>
      <c r="O353" s="11">
        <v>44743.625651770832</v>
      </c>
      <c r="P353" s="11">
        <v>44743.626227754627</v>
      </c>
      <c r="Q353" s="27">
        <f t="shared" si="15"/>
        <v>5.7598379498813301E-4</v>
      </c>
      <c r="R353" s="65">
        <f t="shared" si="17"/>
        <v>7.2560185071779415E-4</v>
      </c>
      <c r="S353" s="2">
        <v>0</v>
      </c>
      <c r="T353" s="2" t="s">
        <v>54</v>
      </c>
      <c r="U353" s="2" t="s">
        <v>55</v>
      </c>
      <c r="V353" s="2" t="s">
        <v>38</v>
      </c>
      <c r="W353" s="2" t="s">
        <v>35</v>
      </c>
      <c r="X353" s="2" t="s">
        <v>35</v>
      </c>
      <c r="Y353" s="2" t="s">
        <v>35</v>
      </c>
      <c r="Z353" s="2" t="b">
        <v>1</v>
      </c>
      <c r="AA353" s="2" t="s">
        <v>35</v>
      </c>
      <c r="AB353" s="2" t="s">
        <v>35</v>
      </c>
      <c r="AC353" s="2" t="s">
        <v>35</v>
      </c>
      <c r="AD353" s="2" t="s">
        <v>35</v>
      </c>
      <c r="AE353" s="2" t="s">
        <v>1117</v>
      </c>
      <c r="AF353" s="11">
        <v>44743.590972164355</v>
      </c>
      <c r="AG353" s="53"/>
      <c r="AH353" s="53" t="b">
        <f t="shared" si="16"/>
        <v>0</v>
      </c>
      <c r="AI353" s="54" t="str" cm="1">
        <f t="array" ref="AI353">TRANSPOSE(_xlfn._xlws.FILTER(images!L:L,images!F:F=Barrierenmessung!A353, ""))</f>
        <v>https://captureandgo.cloudlab.zhaw.ch/uploads/image_22e3ab48be.jpg</v>
      </c>
      <c r="AJ353" s="2"/>
      <c r="AK353" s="2"/>
      <c r="AL353" s="2"/>
      <c r="AM353" s="2"/>
      <c r="AN353" s="2"/>
    </row>
    <row r="354" spans="1:40" ht="16" x14ac:dyDescent="0.2">
      <c r="A354" s="2" t="s">
        <v>1170</v>
      </c>
      <c r="B354" s="46">
        <v>353</v>
      </c>
      <c r="C354" s="2" t="b">
        <v>0</v>
      </c>
      <c r="D354" s="2" t="b">
        <v>0</v>
      </c>
      <c r="E354" s="2" t="b">
        <v>0</v>
      </c>
      <c r="F354" s="2" t="b">
        <v>0</v>
      </c>
      <c r="G354" s="2" t="s">
        <v>31</v>
      </c>
      <c r="H354" s="2" t="s">
        <v>1171</v>
      </c>
      <c r="I354" s="2" t="s">
        <v>1172</v>
      </c>
      <c r="J354" s="2" t="s">
        <v>1173</v>
      </c>
      <c r="K354" s="2" t="s">
        <v>35</v>
      </c>
      <c r="L354" s="2" t="s">
        <v>35</v>
      </c>
      <c r="M354" s="2" t="s">
        <v>35</v>
      </c>
      <c r="N354" s="2" t="s">
        <v>35</v>
      </c>
      <c r="O354" s="11">
        <v>44743.626282372687</v>
      </c>
      <c r="P354" s="11">
        <v>44743.62684084491</v>
      </c>
      <c r="Q354" s="27">
        <f t="shared" si="15"/>
        <v>5.5847222392912954E-4</v>
      </c>
      <c r="R354" s="65">
        <f t="shared" si="17"/>
        <v>6.1309028387768194E-4</v>
      </c>
      <c r="S354" s="2">
        <v>0</v>
      </c>
      <c r="T354" s="2" t="s">
        <v>36</v>
      </c>
      <c r="U354" s="2" t="s">
        <v>37</v>
      </c>
      <c r="V354" s="2" t="s">
        <v>38</v>
      </c>
      <c r="W354" s="2" t="s">
        <v>35</v>
      </c>
      <c r="X354" s="2" t="s">
        <v>35</v>
      </c>
      <c r="Y354" s="2" t="s">
        <v>35</v>
      </c>
      <c r="Z354" s="2" t="b">
        <v>0</v>
      </c>
      <c r="AA354" s="2" t="s">
        <v>35</v>
      </c>
      <c r="AB354" s="2" t="s">
        <v>35</v>
      </c>
      <c r="AC354" s="2">
        <v>11</v>
      </c>
      <c r="AD354" s="2" t="s">
        <v>35</v>
      </c>
      <c r="AE354" s="2" t="s">
        <v>1117</v>
      </c>
      <c r="AF354" s="11">
        <v>44743.590972164355</v>
      </c>
      <c r="AG354" s="53"/>
      <c r="AH354" s="53" t="b">
        <f t="shared" si="16"/>
        <v>0</v>
      </c>
      <c r="AI354" s="54" t="str" cm="1">
        <f t="array" ref="AI354">TRANSPOSE(_xlfn._xlws.FILTER(images!L:L,images!F:F=Barrierenmessung!A354, ""))</f>
        <v>https://captureandgo.cloudlab.zhaw.ch/uploads/image_6fd2f621d1.jpg</v>
      </c>
      <c r="AJ354" s="2"/>
      <c r="AK354" s="2"/>
      <c r="AL354" s="2"/>
      <c r="AM354" s="2"/>
      <c r="AN354" s="2"/>
    </row>
    <row r="355" spans="1:40" ht="16" x14ac:dyDescent="0.2">
      <c r="A355" s="2" t="s">
        <v>1174</v>
      </c>
      <c r="B355" s="46">
        <v>354</v>
      </c>
      <c r="C355" s="2" t="b">
        <v>0</v>
      </c>
      <c r="D355" s="2" t="b">
        <v>0</v>
      </c>
      <c r="E355" s="2" t="b">
        <v>0</v>
      </c>
      <c r="F355" s="2" t="b">
        <v>0</v>
      </c>
      <c r="G355" s="2" t="s">
        <v>31</v>
      </c>
      <c r="H355" s="2" t="s">
        <v>1175</v>
      </c>
      <c r="I355" s="2" t="s">
        <v>1176</v>
      </c>
      <c r="J355" s="2" t="s">
        <v>1177</v>
      </c>
      <c r="K355" s="2" t="s">
        <v>35</v>
      </c>
      <c r="L355" s="2" t="s">
        <v>35</v>
      </c>
      <c r="M355" s="2" t="s">
        <v>35</v>
      </c>
      <c r="N355" s="2" t="s">
        <v>35</v>
      </c>
      <c r="O355" s="11">
        <v>44743.627843090275</v>
      </c>
      <c r="P355" s="11">
        <v>44743.628229988426</v>
      </c>
      <c r="Q355" s="27">
        <f t="shared" si="15"/>
        <v>3.8689815119141713E-4</v>
      </c>
      <c r="R355" s="65">
        <f t="shared" si="17"/>
        <v>1.3891435155528598E-3</v>
      </c>
      <c r="S355" s="2">
        <v>0</v>
      </c>
      <c r="T355" s="2" t="s">
        <v>36</v>
      </c>
      <c r="U355" s="2" t="s">
        <v>37</v>
      </c>
      <c r="V355" s="2" t="s">
        <v>38</v>
      </c>
      <c r="W355" s="2" t="s">
        <v>35</v>
      </c>
      <c r="X355" s="2" t="s">
        <v>35</v>
      </c>
      <c r="Y355" s="2" t="s">
        <v>35</v>
      </c>
      <c r="Z355" s="2" t="b">
        <v>0</v>
      </c>
      <c r="AA355" s="2" t="s">
        <v>35</v>
      </c>
      <c r="AB355" s="2" t="s">
        <v>35</v>
      </c>
      <c r="AC355" s="2">
        <v>7</v>
      </c>
      <c r="AD355" s="2" t="s">
        <v>35</v>
      </c>
      <c r="AE355" s="2" t="s">
        <v>1117</v>
      </c>
      <c r="AF355" s="11">
        <v>44743.590972164355</v>
      </c>
      <c r="AG355" s="53"/>
      <c r="AH355" s="53" t="b">
        <f t="shared" si="16"/>
        <v>0</v>
      </c>
      <c r="AI355" s="54" t="str" cm="1">
        <f t="array" ref="AI355">TRANSPOSE(_xlfn._xlws.FILTER(images!L:L,images!F:F=Barrierenmessung!A355, ""))</f>
        <v>https://captureandgo.cloudlab.zhaw.ch/uploads/image_1cfa8ef212.jpg</v>
      </c>
      <c r="AJ355" s="2"/>
      <c r="AK355" s="2"/>
      <c r="AL355" s="2"/>
      <c r="AM355" s="2"/>
      <c r="AN355" s="2"/>
    </row>
    <row r="356" spans="1:40" ht="16" x14ac:dyDescent="0.2">
      <c r="A356" s="2" t="s">
        <v>1178</v>
      </c>
      <c r="B356" s="46">
        <v>355</v>
      </c>
      <c r="C356" s="2" t="b">
        <v>0</v>
      </c>
      <c r="D356" s="2" t="b">
        <v>0</v>
      </c>
      <c r="E356" s="2" t="b">
        <v>0</v>
      </c>
      <c r="F356" s="2" t="b">
        <v>0</v>
      </c>
      <c r="G356" s="2" t="s">
        <v>31</v>
      </c>
      <c r="H356" s="2" t="s">
        <v>1179</v>
      </c>
      <c r="I356" s="2" t="s">
        <v>1180</v>
      </c>
      <c r="J356" s="2" t="s">
        <v>1181</v>
      </c>
      <c r="K356" s="2" t="s">
        <v>35</v>
      </c>
      <c r="L356" s="2" t="s">
        <v>35</v>
      </c>
      <c r="M356" s="2">
        <v>13</v>
      </c>
      <c r="N356" s="2">
        <v>13</v>
      </c>
      <c r="O356" s="11">
        <v>44743.628727523152</v>
      </c>
      <c r="P356" s="11">
        <v>44743.629452800924</v>
      </c>
      <c r="Q356" s="27">
        <f t="shared" si="15"/>
        <v>7.2527777228970081E-4</v>
      </c>
      <c r="R356" s="65">
        <f t="shared" si="17"/>
        <v>1.2228124978719279E-3</v>
      </c>
      <c r="S356" s="2">
        <v>0</v>
      </c>
      <c r="T356" s="2" t="s">
        <v>54</v>
      </c>
      <c r="U356" s="2" t="s">
        <v>55</v>
      </c>
      <c r="V356" s="2" t="s">
        <v>38</v>
      </c>
      <c r="W356" s="2" t="s">
        <v>35</v>
      </c>
      <c r="X356" s="2" t="s">
        <v>35</v>
      </c>
      <c r="Y356" s="2" t="s">
        <v>35</v>
      </c>
      <c r="Z356" s="2" t="b">
        <v>1</v>
      </c>
      <c r="AA356" s="2" t="s">
        <v>35</v>
      </c>
      <c r="AB356" s="2" t="s">
        <v>35</v>
      </c>
      <c r="AC356" s="2" t="s">
        <v>35</v>
      </c>
      <c r="AD356" s="2" t="s">
        <v>35</v>
      </c>
      <c r="AE356" s="2" t="s">
        <v>1117</v>
      </c>
      <c r="AF356" s="11">
        <v>44743.590972164355</v>
      </c>
      <c r="AG356" s="53"/>
      <c r="AH356" s="53" t="b">
        <f t="shared" si="16"/>
        <v>0</v>
      </c>
      <c r="AI356" s="54" t="str" cm="1">
        <f t="array" ref="AI356">TRANSPOSE(_xlfn._xlws.FILTER(images!L:L,images!F:F=Barrierenmessung!A356, ""))</f>
        <v>https://captureandgo.cloudlab.zhaw.ch/uploads/image_a4b3c73d90.jpg</v>
      </c>
      <c r="AJ356" s="2"/>
      <c r="AK356" s="2"/>
      <c r="AL356" s="2"/>
      <c r="AM356" s="2"/>
      <c r="AN356" s="2"/>
    </row>
    <row r="357" spans="1:40" ht="16" x14ac:dyDescent="0.2">
      <c r="A357" s="2" t="s">
        <v>1182</v>
      </c>
      <c r="B357" s="46">
        <v>356</v>
      </c>
      <c r="C357" s="2" t="b">
        <v>0</v>
      </c>
      <c r="D357" s="2" t="b">
        <v>0</v>
      </c>
      <c r="E357" s="2" t="b">
        <v>0</v>
      </c>
      <c r="F357" s="2" t="b">
        <v>0</v>
      </c>
      <c r="G357" s="2" t="s">
        <v>31</v>
      </c>
      <c r="H357" s="2" t="s">
        <v>1183</v>
      </c>
      <c r="I357" s="2" t="s">
        <v>1184</v>
      </c>
      <c r="J357" s="2" t="s">
        <v>1185</v>
      </c>
      <c r="K357" s="2" t="s">
        <v>35</v>
      </c>
      <c r="L357" s="2" t="s">
        <v>35</v>
      </c>
      <c r="M357" s="2" t="s">
        <v>35</v>
      </c>
      <c r="N357" s="2" t="s">
        <v>35</v>
      </c>
      <c r="O357" s="11">
        <v>44743.629506574071</v>
      </c>
      <c r="P357" s="11">
        <v>44743.629745138889</v>
      </c>
      <c r="Q357" s="27">
        <f t="shared" si="15"/>
        <v>2.3856481857364997E-4</v>
      </c>
      <c r="R357" s="65">
        <f t="shared" si="17"/>
        <v>2.9233796522021294E-4</v>
      </c>
      <c r="S357" s="2">
        <v>0</v>
      </c>
      <c r="T357" s="2" t="s">
        <v>36</v>
      </c>
      <c r="U357" s="2" t="s">
        <v>37</v>
      </c>
      <c r="V357" s="2" t="s">
        <v>38</v>
      </c>
      <c r="W357" s="2" t="s">
        <v>35</v>
      </c>
      <c r="X357" s="2" t="s">
        <v>35</v>
      </c>
      <c r="Y357" s="2" t="s">
        <v>35</v>
      </c>
      <c r="Z357" s="2" t="b">
        <v>0</v>
      </c>
      <c r="AA357" s="2" t="s">
        <v>35</v>
      </c>
      <c r="AB357" s="2" t="s">
        <v>35</v>
      </c>
      <c r="AC357" s="2">
        <v>13</v>
      </c>
      <c r="AD357" s="2" t="s">
        <v>35</v>
      </c>
      <c r="AE357" s="2" t="s">
        <v>1117</v>
      </c>
      <c r="AF357" s="11">
        <v>44743.590972164355</v>
      </c>
      <c r="AG357" s="53"/>
      <c r="AH357" s="53" t="b">
        <f t="shared" si="16"/>
        <v>0</v>
      </c>
      <c r="AI357" s="54" t="str" cm="1">
        <f t="array" ref="AI357">TRANSPOSE(_xlfn._xlws.FILTER(images!L:L,images!F:F=Barrierenmessung!A357, ""))</f>
        <v>https://captureandgo.cloudlab.zhaw.ch/uploads/image_a782fd7ad9.jpg</v>
      </c>
      <c r="AJ357" s="2"/>
      <c r="AK357" s="2"/>
      <c r="AL357" s="2"/>
      <c r="AM357" s="2"/>
      <c r="AN357" s="2"/>
    </row>
    <row r="358" spans="1:40" ht="16" x14ac:dyDescent="0.2">
      <c r="A358" s="2" t="s">
        <v>1186</v>
      </c>
      <c r="B358" s="46">
        <v>357</v>
      </c>
      <c r="C358" s="2" t="b">
        <v>0</v>
      </c>
      <c r="D358" s="2" t="b">
        <v>0</v>
      </c>
      <c r="E358" s="2" t="b">
        <v>0</v>
      </c>
      <c r="F358" s="2" t="b">
        <v>0</v>
      </c>
      <c r="G358" s="2" t="s">
        <v>31</v>
      </c>
      <c r="H358" s="2" t="s">
        <v>1187</v>
      </c>
      <c r="I358" s="2" t="s">
        <v>1188</v>
      </c>
      <c r="J358" s="2" t="s">
        <v>35</v>
      </c>
      <c r="K358" s="2" t="s">
        <v>35</v>
      </c>
      <c r="L358" s="2" t="s">
        <v>35</v>
      </c>
      <c r="M358" s="2" t="s">
        <v>35</v>
      </c>
      <c r="N358" s="2" t="s">
        <v>35</v>
      </c>
      <c r="O358" s="11">
        <v>44743.630332418979</v>
      </c>
      <c r="P358" s="11">
        <v>44743.630586064814</v>
      </c>
      <c r="Q358" s="27">
        <f t="shared" si="15"/>
        <v>2.5364583416376263E-4</v>
      </c>
      <c r="R358" s="65">
        <f t="shared" si="17"/>
        <v>8.4092592442175373E-4</v>
      </c>
      <c r="S358" s="2">
        <v>0</v>
      </c>
      <c r="T358" s="2" t="s">
        <v>36</v>
      </c>
      <c r="U358" s="2" t="s">
        <v>37</v>
      </c>
      <c r="V358" s="2" t="s">
        <v>38</v>
      </c>
      <c r="W358" s="2" t="s">
        <v>35</v>
      </c>
      <c r="X358" s="2" t="s">
        <v>35</v>
      </c>
      <c r="Y358" s="2" t="s">
        <v>35</v>
      </c>
      <c r="Z358" s="2" t="b">
        <v>0</v>
      </c>
      <c r="AA358" s="2" t="s">
        <v>35</v>
      </c>
      <c r="AB358" s="2" t="s">
        <v>35</v>
      </c>
      <c r="AC358" s="2" t="s">
        <v>35</v>
      </c>
      <c r="AD358" s="2">
        <v>8</v>
      </c>
      <c r="AE358" s="2" t="s">
        <v>1117</v>
      </c>
      <c r="AF358" s="11">
        <v>44743.590972164355</v>
      </c>
      <c r="AG358" s="53"/>
      <c r="AH358" s="53" t="b">
        <f t="shared" si="16"/>
        <v>0</v>
      </c>
      <c r="AI358" s="54" t="str" cm="1">
        <f t="array" ref="AI358">TRANSPOSE(_xlfn._xlws.FILTER(images!L:L,images!F:F=Barrierenmessung!A358, ""))</f>
        <v>https://captureandgo.cloudlab.zhaw.ch/uploads/image_90c7d43129.jpg</v>
      </c>
      <c r="AJ358" s="2"/>
      <c r="AK358" s="2"/>
      <c r="AL358" s="2"/>
      <c r="AM358" s="2"/>
      <c r="AN358" s="2"/>
    </row>
    <row r="359" spans="1:40" ht="16" x14ac:dyDescent="0.2">
      <c r="A359" s="2" t="s">
        <v>1189</v>
      </c>
      <c r="B359" s="46">
        <v>358</v>
      </c>
      <c r="C359" s="2" t="b">
        <v>0</v>
      </c>
      <c r="D359" s="2" t="b">
        <v>0</v>
      </c>
      <c r="E359" s="2" t="b">
        <v>0</v>
      </c>
      <c r="F359" s="2" t="b">
        <v>0</v>
      </c>
      <c r="G359" s="2" t="s">
        <v>31</v>
      </c>
      <c r="H359" s="2" t="s">
        <v>1190</v>
      </c>
      <c r="I359" s="2" t="s">
        <v>1191</v>
      </c>
      <c r="J359" s="2" t="s">
        <v>35</v>
      </c>
      <c r="K359" s="2" t="s">
        <v>35</v>
      </c>
      <c r="L359" s="2" t="s">
        <v>35</v>
      </c>
      <c r="M359" s="2" t="s">
        <v>35</v>
      </c>
      <c r="N359" s="2" t="s">
        <v>35</v>
      </c>
      <c r="O359" s="11">
        <v>44743.632037175928</v>
      </c>
      <c r="P359" s="11">
        <v>44743.632155057872</v>
      </c>
      <c r="Q359" s="27">
        <f t="shared" si="15"/>
        <v>1.1788194387918338E-4</v>
      </c>
      <c r="R359" s="65">
        <f t="shared" si="17"/>
        <v>1.5689930587541312E-3</v>
      </c>
      <c r="S359" s="2">
        <v>0</v>
      </c>
      <c r="T359" s="2" t="s">
        <v>36</v>
      </c>
      <c r="U359" s="2" t="s">
        <v>37</v>
      </c>
      <c r="V359" s="2" t="s">
        <v>38</v>
      </c>
      <c r="W359" s="2" t="s">
        <v>35</v>
      </c>
      <c r="X359" s="2" t="s">
        <v>35</v>
      </c>
      <c r="Y359" s="2" t="s">
        <v>35</v>
      </c>
      <c r="Z359" s="2" t="b">
        <v>0</v>
      </c>
      <c r="AA359" s="2" t="s">
        <v>35</v>
      </c>
      <c r="AB359" s="2" t="s">
        <v>35</v>
      </c>
      <c r="AC359" s="2" t="s">
        <v>35</v>
      </c>
      <c r="AD359" s="2">
        <v>6</v>
      </c>
      <c r="AE359" s="2" t="s">
        <v>1117</v>
      </c>
      <c r="AF359" s="11">
        <v>44743.590972164355</v>
      </c>
      <c r="AG359" s="53"/>
      <c r="AH359" s="53" t="b">
        <f t="shared" si="16"/>
        <v>0</v>
      </c>
      <c r="AI359" s="54" t="str" cm="1">
        <f t="array" ref="AI359">TRANSPOSE(_xlfn._xlws.FILTER(images!L:L,images!F:F=Barrierenmessung!A359, ""))</f>
        <v>https://captureandgo.cloudlab.zhaw.ch/uploads/image_99a9949603.jpg</v>
      </c>
      <c r="AJ359" s="2"/>
      <c r="AK359" s="2"/>
      <c r="AL359" s="2"/>
      <c r="AM359" s="2"/>
      <c r="AN359" s="2"/>
    </row>
    <row r="360" spans="1:40" ht="16" x14ac:dyDescent="0.2">
      <c r="A360" s="2" t="s">
        <v>1192</v>
      </c>
      <c r="B360" s="46">
        <v>359</v>
      </c>
      <c r="C360" s="2" t="b">
        <v>0</v>
      </c>
      <c r="D360" s="2" t="b">
        <v>0</v>
      </c>
      <c r="E360" s="2" t="b">
        <v>0</v>
      </c>
      <c r="F360" s="2" t="b">
        <v>0</v>
      </c>
      <c r="G360" s="2" t="s">
        <v>31</v>
      </c>
      <c r="H360" s="2" t="s">
        <v>1193</v>
      </c>
      <c r="I360" s="2" t="s">
        <v>1194</v>
      </c>
      <c r="J360" s="2" t="s">
        <v>35</v>
      </c>
      <c r="K360" s="2" t="s">
        <v>35</v>
      </c>
      <c r="L360" s="2" t="s">
        <v>35</v>
      </c>
      <c r="M360" s="2" t="s">
        <v>35</v>
      </c>
      <c r="N360" s="2" t="s">
        <v>35</v>
      </c>
      <c r="O360" s="11">
        <v>44743.633863703704</v>
      </c>
      <c r="P360" s="11">
        <v>44743.633999074074</v>
      </c>
      <c r="Q360" s="27">
        <f t="shared" si="15"/>
        <v>1.3537037011701614E-4</v>
      </c>
      <c r="R360" s="65">
        <f t="shared" si="17"/>
        <v>1.8440162020851858E-3</v>
      </c>
      <c r="S360" s="2">
        <v>0</v>
      </c>
      <c r="T360" s="2" t="s">
        <v>36</v>
      </c>
      <c r="U360" s="2" t="s">
        <v>37</v>
      </c>
      <c r="V360" s="2" t="s">
        <v>38</v>
      </c>
      <c r="W360" s="2" t="s">
        <v>35</v>
      </c>
      <c r="X360" s="2" t="s">
        <v>35</v>
      </c>
      <c r="Y360" s="2" t="s">
        <v>35</v>
      </c>
      <c r="Z360" s="2" t="b">
        <v>0</v>
      </c>
      <c r="AA360" s="2" t="s">
        <v>35</v>
      </c>
      <c r="AB360" s="2" t="s">
        <v>35</v>
      </c>
      <c r="AC360" s="2" t="s">
        <v>35</v>
      </c>
      <c r="AD360" s="2">
        <v>5</v>
      </c>
      <c r="AE360" s="2" t="s">
        <v>1117</v>
      </c>
      <c r="AF360" s="11">
        <v>44743.590972164355</v>
      </c>
      <c r="AG360" s="53"/>
      <c r="AH360" s="53" t="b">
        <f t="shared" si="16"/>
        <v>0</v>
      </c>
      <c r="AI360" s="54" t="str" cm="1">
        <f t="array" ref="AI360">TRANSPOSE(_xlfn._xlws.FILTER(images!L:L,images!F:F=Barrierenmessung!A360, ""))</f>
        <v>https://captureandgo.cloudlab.zhaw.ch/uploads/image_4d0089469d.jpg</v>
      </c>
      <c r="AJ360" s="2"/>
      <c r="AK360" s="2"/>
      <c r="AL360" s="2"/>
      <c r="AM360" s="2"/>
      <c r="AN360" s="2"/>
    </row>
    <row r="361" spans="1:40" ht="16" x14ac:dyDescent="0.2">
      <c r="A361" s="2" t="s">
        <v>1195</v>
      </c>
      <c r="B361" s="46">
        <v>360</v>
      </c>
      <c r="C361" s="2" t="b">
        <v>0</v>
      </c>
      <c r="D361" s="2" t="b">
        <v>0</v>
      </c>
      <c r="E361" s="2" t="b">
        <v>0</v>
      </c>
      <c r="F361" s="2" t="b">
        <v>0</v>
      </c>
      <c r="G361" s="2" t="s">
        <v>31</v>
      </c>
      <c r="H361" s="2" t="s">
        <v>1196</v>
      </c>
      <c r="I361" s="2" t="s">
        <v>1197</v>
      </c>
      <c r="J361" s="2" t="s">
        <v>1198</v>
      </c>
      <c r="K361" s="2" t="s">
        <v>35</v>
      </c>
      <c r="L361" s="2" t="s">
        <v>35</v>
      </c>
      <c r="M361" s="2" t="s">
        <v>35</v>
      </c>
      <c r="N361" s="2" t="s">
        <v>35</v>
      </c>
      <c r="O361" s="11">
        <v>44743.63453920139</v>
      </c>
      <c r="P361" s="11">
        <v>44743.63503016204</v>
      </c>
      <c r="Q361" s="27">
        <f t="shared" si="15"/>
        <v>4.909606504952535E-4</v>
      </c>
      <c r="R361" s="65">
        <f t="shared" si="17"/>
        <v>1.0310879661119543E-3</v>
      </c>
      <c r="S361" s="2">
        <v>0</v>
      </c>
      <c r="T361" s="2" t="s">
        <v>36</v>
      </c>
      <c r="U361" s="2" t="s">
        <v>37</v>
      </c>
      <c r="V361" s="2" t="s">
        <v>38</v>
      </c>
      <c r="W361" s="2" t="s">
        <v>35</v>
      </c>
      <c r="X361" s="2" t="s">
        <v>35</v>
      </c>
      <c r="Y361" s="2" t="s">
        <v>35</v>
      </c>
      <c r="Z361" s="2" t="b">
        <v>0</v>
      </c>
      <c r="AA361" s="2" t="s">
        <v>35</v>
      </c>
      <c r="AB361" s="2" t="s">
        <v>35</v>
      </c>
      <c r="AC361" s="2">
        <v>5</v>
      </c>
      <c r="AD361" s="2">
        <v>3</v>
      </c>
      <c r="AE361" s="2" t="s">
        <v>1117</v>
      </c>
      <c r="AF361" s="11">
        <v>44743.590972164355</v>
      </c>
      <c r="AG361" s="53"/>
      <c r="AH361" s="53" t="b">
        <f t="shared" si="16"/>
        <v>0</v>
      </c>
      <c r="AI361" s="54" t="str" cm="1">
        <f t="array" ref="AI361">TRANSPOSE(_xlfn._xlws.FILTER(images!L:L,images!F:F=Barrierenmessung!A361, ""))</f>
        <v>https://captureandgo.cloudlab.zhaw.ch/uploads/image_eb7454c6cd.jpg</v>
      </c>
      <c r="AJ361" s="2"/>
      <c r="AK361" s="2"/>
      <c r="AL361" s="2"/>
      <c r="AM361" s="2"/>
      <c r="AN361" s="2"/>
    </row>
    <row r="362" spans="1:40" ht="16" x14ac:dyDescent="0.2">
      <c r="A362" s="2" t="s">
        <v>1199</v>
      </c>
      <c r="B362" s="46">
        <v>361</v>
      </c>
      <c r="C362" s="2" t="b">
        <v>0</v>
      </c>
      <c r="D362" s="2" t="b">
        <v>0</v>
      </c>
      <c r="E362" s="2" t="b">
        <v>0</v>
      </c>
      <c r="F362" s="2" t="b">
        <v>0</v>
      </c>
      <c r="G362" s="2" t="s">
        <v>31</v>
      </c>
      <c r="H362" s="2" t="s">
        <v>1200</v>
      </c>
      <c r="I362" s="2" t="s">
        <v>1201</v>
      </c>
      <c r="J362" s="2" t="s">
        <v>35</v>
      </c>
      <c r="K362" s="2" t="s">
        <v>35</v>
      </c>
      <c r="L362" s="2" t="s">
        <v>35</v>
      </c>
      <c r="M362" s="2" t="s">
        <v>35</v>
      </c>
      <c r="N362" s="2" t="s">
        <v>35</v>
      </c>
      <c r="O362" s="11">
        <v>44743.635363252317</v>
      </c>
      <c r="P362" s="11">
        <v>44743.635515428243</v>
      </c>
      <c r="Q362" s="27">
        <f t="shared" si="15"/>
        <v>1.5217592590488493E-4</v>
      </c>
      <c r="R362" s="65">
        <f t="shared" si="17"/>
        <v>4.852662023040466E-4</v>
      </c>
      <c r="S362" s="2">
        <v>0</v>
      </c>
      <c r="T362" s="2" t="s">
        <v>36</v>
      </c>
      <c r="U362" s="2" t="s">
        <v>37</v>
      </c>
      <c r="V362" s="2" t="s">
        <v>38</v>
      </c>
      <c r="W362" s="2" t="s">
        <v>35</v>
      </c>
      <c r="X362" s="2" t="s">
        <v>35</v>
      </c>
      <c r="Y362" s="2" t="s">
        <v>35</v>
      </c>
      <c r="Z362" s="2" t="b">
        <v>0</v>
      </c>
      <c r="AA362" s="2" t="s">
        <v>35</v>
      </c>
      <c r="AB362" s="2" t="s">
        <v>35</v>
      </c>
      <c r="AC362" s="2" t="s">
        <v>35</v>
      </c>
      <c r="AD362" s="2">
        <v>4</v>
      </c>
      <c r="AE362" s="2" t="s">
        <v>1117</v>
      </c>
      <c r="AF362" s="11">
        <v>44743.590972164355</v>
      </c>
      <c r="AG362" s="53"/>
      <c r="AH362" s="53" t="b">
        <f t="shared" si="16"/>
        <v>0</v>
      </c>
      <c r="AI362" s="54" t="str" cm="1">
        <f t="array" ref="AI362">TRANSPOSE(_xlfn._xlws.FILTER(images!L:L,images!F:F=Barrierenmessung!A362, ""))</f>
        <v>https://captureandgo.cloudlab.zhaw.ch/uploads/image_397968c055.jpg</v>
      </c>
      <c r="AJ362" s="2"/>
      <c r="AK362" s="2"/>
      <c r="AL362" s="2"/>
      <c r="AM362" s="2"/>
      <c r="AN362" s="2"/>
    </row>
    <row r="363" spans="1:40" ht="16" x14ac:dyDescent="0.2">
      <c r="A363" s="2" t="s">
        <v>1202</v>
      </c>
      <c r="B363" s="46">
        <v>362</v>
      </c>
      <c r="C363" s="2" t="b">
        <v>0</v>
      </c>
      <c r="D363" s="2" t="b">
        <v>0</v>
      </c>
      <c r="E363" s="2" t="b">
        <v>0</v>
      </c>
      <c r="F363" s="2" t="b">
        <v>0</v>
      </c>
      <c r="G363" s="2" t="s">
        <v>31</v>
      </c>
      <c r="H363" s="2" t="s">
        <v>1203</v>
      </c>
      <c r="I363" s="2" t="s">
        <v>1204</v>
      </c>
      <c r="J363" s="2" t="s">
        <v>1198</v>
      </c>
      <c r="K363" s="2" t="s">
        <v>35</v>
      </c>
      <c r="L363" s="2" t="s">
        <v>35</v>
      </c>
      <c r="M363" s="2" t="s">
        <v>35</v>
      </c>
      <c r="N363" s="2" t="s">
        <v>35</v>
      </c>
      <c r="O363" s="11">
        <v>44743.636718078706</v>
      </c>
      <c r="P363" s="11">
        <v>44743.637017835645</v>
      </c>
      <c r="Q363" s="27">
        <f t="shared" si="15"/>
        <v>2.9975693905726075E-4</v>
      </c>
      <c r="R363" s="65">
        <f t="shared" si="17"/>
        <v>1.5024074018583633E-3</v>
      </c>
      <c r="S363" s="2">
        <v>0</v>
      </c>
      <c r="T363" s="2" t="s">
        <v>36</v>
      </c>
      <c r="U363" s="2" t="s">
        <v>37</v>
      </c>
      <c r="V363" s="2" t="s">
        <v>38</v>
      </c>
      <c r="W363" s="2" t="s">
        <v>35</v>
      </c>
      <c r="X363" s="2" t="s">
        <v>35</v>
      </c>
      <c r="Y363" s="2" t="s">
        <v>35</v>
      </c>
      <c r="Z363" s="2" t="b">
        <v>0</v>
      </c>
      <c r="AA363" s="2" t="s">
        <v>35</v>
      </c>
      <c r="AB363" s="2" t="s">
        <v>35</v>
      </c>
      <c r="AC363" s="2">
        <v>5</v>
      </c>
      <c r="AD363" s="2" t="s">
        <v>35</v>
      </c>
      <c r="AE363" s="2" t="s">
        <v>1117</v>
      </c>
      <c r="AF363" s="11">
        <v>44743.590972164355</v>
      </c>
      <c r="AG363" s="53"/>
      <c r="AH363" s="53" t="b">
        <f t="shared" si="16"/>
        <v>0</v>
      </c>
      <c r="AI363" s="54" t="str" cm="1">
        <f t="array" ref="AI363">TRANSPOSE(_xlfn._xlws.FILTER(images!L:L,images!F:F=Barrierenmessung!A363, ""))</f>
        <v>https://captureandgo.cloudlab.zhaw.ch/uploads/image_f4c762e3b2.jpg</v>
      </c>
      <c r="AJ363" s="2"/>
      <c r="AK363" s="2"/>
      <c r="AL363" s="2"/>
      <c r="AM363" s="2"/>
      <c r="AN363" s="2"/>
    </row>
    <row r="364" spans="1:40" ht="16" x14ac:dyDescent="0.2">
      <c r="A364" s="2" t="s">
        <v>1205</v>
      </c>
      <c r="B364" s="46">
        <v>363</v>
      </c>
      <c r="C364" s="2" t="b">
        <v>0</v>
      </c>
      <c r="D364" s="2" t="b">
        <v>0</v>
      </c>
      <c r="E364" s="2" t="b">
        <v>0</v>
      </c>
      <c r="F364" s="2" t="b">
        <v>0</v>
      </c>
      <c r="G364" s="2" t="s">
        <v>31</v>
      </c>
      <c r="H364" s="2" t="s">
        <v>1206</v>
      </c>
      <c r="I364" s="2" t="s">
        <v>1207</v>
      </c>
      <c r="J364" s="2" t="s">
        <v>35</v>
      </c>
      <c r="K364" s="2" t="s">
        <v>35</v>
      </c>
      <c r="L364" s="2" t="s">
        <v>35</v>
      </c>
      <c r="M364" s="2" t="s">
        <v>35</v>
      </c>
      <c r="N364" s="2" t="s">
        <v>35</v>
      </c>
      <c r="O364" s="11">
        <v>44743.63786855324</v>
      </c>
      <c r="P364" s="11">
        <v>44743.638029594906</v>
      </c>
      <c r="Q364" s="27">
        <f t="shared" si="15"/>
        <v>1.6104166570585221E-4</v>
      </c>
      <c r="R364" s="65">
        <f t="shared" si="17"/>
        <v>1.0117592610185966E-3</v>
      </c>
      <c r="S364" s="2">
        <v>0</v>
      </c>
      <c r="T364" s="2" t="s">
        <v>36</v>
      </c>
      <c r="U364" s="2" t="s">
        <v>37</v>
      </c>
      <c r="V364" s="2" t="s">
        <v>38</v>
      </c>
      <c r="W364" s="2" t="s">
        <v>35</v>
      </c>
      <c r="X364" s="2" t="s">
        <v>35</v>
      </c>
      <c r="Y364" s="2" t="s">
        <v>35</v>
      </c>
      <c r="Z364" s="2" t="b">
        <v>0</v>
      </c>
      <c r="AA364" s="2" t="s">
        <v>35</v>
      </c>
      <c r="AB364" s="2" t="s">
        <v>35</v>
      </c>
      <c r="AC364" s="2" t="s">
        <v>35</v>
      </c>
      <c r="AD364" s="2">
        <v>2</v>
      </c>
      <c r="AE364" s="2" t="s">
        <v>1117</v>
      </c>
      <c r="AF364" s="11">
        <v>44743.590972164355</v>
      </c>
      <c r="AG364" s="53"/>
      <c r="AH364" s="53" t="b">
        <f t="shared" si="16"/>
        <v>0</v>
      </c>
      <c r="AI364" s="54" t="str" cm="1">
        <f t="array" ref="AI364">TRANSPOSE(_xlfn._xlws.FILTER(images!L:L,images!F:F=Barrierenmessung!A364, ""))</f>
        <v>https://captureandgo.cloudlab.zhaw.ch/uploads/image_bdced4ed9d.jpg</v>
      </c>
      <c r="AJ364" s="2"/>
      <c r="AK364" s="2"/>
      <c r="AL364" s="2"/>
      <c r="AM364" s="2"/>
      <c r="AN364" s="2"/>
    </row>
    <row r="365" spans="1:40" ht="16" x14ac:dyDescent="0.2">
      <c r="A365" s="2" t="s">
        <v>1208</v>
      </c>
      <c r="B365" s="46">
        <v>364</v>
      </c>
      <c r="C365" s="2" t="b">
        <v>0</v>
      </c>
      <c r="D365" s="2" t="b">
        <v>0</v>
      </c>
      <c r="E365" s="2" t="b">
        <v>0</v>
      </c>
      <c r="F365" s="2" t="b">
        <v>0</v>
      </c>
      <c r="G365" s="2" t="s">
        <v>31</v>
      </c>
      <c r="H365" s="2" t="s">
        <v>1209</v>
      </c>
      <c r="I365" s="2" t="s">
        <v>1210</v>
      </c>
      <c r="J365" s="2" t="s">
        <v>35</v>
      </c>
      <c r="K365" s="2" t="s">
        <v>35</v>
      </c>
      <c r="L365" s="2" t="s">
        <v>35</v>
      </c>
      <c r="M365" s="2" t="s">
        <v>35</v>
      </c>
      <c r="N365" s="2" t="s">
        <v>35</v>
      </c>
      <c r="O365" s="11">
        <v>44743.639561759257</v>
      </c>
      <c r="P365" s="11">
        <v>44743.639905625001</v>
      </c>
      <c r="Q365" s="27">
        <f t="shared" si="15"/>
        <v>3.4386574407108128E-4</v>
      </c>
      <c r="R365" s="65">
        <f t="shared" si="17"/>
        <v>1.8760300954454578E-3</v>
      </c>
      <c r="S365" s="2">
        <v>0</v>
      </c>
      <c r="T365" s="2" t="s">
        <v>109</v>
      </c>
      <c r="U365" s="2" t="s">
        <v>110</v>
      </c>
      <c r="V365" s="2" t="s">
        <v>38</v>
      </c>
      <c r="W365" s="2" t="s">
        <v>35</v>
      </c>
      <c r="X365" s="2">
        <v>107</v>
      </c>
      <c r="Y365" s="2" t="s">
        <v>35</v>
      </c>
      <c r="Z365" s="2" t="b">
        <v>0</v>
      </c>
      <c r="AA365" s="2" t="s">
        <v>35</v>
      </c>
      <c r="AB365" s="2" t="s">
        <v>35</v>
      </c>
      <c r="AC365" s="2" t="s">
        <v>35</v>
      </c>
      <c r="AD365" s="2" t="s">
        <v>35</v>
      </c>
      <c r="AE365" s="2" t="s">
        <v>1117</v>
      </c>
      <c r="AF365" s="11">
        <v>44743.590972164355</v>
      </c>
      <c r="AG365" s="53"/>
      <c r="AH365" s="53" t="b">
        <f t="shared" si="16"/>
        <v>0</v>
      </c>
      <c r="AI365" s="54" t="str" cm="1">
        <f t="array" ref="AI365">TRANSPOSE(_xlfn._xlws.FILTER(images!L:L,images!F:F=Barrierenmessung!A365, ""))</f>
        <v>https://captureandgo.cloudlab.zhaw.ch/uploads/image_7811c8c6f5.jpg</v>
      </c>
      <c r="AJ365" s="2"/>
      <c r="AK365" s="2"/>
      <c r="AL365" s="2"/>
      <c r="AM365" s="2"/>
      <c r="AN365" s="2"/>
    </row>
    <row r="366" spans="1:40" ht="16" x14ac:dyDescent="0.2">
      <c r="A366" s="2" t="s">
        <v>1211</v>
      </c>
      <c r="B366" s="46">
        <v>365</v>
      </c>
      <c r="C366" s="2" t="b">
        <v>0</v>
      </c>
      <c r="D366" s="2" t="b">
        <v>0</v>
      </c>
      <c r="E366" s="2" t="b">
        <v>0</v>
      </c>
      <c r="F366" s="2" t="b">
        <v>0</v>
      </c>
      <c r="G366" s="2" t="s">
        <v>31</v>
      </c>
      <c r="H366" s="2" t="s">
        <v>1212</v>
      </c>
      <c r="I366" s="2" t="s">
        <v>1213</v>
      </c>
      <c r="J366" s="2" t="s">
        <v>35</v>
      </c>
      <c r="K366" s="2" t="s">
        <v>35</v>
      </c>
      <c r="L366" s="2" t="s">
        <v>35</v>
      </c>
      <c r="M366" s="2">
        <v>2</v>
      </c>
      <c r="N366" s="2">
        <v>25</v>
      </c>
      <c r="O366" s="11">
        <v>44743.639991458331</v>
      </c>
      <c r="P366" s="11">
        <v>44743.640206539349</v>
      </c>
      <c r="Q366" s="27">
        <f t="shared" si="15"/>
        <v>2.150810178136453E-4</v>
      </c>
      <c r="R366" s="65">
        <f t="shared" si="17"/>
        <v>3.0091434746282175E-4</v>
      </c>
      <c r="S366" s="2">
        <v>0</v>
      </c>
      <c r="T366" s="2" t="s">
        <v>54</v>
      </c>
      <c r="U366" s="2" t="s">
        <v>55</v>
      </c>
      <c r="V366" s="2" t="s">
        <v>38</v>
      </c>
      <c r="W366" s="2" t="s">
        <v>35</v>
      </c>
      <c r="X366" s="2" t="s">
        <v>35</v>
      </c>
      <c r="Y366" s="2" t="s">
        <v>35</v>
      </c>
      <c r="Z366" s="2" t="b">
        <v>0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1117</v>
      </c>
      <c r="AF366" s="11">
        <v>44743.590972164355</v>
      </c>
      <c r="AG366" s="53"/>
      <c r="AH366" s="53" t="b">
        <f t="shared" si="16"/>
        <v>0</v>
      </c>
      <c r="AI366" s="54" t="str" cm="1">
        <f t="array" ref="AI366">TRANSPOSE(_xlfn._xlws.FILTER(images!L:L,images!F:F=Barrierenmessung!A366, ""))</f>
        <v>https://captureandgo.cloudlab.zhaw.ch/uploads/image_b4cfe6ab8b.jpg</v>
      </c>
      <c r="AJ366" s="2"/>
      <c r="AK366" s="2"/>
      <c r="AL366" s="2"/>
      <c r="AM366" s="2"/>
      <c r="AN366" s="2"/>
    </row>
    <row r="367" spans="1:40" ht="16" x14ac:dyDescent="0.2">
      <c r="A367" s="2" t="s">
        <v>1214</v>
      </c>
      <c r="B367" s="46">
        <v>366</v>
      </c>
      <c r="C367" s="2" t="b">
        <v>0</v>
      </c>
      <c r="D367" s="2" t="b">
        <v>0</v>
      </c>
      <c r="E367" s="2" t="b">
        <v>0</v>
      </c>
      <c r="F367" s="2" t="b">
        <v>0</v>
      </c>
      <c r="G367" s="2" t="s">
        <v>31</v>
      </c>
      <c r="H367" s="2" t="s">
        <v>1215</v>
      </c>
      <c r="I367" s="2" t="s">
        <v>1216</v>
      </c>
      <c r="J367" s="2" t="s">
        <v>1217</v>
      </c>
      <c r="K367" s="2" t="s">
        <v>35</v>
      </c>
      <c r="L367" s="2" t="s">
        <v>35</v>
      </c>
      <c r="M367" s="2" t="s">
        <v>35</v>
      </c>
      <c r="N367" s="2" t="s">
        <v>35</v>
      </c>
      <c r="O367" s="11">
        <v>44743.640327997688</v>
      </c>
      <c r="P367" s="11">
        <v>44743.640885312503</v>
      </c>
      <c r="Q367" s="27">
        <f t="shared" si="15"/>
        <v>5.5731481552356854E-4</v>
      </c>
      <c r="R367" s="65">
        <f t="shared" si="17"/>
        <v>6.7877315450459719E-4</v>
      </c>
      <c r="S367" s="2">
        <v>0</v>
      </c>
      <c r="T367" s="2" t="s">
        <v>36</v>
      </c>
      <c r="U367" s="2" t="s">
        <v>37</v>
      </c>
      <c r="V367" s="2" t="s">
        <v>38</v>
      </c>
      <c r="W367" s="2" t="s">
        <v>35</v>
      </c>
      <c r="X367" s="2" t="s">
        <v>35</v>
      </c>
      <c r="Y367" s="2" t="s">
        <v>35</v>
      </c>
      <c r="Z367" s="2" t="b">
        <v>0</v>
      </c>
      <c r="AA367" s="2" t="s">
        <v>35</v>
      </c>
      <c r="AB367" s="2" t="s">
        <v>35</v>
      </c>
      <c r="AC367" s="2">
        <v>6</v>
      </c>
      <c r="AD367" s="2" t="s">
        <v>35</v>
      </c>
      <c r="AE367" s="2" t="s">
        <v>1117</v>
      </c>
      <c r="AF367" s="11">
        <v>44743.590972164355</v>
      </c>
      <c r="AG367" s="53"/>
      <c r="AH367" s="53" t="b">
        <f t="shared" si="16"/>
        <v>0</v>
      </c>
      <c r="AI367" s="54" t="str" cm="1">
        <f t="array" ref="AI367">TRANSPOSE(_xlfn._xlws.FILTER(images!L:L,images!F:F=Barrierenmessung!A367, ""))</f>
        <v>https://captureandgo.cloudlab.zhaw.ch/uploads/image_7c8ecb6266.jpg</v>
      </c>
      <c r="AJ367" s="2"/>
      <c r="AK367" s="2"/>
      <c r="AL367" s="2"/>
      <c r="AM367" s="2"/>
      <c r="AN367" s="2"/>
    </row>
    <row r="368" spans="1:40" ht="16" x14ac:dyDescent="0.2">
      <c r="A368" s="31" t="s">
        <v>1218</v>
      </c>
      <c r="B368" s="31">
        <v>367</v>
      </c>
      <c r="C368" s="31" t="b">
        <v>0</v>
      </c>
      <c r="D368" s="31" t="b">
        <v>0</v>
      </c>
      <c r="E368" s="31" t="b">
        <v>0</v>
      </c>
      <c r="F368" s="31" t="b">
        <v>0</v>
      </c>
      <c r="G368" s="31" t="s">
        <v>31</v>
      </c>
      <c r="H368" s="31" t="s">
        <v>1219</v>
      </c>
      <c r="I368" s="31" t="s">
        <v>1220</v>
      </c>
      <c r="J368" s="31" t="s">
        <v>1221</v>
      </c>
      <c r="K368" s="31" t="s">
        <v>35</v>
      </c>
      <c r="L368" s="31" t="s">
        <v>35</v>
      </c>
      <c r="M368" s="31" t="s">
        <v>35</v>
      </c>
      <c r="N368" s="31" t="s">
        <v>35</v>
      </c>
      <c r="O368" s="32">
        <v>44743.66871125</v>
      </c>
      <c r="P368" s="32">
        <v>44743.668975370369</v>
      </c>
      <c r="Q368" s="30">
        <f t="shared" si="15"/>
        <v>2.6412036822875962E-4</v>
      </c>
      <c r="R368" s="30">
        <f t="shared" si="17"/>
        <v>2.8090057865483686E-2</v>
      </c>
      <c r="S368" s="31">
        <v>0</v>
      </c>
      <c r="T368" s="31" t="s">
        <v>36</v>
      </c>
      <c r="U368" s="31" t="s">
        <v>37</v>
      </c>
      <c r="V368" s="31" t="s">
        <v>38</v>
      </c>
      <c r="W368" s="31" t="s">
        <v>35</v>
      </c>
      <c r="X368" s="31" t="s">
        <v>35</v>
      </c>
      <c r="Y368" s="31" t="s">
        <v>35</v>
      </c>
      <c r="Z368" s="31" t="b">
        <v>0</v>
      </c>
      <c r="AA368" s="31" t="s">
        <v>35</v>
      </c>
      <c r="AB368" s="31" t="s">
        <v>35</v>
      </c>
      <c r="AC368" s="31">
        <v>4</v>
      </c>
      <c r="AD368" s="31" t="s">
        <v>35</v>
      </c>
      <c r="AE368" s="31" t="s">
        <v>1117</v>
      </c>
      <c r="AF368" s="32">
        <v>44743.590972164355</v>
      </c>
      <c r="AG368" s="55" t="s">
        <v>9406</v>
      </c>
      <c r="AH368" s="55" t="b">
        <f t="shared" si="16"/>
        <v>0</v>
      </c>
      <c r="AI368" s="62" t="str" cm="1">
        <f t="array" ref="AI368">TRANSPOSE(_xlfn._xlws.FILTER(images!L:L,images!F:F=Barrierenmessung!A368, ""))</f>
        <v>https://captureandgo.cloudlab.zhaw.ch/uploads/image_7155c90098.jpg</v>
      </c>
      <c r="AJ368" s="31"/>
      <c r="AK368" s="31"/>
      <c r="AL368" s="31"/>
      <c r="AM368" s="31"/>
      <c r="AN368" s="31"/>
    </row>
    <row r="369" spans="1:40" ht="16" x14ac:dyDescent="0.2">
      <c r="A369" s="2" t="s">
        <v>1222</v>
      </c>
      <c r="B369" s="46">
        <v>368</v>
      </c>
      <c r="C369" s="2" t="b">
        <v>0</v>
      </c>
      <c r="D369" s="2" t="b">
        <v>0</v>
      </c>
      <c r="E369" s="2" t="b">
        <v>0</v>
      </c>
      <c r="F369" s="2" t="b">
        <v>0</v>
      </c>
      <c r="G369" s="2" t="s">
        <v>31</v>
      </c>
      <c r="H369" s="2" t="s">
        <v>1223</v>
      </c>
      <c r="I369" s="2" t="s">
        <v>1224</v>
      </c>
      <c r="J369" s="2" t="s">
        <v>35</v>
      </c>
      <c r="K369" s="2" t="s">
        <v>35</v>
      </c>
      <c r="L369" s="2">
        <v>4</v>
      </c>
      <c r="M369" s="2" t="s">
        <v>35</v>
      </c>
      <c r="N369" s="2" t="s">
        <v>35</v>
      </c>
      <c r="O369" s="11">
        <v>44743.66974164352</v>
      </c>
      <c r="P369" s="11">
        <v>44743.670108009261</v>
      </c>
      <c r="Q369" s="27">
        <f t="shared" si="15"/>
        <v>3.6636574077419937E-4</v>
      </c>
      <c r="R369" s="65">
        <f t="shared" si="17"/>
        <v>1.1326388921588659E-3</v>
      </c>
      <c r="S369" s="2">
        <v>0</v>
      </c>
      <c r="T369" s="2" t="s">
        <v>265</v>
      </c>
      <c r="U369" s="2" t="s">
        <v>266</v>
      </c>
      <c r="V369" s="2" t="s">
        <v>38</v>
      </c>
      <c r="W369" s="2" t="s">
        <v>35</v>
      </c>
      <c r="X369" s="2" t="s">
        <v>35</v>
      </c>
      <c r="Y369" s="2" t="s">
        <v>35</v>
      </c>
      <c r="Z369" s="2" t="b">
        <v>0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2" t="s">
        <v>1117</v>
      </c>
      <c r="AF369" s="11">
        <v>44743.590972164355</v>
      </c>
      <c r="AG369" s="53"/>
      <c r="AH369" s="53" t="b">
        <f t="shared" si="16"/>
        <v>0</v>
      </c>
      <c r="AI369" s="54" t="str" cm="1">
        <f t="array" ref="AI369:AK369">TRANSPOSE(_xlfn._xlws.FILTER(images!L:L,images!F:F=Barrierenmessung!A369, ""))</f>
        <v>https://captureandgo.cloudlab.zhaw.ch/uploads/image_1a36a312d6.jpg</v>
      </c>
      <c r="AJ369" s="2" t="str">
        <v>https://captureandgo.cloudlab.zhaw.ch/uploads/image_0a402a6fb0.jpg</v>
      </c>
      <c r="AK369" s="2" t="str">
        <v>https://captureandgo.cloudlab.zhaw.ch/uploads/image_1b6459303c.jpg</v>
      </c>
      <c r="AL369" s="2"/>
      <c r="AM369" s="2"/>
      <c r="AN369" s="2"/>
    </row>
    <row r="370" spans="1:40" ht="16" x14ac:dyDescent="0.2">
      <c r="A370" s="2" t="s">
        <v>1225</v>
      </c>
      <c r="B370" s="46">
        <v>369</v>
      </c>
      <c r="C370" s="2" t="b">
        <v>0</v>
      </c>
      <c r="D370" s="2" t="b">
        <v>0</v>
      </c>
      <c r="E370" s="2" t="b">
        <v>0</v>
      </c>
      <c r="F370" s="2" t="b">
        <v>0</v>
      </c>
      <c r="G370" s="2" t="s">
        <v>31</v>
      </c>
      <c r="H370" s="2" t="s">
        <v>1226</v>
      </c>
      <c r="I370" s="2" t="s">
        <v>1227</v>
      </c>
      <c r="J370" s="2" t="s">
        <v>35</v>
      </c>
      <c r="K370" s="2" t="s">
        <v>35</v>
      </c>
      <c r="L370" s="2" t="s">
        <v>35</v>
      </c>
      <c r="M370" s="2">
        <v>14</v>
      </c>
      <c r="N370" s="2">
        <v>11</v>
      </c>
      <c r="O370" s="11">
        <v>44743.670317384262</v>
      </c>
      <c r="P370" s="11">
        <v>44743.670825624999</v>
      </c>
      <c r="Q370" s="27">
        <f t="shared" si="15"/>
        <v>5.0824073696276173E-4</v>
      </c>
      <c r="R370" s="65">
        <f t="shared" si="17"/>
        <v>7.1761573781259358E-4</v>
      </c>
      <c r="S370" s="2">
        <v>0</v>
      </c>
      <c r="T370" s="2" t="s">
        <v>54</v>
      </c>
      <c r="U370" s="2" t="s">
        <v>55</v>
      </c>
      <c r="V370" s="2" t="s">
        <v>38</v>
      </c>
      <c r="W370" s="2" t="s">
        <v>35</v>
      </c>
      <c r="X370" s="2" t="s">
        <v>35</v>
      </c>
      <c r="Y370" s="2" t="s">
        <v>35</v>
      </c>
      <c r="Z370" s="2" t="b">
        <v>0</v>
      </c>
      <c r="AA370" s="2" t="s">
        <v>35</v>
      </c>
      <c r="AB370" s="2" t="s">
        <v>35</v>
      </c>
      <c r="AC370" s="2" t="s">
        <v>35</v>
      </c>
      <c r="AD370" s="2" t="s">
        <v>35</v>
      </c>
      <c r="AE370" s="2" t="s">
        <v>1117</v>
      </c>
      <c r="AF370" s="11">
        <v>44743.590972164355</v>
      </c>
      <c r="AG370" s="53"/>
      <c r="AH370" s="53" t="b">
        <f t="shared" si="16"/>
        <v>0</v>
      </c>
      <c r="AI370" s="54" t="str" cm="1">
        <f t="array" ref="AI370">TRANSPOSE(_xlfn._xlws.FILTER(images!L:L,images!F:F=Barrierenmessung!A370, ""))</f>
        <v>https://captureandgo.cloudlab.zhaw.ch/uploads/image_115487b03b.jpg</v>
      </c>
      <c r="AJ370" s="2"/>
      <c r="AK370" s="2"/>
      <c r="AL370" s="2"/>
      <c r="AM370" s="2"/>
      <c r="AN370" s="2"/>
    </row>
    <row r="371" spans="1:40" ht="16" x14ac:dyDescent="0.2">
      <c r="A371" s="2" t="s">
        <v>1228</v>
      </c>
      <c r="B371" s="46">
        <v>370</v>
      </c>
      <c r="C371" s="2" t="b">
        <v>0</v>
      </c>
      <c r="D371" s="2" t="b">
        <v>0</v>
      </c>
      <c r="E371" s="2" t="b">
        <v>0</v>
      </c>
      <c r="F371" s="2" t="b">
        <v>0</v>
      </c>
      <c r="G371" s="2" t="s">
        <v>31</v>
      </c>
      <c r="H371" s="2" t="s">
        <v>1229</v>
      </c>
      <c r="I371" s="2" t="s">
        <v>1230</v>
      </c>
      <c r="J371" s="2" t="s">
        <v>1231</v>
      </c>
      <c r="K371" s="2" t="s">
        <v>35</v>
      </c>
      <c r="L371" s="2" t="s">
        <v>35</v>
      </c>
      <c r="M371" s="2" t="s">
        <v>35</v>
      </c>
      <c r="N371" s="2" t="s">
        <v>35</v>
      </c>
      <c r="O371" s="11">
        <v>44743.672406307873</v>
      </c>
      <c r="P371" s="11">
        <v>44743.672835474536</v>
      </c>
      <c r="Q371" s="27">
        <f t="shared" si="15"/>
        <v>4.2916666279779747E-4</v>
      </c>
      <c r="R371" s="65">
        <f t="shared" si="17"/>
        <v>2.0098495369893499E-3</v>
      </c>
      <c r="S371" s="2">
        <v>0</v>
      </c>
      <c r="T371" s="2" t="s">
        <v>36</v>
      </c>
      <c r="U371" s="2" t="s">
        <v>37</v>
      </c>
      <c r="V371" s="2" t="s">
        <v>38</v>
      </c>
      <c r="W371" s="2" t="s">
        <v>35</v>
      </c>
      <c r="X371" s="2" t="s">
        <v>35</v>
      </c>
      <c r="Y371" s="2" t="s">
        <v>35</v>
      </c>
      <c r="Z371" s="2" t="b">
        <v>0</v>
      </c>
      <c r="AA371" s="2" t="s">
        <v>35</v>
      </c>
      <c r="AB371" s="2" t="s">
        <v>35</v>
      </c>
      <c r="AC371" s="2">
        <v>8</v>
      </c>
      <c r="AD371" s="2" t="s">
        <v>35</v>
      </c>
      <c r="AE371" s="2" t="s">
        <v>1117</v>
      </c>
      <c r="AF371" s="11">
        <v>44743.590972164355</v>
      </c>
      <c r="AG371" s="53"/>
      <c r="AH371" s="53" t="b">
        <f t="shared" si="16"/>
        <v>0</v>
      </c>
      <c r="AI371" s="54" t="str" cm="1">
        <f t="array" ref="AI371">TRANSPOSE(_xlfn._xlws.FILTER(images!L:L,images!F:F=Barrierenmessung!A371, ""))</f>
        <v>https://captureandgo.cloudlab.zhaw.ch/uploads/image_3a36a6fc1c.jpg</v>
      </c>
      <c r="AJ371" s="2"/>
      <c r="AK371" s="2"/>
      <c r="AL371" s="2"/>
      <c r="AM371" s="2"/>
      <c r="AN371" s="2"/>
    </row>
    <row r="372" spans="1:40" ht="16" x14ac:dyDescent="0.2">
      <c r="A372" s="2" t="s">
        <v>1232</v>
      </c>
      <c r="B372" s="46">
        <v>371</v>
      </c>
      <c r="C372" s="2" t="b">
        <v>0</v>
      </c>
      <c r="D372" s="2" t="b">
        <v>0</v>
      </c>
      <c r="E372" s="2" t="b">
        <v>0</v>
      </c>
      <c r="F372" s="2" t="b">
        <v>0</v>
      </c>
      <c r="G372" s="2" t="s">
        <v>31</v>
      </c>
      <c r="H372" s="2" t="s">
        <v>1233</v>
      </c>
      <c r="I372" s="2" t="s">
        <v>1234</v>
      </c>
      <c r="J372" s="2" t="s">
        <v>35</v>
      </c>
      <c r="K372" s="2" t="s">
        <v>35</v>
      </c>
      <c r="L372" s="2" t="s">
        <v>35</v>
      </c>
      <c r="M372" s="2" t="s">
        <v>35</v>
      </c>
      <c r="N372" s="2" t="s">
        <v>35</v>
      </c>
      <c r="O372" s="11">
        <v>44743.67432677083</v>
      </c>
      <c r="P372" s="11">
        <v>44743.674549351854</v>
      </c>
      <c r="Q372" s="27">
        <f t="shared" si="15"/>
        <v>2.2258102399064228E-4</v>
      </c>
      <c r="R372" s="65">
        <f t="shared" si="17"/>
        <v>1.7138773182523437E-3</v>
      </c>
      <c r="S372" s="2">
        <v>0</v>
      </c>
      <c r="T372" s="2" t="s">
        <v>36</v>
      </c>
      <c r="U372" s="2" t="s">
        <v>37</v>
      </c>
      <c r="V372" s="2" t="s">
        <v>38</v>
      </c>
      <c r="W372" s="2" t="s">
        <v>35</v>
      </c>
      <c r="X372" s="2" t="s">
        <v>35</v>
      </c>
      <c r="Y372" s="2" t="s">
        <v>35</v>
      </c>
      <c r="Z372" s="2" t="b">
        <v>0</v>
      </c>
      <c r="AA372" s="2" t="s">
        <v>1235</v>
      </c>
      <c r="AB372" s="2" t="s">
        <v>35</v>
      </c>
      <c r="AC372" s="2" t="s">
        <v>35</v>
      </c>
      <c r="AD372" s="2" t="s">
        <v>35</v>
      </c>
      <c r="AE372" s="2" t="s">
        <v>1117</v>
      </c>
      <c r="AF372" s="11">
        <v>44743.590972164355</v>
      </c>
      <c r="AG372" s="53"/>
      <c r="AH372" s="53" t="b">
        <f t="shared" si="16"/>
        <v>0</v>
      </c>
      <c r="AI372" s="54" t="str" cm="1">
        <f t="array" ref="AI372">TRANSPOSE(_xlfn._xlws.FILTER(images!L:L,images!F:F=Barrierenmessung!A372, ""))</f>
        <v>https://captureandgo.cloudlab.zhaw.ch/uploads/image_780eb1cba6.jpg</v>
      </c>
      <c r="AJ372" s="2"/>
      <c r="AK372" s="2"/>
      <c r="AL372" s="2"/>
      <c r="AM372" s="2"/>
      <c r="AN372" s="2"/>
    </row>
    <row r="373" spans="1:40" ht="16" x14ac:dyDescent="0.2">
      <c r="A373" s="68" t="s">
        <v>1236</v>
      </c>
      <c r="B373" s="68">
        <v>372</v>
      </c>
      <c r="C373" s="68" t="b">
        <v>0</v>
      </c>
      <c r="D373" s="68" t="b">
        <v>0</v>
      </c>
      <c r="E373" s="68" t="b">
        <v>0</v>
      </c>
      <c r="F373" s="68" t="b">
        <v>0</v>
      </c>
      <c r="G373" s="68" t="s">
        <v>31</v>
      </c>
      <c r="H373" s="68" t="s">
        <v>149</v>
      </c>
      <c r="I373" s="68" t="s">
        <v>1237</v>
      </c>
      <c r="J373" s="68" t="s">
        <v>35</v>
      </c>
      <c r="K373" s="68" t="s">
        <v>35</v>
      </c>
      <c r="L373" s="68" t="s">
        <v>35</v>
      </c>
      <c r="M373" s="68" t="s">
        <v>35</v>
      </c>
      <c r="N373" s="68" t="s">
        <v>35</v>
      </c>
      <c r="O373" s="69">
        <v>44743.674980127318</v>
      </c>
      <c r="P373" s="69">
        <v>44743.675089745368</v>
      </c>
      <c r="Q373" s="70">
        <f t="shared" si="15"/>
        <v>1.0961804946418852E-4</v>
      </c>
      <c r="R373" s="70">
        <f t="shared" si="17"/>
        <v>5.4039351380197331E-4</v>
      </c>
      <c r="S373" s="68">
        <v>0</v>
      </c>
      <c r="T373" s="68" t="s">
        <v>36</v>
      </c>
      <c r="U373" s="68" t="s">
        <v>37</v>
      </c>
      <c r="V373" s="68" t="s">
        <v>38</v>
      </c>
      <c r="W373" s="68" t="s">
        <v>35</v>
      </c>
      <c r="X373" s="68" t="s">
        <v>35</v>
      </c>
      <c r="Y373" s="68" t="s">
        <v>35</v>
      </c>
      <c r="Z373" s="68" t="b">
        <v>0</v>
      </c>
      <c r="AA373" s="68" t="s">
        <v>35</v>
      </c>
      <c r="AB373" s="68" t="s">
        <v>35</v>
      </c>
      <c r="AC373" s="68" t="s">
        <v>35</v>
      </c>
      <c r="AD373" s="68">
        <v>6</v>
      </c>
      <c r="AE373" s="68" t="s">
        <v>1117</v>
      </c>
      <c r="AF373" s="69">
        <v>44743.590972164355</v>
      </c>
      <c r="AG373" s="71"/>
      <c r="AH373" s="71" t="b">
        <f t="shared" si="16"/>
        <v>0</v>
      </c>
      <c r="AI373" s="56" t="s">
        <v>9477</v>
      </c>
      <c r="AJ373" s="68"/>
      <c r="AK373" s="68"/>
      <c r="AL373" s="68"/>
      <c r="AM373" s="68"/>
      <c r="AN373" s="68"/>
    </row>
    <row r="374" spans="1:40" ht="16" x14ac:dyDescent="0.2">
      <c r="A374" s="2" t="s">
        <v>1238</v>
      </c>
      <c r="B374" s="46">
        <v>373</v>
      </c>
      <c r="C374" s="2" t="b">
        <v>0</v>
      </c>
      <c r="D374" s="2" t="b">
        <v>0</v>
      </c>
      <c r="E374" s="2" t="b">
        <v>0</v>
      </c>
      <c r="F374" s="2" t="b">
        <v>0</v>
      </c>
      <c r="G374" s="2" t="s">
        <v>31</v>
      </c>
      <c r="H374" s="2" t="s">
        <v>1239</v>
      </c>
      <c r="I374" s="2" t="s">
        <v>1240</v>
      </c>
      <c r="J374" s="2" t="s">
        <v>1221</v>
      </c>
      <c r="K374" s="2" t="s">
        <v>35</v>
      </c>
      <c r="L374" s="2" t="s">
        <v>35</v>
      </c>
      <c r="M374" s="2" t="s">
        <v>35</v>
      </c>
      <c r="N374" s="2" t="s">
        <v>35</v>
      </c>
      <c r="O374" s="11">
        <v>44743.675814212962</v>
      </c>
      <c r="P374" s="11">
        <v>44743.676411180553</v>
      </c>
      <c r="Q374" s="27">
        <f t="shared" si="15"/>
        <v>5.9696759126381949E-4</v>
      </c>
      <c r="R374" s="65">
        <f t="shared" si="17"/>
        <v>1.321435185673181E-3</v>
      </c>
      <c r="S374" s="2">
        <v>0</v>
      </c>
      <c r="T374" s="2" t="s">
        <v>36</v>
      </c>
      <c r="U374" s="2" t="s">
        <v>37</v>
      </c>
      <c r="V374" s="2" t="s">
        <v>38</v>
      </c>
      <c r="W374" s="2" t="s">
        <v>35</v>
      </c>
      <c r="X374" s="2" t="s">
        <v>35</v>
      </c>
      <c r="Y374" s="2" t="s">
        <v>35</v>
      </c>
      <c r="Z374" s="2" t="b">
        <v>0</v>
      </c>
      <c r="AA374" s="2" t="s">
        <v>35</v>
      </c>
      <c r="AB374" s="2" t="s">
        <v>35</v>
      </c>
      <c r="AC374" s="2">
        <v>10</v>
      </c>
      <c r="AD374" s="2" t="s">
        <v>35</v>
      </c>
      <c r="AE374" s="2" t="s">
        <v>1117</v>
      </c>
      <c r="AF374" s="11">
        <v>44743.590972164355</v>
      </c>
      <c r="AG374" s="53"/>
      <c r="AH374" s="53" t="b">
        <f t="shared" si="16"/>
        <v>0</v>
      </c>
      <c r="AI374" s="54" t="str" cm="1">
        <f t="array" ref="AI374">TRANSPOSE(_xlfn._xlws.FILTER(images!L:L,images!F:F=Barrierenmessung!A374, ""))</f>
        <v>https://captureandgo.cloudlab.zhaw.ch/uploads/image_4d130f55d5.jpg</v>
      </c>
      <c r="AJ374" s="2"/>
      <c r="AK374" s="2"/>
      <c r="AL374" s="2"/>
      <c r="AM374" s="2"/>
      <c r="AN374" s="2"/>
    </row>
    <row r="375" spans="1:40" ht="16" x14ac:dyDescent="0.2">
      <c r="A375" s="2" t="s">
        <v>1241</v>
      </c>
      <c r="B375" s="46">
        <v>374</v>
      </c>
      <c r="C375" s="2" t="b">
        <v>0</v>
      </c>
      <c r="D375" s="2" t="b">
        <v>0</v>
      </c>
      <c r="E375" s="2" t="b">
        <v>0</v>
      </c>
      <c r="F375" s="2" t="b">
        <v>0</v>
      </c>
      <c r="G375" s="2" t="s">
        <v>31</v>
      </c>
      <c r="H375" s="2" t="s">
        <v>1242</v>
      </c>
      <c r="I375" s="2" t="s">
        <v>1243</v>
      </c>
      <c r="J375" s="2" t="s">
        <v>1221</v>
      </c>
      <c r="K375" s="2" t="s">
        <v>35</v>
      </c>
      <c r="L375" s="2" t="s">
        <v>35</v>
      </c>
      <c r="M375" s="2" t="s">
        <v>35</v>
      </c>
      <c r="N375" s="2" t="s">
        <v>35</v>
      </c>
      <c r="O375" s="11">
        <v>44743.677382048612</v>
      </c>
      <c r="P375" s="11">
        <v>44743.677712743054</v>
      </c>
      <c r="Q375" s="27">
        <f t="shared" si="15"/>
        <v>3.3069444180000573E-4</v>
      </c>
      <c r="R375" s="65">
        <f t="shared" si="17"/>
        <v>1.3015625008847564E-3</v>
      </c>
      <c r="S375" s="2">
        <v>0</v>
      </c>
      <c r="T375" s="2" t="s">
        <v>36</v>
      </c>
      <c r="U375" s="2" t="s">
        <v>37</v>
      </c>
      <c r="V375" s="2" t="s">
        <v>38</v>
      </c>
      <c r="W375" s="2" t="s">
        <v>35</v>
      </c>
      <c r="X375" s="2" t="s">
        <v>35</v>
      </c>
      <c r="Y375" s="2" t="s">
        <v>35</v>
      </c>
      <c r="Z375" s="2" t="b">
        <v>0</v>
      </c>
      <c r="AA375" s="2" t="s">
        <v>35</v>
      </c>
      <c r="AB375" s="2" t="s">
        <v>35</v>
      </c>
      <c r="AC375" s="2">
        <v>5</v>
      </c>
      <c r="AD375" s="2" t="s">
        <v>35</v>
      </c>
      <c r="AE375" s="2" t="s">
        <v>1117</v>
      </c>
      <c r="AF375" s="11">
        <v>44743.590972164355</v>
      </c>
      <c r="AG375" s="53"/>
      <c r="AH375" s="53" t="b">
        <f t="shared" si="16"/>
        <v>0</v>
      </c>
      <c r="AI375" s="54" t="str" cm="1">
        <f t="array" ref="AI375">TRANSPOSE(_xlfn._xlws.FILTER(images!L:L,images!F:F=Barrierenmessung!A375, ""))</f>
        <v>https://captureandgo.cloudlab.zhaw.ch/uploads/image_769d102347.jpg</v>
      </c>
      <c r="AJ375" s="2"/>
      <c r="AK375" s="2"/>
      <c r="AL375" s="2"/>
      <c r="AM375" s="2"/>
      <c r="AN375" s="2"/>
    </row>
    <row r="376" spans="1:40" ht="16" x14ac:dyDescent="0.2">
      <c r="A376" s="2" t="s">
        <v>1244</v>
      </c>
      <c r="B376" s="46">
        <v>375</v>
      </c>
      <c r="C376" s="2" t="b">
        <v>0</v>
      </c>
      <c r="D376" s="2" t="b">
        <v>0</v>
      </c>
      <c r="E376" s="2" t="b">
        <v>0</v>
      </c>
      <c r="F376" s="2" t="b">
        <v>0</v>
      </c>
      <c r="G376" s="2" t="s">
        <v>31</v>
      </c>
      <c r="H376" s="2" t="s">
        <v>1245</v>
      </c>
      <c r="I376" s="2" t="s">
        <v>1246</v>
      </c>
      <c r="J376" s="2" t="s">
        <v>35</v>
      </c>
      <c r="K376" s="2" t="s">
        <v>35</v>
      </c>
      <c r="L376" s="2">
        <v>12</v>
      </c>
      <c r="M376" s="2" t="s">
        <v>35</v>
      </c>
      <c r="N376" s="2" t="s">
        <v>35</v>
      </c>
      <c r="O376" s="11">
        <v>44743.678023368055</v>
      </c>
      <c r="P376" s="11">
        <v>44743.678249884259</v>
      </c>
      <c r="Q376" s="27">
        <f t="shared" si="15"/>
        <v>2.2651620383840054E-4</v>
      </c>
      <c r="R376" s="65">
        <f t="shared" si="17"/>
        <v>5.3714120440417901E-4</v>
      </c>
      <c r="S376" s="2">
        <v>0</v>
      </c>
      <c r="T376" s="2" t="s">
        <v>265</v>
      </c>
      <c r="U376" s="2" t="s">
        <v>266</v>
      </c>
      <c r="V376" s="2" t="s">
        <v>38</v>
      </c>
      <c r="W376" s="2" t="s">
        <v>35</v>
      </c>
      <c r="X376" s="2" t="s">
        <v>35</v>
      </c>
      <c r="Y376" s="2" t="s">
        <v>35</v>
      </c>
      <c r="Z376" s="2" t="b">
        <v>0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1117</v>
      </c>
      <c r="AF376" s="11">
        <v>44743.590972164355</v>
      </c>
      <c r="AG376" s="53"/>
      <c r="AH376" s="53" t="b">
        <f t="shared" si="16"/>
        <v>0</v>
      </c>
      <c r="AI376" s="54" t="str" cm="1">
        <f t="array" ref="AI376">TRANSPOSE(_xlfn._xlws.FILTER(images!L:L,images!F:F=Barrierenmessung!A376, ""))</f>
        <v>https://captureandgo.cloudlab.zhaw.ch/uploads/image_dcafc1e64f.jpg</v>
      </c>
      <c r="AJ376" s="2"/>
      <c r="AK376" s="2"/>
      <c r="AL376" s="2"/>
      <c r="AM376" s="2"/>
      <c r="AN376" s="2"/>
    </row>
    <row r="377" spans="1:40" ht="16" x14ac:dyDescent="0.2">
      <c r="A377" s="2" t="s">
        <v>1247</v>
      </c>
      <c r="B377" s="46">
        <v>376</v>
      </c>
      <c r="C377" s="2" t="b">
        <v>0</v>
      </c>
      <c r="D377" s="2" t="b">
        <v>0</v>
      </c>
      <c r="E377" s="2" t="b">
        <v>0</v>
      </c>
      <c r="F377" s="2" t="b">
        <v>0</v>
      </c>
      <c r="G377" s="2" t="s">
        <v>31</v>
      </c>
      <c r="H377" s="2" t="s">
        <v>1248</v>
      </c>
      <c r="I377" s="2" t="s">
        <v>1249</v>
      </c>
      <c r="J377" s="2" t="s">
        <v>35</v>
      </c>
      <c r="K377" s="2" t="s">
        <v>35</v>
      </c>
      <c r="L377" s="2" t="s">
        <v>35</v>
      </c>
      <c r="M377" s="2">
        <v>10</v>
      </c>
      <c r="N377" s="2">
        <v>15</v>
      </c>
      <c r="O377" s="11">
        <v>44743.678674189818</v>
      </c>
      <c r="P377" s="11">
        <v>44743.678824456016</v>
      </c>
      <c r="Q377" s="27">
        <f t="shared" si="15"/>
        <v>1.502661980339326E-4</v>
      </c>
      <c r="R377" s="65">
        <f t="shared" si="17"/>
        <v>5.7457175716990605E-4</v>
      </c>
      <c r="S377" s="2">
        <v>0</v>
      </c>
      <c r="T377" s="2" t="s">
        <v>54</v>
      </c>
      <c r="U377" s="2" t="s">
        <v>55</v>
      </c>
      <c r="V377" s="2" t="s">
        <v>38</v>
      </c>
      <c r="W377" s="2" t="s">
        <v>35</v>
      </c>
      <c r="X377" s="2" t="s">
        <v>35</v>
      </c>
      <c r="Y377" s="2" t="s">
        <v>35</v>
      </c>
      <c r="Z377" s="2" t="b">
        <v>0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2" t="s">
        <v>1117</v>
      </c>
      <c r="AF377" s="11">
        <v>44743.590972164355</v>
      </c>
      <c r="AG377" s="53"/>
      <c r="AH377" s="53" t="b">
        <f t="shared" si="16"/>
        <v>0</v>
      </c>
      <c r="AI377" s="54" t="str" cm="1">
        <f t="array" ref="AI377">TRANSPOSE(_xlfn._xlws.FILTER(images!L:L,images!F:F=Barrierenmessung!A377, ""))</f>
        <v>https://captureandgo.cloudlab.zhaw.ch/uploads/image_ecdec63850.jpg</v>
      </c>
      <c r="AJ377" s="2"/>
      <c r="AK377" s="2"/>
      <c r="AL377" s="2"/>
      <c r="AM377" s="2"/>
      <c r="AN377" s="2"/>
    </row>
    <row r="378" spans="1:40" ht="16" x14ac:dyDescent="0.2">
      <c r="A378" s="2" t="s">
        <v>1250</v>
      </c>
      <c r="B378" s="46">
        <v>377</v>
      </c>
      <c r="C378" s="2" t="b">
        <v>0</v>
      </c>
      <c r="D378" s="2" t="b">
        <v>0</v>
      </c>
      <c r="E378" s="2" t="b">
        <v>0</v>
      </c>
      <c r="F378" s="2" t="b">
        <v>0</v>
      </c>
      <c r="G378" s="2" t="s">
        <v>31</v>
      </c>
      <c r="H378" s="2" t="s">
        <v>1251</v>
      </c>
      <c r="I378" s="2" t="s">
        <v>1252</v>
      </c>
      <c r="J378" s="2" t="s">
        <v>1221</v>
      </c>
      <c r="K378" s="2" t="s">
        <v>35</v>
      </c>
      <c r="L378" s="2" t="s">
        <v>35</v>
      </c>
      <c r="M378" s="2" t="s">
        <v>35</v>
      </c>
      <c r="N378" s="2" t="s">
        <v>35</v>
      </c>
      <c r="O378" s="11">
        <v>44743.680383252315</v>
      </c>
      <c r="P378" s="11">
        <v>44743.680687314816</v>
      </c>
      <c r="Q378" s="27">
        <f t="shared" si="15"/>
        <v>3.0406250152736902E-4</v>
      </c>
      <c r="R378" s="65">
        <f t="shared" si="17"/>
        <v>1.8628588004503399E-3</v>
      </c>
      <c r="S378" s="2">
        <v>0</v>
      </c>
      <c r="T378" s="2" t="s">
        <v>36</v>
      </c>
      <c r="U378" s="2" t="s">
        <v>37</v>
      </c>
      <c r="V378" s="2" t="s">
        <v>38</v>
      </c>
      <c r="W378" s="2" t="s">
        <v>35</v>
      </c>
      <c r="X378" s="2" t="s">
        <v>35</v>
      </c>
      <c r="Y378" s="2" t="s">
        <v>35</v>
      </c>
      <c r="Z378" s="2" t="b">
        <v>0</v>
      </c>
      <c r="AA378" s="2" t="s">
        <v>35</v>
      </c>
      <c r="AB378" s="2" t="s">
        <v>35</v>
      </c>
      <c r="AC378" s="2">
        <v>10</v>
      </c>
      <c r="AD378" s="2" t="s">
        <v>35</v>
      </c>
      <c r="AE378" s="2" t="s">
        <v>1117</v>
      </c>
      <c r="AF378" s="11">
        <v>44743.590972164355</v>
      </c>
      <c r="AG378" s="53"/>
      <c r="AH378" s="53" t="b">
        <f t="shared" si="16"/>
        <v>0</v>
      </c>
      <c r="AI378" s="54" t="str" cm="1">
        <f t="array" ref="AI378">TRANSPOSE(_xlfn._xlws.FILTER(images!L:L,images!F:F=Barrierenmessung!A378, ""))</f>
        <v>https://captureandgo.cloudlab.zhaw.ch/uploads/image_ed110bff5b.jpg</v>
      </c>
      <c r="AJ378" s="2"/>
      <c r="AK378" s="2"/>
      <c r="AL378" s="2"/>
      <c r="AM378" s="2"/>
      <c r="AN378" s="2"/>
    </row>
    <row r="379" spans="1:40" ht="16" x14ac:dyDescent="0.2">
      <c r="A379" s="2" t="s">
        <v>1253</v>
      </c>
      <c r="B379" s="46">
        <v>378</v>
      </c>
      <c r="C379" s="2" t="b">
        <v>0</v>
      </c>
      <c r="D379" s="2" t="b">
        <v>0</v>
      </c>
      <c r="E379" s="2" t="b">
        <v>0</v>
      </c>
      <c r="F379" s="2" t="b">
        <v>0</v>
      </c>
      <c r="G379" s="2" t="s">
        <v>31</v>
      </c>
      <c r="H379" s="2" t="s">
        <v>1254</v>
      </c>
      <c r="I379" s="2" t="s">
        <v>1255</v>
      </c>
      <c r="J379" s="2" t="s">
        <v>35</v>
      </c>
      <c r="K379" s="2" t="s">
        <v>35</v>
      </c>
      <c r="L379" s="2" t="s">
        <v>35</v>
      </c>
      <c r="M379" s="2">
        <v>21</v>
      </c>
      <c r="N379" s="2">
        <v>18</v>
      </c>
      <c r="O379" s="11">
        <v>44743.681235914351</v>
      </c>
      <c r="P379" s="11">
        <v>44743.681601921293</v>
      </c>
      <c r="Q379" s="27">
        <f t="shared" si="15"/>
        <v>3.6600694147637114E-4</v>
      </c>
      <c r="R379" s="65">
        <f t="shared" si="17"/>
        <v>9.146064767264761E-4</v>
      </c>
      <c r="S379" s="2">
        <v>0</v>
      </c>
      <c r="T379" s="2" t="s">
        <v>54</v>
      </c>
      <c r="U379" s="2" t="s">
        <v>55</v>
      </c>
      <c r="V379" s="2" t="s">
        <v>38</v>
      </c>
      <c r="W379" s="2" t="s">
        <v>35</v>
      </c>
      <c r="X379" s="2" t="s">
        <v>35</v>
      </c>
      <c r="Y379" s="2" t="s">
        <v>35</v>
      </c>
      <c r="Z379" s="2" t="b">
        <v>0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2" t="s">
        <v>1117</v>
      </c>
      <c r="AF379" s="11">
        <v>44743.590972164355</v>
      </c>
      <c r="AG379" s="53"/>
      <c r="AH379" s="53" t="b">
        <f t="shared" si="16"/>
        <v>0</v>
      </c>
      <c r="AI379" s="54" t="str" cm="1">
        <f t="array" ref="AI379">TRANSPOSE(_xlfn._xlws.FILTER(images!L:L,images!F:F=Barrierenmessung!A379, ""))</f>
        <v>https://captureandgo.cloudlab.zhaw.ch/uploads/image_175d448fb0.jpg</v>
      </c>
      <c r="AJ379" s="2"/>
      <c r="AK379" s="2"/>
      <c r="AL379" s="2"/>
      <c r="AM379" s="2"/>
      <c r="AN379" s="2"/>
    </row>
    <row r="380" spans="1:40" ht="16" x14ac:dyDescent="0.2">
      <c r="A380" s="2" t="s">
        <v>1256</v>
      </c>
      <c r="B380" s="46">
        <v>379</v>
      </c>
      <c r="C380" s="2" t="b">
        <v>0</v>
      </c>
      <c r="D380" s="2" t="b">
        <v>0</v>
      </c>
      <c r="E380" s="2" t="b">
        <v>0</v>
      </c>
      <c r="F380" s="2" t="b">
        <v>0</v>
      </c>
      <c r="G380" s="2" t="s">
        <v>31</v>
      </c>
      <c r="H380" s="2" t="s">
        <v>1257</v>
      </c>
      <c r="I380" s="2" t="s">
        <v>1258</v>
      </c>
      <c r="J380" s="2" t="s">
        <v>1259</v>
      </c>
      <c r="K380" s="2" t="s">
        <v>35</v>
      </c>
      <c r="L380" s="2" t="s">
        <v>35</v>
      </c>
      <c r="M380" s="2" t="s">
        <v>35</v>
      </c>
      <c r="N380" s="2" t="s">
        <v>35</v>
      </c>
      <c r="O380" s="11">
        <v>44743.68186138889</v>
      </c>
      <c r="P380" s="11">
        <v>44743.68227892361</v>
      </c>
      <c r="Q380" s="27">
        <f t="shared" si="15"/>
        <v>4.1753472032723948E-4</v>
      </c>
      <c r="R380" s="65">
        <f t="shared" si="17"/>
        <v>6.77002317388542E-4</v>
      </c>
      <c r="S380" s="2">
        <v>0</v>
      </c>
      <c r="T380" s="2" t="s">
        <v>36</v>
      </c>
      <c r="U380" s="2" t="s">
        <v>37</v>
      </c>
      <c r="V380" s="2" t="s">
        <v>38</v>
      </c>
      <c r="W380" s="2" t="s">
        <v>35</v>
      </c>
      <c r="X380" s="2" t="s">
        <v>35</v>
      </c>
      <c r="Y380" s="2" t="s">
        <v>35</v>
      </c>
      <c r="Z380" s="2" t="b">
        <v>0</v>
      </c>
      <c r="AA380" s="2" t="s">
        <v>35</v>
      </c>
      <c r="AB380" s="2" t="s">
        <v>35</v>
      </c>
      <c r="AC380" s="2">
        <v>6</v>
      </c>
      <c r="AD380" s="2" t="s">
        <v>35</v>
      </c>
      <c r="AE380" s="2" t="s">
        <v>1117</v>
      </c>
      <c r="AF380" s="11">
        <v>44743.590972164355</v>
      </c>
      <c r="AG380" s="53"/>
      <c r="AH380" s="53" t="b">
        <f t="shared" si="16"/>
        <v>0</v>
      </c>
      <c r="AI380" s="54" t="str" cm="1">
        <f t="array" ref="AI380">TRANSPOSE(_xlfn._xlws.FILTER(images!L:L,images!F:F=Barrierenmessung!A380, ""))</f>
        <v>https://captureandgo.cloudlab.zhaw.ch/uploads/image_049213753d.jpg</v>
      </c>
      <c r="AJ380" s="2"/>
      <c r="AK380" s="2"/>
      <c r="AL380" s="2"/>
      <c r="AM380" s="2"/>
      <c r="AN380" s="2"/>
    </row>
    <row r="381" spans="1:40" ht="16" x14ac:dyDescent="0.2">
      <c r="A381" s="2" t="s">
        <v>1260</v>
      </c>
      <c r="B381" s="46">
        <v>380</v>
      </c>
      <c r="C381" s="2" t="b">
        <v>0</v>
      </c>
      <c r="D381" s="2" t="b">
        <v>0</v>
      </c>
      <c r="E381" s="2" t="b">
        <v>0</v>
      </c>
      <c r="F381" s="2" t="b">
        <v>0</v>
      </c>
      <c r="G381" s="2" t="s">
        <v>31</v>
      </c>
      <c r="H381" s="2" t="s">
        <v>1261</v>
      </c>
      <c r="I381" s="2" t="s">
        <v>1262</v>
      </c>
      <c r="J381" s="2" t="s">
        <v>1221</v>
      </c>
      <c r="K381" s="2" t="s">
        <v>35</v>
      </c>
      <c r="L381" s="2" t="s">
        <v>35</v>
      </c>
      <c r="M381" s="2" t="s">
        <v>35</v>
      </c>
      <c r="N381" s="2" t="s">
        <v>35</v>
      </c>
      <c r="O381" s="11">
        <v>44743.684881967594</v>
      </c>
      <c r="P381" s="11">
        <v>44743.685166423609</v>
      </c>
      <c r="Q381" s="27">
        <f t="shared" si="15"/>
        <v>2.8445601492421702E-4</v>
      </c>
      <c r="R381" s="65">
        <f t="shared" si="17"/>
        <v>2.887499998905696E-3</v>
      </c>
      <c r="S381" s="2">
        <v>0</v>
      </c>
      <c r="T381" s="2" t="s">
        <v>36</v>
      </c>
      <c r="U381" s="2" t="s">
        <v>37</v>
      </c>
      <c r="V381" s="2" t="s">
        <v>38</v>
      </c>
      <c r="W381" s="2" t="s">
        <v>35</v>
      </c>
      <c r="X381" s="2" t="s">
        <v>35</v>
      </c>
      <c r="Y381" s="2" t="s">
        <v>35</v>
      </c>
      <c r="Z381" s="2" t="b">
        <v>0</v>
      </c>
      <c r="AA381" s="2" t="s">
        <v>35</v>
      </c>
      <c r="AB381" s="2" t="s">
        <v>35</v>
      </c>
      <c r="AC381" s="2">
        <v>6</v>
      </c>
      <c r="AD381" s="2" t="s">
        <v>35</v>
      </c>
      <c r="AE381" s="2" t="s">
        <v>1117</v>
      </c>
      <c r="AF381" s="11">
        <v>44743.590972164355</v>
      </c>
      <c r="AG381" s="53"/>
      <c r="AH381" s="53" t="b">
        <f t="shared" si="16"/>
        <v>0</v>
      </c>
      <c r="AI381" s="54" t="str" cm="1">
        <f t="array" ref="AI381">TRANSPOSE(_xlfn._xlws.FILTER(images!L:L,images!F:F=Barrierenmessung!A381, ""))</f>
        <v>https://captureandgo.cloudlab.zhaw.ch/uploads/image_b7dcb27f69.jpg</v>
      </c>
      <c r="AJ381" s="2"/>
      <c r="AK381" s="2"/>
      <c r="AL381" s="2"/>
      <c r="AM381" s="2"/>
      <c r="AN381" s="2"/>
    </row>
    <row r="382" spans="1:40" ht="16" x14ac:dyDescent="0.2">
      <c r="A382" s="2" t="s">
        <v>1263</v>
      </c>
      <c r="B382" s="46">
        <v>381</v>
      </c>
      <c r="C382" s="2" t="b">
        <v>0</v>
      </c>
      <c r="D382" s="2" t="b">
        <v>0</v>
      </c>
      <c r="E382" s="2" t="b">
        <v>0</v>
      </c>
      <c r="F382" s="2" t="b">
        <v>0</v>
      </c>
      <c r="G382" s="2" t="s">
        <v>31</v>
      </c>
      <c r="H382" s="2" t="s">
        <v>1264</v>
      </c>
      <c r="I382" s="2" t="s">
        <v>1265</v>
      </c>
      <c r="J382" s="2" t="s">
        <v>35</v>
      </c>
      <c r="K382" s="2" t="s">
        <v>35</v>
      </c>
      <c r="L382" s="2" t="s">
        <v>35</v>
      </c>
      <c r="M382" s="2" t="s">
        <v>35</v>
      </c>
      <c r="N382" s="2" t="s">
        <v>35</v>
      </c>
      <c r="O382" s="11">
        <v>44743.685663518518</v>
      </c>
      <c r="P382" s="11">
        <v>44743.686395798613</v>
      </c>
      <c r="Q382" s="27">
        <f t="shared" si="15"/>
        <v>7.3228009568993002E-4</v>
      </c>
      <c r="R382" s="65">
        <f t="shared" si="17"/>
        <v>1.229375004186295E-3</v>
      </c>
      <c r="S382" s="2">
        <v>0</v>
      </c>
      <c r="T382" s="2" t="s">
        <v>36</v>
      </c>
      <c r="U382" s="2" t="s">
        <v>37</v>
      </c>
      <c r="V382" s="2" t="s">
        <v>38</v>
      </c>
      <c r="W382" s="2" t="s">
        <v>35</v>
      </c>
      <c r="X382" s="2" t="s">
        <v>35</v>
      </c>
      <c r="Y382" s="2" t="s">
        <v>35</v>
      </c>
      <c r="Z382" s="2" t="b">
        <v>0</v>
      </c>
      <c r="AA382" s="2" t="s">
        <v>35</v>
      </c>
      <c r="AB382" s="2" t="s">
        <v>35</v>
      </c>
      <c r="AC382" s="2" t="s">
        <v>35</v>
      </c>
      <c r="AD382" s="2">
        <v>3</v>
      </c>
      <c r="AE382" s="2" t="s">
        <v>1117</v>
      </c>
      <c r="AF382" s="11">
        <v>44743.590972164355</v>
      </c>
      <c r="AG382" s="53"/>
      <c r="AH382" s="53" t="b">
        <f t="shared" si="16"/>
        <v>0</v>
      </c>
      <c r="AI382" s="54" t="str" cm="1">
        <f t="array" ref="AI382">TRANSPOSE(_xlfn._xlws.FILTER(images!L:L,images!F:F=Barrierenmessung!A382, ""))</f>
        <v>https://captureandgo.cloudlab.zhaw.ch/uploads/image_a71e1d2729.jpg</v>
      </c>
      <c r="AJ382" s="2"/>
      <c r="AK382" s="2"/>
      <c r="AL382" s="2"/>
      <c r="AM382" s="2"/>
      <c r="AN382" s="2"/>
    </row>
    <row r="383" spans="1:40" ht="16" x14ac:dyDescent="0.2">
      <c r="A383" s="2" t="s">
        <v>1266</v>
      </c>
      <c r="B383" s="46">
        <v>382</v>
      </c>
      <c r="C383" s="2" t="b">
        <v>0</v>
      </c>
      <c r="D383" s="2" t="b">
        <v>0</v>
      </c>
      <c r="E383" s="2" t="b">
        <v>0</v>
      </c>
      <c r="F383" s="2" t="b">
        <v>0</v>
      </c>
      <c r="G383" s="2" t="s">
        <v>31</v>
      </c>
      <c r="H383" s="2" t="s">
        <v>1267</v>
      </c>
      <c r="I383" s="2" t="s">
        <v>1268</v>
      </c>
      <c r="J383" s="2" t="s">
        <v>35</v>
      </c>
      <c r="K383" s="2" t="s">
        <v>35</v>
      </c>
      <c r="L383" s="2" t="s">
        <v>35</v>
      </c>
      <c r="M383" s="2" t="s">
        <v>35</v>
      </c>
      <c r="N383" s="2" t="s">
        <v>35</v>
      </c>
      <c r="O383" s="11">
        <v>44743.686924027781</v>
      </c>
      <c r="P383" s="11">
        <v>44743.68721935185</v>
      </c>
      <c r="Q383" s="27">
        <f t="shared" si="15"/>
        <v>2.9532406915677711E-4</v>
      </c>
      <c r="R383" s="65">
        <f t="shared" si="17"/>
        <v>8.235532368416898E-4</v>
      </c>
      <c r="S383" s="2">
        <v>0</v>
      </c>
      <c r="T383" s="2" t="s">
        <v>36</v>
      </c>
      <c r="U383" s="2" t="s">
        <v>37</v>
      </c>
      <c r="V383" s="2" t="s">
        <v>38</v>
      </c>
      <c r="W383" s="2" t="s">
        <v>35</v>
      </c>
      <c r="X383" s="2" t="s">
        <v>35</v>
      </c>
      <c r="Y383" s="2" t="s">
        <v>35</v>
      </c>
      <c r="Z383" s="2" t="b">
        <v>0</v>
      </c>
      <c r="AA383" s="2" t="s">
        <v>35</v>
      </c>
      <c r="AB383" s="2" t="s">
        <v>35</v>
      </c>
      <c r="AC383" s="2" t="s">
        <v>35</v>
      </c>
      <c r="AD383" s="2">
        <v>3</v>
      </c>
      <c r="AE383" s="2" t="s">
        <v>1117</v>
      </c>
      <c r="AF383" s="11">
        <v>44743.590972164355</v>
      </c>
      <c r="AG383" s="53"/>
      <c r="AH383" s="53" t="b">
        <f t="shared" si="16"/>
        <v>0</v>
      </c>
      <c r="AI383" s="54" t="str" cm="1">
        <f t="array" ref="AI383">TRANSPOSE(_xlfn._xlws.FILTER(images!L:L,images!F:F=Barrierenmessung!A383, ""))</f>
        <v>https://captureandgo.cloudlab.zhaw.ch/uploads/image_4f2e5565cf.jpg</v>
      </c>
      <c r="AJ383" s="2"/>
      <c r="AK383" s="2"/>
      <c r="AL383" s="2"/>
      <c r="AM383" s="2"/>
      <c r="AN383" s="2"/>
    </row>
    <row r="384" spans="1:40" ht="16" x14ac:dyDescent="0.2">
      <c r="A384" s="2" t="s">
        <v>1269</v>
      </c>
      <c r="B384" s="46">
        <v>383</v>
      </c>
      <c r="C384" s="2" t="b">
        <v>0</v>
      </c>
      <c r="D384" s="2" t="b">
        <v>0</v>
      </c>
      <c r="E384" s="2" t="b">
        <v>0</v>
      </c>
      <c r="F384" s="2" t="b">
        <v>0</v>
      </c>
      <c r="G384" s="2" t="s">
        <v>31</v>
      </c>
      <c r="H384" s="2" t="s">
        <v>1270</v>
      </c>
      <c r="I384" s="2" t="s">
        <v>1271</v>
      </c>
      <c r="J384" s="2" t="s">
        <v>1221</v>
      </c>
      <c r="K384" s="2" t="s">
        <v>35</v>
      </c>
      <c r="L384" s="2" t="s">
        <v>35</v>
      </c>
      <c r="M384" s="2" t="s">
        <v>35</v>
      </c>
      <c r="N384" s="2" t="s">
        <v>35</v>
      </c>
      <c r="O384" s="11">
        <v>44743.687393645836</v>
      </c>
      <c r="P384" s="11">
        <v>44743.68783693287</v>
      </c>
      <c r="Q384" s="27">
        <f t="shared" si="15"/>
        <v>4.4328703370410949E-4</v>
      </c>
      <c r="R384" s="65">
        <f t="shared" si="17"/>
        <v>6.1758101946907118E-4</v>
      </c>
      <c r="S384" s="2">
        <v>0</v>
      </c>
      <c r="T384" s="2" t="s">
        <v>36</v>
      </c>
      <c r="U384" s="2" t="s">
        <v>37</v>
      </c>
      <c r="V384" s="2" t="s">
        <v>38</v>
      </c>
      <c r="W384" s="2" t="s">
        <v>35</v>
      </c>
      <c r="X384" s="2" t="s">
        <v>35</v>
      </c>
      <c r="Y384" s="2" t="s">
        <v>35</v>
      </c>
      <c r="Z384" s="2" t="b">
        <v>0</v>
      </c>
      <c r="AA384" s="2" t="s">
        <v>35</v>
      </c>
      <c r="AB384" s="2" t="s">
        <v>35</v>
      </c>
      <c r="AC384" s="2">
        <v>6</v>
      </c>
      <c r="AD384" s="2" t="s">
        <v>35</v>
      </c>
      <c r="AE384" s="2" t="s">
        <v>1117</v>
      </c>
      <c r="AF384" s="11">
        <v>44743.590972164355</v>
      </c>
      <c r="AG384" s="53"/>
      <c r="AH384" s="53" t="b">
        <f t="shared" si="16"/>
        <v>0</v>
      </c>
      <c r="AI384" s="54" t="str" cm="1">
        <f t="array" ref="AI384">TRANSPOSE(_xlfn._xlws.FILTER(images!L:L,images!F:F=Barrierenmessung!A384, ""))</f>
        <v>https://captureandgo.cloudlab.zhaw.ch/uploads/image_e15f8dffd3.jpg</v>
      </c>
      <c r="AJ384" s="2"/>
      <c r="AK384" s="2"/>
      <c r="AL384" s="2"/>
      <c r="AM384" s="2"/>
      <c r="AN384" s="2"/>
    </row>
    <row r="385" spans="1:40" ht="16" x14ac:dyDescent="0.2">
      <c r="A385" s="2" t="s">
        <v>1272</v>
      </c>
      <c r="B385" s="46">
        <v>384</v>
      </c>
      <c r="C385" s="2" t="b">
        <v>0</v>
      </c>
      <c r="D385" s="2" t="b">
        <v>0</v>
      </c>
      <c r="E385" s="2" t="b">
        <v>0</v>
      </c>
      <c r="F385" s="2" t="b">
        <v>0</v>
      </c>
      <c r="G385" s="2" t="s">
        <v>31</v>
      </c>
      <c r="H385" s="2" t="s">
        <v>1273</v>
      </c>
      <c r="I385" s="2" t="s">
        <v>1274</v>
      </c>
      <c r="J385" s="2" t="s">
        <v>1275</v>
      </c>
      <c r="K385" s="2" t="s">
        <v>35</v>
      </c>
      <c r="L385" s="2" t="s">
        <v>35</v>
      </c>
      <c r="M385" s="2" t="s">
        <v>35</v>
      </c>
      <c r="N385" s="2" t="s">
        <v>35</v>
      </c>
      <c r="O385" s="11">
        <v>44743.688588078701</v>
      </c>
      <c r="P385" s="11">
        <v>44743.689048159722</v>
      </c>
      <c r="Q385" s="27">
        <f t="shared" si="15"/>
        <v>4.6008102071937174E-4</v>
      </c>
      <c r="R385" s="65">
        <f t="shared" si="17"/>
        <v>1.211226852319669E-3</v>
      </c>
      <c r="S385" s="2">
        <v>0</v>
      </c>
      <c r="T385" s="2" t="s">
        <v>36</v>
      </c>
      <c r="U385" s="2" t="s">
        <v>37</v>
      </c>
      <c r="V385" s="2" t="s">
        <v>38</v>
      </c>
      <c r="W385" s="2" t="s">
        <v>35</v>
      </c>
      <c r="X385" s="2" t="s">
        <v>35</v>
      </c>
      <c r="Y385" s="2" t="s">
        <v>35</v>
      </c>
      <c r="Z385" s="2" t="b">
        <v>0</v>
      </c>
      <c r="AA385" s="2" t="s">
        <v>35</v>
      </c>
      <c r="AB385" s="2" t="s">
        <v>35</v>
      </c>
      <c r="AC385" s="2">
        <v>5</v>
      </c>
      <c r="AD385" s="2" t="s">
        <v>35</v>
      </c>
      <c r="AE385" s="2" t="s">
        <v>1117</v>
      </c>
      <c r="AF385" s="11">
        <v>44743.590972164355</v>
      </c>
      <c r="AG385" s="53"/>
      <c r="AH385" s="53" t="b">
        <f t="shared" si="16"/>
        <v>0</v>
      </c>
      <c r="AI385" s="54" t="str" cm="1">
        <f t="array" ref="AI385">TRANSPOSE(_xlfn._xlws.FILTER(images!L:L,images!F:F=Barrierenmessung!A385, ""))</f>
        <v>https://captureandgo.cloudlab.zhaw.ch/uploads/image_da49e0f4ab.jpg</v>
      </c>
      <c r="AJ385" s="2"/>
      <c r="AK385" s="2"/>
      <c r="AL385" s="2"/>
      <c r="AM385" s="2"/>
      <c r="AN385" s="2"/>
    </row>
    <row r="386" spans="1:40" ht="16" x14ac:dyDescent="0.2">
      <c r="A386" s="2" t="s">
        <v>1276</v>
      </c>
      <c r="B386" s="46">
        <v>385</v>
      </c>
      <c r="C386" s="2" t="b">
        <v>0</v>
      </c>
      <c r="D386" s="2" t="b">
        <v>0</v>
      </c>
      <c r="E386" s="2" t="b">
        <v>0</v>
      </c>
      <c r="F386" s="2" t="b">
        <v>0</v>
      </c>
      <c r="G386" s="2" t="s">
        <v>31</v>
      </c>
      <c r="H386" s="2" t="s">
        <v>1277</v>
      </c>
      <c r="I386" s="2" t="s">
        <v>1278</v>
      </c>
      <c r="J386" s="2" t="s">
        <v>662</v>
      </c>
      <c r="K386" s="2" t="s">
        <v>35</v>
      </c>
      <c r="L386" s="2" t="s">
        <v>35</v>
      </c>
      <c r="M386" s="2" t="s">
        <v>35</v>
      </c>
      <c r="N386" s="2" t="s">
        <v>35</v>
      </c>
      <c r="O386" s="11">
        <v>44743.689745127318</v>
      </c>
      <c r="P386" s="11">
        <v>44743.690047430558</v>
      </c>
      <c r="Q386" s="27">
        <f t="shared" ref="Q386:Q449" si="18">P386-O386</f>
        <v>3.02303240459878E-4</v>
      </c>
      <c r="R386" s="65">
        <f t="shared" si="17"/>
        <v>9.9927083647344261E-4</v>
      </c>
      <c r="S386" s="2">
        <v>0</v>
      </c>
      <c r="T386" s="2" t="s">
        <v>36</v>
      </c>
      <c r="U386" s="2" t="s">
        <v>37</v>
      </c>
      <c r="V386" s="2" t="s">
        <v>38</v>
      </c>
      <c r="W386" s="2" t="s">
        <v>35</v>
      </c>
      <c r="X386" s="2" t="s">
        <v>35</v>
      </c>
      <c r="Y386" s="2" t="s">
        <v>35</v>
      </c>
      <c r="Z386" s="2" t="b">
        <v>0</v>
      </c>
      <c r="AA386" s="2" t="s">
        <v>35</v>
      </c>
      <c r="AB386" s="2" t="s">
        <v>35</v>
      </c>
      <c r="AC386" s="2">
        <v>7</v>
      </c>
      <c r="AD386" s="2">
        <v>2</v>
      </c>
      <c r="AE386" s="2" t="s">
        <v>1117</v>
      </c>
      <c r="AF386" s="11">
        <v>44743.590972164355</v>
      </c>
      <c r="AG386" s="53"/>
      <c r="AH386" s="53" t="b">
        <f t="shared" si="16"/>
        <v>0</v>
      </c>
      <c r="AI386" s="54" t="str" cm="1">
        <f t="array" ref="AI386">TRANSPOSE(_xlfn._xlws.FILTER(images!L:L,images!F:F=Barrierenmessung!A386, ""))</f>
        <v>https://captureandgo.cloudlab.zhaw.ch/uploads/image_c94c161581.jpg</v>
      </c>
      <c r="AJ386" s="2"/>
      <c r="AK386" s="2"/>
      <c r="AL386" s="2"/>
      <c r="AM386" s="2"/>
      <c r="AN386" s="2"/>
    </row>
    <row r="387" spans="1:40" ht="16" x14ac:dyDescent="0.2">
      <c r="A387" s="2" t="s">
        <v>1279</v>
      </c>
      <c r="B387" s="46">
        <v>386</v>
      </c>
      <c r="C387" s="2" t="b">
        <v>0</v>
      </c>
      <c r="D387" s="2" t="b">
        <v>0</v>
      </c>
      <c r="E387" s="2" t="b">
        <v>0</v>
      </c>
      <c r="F387" s="2" t="b">
        <v>0</v>
      </c>
      <c r="G387" s="2" t="s">
        <v>31</v>
      </c>
      <c r="H387" s="2" t="s">
        <v>1280</v>
      </c>
      <c r="I387" s="2" t="s">
        <v>1281</v>
      </c>
      <c r="J387" s="2" t="s">
        <v>1275</v>
      </c>
      <c r="K387" s="2" t="s">
        <v>35</v>
      </c>
      <c r="L387" s="2" t="s">
        <v>35</v>
      </c>
      <c r="M387" s="2" t="s">
        <v>35</v>
      </c>
      <c r="N387" s="2" t="s">
        <v>35</v>
      </c>
      <c r="O387" s="11">
        <v>44743.690827662038</v>
      </c>
      <c r="P387" s="11">
        <v>44743.691209722223</v>
      </c>
      <c r="Q387" s="27">
        <f t="shared" si="18"/>
        <v>3.8206018507480621E-4</v>
      </c>
      <c r="R387" s="65">
        <f t="shared" si="17"/>
        <v>1.1622916645137593E-3</v>
      </c>
      <c r="S387" s="2">
        <v>0</v>
      </c>
      <c r="T387" s="2" t="s">
        <v>36</v>
      </c>
      <c r="U387" s="2" t="s">
        <v>37</v>
      </c>
      <c r="V387" s="2" t="s">
        <v>38</v>
      </c>
      <c r="W387" s="2" t="s">
        <v>35</v>
      </c>
      <c r="X387" s="2" t="s">
        <v>35</v>
      </c>
      <c r="Y387" s="2" t="s">
        <v>35</v>
      </c>
      <c r="Z387" s="2" t="b">
        <v>0</v>
      </c>
      <c r="AA387" s="2" t="s">
        <v>35</v>
      </c>
      <c r="AB387" s="2" t="s">
        <v>35</v>
      </c>
      <c r="AC387" s="2">
        <v>4</v>
      </c>
      <c r="AD387" s="2" t="s">
        <v>35</v>
      </c>
      <c r="AE387" s="2" t="s">
        <v>1117</v>
      </c>
      <c r="AF387" s="11">
        <v>44743.590972164355</v>
      </c>
      <c r="AG387" s="53"/>
      <c r="AH387" s="53" t="b">
        <f t="shared" ref="AH387:AH450" si="19">IF(Q387&lt;TIME(0,0,1),"TRUE")</f>
        <v>0</v>
      </c>
      <c r="AI387" s="54" t="str" cm="1">
        <f t="array" ref="AI387">TRANSPOSE(_xlfn._xlws.FILTER(images!L:L,images!F:F=Barrierenmessung!A387, ""))</f>
        <v>https://captureandgo.cloudlab.zhaw.ch/uploads/image_7df7ded8d4.jpg</v>
      </c>
      <c r="AJ387" s="2"/>
      <c r="AK387" s="2"/>
      <c r="AL387" s="2"/>
      <c r="AM387" s="2"/>
      <c r="AN387" s="2"/>
    </row>
    <row r="388" spans="1:40" ht="16" x14ac:dyDescent="0.2">
      <c r="A388" s="2" t="s">
        <v>1282</v>
      </c>
      <c r="B388" s="46">
        <v>387</v>
      </c>
      <c r="C388" s="2" t="b">
        <v>0</v>
      </c>
      <c r="D388" s="2" t="b">
        <v>0</v>
      </c>
      <c r="E388" s="2" t="b">
        <v>0</v>
      </c>
      <c r="F388" s="2" t="b">
        <v>0</v>
      </c>
      <c r="G388" s="2" t="s">
        <v>31</v>
      </c>
      <c r="H388" s="2" t="s">
        <v>1283</v>
      </c>
      <c r="I388" s="2" t="s">
        <v>1284</v>
      </c>
      <c r="J388" s="2" t="s">
        <v>1173</v>
      </c>
      <c r="K388" s="2" t="s">
        <v>35</v>
      </c>
      <c r="L388" s="2" t="s">
        <v>35</v>
      </c>
      <c r="M388" s="2" t="s">
        <v>35</v>
      </c>
      <c r="N388" s="2" t="s">
        <v>35</v>
      </c>
      <c r="O388" s="11">
        <v>44743.691254884259</v>
      </c>
      <c r="P388" s="11">
        <v>44743.691672673609</v>
      </c>
      <c r="Q388" s="27">
        <f t="shared" si="18"/>
        <v>4.1778934973990545E-4</v>
      </c>
      <c r="R388" s="65">
        <f t="shared" si="17"/>
        <v>4.629513859981671E-4</v>
      </c>
      <c r="S388" s="2">
        <v>0</v>
      </c>
      <c r="T388" s="2" t="s">
        <v>36</v>
      </c>
      <c r="U388" s="2" t="s">
        <v>37</v>
      </c>
      <c r="V388" s="2" t="s">
        <v>38</v>
      </c>
      <c r="W388" s="2" t="s">
        <v>35</v>
      </c>
      <c r="X388" s="2" t="s">
        <v>35</v>
      </c>
      <c r="Y388" s="2" t="s">
        <v>35</v>
      </c>
      <c r="Z388" s="2" t="b">
        <v>0</v>
      </c>
      <c r="AA388" s="2" t="s">
        <v>35</v>
      </c>
      <c r="AB388" s="2" t="s">
        <v>35</v>
      </c>
      <c r="AC388" s="2">
        <v>8</v>
      </c>
      <c r="AD388" s="2" t="s">
        <v>35</v>
      </c>
      <c r="AE388" s="2" t="s">
        <v>1117</v>
      </c>
      <c r="AF388" s="11">
        <v>44743.590972164355</v>
      </c>
      <c r="AG388" s="53"/>
      <c r="AH388" s="53" t="b">
        <f t="shared" si="19"/>
        <v>0</v>
      </c>
      <c r="AI388" s="54" t="str" cm="1">
        <f t="array" ref="AI388">TRANSPOSE(_xlfn._xlws.FILTER(images!L:L,images!F:F=Barrierenmessung!A388, ""))</f>
        <v>https://captureandgo.cloudlab.zhaw.ch/uploads/image_4031cd0d33.jpg</v>
      </c>
      <c r="AJ388" s="2"/>
      <c r="AK388" s="2"/>
      <c r="AL388" s="2"/>
      <c r="AM388" s="2"/>
      <c r="AN388" s="2"/>
    </row>
    <row r="389" spans="1:40" ht="16" x14ac:dyDescent="0.2">
      <c r="A389" s="2" t="s">
        <v>1285</v>
      </c>
      <c r="B389" s="46">
        <v>388</v>
      </c>
      <c r="C389" s="2" t="b">
        <v>0</v>
      </c>
      <c r="D389" s="2" t="b">
        <v>0</v>
      </c>
      <c r="E389" s="2" t="b">
        <v>0</v>
      </c>
      <c r="F389" s="2" t="b">
        <v>0</v>
      </c>
      <c r="G389" s="2" t="s">
        <v>31</v>
      </c>
      <c r="H389" s="2" t="s">
        <v>1286</v>
      </c>
      <c r="I389" s="2" t="s">
        <v>1287</v>
      </c>
      <c r="J389" s="2" t="s">
        <v>662</v>
      </c>
      <c r="K389" s="2" t="s">
        <v>35</v>
      </c>
      <c r="L389" s="2" t="s">
        <v>35</v>
      </c>
      <c r="M389" s="2" t="s">
        <v>35</v>
      </c>
      <c r="N389" s="2" t="s">
        <v>35</v>
      </c>
      <c r="O389" s="11">
        <v>44743.692362847221</v>
      </c>
      <c r="P389" s="11">
        <v>44743.692701608794</v>
      </c>
      <c r="Q389" s="27">
        <f t="shared" si="18"/>
        <v>3.3876157249324024E-4</v>
      </c>
      <c r="R389" s="65">
        <f t="shared" ref="R389:R452" si="20">MIN(P389-P388, P389-AF389)</f>
        <v>1.0289351848769002E-3</v>
      </c>
      <c r="S389" s="2">
        <v>0</v>
      </c>
      <c r="T389" s="2" t="s">
        <v>36</v>
      </c>
      <c r="U389" s="2" t="s">
        <v>37</v>
      </c>
      <c r="V389" s="2" t="s">
        <v>38</v>
      </c>
      <c r="W389" s="2" t="s">
        <v>35</v>
      </c>
      <c r="X389" s="2" t="s">
        <v>35</v>
      </c>
      <c r="Y389" s="2" t="s">
        <v>35</v>
      </c>
      <c r="Z389" s="2" t="b">
        <v>0</v>
      </c>
      <c r="AA389" s="2" t="s">
        <v>35</v>
      </c>
      <c r="AB389" s="2" t="s">
        <v>35</v>
      </c>
      <c r="AC389" s="2">
        <v>8</v>
      </c>
      <c r="AD389" s="2" t="s">
        <v>35</v>
      </c>
      <c r="AE389" s="2" t="s">
        <v>1117</v>
      </c>
      <c r="AF389" s="11">
        <v>44743.590972164355</v>
      </c>
      <c r="AG389" s="53"/>
      <c r="AH389" s="53" t="b">
        <f t="shared" si="19"/>
        <v>0</v>
      </c>
      <c r="AI389" s="54" t="str" cm="1">
        <f t="array" ref="AI389">TRANSPOSE(_xlfn._xlws.FILTER(images!L:L,images!F:F=Barrierenmessung!A389, ""))</f>
        <v>https://captureandgo.cloudlab.zhaw.ch/uploads/image_25b5a1c49b.jpg</v>
      </c>
      <c r="AJ389" s="2"/>
      <c r="AK389" s="2"/>
      <c r="AL389" s="2"/>
      <c r="AM389" s="2"/>
      <c r="AN389" s="2"/>
    </row>
    <row r="390" spans="1:40" ht="16" x14ac:dyDescent="0.2">
      <c r="A390" s="2" t="s">
        <v>1288</v>
      </c>
      <c r="B390" s="46">
        <v>389</v>
      </c>
      <c r="C390" s="2" t="b">
        <v>0</v>
      </c>
      <c r="D390" s="2" t="b">
        <v>0</v>
      </c>
      <c r="E390" s="2" t="b">
        <v>0</v>
      </c>
      <c r="F390" s="2" t="b">
        <v>0</v>
      </c>
      <c r="G390" s="2" t="s">
        <v>31</v>
      </c>
      <c r="H390" s="2" t="s">
        <v>1289</v>
      </c>
      <c r="I390" s="2" t="s">
        <v>1290</v>
      </c>
      <c r="J390" s="2" t="s">
        <v>1291</v>
      </c>
      <c r="K390" s="2" t="s">
        <v>35</v>
      </c>
      <c r="L390" s="2" t="s">
        <v>35</v>
      </c>
      <c r="M390" s="2">
        <v>3</v>
      </c>
      <c r="N390" s="2">
        <v>14</v>
      </c>
      <c r="O390" s="11">
        <v>44743.692953310187</v>
      </c>
      <c r="P390" s="11">
        <v>44743.693367569445</v>
      </c>
      <c r="Q390" s="27">
        <f t="shared" si="18"/>
        <v>4.1425925883231685E-4</v>
      </c>
      <c r="R390" s="65">
        <f t="shared" si="20"/>
        <v>6.6596065153134987E-4</v>
      </c>
      <c r="S390" s="2">
        <v>0</v>
      </c>
      <c r="T390" s="2" t="s">
        <v>54</v>
      </c>
      <c r="U390" s="2" t="s">
        <v>55</v>
      </c>
      <c r="V390" s="2" t="s">
        <v>38</v>
      </c>
      <c r="W390" s="2" t="s">
        <v>35</v>
      </c>
      <c r="X390" s="2" t="s">
        <v>35</v>
      </c>
      <c r="Y390" s="2" t="s">
        <v>35</v>
      </c>
      <c r="Z390" s="2" t="b">
        <v>1</v>
      </c>
      <c r="AA390" s="2" t="s">
        <v>35</v>
      </c>
      <c r="AB390" s="2" t="s">
        <v>35</v>
      </c>
      <c r="AC390" s="2" t="s">
        <v>35</v>
      </c>
      <c r="AD390" s="2" t="s">
        <v>35</v>
      </c>
      <c r="AE390" s="2" t="s">
        <v>1117</v>
      </c>
      <c r="AF390" s="11">
        <v>44743.590972164355</v>
      </c>
      <c r="AG390" s="53"/>
      <c r="AH390" s="53" t="b">
        <f t="shared" si="19"/>
        <v>0</v>
      </c>
      <c r="AI390" s="54" t="str" cm="1">
        <f t="array" ref="AI390">TRANSPOSE(_xlfn._xlws.FILTER(images!L:L,images!F:F=Barrierenmessung!A390, ""))</f>
        <v>https://captureandgo.cloudlab.zhaw.ch/uploads/image_72668e2989.jpg</v>
      </c>
      <c r="AJ390" s="2"/>
      <c r="AK390" s="2"/>
      <c r="AL390" s="2"/>
      <c r="AM390" s="2"/>
      <c r="AN390" s="2"/>
    </row>
    <row r="391" spans="1:40" ht="16" x14ac:dyDescent="0.2">
      <c r="A391" s="2" t="s">
        <v>1292</v>
      </c>
      <c r="B391" s="46">
        <v>390</v>
      </c>
      <c r="C391" s="2" t="b">
        <v>0</v>
      </c>
      <c r="D391" s="2" t="b">
        <v>0</v>
      </c>
      <c r="E391" s="2" t="b">
        <v>0</v>
      </c>
      <c r="F391" s="2" t="b">
        <v>0</v>
      </c>
      <c r="G391" s="2" t="s">
        <v>31</v>
      </c>
      <c r="H391" s="2" t="s">
        <v>1293</v>
      </c>
      <c r="I391" s="2" t="s">
        <v>1294</v>
      </c>
      <c r="J391" s="2" t="s">
        <v>1221</v>
      </c>
      <c r="K391" s="2" t="s">
        <v>35</v>
      </c>
      <c r="L391" s="2" t="s">
        <v>35</v>
      </c>
      <c r="M391" s="2" t="s">
        <v>35</v>
      </c>
      <c r="N391" s="2" t="s">
        <v>35</v>
      </c>
      <c r="O391" s="11">
        <v>44743.699186423612</v>
      </c>
      <c r="P391" s="11">
        <v>44743.699401851853</v>
      </c>
      <c r="Q391" s="27">
        <f t="shared" si="18"/>
        <v>2.1542824106290936E-4</v>
      </c>
      <c r="R391" s="65">
        <f t="shared" si="20"/>
        <v>6.0342824071994983E-3</v>
      </c>
      <c r="S391" s="2">
        <v>0</v>
      </c>
      <c r="T391" s="2" t="s">
        <v>36</v>
      </c>
      <c r="U391" s="2" t="s">
        <v>37</v>
      </c>
      <c r="V391" s="2" t="s">
        <v>38</v>
      </c>
      <c r="W391" s="2" t="s">
        <v>35</v>
      </c>
      <c r="X391" s="2" t="s">
        <v>35</v>
      </c>
      <c r="Y391" s="2" t="s">
        <v>35</v>
      </c>
      <c r="Z391" s="2" t="b">
        <v>0</v>
      </c>
      <c r="AA391" s="2" t="s">
        <v>35</v>
      </c>
      <c r="AB391" s="2" t="s">
        <v>35</v>
      </c>
      <c r="AC391" s="2">
        <v>4</v>
      </c>
      <c r="AD391" s="2" t="s">
        <v>35</v>
      </c>
      <c r="AE391" s="2" t="s">
        <v>1117</v>
      </c>
      <c r="AF391" s="11">
        <v>44743.590972164355</v>
      </c>
      <c r="AG391" s="53"/>
      <c r="AH391" s="53" t="b">
        <f t="shared" si="19"/>
        <v>0</v>
      </c>
      <c r="AI391" s="54" t="str" cm="1">
        <f t="array" ref="AI391">TRANSPOSE(_xlfn._xlws.FILTER(images!L:L,images!F:F=Barrierenmessung!A391, ""))</f>
        <v>https://captureandgo.cloudlab.zhaw.ch/uploads/image_f98c3b8b4f.jpg</v>
      </c>
      <c r="AJ391" s="2"/>
      <c r="AK391" s="2"/>
      <c r="AL391" s="2"/>
      <c r="AM391" s="2"/>
      <c r="AN391" s="2"/>
    </row>
    <row r="392" spans="1:40" ht="16" x14ac:dyDescent="0.2">
      <c r="A392" s="2" t="s">
        <v>1295</v>
      </c>
      <c r="B392" s="46">
        <v>391</v>
      </c>
      <c r="C392" s="2" t="b">
        <v>0</v>
      </c>
      <c r="D392" s="2" t="b">
        <v>0</v>
      </c>
      <c r="E392" s="2" t="b">
        <v>0</v>
      </c>
      <c r="F392" s="2" t="b">
        <v>0</v>
      </c>
      <c r="G392" s="2" t="s">
        <v>31</v>
      </c>
      <c r="H392" s="2" t="s">
        <v>1296</v>
      </c>
      <c r="I392" s="2" t="s">
        <v>1297</v>
      </c>
      <c r="J392" s="2" t="s">
        <v>35</v>
      </c>
      <c r="K392" s="2" t="s">
        <v>35</v>
      </c>
      <c r="L392" s="2" t="s">
        <v>35</v>
      </c>
      <c r="M392" s="2">
        <v>7</v>
      </c>
      <c r="N392" s="2">
        <v>16</v>
      </c>
      <c r="O392" s="11">
        <v>44743.699578564818</v>
      </c>
      <c r="P392" s="11">
        <v>44743.699752685185</v>
      </c>
      <c r="Q392" s="27">
        <f t="shared" si="18"/>
        <v>1.7412036686437204E-4</v>
      </c>
      <c r="R392" s="65">
        <f t="shared" si="20"/>
        <v>3.5083333204966038E-4</v>
      </c>
      <c r="S392" s="2">
        <v>0</v>
      </c>
      <c r="T392" s="2" t="s">
        <v>54</v>
      </c>
      <c r="U392" s="2" t="s">
        <v>55</v>
      </c>
      <c r="V392" s="2" t="s">
        <v>38</v>
      </c>
      <c r="W392" s="2" t="s">
        <v>35</v>
      </c>
      <c r="X392" s="2" t="s">
        <v>35</v>
      </c>
      <c r="Y392" s="2" t="s">
        <v>35</v>
      </c>
      <c r="Z392" s="2" t="b">
        <v>0</v>
      </c>
      <c r="AA392" s="2" t="s">
        <v>35</v>
      </c>
      <c r="AB392" s="2" t="s">
        <v>35</v>
      </c>
      <c r="AC392" s="2" t="s">
        <v>35</v>
      </c>
      <c r="AD392" s="2" t="s">
        <v>35</v>
      </c>
      <c r="AE392" s="2" t="s">
        <v>1117</v>
      </c>
      <c r="AF392" s="11">
        <v>44743.590972164355</v>
      </c>
      <c r="AG392" s="53"/>
      <c r="AH392" s="53" t="b">
        <f t="shared" si="19"/>
        <v>0</v>
      </c>
      <c r="AI392" s="54" t="str" cm="1">
        <f t="array" ref="AI392">TRANSPOSE(_xlfn._xlws.FILTER(images!L:L,images!F:F=Barrierenmessung!A392, ""))</f>
        <v>https://captureandgo.cloudlab.zhaw.ch/uploads/image_4036b29802.jpg</v>
      </c>
      <c r="AJ392" s="2"/>
      <c r="AK392" s="2"/>
      <c r="AL392" s="2"/>
      <c r="AM392" s="2"/>
      <c r="AN392" s="2"/>
    </row>
    <row r="393" spans="1:40" ht="16" x14ac:dyDescent="0.2">
      <c r="A393" s="2" t="s">
        <v>1298</v>
      </c>
      <c r="B393" s="46">
        <v>392</v>
      </c>
      <c r="C393" s="2" t="b">
        <v>0</v>
      </c>
      <c r="D393" s="2" t="b">
        <v>0</v>
      </c>
      <c r="E393" s="2" t="b">
        <v>0</v>
      </c>
      <c r="F393" s="2" t="b">
        <v>0</v>
      </c>
      <c r="G393" s="2" t="s">
        <v>31</v>
      </c>
      <c r="H393" s="2" t="s">
        <v>1299</v>
      </c>
      <c r="I393" s="2" t="s">
        <v>1300</v>
      </c>
      <c r="J393" s="2" t="s">
        <v>35</v>
      </c>
      <c r="K393" s="2" t="s">
        <v>35</v>
      </c>
      <c r="L393" s="2" t="s">
        <v>35</v>
      </c>
      <c r="M393" s="2">
        <v>5</v>
      </c>
      <c r="N393" s="2">
        <v>15</v>
      </c>
      <c r="O393" s="11">
        <v>44743.699873344907</v>
      </c>
      <c r="P393" s="11">
        <v>44743.700046111109</v>
      </c>
      <c r="Q393" s="27">
        <f t="shared" si="18"/>
        <v>1.727662020130083E-4</v>
      </c>
      <c r="R393" s="65">
        <f t="shared" si="20"/>
        <v>2.9342592461034656E-4</v>
      </c>
      <c r="S393" s="2">
        <v>0</v>
      </c>
      <c r="T393" s="2" t="s">
        <v>54</v>
      </c>
      <c r="U393" s="2" t="s">
        <v>55</v>
      </c>
      <c r="V393" s="2" t="s">
        <v>38</v>
      </c>
      <c r="W393" s="2" t="s">
        <v>35</v>
      </c>
      <c r="X393" s="2" t="s">
        <v>35</v>
      </c>
      <c r="Y393" s="2" t="s">
        <v>35</v>
      </c>
      <c r="Z393" s="2" t="b">
        <v>0</v>
      </c>
      <c r="AA393" s="2" t="s">
        <v>35</v>
      </c>
      <c r="AB393" s="2" t="s">
        <v>35</v>
      </c>
      <c r="AC393" s="2" t="s">
        <v>35</v>
      </c>
      <c r="AD393" s="2" t="s">
        <v>35</v>
      </c>
      <c r="AE393" s="2" t="s">
        <v>1117</v>
      </c>
      <c r="AF393" s="11">
        <v>44743.590972164355</v>
      </c>
      <c r="AG393" s="53"/>
      <c r="AH393" s="53" t="b">
        <f t="shared" si="19"/>
        <v>0</v>
      </c>
      <c r="AI393" s="54" t="str" cm="1">
        <f t="array" ref="AI393">TRANSPOSE(_xlfn._xlws.FILTER(images!L:L,images!F:F=Barrierenmessung!A393, ""))</f>
        <v>https://captureandgo.cloudlab.zhaw.ch/uploads/image_8249e16aee.jpg</v>
      </c>
      <c r="AJ393" s="2"/>
      <c r="AK393" s="2"/>
      <c r="AL393" s="2"/>
      <c r="AM393" s="2"/>
      <c r="AN393" s="2"/>
    </row>
    <row r="394" spans="1:40" ht="16" x14ac:dyDescent="0.2">
      <c r="A394" s="2" t="s">
        <v>1301</v>
      </c>
      <c r="B394" s="46">
        <v>393</v>
      </c>
      <c r="C394" s="2" t="b">
        <v>0</v>
      </c>
      <c r="D394" s="2" t="b">
        <v>0</v>
      </c>
      <c r="E394" s="2" t="b">
        <v>0</v>
      </c>
      <c r="F394" s="2" t="b">
        <v>0</v>
      </c>
      <c r="G394" s="2" t="s">
        <v>31</v>
      </c>
      <c r="H394" s="2" t="s">
        <v>1302</v>
      </c>
      <c r="I394" s="2" t="s">
        <v>1303</v>
      </c>
      <c r="J394" s="2" t="s">
        <v>1221</v>
      </c>
      <c r="K394" s="2" t="s">
        <v>35</v>
      </c>
      <c r="L394" s="2" t="s">
        <v>35</v>
      </c>
      <c r="M394" s="2" t="s">
        <v>35</v>
      </c>
      <c r="N394" s="2" t="s">
        <v>35</v>
      </c>
      <c r="O394" s="11">
        <v>44743.700345300924</v>
      </c>
      <c r="P394" s="11">
        <v>44743.700689155092</v>
      </c>
      <c r="Q394" s="27">
        <f t="shared" si="18"/>
        <v>3.4385416802251711E-4</v>
      </c>
      <c r="R394" s="65">
        <f t="shared" si="20"/>
        <v>6.4304398256354034E-4</v>
      </c>
      <c r="S394" s="2">
        <v>0</v>
      </c>
      <c r="T394" s="2" t="s">
        <v>36</v>
      </c>
      <c r="U394" s="2" t="s">
        <v>37</v>
      </c>
      <c r="V394" s="2" t="s">
        <v>38</v>
      </c>
      <c r="W394" s="2" t="s">
        <v>35</v>
      </c>
      <c r="X394" s="2" t="s">
        <v>35</v>
      </c>
      <c r="Y394" s="2" t="s">
        <v>35</v>
      </c>
      <c r="Z394" s="2" t="b">
        <v>0</v>
      </c>
      <c r="AA394" s="2" t="s">
        <v>35</v>
      </c>
      <c r="AB394" s="2" t="s">
        <v>35</v>
      </c>
      <c r="AC394" s="2">
        <v>7</v>
      </c>
      <c r="AD394" s="2" t="s">
        <v>35</v>
      </c>
      <c r="AE394" s="2" t="s">
        <v>1117</v>
      </c>
      <c r="AF394" s="11">
        <v>44743.590972164355</v>
      </c>
      <c r="AG394" s="53"/>
      <c r="AH394" s="53" t="b">
        <f t="shared" si="19"/>
        <v>0</v>
      </c>
      <c r="AI394" s="54" t="str" cm="1">
        <f t="array" ref="AI394">TRANSPOSE(_xlfn._xlws.FILTER(images!L:L,images!F:F=Barrierenmessung!A394, ""))</f>
        <v>https://captureandgo.cloudlab.zhaw.ch/uploads/image_45cace3675.jpg</v>
      </c>
      <c r="AJ394" s="2"/>
      <c r="AK394" s="2"/>
      <c r="AL394" s="2"/>
      <c r="AM394" s="2"/>
      <c r="AN394" s="2"/>
    </row>
    <row r="395" spans="1:40" ht="16" x14ac:dyDescent="0.2">
      <c r="A395" s="2" t="s">
        <v>1304</v>
      </c>
      <c r="B395" s="46">
        <v>394</v>
      </c>
      <c r="C395" s="2" t="b">
        <v>0</v>
      </c>
      <c r="D395" s="2" t="b">
        <v>0</v>
      </c>
      <c r="E395" s="2" t="b">
        <v>0</v>
      </c>
      <c r="F395" s="2" t="b">
        <v>0</v>
      </c>
      <c r="G395" s="2" t="s">
        <v>31</v>
      </c>
      <c r="H395" s="2" t="s">
        <v>1305</v>
      </c>
      <c r="I395" s="2" t="s">
        <v>1306</v>
      </c>
      <c r="J395" s="2" t="s">
        <v>662</v>
      </c>
      <c r="K395" s="2" t="s">
        <v>35</v>
      </c>
      <c r="L395" s="2" t="s">
        <v>35</v>
      </c>
      <c r="M395" s="2" t="s">
        <v>35</v>
      </c>
      <c r="N395" s="2" t="s">
        <v>35</v>
      </c>
      <c r="O395" s="11">
        <v>44743.702285740743</v>
      </c>
      <c r="P395" s="11">
        <v>44743.702504756948</v>
      </c>
      <c r="Q395" s="27">
        <f t="shared" si="18"/>
        <v>2.1901620493736118E-4</v>
      </c>
      <c r="R395" s="65">
        <f t="shared" si="20"/>
        <v>1.8156018559238873E-3</v>
      </c>
      <c r="S395" s="2">
        <v>0</v>
      </c>
      <c r="T395" s="2" t="s">
        <v>36</v>
      </c>
      <c r="U395" s="2" t="s">
        <v>37</v>
      </c>
      <c r="V395" s="2" t="s">
        <v>38</v>
      </c>
      <c r="W395" s="2" t="s">
        <v>35</v>
      </c>
      <c r="X395" s="2" t="s">
        <v>35</v>
      </c>
      <c r="Y395" s="2" t="s">
        <v>35</v>
      </c>
      <c r="Z395" s="2" t="b">
        <v>0</v>
      </c>
      <c r="AA395" s="2" t="s">
        <v>35</v>
      </c>
      <c r="AB395" s="2" t="s">
        <v>35</v>
      </c>
      <c r="AC395" s="2">
        <v>8</v>
      </c>
      <c r="AD395" s="2" t="s">
        <v>35</v>
      </c>
      <c r="AE395" s="2" t="s">
        <v>1117</v>
      </c>
      <c r="AF395" s="11">
        <v>44743.590972164355</v>
      </c>
      <c r="AG395" s="53"/>
      <c r="AH395" s="53" t="b">
        <f t="shared" si="19"/>
        <v>0</v>
      </c>
      <c r="AI395" s="54" t="str" cm="1">
        <f t="array" ref="AI395">TRANSPOSE(_xlfn._xlws.FILTER(images!L:L,images!F:F=Barrierenmessung!A395, ""))</f>
        <v>https://captureandgo.cloudlab.zhaw.ch/uploads/image_e906d8b5e2.jpg</v>
      </c>
      <c r="AJ395" s="2"/>
      <c r="AK395" s="2"/>
      <c r="AL395" s="2"/>
      <c r="AM395" s="2"/>
      <c r="AN395" s="2"/>
    </row>
    <row r="396" spans="1:40" ht="16" x14ac:dyDescent="0.2">
      <c r="A396" s="2" t="s">
        <v>1307</v>
      </c>
      <c r="B396" s="46">
        <v>395</v>
      </c>
      <c r="C396" s="2" t="b">
        <v>0</v>
      </c>
      <c r="D396" s="2" t="b">
        <v>0</v>
      </c>
      <c r="E396" s="2" t="b">
        <v>0</v>
      </c>
      <c r="F396" s="2" t="b">
        <v>0</v>
      </c>
      <c r="G396" s="2" t="s">
        <v>31</v>
      </c>
      <c r="H396" s="2" t="s">
        <v>1308</v>
      </c>
      <c r="I396" s="2" t="s">
        <v>1309</v>
      </c>
      <c r="J396" s="2" t="s">
        <v>35</v>
      </c>
      <c r="K396" s="2" t="s">
        <v>35</v>
      </c>
      <c r="L396" s="2" t="s">
        <v>35</v>
      </c>
      <c r="M396" s="2" t="s">
        <v>35</v>
      </c>
      <c r="N396" s="2" t="s">
        <v>35</v>
      </c>
      <c r="O396" s="11">
        <v>44743.703955972225</v>
      </c>
      <c r="P396" s="11">
        <v>44743.70408945602</v>
      </c>
      <c r="Q396" s="27">
        <f t="shared" si="18"/>
        <v>1.3348379434319213E-4</v>
      </c>
      <c r="R396" s="65">
        <f t="shared" si="20"/>
        <v>1.5846990718273446E-3</v>
      </c>
      <c r="S396" s="2">
        <v>0</v>
      </c>
      <c r="T396" s="2" t="s">
        <v>36</v>
      </c>
      <c r="U396" s="2" t="s">
        <v>37</v>
      </c>
      <c r="V396" s="2" t="s">
        <v>38</v>
      </c>
      <c r="W396" s="2" t="s">
        <v>35</v>
      </c>
      <c r="X396" s="2" t="s">
        <v>35</v>
      </c>
      <c r="Y396" s="2" t="s">
        <v>35</v>
      </c>
      <c r="Z396" s="2" t="b">
        <v>0</v>
      </c>
      <c r="AA396" s="2" t="s">
        <v>35</v>
      </c>
      <c r="AB396" s="2" t="s">
        <v>35</v>
      </c>
      <c r="AC396" s="2" t="s">
        <v>35</v>
      </c>
      <c r="AD396" s="2">
        <v>4</v>
      </c>
      <c r="AE396" s="2" t="s">
        <v>1117</v>
      </c>
      <c r="AF396" s="11">
        <v>44743.590972164355</v>
      </c>
      <c r="AG396" s="53"/>
      <c r="AH396" s="53" t="b">
        <f t="shared" si="19"/>
        <v>0</v>
      </c>
      <c r="AI396" s="54" t="str" cm="1">
        <f t="array" ref="AI396">TRANSPOSE(_xlfn._xlws.FILTER(images!L:L,images!F:F=Barrierenmessung!A396, ""))</f>
        <v>https://captureandgo.cloudlab.zhaw.ch/uploads/image_52c6c52d29.jpg</v>
      </c>
      <c r="AJ396" s="2"/>
      <c r="AK396" s="2"/>
      <c r="AL396" s="2"/>
      <c r="AM396" s="2"/>
      <c r="AN396" s="2"/>
    </row>
    <row r="397" spans="1:40" ht="16" x14ac:dyDescent="0.2">
      <c r="A397" s="2" t="s">
        <v>1310</v>
      </c>
      <c r="B397" s="46">
        <v>396</v>
      </c>
      <c r="C397" s="2" t="b">
        <v>0</v>
      </c>
      <c r="D397" s="2" t="b">
        <v>0</v>
      </c>
      <c r="E397" s="2" t="b">
        <v>0</v>
      </c>
      <c r="F397" s="2" t="b">
        <v>0</v>
      </c>
      <c r="G397" s="2" t="s">
        <v>31</v>
      </c>
      <c r="H397" s="2" t="s">
        <v>1311</v>
      </c>
      <c r="I397" s="2" t="s">
        <v>1312</v>
      </c>
      <c r="J397" s="2" t="s">
        <v>1313</v>
      </c>
      <c r="K397" s="2" t="s">
        <v>35</v>
      </c>
      <c r="L397" s="2" t="s">
        <v>35</v>
      </c>
      <c r="M397" s="2" t="s">
        <v>35</v>
      </c>
      <c r="N397" s="2" t="s">
        <v>35</v>
      </c>
      <c r="O397" s="11">
        <v>44743.704600625002</v>
      </c>
      <c r="P397" s="11">
        <v>44743.704986307872</v>
      </c>
      <c r="Q397" s="27">
        <f t="shared" si="18"/>
        <v>3.8568286981899291E-4</v>
      </c>
      <c r="R397" s="65">
        <f t="shared" si="20"/>
        <v>8.9685185230337083E-4</v>
      </c>
      <c r="S397" s="2">
        <v>0</v>
      </c>
      <c r="T397" s="2" t="s">
        <v>36</v>
      </c>
      <c r="U397" s="2" t="s">
        <v>37</v>
      </c>
      <c r="V397" s="2" t="s">
        <v>38</v>
      </c>
      <c r="W397" s="2" t="s">
        <v>35</v>
      </c>
      <c r="X397" s="2" t="s">
        <v>35</v>
      </c>
      <c r="Y397" s="2" t="s">
        <v>35</v>
      </c>
      <c r="Z397" s="2" t="b">
        <v>0</v>
      </c>
      <c r="AA397" s="2" t="s">
        <v>35</v>
      </c>
      <c r="AB397" s="2" t="s">
        <v>35</v>
      </c>
      <c r="AC397" s="2">
        <v>14</v>
      </c>
      <c r="AD397" s="2" t="s">
        <v>35</v>
      </c>
      <c r="AE397" s="2" t="s">
        <v>1117</v>
      </c>
      <c r="AF397" s="11">
        <v>44743.590972164355</v>
      </c>
      <c r="AG397" s="53"/>
      <c r="AH397" s="53" t="b">
        <f t="shared" si="19"/>
        <v>0</v>
      </c>
      <c r="AI397" s="54" t="str" cm="1">
        <f t="array" ref="AI397">TRANSPOSE(_xlfn._xlws.FILTER(images!L:L,images!F:F=Barrierenmessung!A397, ""))</f>
        <v>https://captureandgo.cloudlab.zhaw.ch/uploads/image_790ec3c8c8.jpg</v>
      </c>
      <c r="AJ397" s="2"/>
      <c r="AK397" s="2"/>
      <c r="AL397" s="2"/>
      <c r="AM397" s="2"/>
      <c r="AN397" s="2"/>
    </row>
    <row r="398" spans="1:40" ht="16" x14ac:dyDescent="0.2">
      <c r="A398" s="2" t="s">
        <v>1314</v>
      </c>
      <c r="B398" s="46">
        <v>397</v>
      </c>
      <c r="C398" s="2" t="b">
        <v>0</v>
      </c>
      <c r="D398" s="2" t="b">
        <v>0</v>
      </c>
      <c r="E398" s="2" t="b">
        <v>0</v>
      </c>
      <c r="F398" s="2" t="b">
        <v>0</v>
      </c>
      <c r="G398" s="2" t="s">
        <v>31</v>
      </c>
      <c r="H398" s="2" t="s">
        <v>1315</v>
      </c>
      <c r="I398" s="2" t="s">
        <v>1316</v>
      </c>
      <c r="J398" s="2" t="s">
        <v>1291</v>
      </c>
      <c r="K398" s="2" t="s">
        <v>35</v>
      </c>
      <c r="L398" s="2" t="s">
        <v>35</v>
      </c>
      <c r="M398" s="2">
        <v>23</v>
      </c>
      <c r="N398" s="2">
        <v>9</v>
      </c>
      <c r="O398" s="11">
        <v>44743.705134282405</v>
      </c>
      <c r="P398" s="11">
        <v>44743.705715011572</v>
      </c>
      <c r="Q398" s="27">
        <f t="shared" si="18"/>
        <v>5.8072916726814583E-4</v>
      </c>
      <c r="R398" s="65">
        <f t="shared" si="20"/>
        <v>7.2870370058808476E-4</v>
      </c>
      <c r="S398" s="2">
        <v>0</v>
      </c>
      <c r="T398" s="2" t="s">
        <v>54</v>
      </c>
      <c r="U398" s="2" t="s">
        <v>55</v>
      </c>
      <c r="V398" s="2" t="s">
        <v>38</v>
      </c>
      <c r="W398" s="2" t="s">
        <v>35</v>
      </c>
      <c r="X398" s="2" t="s">
        <v>35</v>
      </c>
      <c r="Y398" s="2" t="s">
        <v>35</v>
      </c>
      <c r="Z398" s="2" t="b">
        <v>1</v>
      </c>
      <c r="AA398" s="2" t="s">
        <v>35</v>
      </c>
      <c r="AB398" s="2" t="s">
        <v>35</v>
      </c>
      <c r="AC398" s="2" t="s">
        <v>35</v>
      </c>
      <c r="AD398" s="2" t="s">
        <v>35</v>
      </c>
      <c r="AE398" s="2" t="s">
        <v>1117</v>
      </c>
      <c r="AF398" s="11">
        <v>44743.590972164355</v>
      </c>
      <c r="AG398" s="53"/>
      <c r="AH398" s="53" t="b">
        <f t="shared" si="19"/>
        <v>0</v>
      </c>
      <c r="AI398" s="54" t="str" cm="1">
        <f t="array" ref="AI398">TRANSPOSE(_xlfn._xlws.FILTER(images!L:L,images!F:F=Barrierenmessung!A398, ""))</f>
        <v>https://captureandgo.cloudlab.zhaw.ch/uploads/image_02ffb63939.jpg</v>
      </c>
      <c r="AJ398" s="2"/>
      <c r="AK398" s="2"/>
      <c r="AL398" s="2"/>
      <c r="AM398" s="2"/>
      <c r="AN398" s="2"/>
    </row>
    <row r="399" spans="1:40" ht="16" x14ac:dyDescent="0.2">
      <c r="A399" s="2" t="s">
        <v>1317</v>
      </c>
      <c r="B399" s="46">
        <v>398</v>
      </c>
      <c r="C399" s="2" t="b">
        <v>0</v>
      </c>
      <c r="D399" s="2" t="b">
        <v>0</v>
      </c>
      <c r="E399" s="2" t="b">
        <v>0</v>
      </c>
      <c r="F399" s="2" t="b">
        <v>0</v>
      </c>
      <c r="G399" s="2" t="s">
        <v>31</v>
      </c>
      <c r="H399" s="2" t="s">
        <v>1318</v>
      </c>
      <c r="I399" s="2" t="s">
        <v>1319</v>
      </c>
      <c r="J399" s="2" t="s">
        <v>1313</v>
      </c>
      <c r="K399" s="2" t="s">
        <v>35</v>
      </c>
      <c r="L399" s="2" t="s">
        <v>35</v>
      </c>
      <c r="M399" s="2" t="s">
        <v>35</v>
      </c>
      <c r="N399" s="2" t="s">
        <v>35</v>
      </c>
      <c r="O399" s="11">
        <v>44743.706187326388</v>
      </c>
      <c r="P399" s="11">
        <v>44743.706436689812</v>
      </c>
      <c r="Q399" s="27">
        <f t="shared" si="18"/>
        <v>2.4936342379078269E-4</v>
      </c>
      <c r="R399" s="65">
        <f t="shared" si="20"/>
        <v>7.2167823964264244E-4</v>
      </c>
      <c r="S399" s="2">
        <v>0</v>
      </c>
      <c r="T399" s="2" t="s">
        <v>36</v>
      </c>
      <c r="U399" s="2" t="s">
        <v>37</v>
      </c>
      <c r="V399" s="2" t="s">
        <v>38</v>
      </c>
      <c r="W399" s="2" t="s">
        <v>35</v>
      </c>
      <c r="X399" s="2" t="s">
        <v>35</v>
      </c>
      <c r="Y399" s="2" t="s">
        <v>35</v>
      </c>
      <c r="Z399" s="2" t="b">
        <v>0</v>
      </c>
      <c r="AA399" s="2" t="s">
        <v>35</v>
      </c>
      <c r="AB399" s="2" t="s">
        <v>35</v>
      </c>
      <c r="AC399" s="2">
        <v>8</v>
      </c>
      <c r="AD399" s="2" t="s">
        <v>35</v>
      </c>
      <c r="AE399" s="2" t="s">
        <v>1117</v>
      </c>
      <c r="AF399" s="11">
        <v>44743.590972164355</v>
      </c>
      <c r="AG399" s="53"/>
      <c r="AH399" s="53" t="b">
        <f t="shared" si="19"/>
        <v>0</v>
      </c>
      <c r="AI399" s="54" t="str" cm="1">
        <f t="array" ref="AI399">TRANSPOSE(_xlfn._xlws.FILTER(images!L:L,images!F:F=Barrierenmessung!A399, ""))</f>
        <v>https://captureandgo.cloudlab.zhaw.ch/uploads/image_3b59696394.jpg</v>
      </c>
      <c r="AJ399" s="2"/>
      <c r="AK399" s="2"/>
      <c r="AL399" s="2"/>
      <c r="AM399" s="2"/>
      <c r="AN399" s="2"/>
    </row>
    <row r="400" spans="1:40" ht="16" x14ac:dyDescent="0.2">
      <c r="A400" s="2" t="s">
        <v>1320</v>
      </c>
      <c r="B400" s="46">
        <v>399</v>
      </c>
      <c r="C400" s="2" t="b">
        <v>0</v>
      </c>
      <c r="D400" s="2" t="b">
        <v>0</v>
      </c>
      <c r="E400" s="2" t="b">
        <v>0</v>
      </c>
      <c r="F400" s="2" t="b">
        <v>0</v>
      </c>
      <c r="G400" s="2" t="s">
        <v>31</v>
      </c>
      <c r="H400" s="2" t="s">
        <v>1321</v>
      </c>
      <c r="I400" s="2" t="s">
        <v>1322</v>
      </c>
      <c r="J400" s="2" t="s">
        <v>35</v>
      </c>
      <c r="K400" s="2" t="s">
        <v>35</v>
      </c>
      <c r="L400" s="2" t="s">
        <v>35</v>
      </c>
      <c r="M400" s="2">
        <v>7</v>
      </c>
      <c r="N400" s="2">
        <v>14</v>
      </c>
      <c r="O400" s="11">
        <v>44743.706496724539</v>
      </c>
      <c r="P400" s="11">
        <v>44743.706642523146</v>
      </c>
      <c r="Q400" s="27">
        <f t="shared" si="18"/>
        <v>1.4579860726371408E-4</v>
      </c>
      <c r="R400" s="65">
        <f t="shared" si="20"/>
        <v>2.0583333389367908E-4</v>
      </c>
      <c r="S400" s="2">
        <v>0</v>
      </c>
      <c r="T400" s="2" t="s">
        <v>54</v>
      </c>
      <c r="U400" s="2" t="s">
        <v>55</v>
      </c>
      <c r="V400" s="2" t="s">
        <v>38</v>
      </c>
      <c r="W400" s="2" t="s">
        <v>35</v>
      </c>
      <c r="X400" s="2" t="s">
        <v>35</v>
      </c>
      <c r="Y400" s="2" t="s">
        <v>35</v>
      </c>
      <c r="Z400" s="2" t="b">
        <v>0</v>
      </c>
      <c r="AA400" s="2" t="s">
        <v>35</v>
      </c>
      <c r="AB400" s="2" t="s">
        <v>35</v>
      </c>
      <c r="AC400" s="2" t="s">
        <v>35</v>
      </c>
      <c r="AD400" s="2" t="s">
        <v>35</v>
      </c>
      <c r="AE400" s="2" t="s">
        <v>1117</v>
      </c>
      <c r="AF400" s="11">
        <v>44743.590972164355</v>
      </c>
      <c r="AG400" s="53"/>
      <c r="AH400" s="53" t="b">
        <f t="shared" si="19"/>
        <v>0</v>
      </c>
      <c r="AI400" s="54" t="str" cm="1">
        <f t="array" ref="AI400">TRANSPOSE(_xlfn._xlws.FILTER(images!L:L,images!F:F=Barrierenmessung!A400, ""))</f>
        <v>https://captureandgo.cloudlab.zhaw.ch/uploads/image_75f17ffe30.jpg</v>
      </c>
      <c r="AJ400" s="2"/>
      <c r="AK400" s="2"/>
      <c r="AL400" s="2"/>
      <c r="AM400" s="2"/>
      <c r="AN400" s="2"/>
    </row>
    <row r="401" spans="1:40" ht="16" x14ac:dyDescent="0.2">
      <c r="A401" s="2" t="s">
        <v>1323</v>
      </c>
      <c r="B401" s="46">
        <v>400</v>
      </c>
      <c r="C401" s="2" t="b">
        <v>0</v>
      </c>
      <c r="D401" s="2" t="b">
        <v>0</v>
      </c>
      <c r="E401" s="2" t="b">
        <v>0</v>
      </c>
      <c r="F401" s="2" t="b">
        <v>0</v>
      </c>
      <c r="G401" s="2" t="s">
        <v>31</v>
      </c>
      <c r="H401" s="2" t="s">
        <v>1324</v>
      </c>
      <c r="I401" s="2" t="s">
        <v>1325</v>
      </c>
      <c r="J401" s="2" t="s">
        <v>1326</v>
      </c>
      <c r="K401" s="2" t="s">
        <v>35</v>
      </c>
      <c r="L401" s="2" t="s">
        <v>35</v>
      </c>
      <c r="M401" s="2">
        <v>2</v>
      </c>
      <c r="N401" s="2">
        <v>16</v>
      </c>
      <c r="O401" s="11">
        <v>44743.707727881942</v>
      </c>
      <c r="P401" s="11">
        <v>44743.708127534723</v>
      </c>
      <c r="Q401" s="27">
        <f t="shared" si="18"/>
        <v>3.9965278119780123E-4</v>
      </c>
      <c r="R401" s="65">
        <f t="shared" si="20"/>
        <v>1.4850115767330863E-3</v>
      </c>
      <c r="S401" s="2">
        <v>0</v>
      </c>
      <c r="T401" s="2" t="s">
        <v>54</v>
      </c>
      <c r="U401" s="2" t="s">
        <v>55</v>
      </c>
      <c r="V401" s="2" t="s">
        <v>38</v>
      </c>
      <c r="W401" s="2" t="s">
        <v>35</v>
      </c>
      <c r="X401" s="2" t="s">
        <v>35</v>
      </c>
      <c r="Y401" s="2" t="s">
        <v>35</v>
      </c>
      <c r="Z401" s="2" t="b">
        <v>1</v>
      </c>
      <c r="AA401" s="2" t="s">
        <v>35</v>
      </c>
      <c r="AB401" s="2" t="s">
        <v>35</v>
      </c>
      <c r="AC401" s="2" t="s">
        <v>35</v>
      </c>
      <c r="AD401" s="2" t="s">
        <v>35</v>
      </c>
      <c r="AE401" s="2" t="s">
        <v>1117</v>
      </c>
      <c r="AF401" s="11">
        <v>44743.590972164355</v>
      </c>
      <c r="AG401" s="53"/>
      <c r="AH401" s="53" t="b">
        <f t="shared" si="19"/>
        <v>0</v>
      </c>
      <c r="AI401" s="54" t="str" cm="1">
        <f t="array" ref="AI401">TRANSPOSE(_xlfn._xlws.FILTER(images!L:L,images!F:F=Barrierenmessung!A401, ""))</f>
        <v>https://captureandgo.cloudlab.zhaw.ch/uploads/image_681cb7f776.jpg</v>
      </c>
      <c r="AJ401" s="2"/>
      <c r="AK401" s="2"/>
      <c r="AL401" s="2"/>
      <c r="AM401" s="2"/>
      <c r="AN401" s="2"/>
    </row>
    <row r="402" spans="1:40" ht="16" x14ac:dyDescent="0.2">
      <c r="A402" s="2" t="s">
        <v>1327</v>
      </c>
      <c r="B402" s="46">
        <v>401</v>
      </c>
      <c r="C402" s="2" t="b">
        <v>0</v>
      </c>
      <c r="D402" s="2" t="b">
        <v>0</v>
      </c>
      <c r="E402" s="2" t="b">
        <v>0</v>
      </c>
      <c r="F402" s="2" t="b">
        <v>0</v>
      </c>
      <c r="G402" s="2" t="s">
        <v>31</v>
      </c>
      <c r="H402" s="2" t="s">
        <v>1328</v>
      </c>
      <c r="I402" s="2" t="s">
        <v>1329</v>
      </c>
      <c r="J402" s="2" t="s">
        <v>35</v>
      </c>
      <c r="K402" s="2" t="s">
        <v>35</v>
      </c>
      <c r="L402" s="2">
        <v>6</v>
      </c>
      <c r="M402" s="2" t="s">
        <v>35</v>
      </c>
      <c r="N402" s="2" t="s">
        <v>35</v>
      </c>
      <c r="O402" s="11">
        <v>44743.709633622682</v>
      </c>
      <c r="P402" s="11">
        <v>44743.709786111111</v>
      </c>
      <c r="Q402" s="27">
        <f t="shared" si="18"/>
        <v>1.5248842828441411E-4</v>
      </c>
      <c r="R402" s="65">
        <f t="shared" si="20"/>
        <v>1.6585763878538273E-3</v>
      </c>
      <c r="S402" s="2">
        <v>0</v>
      </c>
      <c r="T402" s="2" t="s">
        <v>265</v>
      </c>
      <c r="U402" s="2" t="s">
        <v>266</v>
      </c>
      <c r="V402" s="2" t="s">
        <v>38</v>
      </c>
      <c r="W402" s="2" t="s">
        <v>35</v>
      </c>
      <c r="X402" s="2" t="s">
        <v>35</v>
      </c>
      <c r="Y402" s="2" t="s">
        <v>35</v>
      </c>
      <c r="Z402" s="2" t="b">
        <v>0</v>
      </c>
      <c r="AA402" s="2" t="s">
        <v>35</v>
      </c>
      <c r="AB402" s="2" t="s">
        <v>35</v>
      </c>
      <c r="AC402" s="2" t="s">
        <v>35</v>
      </c>
      <c r="AD402" s="2" t="s">
        <v>35</v>
      </c>
      <c r="AE402" s="2" t="s">
        <v>1117</v>
      </c>
      <c r="AF402" s="11">
        <v>44743.590972164355</v>
      </c>
      <c r="AG402" s="53"/>
      <c r="AH402" s="53" t="b">
        <f t="shared" si="19"/>
        <v>0</v>
      </c>
      <c r="AI402" s="54" t="str" cm="1">
        <f t="array" ref="AI402">TRANSPOSE(_xlfn._xlws.FILTER(images!L:L,images!F:F=Barrierenmessung!A402, ""))</f>
        <v>https://captureandgo.cloudlab.zhaw.ch/uploads/image_8fd695d505.jpg</v>
      </c>
      <c r="AJ402" s="2"/>
      <c r="AK402" s="2"/>
      <c r="AL402" s="2"/>
      <c r="AM402" s="2"/>
      <c r="AN402" s="2"/>
    </row>
    <row r="403" spans="1:40" ht="16" x14ac:dyDescent="0.2">
      <c r="A403" s="2" t="s">
        <v>1330</v>
      </c>
      <c r="B403" s="46">
        <v>402</v>
      </c>
      <c r="C403" s="2" t="b">
        <v>0</v>
      </c>
      <c r="D403" s="2" t="b">
        <v>0</v>
      </c>
      <c r="E403" s="2" t="b">
        <v>0</v>
      </c>
      <c r="F403" s="2" t="b">
        <v>0</v>
      </c>
      <c r="G403" s="2" t="s">
        <v>31</v>
      </c>
      <c r="H403" s="2" t="s">
        <v>1331</v>
      </c>
      <c r="I403" s="2" t="s">
        <v>1332</v>
      </c>
      <c r="J403" s="2" t="s">
        <v>35</v>
      </c>
      <c r="K403" s="2" t="s">
        <v>35</v>
      </c>
      <c r="L403" s="2">
        <v>5</v>
      </c>
      <c r="M403" s="2" t="s">
        <v>35</v>
      </c>
      <c r="N403" s="2" t="s">
        <v>35</v>
      </c>
      <c r="O403" s="11">
        <v>44743.70996847222</v>
      </c>
      <c r="P403" s="11">
        <v>44743.710147372687</v>
      </c>
      <c r="Q403" s="27">
        <f t="shared" si="18"/>
        <v>1.7890046729007736E-4</v>
      </c>
      <c r="R403" s="65">
        <f t="shared" si="20"/>
        <v>3.6126157647231594E-4</v>
      </c>
      <c r="S403" s="2">
        <v>0</v>
      </c>
      <c r="T403" s="2" t="s">
        <v>265</v>
      </c>
      <c r="U403" s="2" t="s">
        <v>266</v>
      </c>
      <c r="V403" s="2" t="s">
        <v>38</v>
      </c>
      <c r="W403" s="2" t="s">
        <v>35</v>
      </c>
      <c r="X403" s="2" t="s">
        <v>35</v>
      </c>
      <c r="Y403" s="2" t="s">
        <v>35</v>
      </c>
      <c r="Z403" s="2" t="b">
        <v>0</v>
      </c>
      <c r="AA403" s="2" t="s">
        <v>35</v>
      </c>
      <c r="AB403" s="2" t="s">
        <v>35</v>
      </c>
      <c r="AC403" s="2" t="s">
        <v>35</v>
      </c>
      <c r="AD403" s="2" t="s">
        <v>35</v>
      </c>
      <c r="AE403" s="2" t="s">
        <v>1117</v>
      </c>
      <c r="AF403" s="11">
        <v>44743.590972164355</v>
      </c>
      <c r="AG403" s="53"/>
      <c r="AH403" s="53" t="b">
        <f t="shared" si="19"/>
        <v>0</v>
      </c>
      <c r="AI403" s="54" t="str" cm="1">
        <f t="array" ref="AI403">TRANSPOSE(_xlfn._xlws.FILTER(images!L:L,images!F:F=Barrierenmessung!A403, ""))</f>
        <v>https://captureandgo.cloudlab.zhaw.ch/uploads/image_e96a292af5.jpg</v>
      </c>
      <c r="AJ403" s="2"/>
      <c r="AK403" s="2"/>
      <c r="AL403" s="2"/>
      <c r="AM403" s="2"/>
      <c r="AN403" s="2"/>
    </row>
    <row r="404" spans="1:40" ht="16" x14ac:dyDescent="0.2">
      <c r="A404" s="2" t="s">
        <v>1333</v>
      </c>
      <c r="B404" s="46">
        <v>403</v>
      </c>
      <c r="C404" s="2" t="b">
        <v>0</v>
      </c>
      <c r="D404" s="2" t="b">
        <v>0</v>
      </c>
      <c r="E404" s="2" t="b">
        <v>0</v>
      </c>
      <c r="F404" s="2" t="b">
        <v>0</v>
      </c>
      <c r="G404" s="2" t="s">
        <v>31</v>
      </c>
      <c r="H404" s="2" t="s">
        <v>1334</v>
      </c>
      <c r="I404" s="2" t="s">
        <v>1335</v>
      </c>
      <c r="J404" s="2" t="s">
        <v>1336</v>
      </c>
      <c r="K404" s="2" t="s">
        <v>35</v>
      </c>
      <c r="L404" s="2" t="s">
        <v>35</v>
      </c>
      <c r="M404" s="2" t="s">
        <v>35</v>
      </c>
      <c r="N404" s="2" t="s">
        <v>35</v>
      </c>
      <c r="O404" s="11">
        <v>44743.710730405095</v>
      </c>
      <c r="P404" s="11">
        <v>44743.71098520833</v>
      </c>
      <c r="Q404" s="27">
        <f t="shared" si="18"/>
        <v>2.5480323529336601E-4</v>
      </c>
      <c r="R404" s="65">
        <f t="shared" si="20"/>
        <v>8.3783564332406968E-4</v>
      </c>
      <c r="S404" s="2">
        <v>0</v>
      </c>
      <c r="T404" s="2" t="s">
        <v>36</v>
      </c>
      <c r="U404" s="2" t="s">
        <v>37</v>
      </c>
      <c r="V404" s="2" t="s">
        <v>38</v>
      </c>
      <c r="W404" s="2" t="s">
        <v>35</v>
      </c>
      <c r="X404" s="2" t="s">
        <v>35</v>
      </c>
      <c r="Y404" s="2" t="s">
        <v>35</v>
      </c>
      <c r="Z404" s="2" t="b">
        <v>0</v>
      </c>
      <c r="AA404" s="2" t="s">
        <v>35</v>
      </c>
      <c r="AB404" s="2" t="s">
        <v>35</v>
      </c>
      <c r="AC404" s="2">
        <v>4</v>
      </c>
      <c r="AD404" s="2" t="s">
        <v>35</v>
      </c>
      <c r="AE404" s="2" t="s">
        <v>1117</v>
      </c>
      <c r="AF404" s="11">
        <v>44743.590972164355</v>
      </c>
      <c r="AG404" s="53"/>
      <c r="AH404" s="53" t="b">
        <f t="shared" si="19"/>
        <v>0</v>
      </c>
      <c r="AI404" s="54" t="str" cm="1">
        <f t="array" ref="AI404">TRANSPOSE(_xlfn._xlws.FILTER(images!L:L,images!F:F=Barrierenmessung!A404, ""))</f>
        <v>https://captureandgo.cloudlab.zhaw.ch/uploads/image_1e3da3cd87.jpg</v>
      </c>
      <c r="AJ404" s="2"/>
      <c r="AK404" s="2"/>
      <c r="AL404" s="2"/>
      <c r="AM404" s="2"/>
      <c r="AN404" s="2"/>
    </row>
    <row r="405" spans="1:40" ht="16" x14ac:dyDescent="0.2">
      <c r="A405" s="2" t="s">
        <v>1337</v>
      </c>
      <c r="B405" s="46">
        <v>404</v>
      </c>
      <c r="C405" s="2" t="b">
        <v>0</v>
      </c>
      <c r="D405" s="2" t="b">
        <v>0</v>
      </c>
      <c r="E405" s="2" t="b">
        <v>0</v>
      </c>
      <c r="F405" s="2" t="b">
        <v>0</v>
      </c>
      <c r="G405" s="2" t="s">
        <v>31</v>
      </c>
      <c r="H405" s="2" t="s">
        <v>1338</v>
      </c>
      <c r="I405" s="2" t="s">
        <v>1339</v>
      </c>
      <c r="J405" s="2" t="s">
        <v>662</v>
      </c>
      <c r="K405" s="2" t="s">
        <v>35</v>
      </c>
      <c r="L405" s="2" t="s">
        <v>35</v>
      </c>
      <c r="M405" s="2" t="s">
        <v>35</v>
      </c>
      <c r="N405" s="2" t="s">
        <v>35</v>
      </c>
      <c r="O405" s="11">
        <v>44743.711198645833</v>
      </c>
      <c r="P405" s="11">
        <v>44743.711436967591</v>
      </c>
      <c r="Q405" s="27">
        <f t="shared" si="18"/>
        <v>2.3832175793359056E-4</v>
      </c>
      <c r="R405" s="65">
        <f t="shared" si="20"/>
        <v>4.5175926061347127E-4</v>
      </c>
      <c r="S405" s="2">
        <v>0</v>
      </c>
      <c r="T405" s="2" t="s">
        <v>36</v>
      </c>
      <c r="U405" s="2" t="s">
        <v>37</v>
      </c>
      <c r="V405" s="2" t="s">
        <v>38</v>
      </c>
      <c r="W405" s="2" t="s">
        <v>35</v>
      </c>
      <c r="X405" s="2" t="s">
        <v>35</v>
      </c>
      <c r="Y405" s="2" t="s">
        <v>35</v>
      </c>
      <c r="Z405" s="2" t="b">
        <v>0</v>
      </c>
      <c r="AA405" s="2" t="s">
        <v>35</v>
      </c>
      <c r="AB405" s="2" t="s">
        <v>35</v>
      </c>
      <c r="AC405" s="2">
        <v>10</v>
      </c>
      <c r="AD405" s="2" t="s">
        <v>35</v>
      </c>
      <c r="AE405" s="2" t="s">
        <v>1117</v>
      </c>
      <c r="AF405" s="11">
        <v>44743.590972164355</v>
      </c>
      <c r="AG405" s="53"/>
      <c r="AH405" s="53" t="b">
        <f t="shared" si="19"/>
        <v>0</v>
      </c>
      <c r="AI405" s="54" t="str" cm="1">
        <f t="array" ref="AI405">TRANSPOSE(_xlfn._xlws.FILTER(images!L:L,images!F:F=Barrierenmessung!A405, ""))</f>
        <v>https://captureandgo.cloudlab.zhaw.ch/uploads/image_6e4b851c28.jpg</v>
      </c>
      <c r="AJ405" s="2"/>
      <c r="AK405" s="2"/>
      <c r="AL405" s="2"/>
      <c r="AM405" s="2"/>
      <c r="AN405" s="2"/>
    </row>
    <row r="406" spans="1:40" ht="16" x14ac:dyDescent="0.2">
      <c r="A406" s="2" t="s">
        <v>1340</v>
      </c>
      <c r="B406" s="46">
        <v>405</v>
      </c>
      <c r="C406" s="2" t="b">
        <v>0</v>
      </c>
      <c r="D406" s="2" t="b">
        <v>0</v>
      </c>
      <c r="E406" s="2" t="b">
        <v>0</v>
      </c>
      <c r="F406" s="2" t="b">
        <v>0</v>
      </c>
      <c r="G406" s="2" t="s">
        <v>31</v>
      </c>
      <c r="H406" s="2" t="s">
        <v>1341</v>
      </c>
      <c r="I406" s="2" t="s">
        <v>1342</v>
      </c>
      <c r="J406" s="2" t="s">
        <v>35</v>
      </c>
      <c r="K406" s="2" t="s">
        <v>35</v>
      </c>
      <c r="L406" s="2" t="s">
        <v>35</v>
      </c>
      <c r="M406" s="2">
        <v>3</v>
      </c>
      <c r="N406" s="2">
        <v>15</v>
      </c>
      <c r="O406" s="11">
        <v>44743.711597326386</v>
      </c>
      <c r="P406" s="11">
        <v>44743.711746423614</v>
      </c>
      <c r="Q406" s="27">
        <f t="shared" si="18"/>
        <v>1.4909722813172266E-4</v>
      </c>
      <c r="R406" s="65">
        <f t="shared" si="20"/>
        <v>3.0945602338761091E-4</v>
      </c>
      <c r="S406" s="2">
        <v>0</v>
      </c>
      <c r="T406" s="2" t="s">
        <v>54</v>
      </c>
      <c r="U406" s="2" t="s">
        <v>55</v>
      </c>
      <c r="V406" s="2" t="s">
        <v>38</v>
      </c>
      <c r="W406" s="2" t="s">
        <v>35</v>
      </c>
      <c r="X406" s="2" t="s">
        <v>35</v>
      </c>
      <c r="Y406" s="2" t="s">
        <v>35</v>
      </c>
      <c r="Z406" s="2" t="b">
        <v>0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2" t="s">
        <v>1117</v>
      </c>
      <c r="AF406" s="11">
        <v>44743.590972164355</v>
      </c>
      <c r="AG406" s="53"/>
      <c r="AH406" s="53" t="b">
        <f t="shared" si="19"/>
        <v>0</v>
      </c>
      <c r="AI406" s="54" t="str" cm="1">
        <f t="array" ref="AI406">TRANSPOSE(_xlfn._xlws.FILTER(images!L:L,images!F:F=Barrierenmessung!A406, ""))</f>
        <v>https://captureandgo.cloudlab.zhaw.ch/uploads/image_1c6a2ff8b4.jpg</v>
      </c>
      <c r="AJ406" s="2"/>
      <c r="AK406" s="2"/>
      <c r="AL406" s="2"/>
      <c r="AM406" s="2"/>
      <c r="AN406" s="2"/>
    </row>
    <row r="407" spans="1:40" ht="16" x14ac:dyDescent="0.2">
      <c r="A407" s="2" t="s">
        <v>1343</v>
      </c>
      <c r="B407" s="46">
        <v>406</v>
      </c>
      <c r="C407" s="2" t="b">
        <v>0</v>
      </c>
      <c r="D407" s="2" t="b">
        <v>0</v>
      </c>
      <c r="E407" s="2" t="b">
        <v>0</v>
      </c>
      <c r="F407" s="2" t="b">
        <v>0</v>
      </c>
      <c r="G407" s="2" t="s">
        <v>31</v>
      </c>
      <c r="H407" s="2" t="s">
        <v>1344</v>
      </c>
      <c r="I407" s="2" t="s">
        <v>1345</v>
      </c>
      <c r="J407" s="2" t="s">
        <v>35</v>
      </c>
      <c r="K407" s="2" t="s">
        <v>35</v>
      </c>
      <c r="L407" s="2" t="s">
        <v>35</v>
      </c>
      <c r="M407" s="2">
        <v>6</v>
      </c>
      <c r="N407" s="2">
        <v>15</v>
      </c>
      <c r="O407" s="11">
        <v>44743.712067499997</v>
      </c>
      <c r="P407" s="11">
        <v>44743.71236420139</v>
      </c>
      <c r="Q407" s="27">
        <f t="shared" si="18"/>
        <v>2.9670139338122681E-4</v>
      </c>
      <c r="R407" s="65">
        <f t="shared" si="20"/>
        <v>6.1777777591487393E-4</v>
      </c>
      <c r="S407" s="2">
        <v>0</v>
      </c>
      <c r="T407" s="2" t="s">
        <v>54</v>
      </c>
      <c r="U407" s="2" t="s">
        <v>55</v>
      </c>
      <c r="V407" s="2" t="s">
        <v>38</v>
      </c>
      <c r="W407" s="2" t="s">
        <v>35</v>
      </c>
      <c r="X407" s="2" t="s">
        <v>35</v>
      </c>
      <c r="Y407" s="2" t="s">
        <v>35</v>
      </c>
      <c r="Z407" s="2" t="b">
        <v>0</v>
      </c>
      <c r="AA407" s="2" t="s">
        <v>35</v>
      </c>
      <c r="AB407" s="2" t="s">
        <v>35</v>
      </c>
      <c r="AC407" s="2" t="s">
        <v>35</v>
      </c>
      <c r="AD407" s="2" t="s">
        <v>35</v>
      </c>
      <c r="AE407" s="2" t="s">
        <v>1117</v>
      </c>
      <c r="AF407" s="11">
        <v>44743.590972164355</v>
      </c>
      <c r="AG407" s="53"/>
      <c r="AH407" s="53" t="b">
        <f t="shared" si="19"/>
        <v>0</v>
      </c>
      <c r="AI407" s="54" t="str" cm="1">
        <f t="array" ref="AI407">TRANSPOSE(_xlfn._xlws.FILTER(images!L:L,images!F:F=Barrierenmessung!A407, ""))</f>
        <v>https://captureandgo.cloudlab.zhaw.ch/uploads/image_c1b22f60eb.jpg</v>
      </c>
      <c r="AJ407" s="2"/>
      <c r="AK407" s="2"/>
      <c r="AL407" s="2"/>
      <c r="AM407" s="2"/>
      <c r="AN407" s="2"/>
    </row>
    <row r="408" spans="1:40" ht="16" x14ac:dyDescent="0.2">
      <c r="A408" s="2" t="s">
        <v>1346</v>
      </c>
      <c r="B408" s="46">
        <v>407</v>
      </c>
      <c r="C408" s="2" t="b">
        <v>0</v>
      </c>
      <c r="D408" s="2" t="b">
        <v>0</v>
      </c>
      <c r="E408" s="2" t="b">
        <v>0</v>
      </c>
      <c r="F408" s="2" t="b">
        <v>0</v>
      </c>
      <c r="G408" s="2" t="s">
        <v>31</v>
      </c>
      <c r="H408" s="2" t="s">
        <v>1347</v>
      </c>
      <c r="I408" s="2" t="s">
        <v>1348</v>
      </c>
      <c r="J408" s="2" t="s">
        <v>1349</v>
      </c>
      <c r="K408" s="2" t="s">
        <v>35</v>
      </c>
      <c r="L408" s="2" t="s">
        <v>35</v>
      </c>
      <c r="M408" s="2" t="s">
        <v>35</v>
      </c>
      <c r="N408" s="2" t="s">
        <v>35</v>
      </c>
      <c r="O408" s="11">
        <v>44743.712671053239</v>
      </c>
      <c r="P408" s="11">
        <v>44743.713663541668</v>
      </c>
      <c r="Q408" s="27">
        <f t="shared" si="18"/>
        <v>9.9248842889210209E-4</v>
      </c>
      <c r="R408" s="65">
        <f t="shared" si="20"/>
        <v>1.2993402779102325E-3</v>
      </c>
      <c r="S408" s="2">
        <v>0</v>
      </c>
      <c r="T408" s="2" t="s">
        <v>36</v>
      </c>
      <c r="U408" s="2" t="s">
        <v>37</v>
      </c>
      <c r="V408" s="2" t="s">
        <v>38</v>
      </c>
      <c r="W408" s="2" t="s">
        <v>35</v>
      </c>
      <c r="X408" s="2" t="s">
        <v>35</v>
      </c>
      <c r="Y408" s="2" t="s">
        <v>35</v>
      </c>
      <c r="Z408" s="2" t="b">
        <v>0</v>
      </c>
      <c r="AA408" s="2" t="s">
        <v>35</v>
      </c>
      <c r="AB408" s="2" t="s">
        <v>35</v>
      </c>
      <c r="AC408" s="2">
        <v>4</v>
      </c>
      <c r="AD408" s="2">
        <v>3</v>
      </c>
      <c r="AE408" s="2" t="s">
        <v>1117</v>
      </c>
      <c r="AF408" s="11">
        <v>44743.590972164355</v>
      </c>
      <c r="AG408" s="53"/>
      <c r="AH408" s="53" t="b">
        <f t="shared" si="19"/>
        <v>0</v>
      </c>
      <c r="AI408" s="54" t="str" cm="1">
        <f t="array" ref="AI408:AK408">TRANSPOSE(_xlfn._xlws.FILTER(images!L:L,images!F:F=Barrierenmessung!A408, ""))</f>
        <v>https://captureandgo.cloudlab.zhaw.ch/uploads/image_c0e7a9b309.jpg</v>
      </c>
      <c r="AJ408" s="2" t="str">
        <v>https://captureandgo.cloudlab.zhaw.ch/uploads/image_72c9789ce4.jpg</v>
      </c>
      <c r="AK408" s="2" t="str">
        <v>https://captureandgo.cloudlab.zhaw.ch/uploads/image_3300be4ccf.jpg</v>
      </c>
      <c r="AL408" s="2"/>
      <c r="AM408" s="2"/>
      <c r="AN408" s="2"/>
    </row>
    <row r="409" spans="1:40" ht="16" x14ac:dyDescent="0.2">
      <c r="A409" s="2" t="s">
        <v>1350</v>
      </c>
      <c r="B409" s="46">
        <v>408</v>
      </c>
      <c r="C409" s="2" t="b">
        <v>0</v>
      </c>
      <c r="D409" s="2" t="b">
        <v>0</v>
      </c>
      <c r="E409" s="2" t="b">
        <v>0</v>
      </c>
      <c r="F409" s="2" t="b">
        <v>0</v>
      </c>
      <c r="G409" s="2" t="s">
        <v>31</v>
      </c>
      <c r="H409" s="2" t="s">
        <v>1351</v>
      </c>
      <c r="I409" s="2" t="s">
        <v>1352</v>
      </c>
      <c r="J409" s="2" t="s">
        <v>35</v>
      </c>
      <c r="K409" s="2" t="s">
        <v>35</v>
      </c>
      <c r="L409" s="2" t="s">
        <v>35</v>
      </c>
      <c r="M409" s="2">
        <v>2</v>
      </c>
      <c r="N409" s="2">
        <v>13</v>
      </c>
      <c r="O409" s="11">
        <v>44743.713824456019</v>
      </c>
      <c r="P409" s="11">
        <v>44743.714252685182</v>
      </c>
      <c r="Q409" s="27">
        <f t="shared" si="18"/>
        <v>4.2822916293516755E-4</v>
      </c>
      <c r="R409" s="65">
        <f t="shared" si="20"/>
        <v>5.8914351393468678E-4</v>
      </c>
      <c r="S409" s="2">
        <v>0</v>
      </c>
      <c r="T409" s="2" t="s">
        <v>54</v>
      </c>
      <c r="U409" s="2" t="s">
        <v>55</v>
      </c>
      <c r="V409" s="2" t="s">
        <v>38</v>
      </c>
      <c r="W409" s="2" t="s">
        <v>35</v>
      </c>
      <c r="X409" s="2" t="s">
        <v>35</v>
      </c>
      <c r="Y409" s="2" t="s">
        <v>35</v>
      </c>
      <c r="Z409" s="2" t="b">
        <v>0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2" t="s">
        <v>1117</v>
      </c>
      <c r="AF409" s="11">
        <v>44743.590972164355</v>
      </c>
      <c r="AG409" s="53"/>
      <c r="AH409" s="53" t="b">
        <f t="shared" si="19"/>
        <v>0</v>
      </c>
      <c r="AI409" s="54" t="str" cm="1">
        <f t="array" ref="AI409">TRANSPOSE(_xlfn._xlws.FILTER(images!L:L,images!F:F=Barrierenmessung!A409, ""))</f>
        <v>https://captureandgo.cloudlab.zhaw.ch/uploads/image_b522bc248f.jpg</v>
      </c>
      <c r="AJ409" s="2"/>
      <c r="AK409" s="2"/>
      <c r="AL409" s="2"/>
      <c r="AM409" s="2"/>
      <c r="AN409" s="2"/>
    </row>
    <row r="410" spans="1:40" ht="16" x14ac:dyDescent="0.2">
      <c r="A410" s="2" t="s">
        <v>1353</v>
      </c>
      <c r="B410" s="46">
        <v>409</v>
      </c>
      <c r="C410" s="2" t="b">
        <v>0</v>
      </c>
      <c r="D410" s="2" t="b">
        <v>0</v>
      </c>
      <c r="E410" s="2" t="b">
        <v>0</v>
      </c>
      <c r="F410" s="2" t="b">
        <v>0</v>
      </c>
      <c r="G410" s="2" t="s">
        <v>31</v>
      </c>
      <c r="H410" s="2" t="s">
        <v>1354</v>
      </c>
      <c r="I410" s="2" t="s">
        <v>1355</v>
      </c>
      <c r="J410" s="2" t="s">
        <v>1313</v>
      </c>
      <c r="K410" s="2" t="s">
        <v>35</v>
      </c>
      <c r="L410" s="2" t="s">
        <v>35</v>
      </c>
      <c r="M410" s="2" t="s">
        <v>35</v>
      </c>
      <c r="N410" s="2" t="s">
        <v>35</v>
      </c>
      <c r="O410" s="11">
        <v>44743.714273645834</v>
      </c>
      <c r="P410" s="11">
        <v>44743.714589386575</v>
      </c>
      <c r="Q410" s="27">
        <f t="shared" si="18"/>
        <v>3.1574074091622606E-4</v>
      </c>
      <c r="R410" s="65">
        <f t="shared" si="20"/>
        <v>3.3670139237074181E-4</v>
      </c>
      <c r="S410" s="2">
        <v>0</v>
      </c>
      <c r="T410" s="2" t="s">
        <v>36</v>
      </c>
      <c r="U410" s="2" t="s">
        <v>37</v>
      </c>
      <c r="V410" s="2" t="s">
        <v>38</v>
      </c>
      <c r="W410" s="2" t="s">
        <v>35</v>
      </c>
      <c r="X410" s="2" t="s">
        <v>35</v>
      </c>
      <c r="Y410" s="2" t="s">
        <v>35</v>
      </c>
      <c r="Z410" s="2" t="b">
        <v>0</v>
      </c>
      <c r="AA410" s="2" t="s">
        <v>35</v>
      </c>
      <c r="AB410" s="2" t="s">
        <v>35</v>
      </c>
      <c r="AC410" s="2">
        <v>9</v>
      </c>
      <c r="AD410" s="2" t="s">
        <v>35</v>
      </c>
      <c r="AE410" s="2" t="s">
        <v>1117</v>
      </c>
      <c r="AF410" s="11">
        <v>44743.590972164355</v>
      </c>
      <c r="AG410" s="53"/>
      <c r="AH410" s="53" t="b">
        <f t="shared" si="19"/>
        <v>0</v>
      </c>
      <c r="AI410" s="54" t="str" cm="1">
        <f t="array" ref="AI410">TRANSPOSE(_xlfn._xlws.FILTER(images!L:L,images!F:F=Barrierenmessung!A410, ""))</f>
        <v>https://captureandgo.cloudlab.zhaw.ch/uploads/image_3995456074.jpg</v>
      </c>
      <c r="AJ410" s="2"/>
      <c r="AK410" s="2"/>
      <c r="AL410" s="2"/>
      <c r="AM410" s="2"/>
      <c r="AN410" s="2"/>
    </row>
    <row r="411" spans="1:40" ht="16" x14ac:dyDescent="0.2">
      <c r="A411" s="2" t="s">
        <v>1356</v>
      </c>
      <c r="B411" s="46">
        <v>410</v>
      </c>
      <c r="C411" s="2" t="b">
        <v>0</v>
      </c>
      <c r="D411" s="2" t="b">
        <v>0</v>
      </c>
      <c r="E411" s="2" t="b">
        <v>0</v>
      </c>
      <c r="F411" s="2" t="b">
        <v>0</v>
      </c>
      <c r="G411" s="2" t="s">
        <v>31</v>
      </c>
      <c r="H411" s="2" t="s">
        <v>1357</v>
      </c>
      <c r="I411" s="2" t="s">
        <v>1358</v>
      </c>
      <c r="J411" s="2" t="s">
        <v>35</v>
      </c>
      <c r="K411" s="2" t="s">
        <v>35</v>
      </c>
      <c r="L411" s="2" t="s">
        <v>35</v>
      </c>
      <c r="M411" s="2" t="s">
        <v>35</v>
      </c>
      <c r="N411" s="2" t="s">
        <v>35</v>
      </c>
      <c r="O411" s="11">
        <v>44743.715229629626</v>
      </c>
      <c r="P411" s="11">
        <v>44743.715337534719</v>
      </c>
      <c r="Q411" s="27">
        <f t="shared" si="18"/>
        <v>1.0790509259095415E-4</v>
      </c>
      <c r="R411" s="65">
        <f t="shared" si="20"/>
        <v>7.4814814433921129E-4</v>
      </c>
      <c r="S411" s="2">
        <v>0</v>
      </c>
      <c r="T411" s="2" t="s">
        <v>36</v>
      </c>
      <c r="U411" s="2" t="s">
        <v>37</v>
      </c>
      <c r="V411" s="2" t="s">
        <v>38</v>
      </c>
      <c r="W411" s="2" t="s">
        <v>35</v>
      </c>
      <c r="X411" s="2" t="s">
        <v>35</v>
      </c>
      <c r="Y411" s="2" t="s">
        <v>35</v>
      </c>
      <c r="Z411" s="2" t="b">
        <v>0</v>
      </c>
      <c r="AA411" s="2" t="s">
        <v>35</v>
      </c>
      <c r="AB411" s="2" t="s">
        <v>35</v>
      </c>
      <c r="AC411" s="2" t="s">
        <v>35</v>
      </c>
      <c r="AD411" s="2">
        <v>3</v>
      </c>
      <c r="AE411" s="2" t="s">
        <v>1117</v>
      </c>
      <c r="AF411" s="11">
        <v>44743.590972164355</v>
      </c>
      <c r="AG411" s="53"/>
      <c r="AH411" s="53" t="b">
        <f t="shared" si="19"/>
        <v>0</v>
      </c>
      <c r="AI411" s="54" t="str" cm="1">
        <f t="array" ref="AI411">TRANSPOSE(_xlfn._xlws.FILTER(images!L:L,images!F:F=Barrierenmessung!A411, ""))</f>
        <v>https://captureandgo.cloudlab.zhaw.ch/uploads/image_7cb01dd3d4.jpg</v>
      </c>
      <c r="AJ411" s="2"/>
      <c r="AK411" s="2"/>
      <c r="AL411" s="2"/>
      <c r="AM411" s="2"/>
      <c r="AN411" s="2"/>
    </row>
    <row r="412" spans="1:40" ht="16" x14ac:dyDescent="0.2">
      <c r="A412" s="2" t="s">
        <v>1359</v>
      </c>
      <c r="B412" s="46">
        <v>411</v>
      </c>
      <c r="C412" s="2" t="b">
        <v>0</v>
      </c>
      <c r="D412" s="2" t="b">
        <v>0</v>
      </c>
      <c r="E412" s="2" t="b">
        <v>0</v>
      </c>
      <c r="F412" s="2" t="b">
        <v>0</v>
      </c>
      <c r="G412" s="2" t="s">
        <v>31</v>
      </c>
      <c r="H412" s="2" t="s">
        <v>1360</v>
      </c>
      <c r="I412" s="2" t="s">
        <v>1361</v>
      </c>
      <c r="J412" s="2" t="s">
        <v>662</v>
      </c>
      <c r="K412" s="2" t="s">
        <v>35</v>
      </c>
      <c r="L412" s="2" t="s">
        <v>35</v>
      </c>
      <c r="M412" s="2" t="s">
        <v>35</v>
      </c>
      <c r="N412" s="2" t="s">
        <v>35</v>
      </c>
      <c r="O412" s="11">
        <v>44743.715468078706</v>
      </c>
      <c r="P412" s="11">
        <v>44743.71650790509</v>
      </c>
      <c r="Q412" s="27">
        <f t="shared" si="18"/>
        <v>1.039826383930631E-3</v>
      </c>
      <c r="R412" s="65">
        <f t="shared" si="20"/>
        <v>1.170370371255558E-3</v>
      </c>
      <c r="S412" s="2">
        <v>0</v>
      </c>
      <c r="T412" s="2" t="s">
        <v>36</v>
      </c>
      <c r="U412" s="2" t="s">
        <v>37</v>
      </c>
      <c r="V412" s="2" t="s">
        <v>38</v>
      </c>
      <c r="W412" s="2" t="s">
        <v>35</v>
      </c>
      <c r="X412" s="2" t="s">
        <v>35</v>
      </c>
      <c r="Y412" s="2" t="s">
        <v>35</v>
      </c>
      <c r="Z412" s="2" t="b">
        <v>0</v>
      </c>
      <c r="AA412" s="2" t="s">
        <v>35</v>
      </c>
      <c r="AB412" s="2" t="s">
        <v>35</v>
      </c>
      <c r="AC412" s="2">
        <v>9</v>
      </c>
      <c r="AD412" s="2" t="s">
        <v>35</v>
      </c>
      <c r="AE412" s="2" t="s">
        <v>1117</v>
      </c>
      <c r="AF412" s="11">
        <v>44743.590972164355</v>
      </c>
      <c r="AG412" s="53"/>
      <c r="AH412" s="53" t="b">
        <f t="shared" si="19"/>
        <v>0</v>
      </c>
      <c r="AI412" s="54" t="str" cm="1">
        <f t="array" ref="AI412">TRANSPOSE(_xlfn._xlws.FILTER(images!L:L,images!F:F=Barrierenmessung!A412, ""))</f>
        <v>https://captureandgo.cloudlab.zhaw.ch/uploads/image_d170a032da.jpg</v>
      </c>
      <c r="AJ412" s="2"/>
      <c r="AK412" s="2"/>
      <c r="AL412" s="2"/>
      <c r="AM412" s="2"/>
      <c r="AN412" s="2"/>
    </row>
    <row r="413" spans="1:40" ht="16" x14ac:dyDescent="0.2">
      <c r="A413" s="2" t="s">
        <v>1362</v>
      </c>
      <c r="B413" s="46">
        <v>412</v>
      </c>
      <c r="C413" s="2" t="b">
        <v>0</v>
      </c>
      <c r="D413" s="2" t="b">
        <v>0</v>
      </c>
      <c r="E413" s="2" t="b">
        <v>0</v>
      </c>
      <c r="F413" s="2" t="b">
        <v>0</v>
      </c>
      <c r="G413" s="2" t="s">
        <v>31</v>
      </c>
      <c r="H413" s="2" t="s">
        <v>1363</v>
      </c>
      <c r="I413" s="2" t="s">
        <v>1364</v>
      </c>
      <c r="J413" s="2" t="s">
        <v>662</v>
      </c>
      <c r="K413" s="2" t="s">
        <v>35</v>
      </c>
      <c r="L413" s="2" t="s">
        <v>35</v>
      </c>
      <c r="M413" s="2" t="s">
        <v>35</v>
      </c>
      <c r="N413" s="2" t="s">
        <v>35</v>
      </c>
      <c r="O413" s="11">
        <v>44743.717036458336</v>
      </c>
      <c r="P413" s="11">
        <v>44743.717329895837</v>
      </c>
      <c r="Q413" s="27">
        <f t="shared" si="18"/>
        <v>2.9343750065891072E-4</v>
      </c>
      <c r="R413" s="65">
        <f t="shared" si="20"/>
        <v>8.2199074677191675E-4</v>
      </c>
      <c r="S413" s="2">
        <v>0</v>
      </c>
      <c r="T413" s="2" t="s">
        <v>36</v>
      </c>
      <c r="U413" s="2" t="s">
        <v>37</v>
      </c>
      <c r="V413" s="2" t="s">
        <v>38</v>
      </c>
      <c r="W413" s="2" t="s">
        <v>35</v>
      </c>
      <c r="X413" s="2" t="s">
        <v>35</v>
      </c>
      <c r="Y413" s="2" t="s">
        <v>35</v>
      </c>
      <c r="Z413" s="2" t="b">
        <v>0</v>
      </c>
      <c r="AA413" s="2" t="s">
        <v>35</v>
      </c>
      <c r="AB413" s="2" t="s">
        <v>35</v>
      </c>
      <c r="AC413" s="2">
        <v>5</v>
      </c>
      <c r="AD413" s="2" t="s">
        <v>35</v>
      </c>
      <c r="AE413" s="2" t="s">
        <v>1117</v>
      </c>
      <c r="AF413" s="11">
        <v>44743.590972164355</v>
      </c>
      <c r="AG413" s="53"/>
      <c r="AH413" s="53" t="b">
        <f t="shared" si="19"/>
        <v>0</v>
      </c>
      <c r="AI413" s="54" t="str" cm="1">
        <f t="array" ref="AI413">TRANSPOSE(_xlfn._xlws.FILTER(images!L:L,images!F:F=Barrierenmessung!A413, ""))</f>
        <v>https://captureandgo.cloudlab.zhaw.ch/uploads/image_ee71bae5e1.jpg</v>
      </c>
      <c r="AJ413" s="2"/>
      <c r="AK413" s="2"/>
      <c r="AL413" s="2"/>
      <c r="AM413" s="2"/>
      <c r="AN413" s="2"/>
    </row>
    <row r="414" spans="1:40" ht="16" x14ac:dyDescent="0.2">
      <c r="A414" s="2" t="s">
        <v>1365</v>
      </c>
      <c r="B414" s="46">
        <v>413</v>
      </c>
      <c r="C414" s="2" t="b">
        <v>0</v>
      </c>
      <c r="D414" s="2" t="b">
        <v>0</v>
      </c>
      <c r="E414" s="2" t="b">
        <v>0</v>
      </c>
      <c r="F414" s="2" t="b">
        <v>0</v>
      </c>
      <c r="G414" s="2" t="s">
        <v>31</v>
      </c>
      <c r="H414" s="2" t="s">
        <v>1366</v>
      </c>
      <c r="I414" s="2" t="s">
        <v>1367</v>
      </c>
      <c r="J414" s="2" t="s">
        <v>35</v>
      </c>
      <c r="K414" s="2" t="s">
        <v>35</v>
      </c>
      <c r="L414" s="2" t="s">
        <v>35</v>
      </c>
      <c r="M414" s="2" t="s">
        <v>35</v>
      </c>
      <c r="N414" s="2" t="s">
        <v>35</v>
      </c>
      <c r="O414" s="11">
        <v>44743.717754710648</v>
      </c>
      <c r="P414" s="11">
        <v>44743.717971493053</v>
      </c>
      <c r="Q414" s="27">
        <f t="shared" si="18"/>
        <v>2.1678240591427311E-4</v>
      </c>
      <c r="R414" s="65">
        <f t="shared" si="20"/>
        <v>6.4159721659962088E-4</v>
      </c>
      <c r="S414" s="2">
        <v>0</v>
      </c>
      <c r="T414" s="2" t="s">
        <v>36</v>
      </c>
      <c r="U414" s="2" t="s">
        <v>37</v>
      </c>
      <c r="V414" s="2" t="s">
        <v>38</v>
      </c>
      <c r="W414" s="2" t="s">
        <v>35</v>
      </c>
      <c r="X414" s="2" t="s">
        <v>35</v>
      </c>
      <c r="Y414" s="2" t="s">
        <v>35</v>
      </c>
      <c r="Z414" s="2" t="b">
        <v>0</v>
      </c>
      <c r="AA414" s="2" t="s">
        <v>35</v>
      </c>
      <c r="AB414" s="2" t="s">
        <v>35</v>
      </c>
      <c r="AC414" s="2" t="s">
        <v>35</v>
      </c>
      <c r="AD414" s="2">
        <v>3</v>
      </c>
      <c r="AE414" s="2" t="s">
        <v>1117</v>
      </c>
      <c r="AF414" s="11">
        <v>44743.590972164355</v>
      </c>
      <c r="AG414" s="53"/>
      <c r="AH414" s="53" t="b">
        <f t="shared" si="19"/>
        <v>0</v>
      </c>
      <c r="AI414" s="54" t="str" cm="1">
        <f t="array" ref="AI414">TRANSPOSE(_xlfn._xlws.FILTER(images!L:L,images!F:F=Barrierenmessung!A414, ""))</f>
        <v>https://captureandgo.cloudlab.zhaw.ch/uploads/image_a01b751efd.jpg</v>
      </c>
      <c r="AJ414" s="2"/>
      <c r="AK414" s="2"/>
      <c r="AL414" s="2"/>
      <c r="AM414" s="2"/>
      <c r="AN414" s="2"/>
    </row>
    <row r="415" spans="1:40" ht="16" x14ac:dyDescent="0.2">
      <c r="A415" s="2" t="s">
        <v>1368</v>
      </c>
      <c r="B415" s="46">
        <v>414</v>
      </c>
      <c r="C415" s="2" t="b">
        <v>0</v>
      </c>
      <c r="D415" s="2" t="b">
        <v>0</v>
      </c>
      <c r="E415" s="2" t="b">
        <v>0</v>
      </c>
      <c r="F415" s="2" t="b">
        <v>0</v>
      </c>
      <c r="G415" s="2" t="s">
        <v>31</v>
      </c>
      <c r="H415" s="2" t="s">
        <v>1369</v>
      </c>
      <c r="I415" s="2" t="s">
        <v>1370</v>
      </c>
      <c r="J415" s="2" t="s">
        <v>662</v>
      </c>
      <c r="K415" s="2" t="s">
        <v>35</v>
      </c>
      <c r="L415" s="2" t="s">
        <v>35</v>
      </c>
      <c r="M415" s="2" t="s">
        <v>35</v>
      </c>
      <c r="N415" s="2" t="s">
        <v>35</v>
      </c>
      <c r="O415" s="11">
        <v>44743.718067986112</v>
      </c>
      <c r="P415" s="11">
        <v>44743.718477071758</v>
      </c>
      <c r="Q415" s="27">
        <f t="shared" si="18"/>
        <v>4.0908564551500604E-4</v>
      </c>
      <c r="R415" s="65">
        <f t="shared" si="20"/>
        <v>5.0557870417833328E-4</v>
      </c>
      <c r="S415" s="2">
        <v>0</v>
      </c>
      <c r="T415" s="2" t="s">
        <v>36</v>
      </c>
      <c r="U415" s="2" t="s">
        <v>37</v>
      </c>
      <c r="V415" s="2" t="s">
        <v>38</v>
      </c>
      <c r="W415" s="2" t="s">
        <v>35</v>
      </c>
      <c r="X415" s="2" t="s">
        <v>35</v>
      </c>
      <c r="Y415" s="2" t="s">
        <v>35</v>
      </c>
      <c r="Z415" s="2" t="b">
        <v>0</v>
      </c>
      <c r="AA415" s="2" t="s">
        <v>35</v>
      </c>
      <c r="AB415" s="2" t="s">
        <v>35</v>
      </c>
      <c r="AC415" s="2">
        <v>6</v>
      </c>
      <c r="AD415" s="2" t="s">
        <v>35</v>
      </c>
      <c r="AE415" s="2" t="s">
        <v>1117</v>
      </c>
      <c r="AF415" s="11">
        <v>44743.590972164355</v>
      </c>
      <c r="AG415" s="53"/>
      <c r="AH415" s="53" t="b">
        <f t="shared" si="19"/>
        <v>0</v>
      </c>
      <c r="AI415" s="54" t="str" cm="1">
        <f t="array" ref="AI415">TRANSPOSE(_xlfn._xlws.FILTER(images!L:L,images!F:F=Barrierenmessung!A415, ""))</f>
        <v>https://captureandgo.cloudlab.zhaw.ch/uploads/image_869703eed6.jpg</v>
      </c>
      <c r="AJ415" s="2"/>
      <c r="AK415" s="2"/>
      <c r="AL415" s="2"/>
      <c r="AM415" s="2"/>
      <c r="AN415" s="2"/>
    </row>
    <row r="416" spans="1:40" ht="16" x14ac:dyDescent="0.2">
      <c r="A416" s="2" t="s">
        <v>1371</v>
      </c>
      <c r="B416" s="46">
        <v>415</v>
      </c>
      <c r="C416" s="2" t="b">
        <v>0</v>
      </c>
      <c r="D416" s="2" t="b">
        <v>0</v>
      </c>
      <c r="E416" s="2" t="b">
        <v>0</v>
      </c>
      <c r="F416" s="2" t="b">
        <v>0</v>
      </c>
      <c r="G416" s="2" t="s">
        <v>31</v>
      </c>
      <c r="H416" s="2" t="s">
        <v>1372</v>
      </c>
      <c r="I416" s="2" t="s">
        <v>1373</v>
      </c>
      <c r="J416" s="2" t="s">
        <v>662</v>
      </c>
      <c r="K416" s="2" t="s">
        <v>35</v>
      </c>
      <c r="L416" s="2" t="s">
        <v>35</v>
      </c>
      <c r="M416" s="2" t="s">
        <v>35</v>
      </c>
      <c r="N416" s="2" t="s">
        <v>35</v>
      </c>
      <c r="O416" s="11">
        <v>44743.719262847226</v>
      </c>
      <c r="P416" s="11">
        <v>44743.719481643515</v>
      </c>
      <c r="Q416" s="27">
        <f t="shared" si="18"/>
        <v>2.1879628911847249E-4</v>
      </c>
      <c r="R416" s="65">
        <f t="shared" si="20"/>
        <v>1.0045717572211288E-3</v>
      </c>
      <c r="S416" s="2">
        <v>0</v>
      </c>
      <c r="T416" s="2" t="s">
        <v>36</v>
      </c>
      <c r="U416" s="2" t="s">
        <v>37</v>
      </c>
      <c r="V416" s="2" t="s">
        <v>38</v>
      </c>
      <c r="W416" s="2" t="s">
        <v>35</v>
      </c>
      <c r="X416" s="2" t="s">
        <v>35</v>
      </c>
      <c r="Y416" s="2" t="s">
        <v>35</v>
      </c>
      <c r="Z416" s="2" t="b">
        <v>0</v>
      </c>
      <c r="AA416" s="2" t="s">
        <v>35</v>
      </c>
      <c r="AB416" s="2" t="s">
        <v>35</v>
      </c>
      <c r="AC416" s="2">
        <v>4</v>
      </c>
      <c r="AD416" s="2" t="s">
        <v>35</v>
      </c>
      <c r="AE416" s="2" t="s">
        <v>1117</v>
      </c>
      <c r="AF416" s="11">
        <v>44743.590972164355</v>
      </c>
      <c r="AG416" s="53"/>
      <c r="AH416" s="53" t="b">
        <f t="shared" si="19"/>
        <v>0</v>
      </c>
      <c r="AI416" s="54" t="str" cm="1">
        <f t="array" ref="AI416">TRANSPOSE(_xlfn._xlws.FILTER(images!L:L,images!F:F=Barrierenmessung!A416, ""))</f>
        <v>https://captureandgo.cloudlab.zhaw.ch/uploads/image_e1f8846be0.jpg</v>
      </c>
      <c r="AJ416" s="2"/>
      <c r="AK416" s="2"/>
      <c r="AL416" s="2"/>
      <c r="AM416" s="2"/>
      <c r="AN416" s="2"/>
    </row>
    <row r="417" spans="1:40" ht="16" x14ac:dyDescent="0.2">
      <c r="A417" s="2" t="s">
        <v>1374</v>
      </c>
      <c r="B417" s="46">
        <v>416</v>
      </c>
      <c r="C417" s="2" t="b">
        <v>0</v>
      </c>
      <c r="D417" s="2" t="b">
        <v>0</v>
      </c>
      <c r="E417" s="2" t="b">
        <v>0</v>
      </c>
      <c r="F417" s="2" t="b">
        <v>0</v>
      </c>
      <c r="G417" s="2" t="s">
        <v>31</v>
      </c>
      <c r="H417" s="2" t="s">
        <v>1375</v>
      </c>
      <c r="I417" s="2" t="s">
        <v>1376</v>
      </c>
      <c r="J417" s="2" t="s">
        <v>662</v>
      </c>
      <c r="K417" s="2" t="s">
        <v>35</v>
      </c>
      <c r="L417" s="2" t="s">
        <v>35</v>
      </c>
      <c r="M417" s="2" t="s">
        <v>35</v>
      </c>
      <c r="N417" s="2" t="s">
        <v>35</v>
      </c>
      <c r="O417" s="11">
        <v>44743.719758784726</v>
      </c>
      <c r="P417" s="11">
        <v>44743.719990659723</v>
      </c>
      <c r="Q417" s="27">
        <f t="shared" si="18"/>
        <v>2.3187499755294994E-4</v>
      </c>
      <c r="R417" s="65">
        <f t="shared" si="20"/>
        <v>5.090162085252814E-4</v>
      </c>
      <c r="S417" s="2">
        <v>0</v>
      </c>
      <c r="T417" s="2" t="s">
        <v>36</v>
      </c>
      <c r="U417" s="2" t="s">
        <v>37</v>
      </c>
      <c r="V417" s="2" t="s">
        <v>38</v>
      </c>
      <c r="W417" s="2" t="s">
        <v>35</v>
      </c>
      <c r="X417" s="2" t="s">
        <v>35</v>
      </c>
      <c r="Y417" s="2" t="s">
        <v>35</v>
      </c>
      <c r="Z417" s="2" t="b">
        <v>0</v>
      </c>
      <c r="AA417" s="2" t="s">
        <v>35</v>
      </c>
      <c r="AB417" s="2" t="s">
        <v>35</v>
      </c>
      <c r="AC417" s="2">
        <v>4</v>
      </c>
      <c r="AD417" s="2" t="s">
        <v>35</v>
      </c>
      <c r="AE417" s="2" t="s">
        <v>1117</v>
      </c>
      <c r="AF417" s="11">
        <v>44743.590972164355</v>
      </c>
      <c r="AG417" s="53"/>
      <c r="AH417" s="53" t="b">
        <f t="shared" si="19"/>
        <v>0</v>
      </c>
      <c r="AI417" s="54" t="str" cm="1">
        <f t="array" ref="AI417">TRANSPOSE(_xlfn._xlws.FILTER(images!L:L,images!F:F=Barrierenmessung!A417, ""))</f>
        <v>https://captureandgo.cloudlab.zhaw.ch/uploads/image_97910cfcb9.jpg</v>
      </c>
      <c r="AJ417" s="2"/>
      <c r="AK417" s="2"/>
      <c r="AL417" s="2"/>
      <c r="AM417" s="2"/>
      <c r="AN417" s="2"/>
    </row>
    <row r="418" spans="1:40" ht="16" x14ac:dyDescent="0.2">
      <c r="A418" s="2" t="s">
        <v>1377</v>
      </c>
      <c r="B418" s="46">
        <v>417</v>
      </c>
      <c r="C418" s="2" t="b">
        <v>0</v>
      </c>
      <c r="D418" s="2" t="b">
        <v>0</v>
      </c>
      <c r="E418" s="2" t="b">
        <v>0</v>
      </c>
      <c r="F418" s="2" t="b">
        <v>0</v>
      </c>
      <c r="G418" s="2" t="s">
        <v>31</v>
      </c>
      <c r="H418" s="2" t="s">
        <v>1378</v>
      </c>
      <c r="I418" s="2" t="s">
        <v>1379</v>
      </c>
      <c r="J418" s="2" t="s">
        <v>35</v>
      </c>
      <c r="K418" s="2" t="s">
        <v>35</v>
      </c>
      <c r="L418" s="2" t="s">
        <v>35</v>
      </c>
      <c r="M418" s="2" t="s">
        <v>35</v>
      </c>
      <c r="N418" s="2" t="s">
        <v>35</v>
      </c>
      <c r="O418" s="11">
        <v>44743.720656990743</v>
      </c>
      <c r="P418" s="11">
        <v>44743.720811481478</v>
      </c>
      <c r="Q418" s="27">
        <f t="shared" si="18"/>
        <v>1.5449073544004932E-4</v>
      </c>
      <c r="R418" s="65">
        <f t="shared" si="20"/>
        <v>8.2082175504183397E-4</v>
      </c>
      <c r="S418" s="2">
        <v>0</v>
      </c>
      <c r="T418" s="2" t="s">
        <v>36</v>
      </c>
      <c r="U418" s="2" t="s">
        <v>37</v>
      </c>
      <c r="V418" s="2" t="s">
        <v>38</v>
      </c>
      <c r="W418" s="2" t="s">
        <v>35</v>
      </c>
      <c r="X418" s="2" t="s">
        <v>35</v>
      </c>
      <c r="Y418" s="2" t="s">
        <v>35</v>
      </c>
      <c r="Z418" s="2" t="b">
        <v>0</v>
      </c>
      <c r="AA418" s="2" t="s">
        <v>35</v>
      </c>
      <c r="AB418" s="2" t="s">
        <v>35</v>
      </c>
      <c r="AC418" s="2" t="s">
        <v>35</v>
      </c>
      <c r="AD418" s="2">
        <v>3</v>
      </c>
      <c r="AE418" s="2" t="s">
        <v>1117</v>
      </c>
      <c r="AF418" s="11">
        <v>44743.590972164355</v>
      </c>
      <c r="AG418" s="53"/>
      <c r="AH418" s="53" t="b">
        <f t="shared" si="19"/>
        <v>0</v>
      </c>
      <c r="AI418" s="54" t="str" cm="1">
        <f t="array" ref="AI418">TRANSPOSE(_xlfn._xlws.FILTER(images!L:L,images!F:F=Barrierenmessung!A418, ""))</f>
        <v>https://captureandgo.cloudlab.zhaw.ch/uploads/image_879318b821.jpg</v>
      </c>
      <c r="AJ418" s="2"/>
      <c r="AK418" s="2"/>
      <c r="AL418" s="2"/>
      <c r="AM418" s="2"/>
      <c r="AN418" s="2"/>
    </row>
    <row r="419" spans="1:40" ht="16" x14ac:dyDescent="0.2">
      <c r="A419" s="2" t="s">
        <v>1380</v>
      </c>
      <c r="B419" s="46">
        <v>418</v>
      </c>
      <c r="C419" s="2" t="b">
        <v>0</v>
      </c>
      <c r="D419" s="2" t="b">
        <v>0</v>
      </c>
      <c r="E419" s="2" t="b">
        <v>0</v>
      </c>
      <c r="F419" s="2" t="b">
        <v>0</v>
      </c>
      <c r="G419" s="2" t="s">
        <v>31</v>
      </c>
      <c r="H419" s="2" t="s">
        <v>1381</v>
      </c>
      <c r="I419" s="2" t="s">
        <v>1382</v>
      </c>
      <c r="J419" s="2" t="s">
        <v>35</v>
      </c>
      <c r="K419" s="2" t="s">
        <v>35</v>
      </c>
      <c r="L419" s="2" t="s">
        <v>35</v>
      </c>
      <c r="M419" s="2" t="s">
        <v>35</v>
      </c>
      <c r="N419" s="2" t="s">
        <v>35</v>
      </c>
      <c r="O419" s="11">
        <v>44743.722308506942</v>
      </c>
      <c r="P419" s="11">
        <v>44743.722461249999</v>
      </c>
      <c r="Q419" s="27">
        <f t="shared" si="18"/>
        <v>1.5274305769708008E-4</v>
      </c>
      <c r="R419" s="65">
        <f t="shared" si="20"/>
        <v>1.6497685210197233E-3</v>
      </c>
      <c r="S419" s="2">
        <v>0</v>
      </c>
      <c r="T419" s="2" t="s">
        <v>36</v>
      </c>
      <c r="U419" s="2" t="s">
        <v>37</v>
      </c>
      <c r="V419" s="2" t="s">
        <v>38</v>
      </c>
      <c r="W419" s="2" t="s">
        <v>35</v>
      </c>
      <c r="X419" s="2" t="s">
        <v>35</v>
      </c>
      <c r="Y419" s="2" t="s">
        <v>35</v>
      </c>
      <c r="Z419" s="2" t="b">
        <v>0</v>
      </c>
      <c r="AA419" s="2" t="s">
        <v>35</v>
      </c>
      <c r="AB419" s="2" t="s">
        <v>35</v>
      </c>
      <c r="AC419" s="2" t="s">
        <v>35</v>
      </c>
      <c r="AD419" s="2">
        <v>3</v>
      </c>
      <c r="AE419" s="2" t="s">
        <v>1117</v>
      </c>
      <c r="AF419" s="11">
        <v>44743.590972164355</v>
      </c>
      <c r="AG419" s="53"/>
      <c r="AH419" s="53" t="b">
        <f t="shared" si="19"/>
        <v>0</v>
      </c>
      <c r="AI419" s="54" t="str" cm="1">
        <f t="array" ref="AI419">TRANSPOSE(_xlfn._xlws.FILTER(images!L:L,images!F:F=Barrierenmessung!A419, ""))</f>
        <v>https://captureandgo.cloudlab.zhaw.ch/uploads/image_7043446656.jpg</v>
      </c>
      <c r="AJ419" s="2"/>
      <c r="AK419" s="2"/>
      <c r="AL419" s="2"/>
      <c r="AM419" s="2"/>
      <c r="AN419" s="2"/>
    </row>
    <row r="420" spans="1:40" ht="16" x14ac:dyDescent="0.2">
      <c r="A420" s="2" t="s">
        <v>1383</v>
      </c>
      <c r="B420" s="46">
        <v>419</v>
      </c>
      <c r="C420" s="2" t="b">
        <v>0</v>
      </c>
      <c r="D420" s="2" t="b">
        <v>0</v>
      </c>
      <c r="E420" s="2" t="b">
        <v>0</v>
      </c>
      <c r="F420" s="2" t="b">
        <v>0</v>
      </c>
      <c r="G420" s="2" t="s">
        <v>31</v>
      </c>
      <c r="H420" s="2" t="s">
        <v>1384</v>
      </c>
      <c r="I420" s="2" t="s">
        <v>1385</v>
      </c>
      <c r="J420" s="2" t="s">
        <v>675</v>
      </c>
      <c r="K420" s="2" t="s">
        <v>35</v>
      </c>
      <c r="L420" s="2" t="s">
        <v>35</v>
      </c>
      <c r="M420" s="2" t="s">
        <v>35</v>
      </c>
      <c r="N420" s="2" t="s">
        <v>35</v>
      </c>
      <c r="O420" s="11">
        <v>44743.724761979167</v>
      </c>
      <c r="P420" s="11">
        <v>44743.72495614583</v>
      </c>
      <c r="Q420" s="27">
        <f t="shared" si="18"/>
        <v>1.941666632774286E-4</v>
      </c>
      <c r="R420" s="65">
        <f t="shared" si="20"/>
        <v>2.4948958307504654E-3</v>
      </c>
      <c r="S420" s="2">
        <v>0</v>
      </c>
      <c r="T420" s="2" t="s">
        <v>124</v>
      </c>
      <c r="U420" s="2" t="s">
        <v>125</v>
      </c>
      <c r="V420" s="2" t="s">
        <v>38</v>
      </c>
      <c r="W420" s="2" t="s">
        <v>35</v>
      </c>
      <c r="X420" s="2" t="s">
        <v>35</v>
      </c>
      <c r="Y420" s="2" t="s">
        <v>35</v>
      </c>
      <c r="Z420" s="2" t="b">
        <v>0</v>
      </c>
      <c r="AA420" s="2" t="s">
        <v>35</v>
      </c>
      <c r="AB420" s="2">
        <v>4</v>
      </c>
      <c r="AC420" s="2" t="s">
        <v>35</v>
      </c>
      <c r="AD420" s="2" t="s">
        <v>35</v>
      </c>
      <c r="AE420" s="2" t="s">
        <v>1117</v>
      </c>
      <c r="AF420" s="11">
        <v>44743.590972164355</v>
      </c>
      <c r="AG420" s="53"/>
      <c r="AH420" s="53" t="b">
        <f t="shared" si="19"/>
        <v>0</v>
      </c>
      <c r="AI420" s="54" t="str" cm="1">
        <f t="array" ref="AI420">TRANSPOSE(_xlfn._xlws.FILTER(images!L:L,images!F:F=Barrierenmessung!A420, ""))</f>
        <v>https://captureandgo.cloudlab.zhaw.ch/uploads/image_172b7e0c2c.jpg</v>
      </c>
      <c r="AJ420" s="2"/>
      <c r="AK420" s="2"/>
      <c r="AL420" s="2"/>
      <c r="AM420" s="2"/>
      <c r="AN420" s="2"/>
    </row>
    <row r="421" spans="1:40" ht="16" x14ac:dyDescent="0.2">
      <c r="A421" s="68" t="s">
        <v>1386</v>
      </c>
      <c r="B421" s="68">
        <v>420</v>
      </c>
      <c r="C421" s="68" t="b">
        <v>0</v>
      </c>
      <c r="D421" s="68" t="b">
        <v>0</v>
      </c>
      <c r="E421" s="68" t="b">
        <v>0</v>
      </c>
      <c r="F421" s="68" t="b">
        <v>0</v>
      </c>
      <c r="G421" s="68" t="s">
        <v>31</v>
      </c>
      <c r="H421" s="68" t="s">
        <v>149</v>
      </c>
      <c r="I421" s="68" t="s">
        <v>1387</v>
      </c>
      <c r="J421" s="68" t="s">
        <v>35</v>
      </c>
      <c r="K421" s="68" t="s">
        <v>35</v>
      </c>
      <c r="L421" s="68" t="s">
        <v>35</v>
      </c>
      <c r="M421" s="68" t="s">
        <v>35</v>
      </c>
      <c r="N421" s="68" t="s">
        <v>35</v>
      </c>
      <c r="O421" s="69">
        <v>44743.725456250002</v>
      </c>
      <c r="P421" s="69">
        <v>44743.72565104167</v>
      </c>
      <c r="Q421" s="70">
        <f t="shared" si="18"/>
        <v>1.9479166803648695E-4</v>
      </c>
      <c r="R421" s="70">
        <f t="shared" si="20"/>
        <v>6.9489583984250203E-4</v>
      </c>
      <c r="S421" s="68">
        <v>0</v>
      </c>
      <c r="T421" s="68" t="s">
        <v>36</v>
      </c>
      <c r="U421" s="68" t="s">
        <v>37</v>
      </c>
      <c r="V421" s="68" t="s">
        <v>38</v>
      </c>
      <c r="W421" s="68" t="s">
        <v>35</v>
      </c>
      <c r="X421" s="68" t="s">
        <v>35</v>
      </c>
      <c r="Y421" s="68" t="s">
        <v>35</v>
      </c>
      <c r="Z421" s="68" t="b">
        <v>0</v>
      </c>
      <c r="AA421" s="68" t="s">
        <v>35</v>
      </c>
      <c r="AB421" s="68" t="s">
        <v>35</v>
      </c>
      <c r="AC421" s="68" t="s">
        <v>35</v>
      </c>
      <c r="AD421" s="68">
        <v>2</v>
      </c>
      <c r="AE421" s="68" t="s">
        <v>1117</v>
      </c>
      <c r="AF421" s="69">
        <v>44743.590972164355</v>
      </c>
      <c r="AG421" s="71"/>
      <c r="AH421" s="71" t="b">
        <f t="shared" si="19"/>
        <v>0</v>
      </c>
      <c r="AI421" s="56" t="str" cm="1">
        <f t="array" ref="AI421">TRANSPOSE(_xlfn._xlws.FILTER(images!L:L,images!F:F=Barrierenmessung!A421, ""))</f>
        <v/>
      </c>
      <c r="AJ421" s="68"/>
      <c r="AK421" s="68"/>
      <c r="AL421" s="68"/>
      <c r="AM421" s="68"/>
      <c r="AN421" s="68"/>
    </row>
    <row r="422" spans="1:40" ht="16" x14ac:dyDescent="0.2">
      <c r="A422" s="2" t="s">
        <v>1388</v>
      </c>
      <c r="B422" s="46">
        <v>421</v>
      </c>
      <c r="C422" s="2" t="b">
        <v>0</v>
      </c>
      <c r="D422" s="2" t="b">
        <v>0</v>
      </c>
      <c r="E422" s="2" t="b">
        <v>0</v>
      </c>
      <c r="F422" s="2" t="b">
        <v>0</v>
      </c>
      <c r="G422" s="2" t="s">
        <v>31</v>
      </c>
      <c r="H422" s="2" t="s">
        <v>1389</v>
      </c>
      <c r="I422" s="2" t="s">
        <v>1390</v>
      </c>
      <c r="J422" s="2" t="s">
        <v>675</v>
      </c>
      <c r="K422" s="2" t="s">
        <v>35</v>
      </c>
      <c r="L422" s="2" t="s">
        <v>35</v>
      </c>
      <c r="M422" s="2" t="s">
        <v>35</v>
      </c>
      <c r="N422" s="2" t="s">
        <v>35</v>
      </c>
      <c r="O422" s="11">
        <v>44743.726075694445</v>
      </c>
      <c r="P422" s="11">
        <v>44743.726250462962</v>
      </c>
      <c r="Q422" s="27">
        <f t="shared" si="18"/>
        <v>1.7476851644460112E-4</v>
      </c>
      <c r="R422" s="65">
        <f t="shared" si="20"/>
        <v>5.9942129155388102E-4</v>
      </c>
      <c r="S422" s="2">
        <v>0</v>
      </c>
      <c r="T422" s="2" t="s">
        <v>124</v>
      </c>
      <c r="U422" s="2" t="s">
        <v>125</v>
      </c>
      <c r="V422" s="2" t="s">
        <v>38</v>
      </c>
      <c r="W422" s="2" t="s">
        <v>35</v>
      </c>
      <c r="X422" s="2" t="s">
        <v>35</v>
      </c>
      <c r="Y422" s="2" t="s">
        <v>35</v>
      </c>
      <c r="Z422" s="2" t="b">
        <v>0</v>
      </c>
      <c r="AA422" s="2" t="s">
        <v>35</v>
      </c>
      <c r="AB422" s="2">
        <v>4</v>
      </c>
      <c r="AC422" s="2" t="s">
        <v>35</v>
      </c>
      <c r="AD422" s="2" t="s">
        <v>35</v>
      </c>
      <c r="AE422" s="2" t="s">
        <v>1117</v>
      </c>
      <c r="AF422" s="11">
        <v>44743.590972164355</v>
      </c>
      <c r="AG422" s="53"/>
      <c r="AH422" s="53" t="b">
        <f t="shared" si="19"/>
        <v>0</v>
      </c>
      <c r="AI422" s="54" t="str" cm="1">
        <f t="array" ref="AI422">TRANSPOSE(_xlfn._xlws.FILTER(images!L:L,images!F:F=Barrierenmessung!A422, ""))</f>
        <v>https://captureandgo.cloudlab.zhaw.ch/uploads/image_e1ee9eb060.jpg</v>
      </c>
      <c r="AJ422" s="2"/>
      <c r="AK422" s="2"/>
      <c r="AL422" s="2"/>
      <c r="AM422" s="2"/>
      <c r="AN422" s="2"/>
    </row>
    <row r="423" spans="1:40" ht="16" x14ac:dyDescent="0.2">
      <c r="A423" s="2" t="s">
        <v>1391</v>
      </c>
      <c r="B423" s="46">
        <v>422</v>
      </c>
      <c r="C423" s="2" t="b">
        <v>0</v>
      </c>
      <c r="D423" s="2" t="b">
        <v>0</v>
      </c>
      <c r="E423" s="2" t="b">
        <v>0</v>
      </c>
      <c r="F423" s="2" t="b">
        <v>0</v>
      </c>
      <c r="G423" s="2" t="s">
        <v>31</v>
      </c>
      <c r="H423" s="2" t="s">
        <v>1392</v>
      </c>
      <c r="I423" s="2" t="s">
        <v>1393</v>
      </c>
      <c r="J423" s="2" t="s">
        <v>35</v>
      </c>
      <c r="K423" s="2" t="s">
        <v>35</v>
      </c>
      <c r="L423" s="2" t="s">
        <v>35</v>
      </c>
      <c r="M423" s="2" t="s">
        <v>35</v>
      </c>
      <c r="N423" s="2" t="s">
        <v>35</v>
      </c>
      <c r="O423" s="11">
        <v>44743.726454629628</v>
      </c>
      <c r="P423" s="11">
        <v>44743.726577638889</v>
      </c>
      <c r="Q423" s="27">
        <f t="shared" si="18"/>
        <v>1.2300926027819514E-4</v>
      </c>
      <c r="R423" s="65">
        <f t="shared" si="20"/>
        <v>3.271759269409813E-4</v>
      </c>
      <c r="S423" s="2">
        <v>0</v>
      </c>
      <c r="T423" s="2" t="s">
        <v>36</v>
      </c>
      <c r="U423" s="2" t="s">
        <v>37</v>
      </c>
      <c r="V423" s="2" t="s">
        <v>38</v>
      </c>
      <c r="W423" s="2" t="s">
        <v>35</v>
      </c>
      <c r="X423" s="2" t="s">
        <v>35</v>
      </c>
      <c r="Y423" s="2" t="s">
        <v>35</v>
      </c>
      <c r="Z423" s="2" t="b">
        <v>0</v>
      </c>
      <c r="AA423" s="2" t="s">
        <v>35</v>
      </c>
      <c r="AB423" s="2" t="s">
        <v>35</v>
      </c>
      <c r="AC423" s="2" t="s">
        <v>35</v>
      </c>
      <c r="AD423" s="2">
        <v>4</v>
      </c>
      <c r="AE423" s="2" t="s">
        <v>1117</v>
      </c>
      <c r="AF423" s="11">
        <v>44743.590972164355</v>
      </c>
      <c r="AG423" s="53"/>
      <c r="AH423" s="53" t="b">
        <f t="shared" si="19"/>
        <v>0</v>
      </c>
      <c r="AI423" s="54" t="str" cm="1">
        <f t="array" ref="AI423">TRANSPOSE(_xlfn._xlws.FILTER(images!L:L,images!F:F=Barrierenmessung!A423, ""))</f>
        <v>https://captureandgo.cloudlab.zhaw.ch/uploads/image_191c8ca5d7.jpg</v>
      </c>
      <c r="AJ423" s="2"/>
      <c r="AK423" s="2"/>
      <c r="AL423" s="2"/>
      <c r="AM423" s="2"/>
      <c r="AN423" s="2"/>
    </row>
    <row r="424" spans="1:40" ht="16" x14ac:dyDescent="0.2">
      <c r="A424" s="2" t="s">
        <v>1394</v>
      </c>
      <c r="B424" s="46">
        <v>423</v>
      </c>
      <c r="C424" s="2" t="b">
        <v>0</v>
      </c>
      <c r="D424" s="2" t="b">
        <v>0</v>
      </c>
      <c r="E424" s="2" t="b">
        <v>0</v>
      </c>
      <c r="F424" s="2" t="b">
        <v>0</v>
      </c>
      <c r="G424" s="2" t="s">
        <v>31</v>
      </c>
      <c r="H424" s="2" t="s">
        <v>1395</v>
      </c>
      <c r="I424" s="2" t="s">
        <v>1396</v>
      </c>
      <c r="J424" s="2" t="s">
        <v>35</v>
      </c>
      <c r="K424" s="2" t="s">
        <v>35</v>
      </c>
      <c r="L424" s="2" t="s">
        <v>35</v>
      </c>
      <c r="M424" s="2" t="s">
        <v>35</v>
      </c>
      <c r="N424" s="2" t="s">
        <v>35</v>
      </c>
      <c r="O424" s="11">
        <v>44743.727087453706</v>
      </c>
      <c r="P424" s="11">
        <v>44743.727269328701</v>
      </c>
      <c r="Q424" s="27">
        <f t="shared" si="18"/>
        <v>1.8187499517807737E-4</v>
      </c>
      <c r="R424" s="65">
        <f t="shared" si="20"/>
        <v>6.9168981281109154E-4</v>
      </c>
      <c r="S424" s="2">
        <v>0</v>
      </c>
      <c r="T424" s="2" t="s">
        <v>36</v>
      </c>
      <c r="U424" s="2" t="s">
        <v>37</v>
      </c>
      <c r="V424" s="2" t="s">
        <v>38</v>
      </c>
      <c r="W424" s="2" t="s">
        <v>35</v>
      </c>
      <c r="X424" s="2" t="s">
        <v>35</v>
      </c>
      <c r="Y424" s="2" t="s">
        <v>35</v>
      </c>
      <c r="Z424" s="2" t="b">
        <v>0</v>
      </c>
      <c r="AA424" s="2" t="s">
        <v>35</v>
      </c>
      <c r="AB424" s="2" t="s">
        <v>35</v>
      </c>
      <c r="AC424" s="2" t="s">
        <v>35</v>
      </c>
      <c r="AD424" s="2">
        <v>3</v>
      </c>
      <c r="AE424" s="2" t="s">
        <v>1117</v>
      </c>
      <c r="AF424" s="11">
        <v>44743.590972164355</v>
      </c>
      <c r="AG424" s="53"/>
      <c r="AH424" s="53" t="b">
        <f t="shared" si="19"/>
        <v>0</v>
      </c>
      <c r="AI424" s="54" t="str" cm="1">
        <f t="array" ref="AI424">TRANSPOSE(_xlfn._xlws.FILTER(images!L:L,images!F:F=Barrierenmessung!A424, ""))</f>
        <v>https://captureandgo.cloudlab.zhaw.ch/uploads/image_f2c0e3e086.jpg</v>
      </c>
      <c r="AJ424" s="2"/>
      <c r="AK424" s="2"/>
      <c r="AL424" s="2"/>
      <c r="AM424" s="2"/>
      <c r="AN424" s="2"/>
    </row>
    <row r="425" spans="1:40" ht="16" x14ac:dyDescent="0.2">
      <c r="A425" s="2" t="s">
        <v>1397</v>
      </c>
      <c r="B425" s="46">
        <v>424</v>
      </c>
      <c r="C425" s="2" t="b">
        <v>0</v>
      </c>
      <c r="D425" s="2" t="b">
        <v>0</v>
      </c>
      <c r="E425" s="2" t="b">
        <v>0</v>
      </c>
      <c r="F425" s="2" t="b">
        <v>0</v>
      </c>
      <c r="G425" s="2" t="s">
        <v>31</v>
      </c>
      <c r="H425" s="2" t="s">
        <v>1398</v>
      </c>
      <c r="I425" s="2" t="s">
        <v>1399</v>
      </c>
      <c r="J425" s="2" t="s">
        <v>35</v>
      </c>
      <c r="K425" s="2" t="s">
        <v>35</v>
      </c>
      <c r="L425" s="2" t="s">
        <v>35</v>
      </c>
      <c r="M425" s="2" t="s">
        <v>35</v>
      </c>
      <c r="N425" s="2" t="s">
        <v>35</v>
      </c>
      <c r="O425" s="11">
        <v>44743.728233032409</v>
      </c>
      <c r="P425" s="11">
        <v>44743.728356574073</v>
      </c>
      <c r="Q425" s="27">
        <f t="shared" si="18"/>
        <v>1.2354166392469779E-4</v>
      </c>
      <c r="R425" s="65">
        <f t="shared" si="20"/>
        <v>1.087245371309109E-3</v>
      </c>
      <c r="S425" s="2">
        <v>0</v>
      </c>
      <c r="T425" s="2" t="s">
        <v>36</v>
      </c>
      <c r="U425" s="2" t="s">
        <v>37</v>
      </c>
      <c r="V425" s="2" t="s">
        <v>38</v>
      </c>
      <c r="W425" s="2" t="s">
        <v>35</v>
      </c>
      <c r="X425" s="2" t="s">
        <v>35</v>
      </c>
      <c r="Y425" s="2" t="s">
        <v>35</v>
      </c>
      <c r="Z425" s="2" t="b">
        <v>0</v>
      </c>
      <c r="AA425" s="2" t="s">
        <v>35</v>
      </c>
      <c r="AB425" s="2" t="s">
        <v>35</v>
      </c>
      <c r="AC425" s="2" t="s">
        <v>35</v>
      </c>
      <c r="AD425" s="2">
        <v>3</v>
      </c>
      <c r="AE425" s="2" t="s">
        <v>1117</v>
      </c>
      <c r="AF425" s="11">
        <v>44743.590972164355</v>
      </c>
      <c r="AG425" s="53"/>
      <c r="AH425" s="53" t="b">
        <f t="shared" si="19"/>
        <v>0</v>
      </c>
      <c r="AI425" s="54" t="str" cm="1">
        <f t="array" ref="AI425">TRANSPOSE(_xlfn._xlws.FILTER(images!L:L,images!F:F=Barrierenmessung!A425, ""))</f>
        <v>https://captureandgo.cloudlab.zhaw.ch/uploads/image_ba6d48a651.jpg</v>
      </c>
      <c r="AJ425" s="2"/>
      <c r="AK425" s="2"/>
      <c r="AL425" s="2"/>
      <c r="AM425" s="2"/>
      <c r="AN425" s="2"/>
    </row>
    <row r="426" spans="1:40" ht="16" x14ac:dyDescent="0.2">
      <c r="A426" s="2" t="s">
        <v>1400</v>
      </c>
      <c r="B426" s="46">
        <v>425</v>
      </c>
      <c r="C426" s="2" t="b">
        <v>0</v>
      </c>
      <c r="D426" s="2" t="b">
        <v>0</v>
      </c>
      <c r="E426" s="2" t="b">
        <v>0</v>
      </c>
      <c r="F426" s="2" t="b">
        <v>0</v>
      </c>
      <c r="G426" s="2" t="s">
        <v>31</v>
      </c>
      <c r="H426" s="2" t="s">
        <v>1401</v>
      </c>
      <c r="I426" s="2" t="s">
        <v>1402</v>
      </c>
      <c r="J426" s="2" t="s">
        <v>35</v>
      </c>
      <c r="K426" s="2" t="s">
        <v>35</v>
      </c>
      <c r="L426" s="2" t="s">
        <v>35</v>
      </c>
      <c r="M426" s="2" t="s">
        <v>35</v>
      </c>
      <c r="N426" s="2" t="s">
        <v>35</v>
      </c>
      <c r="O426" s="11">
        <v>44743.729044826388</v>
      </c>
      <c r="P426" s="11">
        <v>44743.72917471065</v>
      </c>
      <c r="Q426" s="27">
        <f t="shared" si="18"/>
        <v>1.2988426169613376E-4</v>
      </c>
      <c r="R426" s="65">
        <f t="shared" si="20"/>
        <v>8.181365774362348E-4</v>
      </c>
      <c r="S426" s="2">
        <v>0</v>
      </c>
      <c r="T426" s="2" t="s">
        <v>36</v>
      </c>
      <c r="U426" s="2" t="s">
        <v>37</v>
      </c>
      <c r="V426" s="2" t="s">
        <v>38</v>
      </c>
      <c r="W426" s="2" t="s">
        <v>35</v>
      </c>
      <c r="X426" s="2" t="s">
        <v>35</v>
      </c>
      <c r="Y426" s="2" t="s">
        <v>35</v>
      </c>
      <c r="Z426" s="2" t="b">
        <v>0</v>
      </c>
      <c r="AA426" s="2" t="s">
        <v>35</v>
      </c>
      <c r="AB426" s="2" t="s">
        <v>35</v>
      </c>
      <c r="AC426" s="2" t="s">
        <v>35</v>
      </c>
      <c r="AD426" s="2">
        <v>2</v>
      </c>
      <c r="AE426" s="2" t="s">
        <v>1117</v>
      </c>
      <c r="AF426" s="11">
        <v>44743.590972164355</v>
      </c>
      <c r="AG426" s="53"/>
      <c r="AH426" s="53" t="b">
        <f t="shared" si="19"/>
        <v>0</v>
      </c>
      <c r="AI426" s="54" t="str" cm="1">
        <f t="array" ref="AI426">TRANSPOSE(_xlfn._xlws.FILTER(images!L:L,images!F:F=Barrierenmessung!A426, ""))</f>
        <v>https://captureandgo.cloudlab.zhaw.ch/uploads/image_85e7dfd788.jpg</v>
      </c>
      <c r="AJ426" s="2"/>
      <c r="AK426" s="2"/>
      <c r="AL426" s="2"/>
      <c r="AM426" s="2"/>
      <c r="AN426" s="2"/>
    </row>
    <row r="427" spans="1:40" ht="16" x14ac:dyDescent="0.2">
      <c r="A427" s="2" t="s">
        <v>1403</v>
      </c>
      <c r="B427" s="46">
        <v>426</v>
      </c>
      <c r="C427" s="2" t="b">
        <v>0</v>
      </c>
      <c r="D427" s="2" t="b">
        <v>0</v>
      </c>
      <c r="E427" s="2" t="b">
        <v>0</v>
      </c>
      <c r="F427" s="2" t="b">
        <v>0</v>
      </c>
      <c r="G427" s="2" t="s">
        <v>31</v>
      </c>
      <c r="H427" s="2" t="s">
        <v>1404</v>
      </c>
      <c r="I427" s="2" t="s">
        <v>1405</v>
      </c>
      <c r="J427" s="2" t="s">
        <v>1406</v>
      </c>
      <c r="K427" s="2" t="s">
        <v>35</v>
      </c>
      <c r="L427" s="2" t="s">
        <v>35</v>
      </c>
      <c r="M427" s="2" t="s">
        <v>35</v>
      </c>
      <c r="N427" s="2" t="s">
        <v>35</v>
      </c>
      <c r="O427" s="11">
        <v>44743.730694826387</v>
      </c>
      <c r="P427" s="11">
        <v>44743.731128807871</v>
      </c>
      <c r="Q427" s="27">
        <f t="shared" si="18"/>
        <v>4.3398148409323767E-4</v>
      </c>
      <c r="R427" s="65">
        <f t="shared" si="20"/>
        <v>1.9540972207323648E-3</v>
      </c>
      <c r="S427" s="2">
        <v>0</v>
      </c>
      <c r="T427" s="2" t="s">
        <v>36</v>
      </c>
      <c r="U427" s="2" t="s">
        <v>37</v>
      </c>
      <c r="V427" s="2" t="s">
        <v>38</v>
      </c>
      <c r="W427" s="2" t="s">
        <v>35</v>
      </c>
      <c r="X427" s="2" t="s">
        <v>35</v>
      </c>
      <c r="Y427" s="2" t="s">
        <v>35</v>
      </c>
      <c r="Z427" s="2" t="b">
        <v>0</v>
      </c>
      <c r="AA427" s="2" t="s">
        <v>35</v>
      </c>
      <c r="AB427" s="2" t="s">
        <v>35</v>
      </c>
      <c r="AC427" s="2">
        <v>4</v>
      </c>
      <c r="AD427" s="2" t="s">
        <v>35</v>
      </c>
      <c r="AE427" s="2" t="s">
        <v>1117</v>
      </c>
      <c r="AF427" s="11">
        <v>44743.590972164355</v>
      </c>
      <c r="AG427" s="53"/>
      <c r="AH427" s="53" t="b">
        <f t="shared" si="19"/>
        <v>0</v>
      </c>
      <c r="AI427" s="54" t="str" cm="1">
        <f t="array" ref="AI427">TRANSPOSE(_xlfn._xlws.FILTER(images!L:L,images!F:F=Barrierenmessung!A427, ""))</f>
        <v>https://captureandgo.cloudlab.zhaw.ch/uploads/image_433b81d2ef.jpg</v>
      </c>
      <c r="AJ427" s="2"/>
      <c r="AK427" s="2"/>
      <c r="AL427" s="2"/>
      <c r="AM427" s="2"/>
      <c r="AN427" s="2"/>
    </row>
    <row r="428" spans="1:40" ht="16" x14ac:dyDescent="0.2">
      <c r="A428" s="2" t="s">
        <v>1407</v>
      </c>
      <c r="B428" s="46">
        <v>427</v>
      </c>
      <c r="C428" s="2" t="b">
        <v>0</v>
      </c>
      <c r="D428" s="2" t="b">
        <v>0</v>
      </c>
      <c r="E428" s="2" t="b">
        <v>0</v>
      </c>
      <c r="F428" s="2" t="b">
        <v>0</v>
      </c>
      <c r="G428" s="2" t="s">
        <v>31</v>
      </c>
      <c r="H428" s="2" t="s">
        <v>1408</v>
      </c>
      <c r="I428" s="2" t="s">
        <v>1409</v>
      </c>
      <c r="J428" s="2" t="s">
        <v>35</v>
      </c>
      <c r="K428" s="2" t="s">
        <v>35</v>
      </c>
      <c r="L428" s="2" t="s">
        <v>35</v>
      </c>
      <c r="M428" s="2" t="s">
        <v>35</v>
      </c>
      <c r="N428" s="2" t="s">
        <v>35</v>
      </c>
      <c r="O428" s="11">
        <v>44743.732691458332</v>
      </c>
      <c r="P428" s="11">
        <v>44743.732822789352</v>
      </c>
      <c r="Q428" s="27">
        <f t="shared" si="18"/>
        <v>1.3133102038409561E-4</v>
      </c>
      <c r="R428" s="65">
        <f t="shared" si="20"/>
        <v>1.6939814813667908E-3</v>
      </c>
      <c r="S428" s="2">
        <v>0</v>
      </c>
      <c r="T428" s="2" t="s">
        <v>36</v>
      </c>
      <c r="U428" s="2" t="s">
        <v>37</v>
      </c>
      <c r="V428" s="2" t="s">
        <v>38</v>
      </c>
      <c r="W428" s="2" t="s">
        <v>35</v>
      </c>
      <c r="X428" s="2" t="s">
        <v>35</v>
      </c>
      <c r="Y428" s="2" t="s">
        <v>35</v>
      </c>
      <c r="Z428" s="2" t="b">
        <v>0</v>
      </c>
      <c r="AA428" s="2" t="s">
        <v>35</v>
      </c>
      <c r="AB428" s="2" t="s">
        <v>35</v>
      </c>
      <c r="AC428" s="2" t="s">
        <v>35</v>
      </c>
      <c r="AD428" s="2">
        <v>4</v>
      </c>
      <c r="AE428" s="2" t="s">
        <v>1117</v>
      </c>
      <c r="AF428" s="11">
        <v>44743.590972164355</v>
      </c>
      <c r="AG428" s="53"/>
      <c r="AH428" s="53" t="b">
        <f t="shared" si="19"/>
        <v>0</v>
      </c>
      <c r="AI428" s="54" t="str" cm="1">
        <f t="array" ref="AI428">TRANSPOSE(_xlfn._xlws.FILTER(images!L:L,images!F:F=Barrierenmessung!A428, ""))</f>
        <v>https://captureandgo.cloudlab.zhaw.ch/uploads/image_f27fd60018.jpg</v>
      </c>
      <c r="AJ428" s="2"/>
      <c r="AK428" s="2"/>
      <c r="AL428" s="2"/>
      <c r="AM428" s="2"/>
      <c r="AN428" s="2"/>
    </row>
    <row r="429" spans="1:40" ht="16" x14ac:dyDescent="0.2">
      <c r="A429" s="68" t="s">
        <v>1410</v>
      </c>
      <c r="B429" s="68">
        <v>428</v>
      </c>
      <c r="C429" s="68" t="b">
        <v>0</v>
      </c>
      <c r="D429" s="68" t="b">
        <v>0</v>
      </c>
      <c r="E429" s="68" t="b">
        <v>0</v>
      </c>
      <c r="F429" s="68" t="b">
        <v>0</v>
      </c>
      <c r="G429" s="68" t="s">
        <v>31</v>
      </c>
      <c r="H429" s="68" t="s">
        <v>149</v>
      </c>
      <c r="I429" s="68" t="s">
        <v>1411</v>
      </c>
      <c r="J429" s="68" t="s">
        <v>1412</v>
      </c>
      <c r="K429" s="68" t="s">
        <v>35</v>
      </c>
      <c r="L429" s="68" t="s">
        <v>35</v>
      </c>
      <c r="M429" s="68">
        <v>4</v>
      </c>
      <c r="N429" s="68">
        <v>16</v>
      </c>
      <c r="O429" s="69">
        <v>44743.73374408565</v>
      </c>
      <c r="P429" s="69">
        <v>44743.734294490743</v>
      </c>
      <c r="Q429" s="70">
        <f t="shared" si="18"/>
        <v>5.5040509323589504E-4</v>
      </c>
      <c r="R429" s="70">
        <f t="shared" si="20"/>
        <v>1.4717013909830712E-3</v>
      </c>
      <c r="S429" s="68">
        <v>0</v>
      </c>
      <c r="T429" s="68" t="s">
        <v>54</v>
      </c>
      <c r="U429" s="68" t="s">
        <v>55</v>
      </c>
      <c r="V429" s="68" t="s">
        <v>38</v>
      </c>
      <c r="W429" s="68" t="s">
        <v>35</v>
      </c>
      <c r="X429" s="68" t="s">
        <v>35</v>
      </c>
      <c r="Y429" s="68" t="s">
        <v>35</v>
      </c>
      <c r="Z429" s="68" t="b">
        <v>1</v>
      </c>
      <c r="AA429" s="68" t="s">
        <v>35</v>
      </c>
      <c r="AB429" s="68" t="s">
        <v>35</v>
      </c>
      <c r="AC429" s="68" t="s">
        <v>35</v>
      </c>
      <c r="AD429" s="68" t="s">
        <v>35</v>
      </c>
      <c r="AE429" s="68" t="s">
        <v>1117</v>
      </c>
      <c r="AF429" s="69">
        <v>44743.590972164355</v>
      </c>
      <c r="AG429" s="71"/>
      <c r="AH429" s="71" t="b">
        <f t="shared" si="19"/>
        <v>0</v>
      </c>
      <c r="AI429" s="56" t="str" cm="1">
        <f t="array" ref="AI429">TRANSPOSE(_xlfn._xlws.FILTER(images!L:L,images!F:F=Barrierenmessung!A429, ""))</f>
        <v/>
      </c>
      <c r="AJ429" s="68"/>
      <c r="AK429" s="68"/>
      <c r="AL429" s="68"/>
      <c r="AM429" s="68"/>
      <c r="AN429" s="68"/>
    </row>
    <row r="430" spans="1:40" ht="16" x14ac:dyDescent="0.2">
      <c r="A430" s="2" t="s">
        <v>1413</v>
      </c>
      <c r="B430" s="46">
        <v>429</v>
      </c>
      <c r="C430" s="2" t="b">
        <v>0</v>
      </c>
      <c r="D430" s="2" t="b">
        <v>0</v>
      </c>
      <c r="E430" s="2" t="b">
        <v>0</v>
      </c>
      <c r="F430" s="2" t="b">
        <v>0</v>
      </c>
      <c r="G430" s="2" t="s">
        <v>31</v>
      </c>
      <c r="H430" s="2" t="s">
        <v>1414</v>
      </c>
      <c r="I430" s="2" t="s">
        <v>1415</v>
      </c>
      <c r="J430" s="2" t="s">
        <v>35</v>
      </c>
      <c r="K430" s="2" t="s">
        <v>35</v>
      </c>
      <c r="L430" s="2" t="s">
        <v>35</v>
      </c>
      <c r="M430" s="2">
        <v>7</v>
      </c>
      <c r="N430" s="2">
        <v>16</v>
      </c>
      <c r="O430" s="11">
        <v>44743.734587569445</v>
      </c>
      <c r="P430" s="11">
        <v>44743.735328807874</v>
      </c>
      <c r="Q430" s="27">
        <f t="shared" si="18"/>
        <v>7.412384293274954E-4</v>
      </c>
      <c r="R430" s="65">
        <f t="shared" si="20"/>
        <v>1.0343171306885779E-3</v>
      </c>
      <c r="S430" s="2">
        <v>0</v>
      </c>
      <c r="T430" s="2" t="s">
        <v>54</v>
      </c>
      <c r="U430" s="2" t="s">
        <v>55</v>
      </c>
      <c r="V430" s="2" t="s">
        <v>38</v>
      </c>
      <c r="W430" s="2" t="s">
        <v>35</v>
      </c>
      <c r="X430" s="2" t="s">
        <v>35</v>
      </c>
      <c r="Y430" s="2" t="s">
        <v>35</v>
      </c>
      <c r="Z430" s="2" t="b">
        <v>0</v>
      </c>
      <c r="AA430" s="2" t="s">
        <v>35</v>
      </c>
      <c r="AB430" s="2" t="s">
        <v>35</v>
      </c>
      <c r="AC430" s="2" t="s">
        <v>35</v>
      </c>
      <c r="AD430" s="2" t="s">
        <v>35</v>
      </c>
      <c r="AE430" s="2" t="s">
        <v>1117</v>
      </c>
      <c r="AF430" s="11">
        <v>44743.590972164355</v>
      </c>
      <c r="AG430" s="53"/>
      <c r="AH430" s="53" t="b">
        <f t="shared" si="19"/>
        <v>0</v>
      </c>
      <c r="AI430" s="54" t="str" cm="1">
        <f t="array" ref="AI430:AK430">TRANSPOSE(_xlfn._xlws.FILTER(images!L:L,images!F:F=Barrierenmessung!A430, ""))</f>
        <v>https://captureandgo.cloudlab.zhaw.ch/uploads/image_f1d43362c9.jpg</v>
      </c>
      <c r="AJ430" s="2" t="str">
        <v>https://captureandgo.cloudlab.zhaw.ch/uploads/image_a88e01a58d.jpg</v>
      </c>
      <c r="AK430" s="2" t="str">
        <v>https://captureandgo.cloudlab.zhaw.ch/uploads/image_b89156088b.jpg</v>
      </c>
      <c r="AL430" s="2"/>
      <c r="AM430" s="2"/>
      <c r="AN430" s="2"/>
    </row>
    <row r="431" spans="1:40" ht="16" x14ac:dyDescent="0.2">
      <c r="A431" s="2" t="s">
        <v>1416</v>
      </c>
      <c r="B431" s="46">
        <v>430</v>
      </c>
      <c r="C431" s="2" t="b">
        <v>0</v>
      </c>
      <c r="D431" s="2" t="b">
        <v>0</v>
      </c>
      <c r="E431" s="2" t="b">
        <v>0</v>
      </c>
      <c r="F431" s="2" t="b">
        <v>0</v>
      </c>
      <c r="G431" s="2" t="s">
        <v>31</v>
      </c>
      <c r="H431" s="2" t="s">
        <v>1417</v>
      </c>
      <c r="I431" s="2" t="s">
        <v>1418</v>
      </c>
      <c r="J431" s="2" t="s">
        <v>35</v>
      </c>
      <c r="K431" s="2" t="s">
        <v>35</v>
      </c>
      <c r="L431" s="2" t="s">
        <v>35</v>
      </c>
      <c r="M431" s="2">
        <v>5</v>
      </c>
      <c r="N431" s="2">
        <v>16</v>
      </c>
      <c r="O431" s="11">
        <v>44743.736324305559</v>
      </c>
      <c r="P431" s="11">
        <v>44743.736570439818</v>
      </c>
      <c r="Q431" s="27">
        <f t="shared" si="18"/>
        <v>2.461342592141591E-4</v>
      </c>
      <c r="R431" s="65">
        <f t="shared" si="20"/>
        <v>1.2416319441399537E-3</v>
      </c>
      <c r="S431" s="2">
        <v>0</v>
      </c>
      <c r="T431" s="2" t="s">
        <v>54</v>
      </c>
      <c r="U431" s="2" t="s">
        <v>55</v>
      </c>
      <c r="V431" s="2" t="s">
        <v>38</v>
      </c>
      <c r="W431" s="2" t="s">
        <v>35</v>
      </c>
      <c r="X431" s="2" t="s">
        <v>35</v>
      </c>
      <c r="Y431" s="2" t="s">
        <v>35</v>
      </c>
      <c r="Z431" s="2" t="b">
        <v>0</v>
      </c>
      <c r="AA431" s="2" t="s">
        <v>35</v>
      </c>
      <c r="AB431" s="2" t="s">
        <v>35</v>
      </c>
      <c r="AC431" s="2" t="s">
        <v>35</v>
      </c>
      <c r="AD431" s="2" t="s">
        <v>35</v>
      </c>
      <c r="AE431" s="2" t="s">
        <v>1117</v>
      </c>
      <c r="AF431" s="11">
        <v>44743.590972164355</v>
      </c>
      <c r="AG431" s="53"/>
      <c r="AH431" s="53" t="b">
        <f t="shared" si="19"/>
        <v>0</v>
      </c>
      <c r="AI431" s="54" t="str" cm="1">
        <f t="array" ref="AI431">TRANSPOSE(_xlfn._xlws.FILTER(images!L:L,images!F:F=Barrierenmessung!A431, ""))</f>
        <v>https://captureandgo.cloudlab.zhaw.ch/uploads/image_c40093ad4b.jpg</v>
      </c>
      <c r="AJ431" s="2"/>
      <c r="AK431" s="2"/>
      <c r="AL431" s="2"/>
      <c r="AM431" s="2"/>
      <c r="AN431" s="2"/>
    </row>
    <row r="432" spans="1:40" ht="16" x14ac:dyDescent="0.2">
      <c r="A432" s="2" t="s">
        <v>1419</v>
      </c>
      <c r="B432" s="46">
        <v>431</v>
      </c>
      <c r="C432" s="2" t="b">
        <v>0</v>
      </c>
      <c r="D432" s="2" t="b">
        <v>0</v>
      </c>
      <c r="E432" s="2" t="b">
        <v>0</v>
      </c>
      <c r="F432" s="2" t="b">
        <v>0</v>
      </c>
      <c r="G432" s="2" t="s">
        <v>31</v>
      </c>
      <c r="H432" s="2" t="s">
        <v>1420</v>
      </c>
      <c r="I432" s="2" t="s">
        <v>1421</v>
      </c>
      <c r="J432" s="2" t="s">
        <v>35</v>
      </c>
      <c r="K432" s="2" t="s">
        <v>35</v>
      </c>
      <c r="L432" s="2" t="s">
        <v>35</v>
      </c>
      <c r="M432" s="2">
        <v>5</v>
      </c>
      <c r="N432" s="2">
        <v>16</v>
      </c>
      <c r="O432" s="11">
        <v>44743.736669791666</v>
      </c>
      <c r="P432" s="11">
        <v>44743.736952754633</v>
      </c>
      <c r="Q432" s="27">
        <f t="shared" si="18"/>
        <v>2.8296296659391373E-4</v>
      </c>
      <c r="R432" s="65">
        <f t="shared" si="20"/>
        <v>3.8231481448747218E-4</v>
      </c>
      <c r="S432" s="2">
        <v>0</v>
      </c>
      <c r="T432" s="2" t="s">
        <v>54</v>
      </c>
      <c r="U432" s="2" t="s">
        <v>55</v>
      </c>
      <c r="V432" s="2" t="s">
        <v>38</v>
      </c>
      <c r="W432" s="2" t="s">
        <v>35</v>
      </c>
      <c r="X432" s="2" t="s">
        <v>35</v>
      </c>
      <c r="Y432" s="2" t="s">
        <v>35</v>
      </c>
      <c r="Z432" s="2" t="b">
        <v>0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2" t="s">
        <v>1117</v>
      </c>
      <c r="AF432" s="11">
        <v>44743.590972164355</v>
      </c>
      <c r="AG432" s="53"/>
      <c r="AH432" s="53" t="b">
        <f t="shared" si="19"/>
        <v>0</v>
      </c>
      <c r="AI432" s="54" t="str" cm="1">
        <f t="array" ref="AI432">TRANSPOSE(_xlfn._xlws.FILTER(images!L:L,images!F:F=Barrierenmessung!A432, ""))</f>
        <v>https://captureandgo.cloudlab.zhaw.ch/uploads/image_527f6ce9c3.jpg</v>
      </c>
      <c r="AJ432" s="2"/>
      <c r="AK432" s="2"/>
      <c r="AL432" s="2"/>
      <c r="AM432" s="2"/>
      <c r="AN432" s="2"/>
    </row>
    <row r="433" spans="1:40" ht="16" x14ac:dyDescent="0.2">
      <c r="A433" s="2" t="s">
        <v>1422</v>
      </c>
      <c r="B433" s="46">
        <v>432</v>
      </c>
      <c r="C433" s="2" t="b">
        <v>0</v>
      </c>
      <c r="D433" s="2" t="b">
        <v>0</v>
      </c>
      <c r="E433" s="2" t="b">
        <v>0</v>
      </c>
      <c r="F433" s="2" t="b">
        <v>0</v>
      </c>
      <c r="G433" s="2" t="s">
        <v>31</v>
      </c>
      <c r="H433" s="2" t="s">
        <v>1423</v>
      </c>
      <c r="I433" s="2" t="s">
        <v>1424</v>
      </c>
      <c r="J433" s="2" t="s">
        <v>736</v>
      </c>
      <c r="K433" s="2" t="s">
        <v>35</v>
      </c>
      <c r="L433" s="2" t="s">
        <v>35</v>
      </c>
      <c r="M433" s="2" t="s">
        <v>35</v>
      </c>
      <c r="N433" s="2" t="s">
        <v>35</v>
      </c>
      <c r="O433" s="11">
        <v>44747.396360162034</v>
      </c>
      <c r="P433" s="11">
        <v>44747.396896932871</v>
      </c>
      <c r="Q433" s="27">
        <f t="shared" si="18"/>
        <v>5.3677083633374423E-4</v>
      </c>
      <c r="R433" s="65">
        <f t="shared" si="20"/>
        <v>1.7580439816811122E-3</v>
      </c>
      <c r="S433" s="2">
        <v>0</v>
      </c>
      <c r="T433" s="2" t="s">
        <v>36</v>
      </c>
      <c r="U433" s="2" t="s">
        <v>37</v>
      </c>
      <c r="V433" s="2" t="s">
        <v>38</v>
      </c>
      <c r="W433" s="2" t="s">
        <v>35</v>
      </c>
      <c r="X433" s="2" t="s">
        <v>35</v>
      </c>
      <c r="Y433" s="2" t="s">
        <v>35</v>
      </c>
      <c r="Z433" s="2" t="b">
        <v>0</v>
      </c>
      <c r="AA433" s="2" t="s">
        <v>35</v>
      </c>
      <c r="AB433" s="2" t="s">
        <v>35</v>
      </c>
      <c r="AC433" s="2">
        <v>6</v>
      </c>
      <c r="AD433" s="2" t="s">
        <v>35</v>
      </c>
      <c r="AE433" s="2" t="s">
        <v>688</v>
      </c>
      <c r="AF433" s="11">
        <v>44747.395138888889</v>
      </c>
      <c r="AG433" s="53"/>
      <c r="AH433" s="53" t="b">
        <f t="shared" si="19"/>
        <v>0</v>
      </c>
      <c r="AI433" s="54" t="str" cm="1">
        <f t="array" ref="AI433:AK433">TRANSPOSE(_xlfn._xlws.FILTER(images!L:L,images!F:F=Barrierenmessung!A433, ""))</f>
        <v>https://captureandgo.cloudlab.zhaw.ch/uploads/image_e2b391ad6a.jpg</v>
      </c>
      <c r="AJ433" s="2" t="str">
        <v>https://captureandgo.cloudlab.zhaw.ch/uploads/image_41eab1762c.jpg</v>
      </c>
      <c r="AK433" s="2" t="str">
        <v>https://captureandgo.cloudlab.zhaw.ch/uploads/image_a616306291.jpg</v>
      </c>
      <c r="AL433" s="2"/>
      <c r="AM433" s="2"/>
      <c r="AN433" s="2"/>
    </row>
    <row r="434" spans="1:40" ht="16" x14ac:dyDescent="0.2">
      <c r="A434" s="2" t="s">
        <v>1425</v>
      </c>
      <c r="B434" s="46">
        <v>433</v>
      </c>
      <c r="C434" s="2" t="b">
        <v>0</v>
      </c>
      <c r="D434" s="2" t="b">
        <v>0</v>
      </c>
      <c r="E434" s="2" t="b">
        <v>0</v>
      </c>
      <c r="F434" s="2" t="b">
        <v>0</v>
      </c>
      <c r="G434" s="2" t="s">
        <v>31</v>
      </c>
      <c r="H434" s="2" t="s">
        <v>1426</v>
      </c>
      <c r="I434" s="2" t="s">
        <v>1427</v>
      </c>
      <c r="J434" s="2" t="s">
        <v>35</v>
      </c>
      <c r="K434" s="2" t="s">
        <v>35</v>
      </c>
      <c r="L434" s="2">
        <v>6</v>
      </c>
      <c r="M434" s="2" t="s">
        <v>35</v>
      </c>
      <c r="N434" s="2" t="s">
        <v>35</v>
      </c>
      <c r="O434" s="11">
        <v>44747.397095925924</v>
      </c>
      <c r="P434" s="11">
        <v>44747.397422430557</v>
      </c>
      <c r="Q434" s="27">
        <f t="shared" si="18"/>
        <v>3.2650463253958151E-4</v>
      </c>
      <c r="R434" s="65">
        <f t="shared" si="20"/>
        <v>5.2549768588505685E-4</v>
      </c>
      <c r="S434" s="2">
        <v>0</v>
      </c>
      <c r="T434" s="2" t="s">
        <v>265</v>
      </c>
      <c r="U434" s="2" t="s">
        <v>266</v>
      </c>
      <c r="V434" s="2" t="s">
        <v>38</v>
      </c>
      <c r="W434" s="2" t="s">
        <v>35</v>
      </c>
      <c r="X434" s="2" t="s">
        <v>35</v>
      </c>
      <c r="Y434" s="2" t="s">
        <v>35</v>
      </c>
      <c r="Z434" s="2" t="b">
        <v>0</v>
      </c>
      <c r="AA434" s="2" t="s">
        <v>35</v>
      </c>
      <c r="AB434" s="2" t="s">
        <v>35</v>
      </c>
      <c r="AC434" s="2" t="s">
        <v>35</v>
      </c>
      <c r="AD434" s="2" t="s">
        <v>35</v>
      </c>
      <c r="AE434" s="2" t="s">
        <v>688</v>
      </c>
      <c r="AF434" s="11">
        <v>44747.395138888889</v>
      </c>
      <c r="AG434" s="53"/>
      <c r="AH434" s="53" t="b">
        <f t="shared" si="19"/>
        <v>0</v>
      </c>
      <c r="AI434" s="54" t="str" cm="1">
        <f t="array" ref="AI434">TRANSPOSE(_xlfn._xlws.FILTER(images!L:L,images!F:F=Barrierenmessung!A434, ""))</f>
        <v>https://captureandgo.cloudlab.zhaw.ch/uploads/image_4804273e6e.jpg</v>
      </c>
      <c r="AJ434" s="2"/>
      <c r="AK434" s="2"/>
      <c r="AL434" s="2"/>
      <c r="AM434" s="2"/>
      <c r="AN434" s="2"/>
    </row>
    <row r="435" spans="1:40" ht="16" x14ac:dyDescent="0.2">
      <c r="A435" s="2" t="s">
        <v>1428</v>
      </c>
      <c r="B435" s="46">
        <v>434</v>
      </c>
      <c r="C435" s="2" t="b">
        <v>0</v>
      </c>
      <c r="D435" s="2" t="b">
        <v>0</v>
      </c>
      <c r="E435" s="2" t="b">
        <v>0</v>
      </c>
      <c r="F435" s="2" t="b">
        <v>0</v>
      </c>
      <c r="G435" s="2" t="s">
        <v>31</v>
      </c>
      <c r="H435" s="2" t="s">
        <v>1429</v>
      </c>
      <c r="I435" s="2" t="s">
        <v>1427</v>
      </c>
      <c r="J435" s="2" t="s">
        <v>1430</v>
      </c>
      <c r="K435" s="2" t="s">
        <v>35</v>
      </c>
      <c r="L435" s="2" t="s">
        <v>35</v>
      </c>
      <c r="M435" s="2" t="s">
        <v>35</v>
      </c>
      <c r="N435" s="2" t="s">
        <v>35</v>
      </c>
      <c r="O435" s="11">
        <v>44747.397526527777</v>
      </c>
      <c r="P435" s="11">
        <v>44747.398257511573</v>
      </c>
      <c r="Q435" s="27">
        <f t="shared" si="18"/>
        <v>7.3098379652947187E-4</v>
      </c>
      <c r="R435" s="65">
        <f t="shared" si="20"/>
        <v>8.3508101670304313E-4</v>
      </c>
      <c r="S435" s="2">
        <v>0</v>
      </c>
      <c r="T435" s="2" t="s">
        <v>416</v>
      </c>
      <c r="U435" s="2" t="s">
        <v>417</v>
      </c>
      <c r="V435" s="2" t="s">
        <v>38</v>
      </c>
      <c r="W435" s="2" t="s">
        <v>35</v>
      </c>
      <c r="X435" s="2">
        <v>90</v>
      </c>
      <c r="Y435" s="2" t="s">
        <v>35</v>
      </c>
      <c r="Z435" s="2" t="b">
        <v>0</v>
      </c>
      <c r="AA435" s="2" t="s">
        <v>35</v>
      </c>
      <c r="AB435" s="2" t="s">
        <v>35</v>
      </c>
      <c r="AC435" s="2" t="s">
        <v>35</v>
      </c>
      <c r="AD435" s="2" t="s">
        <v>35</v>
      </c>
      <c r="AE435" s="2" t="s">
        <v>688</v>
      </c>
      <c r="AF435" s="11">
        <v>44747.395138888889</v>
      </c>
      <c r="AG435" s="53"/>
      <c r="AH435" s="53" t="b">
        <f t="shared" si="19"/>
        <v>0</v>
      </c>
      <c r="AI435" s="54" t="str" cm="1">
        <f t="array" ref="AI435:AK435">TRANSPOSE(_xlfn._xlws.FILTER(images!L:L,images!F:F=Barrierenmessung!A435, ""))</f>
        <v>https://captureandgo.cloudlab.zhaw.ch/uploads/image_07ab1348a2.jpg</v>
      </c>
      <c r="AJ435" s="2" t="str">
        <v>https://captureandgo.cloudlab.zhaw.ch/uploads/image_a84d366ae6.jpg</v>
      </c>
      <c r="AK435" s="2" t="str">
        <v>https://captureandgo.cloudlab.zhaw.ch/uploads/image_6fd39a4ee3.jpg</v>
      </c>
      <c r="AL435" s="2"/>
      <c r="AM435" s="2"/>
      <c r="AN435" s="2"/>
    </row>
    <row r="436" spans="1:40" ht="16" x14ac:dyDescent="0.2">
      <c r="A436" s="2" t="s">
        <v>1431</v>
      </c>
      <c r="B436" s="46">
        <v>435</v>
      </c>
      <c r="C436" s="2" t="b">
        <v>0</v>
      </c>
      <c r="D436" s="2" t="b">
        <v>0</v>
      </c>
      <c r="E436" s="2" t="b">
        <v>0</v>
      </c>
      <c r="F436" s="2" t="b">
        <v>0</v>
      </c>
      <c r="G436" s="2" t="s">
        <v>31</v>
      </c>
      <c r="H436" s="2" t="s">
        <v>1432</v>
      </c>
      <c r="I436" s="2" t="s">
        <v>1433</v>
      </c>
      <c r="J436" s="2" t="s">
        <v>35</v>
      </c>
      <c r="K436" s="2" t="s">
        <v>35</v>
      </c>
      <c r="L436" s="2" t="s">
        <v>35</v>
      </c>
      <c r="M436" s="2">
        <v>58</v>
      </c>
      <c r="N436" s="2">
        <v>15</v>
      </c>
      <c r="O436" s="11">
        <v>44747.398316423612</v>
      </c>
      <c r="P436" s="11">
        <v>44747.399309745371</v>
      </c>
      <c r="Q436" s="27">
        <f t="shared" si="18"/>
        <v>9.9332175886956975E-4</v>
      </c>
      <c r="R436" s="65">
        <f t="shared" si="20"/>
        <v>1.0522337979637086E-3</v>
      </c>
      <c r="S436" s="2">
        <v>0</v>
      </c>
      <c r="T436" s="2" t="s">
        <v>54</v>
      </c>
      <c r="U436" s="2" t="s">
        <v>55</v>
      </c>
      <c r="V436" s="2" t="s">
        <v>38</v>
      </c>
      <c r="W436" s="2" t="s">
        <v>35</v>
      </c>
      <c r="X436" s="2" t="s">
        <v>35</v>
      </c>
      <c r="Y436" s="2" t="s">
        <v>35</v>
      </c>
      <c r="Z436" s="2" t="b">
        <v>0</v>
      </c>
      <c r="AA436" s="2" t="s">
        <v>35</v>
      </c>
      <c r="AB436" s="2" t="s">
        <v>35</v>
      </c>
      <c r="AC436" s="2" t="s">
        <v>35</v>
      </c>
      <c r="AD436" s="2" t="s">
        <v>35</v>
      </c>
      <c r="AE436" s="2" t="s">
        <v>688</v>
      </c>
      <c r="AF436" s="11">
        <v>44747.395138888889</v>
      </c>
      <c r="AG436" s="53"/>
      <c r="AH436" s="53" t="b">
        <f t="shared" si="19"/>
        <v>0</v>
      </c>
      <c r="AI436" s="54" t="str" cm="1">
        <f t="array" ref="AI436">TRANSPOSE(_xlfn._xlws.FILTER(images!L:L,images!F:F=Barrierenmessung!A436, ""))</f>
        <v>https://captureandgo.cloudlab.zhaw.ch/uploads/image_a892743881.jpg</v>
      </c>
      <c r="AJ436" s="2"/>
      <c r="AK436" s="2"/>
      <c r="AL436" s="2"/>
      <c r="AM436" s="2"/>
      <c r="AN436" s="2"/>
    </row>
    <row r="437" spans="1:40" ht="16" x14ac:dyDescent="0.2">
      <c r="A437" s="2" t="s">
        <v>1434</v>
      </c>
      <c r="B437" s="46">
        <v>436</v>
      </c>
      <c r="C437" s="2" t="b">
        <v>0</v>
      </c>
      <c r="D437" s="2" t="b">
        <v>0</v>
      </c>
      <c r="E437" s="2" t="b">
        <v>0</v>
      </c>
      <c r="F437" s="2" t="b">
        <v>0</v>
      </c>
      <c r="G437" s="2" t="s">
        <v>31</v>
      </c>
      <c r="H437" s="2" t="s">
        <v>1435</v>
      </c>
      <c r="I437" s="2" t="s">
        <v>1436</v>
      </c>
      <c r="J437" s="2" t="s">
        <v>736</v>
      </c>
      <c r="K437" s="2" t="s">
        <v>35</v>
      </c>
      <c r="L437" s="2" t="s">
        <v>35</v>
      </c>
      <c r="M437" s="2" t="s">
        <v>35</v>
      </c>
      <c r="N437" s="2" t="s">
        <v>35</v>
      </c>
      <c r="O437" s="11">
        <v>44747.400510451385</v>
      </c>
      <c r="P437" s="11">
        <v>44747.400771157409</v>
      </c>
      <c r="Q437" s="27">
        <f t="shared" si="18"/>
        <v>2.6070602325489745E-4</v>
      </c>
      <c r="R437" s="65">
        <f t="shared" si="20"/>
        <v>1.4614120373153128E-3</v>
      </c>
      <c r="S437" s="2">
        <v>0</v>
      </c>
      <c r="T437" s="2" t="s">
        <v>36</v>
      </c>
      <c r="U437" s="2" t="s">
        <v>37</v>
      </c>
      <c r="V437" s="2" t="s">
        <v>38</v>
      </c>
      <c r="W437" s="2" t="s">
        <v>35</v>
      </c>
      <c r="X437" s="2" t="s">
        <v>35</v>
      </c>
      <c r="Y437" s="2" t="s">
        <v>35</v>
      </c>
      <c r="Z437" s="2" t="b">
        <v>0</v>
      </c>
      <c r="AA437" s="2" t="s">
        <v>35</v>
      </c>
      <c r="AB437" s="2" t="s">
        <v>35</v>
      </c>
      <c r="AC437" s="2">
        <v>7</v>
      </c>
      <c r="AD437" s="2">
        <v>2</v>
      </c>
      <c r="AE437" s="2" t="s">
        <v>688</v>
      </c>
      <c r="AF437" s="11">
        <v>44747.395138888889</v>
      </c>
      <c r="AG437" s="53"/>
      <c r="AH437" s="53" t="b">
        <f t="shared" si="19"/>
        <v>0</v>
      </c>
      <c r="AI437" s="54" t="str" cm="1">
        <f t="array" ref="AI437">TRANSPOSE(_xlfn._xlws.FILTER(images!L:L,images!F:F=Barrierenmessung!A437, ""))</f>
        <v>https://captureandgo.cloudlab.zhaw.ch/uploads/image_4bb8a3123a.jpg</v>
      </c>
      <c r="AJ437" s="2"/>
      <c r="AK437" s="2"/>
      <c r="AL437" s="2"/>
      <c r="AM437" s="2"/>
      <c r="AN437" s="2"/>
    </row>
    <row r="438" spans="1:40" ht="16" x14ac:dyDescent="0.2">
      <c r="A438" s="2" t="s">
        <v>1437</v>
      </c>
      <c r="B438" s="46">
        <v>437</v>
      </c>
      <c r="C438" s="2" t="b">
        <v>0</v>
      </c>
      <c r="D438" s="2" t="b">
        <v>0</v>
      </c>
      <c r="E438" s="2" t="b">
        <v>0</v>
      </c>
      <c r="F438" s="2" t="b">
        <v>0</v>
      </c>
      <c r="G438" s="2" t="s">
        <v>31</v>
      </c>
      <c r="H438" s="2" t="s">
        <v>1438</v>
      </c>
      <c r="I438" s="2" t="s">
        <v>1439</v>
      </c>
      <c r="J438" s="2" t="s">
        <v>1124</v>
      </c>
      <c r="K438" s="2" t="s">
        <v>35</v>
      </c>
      <c r="L438" s="2" t="s">
        <v>35</v>
      </c>
      <c r="M438" s="2" t="s">
        <v>35</v>
      </c>
      <c r="N438" s="2" t="s">
        <v>35</v>
      </c>
      <c r="O438" s="11">
        <v>44747.40213141204</v>
      </c>
      <c r="P438" s="11">
        <v>44747.40244258102</v>
      </c>
      <c r="Q438" s="27">
        <f t="shared" si="18"/>
        <v>3.1116898026084527E-4</v>
      </c>
      <c r="R438" s="65">
        <f t="shared" si="20"/>
        <v>1.6714236116968095E-3</v>
      </c>
      <c r="S438" s="2">
        <v>0</v>
      </c>
      <c r="T438" s="2" t="s">
        <v>109</v>
      </c>
      <c r="U438" s="2" t="s">
        <v>110</v>
      </c>
      <c r="V438" s="2" t="s">
        <v>38</v>
      </c>
      <c r="W438" s="2" t="s">
        <v>35</v>
      </c>
      <c r="X438" s="2">
        <v>117</v>
      </c>
      <c r="Y438" s="2" t="s">
        <v>1440</v>
      </c>
      <c r="Z438" s="2" t="b">
        <v>0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688</v>
      </c>
      <c r="AF438" s="11">
        <v>44747.395138888889</v>
      </c>
      <c r="AG438" s="53"/>
      <c r="AH438" s="53" t="b">
        <f t="shared" si="19"/>
        <v>0</v>
      </c>
      <c r="AI438" s="54" t="str" cm="1">
        <f t="array" ref="AI438">TRANSPOSE(_xlfn._xlws.FILTER(images!L:L,images!F:F=Barrierenmessung!A438, ""))</f>
        <v>https://captureandgo.cloudlab.zhaw.ch/uploads/image_5ddfa60fe1.jpg</v>
      </c>
      <c r="AJ438" s="2"/>
      <c r="AK438" s="2"/>
      <c r="AL438" s="2"/>
      <c r="AM438" s="2"/>
      <c r="AN438" s="2"/>
    </row>
    <row r="439" spans="1:40" ht="16" x14ac:dyDescent="0.2">
      <c r="A439" s="2" t="s">
        <v>1441</v>
      </c>
      <c r="B439" s="46">
        <v>438</v>
      </c>
      <c r="C439" s="2" t="b">
        <v>0</v>
      </c>
      <c r="D439" s="2" t="b">
        <v>0</v>
      </c>
      <c r="E439" s="2" t="b">
        <v>0</v>
      </c>
      <c r="F439" s="2" t="b">
        <v>0</v>
      </c>
      <c r="G439" s="2" t="s">
        <v>31</v>
      </c>
      <c r="H439" s="2" t="s">
        <v>1442</v>
      </c>
      <c r="I439" s="2" t="s">
        <v>1443</v>
      </c>
      <c r="J439" s="2" t="s">
        <v>1444</v>
      </c>
      <c r="K439" s="2" t="s">
        <v>35</v>
      </c>
      <c r="L439" s="2" t="s">
        <v>35</v>
      </c>
      <c r="M439" s="2" t="s">
        <v>35</v>
      </c>
      <c r="N439" s="2" t="s">
        <v>35</v>
      </c>
      <c r="O439" s="11">
        <v>44747.403844641201</v>
      </c>
      <c r="P439" s="11">
        <v>44747.404262337965</v>
      </c>
      <c r="Q439" s="27">
        <f t="shared" si="18"/>
        <v>4.1769676317926496E-4</v>
      </c>
      <c r="R439" s="65">
        <f t="shared" si="20"/>
        <v>1.8197569443145767E-3</v>
      </c>
      <c r="S439" s="2">
        <v>0</v>
      </c>
      <c r="T439" s="2" t="s">
        <v>36</v>
      </c>
      <c r="U439" s="2" t="s">
        <v>37</v>
      </c>
      <c r="V439" s="2" t="s">
        <v>38</v>
      </c>
      <c r="W439" s="2" t="s">
        <v>35</v>
      </c>
      <c r="X439" s="2" t="s">
        <v>35</v>
      </c>
      <c r="Y439" s="2" t="s">
        <v>35</v>
      </c>
      <c r="Z439" s="2" t="b">
        <v>0</v>
      </c>
      <c r="AA439" s="2" t="s">
        <v>35</v>
      </c>
      <c r="AB439" s="2" t="s">
        <v>35</v>
      </c>
      <c r="AC439" s="2">
        <v>5</v>
      </c>
      <c r="AD439" s="2" t="s">
        <v>35</v>
      </c>
      <c r="AE439" s="2" t="s">
        <v>688</v>
      </c>
      <c r="AF439" s="11">
        <v>44747.395138888889</v>
      </c>
      <c r="AG439" s="53"/>
      <c r="AH439" s="53" t="b">
        <f t="shared" si="19"/>
        <v>0</v>
      </c>
      <c r="AI439" s="54" t="str" cm="1">
        <f t="array" ref="AI439">TRANSPOSE(_xlfn._xlws.FILTER(images!L:L,images!F:F=Barrierenmessung!A439, ""))</f>
        <v>https://captureandgo.cloudlab.zhaw.ch/uploads/image_d936b12e7a.jpg</v>
      </c>
      <c r="AJ439" s="2"/>
      <c r="AK439" s="2"/>
      <c r="AL439" s="2"/>
      <c r="AM439" s="2"/>
      <c r="AN439" s="2"/>
    </row>
    <row r="440" spans="1:40" ht="16" x14ac:dyDescent="0.2">
      <c r="A440" s="2" t="s">
        <v>1445</v>
      </c>
      <c r="B440" s="46">
        <v>439</v>
      </c>
      <c r="C440" s="2" t="b">
        <v>0</v>
      </c>
      <c r="D440" s="2" t="b">
        <v>0</v>
      </c>
      <c r="E440" s="2" t="b">
        <v>0</v>
      </c>
      <c r="F440" s="2" t="b">
        <v>0</v>
      </c>
      <c r="G440" s="2" t="s">
        <v>31</v>
      </c>
      <c r="H440" s="2" t="s">
        <v>1446</v>
      </c>
      <c r="I440" s="2" t="s">
        <v>1447</v>
      </c>
      <c r="J440" s="2" t="s">
        <v>35</v>
      </c>
      <c r="K440" s="2" t="s">
        <v>35</v>
      </c>
      <c r="L440" s="2" t="s">
        <v>35</v>
      </c>
      <c r="M440" s="2">
        <v>12</v>
      </c>
      <c r="N440" s="2">
        <v>17</v>
      </c>
      <c r="O440" s="11">
        <v>44747.404944421294</v>
      </c>
      <c r="P440" s="11">
        <v>44747.405394780093</v>
      </c>
      <c r="Q440" s="27">
        <f t="shared" si="18"/>
        <v>4.5035879884380847E-4</v>
      </c>
      <c r="R440" s="65">
        <f t="shared" si="20"/>
        <v>1.1324421284371056E-3</v>
      </c>
      <c r="S440" s="2">
        <v>0</v>
      </c>
      <c r="T440" s="2" t="s">
        <v>54</v>
      </c>
      <c r="U440" s="2" t="s">
        <v>55</v>
      </c>
      <c r="V440" s="2" t="s">
        <v>38</v>
      </c>
      <c r="W440" s="2" t="s">
        <v>35</v>
      </c>
      <c r="X440" s="2" t="s">
        <v>35</v>
      </c>
      <c r="Y440" s="2" t="s">
        <v>35</v>
      </c>
      <c r="Z440" s="2" t="b">
        <v>0</v>
      </c>
      <c r="AA440" s="2" t="s">
        <v>35</v>
      </c>
      <c r="AB440" s="2" t="s">
        <v>35</v>
      </c>
      <c r="AC440" s="2" t="s">
        <v>35</v>
      </c>
      <c r="AD440" s="2" t="s">
        <v>35</v>
      </c>
      <c r="AE440" s="2" t="s">
        <v>688</v>
      </c>
      <c r="AF440" s="11">
        <v>44747.395138888889</v>
      </c>
      <c r="AG440" s="53"/>
      <c r="AH440" s="53" t="b">
        <f t="shared" si="19"/>
        <v>0</v>
      </c>
      <c r="AI440" s="54" t="str" cm="1">
        <f t="array" ref="AI440">TRANSPOSE(_xlfn._xlws.FILTER(images!L:L,images!F:F=Barrierenmessung!A440, ""))</f>
        <v>https://captureandgo.cloudlab.zhaw.ch/uploads/image_691e83768f.jpg</v>
      </c>
      <c r="AJ440" s="2"/>
      <c r="AK440" s="2"/>
      <c r="AL440" s="2"/>
      <c r="AM440" s="2"/>
      <c r="AN440" s="2"/>
    </row>
    <row r="441" spans="1:40" ht="16" x14ac:dyDescent="0.2">
      <c r="A441" s="2" t="s">
        <v>1448</v>
      </c>
      <c r="B441" s="46">
        <v>440</v>
      </c>
      <c r="C441" s="2" t="b">
        <v>0</v>
      </c>
      <c r="D441" s="2" t="b">
        <v>0</v>
      </c>
      <c r="E441" s="2" t="b">
        <v>0</v>
      </c>
      <c r="F441" s="2" t="b">
        <v>0</v>
      </c>
      <c r="G441" s="2" t="s">
        <v>31</v>
      </c>
      <c r="H441" s="2" t="s">
        <v>1449</v>
      </c>
      <c r="I441" s="2" t="s">
        <v>1450</v>
      </c>
      <c r="J441" s="2" t="s">
        <v>35</v>
      </c>
      <c r="K441" s="2" t="s">
        <v>35</v>
      </c>
      <c r="L441" s="2" t="s">
        <v>35</v>
      </c>
      <c r="M441" s="2">
        <v>19</v>
      </c>
      <c r="N441" s="2">
        <v>16</v>
      </c>
      <c r="O441" s="11">
        <v>44747.405451481478</v>
      </c>
      <c r="P441" s="11">
        <v>44747.405873402779</v>
      </c>
      <c r="Q441" s="27">
        <f t="shared" si="18"/>
        <v>4.2192130058538169E-4</v>
      </c>
      <c r="R441" s="65">
        <f t="shared" si="20"/>
        <v>4.7862268547760323E-4</v>
      </c>
      <c r="S441" s="2">
        <v>0</v>
      </c>
      <c r="T441" s="2" t="s">
        <v>54</v>
      </c>
      <c r="U441" s="2" t="s">
        <v>55</v>
      </c>
      <c r="V441" s="2" t="s">
        <v>38</v>
      </c>
      <c r="W441" s="2" t="s">
        <v>35</v>
      </c>
      <c r="X441" s="2" t="s">
        <v>35</v>
      </c>
      <c r="Y441" s="2" t="s">
        <v>35</v>
      </c>
      <c r="Z441" s="2" t="b">
        <v>0</v>
      </c>
      <c r="AA441" s="2" t="s">
        <v>35</v>
      </c>
      <c r="AB441" s="2" t="s">
        <v>35</v>
      </c>
      <c r="AC441" s="2" t="s">
        <v>35</v>
      </c>
      <c r="AD441" s="2" t="s">
        <v>35</v>
      </c>
      <c r="AE441" s="2" t="s">
        <v>688</v>
      </c>
      <c r="AF441" s="11">
        <v>44747.395138888889</v>
      </c>
      <c r="AG441" s="53"/>
      <c r="AH441" s="53" t="b">
        <f t="shared" si="19"/>
        <v>0</v>
      </c>
      <c r="AI441" s="54" t="str" cm="1">
        <f t="array" ref="AI441">TRANSPOSE(_xlfn._xlws.FILTER(images!L:L,images!F:F=Barrierenmessung!A441, ""))</f>
        <v>https://captureandgo.cloudlab.zhaw.ch/uploads/image_a30230e348.jpg</v>
      </c>
      <c r="AJ441" s="2"/>
      <c r="AK441" s="2"/>
      <c r="AL441" s="2"/>
      <c r="AM441" s="2"/>
      <c r="AN441" s="2"/>
    </row>
    <row r="442" spans="1:40" ht="16" x14ac:dyDescent="0.2">
      <c r="A442" s="2" t="s">
        <v>1451</v>
      </c>
      <c r="B442" s="46">
        <v>441</v>
      </c>
      <c r="C442" s="2" t="b">
        <v>0</v>
      </c>
      <c r="D442" s="2" t="b">
        <v>0</v>
      </c>
      <c r="E442" s="2" t="b">
        <v>0</v>
      </c>
      <c r="F442" s="2" t="b">
        <v>0</v>
      </c>
      <c r="G442" s="2" t="s">
        <v>31</v>
      </c>
      <c r="H442" s="2" t="s">
        <v>1452</v>
      </c>
      <c r="I442" s="2" t="s">
        <v>1453</v>
      </c>
      <c r="J442" s="2" t="s">
        <v>736</v>
      </c>
      <c r="K442" s="2" t="s">
        <v>35</v>
      </c>
      <c r="L442" s="2" t="s">
        <v>35</v>
      </c>
      <c r="M442" s="2" t="s">
        <v>35</v>
      </c>
      <c r="N442" s="2" t="s">
        <v>35</v>
      </c>
      <c r="O442" s="11">
        <v>44747.408570844906</v>
      </c>
      <c r="P442" s="11">
        <v>44747.409111099536</v>
      </c>
      <c r="Q442" s="27">
        <f t="shared" si="18"/>
        <v>5.4025463032303378E-4</v>
      </c>
      <c r="R442" s="65">
        <f t="shared" si="20"/>
        <v>3.2376967574236915E-3</v>
      </c>
      <c r="S442" s="2">
        <v>0</v>
      </c>
      <c r="T442" s="2" t="s">
        <v>36</v>
      </c>
      <c r="U442" s="2" t="s">
        <v>37</v>
      </c>
      <c r="V442" s="2" t="s">
        <v>38</v>
      </c>
      <c r="W442" s="2" t="s">
        <v>35</v>
      </c>
      <c r="X442" s="2" t="s">
        <v>35</v>
      </c>
      <c r="Y442" s="2" t="s">
        <v>35</v>
      </c>
      <c r="Z442" s="2" t="b">
        <v>0</v>
      </c>
      <c r="AA442" s="2" t="s">
        <v>35</v>
      </c>
      <c r="AB442" s="2" t="s">
        <v>35</v>
      </c>
      <c r="AC442" s="2">
        <v>6</v>
      </c>
      <c r="AD442" s="2" t="s">
        <v>35</v>
      </c>
      <c r="AE442" s="2" t="s">
        <v>688</v>
      </c>
      <c r="AF442" s="11">
        <v>44747.395138888889</v>
      </c>
      <c r="AG442" s="53"/>
      <c r="AH442" s="53" t="b">
        <f t="shared" si="19"/>
        <v>0</v>
      </c>
      <c r="AI442" s="54" t="str" cm="1">
        <f t="array" ref="AI442">TRANSPOSE(_xlfn._xlws.FILTER(images!L:L,images!F:F=Barrierenmessung!A442, ""))</f>
        <v>https://captureandgo.cloudlab.zhaw.ch/uploads/image_a9a2c9d331.jpg</v>
      </c>
      <c r="AJ442" s="2"/>
      <c r="AK442" s="2"/>
      <c r="AL442" s="2"/>
      <c r="AM442" s="2"/>
      <c r="AN442" s="2"/>
    </row>
    <row r="443" spans="1:40" ht="16" x14ac:dyDescent="0.2">
      <c r="A443" s="2" t="s">
        <v>1454</v>
      </c>
      <c r="B443" s="46">
        <v>442</v>
      </c>
      <c r="C443" s="2" t="b">
        <v>0</v>
      </c>
      <c r="D443" s="2" t="b">
        <v>0</v>
      </c>
      <c r="E443" s="2" t="b">
        <v>0</v>
      </c>
      <c r="F443" s="2" t="b">
        <v>0</v>
      </c>
      <c r="G443" s="2" t="s">
        <v>31</v>
      </c>
      <c r="H443" s="2" t="s">
        <v>1455</v>
      </c>
      <c r="I443" s="2" t="s">
        <v>1456</v>
      </c>
      <c r="J443" s="2" t="s">
        <v>35</v>
      </c>
      <c r="K443" s="2" t="s">
        <v>35</v>
      </c>
      <c r="L443" s="2" t="s">
        <v>35</v>
      </c>
      <c r="M443" s="2" t="s">
        <v>35</v>
      </c>
      <c r="N443" s="2" t="s">
        <v>35</v>
      </c>
      <c r="O443" s="11">
        <v>44747.40978577546</v>
      </c>
      <c r="P443" s="11">
        <v>44747.409916458331</v>
      </c>
      <c r="Q443" s="27">
        <f t="shared" si="18"/>
        <v>1.3068287080386654E-4</v>
      </c>
      <c r="R443" s="65">
        <f t="shared" si="20"/>
        <v>8.0535879533272237E-4</v>
      </c>
      <c r="S443" s="2">
        <v>0</v>
      </c>
      <c r="T443" s="2" t="s">
        <v>36</v>
      </c>
      <c r="U443" s="2" t="s">
        <v>37</v>
      </c>
      <c r="V443" s="2" t="s">
        <v>38</v>
      </c>
      <c r="W443" s="2" t="s">
        <v>35</v>
      </c>
      <c r="X443" s="2" t="s">
        <v>35</v>
      </c>
      <c r="Y443" s="2" t="s">
        <v>35</v>
      </c>
      <c r="Z443" s="2" t="b">
        <v>0</v>
      </c>
      <c r="AA443" s="2" t="s">
        <v>35</v>
      </c>
      <c r="AB443" s="2" t="s">
        <v>35</v>
      </c>
      <c r="AC443" s="2" t="s">
        <v>35</v>
      </c>
      <c r="AD443" s="2">
        <v>3</v>
      </c>
      <c r="AE443" s="2" t="s">
        <v>688</v>
      </c>
      <c r="AF443" s="11">
        <v>44747.395138888889</v>
      </c>
      <c r="AG443" s="53"/>
      <c r="AH443" s="53" t="b">
        <f t="shared" si="19"/>
        <v>0</v>
      </c>
      <c r="AI443" s="54" t="str" cm="1">
        <f t="array" ref="AI443">TRANSPOSE(_xlfn._xlws.FILTER(images!L:L,images!F:F=Barrierenmessung!A443, ""))</f>
        <v>https://captureandgo.cloudlab.zhaw.ch/uploads/image_4c25a5b0c4.jpg</v>
      </c>
      <c r="AJ443" s="2"/>
      <c r="AK443" s="2"/>
      <c r="AL443" s="2"/>
      <c r="AM443" s="2"/>
      <c r="AN443" s="2"/>
    </row>
    <row r="444" spans="1:40" ht="16" x14ac:dyDescent="0.2">
      <c r="A444" s="2" t="s">
        <v>1457</v>
      </c>
      <c r="B444" s="46">
        <v>443</v>
      </c>
      <c r="C444" s="2" t="b">
        <v>0</v>
      </c>
      <c r="D444" s="2" t="b">
        <v>0</v>
      </c>
      <c r="E444" s="2" t="b">
        <v>0</v>
      </c>
      <c r="F444" s="2" t="b">
        <v>0</v>
      </c>
      <c r="G444" s="2" t="s">
        <v>31</v>
      </c>
      <c r="H444" s="2" t="s">
        <v>1458</v>
      </c>
      <c r="I444" s="2" t="s">
        <v>1459</v>
      </c>
      <c r="J444" s="2" t="s">
        <v>1460</v>
      </c>
      <c r="K444" s="2" t="s">
        <v>35</v>
      </c>
      <c r="L444" s="2" t="s">
        <v>35</v>
      </c>
      <c r="M444" s="2" t="s">
        <v>35</v>
      </c>
      <c r="N444" s="2" t="s">
        <v>35</v>
      </c>
      <c r="O444" s="11">
        <v>44747.411463923614</v>
      </c>
      <c r="P444" s="11">
        <v>44747.4117772338</v>
      </c>
      <c r="Q444" s="27">
        <f t="shared" si="18"/>
        <v>3.1331018544733524E-4</v>
      </c>
      <c r="R444" s="65">
        <f t="shared" si="20"/>
        <v>1.8607754682307132E-3</v>
      </c>
      <c r="S444" s="2">
        <v>0</v>
      </c>
      <c r="T444" s="2" t="s">
        <v>36</v>
      </c>
      <c r="U444" s="2" t="s">
        <v>37</v>
      </c>
      <c r="V444" s="2" t="s">
        <v>38</v>
      </c>
      <c r="W444" s="2" t="s">
        <v>35</v>
      </c>
      <c r="X444" s="2" t="s">
        <v>35</v>
      </c>
      <c r="Y444" s="2" t="s">
        <v>35</v>
      </c>
      <c r="Z444" s="2" t="b">
        <v>0</v>
      </c>
      <c r="AA444" s="2" t="s">
        <v>35</v>
      </c>
      <c r="AB444" s="2" t="s">
        <v>35</v>
      </c>
      <c r="AC444" s="2">
        <v>5</v>
      </c>
      <c r="AD444" s="2">
        <v>3</v>
      </c>
      <c r="AE444" s="2" t="s">
        <v>688</v>
      </c>
      <c r="AF444" s="11">
        <v>44747.395138888889</v>
      </c>
      <c r="AG444" s="53"/>
      <c r="AH444" s="53" t="b">
        <f t="shared" si="19"/>
        <v>0</v>
      </c>
      <c r="AI444" s="54" t="str" cm="1">
        <f t="array" ref="AI444">TRANSPOSE(_xlfn._xlws.FILTER(images!L:L,images!F:F=Barrierenmessung!A444, ""))</f>
        <v>https://captureandgo.cloudlab.zhaw.ch/uploads/image_6d5b9191c5.jpg</v>
      </c>
      <c r="AJ444" s="2"/>
      <c r="AK444" s="2"/>
      <c r="AL444" s="2"/>
      <c r="AM444" s="2"/>
      <c r="AN444" s="2"/>
    </row>
    <row r="445" spans="1:40" ht="16" x14ac:dyDescent="0.2">
      <c r="A445" s="46" t="s">
        <v>1461</v>
      </c>
      <c r="B445" s="46">
        <v>444</v>
      </c>
      <c r="C445" s="46" t="b">
        <v>0</v>
      </c>
      <c r="D445" s="46" t="b">
        <v>0</v>
      </c>
      <c r="E445" s="46" t="b">
        <v>0</v>
      </c>
      <c r="F445" s="46" t="b">
        <v>0</v>
      </c>
      <c r="G445" s="46" t="s">
        <v>31</v>
      </c>
      <c r="H445" s="46" t="s">
        <v>1462</v>
      </c>
      <c r="I445" s="46" t="s">
        <v>1463</v>
      </c>
      <c r="J445" s="46" t="s">
        <v>675</v>
      </c>
      <c r="K445" s="46" t="s">
        <v>35</v>
      </c>
      <c r="L445" s="46" t="s">
        <v>35</v>
      </c>
      <c r="M445" s="46" t="s">
        <v>35</v>
      </c>
      <c r="N445" s="46" t="s">
        <v>35</v>
      </c>
      <c r="O445" s="66">
        <v>44747.42669857639</v>
      </c>
      <c r="P445" s="66">
        <v>44747.427022569442</v>
      </c>
      <c r="Q445" s="65">
        <f t="shared" si="18"/>
        <v>3.2399305200669914E-4</v>
      </c>
      <c r="R445" s="65">
        <f t="shared" si="20"/>
        <v>1.3281249994179234E-3</v>
      </c>
      <c r="S445" s="46">
        <v>0</v>
      </c>
      <c r="T445" s="46" t="s">
        <v>124</v>
      </c>
      <c r="U445" s="46" t="s">
        <v>125</v>
      </c>
      <c r="V445" s="46" t="s">
        <v>38</v>
      </c>
      <c r="W445" s="46" t="s">
        <v>35</v>
      </c>
      <c r="X445" s="46" t="s">
        <v>35</v>
      </c>
      <c r="Y445" s="46" t="s">
        <v>35</v>
      </c>
      <c r="Z445" s="46" t="b">
        <v>0</v>
      </c>
      <c r="AA445" s="46" t="s">
        <v>35</v>
      </c>
      <c r="AB445" s="46">
        <v>4</v>
      </c>
      <c r="AC445" s="46" t="s">
        <v>35</v>
      </c>
      <c r="AD445" s="46" t="s">
        <v>35</v>
      </c>
      <c r="AE445" s="46" t="s">
        <v>1464</v>
      </c>
      <c r="AF445" s="66">
        <v>44747.425694444442</v>
      </c>
      <c r="AG445" s="67" t="s">
        <v>9408</v>
      </c>
      <c r="AH445" s="53" t="b">
        <f t="shared" si="19"/>
        <v>0</v>
      </c>
      <c r="AI445" s="73" t="str" cm="1">
        <f t="array" ref="AI445">TRANSPOSE(_xlfn._xlws.FILTER(images!L:L,images!F:F=Barrierenmessung!A445, ""))</f>
        <v>https://captureandgo.cloudlab.zhaw.ch/uploads/image_15732d0685.jpg</v>
      </c>
      <c r="AJ445" s="46"/>
      <c r="AK445" s="46"/>
      <c r="AL445" s="46"/>
      <c r="AM445" s="46"/>
      <c r="AN445" s="46"/>
    </row>
    <row r="446" spans="1:40" ht="16" x14ac:dyDescent="0.2">
      <c r="A446" s="2" t="s">
        <v>1465</v>
      </c>
      <c r="B446" s="46">
        <v>445</v>
      </c>
      <c r="C446" s="2" t="b">
        <v>0</v>
      </c>
      <c r="D446" s="2" t="b">
        <v>0</v>
      </c>
      <c r="E446" s="2" t="b">
        <v>0</v>
      </c>
      <c r="F446" s="2" t="b">
        <v>0</v>
      </c>
      <c r="G446" s="2" t="s">
        <v>31</v>
      </c>
      <c r="H446" s="2" t="s">
        <v>1466</v>
      </c>
      <c r="I446" s="2" t="s">
        <v>1467</v>
      </c>
      <c r="J446" s="2" t="s">
        <v>1468</v>
      </c>
      <c r="K446" s="2" t="s">
        <v>35</v>
      </c>
      <c r="L446" s="2" t="s">
        <v>35</v>
      </c>
      <c r="M446" s="2" t="s">
        <v>35</v>
      </c>
      <c r="N446" s="2" t="s">
        <v>35</v>
      </c>
      <c r="O446" s="11">
        <v>44747.42753400463</v>
      </c>
      <c r="P446" s="11">
        <v>44747.427807048611</v>
      </c>
      <c r="Q446" s="27">
        <f t="shared" si="18"/>
        <v>2.7304398099659011E-4</v>
      </c>
      <c r="R446" s="65">
        <f t="shared" si="20"/>
        <v>7.8447916894219816E-4</v>
      </c>
      <c r="S446" s="2">
        <v>0</v>
      </c>
      <c r="T446" s="2" t="s">
        <v>109</v>
      </c>
      <c r="U446" s="2" t="s">
        <v>110</v>
      </c>
      <c r="V446" s="2" t="s">
        <v>38</v>
      </c>
      <c r="W446" s="2" t="s">
        <v>35</v>
      </c>
      <c r="X446" s="2">
        <v>115</v>
      </c>
      <c r="Y446" s="2" t="s">
        <v>35</v>
      </c>
      <c r="Z446" s="2" t="b">
        <v>0</v>
      </c>
      <c r="AA446" s="2" t="s">
        <v>35</v>
      </c>
      <c r="AB446" s="2" t="s">
        <v>35</v>
      </c>
      <c r="AC446" s="2" t="s">
        <v>35</v>
      </c>
      <c r="AD446" s="2" t="s">
        <v>35</v>
      </c>
      <c r="AE446" s="2" t="s">
        <v>1464</v>
      </c>
      <c r="AF446" s="11">
        <v>44747.425694444442</v>
      </c>
      <c r="AG446" s="53"/>
      <c r="AH446" s="53" t="b">
        <f t="shared" si="19"/>
        <v>0</v>
      </c>
      <c r="AI446" s="54" t="str" cm="1">
        <f t="array" ref="AI446">TRANSPOSE(_xlfn._xlws.FILTER(images!L:L,images!F:F=Barrierenmessung!A446, ""))</f>
        <v>https://captureandgo.cloudlab.zhaw.ch/uploads/image_f163e6f4b7.jpg</v>
      </c>
      <c r="AJ446" s="2"/>
      <c r="AK446" s="2"/>
      <c r="AL446" s="2"/>
      <c r="AM446" s="2"/>
      <c r="AN446" s="2"/>
    </row>
    <row r="447" spans="1:40" ht="16" x14ac:dyDescent="0.2">
      <c r="A447" s="2" t="s">
        <v>1469</v>
      </c>
      <c r="B447" s="46">
        <v>446</v>
      </c>
      <c r="C447" s="2" t="b">
        <v>0</v>
      </c>
      <c r="D447" s="2" t="b">
        <v>0</v>
      </c>
      <c r="E447" s="2" t="b">
        <v>0</v>
      </c>
      <c r="F447" s="2" t="b">
        <v>0</v>
      </c>
      <c r="G447" s="2" t="s">
        <v>31</v>
      </c>
      <c r="H447" s="2" t="s">
        <v>1470</v>
      </c>
      <c r="I447" s="2" t="s">
        <v>1471</v>
      </c>
      <c r="J447" s="2" t="s">
        <v>35</v>
      </c>
      <c r="K447" s="2" t="s">
        <v>35</v>
      </c>
      <c r="L447" s="2">
        <v>14</v>
      </c>
      <c r="M447" s="2" t="s">
        <v>35</v>
      </c>
      <c r="N447" s="2" t="s">
        <v>35</v>
      </c>
      <c r="O447" s="11">
        <v>44747.427976099534</v>
      </c>
      <c r="P447" s="11">
        <v>44747.428400775461</v>
      </c>
      <c r="Q447" s="27">
        <f t="shared" si="18"/>
        <v>4.2467592720640823E-4</v>
      </c>
      <c r="R447" s="65">
        <f t="shared" si="20"/>
        <v>5.9372685063863173E-4</v>
      </c>
      <c r="S447" s="2">
        <v>0</v>
      </c>
      <c r="T447" s="2" t="s">
        <v>265</v>
      </c>
      <c r="U447" s="2" t="s">
        <v>266</v>
      </c>
      <c r="V447" s="2" t="s">
        <v>38</v>
      </c>
      <c r="W447" s="2" t="s">
        <v>35</v>
      </c>
      <c r="X447" s="2" t="s">
        <v>35</v>
      </c>
      <c r="Y447" s="2" t="s">
        <v>35</v>
      </c>
      <c r="Z447" s="2" t="b">
        <v>0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2" t="s">
        <v>1464</v>
      </c>
      <c r="AF447" s="11">
        <v>44747.425694386577</v>
      </c>
      <c r="AG447" s="53"/>
      <c r="AH447" s="53" t="b">
        <f t="shared" si="19"/>
        <v>0</v>
      </c>
      <c r="AI447" s="54" t="str" cm="1">
        <f t="array" ref="AI447">TRANSPOSE(_xlfn._xlws.FILTER(images!L:L,images!F:F=Barrierenmessung!A447, ""))</f>
        <v>https://captureandgo.cloudlab.zhaw.ch/uploads/image_5d919b266e.jpg</v>
      </c>
      <c r="AJ447" s="2"/>
      <c r="AK447" s="2"/>
      <c r="AL447" s="2"/>
      <c r="AM447" s="2"/>
      <c r="AN447" s="2"/>
    </row>
    <row r="448" spans="1:40" ht="16" x14ac:dyDescent="0.2">
      <c r="A448" s="2" t="s">
        <v>1472</v>
      </c>
      <c r="B448" s="46">
        <v>447</v>
      </c>
      <c r="C448" s="2" t="b">
        <v>0</v>
      </c>
      <c r="D448" s="2" t="b">
        <v>0</v>
      </c>
      <c r="E448" s="2" t="b">
        <v>0</v>
      </c>
      <c r="F448" s="2" t="b">
        <v>0</v>
      </c>
      <c r="G448" s="2" t="s">
        <v>31</v>
      </c>
      <c r="H448" s="2" t="s">
        <v>1473</v>
      </c>
      <c r="I448" s="2" t="s">
        <v>1474</v>
      </c>
      <c r="J448" s="2" t="s">
        <v>1475</v>
      </c>
      <c r="K448" s="2" t="s">
        <v>35</v>
      </c>
      <c r="L448" s="2" t="s">
        <v>35</v>
      </c>
      <c r="M448" s="2" t="s">
        <v>35</v>
      </c>
      <c r="N448" s="2" t="s">
        <v>35</v>
      </c>
      <c r="O448" s="11">
        <v>44747.429007766201</v>
      </c>
      <c r="P448" s="11">
        <v>44747.429175451391</v>
      </c>
      <c r="Q448" s="27">
        <f t="shared" si="18"/>
        <v>1.676851898082532E-4</v>
      </c>
      <c r="R448" s="65">
        <f t="shared" si="20"/>
        <v>7.7467592927860096E-4</v>
      </c>
      <c r="S448" s="2">
        <v>0</v>
      </c>
      <c r="T448" s="2" t="s">
        <v>109</v>
      </c>
      <c r="U448" s="2" t="s">
        <v>110</v>
      </c>
      <c r="V448" s="2" t="s">
        <v>38</v>
      </c>
      <c r="W448" s="2" t="s">
        <v>35</v>
      </c>
      <c r="X448" s="2">
        <v>96</v>
      </c>
      <c r="Y448" s="2" t="s">
        <v>35</v>
      </c>
      <c r="Z448" s="2" t="b">
        <v>0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2" t="s">
        <v>1464</v>
      </c>
      <c r="AF448" s="11">
        <v>44747.425694386577</v>
      </c>
      <c r="AG448" s="53"/>
      <c r="AH448" s="53" t="b">
        <f t="shared" si="19"/>
        <v>0</v>
      </c>
      <c r="AI448" s="54" t="str" cm="1">
        <f t="array" ref="AI448">TRANSPOSE(_xlfn._xlws.FILTER(images!L:L,images!F:F=Barrierenmessung!A448, ""))</f>
        <v>https://captureandgo.cloudlab.zhaw.ch/uploads/image_57fb5a1dc4.jpg</v>
      </c>
      <c r="AJ448" s="2"/>
      <c r="AK448" s="2"/>
      <c r="AL448" s="2"/>
      <c r="AM448" s="2"/>
      <c r="AN448" s="2"/>
    </row>
    <row r="449" spans="1:40" ht="16" x14ac:dyDescent="0.2">
      <c r="A449" s="2" t="s">
        <v>1476</v>
      </c>
      <c r="B449" s="46">
        <v>448</v>
      </c>
      <c r="C449" s="2" t="b">
        <v>0</v>
      </c>
      <c r="D449" s="2" t="b">
        <v>0</v>
      </c>
      <c r="E449" s="2" t="b">
        <v>0</v>
      </c>
      <c r="F449" s="2" t="b">
        <v>0</v>
      </c>
      <c r="G449" s="2" t="s">
        <v>31</v>
      </c>
      <c r="H449" s="2" t="s">
        <v>1477</v>
      </c>
      <c r="I449" s="2" t="s">
        <v>1478</v>
      </c>
      <c r="J449" s="2" t="s">
        <v>675</v>
      </c>
      <c r="K449" s="2" t="s">
        <v>35</v>
      </c>
      <c r="L449" s="2" t="s">
        <v>35</v>
      </c>
      <c r="M449" s="2" t="s">
        <v>35</v>
      </c>
      <c r="N449" s="2" t="s">
        <v>35</v>
      </c>
      <c r="O449" s="11">
        <v>44747.42943452546</v>
      </c>
      <c r="P449" s="11">
        <v>44747.429648750003</v>
      </c>
      <c r="Q449" s="27">
        <f t="shared" si="18"/>
        <v>2.1422454301500693E-4</v>
      </c>
      <c r="R449" s="65">
        <f t="shared" si="20"/>
        <v>4.7329861263278872E-4</v>
      </c>
      <c r="S449" s="2">
        <v>0</v>
      </c>
      <c r="T449" s="2" t="s">
        <v>124</v>
      </c>
      <c r="U449" s="2" t="s">
        <v>125</v>
      </c>
      <c r="V449" s="2" t="s">
        <v>38</v>
      </c>
      <c r="W449" s="2" t="s">
        <v>35</v>
      </c>
      <c r="X449" s="2" t="s">
        <v>35</v>
      </c>
      <c r="Y449" s="2" t="s">
        <v>35</v>
      </c>
      <c r="Z449" s="2" t="b">
        <v>0</v>
      </c>
      <c r="AA449" s="2" t="s">
        <v>35</v>
      </c>
      <c r="AB449" s="2">
        <v>4</v>
      </c>
      <c r="AC449" s="2" t="s">
        <v>35</v>
      </c>
      <c r="AD449" s="2" t="s">
        <v>35</v>
      </c>
      <c r="AE449" s="2" t="s">
        <v>1464</v>
      </c>
      <c r="AF449" s="11">
        <v>44747.425694386577</v>
      </c>
      <c r="AG449" s="53"/>
      <c r="AH449" s="53" t="b">
        <f t="shared" si="19"/>
        <v>0</v>
      </c>
      <c r="AI449" s="54" t="str" cm="1">
        <f t="array" ref="AI449">TRANSPOSE(_xlfn._xlws.FILTER(images!L:L,images!F:F=Barrierenmessung!A449, ""))</f>
        <v>https://captureandgo.cloudlab.zhaw.ch/uploads/image_b108d94da5.jpg</v>
      </c>
      <c r="AJ449" s="2"/>
      <c r="AK449" s="2"/>
      <c r="AL449" s="2"/>
      <c r="AM449" s="2"/>
      <c r="AN449" s="2"/>
    </row>
    <row r="450" spans="1:40" ht="16" x14ac:dyDescent="0.2">
      <c r="A450" s="2" t="s">
        <v>1479</v>
      </c>
      <c r="B450" s="46">
        <v>449</v>
      </c>
      <c r="C450" s="2" t="b">
        <v>0</v>
      </c>
      <c r="D450" s="2" t="b">
        <v>0</v>
      </c>
      <c r="E450" s="2" t="b">
        <v>0</v>
      </c>
      <c r="F450" s="2" t="b">
        <v>0</v>
      </c>
      <c r="G450" s="2" t="s">
        <v>31</v>
      </c>
      <c r="H450" s="2" t="s">
        <v>1480</v>
      </c>
      <c r="I450" s="2" t="s">
        <v>1481</v>
      </c>
      <c r="J450" s="2" t="s">
        <v>1475</v>
      </c>
      <c r="K450" s="2" t="s">
        <v>35</v>
      </c>
      <c r="L450" s="2" t="s">
        <v>35</v>
      </c>
      <c r="M450" s="2" t="s">
        <v>35</v>
      </c>
      <c r="N450" s="2" t="s">
        <v>35</v>
      </c>
      <c r="O450" s="11">
        <v>44747.429977534724</v>
      </c>
      <c r="P450" s="11">
        <v>44747.430155243055</v>
      </c>
      <c r="Q450" s="27">
        <f t="shared" ref="Q450:Q513" si="21">P450-O450</f>
        <v>1.7770833073882386E-4</v>
      </c>
      <c r="R450" s="65">
        <f t="shared" si="20"/>
        <v>5.0649305194383487E-4</v>
      </c>
      <c r="S450" s="2">
        <v>0</v>
      </c>
      <c r="T450" s="2" t="s">
        <v>109</v>
      </c>
      <c r="U450" s="2" t="s">
        <v>110</v>
      </c>
      <c r="V450" s="2" t="s">
        <v>38</v>
      </c>
      <c r="W450" s="2" t="s">
        <v>35</v>
      </c>
      <c r="X450" s="2">
        <v>102</v>
      </c>
      <c r="Y450" s="2" t="s">
        <v>35</v>
      </c>
      <c r="Z450" s="2" t="b">
        <v>0</v>
      </c>
      <c r="AA450" s="2" t="s">
        <v>35</v>
      </c>
      <c r="AB450" s="2" t="s">
        <v>35</v>
      </c>
      <c r="AC450" s="2" t="s">
        <v>35</v>
      </c>
      <c r="AD450" s="2" t="s">
        <v>35</v>
      </c>
      <c r="AE450" s="2" t="s">
        <v>1464</v>
      </c>
      <c r="AF450" s="11">
        <v>44747.425694386577</v>
      </c>
      <c r="AG450" s="53"/>
      <c r="AH450" s="53" t="b">
        <f t="shared" si="19"/>
        <v>0</v>
      </c>
      <c r="AI450" s="54" t="str" cm="1">
        <f t="array" ref="AI450">TRANSPOSE(_xlfn._xlws.FILTER(images!L:L,images!F:F=Barrierenmessung!A450, ""))</f>
        <v>https://captureandgo.cloudlab.zhaw.ch/uploads/image_c1f9ae3965.jpg</v>
      </c>
      <c r="AJ450" s="2"/>
      <c r="AK450" s="2"/>
      <c r="AL450" s="2"/>
      <c r="AM450" s="2"/>
      <c r="AN450" s="2"/>
    </row>
    <row r="451" spans="1:40" ht="16" x14ac:dyDescent="0.2">
      <c r="A451" s="2" t="s">
        <v>1482</v>
      </c>
      <c r="B451" s="46">
        <v>450</v>
      </c>
      <c r="C451" s="2" t="b">
        <v>0</v>
      </c>
      <c r="D451" s="2" t="b">
        <v>0</v>
      </c>
      <c r="E451" s="2" t="b">
        <v>0</v>
      </c>
      <c r="F451" s="2" t="b">
        <v>0</v>
      </c>
      <c r="G451" s="2" t="s">
        <v>31</v>
      </c>
      <c r="H451" s="2" t="s">
        <v>1483</v>
      </c>
      <c r="I451" s="2" t="s">
        <v>1484</v>
      </c>
      <c r="J451" s="2" t="s">
        <v>35</v>
      </c>
      <c r="K451" s="2" t="s">
        <v>35</v>
      </c>
      <c r="L451" s="2">
        <v>12</v>
      </c>
      <c r="M451" s="2" t="s">
        <v>35</v>
      </c>
      <c r="N451" s="2" t="s">
        <v>35</v>
      </c>
      <c r="O451" s="11">
        <v>44747.430406979169</v>
      </c>
      <c r="P451" s="11">
        <v>44747.430869074073</v>
      </c>
      <c r="Q451" s="27">
        <f t="shared" si="21"/>
        <v>4.6209490392357111E-4</v>
      </c>
      <c r="R451" s="65">
        <f t="shared" si="20"/>
        <v>7.1383101749233902E-4</v>
      </c>
      <c r="S451" s="2">
        <v>0</v>
      </c>
      <c r="T451" s="2" t="s">
        <v>265</v>
      </c>
      <c r="U451" s="2" t="s">
        <v>266</v>
      </c>
      <c r="V451" s="2" t="s">
        <v>38</v>
      </c>
      <c r="W451" s="2" t="s">
        <v>35</v>
      </c>
      <c r="X451" s="2" t="s">
        <v>35</v>
      </c>
      <c r="Y451" s="2" t="s">
        <v>35</v>
      </c>
      <c r="Z451" s="2" t="b">
        <v>0</v>
      </c>
      <c r="AA451" s="2" t="s">
        <v>35</v>
      </c>
      <c r="AB451" s="2" t="s">
        <v>35</v>
      </c>
      <c r="AC451" s="2" t="s">
        <v>35</v>
      </c>
      <c r="AD451" s="2" t="s">
        <v>35</v>
      </c>
      <c r="AE451" s="2" t="s">
        <v>1464</v>
      </c>
      <c r="AF451" s="11">
        <v>44747.425694386577</v>
      </c>
      <c r="AG451" s="53"/>
      <c r="AH451" s="53" t="b">
        <f t="shared" ref="AH451:AH514" si="22">IF(Q451&lt;TIME(0,0,1),"TRUE")</f>
        <v>0</v>
      </c>
      <c r="AI451" s="54" t="str" cm="1">
        <f t="array" ref="AI451">TRANSPOSE(_xlfn._xlws.FILTER(images!L:L,images!F:F=Barrierenmessung!A451, ""))</f>
        <v>https://captureandgo.cloudlab.zhaw.ch/uploads/image_fcae23e2c1.jpg</v>
      </c>
      <c r="AJ451" s="2"/>
      <c r="AK451" s="2"/>
      <c r="AL451" s="2"/>
      <c r="AM451" s="2"/>
      <c r="AN451" s="2"/>
    </row>
    <row r="452" spans="1:40" ht="16" x14ac:dyDescent="0.2">
      <c r="A452" s="2" t="s">
        <v>1485</v>
      </c>
      <c r="B452" s="46">
        <v>451</v>
      </c>
      <c r="C452" s="2" t="b">
        <v>0</v>
      </c>
      <c r="D452" s="2" t="b">
        <v>0</v>
      </c>
      <c r="E452" s="2" t="b">
        <v>0</v>
      </c>
      <c r="F452" s="2" t="b">
        <v>0</v>
      </c>
      <c r="G452" s="2" t="s">
        <v>31</v>
      </c>
      <c r="H452" s="2" t="s">
        <v>1486</v>
      </c>
      <c r="I452" s="2" t="s">
        <v>1487</v>
      </c>
      <c r="J452" s="2" t="s">
        <v>675</v>
      </c>
      <c r="K452" s="2" t="s">
        <v>35</v>
      </c>
      <c r="L452" s="2" t="s">
        <v>35</v>
      </c>
      <c r="M452" s="2" t="s">
        <v>35</v>
      </c>
      <c r="N452" s="2" t="s">
        <v>35</v>
      </c>
      <c r="O452" s="11">
        <v>44747.433530555558</v>
      </c>
      <c r="P452" s="11">
        <v>44747.433751504628</v>
      </c>
      <c r="Q452" s="27">
        <f t="shared" si="21"/>
        <v>2.2094907035352662E-4</v>
      </c>
      <c r="R452" s="65">
        <f t="shared" si="20"/>
        <v>2.8824305554735474E-3</v>
      </c>
      <c r="S452" s="2">
        <v>0</v>
      </c>
      <c r="T452" s="2" t="s">
        <v>124</v>
      </c>
      <c r="U452" s="2" t="s">
        <v>125</v>
      </c>
      <c r="V452" s="2" t="s">
        <v>38</v>
      </c>
      <c r="W452" s="2" t="s">
        <v>35</v>
      </c>
      <c r="X452" s="2" t="s">
        <v>35</v>
      </c>
      <c r="Y452" s="2" t="s">
        <v>35</v>
      </c>
      <c r="Z452" s="2" t="b">
        <v>0</v>
      </c>
      <c r="AA452" s="2" t="s">
        <v>35</v>
      </c>
      <c r="AB452" s="2">
        <v>4</v>
      </c>
      <c r="AC452" s="2" t="s">
        <v>35</v>
      </c>
      <c r="AD452" s="2" t="s">
        <v>35</v>
      </c>
      <c r="AE452" s="2" t="s">
        <v>1464</v>
      </c>
      <c r="AF452" s="11">
        <v>44747.425694386577</v>
      </c>
      <c r="AG452" s="53"/>
      <c r="AH452" s="53" t="b">
        <f t="shared" si="22"/>
        <v>0</v>
      </c>
      <c r="AI452" s="54" t="str" cm="1">
        <f t="array" ref="AI452">TRANSPOSE(_xlfn._xlws.FILTER(images!L:L,images!F:F=Barrierenmessung!A452, ""))</f>
        <v>https://captureandgo.cloudlab.zhaw.ch/uploads/image_00d6c87233.jpg</v>
      </c>
      <c r="AJ452" s="2"/>
      <c r="AK452" s="2"/>
      <c r="AL452" s="2"/>
      <c r="AM452" s="2"/>
      <c r="AN452" s="2"/>
    </row>
    <row r="453" spans="1:40" ht="16" x14ac:dyDescent="0.2">
      <c r="A453" s="2" t="s">
        <v>1488</v>
      </c>
      <c r="B453" s="46">
        <v>452</v>
      </c>
      <c r="C453" s="2" t="b">
        <v>0</v>
      </c>
      <c r="D453" s="2" t="b">
        <v>0</v>
      </c>
      <c r="E453" s="2" t="b">
        <v>0</v>
      </c>
      <c r="F453" s="2" t="b">
        <v>0</v>
      </c>
      <c r="G453" s="2" t="s">
        <v>31</v>
      </c>
      <c r="H453" s="2" t="s">
        <v>1489</v>
      </c>
      <c r="I453" s="2" t="s">
        <v>1490</v>
      </c>
      <c r="J453" s="2" t="s">
        <v>675</v>
      </c>
      <c r="K453" s="2" t="s">
        <v>35</v>
      </c>
      <c r="L453" s="2" t="s">
        <v>35</v>
      </c>
      <c r="M453" s="2" t="s">
        <v>35</v>
      </c>
      <c r="N453" s="2" t="s">
        <v>35</v>
      </c>
      <c r="O453" s="11">
        <v>44747.434220821757</v>
      </c>
      <c r="P453" s="11">
        <v>44747.434380671293</v>
      </c>
      <c r="Q453" s="27">
        <f t="shared" si="21"/>
        <v>1.5984953643055633E-4</v>
      </c>
      <c r="R453" s="65">
        <f t="shared" ref="R453:R516" si="23">MIN(P453-P452, P453-AF453)</f>
        <v>6.2916666502133012E-4</v>
      </c>
      <c r="S453" s="2">
        <v>0</v>
      </c>
      <c r="T453" s="2" t="s">
        <v>124</v>
      </c>
      <c r="U453" s="2" t="s">
        <v>125</v>
      </c>
      <c r="V453" s="2" t="s">
        <v>38</v>
      </c>
      <c r="W453" s="2" t="s">
        <v>35</v>
      </c>
      <c r="X453" s="2" t="s">
        <v>35</v>
      </c>
      <c r="Y453" s="2" t="s">
        <v>35</v>
      </c>
      <c r="Z453" s="2" t="b">
        <v>0</v>
      </c>
      <c r="AA453" s="2" t="s">
        <v>35</v>
      </c>
      <c r="AB453" s="2">
        <v>4</v>
      </c>
      <c r="AC453" s="2" t="s">
        <v>35</v>
      </c>
      <c r="AD453" s="2" t="s">
        <v>35</v>
      </c>
      <c r="AE453" s="2" t="s">
        <v>1464</v>
      </c>
      <c r="AF453" s="11">
        <v>44747.425694386577</v>
      </c>
      <c r="AG453" s="53"/>
      <c r="AH453" s="53" t="b">
        <f t="shared" si="22"/>
        <v>0</v>
      </c>
      <c r="AI453" s="54" t="str" cm="1">
        <f t="array" ref="AI453">TRANSPOSE(_xlfn._xlws.FILTER(images!L:L,images!F:F=Barrierenmessung!A453, ""))</f>
        <v>https://captureandgo.cloudlab.zhaw.ch/uploads/image_85627189d8.jpg</v>
      </c>
      <c r="AJ453" s="2"/>
      <c r="AK453" s="2"/>
      <c r="AL453" s="2"/>
      <c r="AM453" s="2"/>
      <c r="AN453" s="2"/>
    </row>
    <row r="454" spans="1:40" ht="16" x14ac:dyDescent="0.2">
      <c r="A454" s="2" t="s">
        <v>1491</v>
      </c>
      <c r="B454" s="46">
        <v>453</v>
      </c>
      <c r="C454" s="2" t="b">
        <v>0</v>
      </c>
      <c r="D454" s="2" t="b">
        <v>0</v>
      </c>
      <c r="E454" s="2" t="b">
        <v>0</v>
      </c>
      <c r="F454" s="2" t="b">
        <v>0</v>
      </c>
      <c r="G454" s="2" t="s">
        <v>31</v>
      </c>
      <c r="H454" s="2" t="s">
        <v>1492</v>
      </c>
      <c r="I454" s="2" t="s">
        <v>1493</v>
      </c>
      <c r="J454" s="2" t="s">
        <v>35</v>
      </c>
      <c r="K454" s="2" t="s">
        <v>35</v>
      </c>
      <c r="L454" s="2" t="s">
        <v>35</v>
      </c>
      <c r="M454" s="2" t="s">
        <v>35</v>
      </c>
      <c r="N454" s="2" t="s">
        <v>35</v>
      </c>
      <c r="O454" s="11">
        <v>44747.435256238423</v>
      </c>
      <c r="P454" s="11">
        <v>44747.435404004631</v>
      </c>
      <c r="Q454" s="27">
        <f t="shared" si="21"/>
        <v>1.4776620810152963E-4</v>
      </c>
      <c r="R454" s="65">
        <f t="shared" si="23"/>
        <v>1.023333337798249E-3</v>
      </c>
      <c r="S454" s="2">
        <v>0</v>
      </c>
      <c r="T454" s="2" t="s">
        <v>36</v>
      </c>
      <c r="U454" s="2" t="s">
        <v>37</v>
      </c>
      <c r="V454" s="2" t="s">
        <v>38</v>
      </c>
      <c r="W454" s="2" t="s">
        <v>35</v>
      </c>
      <c r="X454" s="2" t="s">
        <v>35</v>
      </c>
      <c r="Y454" s="2" t="s">
        <v>35</v>
      </c>
      <c r="Z454" s="2" t="b">
        <v>0</v>
      </c>
      <c r="AA454" s="2" t="s">
        <v>35</v>
      </c>
      <c r="AB454" s="2" t="s">
        <v>35</v>
      </c>
      <c r="AC454" s="2" t="s">
        <v>35</v>
      </c>
      <c r="AD454" s="2">
        <v>3</v>
      </c>
      <c r="AE454" s="2" t="s">
        <v>1464</v>
      </c>
      <c r="AF454" s="11">
        <v>44747.425694386577</v>
      </c>
      <c r="AG454" s="53"/>
      <c r="AH454" s="53" t="b">
        <f t="shared" si="22"/>
        <v>0</v>
      </c>
      <c r="AI454" s="54" t="str" cm="1">
        <f t="array" ref="AI454">TRANSPOSE(_xlfn._xlws.FILTER(images!L:L,images!F:F=Barrierenmessung!A454, ""))</f>
        <v>https://captureandgo.cloudlab.zhaw.ch/uploads/image_bbf02d2bbc.jpg</v>
      </c>
      <c r="AJ454" s="2"/>
      <c r="AK454" s="2"/>
      <c r="AL454" s="2"/>
      <c r="AM454" s="2"/>
      <c r="AN454" s="2"/>
    </row>
    <row r="455" spans="1:40" ht="16" x14ac:dyDescent="0.2">
      <c r="A455" s="2" t="s">
        <v>1494</v>
      </c>
      <c r="B455" s="46">
        <v>454</v>
      </c>
      <c r="C455" s="2" t="b">
        <v>0</v>
      </c>
      <c r="D455" s="2" t="b">
        <v>0</v>
      </c>
      <c r="E455" s="2" t="b">
        <v>0</v>
      </c>
      <c r="F455" s="2" t="b">
        <v>0</v>
      </c>
      <c r="G455" s="2" t="s">
        <v>31</v>
      </c>
      <c r="H455" s="2" t="s">
        <v>1495</v>
      </c>
      <c r="I455" s="2" t="s">
        <v>1496</v>
      </c>
      <c r="J455" s="2" t="s">
        <v>35</v>
      </c>
      <c r="K455" s="2" t="s">
        <v>35</v>
      </c>
      <c r="L455" s="2" t="s">
        <v>35</v>
      </c>
      <c r="M455" s="2" t="s">
        <v>35</v>
      </c>
      <c r="N455" s="2" t="s">
        <v>35</v>
      </c>
      <c r="O455" s="11">
        <v>44747.436111689814</v>
      </c>
      <c r="P455" s="11">
        <v>44747.436241909723</v>
      </c>
      <c r="Q455" s="27">
        <f t="shared" si="21"/>
        <v>1.3021990889683366E-4</v>
      </c>
      <c r="R455" s="65">
        <f t="shared" si="23"/>
        <v>8.3790509233949706E-4</v>
      </c>
      <c r="S455" s="2">
        <v>0</v>
      </c>
      <c r="T455" s="2" t="s">
        <v>36</v>
      </c>
      <c r="U455" s="2" t="s">
        <v>37</v>
      </c>
      <c r="V455" s="2" t="s">
        <v>38</v>
      </c>
      <c r="W455" s="2" t="s">
        <v>35</v>
      </c>
      <c r="X455" s="2" t="s">
        <v>35</v>
      </c>
      <c r="Y455" s="2" t="s">
        <v>35</v>
      </c>
      <c r="Z455" s="2" t="b">
        <v>0</v>
      </c>
      <c r="AA455" s="2" t="s">
        <v>35</v>
      </c>
      <c r="AB455" s="2" t="s">
        <v>35</v>
      </c>
      <c r="AC455" s="2" t="s">
        <v>35</v>
      </c>
      <c r="AD455" s="2">
        <v>4</v>
      </c>
      <c r="AE455" s="2" t="s">
        <v>1464</v>
      </c>
      <c r="AF455" s="11">
        <v>44747.425694386577</v>
      </c>
      <c r="AG455" s="53"/>
      <c r="AH455" s="53" t="b">
        <f t="shared" si="22"/>
        <v>0</v>
      </c>
      <c r="AI455" s="54" t="str" cm="1">
        <f t="array" ref="AI455">TRANSPOSE(_xlfn._xlws.FILTER(images!L:L,images!F:F=Barrierenmessung!A455, ""))</f>
        <v>https://captureandgo.cloudlab.zhaw.ch/uploads/image_d5d598a890.jpg</v>
      </c>
      <c r="AJ455" s="2"/>
      <c r="AK455" s="2"/>
      <c r="AL455" s="2"/>
      <c r="AM455" s="2"/>
      <c r="AN455" s="2"/>
    </row>
    <row r="456" spans="1:40" ht="16" x14ac:dyDescent="0.2">
      <c r="A456" s="68" t="s">
        <v>1497</v>
      </c>
      <c r="B456" s="68">
        <v>455</v>
      </c>
      <c r="C456" s="68" t="b">
        <v>0</v>
      </c>
      <c r="D456" s="68" t="b">
        <v>0</v>
      </c>
      <c r="E456" s="68" t="b">
        <v>0</v>
      </c>
      <c r="F456" s="68" t="b">
        <v>0</v>
      </c>
      <c r="G456" s="68" t="s">
        <v>31</v>
      </c>
      <c r="H456" s="68" t="s">
        <v>149</v>
      </c>
      <c r="I456" s="68" t="s">
        <v>1498</v>
      </c>
      <c r="J456" s="68" t="s">
        <v>35</v>
      </c>
      <c r="K456" s="68" t="s">
        <v>35</v>
      </c>
      <c r="L456" s="68" t="s">
        <v>35</v>
      </c>
      <c r="M456" s="68" t="s">
        <v>35</v>
      </c>
      <c r="N456" s="68" t="s">
        <v>35</v>
      </c>
      <c r="O456" s="69">
        <v>44747.437792395831</v>
      </c>
      <c r="P456" s="69">
        <v>44747.437917499999</v>
      </c>
      <c r="Q456" s="70">
        <f t="shared" si="21"/>
        <v>1.2510416854638606E-4</v>
      </c>
      <c r="R456" s="70">
        <f t="shared" si="23"/>
        <v>1.675590276136063E-3</v>
      </c>
      <c r="S456" s="68">
        <v>0</v>
      </c>
      <c r="T456" s="68" t="s">
        <v>36</v>
      </c>
      <c r="U456" s="68" t="s">
        <v>37</v>
      </c>
      <c r="V456" s="68" t="s">
        <v>38</v>
      </c>
      <c r="W456" s="68" t="s">
        <v>35</v>
      </c>
      <c r="X456" s="68" t="s">
        <v>35</v>
      </c>
      <c r="Y456" s="68" t="s">
        <v>35</v>
      </c>
      <c r="Z456" s="68" t="b">
        <v>0</v>
      </c>
      <c r="AA456" s="68" t="s">
        <v>35</v>
      </c>
      <c r="AB456" s="68" t="s">
        <v>35</v>
      </c>
      <c r="AC456" s="68" t="s">
        <v>35</v>
      </c>
      <c r="AD456" s="68">
        <v>3</v>
      </c>
      <c r="AE456" s="68" t="s">
        <v>1464</v>
      </c>
      <c r="AF456" s="69">
        <v>44747.425694386577</v>
      </c>
      <c r="AG456" s="71"/>
      <c r="AH456" s="71" t="b">
        <f t="shared" si="22"/>
        <v>0</v>
      </c>
      <c r="AI456" s="56" t="str" cm="1">
        <f t="array" ref="AI456">TRANSPOSE(_xlfn._xlws.FILTER(images!L:L,images!F:F=Barrierenmessung!A456, ""))</f>
        <v/>
      </c>
      <c r="AJ456" s="68"/>
      <c r="AK456" s="68"/>
      <c r="AL456" s="68"/>
      <c r="AM456" s="68"/>
      <c r="AN456" s="68"/>
    </row>
    <row r="457" spans="1:40" ht="16" x14ac:dyDescent="0.2">
      <c r="A457" s="2" t="s">
        <v>1499</v>
      </c>
      <c r="B457" s="46">
        <v>456</v>
      </c>
      <c r="C457" s="2" t="b">
        <v>0</v>
      </c>
      <c r="D457" s="2" t="b">
        <v>0</v>
      </c>
      <c r="E457" s="2" t="b">
        <v>0</v>
      </c>
      <c r="F457" s="2" t="b">
        <v>0</v>
      </c>
      <c r="G457" s="2" t="s">
        <v>31</v>
      </c>
      <c r="H457" s="2" t="s">
        <v>1500</v>
      </c>
      <c r="I457" s="2" t="s">
        <v>1501</v>
      </c>
      <c r="J457" s="2" t="s">
        <v>35</v>
      </c>
      <c r="K457" s="2" t="s">
        <v>35</v>
      </c>
      <c r="L457" s="2" t="s">
        <v>35</v>
      </c>
      <c r="M457" s="2" t="s">
        <v>35</v>
      </c>
      <c r="N457" s="2" t="s">
        <v>35</v>
      </c>
      <c r="O457" s="11">
        <v>44747.439230231481</v>
      </c>
      <c r="P457" s="11">
        <v>44747.439370138891</v>
      </c>
      <c r="Q457" s="27">
        <f t="shared" si="21"/>
        <v>1.3990740990266204E-4</v>
      </c>
      <c r="R457" s="65">
        <f t="shared" si="23"/>
        <v>1.4526388913509436E-3</v>
      </c>
      <c r="S457" s="2">
        <v>0</v>
      </c>
      <c r="T457" s="2" t="s">
        <v>36</v>
      </c>
      <c r="U457" s="2" t="s">
        <v>37</v>
      </c>
      <c r="V457" s="2" t="s">
        <v>38</v>
      </c>
      <c r="W457" s="2" t="s">
        <v>35</v>
      </c>
      <c r="X457" s="2" t="s">
        <v>35</v>
      </c>
      <c r="Y457" s="2" t="s">
        <v>35</v>
      </c>
      <c r="Z457" s="2" t="b">
        <v>0</v>
      </c>
      <c r="AA457" s="2" t="s">
        <v>35</v>
      </c>
      <c r="AB457" s="2" t="s">
        <v>35</v>
      </c>
      <c r="AC457" s="2" t="s">
        <v>35</v>
      </c>
      <c r="AD457" s="2">
        <v>3</v>
      </c>
      <c r="AE457" s="2" t="s">
        <v>1464</v>
      </c>
      <c r="AF457" s="11">
        <v>44747.425694386577</v>
      </c>
      <c r="AG457" s="53"/>
      <c r="AH457" s="53" t="b">
        <f t="shared" si="22"/>
        <v>0</v>
      </c>
      <c r="AI457" s="54" t="str" cm="1">
        <f t="array" ref="AI457">TRANSPOSE(_xlfn._xlws.FILTER(images!L:L,images!F:F=Barrierenmessung!A457, ""))</f>
        <v>https://captureandgo.cloudlab.zhaw.ch/uploads/image_968c2977b7.jpg</v>
      </c>
      <c r="AJ457" s="2"/>
      <c r="AK457" s="2"/>
      <c r="AL457" s="2"/>
      <c r="AM457" s="2"/>
      <c r="AN457" s="2"/>
    </row>
    <row r="458" spans="1:40" ht="16" x14ac:dyDescent="0.2">
      <c r="A458" s="2" t="s">
        <v>1502</v>
      </c>
      <c r="B458" s="46">
        <v>457</v>
      </c>
      <c r="C458" s="2" t="b">
        <v>0</v>
      </c>
      <c r="D458" s="2" t="b">
        <v>0</v>
      </c>
      <c r="E458" s="2" t="b">
        <v>0</v>
      </c>
      <c r="F458" s="2" t="b">
        <v>0</v>
      </c>
      <c r="G458" s="2" t="s">
        <v>31</v>
      </c>
      <c r="H458" s="2" t="s">
        <v>1503</v>
      </c>
      <c r="I458" s="2" t="s">
        <v>1504</v>
      </c>
      <c r="J458" s="2" t="s">
        <v>1505</v>
      </c>
      <c r="K458" s="2" t="s">
        <v>35</v>
      </c>
      <c r="L458" s="2" t="s">
        <v>35</v>
      </c>
      <c r="M458" s="2" t="s">
        <v>35</v>
      </c>
      <c r="N458" s="2" t="s">
        <v>35</v>
      </c>
      <c r="O458" s="11">
        <v>44747.441109201391</v>
      </c>
      <c r="P458" s="11">
        <v>44747.441422164353</v>
      </c>
      <c r="Q458" s="27">
        <f t="shared" si="21"/>
        <v>3.1296296219807118E-4</v>
      </c>
      <c r="R458" s="65">
        <f t="shared" si="23"/>
        <v>2.0520254620350897E-3</v>
      </c>
      <c r="S458" s="2">
        <v>0</v>
      </c>
      <c r="T458" s="2" t="s">
        <v>36</v>
      </c>
      <c r="U458" s="2" t="s">
        <v>37</v>
      </c>
      <c r="V458" s="2" t="s">
        <v>38</v>
      </c>
      <c r="W458" s="2" t="s">
        <v>35</v>
      </c>
      <c r="X458" s="2" t="s">
        <v>35</v>
      </c>
      <c r="Y458" s="2" t="s">
        <v>35</v>
      </c>
      <c r="Z458" s="2" t="b">
        <v>0</v>
      </c>
      <c r="AA458" s="2" t="s">
        <v>35</v>
      </c>
      <c r="AB458" s="2" t="s">
        <v>35</v>
      </c>
      <c r="AC458" s="2">
        <v>4</v>
      </c>
      <c r="AD458" s="2">
        <v>3</v>
      </c>
      <c r="AE458" s="2" t="s">
        <v>1464</v>
      </c>
      <c r="AF458" s="11">
        <v>44747.425694386577</v>
      </c>
      <c r="AG458" s="53"/>
      <c r="AH458" s="53" t="b">
        <f t="shared" si="22"/>
        <v>0</v>
      </c>
      <c r="AI458" s="54" t="str" cm="1">
        <f t="array" ref="AI458">TRANSPOSE(_xlfn._xlws.FILTER(images!L:L,images!F:F=Barrierenmessung!A458, ""))</f>
        <v>https://captureandgo.cloudlab.zhaw.ch/uploads/image_f82f39b16f.jpg</v>
      </c>
      <c r="AJ458" s="2"/>
      <c r="AK458" s="2"/>
      <c r="AL458" s="2"/>
      <c r="AM458" s="2"/>
      <c r="AN458" s="2"/>
    </row>
    <row r="459" spans="1:40" ht="16" x14ac:dyDescent="0.2">
      <c r="A459" s="2" t="s">
        <v>1506</v>
      </c>
      <c r="B459" s="46">
        <v>458</v>
      </c>
      <c r="C459" s="2" t="b">
        <v>0</v>
      </c>
      <c r="D459" s="2" t="b">
        <v>0</v>
      </c>
      <c r="E459" s="2" t="b">
        <v>0</v>
      </c>
      <c r="F459" s="2" t="b">
        <v>0</v>
      </c>
      <c r="G459" s="2" t="s">
        <v>31</v>
      </c>
      <c r="H459" s="2" t="s">
        <v>1507</v>
      </c>
      <c r="I459" s="2" t="s">
        <v>1508</v>
      </c>
      <c r="J459" s="2" t="s">
        <v>35</v>
      </c>
      <c r="K459" s="2" t="s">
        <v>35</v>
      </c>
      <c r="L459" s="2" t="s">
        <v>35</v>
      </c>
      <c r="M459" s="2" t="s">
        <v>35</v>
      </c>
      <c r="N459" s="2" t="s">
        <v>35</v>
      </c>
      <c r="O459" s="11">
        <v>44747.442461099534</v>
      </c>
      <c r="P459" s="11">
        <v>44747.44258978009</v>
      </c>
      <c r="Q459" s="27">
        <f t="shared" si="21"/>
        <v>1.2868055637227371E-4</v>
      </c>
      <c r="R459" s="65">
        <f t="shared" si="23"/>
        <v>1.1676157373585738E-3</v>
      </c>
      <c r="S459" s="2">
        <v>0</v>
      </c>
      <c r="T459" s="2" t="s">
        <v>36</v>
      </c>
      <c r="U459" s="2" t="s">
        <v>37</v>
      </c>
      <c r="V459" s="2" t="s">
        <v>38</v>
      </c>
      <c r="W459" s="2" t="s">
        <v>35</v>
      </c>
      <c r="X459" s="2" t="s">
        <v>35</v>
      </c>
      <c r="Y459" s="2" t="s">
        <v>35</v>
      </c>
      <c r="Z459" s="2" t="b">
        <v>0</v>
      </c>
      <c r="AA459" s="2" t="s">
        <v>35</v>
      </c>
      <c r="AB459" s="2" t="s">
        <v>35</v>
      </c>
      <c r="AC459" s="2" t="s">
        <v>35</v>
      </c>
      <c r="AD459" s="2">
        <v>5</v>
      </c>
      <c r="AE459" s="2" t="s">
        <v>1464</v>
      </c>
      <c r="AF459" s="11">
        <v>44747.425694386577</v>
      </c>
      <c r="AG459" s="53"/>
      <c r="AH459" s="53" t="b">
        <f t="shared" si="22"/>
        <v>0</v>
      </c>
      <c r="AI459" s="54" t="str" cm="1">
        <f t="array" ref="AI459">TRANSPOSE(_xlfn._xlws.FILTER(images!L:L,images!F:F=Barrierenmessung!A459, ""))</f>
        <v>https://captureandgo.cloudlab.zhaw.ch/uploads/image_c077838fa8.jpg</v>
      </c>
      <c r="AJ459" s="2"/>
      <c r="AK459" s="2"/>
      <c r="AL459" s="2"/>
      <c r="AM459" s="2"/>
      <c r="AN459" s="2"/>
    </row>
    <row r="460" spans="1:40" ht="16" x14ac:dyDescent="0.2">
      <c r="A460" s="2" t="s">
        <v>1509</v>
      </c>
      <c r="B460" s="46">
        <v>459</v>
      </c>
      <c r="C460" s="2" t="b">
        <v>0</v>
      </c>
      <c r="D460" s="2" t="b">
        <v>0</v>
      </c>
      <c r="E460" s="2" t="b">
        <v>0</v>
      </c>
      <c r="F460" s="2" t="b">
        <v>0</v>
      </c>
      <c r="G460" s="2" t="s">
        <v>31</v>
      </c>
      <c r="H460" s="2" t="s">
        <v>1510</v>
      </c>
      <c r="I460" s="2" t="s">
        <v>1511</v>
      </c>
      <c r="J460" s="2" t="s">
        <v>35</v>
      </c>
      <c r="K460" s="2" t="s">
        <v>35</v>
      </c>
      <c r="L460" s="2">
        <v>10</v>
      </c>
      <c r="M460" s="2" t="s">
        <v>35</v>
      </c>
      <c r="N460" s="2" t="s">
        <v>35</v>
      </c>
      <c r="O460" s="11">
        <v>44747.442645567127</v>
      </c>
      <c r="P460" s="11">
        <v>44747.442898252317</v>
      </c>
      <c r="Q460" s="27">
        <f t="shared" si="21"/>
        <v>2.5268518947996199E-4</v>
      </c>
      <c r="R460" s="65">
        <f t="shared" si="23"/>
        <v>3.0847222660668194E-4</v>
      </c>
      <c r="S460" s="2">
        <v>0</v>
      </c>
      <c r="T460" s="2" t="s">
        <v>265</v>
      </c>
      <c r="U460" s="2" t="s">
        <v>266</v>
      </c>
      <c r="V460" s="2" t="s">
        <v>38</v>
      </c>
      <c r="W460" s="2" t="s">
        <v>35</v>
      </c>
      <c r="X460" s="2" t="s">
        <v>35</v>
      </c>
      <c r="Y460" s="2" t="s">
        <v>35</v>
      </c>
      <c r="Z460" s="2" t="b">
        <v>0</v>
      </c>
      <c r="AA460" s="2" t="s">
        <v>35</v>
      </c>
      <c r="AB460" s="2" t="s">
        <v>35</v>
      </c>
      <c r="AC460" s="2" t="s">
        <v>35</v>
      </c>
      <c r="AD460" s="2" t="s">
        <v>35</v>
      </c>
      <c r="AE460" s="2" t="s">
        <v>1464</v>
      </c>
      <c r="AF460" s="11">
        <v>44747.425694386577</v>
      </c>
      <c r="AG460" s="53"/>
      <c r="AH460" s="53" t="b">
        <f t="shared" si="22"/>
        <v>0</v>
      </c>
      <c r="AI460" s="54" t="str" cm="1">
        <f t="array" ref="AI460">TRANSPOSE(_xlfn._xlws.FILTER(images!L:L,images!F:F=Barrierenmessung!A460, ""))</f>
        <v>https://captureandgo.cloudlab.zhaw.ch/uploads/image_8067414f13.jpg</v>
      </c>
      <c r="AJ460" s="2"/>
      <c r="AK460" s="2"/>
      <c r="AL460" s="2"/>
      <c r="AM460" s="2"/>
      <c r="AN460" s="2"/>
    </row>
    <row r="461" spans="1:40" ht="16" x14ac:dyDescent="0.2">
      <c r="A461" s="2" t="s">
        <v>1512</v>
      </c>
      <c r="B461" s="46">
        <v>460</v>
      </c>
      <c r="C461" s="2" t="b">
        <v>0</v>
      </c>
      <c r="D461" s="2" t="b">
        <v>0</v>
      </c>
      <c r="E461" s="2" t="b">
        <v>0</v>
      </c>
      <c r="F461" s="2" t="b">
        <v>0</v>
      </c>
      <c r="G461" s="2" t="s">
        <v>31</v>
      </c>
      <c r="H461" s="2" t="s">
        <v>1513</v>
      </c>
      <c r="I461" s="2" t="s">
        <v>1514</v>
      </c>
      <c r="J461" s="2" t="s">
        <v>1515</v>
      </c>
      <c r="K461" s="2" t="s">
        <v>35</v>
      </c>
      <c r="L461" s="2" t="s">
        <v>35</v>
      </c>
      <c r="M461" s="2" t="s">
        <v>35</v>
      </c>
      <c r="N461" s="2" t="s">
        <v>35</v>
      </c>
      <c r="O461" s="11">
        <v>44747.444102974536</v>
      </c>
      <c r="P461" s="11">
        <v>44747.444402013891</v>
      </c>
      <c r="Q461" s="27">
        <f t="shared" si="21"/>
        <v>2.9903935501351953E-4</v>
      </c>
      <c r="R461" s="65">
        <f t="shared" si="23"/>
        <v>1.5037615739856847E-3</v>
      </c>
      <c r="S461" s="2">
        <v>0</v>
      </c>
      <c r="T461" s="2" t="s">
        <v>36</v>
      </c>
      <c r="U461" s="2" t="s">
        <v>37</v>
      </c>
      <c r="V461" s="2" t="s">
        <v>38</v>
      </c>
      <c r="W461" s="2" t="s">
        <v>35</v>
      </c>
      <c r="X461" s="2" t="s">
        <v>35</v>
      </c>
      <c r="Y461" s="2" t="s">
        <v>35</v>
      </c>
      <c r="Z461" s="2" t="b">
        <v>0</v>
      </c>
      <c r="AA461" s="2" t="s">
        <v>35</v>
      </c>
      <c r="AB461" s="2" t="s">
        <v>35</v>
      </c>
      <c r="AC461" s="2">
        <v>4</v>
      </c>
      <c r="AD461" s="2">
        <v>3</v>
      </c>
      <c r="AE461" s="2" t="s">
        <v>1464</v>
      </c>
      <c r="AF461" s="11">
        <v>44747.425694386577</v>
      </c>
      <c r="AG461" s="53"/>
      <c r="AH461" s="53" t="b">
        <f t="shared" si="22"/>
        <v>0</v>
      </c>
      <c r="AI461" s="54" t="str" cm="1">
        <f t="array" ref="AI461">TRANSPOSE(_xlfn._xlws.FILTER(images!L:L,images!F:F=Barrierenmessung!A461, ""))</f>
        <v>https://captureandgo.cloudlab.zhaw.ch/uploads/image_3b917887c0.jpg</v>
      </c>
      <c r="AJ461" s="2"/>
      <c r="AK461" s="2"/>
      <c r="AL461" s="2"/>
      <c r="AM461" s="2"/>
      <c r="AN461" s="2"/>
    </row>
    <row r="462" spans="1:40" ht="16" x14ac:dyDescent="0.2">
      <c r="A462" s="2" t="s">
        <v>1516</v>
      </c>
      <c r="B462" s="46">
        <v>461</v>
      </c>
      <c r="C462" s="2" t="b">
        <v>0</v>
      </c>
      <c r="D462" s="2" t="b">
        <v>0</v>
      </c>
      <c r="E462" s="2" t="b">
        <v>0</v>
      </c>
      <c r="F462" s="2" t="b">
        <v>0</v>
      </c>
      <c r="G462" s="2" t="s">
        <v>31</v>
      </c>
      <c r="H462" s="2" t="s">
        <v>1517</v>
      </c>
      <c r="I462" s="2" t="s">
        <v>1518</v>
      </c>
      <c r="J462" s="2" t="s">
        <v>35</v>
      </c>
      <c r="K462" s="2" t="s">
        <v>35</v>
      </c>
      <c r="L462" s="2" t="s">
        <v>35</v>
      </c>
      <c r="M462" s="2" t="s">
        <v>35</v>
      </c>
      <c r="N462" s="2" t="s">
        <v>35</v>
      </c>
      <c r="O462" s="11">
        <v>44747.445540208333</v>
      </c>
      <c r="P462" s="11">
        <v>44747.445717083334</v>
      </c>
      <c r="Q462" s="27">
        <f t="shared" si="21"/>
        <v>1.768750007613562E-4</v>
      </c>
      <c r="R462" s="65">
        <f t="shared" si="23"/>
        <v>1.3150694430805743E-3</v>
      </c>
      <c r="S462" s="2">
        <v>0</v>
      </c>
      <c r="T462" s="2" t="s">
        <v>36</v>
      </c>
      <c r="U462" s="2" t="s">
        <v>37</v>
      </c>
      <c r="V462" s="2" t="s">
        <v>38</v>
      </c>
      <c r="W462" s="2" t="s">
        <v>35</v>
      </c>
      <c r="X462" s="2" t="s">
        <v>35</v>
      </c>
      <c r="Y462" s="2" t="s">
        <v>35</v>
      </c>
      <c r="Z462" s="2" t="b">
        <v>0</v>
      </c>
      <c r="AA462" s="2" t="s">
        <v>35</v>
      </c>
      <c r="AB462" s="2" t="s">
        <v>35</v>
      </c>
      <c r="AC462" s="2" t="s">
        <v>35</v>
      </c>
      <c r="AD462" s="2">
        <v>4</v>
      </c>
      <c r="AE462" s="2" t="s">
        <v>1464</v>
      </c>
      <c r="AF462" s="11">
        <v>44747.425694386577</v>
      </c>
      <c r="AG462" s="53"/>
      <c r="AH462" s="53" t="b">
        <f t="shared" si="22"/>
        <v>0</v>
      </c>
      <c r="AI462" s="54" t="str" cm="1">
        <f t="array" ref="AI462">TRANSPOSE(_xlfn._xlws.FILTER(images!L:L,images!F:F=Barrierenmessung!A462, ""))</f>
        <v>https://captureandgo.cloudlab.zhaw.ch/uploads/image_017c164eb9.jpg</v>
      </c>
      <c r="AJ462" s="2"/>
      <c r="AK462" s="2"/>
      <c r="AL462" s="2"/>
      <c r="AM462" s="2"/>
      <c r="AN462" s="2"/>
    </row>
    <row r="463" spans="1:40" ht="16" x14ac:dyDescent="0.2">
      <c r="A463" s="2" t="s">
        <v>1519</v>
      </c>
      <c r="B463" s="46">
        <v>462</v>
      </c>
      <c r="C463" s="2" t="b">
        <v>0</v>
      </c>
      <c r="D463" s="2" t="b">
        <v>0</v>
      </c>
      <c r="E463" s="2" t="b">
        <v>0</v>
      </c>
      <c r="F463" s="2" t="b">
        <v>0</v>
      </c>
      <c r="G463" s="2" t="s">
        <v>31</v>
      </c>
      <c r="H463" s="2" t="s">
        <v>1520</v>
      </c>
      <c r="I463" s="2" t="s">
        <v>1521</v>
      </c>
      <c r="J463" s="2" t="s">
        <v>675</v>
      </c>
      <c r="K463" s="2" t="s">
        <v>35</v>
      </c>
      <c r="L463" s="2" t="s">
        <v>35</v>
      </c>
      <c r="M463" s="2" t="s">
        <v>35</v>
      </c>
      <c r="N463" s="2" t="s">
        <v>35</v>
      </c>
      <c r="O463" s="11">
        <v>44747.446460324078</v>
      </c>
      <c r="P463" s="11">
        <v>44747.446662974537</v>
      </c>
      <c r="Q463" s="27">
        <f t="shared" si="21"/>
        <v>2.0265045895939693E-4</v>
      </c>
      <c r="R463" s="65">
        <f t="shared" si="23"/>
        <v>9.4589120271848515E-4</v>
      </c>
      <c r="S463" s="2">
        <v>0</v>
      </c>
      <c r="T463" s="2" t="s">
        <v>124</v>
      </c>
      <c r="U463" s="2" t="s">
        <v>125</v>
      </c>
      <c r="V463" s="2" t="s">
        <v>38</v>
      </c>
      <c r="W463" s="2" t="s">
        <v>35</v>
      </c>
      <c r="X463" s="2" t="s">
        <v>35</v>
      </c>
      <c r="Y463" s="2" t="s">
        <v>35</v>
      </c>
      <c r="Z463" s="2" t="b">
        <v>0</v>
      </c>
      <c r="AA463" s="2" t="s">
        <v>35</v>
      </c>
      <c r="AB463" s="2">
        <v>4</v>
      </c>
      <c r="AC463" s="2" t="s">
        <v>35</v>
      </c>
      <c r="AD463" s="2" t="s">
        <v>35</v>
      </c>
      <c r="AE463" s="2" t="s">
        <v>1464</v>
      </c>
      <c r="AF463" s="11">
        <v>44747.425694386577</v>
      </c>
      <c r="AG463" s="53"/>
      <c r="AH463" s="53" t="b">
        <f t="shared" si="22"/>
        <v>0</v>
      </c>
      <c r="AI463" s="54" t="str" cm="1">
        <f t="array" ref="AI463">TRANSPOSE(_xlfn._xlws.FILTER(images!L:L,images!F:F=Barrierenmessung!A463, ""))</f>
        <v>https://captureandgo.cloudlab.zhaw.ch/uploads/image_5423f2342f.jpg</v>
      </c>
      <c r="AJ463" s="2"/>
      <c r="AK463" s="2"/>
      <c r="AL463" s="2"/>
      <c r="AM463" s="2"/>
      <c r="AN463" s="2"/>
    </row>
    <row r="464" spans="1:40" ht="16" x14ac:dyDescent="0.2">
      <c r="A464" s="2" t="s">
        <v>1522</v>
      </c>
      <c r="B464" s="46">
        <v>463</v>
      </c>
      <c r="C464" s="2" t="b">
        <v>0</v>
      </c>
      <c r="D464" s="2" t="b">
        <v>0</v>
      </c>
      <c r="E464" s="2" t="b">
        <v>0</v>
      </c>
      <c r="F464" s="2" t="b">
        <v>0</v>
      </c>
      <c r="G464" s="2" t="s">
        <v>31</v>
      </c>
      <c r="H464" s="2" t="s">
        <v>1523</v>
      </c>
      <c r="I464" s="2" t="s">
        <v>1524</v>
      </c>
      <c r="J464" s="2" t="s">
        <v>35</v>
      </c>
      <c r="K464" s="2" t="s">
        <v>35</v>
      </c>
      <c r="L464" s="2" t="s">
        <v>35</v>
      </c>
      <c r="M464" s="2">
        <v>3</v>
      </c>
      <c r="N464" s="2">
        <v>15</v>
      </c>
      <c r="O464" s="11">
        <v>44747.44724509259</v>
      </c>
      <c r="P464" s="11">
        <v>44747.447511168983</v>
      </c>
      <c r="Q464" s="27">
        <f t="shared" si="21"/>
        <v>2.66076393018011E-4</v>
      </c>
      <c r="R464" s="65">
        <f t="shared" si="23"/>
        <v>8.4819444600725546E-4</v>
      </c>
      <c r="S464" s="2">
        <v>0</v>
      </c>
      <c r="T464" s="2" t="s">
        <v>54</v>
      </c>
      <c r="U464" s="2" t="s">
        <v>55</v>
      </c>
      <c r="V464" s="2" t="s">
        <v>38</v>
      </c>
      <c r="W464" s="2" t="s">
        <v>35</v>
      </c>
      <c r="X464" s="2" t="s">
        <v>35</v>
      </c>
      <c r="Y464" s="2" t="s">
        <v>35</v>
      </c>
      <c r="Z464" s="2" t="b">
        <v>0</v>
      </c>
      <c r="AA464" s="2" t="s">
        <v>35</v>
      </c>
      <c r="AB464" s="2" t="s">
        <v>35</v>
      </c>
      <c r="AC464" s="2" t="s">
        <v>35</v>
      </c>
      <c r="AD464" s="2" t="s">
        <v>35</v>
      </c>
      <c r="AE464" s="2" t="s">
        <v>1464</v>
      </c>
      <c r="AF464" s="11">
        <v>44747.425694386577</v>
      </c>
      <c r="AG464" s="53"/>
      <c r="AH464" s="53" t="b">
        <f t="shared" si="22"/>
        <v>0</v>
      </c>
      <c r="AI464" s="54" t="str" cm="1">
        <f t="array" ref="AI464">TRANSPOSE(_xlfn._xlws.FILTER(images!L:L,images!F:F=Barrierenmessung!A464, ""))</f>
        <v>https://captureandgo.cloudlab.zhaw.ch/uploads/image_f5ffa1b420.jpg</v>
      </c>
      <c r="AJ464" s="2"/>
      <c r="AK464" s="2"/>
      <c r="AL464" s="2"/>
      <c r="AM464" s="2"/>
      <c r="AN464" s="2"/>
    </row>
    <row r="465" spans="1:40" ht="16" x14ac:dyDescent="0.2">
      <c r="A465" s="2" t="s">
        <v>1525</v>
      </c>
      <c r="B465" s="46">
        <v>464</v>
      </c>
      <c r="C465" s="2" t="b">
        <v>0</v>
      </c>
      <c r="D465" s="2" t="b">
        <v>0</v>
      </c>
      <c r="E465" s="2" t="b">
        <v>0</v>
      </c>
      <c r="F465" s="2" t="b">
        <v>0</v>
      </c>
      <c r="G465" s="2" t="s">
        <v>31</v>
      </c>
      <c r="H465" s="2" t="s">
        <v>1526</v>
      </c>
      <c r="I465" s="2" t="s">
        <v>1527</v>
      </c>
      <c r="J465" s="2" t="s">
        <v>1528</v>
      </c>
      <c r="K465" s="2" t="s">
        <v>35</v>
      </c>
      <c r="L465" s="2" t="s">
        <v>35</v>
      </c>
      <c r="M465" s="2">
        <v>3</v>
      </c>
      <c r="N465" s="2">
        <v>15</v>
      </c>
      <c r="O465" s="11">
        <v>44747.447781886571</v>
      </c>
      <c r="P465" s="11">
        <v>44747.448049548613</v>
      </c>
      <c r="Q465" s="27">
        <f t="shared" si="21"/>
        <v>2.6766204246087E-4</v>
      </c>
      <c r="R465" s="65">
        <f t="shared" si="23"/>
        <v>5.3837963059777394E-4</v>
      </c>
      <c r="S465" s="2">
        <v>0</v>
      </c>
      <c r="T465" s="2" t="s">
        <v>54</v>
      </c>
      <c r="U465" s="2" t="s">
        <v>55</v>
      </c>
      <c r="V465" s="2" t="s">
        <v>38</v>
      </c>
      <c r="W465" s="2" t="s">
        <v>35</v>
      </c>
      <c r="X465" s="2" t="s">
        <v>35</v>
      </c>
      <c r="Y465" s="2" t="s">
        <v>35</v>
      </c>
      <c r="Z465" s="2" t="b">
        <v>1</v>
      </c>
      <c r="AA465" s="2" t="s">
        <v>35</v>
      </c>
      <c r="AB465" s="2" t="s">
        <v>35</v>
      </c>
      <c r="AC465" s="2" t="s">
        <v>35</v>
      </c>
      <c r="AD465" s="2" t="s">
        <v>35</v>
      </c>
      <c r="AE465" s="2" t="s">
        <v>1464</v>
      </c>
      <c r="AF465" s="11">
        <v>44747.425694386577</v>
      </c>
      <c r="AG465" s="53"/>
      <c r="AH465" s="53" t="b">
        <f t="shared" si="22"/>
        <v>0</v>
      </c>
      <c r="AI465" s="54" t="str" cm="1">
        <f t="array" ref="AI465">TRANSPOSE(_xlfn._xlws.FILTER(images!L:L,images!F:F=Barrierenmessung!A465, ""))</f>
        <v>https://captureandgo.cloudlab.zhaw.ch/uploads/image_6b5ddddbc7.jpg</v>
      </c>
      <c r="AJ465" s="2"/>
      <c r="AK465" s="2"/>
      <c r="AL465" s="2"/>
      <c r="AM465" s="2"/>
      <c r="AN465" s="2"/>
    </row>
    <row r="466" spans="1:40" ht="16" x14ac:dyDescent="0.2">
      <c r="A466" s="2" t="s">
        <v>1529</v>
      </c>
      <c r="B466" s="46">
        <v>465</v>
      </c>
      <c r="C466" s="2" t="b">
        <v>0</v>
      </c>
      <c r="D466" s="2" t="b">
        <v>0</v>
      </c>
      <c r="E466" s="2" t="b">
        <v>0</v>
      </c>
      <c r="F466" s="2" t="b">
        <v>0</v>
      </c>
      <c r="G466" s="2" t="s">
        <v>31</v>
      </c>
      <c r="H466" s="2" t="s">
        <v>1530</v>
      </c>
      <c r="I466" s="2" t="s">
        <v>1531</v>
      </c>
      <c r="J466" s="2" t="s">
        <v>1505</v>
      </c>
      <c r="K466" s="2" t="s">
        <v>35</v>
      </c>
      <c r="L466" s="2" t="s">
        <v>35</v>
      </c>
      <c r="M466" s="2" t="s">
        <v>35</v>
      </c>
      <c r="N466" s="2" t="s">
        <v>35</v>
      </c>
      <c r="O466" s="11">
        <v>44747.44880510417</v>
      </c>
      <c r="P466" s="11">
        <v>44747.449113391202</v>
      </c>
      <c r="Q466" s="27">
        <f t="shared" si="21"/>
        <v>3.0828703165752813E-4</v>
      </c>
      <c r="R466" s="65">
        <f t="shared" si="23"/>
        <v>1.0638425883371383E-3</v>
      </c>
      <c r="S466" s="2">
        <v>0</v>
      </c>
      <c r="T466" s="2" t="s">
        <v>36</v>
      </c>
      <c r="U466" s="2" t="s">
        <v>37</v>
      </c>
      <c r="V466" s="2" t="s">
        <v>38</v>
      </c>
      <c r="W466" s="2" t="s">
        <v>35</v>
      </c>
      <c r="X466" s="2" t="s">
        <v>35</v>
      </c>
      <c r="Y466" s="2" t="s">
        <v>35</v>
      </c>
      <c r="Z466" s="2" t="b">
        <v>0</v>
      </c>
      <c r="AA466" s="2" t="s">
        <v>35</v>
      </c>
      <c r="AB466" s="2" t="s">
        <v>35</v>
      </c>
      <c r="AC466" s="2">
        <v>7</v>
      </c>
      <c r="AD466" s="2">
        <v>2</v>
      </c>
      <c r="AE466" s="2" t="s">
        <v>1464</v>
      </c>
      <c r="AF466" s="11">
        <v>44747.425694386577</v>
      </c>
      <c r="AG466" s="53"/>
      <c r="AH466" s="53" t="b">
        <f t="shared" si="22"/>
        <v>0</v>
      </c>
      <c r="AI466" s="54" t="str" cm="1">
        <f t="array" ref="AI466">TRANSPOSE(_xlfn._xlws.FILTER(images!L:L,images!F:F=Barrierenmessung!A466, ""))</f>
        <v>https://captureandgo.cloudlab.zhaw.ch/uploads/image_a771b0e672.jpg</v>
      </c>
      <c r="AJ466" s="2"/>
      <c r="AK466" s="2"/>
      <c r="AL466" s="2"/>
      <c r="AM466" s="2"/>
      <c r="AN466" s="2"/>
    </row>
    <row r="467" spans="1:40" ht="16" x14ac:dyDescent="0.2">
      <c r="A467" s="2" t="s">
        <v>1532</v>
      </c>
      <c r="B467" s="46">
        <v>466</v>
      </c>
      <c r="C467" s="2" t="b">
        <v>0</v>
      </c>
      <c r="D467" s="2" t="b">
        <v>0</v>
      </c>
      <c r="E467" s="2" t="b">
        <v>0</v>
      </c>
      <c r="F467" s="2" t="b">
        <v>0</v>
      </c>
      <c r="G467" s="2" t="s">
        <v>31</v>
      </c>
      <c r="H467" s="2" t="s">
        <v>1533</v>
      </c>
      <c r="I467" s="2" t="s">
        <v>1534</v>
      </c>
      <c r="J467" s="2" t="s">
        <v>35</v>
      </c>
      <c r="K467" s="2" t="s">
        <v>35</v>
      </c>
      <c r="L467" s="2" t="s">
        <v>35</v>
      </c>
      <c r="M467" s="2" t="s">
        <v>35</v>
      </c>
      <c r="N467" s="2" t="s">
        <v>35</v>
      </c>
      <c r="O467" s="11">
        <v>44747.45001552083</v>
      </c>
      <c r="P467" s="11">
        <v>44747.450554305557</v>
      </c>
      <c r="Q467" s="27">
        <f t="shared" si="21"/>
        <v>5.3878472681390122E-4</v>
      </c>
      <c r="R467" s="65">
        <f t="shared" si="23"/>
        <v>1.4409143550437875E-3</v>
      </c>
      <c r="S467" s="2">
        <v>0</v>
      </c>
      <c r="T467" s="2" t="s">
        <v>36</v>
      </c>
      <c r="U467" s="2" t="s">
        <v>37</v>
      </c>
      <c r="V467" s="2" t="s">
        <v>38</v>
      </c>
      <c r="W467" s="2" t="s">
        <v>35</v>
      </c>
      <c r="X467" s="2" t="s">
        <v>35</v>
      </c>
      <c r="Y467" s="2" t="s">
        <v>35</v>
      </c>
      <c r="Z467" s="2" t="b">
        <v>0</v>
      </c>
      <c r="AA467" s="2" t="s">
        <v>35</v>
      </c>
      <c r="AB467" s="2" t="s">
        <v>35</v>
      </c>
      <c r="AC467" s="2" t="s">
        <v>35</v>
      </c>
      <c r="AD467" s="2">
        <v>5</v>
      </c>
      <c r="AE467" s="2" t="s">
        <v>1464</v>
      </c>
      <c r="AF467" s="11">
        <v>44747.425694386577</v>
      </c>
      <c r="AG467" s="53"/>
      <c r="AH467" s="53" t="b">
        <f t="shared" si="22"/>
        <v>0</v>
      </c>
      <c r="AI467" s="54" t="str" cm="1">
        <f t="array" ref="AI467">TRANSPOSE(_xlfn._xlws.FILTER(images!L:L,images!F:F=Barrierenmessung!A467, ""))</f>
        <v>https://captureandgo.cloudlab.zhaw.ch/uploads/image_0a199dffd6.jpg</v>
      </c>
      <c r="AJ467" s="2"/>
      <c r="AK467" s="2"/>
      <c r="AL467" s="2"/>
      <c r="AM467" s="2"/>
      <c r="AN467" s="2"/>
    </row>
    <row r="468" spans="1:40" ht="16" x14ac:dyDescent="0.2">
      <c r="A468" s="2" t="s">
        <v>1535</v>
      </c>
      <c r="B468" s="46">
        <v>467</v>
      </c>
      <c r="C468" s="2" t="b">
        <v>0</v>
      </c>
      <c r="D468" s="2" t="b">
        <v>0</v>
      </c>
      <c r="E468" s="2" t="b">
        <v>0</v>
      </c>
      <c r="F468" s="2" t="b">
        <v>0</v>
      </c>
      <c r="G468" s="2" t="s">
        <v>31</v>
      </c>
      <c r="H468" s="2" t="s">
        <v>1536</v>
      </c>
      <c r="I468" s="2" t="s">
        <v>1537</v>
      </c>
      <c r="J468" s="2" t="s">
        <v>35</v>
      </c>
      <c r="K468" s="2" t="s">
        <v>35</v>
      </c>
      <c r="L468" s="2" t="s">
        <v>35</v>
      </c>
      <c r="M468" s="2" t="s">
        <v>35</v>
      </c>
      <c r="N468" s="2" t="s">
        <v>35</v>
      </c>
      <c r="O468" s="11">
        <v>44747.451429953704</v>
      </c>
      <c r="P468" s="11">
        <v>44747.451570914352</v>
      </c>
      <c r="Q468" s="27">
        <f t="shared" si="21"/>
        <v>1.4096064842306077E-4</v>
      </c>
      <c r="R468" s="65">
        <f t="shared" si="23"/>
        <v>1.0166087959078141E-3</v>
      </c>
      <c r="S468" s="2">
        <v>0</v>
      </c>
      <c r="T468" s="2" t="s">
        <v>36</v>
      </c>
      <c r="U468" s="2" t="s">
        <v>37</v>
      </c>
      <c r="V468" s="2" t="s">
        <v>38</v>
      </c>
      <c r="W468" s="2" t="s">
        <v>35</v>
      </c>
      <c r="X468" s="2" t="s">
        <v>35</v>
      </c>
      <c r="Y468" s="2" t="s">
        <v>35</v>
      </c>
      <c r="Z468" s="2" t="b">
        <v>0</v>
      </c>
      <c r="AA468" s="2" t="s">
        <v>35</v>
      </c>
      <c r="AB468" s="2" t="s">
        <v>35</v>
      </c>
      <c r="AC468" s="2" t="s">
        <v>35</v>
      </c>
      <c r="AD468" s="2">
        <v>3</v>
      </c>
      <c r="AE468" s="2" t="s">
        <v>1464</v>
      </c>
      <c r="AF468" s="11">
        <v>44747.425694386577</v>
      </c>
      <c r="AG468" s="53"/>
      <c r="AH468" s="53" t="b">
        <f t="shared" si="22"/>
        <v>0</v>
      </c>
      <c r="AI468" s="54" t="str" cm="1">
        <f t="array" ref="AI468">TRANSPOSE(_xlfn._xlws.FILTER(images!L:L,images!F:F=Barrierenmessung!A468, ""))</f>
        <v>https://captureandgo.cloudlab.zhaw.ch/uploads/image_4df11b92b9.jpg</v>
      </c>
      <c r="AJ468" s="2"/>
      <c r="AK468" s="2"/>
      <c r="AL468" s="2"/>
      <c r="AM468" s="2"/>
      <c r="AN468" s="2"/>
    </row>
    <row r="469" spans="1:40" ht="16" x14ac:dyDescent="0.2">
      <c r="A469" s="2" t="s">
        <v>1538</v>
      </c>
      <c r="B469" s="46">
        <v>468</v>
      </c>
      <c r="C469" s="2" t="b">
        <v>0</v>
      </c>
      <c r="D469" s="2" t="b">
        <v>0</v>
      </c>
      <c r="E469" s="2" t="b">
        <v>0</v>
      </c>
      <c r="F469" s="2" t="b">
        <v>0</v>
      </c>
      <c r="G469" s="2" t="s">
        <v>31</v>
      </c>
      <c r="H469" s="2" t="s">
        <v>1539</v>
      </c>
      <c r="I469" s="2" t="s">
        <v>1540</v>
      </c>
      <c r="J469" s="2" t="s">
        <v>35</v>
      </c>
      <c r="K469" s="2" t="s">
        <v>35</v>
      </c>
      <c r="L469" s="2">
        <v>9</v>
      </c>
      <c r="M469" s="2" t="s">
        <v>35</v>
      </c>
      <c r="N469" s="2" t="s">
        <v>35</v>
      </c>
      <c r="O469" s="11">
        <v>44747.45253505787</v>
      </c>
      <c r="P469" s="11">
        <v>44747.452775949074</v>
      </c>
      <c r="Q469" s="27">
        <f t="shared" si="21"/>
        <v>2.4089120415737852E-4</v>
      </c>
      <c r="R469" s="65">
        <f t="shared" si="23"/>
        <v>1.2050347213516943E-3</v>
      </c>
      <c r="S469" s="2">
        <v>0</v>
      </c>
      <c r="T469" s="2" t="s">
        <v>265</v>
      </c>
      <c r="U469" s="2" t="s">
        <v>266</v>
      </c>
      <c r="V469" s="2" t="s">
        <v>38</v>
      </c>
      <c r="W469" s="2" t="s">
        <v>35</v>
      </c>
      <c r="X469" s="2" t="s">
        <v>35</v>
      </c>
      <c r="Y469" s="2" t="s">
        <v>35</v>
      </c>
      <c r="Z469" s="2" t="b">
        <v>0</v>
      </c>
      <c r="AA469" s="2" t="s">
        <v>35</v>
      </c>
      <c r="AB469" s="2" t="s">
        <v>35</v>
      </c>
      <c r="AC469" s="2" t="s">
        <v>35</v>
      </c>
      <c r="AD469" s="2" t="s">
        <v>35</v>
      </c>
      <c r="AE469" s="2" t="s">
        <v>1464</v>
      </c>
      <c r="AF469" s="11">
        <v>44747.425694386577</v>
      </c>
      <c r="AG469" s="53"/>
      <c r="AH469" s="53" t="b">
        <f t="shared" si="22"/>
        <v>0</v>
      </c>
      <c r="AI469" s="54" t="str" cm="1">
        <f t="array" ref="AI469">TRANSPOSE(_xlfn._xlws.FILTER(images!L:L,images!F:F=Barrierenmessung!A469, ""))</f>
        <v>https://captureandgo.cloudlab.zhaw.ch/uploads/image_eca861f4a0.jpg</v>
      </c>
      <c r="AJ469" s="2"/>
      <c r="AK469" s="2"/>
      <c r="AL469" s="2"/>
      <c r="AM469" s="2"/>
      <c r="AN469" s="2"/>
    </row>
    <row r="470" spans="1:40" ht="16" x14ac:dyDescent="0.2">
      <c r="A470" s="2" t="s">
        <v>1541</v>
      </c>
      <c r="B470" s="46">
        <v>469</v>
      </c>
      <c r="C470" s="2" t="b">
        <v>0</v>
      </c>
      <c r="D470" s="2" t="b">
        <v>0</v>
      </c>
      <c r="E470" s="2" t="b">
        <v>0</v>
      </c>
      <c r="F470" s="2" t="b">
        <v>0</v>
      </c>
      <c r="G470" s="2" t="s">
        <v>31</v>
      </c>
      <c r="H470" s="2" t="s">
        <v>1542</v>
      </c>
      <c r="I470" s="2" t="s">
        <v>1543</v>
      </c>
      <c r="J470" s="2" t="s">
        <v>35</v>
      </c>
      <c r="K470" s="2" t="s">
        <v>35</v>
      </c>
      <c r="L470" s="2">
        <v>9</v>
      </c>
      <c r="M470" s="2" t="s">
        <v>35</v>
      </c>
      <c r="N470" s="2" t="s">
        <v>35</v>
      </c>
      <c r="O470" s="11">
        <v>44747.452876979165</v>
      </c>
      <c r="P470" s="11">
        <v>44747.453079189814</v>
      </c>
      <c r="Q470" s="27">
        <f t="shared" si="21"/>
        <v>2.0221064914949238E-4</v>
      </c>
      <c r="R470" s="65">
        <f t="shared" si="23"/>
        <v>3.0324074032250792E-4</v>
      </c>
      <c r="S470" s="2">
        <v>0</v>
      </c>
      <c r="T470" s="2" t="s">
        <v>265</v>
      </c>
      <c r="U470" s="2" t="s">
        <v>266</v>
      </c>
      <c r="V470" s="2" t="s">
        <v>38</v>
      </c>
      <c r="W470" s="2" t="s">
        <v>35</v>
      </c>
      <c r="X470" s="2" t="s">
        <v>35</v>
      </c>
      <c r="Y470" s="2" t="s">
        <v>35</v>
      </c>
      <c r="Z470" s="2" t="b">
        <v>0</v>
      </c>
      <c r="AA470" s="2" t="s">
        <v>35</v>
      </c>
      <c r="AB470" s="2" t="s">
        <v>35</v>
      </c>
      <c r="AC470" s="2" t="s">
        <v>35</v>
      </c>
      <c r="AD470" s="2" t="s">
        <v>35</v>
      </c>
      <c r="AE470" s="2" t="s">
        <v>1464</v>
      </c>
      <c r="AF470" s="11">
        <v>44747.425694386577</v>
      </c>
      <c r="AG470" s="53"/>
      <c r="AH470" s="53" t="b">
        <f t="shared" si="22"/>
        <v>0</v>
      </c>
      <c r="AI470" s="54" t="str" cm="1">
        <f t="array" ref="AI470">TRANSPOSE(_xlfn._xlws.FILTER(images!L:L,images!F:F=Barrierenmessung!A470, ""))</f>
        <v>https://captureandgo.cloudlab.zhaw.ch/uploads/image_064aea87a9.jpg</v>
      </c>
      <c r="AJ470" s="2"/>
      <c r="AK470" s="2"/>
      <c r="AL470" s="2"/>
      <c r="AM470" s="2"/>
      <c r="AN470" s="2"/>
    </row>
    <row r="471" spans="1:40" ht="16" x14ac:dyDescent="0.2">
      <c r="A471" s="2" t="s">
        <v>1544</v>
      </c>
      <c r="B471" s="46">
        <v>470</v>
      </c>
      <c r="C471" s="2" t="b">
        <v>0</v>
      </c>
      <c r="D471" s="2" t="b">
        <v>0</v>
      </c>
      <c r="E471" s="2" t="b">
        <v>0</v>
      </c>
      <c r="F471" s="2" t="b">
        <v>0</v>
      </c>
      <c r="G471" s="2" t="s">
        <v>31</v>
      </c>
      <c r="H471" s="2" t="s">
        <v>1545</v>
      </c>
      <c r="I471" s="2" t="s">
        <v>1546</v>
      </c>
      <c r="J471" s="2" t="s">
        <v>35</v>
      </c>
      <c r="K471" s="2" t="s">
        <v>35</v>
      </c>
      <c r="L471" s="2" t="s">
        <v>35</v>
      </c>
      <c r="M471" s="2" t="s">
        <v>35</v>
      </c>
      <c r="N471" s="2" t="s">
        <v>35</v>
      </c>
      <c r="O471" s="11">
        <v>44747.453460196761</v>
      </c>
      <c r="P471" s="11">
        <v>44747.453572500002</v>
      </c>
      <c r="Q471" s="27">
        <f t="shared" si="21"/>
        <v>1.1230324162170291E-4</v>
      </c>
      <c r="R471" s="65">
        <f t="shared" si="23"/>
        <v>4.9331018817611039E-4</v>
      </c>
      <c r="S471" s="2">
        <v>0</v>
      </c>
      <c r="T471" s="2" t="s">
        <v>36</v>
      </c>
      <c r="U471" s="2" t="s">
        <v>37</v>
      </c>
      <c r="V471" s="2" t="s">
        <v>38</v>
      </c>
      <c r="W471" s="2" t="s">
        <v>35</v>
      </c>
      <c r="X471" s="2" t="s">
        <v>35</v>
      </c>
      <c r="Y471" s="2" t="s">
        <v>35</v>
      </c>
      <c r="Z471" s="2" t="b">
        <v>0</v>
      </c>
      <c r="AA471" s="2" t="s">
        <v>35</v>
      </c>
      <c r="AB471" s="2" t="s">
        <v>35</v>
      </c>
      <c r="AC471" s="2" t="s">
        <v>35</v>
      </c>
      <c r="AD471" s="2">
        <v>2</v>
      </c>
      <c r="AE471" s="2" t="s">
        <v>1464</v>
      </c>
      <c r="AF471" s="11">
        <v>44747.425694386577</v>
      </c>
      <c r="AG471" s="53"/>
      <c r="AH471" s="53" t="b">
        <f t="shared" si="22"/>
        <v>0</v>
      </c>
      <c r="AI471" s="54" t="str" cm="1">
        <f t="array" ref="AI471">TRANSPOSE(_xlfn._xlws.FILTER(images!L:L,images!F:F=Barrierenmessung!A471, ""))</f>
        <v>https://captureandgo.cloudlab.zhaw.ch/uploads/image_18d7c22d02.jpg</v>
      </c>
      <c r="AJ471" s="2"/>
      <c r="AK471" s="2"/>
      <c r="AL471" s="2"/>
      <c r="AM471" s="2"/>
      <c r="AN471" s="2"/>
    </row>
    <row r="472" spans="1:40" ht="16" x14ac:dyDescent="0.2">
      <c r="A472" s="2" t="s">
        <v>1547</v>
      </c>
      <c r="B472" s="46">
        <v>471</v>
      </c>
      <c r="C472" s="2" t="b">
        <v>0</v>
      </c>
      <c r="D472" s="2" t="b">
        <v>0</v>
      </c>
      <c r="E472" s="2" t="b">
        <v>0</v>
      </c>
      <c r="F472" s="2" t="b">
        <v>0</v>
      </c>
      <c r="G472" s="2" t="s">
        <v>31</v>
      </c>
      <c r="H472" s="2" t="s">
        <v>1548</v>
      </c>
      <c r="I472" s="2" t="s">
        <v>1549</v>
      </c>
      <c r="J472" s="2" t="s">
        <v>35</v>
      </c>
      <c r="K472" s="2" t="s">
        <v>35</v>
      </c>
      <c r="L472" s="2" t="s">
        <v>35</v>
      </c>
      <c r="M472" s="2" t="s">
        <v>35</v>
      </c>
      <c r="N472" s="2" t="s">
        <v>35</v>
      </c>
      <c r="O472" s="11">
        <v>44747.454365196762</v>
      </c>
      <c r="P472" s="11">
        <v>44747.45448266204</v>
      </c>
      <c r="Q472" s="27">
        <f t="shared" si="21"/>
        <v>1.1746527889044955E-4</v>
      </c>
      <c r="R472" s="65">
        <f t="shared" si="23"/>
        <v>9.1016203805338591E-4</v>
      </c>
      <c r="S472" s="2">
        <v>0</v>
      </c>
      <c r="T472" s="2" t="s">
        <v>36</v>
      </c>
      <c r="U472" s="2" t="s">
        <v>37</v>
      </c>
      <c r="V472" s="2" t="s">
        <v>38</v>
      </c>
      <c r="W472" s="2" t="s">
        <v>35</v>
      </c>
      <c r="X472" s="2" t="s">
        <v>35</v>
      </c>
      <c r="Y472" s="2" t="s">
        <v>35</v>
      </c>
      <c r="Z472" s="2" t="b">
        <v>0</v>
      </c>
      <c r="AA472" s="2" t="s">
        <v>35</v>
      </c>
      <c r="AB472" s="2" t="s">
        <v>35</v>
      </c>
      <c r="AC472" s="2" t="s">
        <v>35</v>
      </c>
      <c r="AD472" s="2">
        <v>4</v>
      </c>
      <c r="AE472" s="2" t="s">
        <v>1464</v>
      </c>
      <c r="AF472" s="11">
        <v>44747.425694386577</v>
      </c>
      <c r="AG472" s="53"/>
      <c r="AH472" s="53" t="b">
        <f t="shared" si="22"/>
        <v>0</v>
      </c>
      <c r="AI472" s="54" t="str" cm="1">
        <f t="array" ref="AI472">TRANSPOSE(_xlfn._xlws.FILTER(images!L:L,images!F:F=Barrierenmessung!A472, ""))</f>
        <v>https://captureandgo.cloudlab.zhaw.ch/uploads/image_dff4a53983.jpg</v>
      </c>
      <c r="AJ472" s="2"/>
      <c r="AK472" s="2"/>
      <c r="AL472" s="2"/>
      <c r="AM472" s="2"/>
      <c r="AN472" s="2"/>
    </row>
    <row r="473" spans="1:40" ht="16" x14ac:dyDescent="0.2">
      <c r="A473" s="2" t="s">
        <v>1550</v>
      </c>
      <c r="B473" s="46">
        <v>472</v>
      </c>
      <c r="C473" s="2" t="b">
        <v>0</v>
      </c>
      <c r="D473" s="2" t="b">
        <v>0</v>
      </c>
      <c r="E473" s="2" t="b">
        <v>0</v>
      </c>
      <c r="F473" s="2" t="b">
        <v>0</v>
      </c>
      <c r="G473" s="2" t="s">
        <v>31</v>
      </c>
      <c r="H473" s="2" t="s">
        <v>1551</v>
      </c>
      <c r="I473" s="2" t="s">
        <v>1552</v>
      </c>
      <c r="J473" s="2" t="s">
        <v>1553</v>
      </c>
      <c r="K473" s="2" t="s">
        <v>35</v>
      </c>
      <c r="L473" s="2" t="s">
        <v>35</v>
      </c>
      <c r="M473" s="2" t="s">
        <v>35</v>
      </c>
      <c r="N473" s="2" t="s">
        <v>35</v>
      </c>
      <c r="O473" s="11">
        <v>44747.455788391206</v>
      </c>
      <c r="P473" s="11">
        <v>44747.456024039355</v>
      </c>
      <c r="Q473" s="27">
        <f t="shared" si="21"/>
        <v>2.3564814910059795E-4</v>
      </c>
      <c r="R473" s="65">
        <f t="shared" si="23"/>
        <v>1.5413773144246079E-3</v>
      </c>
      <c r="S473" s="2">
        <v>0</v>
      </c>
      <c r="T473" s="2" t="s">
        <v>36</v>
      </c>
      <c r="U473" s="2" t="s">
        <v>37</v>
      </c>
      <c r="V473" s="2" t="s">
        <v>38</v>
      </c>
      <c r="W473" s="2" t="s">
        <v>35</v>
      </c>
      <c r="X473" s="2" t="s">
        <v>35</v>
      </c>
      <c r="Y473" s="2" t="s">
        <v>35</v>
      </c>
      <c r="Z473" s="2" t="b">
        <v>0</v>
      </c>
      <c r="AA473" s="2" t="s">
        <v>35</v>
      </c>
      <c r="AB473" s="2" t="s">
        <v>35</v>
      </c>
      <c r="AC473" s="2">
        <v>4</v>
      </c>
      <c r="AD473" s="2">
        <v>4</v>
      </c>
      <c r="AE473" s="2" t="s">
        <v>1464</v>
      </c>
      <c r="AF473" s="11">
        <v>44747.425694386577</v>
      </c>
      <c r="AG473" s="53"/>
      <c r="AH473" s="53" t="b">
        <f t="shared" si="22"/>
        <v>0</v>
      </c>
      <c r="AI473" s="54" t="str" cm="1">
        <f t="array" ref="AI473">TRANSPOSE(_xlfn._xlws.FILTER(images!L:L,images!F:F=Barrierenmessung!A473, ""))</f>
        <v>https://captureandgo.cloudlab.zhaw.ch/uploads/image_fca9e98f35.jpg</v>
      </c>
      <c r="AJ473" s="2"/>
      <c r="AK473" s="2"/>
      <c r="AL473" s="2"/>
      <c r="AM473" s="2"/>
      <c r="AN473" s="2"/>
    </row>
    <row r="474" spans="1:40" ht="16" x14ac:dyDescent="0.2">
      <c r="A474" s="2" t="s">
        <v>1554</v>
      </c>
      <c r="B474" s="46">
        <v>473</v>
      </c>
      <c r="C474" s="2" t="b">
        <v>0</v>
      </c>
      <c r="D474" s="2" t="b">
        <v>0</v>
      </c>
      <c r="E474" s="2" t="b">
        <v>0</v>
      </c>
      <c r="F474" s="2" t="b">
        <v>0</v>
      </c>
      <c r="G474" s="2" t="s">
        <v>31</v>
      </c>
      <c r="H474" s="2" t="s">
        <v>1555</v>
      </c>
      <c r="I474" s="2" t="s">
        <v>1556</v>
      </c>
      <c r="J474" s="2" t="s">
        <v>1557</v>
      </c>
      <c r="K474" s="2" t="s">
        <v>35</v>
      </c>
      <c r="L474" s="2" t="s">
        <v>35</v>
      </c>
      <c r="M474" s="2" t="s">
        <v>35</v>
      </c>
      <c r="N474" s="2" t="s">
        <v>35</v>
      </c>
      <c r="O474" s="11">
        <v>44747.45700923611</v>
      </c>
      <c r="P474" s="11">
        <v>44747.457495219911</v>
      </c>
      <c r="Q474" s="27">
        <f t="shared" si="21"/>
        <v>4.8598380089970306E-4</v>
      </c>
      <c r="R474" s="65">
        <f t="shared" si="23"/>
        <v>1.4711805561091751E-3</v>
      </c>
      <c r="S474" s="2">
        <v>0</v>
      </c>
      <c r="T474" s="2" t="s">
        <v>36</v>
      </c>
      <c r="U474" s="2" t="s">
        <v>37</v>
      </c>
      <c r="V474" s="2" t="s">
        <v>38</v>
      </c>
      <c r="W474" s="2" t="s">
        <v>35</v>
      </c>
      <c r="X474" s="2" t="s">
        <v>35</v>
      </c>
      <c r="Y474" s="2" t="s">
        <v>35</v>
      </c>
      <c r="Z474" s="2" t="b">
        <v>0</v>
      </c>
      <c r="AA474" s="2" t="s">
        <v>35</v>
      </c>
      <c r="AB474" s="2" t="s">
        <v>35</v>
      </c>
      <c r="AC474" s="2">
        <v>6</v>
      </c>
      <c r="AD474" s="2" t="s">
        <v>35</v>
      </c>
      <c r="AE474" s="2" t="s">
        <v>1464</v>
      </c>
      <c r="AF474" s="11">
        <v>44747.425694386577</v>
      </c>
      <c r="AG474" s="53"/>
      <c r="AH474" s="53" t="b">
        <f t="shared" si="22"/>
        <v>0</v>
      </c>
      <c r="AI474" s="54" t="str" cm="1">
        <f t="array" ref="AI474">TRANSPOSE(_xlfn._xlws.FILTER(images!L:L,images!F:F=Barrierenmessung!A474, ""))</f>
        <v>https://captureandgo.cloudlab.zhaw.ch/uploads/image_cfbb277621.jpg</v>
      </c>
      <c r="AJ474" s="2"/>
      <c r="AK474" s="2"/>
      <c r="AL474" s="2"/>
      <c r="AM474" s="2"/>
      <c r="AN474" s="2"/>
    </row>
    <row r="475" spans="1:40" ht="16" x14ac:dyDescent="0.2">
      <c r="A475" s="2" t="s">
        <v>1558</v>
      </c>
      <c r="B475" s="46">
        <v>474</v>
      </c>
      <c r="C475" s="2" t="b">
        <v>0</v>
      </c>
      <c r="D475" s="2" t="b">
        <v>0</v>
      </c>
      <c r="E475" s="2" t="b">
        <v>0</v>
      </c>
      <c r="F475" s="2" t="b">
        <v>0</v>
      </c>
      <c r="G475" s="2" t="s">
        <v>31</v>
      </c>
      <c r="H475" s="2" t="s">
        <v>1559</v>
      </c>
      <c r="I475" s="2" t="s">
        <v>1560</v>
      </c>
      <c r="J475" s="2" t="s">
        <v>1561</v>
      </c>
      <c r="K475" s="2" t="s">
        <v>35</v>
      </c>
      <c r="L475" s="2" t="s">
        <v>35</v>
      </c>
      <c r="M475" s="2" t="s">
        <v>35</v>
      </c>
      <c r="N475" s="2" t="s">
        <v>35</v>
      </c>
      <c r="O475" s="11">
        <v>44747.458176435182</v>
      </c>
      <c r="P475" s="11">
        <v>44747.458488090277</v>
      </c>
      <c r="Q475" s="27">
        <f t="shared" si="21"/>
        <v>3.1165509426500648E-4</v>
      </c>
      <c r="R475" s="65">
        <f t="shared" si="23"/>
        <v>9.9287036573514342E-4</v>
      </c>
      <c r="S475" s="2">
        <v>0</v>
      </c>
      <c r="T475" s="2" t="s">
        <v>416</v>
      </c>
      <c r="U475" s="2" t="s">
        <v>417</v>
      </c>
      <c r="V475" s="2" t="s">
        <v>38</v>
      </c>
      <c r="W475" s="2" t="s">
        <v>35</v>
      </c>
      <c r="X475" s="2">
        <v>0</v>
      </c>
      <c r="Y475" s="2" t="s">
        <v>1440</v>
      </c>
      <c r="Z475" s="2" t="b">
        <v>0</v>
      </c>
      <c r="AA475" s="2" t="s">
        <v>35</v>
      </c>
      <c r="AB475" s="2" t="s">
        <v>35</v>
      </c>
      <c r="AC475" s="2" t="s">
        <v>35</v>
      </c>
      <c r="AD475" s="2" t="s">
        <v>35</v>
      </c>
      <c r="AE475" s="2" t="s">
        <v>1464</v>
      </c>
      <c r="AF475" s="11">
        <v>44747.425694386577</v>
      </c>
      <c r="AG475" s="53"/>
      <c r="AH475" s="53" t="b">
        <f t="shared" si="22"/>
        <v>0</v>
      </c>
      <c r="AI475" s="54" t="str" cm="1">
        <f t="array" ref="AI475">TRANSPOSE(_xlfn._xlws.FILTER(images!L:L,images!F:F=Barrierenmessung!A475, ""))</f>
        <v>https://captureandgo.cloudlab.zhaw.ch/uploads/image_3c264af965.jpg</v>
      </c>
      <c r="AJ475" s="2"/>
      <c r="AK475" s="2"/>
      <c r="AL475" s="2"/>
      <c r="AM475" s="2"/>
      <c r="AN475" s="2"/>
    </row>
    <row r="476" spans="1:40" ht="16" x14ac:dyDescent="0.2">
      <c r="A476" s="2" t="s">
        <v>1562</v>
      </c>
      <c r="B476" s="46">
        <v>475</v>
      </c>
      <c r="C476" s="2" t="b">
        <v>0</v>
      </c>
      <c r="D476" s="2" t="b">
        <v>0</v>
      </c>
      <c r="E476" s="2" t="b">
        <v>0</v>
      </c>
      <c r="F476" s="2" t="b">
        <v>0</v>
      </c>
      <c r="G476" s="2" t="s">
        <v>31</v>
      </c>
      <c r="H476" s="2" t="s">
        <v>1563</v>
      </c>
      <c r="I476" s="2" t="s">
        <v>1564</v>
      </c>
      <c r="J476" s="2" t="s">
        <v>1565</v>
      </c>
      <c r="K476" s="2" t="s">
        <v>35</v>
      </c>
      <c r="L476" s="2" t="s">
        <v>35</v>
      </c>
      <c r="M476" s="2" t="s">
        <v>35</v>
      </c>
      <c r="N476" s="2" t="s">
        <v>35</v>
      </c>
      <c r="O476" s="11">
        <v>44747.459511215275</v>
      </c>
      <c r="P476" s="11">
        <v>44747.460035150463</v>
      </c>
      <c r="Q476" s="27">
        <f t="shared" si="21"/>
        <v>5.2393518853932619E-4</v>
      </c>
      <c r="R476" s="65">
        <f t="shared" si="23"/>
        <v>1.5470601865672506E-3</v>
      </c>
      <c r="S476" s="2">
        <v>0</v>
      </c>
      <c r="T476" s="2" t="s">
        <v>36</v>
      </c>
      <c r="U476" s="2" t="s">
        <v>37</v>
      </c>
      <c r="V476" s="2" t="s">
        <v>38</v>
      </c>
      <c r="W476" s="2" t="s">
        <v>35</v>
      </c>
      <c r="X476" s="2" t="s">
        <v>35</v>
      </c>
      <c r="Y476" s="2" t="s">
        <v>35</v>
      </c>
      <c r="Z476" s="2" t="b">
        <v>0</v>
      </c>
      <c r="AA476" s="2" t="s">
        <v>35</v>
      </c>
      <c r="AB476" s="2" t="s">
        <v>35</v>
      </c>
      <c r="AC476" s="2">
        <v>9</v>
      </c>
      <c r="AD476" s="2">
        <v>3</v>
      </c>
      <c r="AE476" s="2" t="s">
        <v>1464</v>
      </c>
      <c r="AF476" s="11">
        <v>44747.425694386577</v>
      </c>
      <c r="AG476" s="53"/>
      <c r="AH476" s="53" t="b">
        <f t="shared" si="22"/>
        <v>0</v>
      </c>
      <c r="AI476" s="54" t="str" cm="1">
        <f t="array" ref="AI476">TRANSPOSE(_xlfn._xlws.FILTER(images!L:L,images!F:F=Barrierenmessung!A476, ""))</f>
        <v>https://captureandgo.cloudlab.zhaw.ch/uploads/image_b436eceba6.jpg</v>
      </c>
      <c r="AJ476" s="2"/>
      <c r="AK476" s="2"/>
      <c r="AL476" s="2"/>
      <c r="AM476" s="2"/>
      <c r="AN476" s="2"/>
    </row>
    <row r="477" spans="1:40" ht="16" x14ac:dyDescent="0.2">
      <c r="A477" s="68" t="s">
        <v>1566</v>
      </c>
      <c r="B477" s="68">
        <v>476</v>
      </c>
      <c r="C477" s="68" t="b">
        <v>0</v>
      </c>
      <c r="D477" s="68" t="b">
        <v>0</v>
      </c>
      <c r="E477" s="68" t="b">
        <v>0</v>
      </c>
      <c r="F477" s="68" t="b">
        <v>0</v>
      </c>
      <c r="G477" s="68" t="s">
        <v>31</v>
      </c>
      <c r="H477" s="68" t="s">
        <v>149</v>
      </c>
      <c r="I477" s="68" t="s">
        <v>1567</v>
      </c>
      <c r="J477" s="68" t="s">
        <v>1553</v>
      </c>
      <c r="K477" s="68" t="s">
        <v>35</v>
      </c>
      <c r="L477" s="68" t="s">
        <v>35</v>
      </c>
      <c r="M477" s="68" t="s">
        <v>35</v>
      </c>
      <c r="N477" s="68" t="s">
        <v>35</v>
      </c>
      <c r="O477" s="69">
        <v>44747.464382280094</v>
      </c>
      <c r="P477" s="69">
        <v>44747.464586724534</v>
      </c>
      <c r="Q477" s="70">
        <f t="shared" si="21"/>
        <v>2.0444444089662284E-4</v>
      </c>
      <c r="R477" s="70">
        <f t="shared" si="23"/>
        <v>4.5515740712289698E-3</v>
      </c>
      <c r="S477" s="68">
        <v>0</v>
      </c>
      <c r="T477" s="68" t="s">
        <v>36</v>
      </c>
      <c r="U477" s="68" t="s">
        <v>37</v>
      </c>
      <c r="V477" s="68" t="s">
        <v>38</v>
      </c>
      <c r="W477" s="68" t="s">
        <v>35</v>
      </c>
      <c r="X477" s="68" t="s">
        <v>35</v>
      </c>
      <c r="Y477" s="68" t="s">
        <v>35</v>
      </c>
      <c r="Z477" s="68" t="b">
        <v>0</v>
      </c>
      <c r="AA477" s="68" t="s">
        <v>35</v>
      </c>
      <c r="AB477" s="68" t="s">
        <v>35</v>
      </c>
      <c r="AC477" s="68">
        <v>10</v>
      </c>
      <c r="AD477" s="68" t="s">
        <v>35</v>
      </c>
      <c r="AE477" s="68" t="s">
        <v>1464</v>
      </c>
      <c r="AF477" s="69">
        <v>44747.425694386577</v>
      </c>
      <c r="AG477" s="71"/>
      <c r="AH477" s="71" t="b">
        <f t="shared" si="22"/>
        <v>0</v>
      </c>
      <c r="AI477" s="56" t="str" cm="1">
        <f t="array" ref="AI477">TRANSPOSE(_xlfn._xlws.FILTER(images!L:L,images!F:F=Barrierenmessung!A477, ""))</f>
        <v/>
      </c>
      <c r="AJ477" s="68"/>
      <c r="AK477" s="68"/>
      <c r="AL477" s="68"/>
      <c r="AM477" s="68"/>
      <c r="AN477" s="68"/>
    </row>
    <row r="478" spans="1:40" ht="16" x14ac:dyDescent="0.2">
      <c r="A478" s="2" t="s">
        <v>1568</v>
      </c>
      <c r="B478" s="46">
        <v>477</v>
      </c>
      <c r="C478" s="2" t="b">
        <v>0</v>
      </c>
      <c r="D478" s="2" t="b">
        <v>0</v>
      </c>
      <c r="E478" s="2" t="b">
        <v>0</v>
      </c>
      <c r="F478" s="2" t="b">
        <v>0</v>
      </c>
      <c r="G478" s="2" t="s">
        <v>31</v>
      </c>
      <c r="H478" s="2" t="s">
        <v>1569</v>
      </c>
      <c r="I478" s="2" t="s">
        <v>1570</v>
      </c>
      <c r="J478" s="2" t="s">
        <v>1553</v>
      </c>
      <c r="K478" s="2" t="s">
        <v>35</v>
      </c>
      <c r="L478" s="2" t="s">
        <v>35</v>
      </c>
      <c r="M478" s="2" t="s">
        <v>35</v>
      </c>
      <c r="N478" s="2" t="s">
        <v>35</v>
      </c>
      <c r="O478" s="11">
        <v>44747.465783252315</v>
      </c>
      <c r="P478" s="11">
        <v>44747.465989108794</v>
      </c>
      <c r="Q478" s="27">
        <f t="shared" si="21"/>
        <v>2.058564787148498E-4</v>
      </c>
      <c r="R478" s="65">
        <f t="shared" si="23"/>
        <v>1.4023842595634051E-3</v>
      </c>
      <c r="S478" s="2">
        <v>0</v>
      </c>
      <c r="T478" s="2" t="s">
        <v>36</v>
      </c>
      <c r="U478" s="2" t="s">
        <v>37</v>
      </c>
      <c r="V478" s="2" t="s">
        <v>38</v>
      </c>
      <c r="W478" s="2" t="s">
        <v>35</v>
      </c>
      <c r="X478" s="2" t="s">
        <v>35</v>
      </c>
      <c r="Y478" s="2" t="s">
        <v>35</v>
      </c>
      <c r="Z478" s="2" t="b">
        <v>0</v>
      </c>
      <c r="AA478" s="2" t="s">
        <v>35</v>
      </c>
      <c r="AB478" s="2" t="s">
        <v>35</v>
      </c>
      <c r="AC478" s="2">
        <v>9</v>
      </c>
      <c r="AD478" s="2" t="s">
        <v>35</v>
      </c>
      <c r="AE478" s="2" t="s">
        <v>1464</v>
      </c>
      <c r="AF478" s="11">
        <v>44747.425694386577</v>
      </c>
      <c r="AG478" s="53"/>
      <c r="AH478" s="53" t="b">
        <f t="shared" si="22"/>
        <v>0</v>
      </c>
      <c r="AI478" s="54" t="str" cm="1">
        <f t="array" ref="AI478">TRANSPOSE(_xlfn._xlws.FILTER(images!L:L,images!F:F=Barrierenmessung!A478, ""))</f>
        <v>https://captureandgo.cloudlab.zhaw.ch/uploads/image_ad88de3739.jpg</v>
      </c>
      <c r="AJ478" s="2"/>
      <c r="AK478" s="2"/>
      <c r="AL478" s="2"/>
      <c r="AM478" s="2"/>
      <c r="AN478" s="2"/>
    </row>
    <row r="479" spans="1:40" ht="16" x14ac:dyDescent="0.2">
      <c r="A479" s="2" t="s">
        <v>1571</v>
      </c>
      <c r="B479" s="46">
        <v>478</v>
      </c>
      <c r="C479" s="2" t="b">
        <v>0</v>
      </c>
      <c r="D479" s="2" t="b">
        <v>0</v>
      </c>
      <c r="E479" s="2" t="b">
        <v>0</v>
      </c>
      <c r="F479" s="2" t="b">
        <v>0</v>
      </c>
      <c r="G479" s="2" t="s">
        <v>31</v>
      </c>
      <c r="H479" s="2" t="s">
        <v>1572</v>
      </c>
      <c r="I479" s="2" t="s">
        <v>1573</v>
      </c>
      <c r="J479" s="2" t="s">
        <v>1574</v>
      </c>
      <c r="K479" s="2" t="s">
        <v>35</v>
      </c>
      <c r="L479" s="2" t="s">
        <v>35</v>
      </c>
      <c r="M479" s="2">
        <v>9</v>
      </c>
      <c r="N479" s="2">
        <v>12</v>
      </c>
      <c r="O479" s="11">
        <v>44747.466081365739</v>
      </c>
      <c r="P479" s="11">
        <v>44747.466709884262</v>
      </c>
      <c r="Q479" s="27">
        <f t="shared" si="21"/>
        <v>6.2851852271705866E-4</v>
      </c>
      <c r="R479" s="65">
        <f t="shared" si="23"/>
        <v>7.2077546792570502E-4</v>
      </c>
      <c r="S479" s="2">
        <v>0</v>
      </c>
      <c r="T479" s="2" t="s">
        <v>54</v>
      </c>
      <c r="U479" s="2" t="s">
        <v>55</v>
      </c>
      <c r="V479" s="2" t="s">
        <v>38</v>
      </c>
      <c r="W479" s="2" t="s">
        <v>35</v>
      </c>
      <c r="X479" s="2" t="s">
        <v>35</v>
      </c>
      <c r="Y479" s="2" t="s">
        <v>35</v>
      </c>
      <c r="Z479" s="2" t="b">
        <v>1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2" t="s">
        <v>1464</v>
      </c>
      <c r="AF479" s="11">
        <v>44747.425694386577</v>
      </c>
      <c r="AG479" s="53"/>
      <c r="AH479" s="53" t="b">
        <f t="shared" si="22"/>
        <v>0</v>
      </c>
      <c r="AI479" s="54" t="str" cm="1">
        <f t="array" ref="AI479">TRANSPOSE(_xlfn._xlws.FILTER(images!L:L,images!F:F=Barrierenmessung!A479, ""))</f>
        <v>https://captureandgo.cloudlab.zhaw.ch/uploads/image_14c530c12f.jpg</v>
      </c>
      <c r="AJ479" s="2"/>
      <c r="AK479" s="2"/>
      <c r="AL479" s="2"/>
      <c r="AM479" s="2"/>
      <c r="AN479" s="2"/>
    </row>
    <row r="480" spans="1:40" ht="16" x14ac:dyDescent="0.2">
      <c r="A480" s="2" t="s">
        <v>1575</v>
      </c>
      <c r="B480" s="46">
        <v>479</v>
      </c>
      <c r="C480" s="2" t="b">
        <v>0</v>
      </c>
      <c r="D480" s="2" t="b">
        <v>0</v>
      </c>
      <c r="E480" s="2" t="b">
        <v>0</v>
      </c>
      <c r="F480" s="2" t="b">
        <v>0</v>
      </c>
      <c r="G480" s="2" t="s">
        <v>31</v>
      </c>
      <c r="H480" s="2" t="s">
        <v>1576</v>
      </c>
      <c r="I480" s="2" t="s">
        <v>1577</v>
      </c>
      <c r="J480" s="2" t="s">
        <v>35</v>
      </c>
      <c r="K480" s="2" t="s">
        <v>35</v>
      </c>
      <c r="L480" s="2" t="s">
        <v>35</v>
      </c>
      <c r="M480" s="2" t="s">
        <v>35</v>
      </c>
      <c r="N480" s="2" t="s">
        <v>35</v>
      </c>
      <c r="O480" s="11">
        <v>44747.466877013889</v>
      </c>
      <c r="P480" s="11">
        <v>44747.467009537038</v>
      </c>
      <c r="Q480" s="27">
        <f t="shared" si="21"/>
        <v>1.3252314965939149E-4</v>
      </c>
      <c r="R480" s="65">
        <f t="shared" si="23"/>
        <v>2.996527764480561E-4</v>
      </c>
      <c r="S480" s="2">
        <v>0</v>
      </c>
      <c r="T480" s="2" t="s">
        <v>36</v>
      </c>
      <c r="U480" s="2" t="s">
        <v>37</v>
      </c>
      <c r="V480" s="2" t="s">
        <v>38</v>
      </c>
      <c r="W480" s="2" t="s">
        <v>35</v>
      </c>
      <c r="X480" s="2" t="s">
        <v>35</v>
      </c>
      <c r="Y480" s="2" t="s">
        <v>35</v>
      </c>
      <c r="Z480" s="2" t="b">
        <v>0</v>
      </c>
      <c r="AA480" s="2" t="s">
        <v>1235</v>
      </c>
      <c r="AB480" s="2" t="s">
        <v>35</v>
      </c>
      <c r="AC480" s="2" t="s">
        <v>35</v>
      </c>
      <c r="AD480" s="2" t="s">
        <v>35</v>
      </c>
      <c r="AE480" s="2" t="s">
        <v>1464</v>
      </c>
      <c r="AF480" s="11">
        <v>44747.425694386577</v>
      </c>
      <c r="AG480" s="53"/>
      <c r="AH480" s="53" t="b">
        <f t="shared" si="22"/>
        <v>0</v>
      </c>
      <c r="AI480" s="54" t="str" cm="1">
        <f t="array" ref="AI480">TRANSPOSE(_xlfn._xlws.FILTER(images!L:L,images!F:F=Barrierenmessung!A480, ""))</f>
        <v>https://captureandgo.cloudlab.zhaw.ch/uploads/image_e6bb5ef394.jpg</v>
      </c>
      <c r="AJ480" s="2"/>
      <c r="AK480" s="2"/>
      <c r="AL480" s="2"/>
      <c r="AM480" s="2"/>
      <c r="AN480" s="2"/>
    </row>
    <row r="481" spans="1:40" ht="16" x14ac:dyDescent="0.2">
      <c r="A481" s="2" t="s">
        <v>1578</v>
      </c>
      <c r="B481" s="46">
        <v>480</v>
      </c>
      <c r="C481" s="2" t="b">
        <v>0</v>
      </c>
      <c r="D481" s="2" t="b">
        <v>0</v>
      </c>
      <c r="E481" s="2" t="b">
        <v>0</v>
      </c>
      <c r="F481" s="2" t="b">
        <v>0</v>
      </c>
      <c r="G481" s="2" t="s">
        <v>31</v>
      </c>
      <c r="H481" s="2" t="s">
        <v>1579</v>
      </c>
      <c r="I481" s="2" t="s">
        <v>1580</v>
      </c>
      <c r="J481" s="2" t="s">
        <v>1124</v>
      </c>
      <c r="K481" s="2" t="s">
        <v>35</v>
      </c>
      <c r="L481" s="2" t="s">
        <v>35</v>
      </c>
      <c r="M481" s="2" t="s">
        <v>35</v>
      </c>
      <c r="N481" s="2" t="s">
        <v>35</v>
      </c>
      <c r="O481" s="11">
        <v>44747.467244942127</v>
      </c>
      <c r="P481" s="11">
        <v>44747.467522210645</v>
      </c>
      <c r="Q481" s="27">
        <f t="shared" si="21"/>
        <v>2.7726851840270683E-4</v>
      </c>
      <c r="R481" s="65">
        <f t="shared" si="23"/>
        <v>5.1267360686324537E-4</v>
      </c>
      <c r="S481" s="2">
        <v>0</v>
      </c>
      <c r="T481" s="2" t="s">
        <v>416</v>
      </c>
      <c r="U481" s="2" t="s">
        <v>417</v>
      </c>
      <c r="V481" s="2" t="s">
        <v>38</v>
      </c>
      <c r="W481" s="2" t="s">
        <v>35</v>
      </c>
      <c r="X481" s="2">
        <v>0</v>
      </c>
      <c r="Y481" s="2" t="s">
        <v>1440</v>
      </c>
      <c r="Z481" s="2" t="b">
        <v>0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2" t="s">
        <v>1464</v>
      </c>
      <c r="AF481" s="11">
        <v>44747.425694386577</v>
      </c>
      <c r="AG481" s="53"/>
      <c r="AH481" s="53" t="b">
        <f t="shared" si="22"/>
        <v>0</v>
      </c>
      <c r="AI481" s="54" t="str" cm="1">
        <f t="array" ref="AI481">TRANSPOSE(_xlfn._xlws.FILTER(images!L:L,images!F:F=Barrierenmessung!A481, ""))</f>
        <v>https://captureandgo.cloudlab.zhaw.ch/uploads/image_9b39dd5dbe.jpg</v>
      </c>
      <c r="AJ481" s="2"/>
      <c r="AK481" s="2"/>
      <c r="AL481" s="2"/>
      <c r="AM481" s="2"/>
      <c r="AN481" s="2"/>
    </row>
    <row r="482" spans="1:40" ht="16" x14ac:dyDescent="0.2">
      <c r="A482" s="2" t="s">
        <v>1581</v>
      </c>
      <c r="B482" s="46">
        <v>481</v>
      </c>
      <c r="C482" s="2" t="b">
        <v>0</v>
      </c>
      <c r="D482" s="2" t="b">
        <v>0</v>
      </c>
      <c r="E482" s="2" t="b">
        <v>0</v>
      </c>
      <c r="F482" s="2" t="b">
        <v>0</v>
      </c>
      <c r="G482" s="2" t="s">
        <v>31</v>
      </c>
      <c r="H482" s="2" t="s">
        <v>1582</v>
      </c>
      <c r="I482" s="2" t="s">
        <v>1583</v>
      </c>
      <c r="J482" s="2" t="s">
        <v>35</v>
      </c>
      <c r="K482" s="2" t="s">
        <v>35</v>
      </c>
      <c r="L482" s="2" t="s">
        <v>35</v>
      </c>
      <c r="M482" s="2" t="s">
        <v>35</v>
      </c>
      <c r="N482" s="2" t="s">
        <v>35</v>
      </c>
      <c r="O482" s="11">
        <v>44747.468021273147</v>
      </c>
      <c r="P482" s="11">
        <v>44747.468170949076</v>
      </c>
      <c r="Q482" s="27">
        <f t="shared" si="21"/>
        <v>1.4967592869652435E-4</v>
      </c>
      <c r="R482" s="65">
        <f t="shared" si="23"/>
        <v>6.4873843075474724E-4</v>
      </c>
      <c r="S482" s="2">
        <v>0</v>
      </c>
      <c r="T482" s="2" t="s">
        <v>36</v>
      </c>
      <c r="U482" s="2" t="s">
        <v>37</v>
      </c>
      <c r="V482" s="2" t="s">
        <v>38</v>
      </c>
      <c r="W482" s="2" t="s">
        <v>35</v>
      </c>
      <c r="X482" s="2" t="s">
        <v>35</v>
      </c>
      <c r="Y482" s="2" t="s">
        <v>35</v>
      </c>
      <c r="Z482" s="2" t="b">
        <v>0</v>
      </c>
      <c r="AA482" s="2" t="s">
        <v>1235</v>
      </c>
      <c r="AB482" s="2" t="s">
        <v>35</v>
      </c>
      <c r="AC482" s="2" t="s">
        <v>35</v>
      </c>
      <c r="AD482" s="2" t="s">
        <v>35</v>
      </c>
      <c r="AE482" s="2" t="s">
        <v>1464</v>
      </c>
      <c r="AF482" s="11">
        <v>44747.425694386577</v>
      </c>
      <c r="AG482" s="53"/>
      <c r="AH482" s="53" t="b">
        <f t="shared" si="22"/>
        <v>0</v>
      </c>
      <c r="AI482" s="54" t="str" cm="1">
        <f t="array" ref="AI482">TRANSPOSE(_xlfn._xlws.FILTER(images!L:L,images!F:F=Barrierenmessung!A482, ""))</f>
        <v>https://captureandgo.cloudlab.zhaw.ch/uploads/image_bce5356297.jpg</v>
      </c>
      <c r="AJ482" s="2"/>
      <c r="AK482" s="2"/>
      <c r="AL482" s="2"/>
      <c r="AM482" s="2"/>
      <c r="AN482" s="2"/>
    </row>
    <row r="483" spans="1:40" ht="16" x14ac:dyDescent="0.2">
      <c r="A483" s="2" t="s">
        <v>1584</v>
      </c>
      <c r="B483" s="46">
        <v>482</v>
      </c>
      <c r="C483" s="2" t="b">
        <v>0</v>
      </c>
      <c r="D483" s="2" t="b">
        <v>0</v>
      </c>
      <c r="E483" s="2" t="b">
        <v>0</v>
      </c>
      <c r="F483" s="2" t="b">
        <v>0</v>
      </c>
      <c r="G483" s="2" t="s">
        <v>31</v>
      </c>
      <c r="H483" s="2" t="s">
        <v>1585</v>
      </c>
      <c r="I483" s="2" t="s">
        <v>1586</v>
      </c>
      <c r="J483" s="2" t="s">
        <v>1587</v>
      </c>
      <c r="K483" s="2" t="s">
        <v>35</v>
      </c>
      <c r="L483" s="2" t="s">
        <v>35</v>
      </c>
      <c r="M483" s="2" t="s">
        <v>35</v>
      </c>
      <c r="N483" s="2" t="s">
        <v>35</v>
      </c>
      <c r="O483" s="11">
        <v>44747.470437349541</v>
      </c>
      <c r="P483" s="11">
        <v>44747.470839988426</v>
      </c>
      <c r="Q483" s="27">
        <f t="shared" si="21"/>
        <v>4.0263888513436541E-4</v>
      </c>
      <c r="R483" s="65">
        <f t="shared" si="23"/>
        <v>2.6690393497119658E-3</v>
      </c>
      <c r="S483" s="2">
        <v>0</v>
      </c>
      <c r="T483" s="2" t="s">
        <v>36</v>
      </c>
      <c r="U483" s="2" t="s">
        <v>37</v>
      </c>
      <c r="V483" s="2" t="s">
        <v>38</v>
      </c>
      <c r="W483" s="2" t="s">
        <v>35</v>
      </c>
      <c r="X483" s="2" t="s">
        <v>35</v>
      </c>
      <c r="Y483" s="2" t="s">
        <v>35</v>
      </c>
      <c r="Z483" s="2" t="b">
        <v>0</v>
      </c>
      <c r="AA483" s="2" t="s">
        <v>35</v>
      </c>
      <c r="AB483" s="2" t="s">
        <v>35</v>
      </c>
      <c r="AC483" s="2">
        <v>7</v>
      </c>
      <c r="AD483" s="2" t="s">
        <v>35</v>
      </c>
      <c r="AE483" s="2" t="s">
        <v>1464</v>
      </c>
      <c r="AF483" s="11">
        <v>44747.425694386577</v>
      </c>
      <c r="AG483" s="53"/>
      <c r="AH483" s="53" t="b">
        <f t="shared" si="22"/>
        <v>0</v>
      </c>
      <c r="AI483" s="54" t="str" cm="1">
        <f t="array" ref="AI483">TRANSPOSE(_xlfn._xlws.FILTER(images!L:L,images!F:F=Barrierenmessung!A483, ""))</f>
        <v>https://captureandgo.cloudlab.zhaw.ch/uploads/image_2a9c0b9c58.jpg</v>
      </c>
      <c r="AJ483" s="2"/>
      <c r="AK483" s="2"/>
      <c r="AL483" s="2"/>
      <c r="AM483" s="2"/>
      <c r="AN483" s="2"/>
    </row>
    <row r="484" spans="1:40" ht="16" x14ac:dyDescent="0.2">
      <c r="A484" s="2" t="s">
        <v>1588</v>
      </c>
      <c r="B484" s="46">
        <v>483</v>
      </c>
      <c r="C484" s="2" t="b">
        <v>0</v>
      </c>
      <c r="D484" s="2" t="b">
        <v>0</v>
      </c>
      <c r="E484" s="2" t="b">
        <v>0</v>
      </c>
      <c r="F484" s="2" t="b">
        <v>0</v>
      </c>
      <c r="G484" s="2" t="s">
        <v>31</v>
      </c>
      <c r="H484" s="2" t="s">
        <v>1589</v>
      </c>
      <c r="I484" s="2" t="s">
        <v>1590</v>
      </c>
      <c r="J484" s="2" t="s">
        <v>35</v>
      </c>
      <c r="K484" s="2" t="s">
        <v>35</v>
      </c>
      <c r="L484" s="2" t="s">
        <v>35</v>
      </c>
      <c r="M484" s="2">
        <v>5</v>
      </c>
      <c r="N484" s="2">
        <v>15</v>
      </c>
      <c r="O484" s="11">
        <v>44747.4751196875</v>
      </c>
      <c r="P484" s="11">
        <v>44747.475560833336</v>
      </c>
      <c r="Q484" s="27">
        <f t="shared" si="21"/>
        <v>4.4114583579357713E-4</v>
      </c>
      <c r="R484" s="65">
        <f t="shared" si="23"/>
        <v>4.720844910480082E-3</v>
      </c>
      <c r="S484" s="2">
        <v>0</v>
      </c>
      <c r="T484" s="2" t="s">
        <v>54</v>
      </c>
      <c r="U484" s="2" t="s">
        <v>55</v>
      </c>
      <c r="V484" s="2" t="s">
        <v>38</v>
      </c>
      <c r="W484" s="2" t="s">
        <v>35</v>
      </c>
      <c r="X484" s="2" t="s">
        <v>35</v>
      </c>
      <c r="Y484" s="2" t="s">
        <v>35</v>
      </c>
      <c r="Z484" s="2" t="b">
        <v>0</v>
      </c>
      <c r="AA484" s="2" t="s">
        <v>35</v>
      </c>
      <c r="AB484" s="2" t="s">
        <v>35</v>
      </c>
      <c r="AC484" s="2" t="s">
        <v>35</v>
      </c>
      <c r="AD484" s="2" t="s">
        <v>35</v>
      </c>
      <c r="AE484" s="2" t="s">
        <v>1464</v>
      </c>
      <c r="AF484" s="11">
        <v>44747.425694386577</v>
      </c>
      <c r="AG484" s="53"/>
      <c r="AH484" s="53" t="b">
        <f t="shared" si="22"/>
        <v>0</v>
      </c>
      <c r="AI484" s="54" t="str" cm="1">
        <f t="array" ref="AI484:AK484">TRANSPOSE(_xlfn._xlws.FILTER(images!L:L,images!F:F=Barrierenmessung!A484, ""))</f>
        <v>https://captureandgo.cloudlab.zhaw.ch/uploads/image_3b5f04b681.jpg</v>
      </c>
      <c r="AJ484" s="2" t="str">
        <v>https://captureandgo.cloudlab.zhaw.ch/uploads/image_6ea24a17fd.jpg</v>
      </c>
      <c r="AK484" s="2" t="str">
        <v>https://captureandgo.cloudlab.zhaw.ch/uploads/image_8ae2d4778d.jpg</v>
      </c>
      <c r="AL484" s="2"/>
      <c r="AM484" s="2"/>
      <c r="AN484" s="2"/>
    </row>
    <row r="485" spans="1:40" ht="16" x14ac:dyDescent="0.2">
      <c r="A485" s="2" t="s">
        <v>1591</v>
      </c>
      <c r="B485" s="46">
        <v>484</v>
      </c>
      <c r="C485" s="2" t="b">
        <v>0</v>
      </c>
      <c r="D485" s="2" t="b">
        <v>0</v>
      </c>
      <c r="E485" s="2" t="b">
        <v>0</v>
      </c>
      <c r="F485" s="2" t="b">
        <v>0</v>
      </c>
      <c r="G485" s="2" t="s">
        <v>31</v>
      </c>
      <c r="H485" s="2" t="s">
        <v>1592</v>
      </c>
      <c r="I485" s="2" t="s">
        <v>1593</v>
      </c>
      <c r="J485" s="2" t="s">
        <v>1594</v>
      </c>
      <c r="K485" s="2" t="s">
        <v>35</v>
      </c>
      <c r="L485" s="2" t="s">
        <v>35</v>
      </c>
      <c r="M485" s="2" t="s">
        <v>35</v>
      </c>
      <c r="N485" s="2" t="s">
        <v>35</v>
      </c>
      <c r="O485" s="11">
        <v>44747.476083946756</v>
      </c>
      <c r="P485" s="11">
        <v>44747.476291423613</v>
      </c>
      <c r="Q485" s="27">
        <f t="shared" si="21"/>
        <v>2.0747685630340129E-4</v>
      </c>
      <c r="R485" s="65">
        <f t="shared" si="23"/>
        <v>7.3059027636190876E-4</v>
      </c>
      <c r="S485" s="2">
        <v>0</v>
      </c>
      <c r="T485" s="2" t="s">
        <v>36</v>
      </c>
      <c r="U485" s="2" t="s">
        <v>37</v>
      </c>
      <c r="V485" s="2" t="s">
        <v>38</v>
      </c>
      <c r="W485" s="2" t="s">
        <v>35</v>
      </c>
      <c r="X485" s="2" t="s">
        <v>35</v>
      </c>
      <c r="Y485" s="2" t="s">
        <v>35</v>
      </c>
      <c r="Z485" s="2" t="b">
        <v>0</v>
      </c>
      <c r="AA485" s="2" t="s">
        <v>35</v>
      </c>
      <c r="AB485" s="2" t="s">
        <v>35</v>
      </c>
      <c r="AC485" s="2">
        <v>10</v>
      </c>
      <c r="AD485" s="2" t="s">
        <v>35</v>
      </c>
      <c r="AE485" s="2" t="s">
        <v>1464</v>
      </c>
      <c r="AF485" s="11">
        <v>44747.425694386577</v>
      </c>
      <c r="AG485" s="53"/>
      <c r="AH485" s="53" t="b">
        <f t="shared" si="22"/>
        <v>0</v>
      </c>
      <c r="AI485" s="54" t="str" cm="1">
        <f t="array" ref="AI485">TRANSPOSE(_xlfn._xlws.FILTER(images!L:L,images!F:F=Barrierenmessung!A485, ""))</f>
        <v>https://captureandgo.cloudlab.zhaw.ch/uploads/image_bdcf96c2bb.jpg</v>
      </c>
      <c r="AJ485" s="2"/>
      <c r="AK485" s="2"/>
      <c r="AL485" s="2"/>
      <c r="AM485" s="2"/>
      <c r="AN485" s="2"/>
    </row>
    <row r="486" spans="1:40" ht="16" x14ac:dyDescent="0.2">
      <c r="A486" s="2" t="s">
        <v>1595</v>
      </c>
      <c r="B486" s="46">
        <v>485</v>
      </c>
      <c r="C486" s="2" t="b">
        <v>0</v>
      </c>
      <c r="D486" s="2" t="b">
        <v>0</v>
      </c>
      <c r="E486" s="2" t="b">
        <v>0</v>
      </c>
      <c r="F486" s="2" t="b">
        <v>0</v>
      </c>
      <c r="G486" s="2" t="s">
        <v>31</v>
      </c>
      <c r="H486" s="2" t="s">
        <v>1596</v>
      </c>
      <c r="I486" s="2" t="s">
        <v>1597</v>
      </c>
      <c r="J486" s="2" t="s">
        <v>1598</v>
      </c>
      <c r="K486" s="2" t="s">
        <v>35</v>
      </c>
      <c r="L486" s="2" t="s">
        <v>35</v>
      </c>
      <c r="M486" s="2" t="s">
        <v>35</v>
      </c>
      <c r="N486" s="2" t="s">
        <v>35</v>
      </c>
      <c r="O486" s="11">
        <v>44747.476850381943</v>
      </c>
      <c r="P486" s="11">
        <v>44747.477094733797</v>
      </c>
      <c r="Q486" s="27">
        <f t="shared" si="21"/>
        <v>2.4435185332549736E-4</v>
      </c>
      <c r="R486" s="65">
        <f t="shared" si="23"/>
        <v>8.0331018398283049E-4</v>
      </c>
      <c r="S486" s="2">
        <v>0</v>
      </c>
      <c r="T486" s="2" t="s">
        <v>36</v>
      </c>
      <c r="U486" s="2" t="s">
        <v>37</v>
      </c>
      <c r="V486" s="2" t="s">
        <v>38</v>
      </c>
      <c r="W486" s="2" t="s">
        <v>35</v>
      </c>
      <c r="X486" s="2" t="s">
        <v>35</v>
      </c>
      <c r="Y486" s="2" t="s">
        <v>35</v>
      </c>
      <c r="Z486" s="2" t="b">
        <v>0</v>
      </c>
      <c r="AA486" s="2" t="s">
        <v>35</v>
      </c>
      <c r="AB486" s="2" t="s">
        <v>35</v>
      </c>
      <c r="AC486" s="2">
        <v>7</v>
      </c>
      <c r="AD486" s="2">
        <v>4</v>
      </c>
      <c r="AE486" s="2" t="s">
        <v>1464</v>
      </c>
      <c r="AF486" s="11">
        <v>44747.425694386577</v>
      </c>
      <c r="AG486" s="53"/>
      <c r="AH486" s="53" t="b">
        <f t="shared" si="22"/>
        <v>0</v>
      </c>
      <c r="AI486" s="54" t="str" cm="1">
        <f t="array" ref="AI486">TRANSPOSE(_xlfn._xlws.FILTER(images!L:L,images!F:F=Barrierenmessung!A486, ""))</f>
        <v>https://captureandgo.cloudlab.zhaw.ch/uploads/image_66c7d8e05b.jpg</v>
      </c>
      <c r="AJ486" s="2"/>
      <c r="AK486" s="2"/>
      <c r="AL486" s="2"/>
      <c r="AM486" s="2"/>
      <c r="AN486" s="2"/>
    </row>
    <row r="487" spans="1:40" ht="16" x14ac:dyDescent="0.2">
      <c r="A487" s="2" t="s">
        <v>1599</v>
      </c>
      <c r="B487" s="46">
        <v>486</v>
      </c>
      <c r="C487" s="2" t="b">
        <v>0</v>
      </c>
      <c r="D487" s="2" t="b">
        <v>0</v>
      </c>
      <c r="E487" s="2" t="b">
        <v>0</v>
      </c>
      <c r="F487" s="2" t="b">
        <v>0</v>
      </c>
      <c r="G487" s="2" t="s">
        <v>31</v>
      </c>
      <c r="H487" s="2" t="s">
        <v>1600</v>
      </c>
      <c r="I487" s="2" t="s">
        <v>1601</v>
      </c>
      <c r="J487" s="2" t="s">
        <v>35</v>
      </c>
      <c r="K487" s="2" t="s">
        <v>35</v>
      </c>
      <c r="L487" s="2" t="s">
        <v>35</v>
      </c>
      <c r="M487" s="2">
        <v>25</v>
      </c>
      <c r="N487" s="2">
        <v>16</v>
      </c>
      <c r="O487" s="11">
        <v>44747.477818541665</v>
      </c>
      <c r="P487" s="11">
        <v>44747.47805996528</v>
      </c>
      <c r="Q487" s="27">
        <f t="shared" si="21"/>
        <v>2.4142361507983878E-4</v>
      </c>
      <c r="R487" s="65">
        <f t="shared" si="23"/>
        <v>9.6523148386040702E-4</v>
      </c>
      <c r="S487" s="2">
        <v>0</v>
      </c>
      <c r="T487" s="2" t="s">
        <v>54</v>
      </c>
      <c r="U487" s="2" t="s">
        <v>55</v>
      </c>
      <c r="V487" s="2" t="s">
        <v>38</v>
      </c>
      <c r="W487" s="2" t="s">
        <v>35</v>
      </c>
      <c r="X487" s="2" t="s">
        <v>35</v>
      </c>
      <c r="Y487" s="2" t="s">
        <v>35</v>
      </c>
      <c r="Z487" s="2" t="b">
        <v>0</v>
      </c>
      <c r="AA487" s="2" t="s">
        <v>35</v>
      </c>
      <c r="AB487" s="2" t="s">
        <v>35</v>
      </c>
      <c r="AC487" s="2" t="s">
        <v>35</v>
      </c>
      <c r="AD487" s="2" t="s">
        <v>35</v>
      </c>
      <c r="AE487" s="2" t="s">
        <v>1464</v>
      </c>
      <c r="AF487" s="11">
        <v>44747.425694386577</v>
      </c>
      <c r="AG487" s="53"/>
      <c r="AH487" s="53" t="b">
        <f t="shared" si="22"/>
        <v>0</v>
      </c>
      <c r="AI487" s="54" t="str" cm="1">
        <f t="array" ref="AI487">TRANSPOSE(_xlfn._xlws.FILTER(images!L:L,images!F:F=Barrierenmessung!A487, ""))</f>
        <v>https://captureandgo.cloudlab.zhaw.ch/uploads/image_0ec155530c.jpg</v>
      </c>
      <c r="AJ487" s="2"/>
      <c r="AK487" s="2"/>
      <c r="AL487" s="2"/>
      <c r="AM487" s="2"/>
      <c r="AN487" s="2"/>
    </row>
    <row r="488" spans="1:40" ht="16" x14ac:dyDescent="0.2">
      <c r="A488" s="2" t="s">
        <v>1602</v>
      </c>
      <c r="B488" s="46">
        <v>487</v>
      </c>
      <c r="C488" s="2" t="b">
        <v>0</v>
      </c>
      <c r="D488" s="2" t="b">
        <v>0</v>
      </c>
      <c r="E488" s="2" t="b">
        <v>0</v>
      </c>
      <c r="F488" s="2" t="b">
        <v>0</v>
      </c>
      <c r="G488" s="2" t="s">
        <v>31</v>
      </c>
      <c r="H488" s="2" t="s">
        <v>1603</v>
      </c>
      <c r="I488" s="2" t="s">
        <v>1604</v>
      </c>
      <c r="J488" s="2" t="s">
        <v>35</v>
      </c>
      <c r="K488" s="2" t="s">
        <v>35</v>
      </c>
      <c r="L488" s="2" t="s">
        <v>35</v>
      </c>
      <c r="M488" s="2">
        <v>19</v>
      </c>
      <c r="N488" s="2">
        <v>15</v>
      </c>
      <c r="O488" s="11">
        <v>44747.478108900461</v>
      </c>
      <c r="P488" s="11">
        <v>44747.478490185182</v>
      </c>
      <c r="Q488" s="27">
        <f t="shared" si="21"/>
        <v>3.8128472078824416E-4</v>
      </c>
      <c r="R488" s="65">
        <f t="shared" si="23"/>
        <v>4.3021990131819621E-4</v>
      </c>
      <c r="S488" s="2">
        <v>0</v>
      </c>
      <c r="T488" s="2" t="s">
        <v>54</v>
      </c>
      <c r="U488" s="2" t="s">
        <v>55</v>
      </c>
      <c r="V488" s="2" t="s">
        <v>38</v>
      </c>
      <c r="W488" s="2" t="s">
        <v>35</v>
      </c>
      <c r="X488" s="2" t="s">
        <v>35</v>
      </c>
      <c r="Y488" s="2" t="s">
        <v>35</v>
      </c>
      <c r="Z488" s="2" t="b">
        <v>0</v>
      </c>
      <c r="AA488" s="2" t="s">
        <v>35</v>
      </c>
      <c r="AB488" s="2" t="s">
        <v>35</v>
      </c>
      <c r="AC488" s="2" t="s">
        <v>35</v>
      </c>
      <c r="AD488" s="2" t="s">
        <v>35</v>
      </c>
      <c r="AE488" s="2" t="s">
        <v>1464</v>
      </c>
      <c r="AF488" s="11">
        <v>44747.425694386577</v>
      </c>
      <c r="AG488" s="53"/>
      <c r="AH488" s="53" t="b">
        <f t="shared" si="22"/>
        <v>0</v>
      </c>
      <c r="AI488" s="54" t="str" cm="1">
        <f t="array" ref="AI488">TRANSPOSE(_xlfn._xlws.FILTER(images!L:L,images!F:F=Barrierenmessung!A488, ""))</f>
        <v>https://captureandgo.cloudlab.zhaw.ch/uploads/image_0de406b269.jpg</v>
      </c>
      <c r="AJ488" s="2"/>
      <c r="AK488" s="2"/>
      <c r="AL488" s="2"/>
      <c r="AM488" s="2"/>
      <c r="AN488" s="2"/>
    </row>
    <row r="489" spans="1:40" ht="16" x14ac:dyDescent="0.2">
      <c r="A489" s="2" t="s">
        <v>1605</v>
      </c>
      <c r="B489" s="46">
        <v>488</v>
      </c>
      <c r="C489" s="2" t="b">
        <v>0</v>
      </c>
      <c r="D489" s="2" t="b">
        <v>0</v>
      </c>
      <c r="E489" s="2" t="b">
        <v>0</v>
      </c>
      <c r="F489" s="2" t="b">
        <v>0</v>
      </c>
      <c r="G489" s="2" t="s">
        <v>31</v>
      </c>
      <c r="H489" s="2" t="s">
        <v>1606</v>
      </c>
      <c r="I489" s="2" t="s">
        <v>1607</v>
      </c>
      <c r="J489" s="2" t="s">
        <v>35</v>
      </c>
      <c r="K489" s="2" t="s">
        <v>35</v>
      </c>
      <c r="L489" s="2">
        <v>9</v>
      </c>
      <c r="M489" s="2" t="s">
        <v>35</v>
      </c>
      <c r="N489" s="2" t="s">
        <v>35</v>
      </c>
      <c r="O489" s="11">
        <v>44747.479011006944</v>
      </c>
      <c r="P489" s="11">
        <v>44747.479247847223</v>
      </c>
      <c r="Q489" s="27">
        <f t="shared" si="21"/>
        <v>2.3684027837589383E-4</v>
      </c>
      <c r="R489" s="65">
        <f t="shared" si="23"/>
        <v>7.5766204099636525E-4</v>
      </c>
      <c r="S489" s="2">
        <v>0</v>
      </c>
      <c r="T489" s="2" t="s">
        <v>265</v>
      </c>
      <c r="U489" s="2" t="s">
        <v>266</v>
      </c>
      <c r="V489" s="2" t="s">
        <v>38</v>
      </c>
      <c r="W489" s="2" t="s">
        <v>35</v>
      </c>
      <c r="X489" s="2" t="s">
        <v>35</v>
      </c>
      <c r="Y489" s="2" t="s">
        <v>35</v>
      </c>
      <c r="Z489" s="2" t="b">
        <v>0</v>
      </c>
      <c r="AA489" s="2" t="s">
        <v>35</v>
      </c>
      <c r="AB489" s="2" t="s">
        <v>35</v>
      </c>
      <c r="AC489" s="2" t="s">
        <v>35</v>
      </c>
      <c r="AD489" s="2" t="s">
        <v>35</v>
      </c>
      <c r="AE489" s="2" t="s">
        <v>1464</v>
      </c>
      <c r="AF489" s="11">
        <v>44747.425694386577</v>
      </c>
      <c r="AG489" s="53"/>
      <c r="AH489" s="53" t="b">
        <f t="shared" si="22"/>
        <v>0</v>
      </c>
      <c r="AI489" s="54" t="str" cm="1">
        <f t="array" ref="AI489">TRANSPOSE(_xlfn._xlws.FILTER(images!L:L,images!F:F=Barrierenmessung!A489, ""))</f>
        <v>https://captureandgo.cloudlab.zhaw.ch/uploads/image_52aeb297eb.jpg</v>
      </c>
      <c r="AJ489" s="2"/>
      <c r="AK489" s="2"/>
      <c r="AL489" s="2"/>
      <c r="AM489" s="2"/>
      <c r="AN489" s="2"/>
    </row>
    <row r="490" spans="1:40" ht="16" x14ac:dyDescent="0.2">
      <c r="A490" s="2" t="s">
        <v>1608</v>
      </c>
      <c r="B490" s="46">
        <v>489</v>
      </c>
      <c r="C490" s="2" t="b">
        <v>0</v>
      </c>
      <c r="D490" s="2" t="b">
        <v>0</v>
      </c>
      <c r="E490" s="2" t="b">
        <v>0</v>
      </c>
      <c r="F490" s="2" t="b">
        <v>0</v>
      </c>
      <c r="G490" s="2" t="s">
        <v>31</v>
      </c>
      <c r="H490" s="2" t="s">
        <v>1609</v>
      </c>
      <c r="I490" s="2" t="s">
        <v>1610</v>
      </c>
      <c r="J490" s="2" t="s">
        <v>1587</v>
      </c>
      <c r="K490" s="2" t="s">
        <v>35</v>
      </c>
      <c r="L490" s="2" t="s">
        <v>35</v>
      </c>
      <c r="M490" s="2" t="s">
        <v>35</v>
      </c>
      <c r="N490" s="2" t="s">
        <v>35</v>
      </c>
      <c r="O490" s="11">
        <v>44747.47970152778</v>
      </c>
      <c r="P490" s="11">
        <v>44747.480001006945</v>
      </c>
      <c r="Q490" s="27">
        <f t="shared" si="21"/>
        <v>2.9947916482342407E-4</v>
      </c>
      <c r="R490" s="65">
        <f t="shared" si="23"/>
        <v>7.5315972208045423E-4</v>
      </c>
      <c r="S490" s="2">
        <v>0</v>
      </c>
      <c r="T490" s="2" t="s">
        <v>36</v>
      </c>
      <c r="U490" s="2" t="s">
        <v>37</v>
      </c>
      <c r="V490" s="2" t="s">
        <v>38</v>
      </c>
      <c r="W490" s="2" t="s">
        <v>35</v>
      </c>
      <c r="X490" s="2" t="s">
        <v>35</v>
      </c>
      <c r="Y490" s="2" t="s">
        <v>35</v>
      </c>
      <c r="Z490" s="2" t="b">
        <v>0</v>
      </c>
      <c r="AA490" s="2" t="s">
        <v>35</v>
      </c>
      <c r="AB490" s="2" t="s">
        <v>35</v>
      </c>
      <c r="AC490" s="2">
        <v>6</v>
      </c>
      <c r="AD490" s="2" t="s">
        <v>35</v>
      </c>
      <c r="AE490" s="2" t="s">
        <v>1464</v>
      </c>
      <c r="AF490" s="11">
        <v>44747.425694386577</v>
      </c>
      <c r="AG490" s="53"/>
      <c r="AH490" s="53" t="b">
        <f t="shared" si="22"/>
        <v>0</v>
      </c>
      <c r="AI490" s="54" t="str" cm="1">
        <f t="array" ref="AI490">TRANSPOSE(_xlfn._xlws.FILTER(images!L:L,images!F:F=Barrierenmessung!A490, ""))</f>
        <v>https://captureandgo.cloudlab.zhaw.ch/uploads/image_e59fadd35c.jpg</v>
      </c>
      <c r="AJ490" s="2"/>
      <c r="AK490" s="2"/>
      <c r="AL490" s="2"/>
      <c r="AM490" s="2"/>
      <c r="AN490" s="2"/>
    </row>
    <row r="491" spans="1:40" ht="16" x14ac:dyDescent="0.2">
      <c r="A491" s="2" t="s">
        <v>1611</v>
      </c>
      <c r="B491" s="46">
        <v>490</v>
      </c>
      <c r="C491" s="2" t="b">
        <v>0</v>
      </c>
      <c r="D491" s="2" t="b">
        <v>0</v>
      </c>
      <c r="E491" s="2" t="b">
        <v>0</v>
      </c>
      <c r="F491" s="2" t="b">
        <v>0</v>
      </c>
      <c r="G491" s="2" t="s">
        <v>31</v>
      </c>
      <c r="H491" s="2" t="s">
        <v>1612</v>
      </c>
      <c r="I491" s="2" t="s">
        <v>1613</v>
      </c>
      <c r="J491" s="2" t="s">
        <v>1614</v>
      </c>
      <c r="K491" s="2" t="s">
        <v>35</v>
      </c>
      <c r="L491" s="2" t="s">
        <v>35</v>
      </c>
      <c r="M491" s="2" t="s">
        <v>35</v>
      </c>
      <c r="N491" s="2" t="s">
        <v>35</v>
      </c>
      <c r="O491" s="11">
        <v>44747.482956041669</v>
      </c>
      <c r="P491" s="11">
        <v>44747.483618692131</v>
      </c>
      <c r="Q491" s="27">
        <f t="shared" si="21"/>
        <v>6.6265046189073473E-4</v>
      </c>
      <c r="R491" s="65">
        <f t="shared" si="23"/>
        <v>3.6176851863274351E-3</v>
      </c>
      <c r="S491" s="2">
        <v>0</v>
      </c>
      <c r="T491" s="2" t="s">
        <v>36</v>
      </c>
      <c r="U491" s="2" t="s">
        <v>37</v>
      </c>
      <c r="V491" s="2" t="s">
        <v>38</v>
      </c>
      <c r="W491" s="2" t="s">
        <v>35</v>
      </c>
      <c r="X491" s="2" t="s">
        <v>35</v>
      </c>
      <c r="Y491" s="2" t="s">
        <v>35</v>
      </c>
      <c r="Z491" s="2" t="b">
        <v>0</v>
      </c>
      <c r="AA491" s="2" t="s">
        <v>35</v>
      </c>
      <c r="AB491" s="2" t="s">
        <v>35</v>
      </c>
      <c r="AC491" s="2">
        <v>7</v>
      </c>
      <c r="AD491" s="2" t="s">
        <v>35</v>
      </c>
      <c r="AE491" s="2" t="s">
        <v>1464</v>
      </c>
      <c r="AF491" s="11">
        <v>44747.425694386577</v>
      </c>
      <c r="AG491" s="53"/>
      <c r="AH491" s="53" t="b">
        <f t="shared" si="22"/>
        <v>0</v>
      </c>
      <c r="AI491" s="54" t="str" cm="1">
        <f t="array" ref="AI491">TRANSPOSE(_xlfn._xlws.FILTER(images!L:L,images!F:F=Barrierenmessung!A491, ""))</f>
        <v>https://captureandgo.cloudlab.zhaw.ch/uploads/image_4244f5d5bd.jpg</v>
      </c>
      <c r="AJ491" s="2"/>
      <c r="AK491" s="2"/>
      <c r="AL491" s="2"/>
      <c r="AM491" s="2"/>
      <c r="AN491" s="2"/>
    </row>
    <row r="492" spans="1:40" ht="16" x14ac:dyDescent="0.2">
      <c r="A492" s="2" t="s">
        <v>1615</v>
      </c>
      <c r="B492" s="46">
        <v>491</v>
      </c>
      <c r="C492" s="2" t="b">
        <v>0</v>
      </c>
      <c r="D492" s="2" t="b">
        <v>0</v>
      </c>
      <c r="E492" s="2" t="b">
        <v>0</v>
      </c>
      <c r="F492" s="2" t="b">
        <v>0</v>
      </c>
      <c r="G492" s="2" t="s">
        <v>31</v>
      </c>
      <c r="H492" s="2" t="s">
        <v>1616</v>
      </c>
      <c r="I492" s="2" t="s">
        <v>1617</v>
      </c>
      <c r="J492" s="2" t="s">
        <v>1614</v>
      </c>
      <c r="K492" s="2" t="s">
        <v>35</v>
      </c>
      <c r="L492" s="2" t="s">
        <v>35</v>
      </c>
      <c r="M492" s="2" t="s">
        <v>35</v>
      </c>
      <c r="N492" s="2" t="s">
        <v>35</v>
      </c>
      <c r="O492" s="11">
        <v>44747.484232708332</v>
      </c>
      <c r="P492" s="11">
        <v>44747.484611678243</v>
      </c>
      <c r="Q492" s="27">
        <f t="shared" si="21"/>
        <v>3.7896991125307977E-4</v>
      </c>
      <c r="R492" s="65">
        <f t="shared" si="23"/>
        <v>9.9298611166886985E-4</v>
      </c>
      <c r="S492" s="2">
        <v>0</v>
      </c>
      <c r="T492" s="2" t="s">
        <v>36</v>
      </c>
      <c r="U492" s="2" t="s">
        <v>37</v>
      </c>
      <c r="V492" s="2" t="s">
        <v>38</v>
      </c>
      <c r="W492" s="2" t="s">
        <v>35</v>
      </c>
      <c r="X492" s="2" t="s">
        <v>35</v>
      </c>
      <c r="Y492" s="2" t="s">
        <v>35</v>
      </c>
      <c r="Z492" s="2" t="b">
        <v>0</v>
      </c>
      <c r="AA492" s="2" t="s">
        <v>35</v>
      </c>
      <c r="AB492" s="2" t="s">
        <v>35</v>
      </c>
      <c r="AC492" s="2">
        <v>5</v>
      </c>
      <c r="AD492" s="2" t="s">
        <v>35</v>
      </c>
      <c r="AE492" s="2" t="s">
        <v>1464</v>
      </c>
      <c r="AF492" s="11">
        <v>44747.425694386577</v>
      </c>
      <c r="AG492" s="53"/>
      <c r="AH492" s="53" t="b">
        <f t="shared" si="22"/>
        <v>0</v>
      </c>
      <c r="AI492" s="54" t="str" cm="1">
        <f t="array" ref="AI492">TRANSPOSE(_xlfn._xlws.FILTER(images!L:L,images!F:F=Barrierenmessung!A492, ""))</f>
        <v>https://captureandgo.cloudlab.zhaw.ch/uploads/image_379e8166fb.jpg</v>
      </c>
      <c r="AJ492" s="2"/>
      <c r="AK492" s="2"/>
      <c r="AL492" s="2"/>
      <c r="AM492" s="2"/>
      <c r="AN492" s="2"/>
    </row>
    <row r="493" spans="1:40" ht="16" x14ac:dyDescent="0.2">
      <c r="A493" s="2" t="s">
        <v>1618</v>
      </c>
      <c r="B493" s="46">
        <v>492</v>
      </c>
      <c r="C493" s="2" t="b">
        <v>0</v>
      </c>
      <c r="D493" s="2" t="b">
        <v>0</v>
      </c>
      <c r="E493" s="2" t="b">
        <v>0</v>
      </c>
      <c r="F493" s="2" t="b">
        <v>0</v>
      </c>
      <c r="G493" s="2" t="s">
        <v>31</v>
      </c>
      <c r="H493" s="2" t="s">
        <v>1619</v>
      </c>
      <c r="I493" s="2" t="s">
        <v>1620</v>
      </c>
      <c r="J493" s="2" t="s">
        <v>1614</v>
      </c>
      <c r="K493" s="2" t="s">
        <v>35</v>
      </c>
      <c r="L493" s="2" t="s">
        <v>35</v>
      </c>
      <c r="M493" s="2" t="s">
        <v>35</v>
      </c>
      <c r="N493" s="2" t="s">
        <v>35</v>
      </c>
      <c r="O493" s="11">
        <v>44747.485138483797</v>
      </c>
      <c r="P493" s="11">
        <v>44747.485324374997</v>
      </c>
      <c r="Q493" s="27">
        <f t="shared" si="21"/>
        <v>1.8589120008982718E-4</v>
      </c>
      <c r="R493" s="65">
        <f t="shared" si="23"/>
        <v>7.1269675390794873E-4</v>
      </c>
      <c r="S493" s="2">
        <v>0</v>
      </c>
      <c r="T493" s="2" t="s">
        <v>36</v>
      </c>
      <c r="U493" s="2" t="s">
        <v>37</v>
      </c>
      <c r="V493" s="2" t="s">
        <v>38</v>
      </c>
      <c r="W493" s="2" t="s">
        <v>35</v>
      </c>
      <c r="X493" s="2" t="s">
        <v>35</v>
      </c>
      <c r="Y493" s="2" t="s">
        <v>35</v>
      </c>
      <c r="Z493" s="2" t="b">
        <v>0</v>
      </c>
      <c r="AA493" s="2" t="s">
        <v>35</v>
      </c>
      <c r="AB493" s="2" t="s">
        <v>35</v>
      </c>
      <c r="AC493" s="2">
        <v>5</v>
      </c>
      <c r="AD493" s="2" t="s">
        <v>35</v>
      </c>
      <c r="AE493" s="2" t="s">
        <v>1464</v>
      </c>
      <c r="AF493" s="11">
        <v>44747.425694386577</v>
      </c>
      <c r="AG493" s="53"/>
      <c r="AH493" s="53" t="b">
        <f t="shared" si="22"/>
        <v>0</v>
      </c>
      <c r="AI493" s="54" t="str" cm="1">
        <f t="array" ref="AI493">TRANSPOSE(_xlfn._xlws.FILTER(images!L:L,images!F:F=Barrierenmessung!A493, ""))</f>
        <v>https://captureandgo.cloudlab.zhaw.ch/uploads/image_b7eb5989f5.jpg</v>
      </c>
      <c r="AJ493" s="2"/>
      <c r="AK493" s="2"/>
      <c r="AL493" s="2"/>
      <c r="AM493" s="2"/>
      <c r="AN493" s="2"/>
    </row>
    <row r="494" spans="1:40" ht="16" x14ac:dyDescent="0.2">
      <c r="A494" s="2" t="s">
        <v>1621</v>
      </c>
      <c r="B494" s="46">
        <v>493</v>
      </c>
      <c r="C494" s="2" t="b">
        <v>0</v>
      </c>
      <c r="D494" s="2" t="b">
        <v>0</v>
      </c>
      <c r="E494" s="2" t="b">
        <v>0</v>
      </c>
      <c r="F494" s="2" t="b">
        <v>0</v>
      </c>
      <c r="G494" s="2" t="s">
        <v>31</v>
      </c>
      <c r="H494" s="2" t="s">
        <v>1622</v>
      </c>
      <c r="I494" s="2" t="s">
        <v>1623</v>
      </c>
      <c r="J494" s="2" t="s">
        <v>35</v>
      </c>
      <c r="K494" s="2" t="s">
        <v>35</v>
      </c>
      <c r="L494" s="2" t="s">
        <v>35</v>
      </c>
      <c r="M494" s="2" t="s">
        <v>35</v>
      </c>
      <c r="N494" s="2" t="s">
        <v>35</v>
      </c>
      <c r="O494" s="11">
        <v>44747.485829594909</v>
      </c>
      <c r="P494" s="11">
        <v>44747.485935879631</v>
      </c>
      <c r="Q494" s="27">
        <f t="shared" si="21"/>
        <v>1.0628472227836028E-4</v>
      </c>
      <c r="R494" s="65">
        <f t="shared" si="23"/>
        <v>6.1150463443482295E-4</v>
      </c>
      <c r="S494" s="2">
        <v>0</v>
      </c>
      <c r="T494" s="2" t="s">
        <v>36</v>
      </c>
      <c r="U494" s="2" t="s">
        <v>37</v>
      </c>
      <c r="V494" s="2" t="s">
        <v>38</v>
      </c>
      <c r="W494" s="2" t="s">
        <v>35</v>
      </c>
      <c r="X494" s="2" t="s">
        <v>35</v>
      </c>
      <c r="Y494" s="2" t="s">
        <v>35</v>
      </c>
      <c r="Z494" s="2" t="b">
        <v>0</v>
      </c>
      <c r="AA494" s="2" t="s">
        <v>35</v>
      </c>
      <c r="AB494" s="2" t="s">
        <v>35</v>
      </c>
      <c r="AC494" s="2" t="s">
        <v>35</v>
      </c>
      <c r="AD494" s="2">
        <v>4</v>
      </c>
      <c r="AE494" s="2" t="s">
        <v>1464</v>
      </c>
      <c r="AF494" s="11">
        <v>44747.425694386577</v>
      </c>
      <c r="AG494" s="53"/>
      <c r="AH494" s="53" t="b">
        <f t="shared" si="22"/>
        <v>0</v>
      </c>
      <c r="AI494" s="54" t="str" cm="1">
        <f t="array" ref="AI494">TRANSPOSE(_xlfn._xlws.FILTER(images!L:L,images!F:F=Barrierenmessung!A494, ""))</f>
        <v>https://captureandgo.cloudlab.zhaw.ch/uploads/image_2dc6f59ebc.jpg</v>
      </c>
      <c r="AJ494" s="2"/>
      <c r="AK494" s="2"/>
      <c r="AL494" s="2"/>
      <c r="AM494" s="2"/>
      <c r="AN494" s="2"/>
    </row>
    <row r="495" spans="1:40" ht="16" x14ac:dyDescent="0.2">
      <c r="A495" s="2" t="s">
        <v>1624</v>
      </c>
      <c r="B495" s="46">
        <v>494</v>
      </c>
      <c r="C495" s="2" t="b">
        <v>0</v>
      </c>
      <c r="D495" s="2" t="b">
        <v>0</v>
      </c>
      <c r="E495" s="2" t="b">
        <v>0</v>
      </c>
      <c r="F495" s="2" t="b">
        <v>0</v>
      </c>
      <c r="G495" s="2" t="s">
        <v>31</v>
      </c>
      <c r="H495" s="2" t="s">
        <v>1625</v>
      </c>
      <c r="I495" s="2" t="s">
        <v>1626</v>
      </c>
      <c r="J495" s="2" t="s">
        <v>1627</v>
      </c>
      <c r="K495" s="2" t="s">
        <v>35</v>
      </c>
      <c r="L495" s="2" t="s">
        <v>35</v>
      </c>
      <c r="M495" s="2">
        <v>2</v>
      </c>
      <c r="N495" s="2">
        <v>15</v>
      </c>
      <c r="O495" s="11">
        <v>44747.486218078702</v>
      </c>
      <c r="P495" s="11">
        <v>44747.4868221875</v>
      </c>
      <c r="Q495" s="27">
        <f t="shared" si="21"/>
        <v>6.0410879814298823E-4</v>
      </c>
      <c r="R495" s="65">
        <f t="shared" si="23"/>
        <v>8.8630786922294647E-4</v>
      </c>
      <c r="S495" s="2">
        <v>0</v>
      </c>
      <c r="T495" s="2" t="s">
        <v>54</v>
      </c>
      <c r="U495" s="2" t="s">
        <v>55</v>
      </c>
      <c r="V495" s="2" t="s">
        <v>38</v>
      </c>
      <c r="W495" s="2" t="s">
        <v>35</v>
      </c>
      <c r="X495" s="2" t="s">
        <v>35</v>
      </c>
      <c r="Y495" s="2" t="s">
        <v>35</v>
      </c>
      <c r="Z495" s="2" t="b">
        <v>1</v>
      </c>
      <c r="AA495" s="2" t="s">
        <v>35</v>
      </c>
      <c r="AB495" s="2" t="s">
        <v>35</v>
      </c>
      <c r="AC495" s="2" t="s">
        <v>35</v>
      </c>
      <c r="AD495" s="2" t="s">
        <v>35</v>
      </c>
      <c r="AE495" s="2" t="s">
        <v>1464</v>
      </c>
      <c r="AF495" s="11">
        <v>44747.425694386577</v>
      </c>
      <c r="AG495" s="53"/>
      <c r="AH495" s="53" t="b">
        <f t="shared" si="22"/>
        <v>0</v>
      </c>
      <c r="AI495" s="54" t="str" cm="1">
        <f t="array" ref="AI495">TRANSPOSE(_xlfn._xlws.FILTER(images!L:L,images!F:F=Barrierenmessung!A495, ""))</f>
        <v>https://captureandgo.cloudlab.zhaw.ch/uploads/image_2aa6396a59.jpg</v>
      </c>
      <c r="AJ495" s="2"/>
      <c r="AK495" s="2"/>
      <c r="AL495" s="2"/>
      <c r="AM495" s="2"/>
      <c r="AN495" s="2"/>
    </row>
    <row r="496" spans="1:40" ht="16" x14ac:dyDescent="0.2">
      <c r="A496" s="2" t="s">
        <v>1628</v>
      </c>
      <c r="B496" s="46">
        <v>495</v>
      </c>
      <c r="C496" s="2" t="b">
        <v>0</v>
      </c>
      <c r="D496" s="2" t="b">
        <v>0</v>
      </c>
      <c r="E496" s="2" t="b">
        <v>0</v>
      </c>
      <c r="F496" s="2" t="b">
        <v>0</v>
      </c>
      <c r="G496" s="2" t="s">
        <v>31</v>
      </c>
      <c r="H496" s="2" t="s">
        <v>1629</v>
      </c>
      <c r="I496" s="2" t="s">
        <v>1630</v>
      </c>
      <c r="J496" s="2" t="s">
        <v>1631</v>
      </c>
      <c r="K496" s="2" t="s">
        <v>35</v>
      </c>
      <c r="L496" s="2" t="s">
        <v>35</v>
      </c>
      <c r="M496" s="2" t="s">
        <v>35</v>
      </c>
      <c r="N496" s="2" t="s">
        <v>35</v>
      </c>
      <c r="O496" s="11">
        <v>44747.487491840278</v>
      </c>
      <c r="P496" s="11">
        <v>44747.487977986108</v>
      </c>
      <c r="Q496" s="27">
        <f t="shared" si="21"/>
        <v>4.8614582919981331E-4</v>
      </c>
      <c r="R496" s="65">
        <f t="shared" si="23"/>
        <v>1.1557986072148196E-3</v>
      </c>
      <c r="S496" s="2">
        <v>0</v>
      </c>
      <c r="T496" s="2" t="s">
        <v>36</v>
      </c>
      <c r="U496" s="2" t="s">
        <v>37</v>
      </c>
      <c r="V496" s="2" t="s">
        <v>38</v>
      </c>
      <c r="W496" s="2" t="s">
        <v>35</v>
      </c>
      <c r="X496" s="2" t="s">
        <v>35</v>
      </c>
      <c r="Y496" s="2" t="s">
        <v>35</v>
      </c>
      <c r="Z496" s="2" t="b">
        <v>0</v>
      </c>
      <c r="AA496" s="2" t="s">
        <v>35</v>
      </c>
      <c r="AB496" s="2" t="s">
        <v>35</v>
      </c>
      <c r="AC496" s="2">
        <v>4</v>
      </c>
      <c r="AD496" s="2">
        <v>2</v>
      </c>
      <c r="AE496" s="2" t="s">
        <v>1464</v>
      </c>
      <c r="AF496" s="11">
        <v>44747.425694386577</v>
      </c>
      <c r="AG496" s="53"/>
      <c r="AH496" s="53" t="b">
        <f t="shared" si="22"/>
        <v>0</v>
      </c>
      <c r="AI496" s="54" t="str" cm="1">
        <f t="array" ref="AI496">TRANSPOSE(_xlfn._xlws.FILTER(images!L:L,images!F:F=Barrierenmessung!A496, ""))</f>
        <v>https://captureandgo.cloudlab.zhaw.ch/uploads/image_39e87c3e21.jpg</v>
      </c>
      <c r="AJ496" s="2"/>
      <c r="AK496" s="2"/>
      <c r="AL496" s="2"/>
      <c r="AM496" s="2"/>
      <c r="AN496" s="2"/>
    </row>
    <row r="497" spans="1:40" ht="16" x14ac:dyDescent="0.2">
      <c r="A497" s="2" t="s">
        <v>1632</v>
      </c>
      <c r="B497" s="46">
        <v>496</v>
      </c>
      <c r="C497" s="2" t="b">
        <v>0</v>
      </c>
      <c r="D497" s="2" t="b">
        <v>0</v>
      </c>
      <c r="E497" s="2" t="b">
        <v>0</v>
      </c>
      <c r="F497" s="2" t="b">
        <v>0</v>
      </c>
      <c r="G497" s="2" t="s">
        <v>31</v>
      </c>
      <c r="H497" s="2" t="s">
        <v>1633</v>
      </c>
      <c r="I497" s="2" t="s">
        <v>1634</v>
      </c>
      <c r="J497" s="2" t="s">
        <v>1631</v>
      </c>
      <c r="K497" s="2" t="s">
        <v>35</v>
      </c>
      <c r="L497" s="2" t="s">
        <v>35</v>
      </c>
      <c r="M497" s="2" t="s">
        <v>35</v>
      </c>
      <c r="N497" s="2" t="s">
        <v>35</v>
      </c>
      <c r="O497" s="11">
        <v>44747.488799131941</v>
      </c>
      <c r="P497" s="11">
        <v>44747.489005833333</v>
      </c>
      <c r="Q497" s="27">
        <f t="shared" si="21"/>
        <v>2.0670139201683924E-4</v>
      </c>
      <c r="R497" s="65">
        <f t="shared" si="23"/>
        <v>1.0278472254867665E-3</v>
      </c>
      <c r="S497" s="2">
        <v>0</v>
      </c>
      <c r="T497" s="2" t="s">
        <v>36</v>
      </c>
      <c r="U497" s="2" t="s">
        <v>37</v>
      </c>
      <c r="V497" s="2" t="s">
        <v>38</v>
      </c>
      <c r="W497" s="2" t="s">
        <v>35</v>
      </c>
      <c r="X497" s="2" t="s">
        <v>35</v>
      </c>
      <c r="Y497" s="2" t="s">
        <v>35</v>
      </c>
      <c r="Z497" s="2" t="b">
        <v>0</v>
      </c>
      <c r="AA497" s="2" t="s">
        <v>35</v>
      </c>
      <c r="AB497" s="2" t="s">
        <v>35</v>
      </c>
      <c r="AC497" s="2">
        <v>5</v>
      </c>
      <c r="AD497" s="2">
        <v>2</v>
      </c>
      <c r="AE497" s="2" t="s">
        <v>1464</v>
      </c>
      <c r="AF497" s="11">
        <v>44747.425694386577</v>
      </c>
      <c r="AG497" s="53"/>
      <c r="AH497" s="53" t="b">
        <f t="shared" si="22"/>
        <v>0</v>
      </c>
      <c r="AI497" s="54" t="str" cm="1">
        <f t="array" ref="AI497">TRANSPOSE(_xlfn._xlws.FILTER(images!L:L,images!F:F=Barrierenmessung!A497, ""))</f>
        <v>https://captureandgo.cloudlab.zhaw.ch/uploads/image_2b52cf48d2.jpg</v>
      </c>
      <c r="AJ497" s="2"/>
      <c r="AK497" s="2"/>
      <c r="AL497" s="2"/>
      <c r="AM497" s="2"/>
      <c r="AN497" s="2"/>
    </row>
    <row r="498" spans="1:40" ht="16" x14ac:dyDescent="0.2">
      <c r="A498" s="2" t="s">
        <v>1635</v>
      </c>
      <c r="B498" s="46">
        <v>497</v>
      </c>
      <c r="C498" s="2" t="b">
        <v>0</v>
      </c>
      <c r="D498" s="2" t="b">
        <v>0</v>
      </c>
      <c r="E498" s="2" t="b">
        <v>0</v>
      </c>
      <c r="F498" s="2" t="b">
        <v>0</v>
      </c>
      <c r="G498" s="2" t="s">
        <v>31</v>
      </c>
      <c r="H498" s="2" t="s">
        <v>1636</v>
      </c>
      <c r="I498" s="2" t="s">
        <v>1637</v>
      </c>
      <c r="J498" s="2" t="s">
        <v>1631</v>
      </c>
      <c r="K498" s="2" t="s">
        <v>35</v>
      </c>
      <c r="L498" s="2" t="s">
        <v>35</v>
      </c>
      <c r="M498" s="2" t="s">
        <v>35</v>
      </c>
      <c r="N498" s="2" t="s">
        <v>35</v>
      </c>
      <c r="O498" s="11">
        <v>44747.490100057868</v>
      </c>
      <c r="P498" s="11">
        <v>44747.490311574074</v>
      </c>
      <c r="Q498" s="27">
        <f t="shared" si="21"/>
        <v>2.1151620603632182E-4</v>
      </c>
      <c r="R498" s="65">
        <f t="shared" si="23"/>
        <v>1.3057407413725741E-3</v>
      </c>
      <c r="S498" s="2">
        <v>0</v>
      </c>
      <c r="T498" s="2" t="s">
        <v>36</v>
      </c>
      <c r="U498" s="2" t="s">
        <v>37</v>
      </c>
      <c r="V498" s="2" t="s">
        <v>38</v>
      </c>
      <c r="W498" s="2" t="s">
        <v>35</v>
      </c>
      <c r="X498" s="2" t="s">
        <v>35</v>
      </c>
      <c r="Y498" s="2" t="s">
        <v>35</v>
      </c>
      <c r="Z498" s="2" t="b">
        <v>0</v>
      </c>
      <c r="AA498" s="2" t="s">
        <v>35</v>
      </c>
      <c r="AB498" s="2" t="s">
        <v>35</v>
      </c>
      <c r="AC498" s="2">
        <v>4</v>
      </c>
      <c r="AD498" s="2" t="s">
        <v>35</v>
      </c>
      <c r="AE498" s="2" t="s">
        <v>1464</v>
      </c>
      <c r="AF498" s="11">
        <v>44747.425694386577</v>
      </c>
      <c r="AG498" s="53"/>
      <c r="AH498" s="53" t="b">
        <f t="shared" si="22"/>
        <v>0</v>
      </c>
      <c r="AI498" s="54" t="str" cm="1">
        <f t="array" ref="AI498">TRANSPOSE(_xlfn._xlws.FILTER(images!L:L,images!F:F=Barrierenmessung!A498, ""))</f>
        <v>https://captureandgo.cloudlab.zhaw.ch/uploads/image_3ddb2c9340.jpg</v>
      </c>
      <c r="AJ498" s="2"/>
      <c r="AK498" s="2"/>
      <c r="AL498" s="2"/>
      <c r="AM498" s="2"/>
      <c r="AN498" s="2"/>
    </row>
    <row r="499" spans="1:40" ht="16" x14ac:dyDescent="0.2">
      <c r="A499" s="2" t="s">
        <v>1638</v>
      </c>
      <c r="B499" s="46">
        <v>498</v>
      </c>
      <c r="C499" s="2" t="b">
        <v>0</v>
      </c>
      <c r="D499" s="2" t="b">
        <v>0</v>
      </c>
      <c r="E499" s="2" t="b">
        <v>0</v>
      </c>
      <c r="F499" s="2" t="b">
        <v>0</v>
      </c>
      <c r="G499" s="2" t="s">
        <v>31</v>
      </c>
      <c r="H499" s="2" t="s">
        <v>1639</v>
      </c>
      <c r="I499" s="2" t="s">
        <v>1640</v>
      </c>
      <c r="J499" s="2" t="s">
        <v>1515</v>
      </c>
      <c r="K499" s="2" t="s">
        <v>35</v>
      </c>
      <c r="L499" s="2" t="s">
        <v>35</v>
      </c>
      <c r="M499" s="2" t="s">
        <v>35</v>
      </c>
      <c r="N499" s="2" t="s">
        <v>35</v>
      </c>
      <c r="O499" s="11">
        <v>44747.491263402779</v>
      </c>
      <c r="P499" s="11">
        <v>44747.491579733796</v>
      </c>
      <c r="Q499" s="27">
        <f t="shared" si="21"/>
        <v>3.1633101752959192E-4</v>
      </c>
      <c r="R499" s="65">
        <f t="shared" si="23"/>
        <v>1.2681597218033858E-3</v>
      </c>
      <c r="S499" s="2">
        <v>0</v>
      </c>
      <c r="T499" s="2" t="s">
        <v>36</v>
      </c>
      <c r="U499" s="2" t="s">
        <v>37</v>
      </c>
      <c r="V499" s="2" t="s">
        <v>38</v>
      </c>
      <c r="W499" s="2" t="s">
        <v>35</v>
      </c>
      <c r="X499" s="2" t="s">
        <v>35</v>
      </c>
      <c r="Y499" s="2" t="s">
        <v>35</v>
      </c>
      <c r="Z499" s="2" t="b">
        <v>0</v>
      </c>
      <c r="AA499" s="2" t="s">
        <v>35</v>
      </c>
      <c r="AB499" s="2" t="s">
        <v>35</v>
      </c>
      <c r="AC499" s="2">
        <v>4</v>
      </c>
      <c r="AD499" s="2" t="s">
        <v>35</v>
      </c>
      <c r="AE499" s="2" t="s">
        <v>1464</v>
      </c>
      <c r="AF499" s="11">
        <v>44747.425694386577</v>
      </c>
      <c r="AG499" s="53"/>
      <c r="AH499" s="53" t="b">
        <f t="shared" si="22"/>
        <v>0</v>
      </c>
      <c r="AI499" s="54" t="str" cm="1">
        <f t="array" ref="AI499">TRANSPOSE(_xlfn._xlws.FILTER(images!L:L,images!F:F=Barrierenmessung!A499, ""))</f>
        <v>https://captureandgo.cloudlab.zhaw.ch/uploads/image_2678e1698c.jpg</v>
      </c>
      <c r="AJ499" s="2"/>
      <c r="AK499" s="2"/>
      <c r="AL499" s="2"/>
      <c r="AM499" s="2"/>
      <c r="AN499" s="2"/>
    </row>
    <row r="500" spans="1:40" ht="16" x14ac:dyDescent="0.2">
      <c r="A500" s="2" t="s">
        <v>1641</v>
      </c>
      <c r="B500" s="46">
        <v>499</v>
      </c>
      <c r="C500" s="2" t="b">
        <v>0</v>
      </c>
      <c r="D500" s="2" t="b">
        <v>0</v>
      </c>
      <c r="E500" s="2" t="b">
        <v>0</v>
      </c>
      <c r="F500" s="2" t="b">
        <v>0</v>
      </c>
      <c r="G500" s="2" t="s">
        <v>31</v>
      </c>
      <c r="H500" s="2" t="s">
        <v>1642</v>
      </c>
      <c r="I500" s="2" t="s">
        <v>1643</v>
      </c>
      <c r="J500" s="2" t="s">
        <v>1515</v>
      </c>
      <c r="K500" s="2" t="s">
        <v>35</v>
      </c>
      <c r="L500" s="2" t="s">
        <v>35</v>
      </c>
      <c r="M500" s="2" t="s">
        <v>35</v>
      </c>
      <c r="N500" s="2" t="s">
        <v>35</v>
      </c>
      <c r="O500" s="11">
        <v>44747.49239605324</v>
      </c>
      <c r="P500" s="11">
        <v>44747.492615844909</v>
      </c>
      <c r="Q500" s="27">
        <f t="shared" si="21"/>
        <v>2.1979166922392324E-4</v>
      </c>
      <c r="R500" s="65">
        <f t="shared" si="23"/>
        <v>1.0361111126258038E-3</v>
      </c>
      <c r="S500" s="2">
        <v>0</v>
      </c>
      <c r="T500" s="2" t="s">
        <v>36</v>
      </c>
      <c r="U500" s="2" t="s">
        <v>37</v>
      </c>
      <c r="V500" s="2" t="s">
        <v>38</v>
      </c>
      <c r="W500" s="2" t="s">
        <v>35</v>
      </c>
      <c r="X500" s="2" t="s">
        <v>35</v>
      </c>
      <c r="Y500" s="2" t="s">
        <v>35</v>
      </c>
      <c r="Z500" s="2" t="b">
        <v>0</v>
      </c>
      <c r="AA500" s="2" t="s">
        <v>35</v>
      </c>
      <c r="AB500" s="2" t="s">
        <v>35</v>
      </c>
      <c r="AC500" s="2">
        <v>7</v>
      </c>
      <c r="AD500" s="2">
        <v>4</v>
      </c>
      <c r="AE500" s="2" t="s">
        <v>1464</v>
      </c>
      <c r="AF500" s="11">
        <v>44747.425694386577</v>
      </c>
      <c r="AG500" s="53"/>
      <c r="AH500" s="53" t="b">
        <f t="shared" si="22"/>
        <v>0</v>
      </c>
      <c r="AI500" s="54" t="str" cm="1">
        <f t="array" ref="AI500">TRANSPOSE(_xlfn._xlws.FILTER(images!L:L,images!F:F=Barrierenmessung!A500, ""))</f>
        <v>https://captureandgo.cloudlab.zhaw.ch/uploads/image_c42d64c56d.jpg</v>
      </c>
      <c r="AJ500" s="2"/>
      <c r="AK500" s="2"/>
      <c r="AL500" s="2"/>
      <c r="AM500" s="2"/>
      <c r="AN500" s="2"/>
    </row>
    <row r="501" spans="1:40" ht="16" x14ac:dyDescent="0.2">
      <c r="A501" s="2" t="s">
        <v>1644</v>
      </c>
      <c r="B501" s="46">
        <v>500</v>
      </c>
      <c r="C501" s="2" t="b">
        <v>0</v>
      </c>
      <c r="D501" s="2" t="b">
        <v>0</v>
      </c>
      <c r="E501" s="2" t="b">
        <v>0</v>
      </c>
      <c r="F501" s="2" t="b">
        <v>0</v>
      </c>
      <c r="G501" s="2" t="s">
        <v>31</v>
      </c>
      <c r="H501" s="2" t="s">
        <v>1645</v>
      </c>
      <c r="I501" s="2" t="s">
        <v>1646</v>
      </c>
      <c r="J501" s="2" t="s">
        <v>1647</v>
      </c>
      <c r="K501" s="2" t="s">
        <v>35</v>
      </c>
      <c r="L501" s="2" t="s">
        <v>35</v>
      </c>
      <c r="M501" s="2" t="s">
        <v>35</v>
      </c>
      <c r="N501" s="2" t="s">
        <v>35</v>
      </c>
      <c r="O501" s="11">
        <v>44747.493568321763</v>
      </c>
      <c r="P501" s="11">
        <v>44747.494365706021</v>
      </c>
      <c r="Q501" s="27">
        <f t="shared" si="21"/>
        <v>7.9738425847608596E-4</v>
      </c>
      <c r="R501" s="65">
        <f t="shared" si="23"/>
        <v>1.7498611123301089E-3</v>
      </c>
      <c r="S501" s="2">
        <v>0</v>
      </c>
      <c r="T501" s="2" t="s">
        <v>36</v>
      </c>
      <c r="U501" s="2" t="s">
        <v>37</v>
      </c>
      <c r="V501" s="2" t="s">
        <v>38</v>
      </c>
      <c r="W501" s="2" t="s">
        <v>35</v>
      </c>
      <c r="X501" s="2" t="s">
        <v>35</v>
      </c>
      <c r="Y501" s="2" t="s">
        <v>35</v>
      </c>
      <c r="Z501" s="2" t="b">
        <v>0</v>
      </c>
      <c r="AA501" s="2" t="s">
        <v>35</v>
      </c>
      <c r="AB501" s="2" t="s">
        <v>35</v>
      </c>
      <c r="AC501" s="2">
        <v>7</v>
      </c>
      <c r="AD501" s="2">
        <v>4</v>
      </c>
      <c r="AE501" s="2" t="s">
        <v>1464</v>
      </c>
      <c r="AF501" s="11">
        <v>44747.425694386577</v>
      </c>
      <c r="AG501" s="53"/>
      <c r="AH501" s="53" t="b">
        <f t="shared" si="22"/>
        <v>0</v>
      </c>
      <c r="AI501" s="54" t="str" cm="1">
        <f t="array" ref="AI501">TRANSPOSE(_xlfn._xlws.FILTER(images!L:L,images!F:F=Barrierenmessung!A501, ""))</f>
        <v>https://captureandgo.cloudlab.zhaw.ch/uploads/image_6f66d89fa9.jpg</v>
      </c>
      <c r="AJ501" s="2"/>
      <c r="AK501" s="2"/>
      <c r="AL501" s="2"/>
      <c r="AM501" s="2"/>
      <c r="AN501" s="2"/>
    </row>
    <row r="502" spans="1:40" ht="16" x14ac:dyDescent="0.2">
      <c r="A502" s="2" t="s">
        <v>1648</v>
      </c>
      <c r="B502" s="46">
        <v>501</v>
      </c>
      <c r="C502" s="2" t="b">
        <v>0</v>
      </c>
      <c r="D502" s="2" t="b">
        <v>0</v>
      </c>
      <c r="E502" s="2" t="b">
        <v>0</v>
      </c>
      <c r="F502" s="2" t="b">
        <v>0</v>
      </c>
      <c r="G502" s="2" t="s">
        <v>31</v>
      </c>
      <c r="H502" s="2" t="s">
        <v>1649</v>
      </c>
      <c r="I502" s="2" t="s">
        <v>1650</v>
      </c>
      <c r="J502" s="2" t="s">
        <v>1647</v>
      </c>
      <c r="K502" s="2" t="s">
        <v>35</v>
      </c>
      <c r="L502" s="2" t="s">
        <v>35</v>
      </c>
      <c r="M502" s="2" t="s">
        <v>35</v>
      </c>
      <c r="N502" s="2" t="s">
        <v>35</v>
      </c>
      <c r="O502" s="11">
        <v>44747.495219976852</v>
      </c>
      <c r="P502" s="11">
        <v>44747.495505844905</v>
      </c>
      <c r="Q502" s="27">
        <f t="shared" si="21"/>
        <v>2.8586805274244398E-4</v>
      </c>
      <c r="R502" s="65">
        <f t="shared" si="23"/>
        <v>1.1401388837839477E-3</v>
      </c>
      <c r="S502" s="2">
        <v>0</v>
      </c>
      <c r="T502" s="2" t="s">
        <v>36</v>
      </c>
      <c r="U502" s="2" t="s">
        <v>37</v>
      </c>
      <c r="V502" s="2" t="s">
        <v>38</v>
      </c>
      <c r="W502" s="2" t="s">
        <v>35</v>
      </c>
      <c r="X502" s="2" t="s">
        <v>35</v>
      </c>
      <c r="Y502" s="2" t="s">
        <v>35</v>
      </c>
      <c r="Z502" s="2" t="b">
        <v>0</v>
      </c>
      <c r="AA502" s="2" t="s">
        <v>35</v>
      </c>
      <c r="AB502" s="2" t="s">
        <v>35</v>
      </c>
      <c r="AC502" s="2">
        <v>5</v>
      </c>
      <c r="AD502" s="2" t="s">
        <v>35</v>
      </c>
      <c r="AE502" s="2" t="s">
        <v>1464</v>
      </c>
      <c r="AF502" s="11">
        <v>44747.425694386577</v>
      </c>
      <c r="AG502" s="53"/>
      <c r="AH502" s="53" t="b">
        <f t="shared" si="22"/>
        <v>0</v>
      </c>
      <c r="AI502" s="54" t="str" cm="1">
        <f t="array" ref="AI502">TRANSPOSE(_xlfn._xlws.FILTER(images!L:L,images!F:F=Barrierenmessung!A502, ""))</f>
        <v>https://captureandgo.cloudlab.zhaw.ch/uploads/image_40b9be906b.jpg</v>
      </c>
      <c r="AJ502" s="2"/>
      <c r="AK502" s="2"/>
      <c r="AL502" s="2"/>
      <c r="AM502" s="2"/>
      <c r="AN502" s="2"/>
    </row>
    <row r="503" spans="1:40" ht="16" x14ac:dyDescent="0.2">
      <c r="A503" s="2" t="s">
        <v>1651</v>
      </c>
      <c r="B503" s="46">
        <v>502</v>
      </c>
      <c r="C503" s="2" t="b">
        <v>0</v>
      </c>
      <c r="D503" s="2" t="b">
        <v>0</v>
      </c>
      <c r="E503" s="2" t="b">
        <v>0</v>
      </c>
      <c r="F503" s="2" t="b">
        <v>0</v>
      </c>
      <c r="G503" s="2" t="s">
        <v>31</v>
      </c>
      <c r="H503" s="2" t="s">
        <v>1652</v>
      </c>
      <c r="I503" s="2" t="s">
        <v>1653</v>
      </c>
      <c r="J503" s="2" t="s">
        <v>1654</v>
      </c>
      <c r="K503" s="2" t="s">
        <v>35</v>
      </c>
      <c r="L503" s="2" t="s">
        <v>35</v>
      </c>
      <c r="M503" s="2" t="s">
        <v>35</v>
      </c>
      <c r="N503" s="2" t="s">
        <v>35</v>
      </c>
      <c r="O503" s="11">
        <v>44747.498322013889</v>
      </c>
      <c r="P503" s="11">
        <v>44747.498622430554</v>
      </c>
      <c r="Q503" s="27">
        <f t="shared" si="21"/>
        <v>3.0041666468605399E-4</v>
      </c>
      <c r="R503" s="65">
        <f t="shared" si="23"/>
        <v>3.1165856489678845E-3</v>
      </c>
      <c r="S503" s="2">
        <v>0</v>
      </c>
      <c r="T503" s="2" t="s">
        <v>36</v>
      </c>
      <c r="U503" s="2" t="s">
        <v>37</v>
      </c>
      <c r="V503" s="2" t="s">
        <v>38</v>
      </c>
      <c r="W503" s="2" t="s">
        <v>35</v>
      </c>
      <c r="X503" s="2" t="s">
        <v>35</v>
      </c>
      <c r="Y503" s="2" t="s">
        <v>35</v>
      </c>
      <c r="Z503" s="2" t="b">
        <v>0</v>
      </c>
      <c r="AA503" s="2" t="s">
        <v>35</v>
      </c>
      <c r="AB503" s="2" t="s">
        <v>35</v>
      </c>
      <c r="AC503" s="2">
        <v>5</v>
      </c>
      <c r="AD503" s="2">
        <v>3</v>
      </c>
      <c r="AE503" s="2" t="s">
        <v>1464</v>
      </c>
      <c r="AF503" s="11">
        <v>44747.425694386577</v>
      </c>
      <c r="AG503" s="53"/>
      <c r="AH503" s="53" t="b">
        <f t="shared" si="22"/>
        <v>0</v>
      </c>
      <c r="AI503" s="54" t="str" cm="1">
        <f t="array" ref="AI503">TRANSPOSE(_xlfn._xlws.FILTER(images!L:L,images!F:F=Barrierenmessung!A503, ""))</f>
        <v>https://captureandgo.cloudlab.zhaw.ch/uploads/image_10c3f7c9ac.jpg</v>
      </c>
      <c r="AJ503" s="2"/>
      <c r="AK503" s="2"/>
      <c r="AL503" s="2"/>
      <c r="AM503" s="2"/>
      <c r="AN503" s="2"/>
    </row>
    <row r="504" spans="1:40" ht="16" x14ac:dyDescent="0.2">
      <c r="A504" s="2" t="s">
        <v>1655</v>
      </c>
      <c r="B504" s="46">
        <v>503</v>
      </c>
      <c r="C504" s="2" t="b">
        <v>0</v>
      </c>
      <c r="D504" s="2" t="b">
        <v>0</v>
      </c>
      <c r="E504" s="2" t="b">
        <v>0</v>
      </c>
      <c r="F504" s="2" t="b">
        <v>0</v>
      </c>
      <c r="G504" s="2" t="s">
        <v>31</v>
      </c>
      <c r="H504" s="2" t="s">
        <v>1656</v>
      </c>
      <c r="I504" s="2" t="s">
        <v>1657</v>
      </c>
      <c r="J504" s="2" t="s">
        <v>1658</v>
      </c>
      <c r="K504" s="2" t="s">
        <v>35</v>
      </c>
      <c r="L504" s="2" t="s">
        <v>35</v>
      </c>
      <c r="M504" s="2">
        <v>3</v>
      </c>
      <c r="N504" s="2">
        <v>13</v>
      </c>
      <c r="O504" s="11">
        <v>44747.499291759261</v>
      </c>
      <c r="P504" s="11">
        <v>44747.499661909722</v>
      </c>
      <c r="Q504" s="27">
        <f t="shared" si="21"/>
        <v>3.7015046109445393E-4</v>
      </c>
      <c r="R504" s="65">
        <f t="shared" si="23"/>
        <v>1.0394791679573245E-3</v>
      </c>
      <c r="S504" s="2">
        <v>0</v>
      </c>
      <c r="T504" s="2" t="s">
        <v>54</v>
      </c>
      <c r="U504" s="2" t="s">
        <v>55</v>
      </c>
      <c r="V504" s="2" t="s">
        <v>38</v>
      </c>
      <c r="W504" s="2" t="s">
        <v>35</v>
      </c>
      <c r="X504" s="2" t="s">
        <v>35</v>
      </c>
      <c r="Y504" s="2" t="s">
        <v>35</v>
      </c>
      <c r="Z504" s="2" t="b">
        <v>1</v>
      </c>
      <c r="AA504" s="2" t="s">
        <v>35</v>
      </c>
      <c r="AB504" s="2" t="s">
        <v>35</v>
      </c>
      <c r="AC504" s="2" t="s">
        <v>35</v>
      </c>
      <c r="AD504" s="2" t="s">
        <v>35</v>
      </c>
      <c r="AE504" s="2" t="s">
        <v>1464</v>
      </c>
      <c r="AF504" s="11">
        <v>44747.425694386577</v>
      </c>
      <c r="AG504" s="53"/>
      <c r="AH504" s="53" t="b">
        <f t="shared" si="22"/>
        <v>0</v>
      </c>
      <c r="AI504" s="54" t="str" cm="1">
        <f t="array" ref="AI504">TRANSPOSE(_xlfn._xlws.FILTER(images!L:L,images!F:F=Barrierenmessung!A504, ""))</f>
        <v>https://captureandgo.cloudlab.zhaw.ch/uploads/image_062a830cc1.jpg</v>
      </c>
      <c r="AJ504" s="2"/>
      <c r="AK504" s="2"/>
      <c r="AL504" s="2"/>
      <c r="AM504" s="2"/>
      <c r="AN504" s="2"/>
    </row>
    <row r="505" spans="1:40" ht="16" x14ac:dyDescent="0.2">
      <c r="A505" s="2" t="s">
        <v>1659</v>
      </c>
      <c r="B505" s="46">
        <v>504</v>
      </c>
      <c r="C505" s="2" t="b">
        <v>0</v>
      </c>
      <c r="D505" s="2" t="b">
        <v>0</v>
      </c>
      <c r="E505" s="2" t="b">
        <v>0</v>
      </c>
      <c r="F505" s="2" t="b">
        <v>0</v>
      </c>
      <c r="G505" s="2" t="s">
        <v>31</v>
      </c>
      <c r="H505" s="2" t="s">
        <v>1660</v>
      </c>
      <c r="I505" s="2" t="s">
        <v>1661</v>
      </c>
      <c r="J505" s="2" t="s">
        <v>35</v>
      </c>
      <c r="K505" s="2" t="s">
        <v>35</v>
      </c>
      <c r="L505" s="2" t="s">
        <v>35</v>
      </c>
      <c r="M505" s="2">
        <v>23</v>
      </c>
      <c r="N505" s="2">
        <v>15</v>
      </c>
      <c r="O505" s="11">
        <v>44747.500143819445</v>
      </c>
      <c r="P505" s="11">
        <v>44747.500591793978</v>
      </c>
      <c r="Q505" s="27">
        <f t="shared" si="21"/>
        <v>4.4797453301725909E-4</v>
      </c>
      <c r="R505" s="65">
        <f t="shared" si="23"/>
        <v>9.2988425603834912E-4</v>
      </c>
      <c r="S505" s="2">
        <v>0</v>
      </c>
      <c r="T505" s="2" t="s">
        <v>54</v>
      </c>
      <c r="U505" s="2" t="s">
        <v>55</v>
      </c>
      <c r="V505" s="2" t="s">
        <v>38</v>
      </c>
      <c r="W505" s="2" t="s">
        <v>35</v>
      </c>
      <c r="X505" s="2" t="s">
        <v>35</v>
      </c>
      <c r="Y505" s="2" t="s">
        <v>35</v>
      </c>
      <c r="Z505" s="2" t="b">
        <v>0</v>
      </c>
      <c r="AA505" s="2" t="s">
        <v>35</v>
      </c>
      <c r="AB505" s="2" t="s">
        <v>35</v>
      </c>
      <c r="AC505" s="2" t="s">
        <v>35</v>
      </c>
      <c r="AD505" s="2" t="s">
        <v>35</v>
      </c>
      <c r="AE505" s="2" t="s">
        <v>1464</v>
      </c>
      <c r="AF505" s="11">
        <v>44747.425694386577</v>
      </c>
      <c r="AG505" s="53"/>
      <c r="AH505" s="53" t="b">
        <f t="shared" si="22"/>
        <v>0</v>
      </c>
      <c r="AI505" s="54" t="str" cm="1">
        <f t="array" ref="AI505">TRANSPOSE(_xlfn._xlws.FILTER(images!L:L,images!F:F=Barrierenmessung!A505, ""))</f>
        <v>https://captureandgo.cloudlab.zhaw.ch/uploads/image_f0c47098b1.jpg</v>
      </c>
      <c r="AJ505" s="2"/>
      <c r="AK505" s="2"/>
      <c r="AL505" s="2"/>
      <c r="AM505" s="2"/>
      <c r="AN505" s="2"/>
    </row>
    <row r="506" spans="1:40" ht="16" x14ac:dyDescent="0.2">
      <c r="A506" s="2" t="s">
        <v>1662</v>
      </c>
      <c r="B506" s="46">
        <v>505</v>
      </c>
      <c r="C506" s="2" t="b">
        <v>0</v>
      </c>
      <c r="D506" s="2" t="b">
        <v>0</v>
      </c>
      <c r="E506" s="2" t="b">
        <v>0</v>
      </c>
      <c r="F506" s="2" t="b">
        <v>0</v>
      </c>
      <c r="G506" s="2" t="s">
        <v>31</v>
      </c>
      <c r="H506" s="2" t="s">
        <v>1663</v>
      </c>
      <c r="I506" s="2" t="s">
        <v>1664</v>
      </c>
      <c r="J506" s="2" t="s">
        <v>35</v>
      </c>
      <c r="K506" s="2" t="s">
        <v>35</v>
      </c>
      <c r="L506" s="2" t="s">
        <v>35</v>
      </c>
      <c r="M506" s="2">
        <v>2</v>
      </c>
      <c r="N506" s="2">
        <v>15</v>
      </c>
      <c r="O506" s="11">
        <v>44747.500716828705</v>
      </c>
      <c r="P506" s="11">
        <v>44747.500906469904</v>
      </c>
      <c r="Q506" s="27">
        <f t="shared" si="21"/>
        <v>1.8964119954034686E-4</v>
      </c>
      <c r="R506" s="65">
        <f t="shared" si="23"/>
        <v>3.1467592634726316E-4</v>
      </c>
      <c r="S506" s="2">
        <v>0</v>
      </c>
      <c r="T506" s="2" t="s">
        <v>54</v>
      </c>
      <c r="U506" s="2" t="s">
        <v>55</v>
      </c>
      <c r="V506" s="2" t="s">
        <v>38</v>
      </c>
      <c r="W506" s="2" t="s">
        <v>35</v>
      </c>
      <c r="X506" s="2" t="s">
        <v>35</v>
      </c>
      <c r="Y506" s="2" t="s">
        <v>35</v>
      </c>
      <c r="Z506" s="2" t="b">
        <v>0</v>
      </c>
      <c r="AA506" s="2" t="s">
        <v>35</v>
      </c>
      <c r="AB506" s="2" t="s">
        <v>35</v>
      </c>
      <c r="AC506" s="2" t="s">
        <v>35</v>
      </c>
      <c r="AD506" s="2" t="s">
        <v>35</v>
      </c>
      <c r="AE506" s="2" t="s">
        <v>1464</v>
      </c>
      <c r="AF506" s="11">
        <v>44747.425694386577</v>
      </c>
      <c r="AG506" s="53"/>
      <c r="AH506" s="53" t="b">
        <f t="shared" si="22"/>
        <v>0</v>
      </c>
      <c r="AI506" s="54" t="str" cm="1">
        <f t="array" ref="AI506">TRANSPOSE(_xlfn._xlws.FILTER(images!L:L,images!F:F=Barrierenmessung!A506, ""))</f>
        <v>https://captureandgo.cloudlab.zhaw.ch/uploads/image_11ac842315.jpg</v>
      </c>
      <c r="AJ506" s="2"/>
      <c r="AK506" s="2"/>
      <c r="AL506" s="2"/>
      <c r="AM506" s="2"/>
      <c r="AN506" s="2"/>
    </row>
    <row r="507" spans="1:40" ht="16" x14ac:dyDescent="0.2">
      <c r="A507" s="2" t="s">
        <v>1665</v>
      </c>
      <c r="B507" s="46">
        <v>506</v>
      </c>
      <c r="C507" s="2" t="b">
        <v>0</v>
      </c>
      <c r="D507" s="2" t="b">
        <v>0</v>
      </c>
      <c r="E507" s="2" t="b">
        <v>0</v>
      </c>
      <c r="F507" s="2" t="b">
        <v>0</v>
      </c>
      <c r="G507" s="2" t="s">
        <v>31</v>
      </c>
      <c r="H507" s="2" t="s">
        <v>1666</v>
      </c>
      <c r="I507" s="2" t="s">
        <v>1667</v>
      </c>
      <c r="J507" s="2" t="s">
        <v>1668</v>
      </c>
      <c r="K507" s="2" t="s">
        <v>35</v>
      </c>
      <c r="L507" s="2" t="s">
        <v>35</v>
      </c>
      <c r="M507" s="2" t="s">
        <v>35</v>
      </c>
      <c r="N507" s="2" t="s">
        <v>35</v>
      </c>
      <c r="O507" s="11">
        <v>44747.501525416665</v>
      </c>
      <c r="P507" s="11">
        <v>44747.501783310188</v>
      </c>
      <c r="Q507" s="27">
        <f t="shared" si="21"/>
        <v>2.5789352366700768E-4</v>
      </c>
      <c r="R507" s="65">
        <f t="shared" si="23"/>
        <v>8.7684028403600678E-4</v>
      </c>
      <c r="S507" s="2">
        <v>0</v>
      </c>
      <c r="T507" s="2" t="s">
        <v>36</v>
      </c>
      <c r="U507" s="2" t="s">
        <v>37</v>
      </c>
      <c r="V507" s="2" t="s">
        <v>38</v>
      </c>
      <c r="W507" s="2" t="s">
        <v>35</v>
      </c>
      <c r="X507" s="2" t="s">
        <v>35</v>
      </c>
      <c r="Y507" s="2" t="s">
        <v>35</v>
      </c>
      <c r="Z507" s="2" t="b">
        <v>0</v>
      </c>
      <c r="AA507" s="2" t="s">
        <v>35</v>
      </c>
      <c r="AB507" s="2" t="s">
        <v>35</v>
      </c>
      <c r="AC507" s="2">
        <v>11</v>
      </c>
      <c r="AD507" s="2" t="s">
        <v>35</v>
      </c>
      <c r="AE507" s="2" t="s">
        <v>1464</v>
      </c>
      <c r="AF507" s="11">
        <v>44747.425694386577</v>
      </c>
      <c r="AG507" s="53"/>
      <c r="AH507" s="53" t="b">
        <f t="shared" si="22"/>
        <v>0</v>
      </c>
      <c r="AI507" s="54" t="str" cm="1">
        <f t="array" ref="AI507">TRANSPOSE(_xlfn._xlws.FILTER(images!L:L,images!F:F=Barrierenmessung!A507, ""))</f>
        <v>https://captureandgo.cloudlab.zhaw.ch/uploads/image_2823e0914c.jpg</v>
      </c>
      <c r="AJ507" s="2"/>
      <c r="AK507" s="2"/>
      <c r="AL507" s="2"/>
      <c r="AM507" s="2"/>
      <c r="AN507" s="2"/>
    </row>
    <row r="508" spans="1:40" ht="16" x14ac:dyDescent="0.2">
      <c r="A508" s="2" t="s">
        <v>1669</v>
      </c>
      <c r="B508" s="46">
        <v>507</v>
      </c>
      <c r="C508" s="2" t="b">
        <v>0</v>
      </c>
      <c r="D508" s="2" t="b">
        <v>0</v>
      </c>
      <c r="E508" s="2" t="b">
        <v>0</v>
      </c>
      <c r="F508" s="2" t="b">
        <v>0</v>
      </c>
      <c r="G508" s="2" t="s">
        <v>31</v>
      </c>
      <c r="H508" s="2" t="s">
        <v>1670</v>
      </c>
      <c r="I508" s="2" t="s">
        <v>1671</v>
      </c>
      <c r="J508" s="2" t="s">
        <v>35</v>
      </c>
      <c r="K508" s="2" t="s">
        <v>35</v>
      </c>
      <c r="L508" s="2">
        <v>7</v>
      </c>
      <c r="M508" s="2" t="s">
        <v>35</v>
      </c>
      <c r="N508" s="2" t="s">
        <v>35</v>
      </c>
      <c r="O508" s="11">
        <v>44747.502715833332</v>
      </c>
      <c r="P508" s="11">
        <v>44747.503007187501</v>
      </c>
      <c r="Q508" s="27">
        <f t="shared" si="21"/>
        <v>2.9135416843928397E-4</v>
      </c>
      <c r="R508" s="65">
        <f t="shared" si="23"/>
        <v>1.2238773124408908E-3</v>
      </c>
      <c r="S508" s="2">
        <v>0</v>
      </c>
      <c r="T508" s="2" t="s">
        <v>265</v>
      </c>
      <c r="U508" s="2" t="s">
        <v>266</v>
      </c>
      <c r="V508" s="2" t="s">
        <v>38</v>
      </c>
      <c r="W508" s="2" t="s">
        <v>35</v>
      </c>
      <c r="X508" s="2" t="s">
        <v>35</v>
      </c>
      <c r="Y508" s="2" t="s">
        <v>35</v>
      </c>
      <c r="Z508" s="2" t="b">
        <v>0</v>
      </c>
      <c r="AA508" s="2" t="s">
        <v>35</v>
      </c>
      <c r="AB508" s="2" t="s">
        <v>35</v>
      </c>
      <c r="AC508" s="2" t="s">
        <v>35</v>
      </c>
      <c r="AD508" s="2" t="s">
        <v>35</v>
      </c>
      <c r="AE508" s="2" t="s">
        <v>1464</v>
      </c>
      <c r="AF508" s="11">
        <v>44747.425694386577</v>
      </c>
      <c r="AG508" s="53"/>
      <c r="AH508" s="53" t="b">
        <f t="shared" si="22"/>
        <v>0</v>
      </c>
      <c r="AI508" s="54" t="str" cm="1">
        <f t="array" ref="AI508">TRANSPOSE(_xlfn._xlws.FILTER(images!L:L,images!F:F=Barrierenmessung!A508, ""))</f>
        <v>https://captureandgo.cloudlab.zhaw.ch/uploads/image_2c392dbc32.jpg</v>
      </c>
      <c r="AJ508" s="2"/>
      <c r="AK508" s="2"/>
      <c r="AL508" s="2"/>
      <c r="AM508" s="2"/>
      <c r="AN508" s="2"/>
    </row>
    <row r="509" spans="1:40" ht="16" x14ac:dyDescent="0.2">
      <c r="A509" s="2" t="s">
        <v>1672</v>
      </c>
      <c r="B509" s="46">
        <v>508</v>
      </c>
      <c r="C509" s="2" t="b">
        <v>0</v>
      </c>
      <c r="D509" s="2" t="b">
        <v>0</v>
      </c>
      <c r="E509" s="2" t="b">
        <v>0</v>
      </c>
      <c r="F509" s="2" t="b">
        <v>0</v>
      </c>
      <c r="G509" s="2" t="s">
        <v>31</v>
      </c>
      <c r="H509" s="2" t="s">
        <v>1673</v>
      </c>
      <c r="I509" s="2" t="s">
        <v>1674</v>
      </c>
      <c r="J509" s="2" t="s">
        <v>35</v>
      </c>
      <c r="K509" s="2" t="s">
        <v>35</v>
      </c>
      <c r="L509" s="2">
        <v>5</v>
      </c>
      <c r="M509" s="2" t="s">
        <v>35</v>
      </c>
      <c r="N509" s="2" t="s">
        <v>35</v>
      </c>
      <c r="O509" s="11">
        <v>44747.503137662039</v>
      </c>
      <c r="P509" s="11">
        <v>44747.503344606484</v>
      </c>
      <c r="Q509" s="27">
        <f t="shared" si="21"/>
        <v>2.0694444538094103E-4</v>
      </c>
      <c r="R509" s="65">
        <f t="shared" si="23"/>
        <v>3.3741898369044065E-4</v>
      </c>
      <c r="S509" s="2">
        <v>0</v>
      </c>
      <c r="T509" s="2" t="s">
        <v>265</v>
      </c>
      <c r="U509" s="2" t="s">
        <v>266</v>
      </c>
      <c r="V509" s="2" t="s">
        <v>38</v>
      </c>
      <c r="W509" s="2" t="s">
        <v>35</v>
      </c>
      <c r="X509" s="2" t="s">
        <v>35</v>
      </c>
      <c r="Y509" s="2" t="s">
        <v>35</v>
      </c>
      <c r="Z509" s="2" t="b">
        <v>0</v>
      </c>
      <c r="AA509" s="2" t="s">
        <v>35</v>
      </c>
      <c r="AB509" s="2" t="s">
        <v>35</v>
      </c>
      <c r="AC509" s="2" t="s">
        <v>35</v>
      </c>
      <c r="AD509" s="2" t="s">
        <v>35</v>
      </c>
      <c r="AE509" s="2" t="s">
        <v>1464</v>
      </c>
      <c r="AF509" s="11">
        <v>44747.425694386577</v>
      </c>
      <c r="AG509" s="53"/>
      <c r="AH509" s="53" t="b">
        <f t="shared" si="22"/>
        <v>0</v>
      </c>
      <c r="AI509" s="54" t="str" cm="1">
        <f t="array" ref="AI509">TRANSPOSE(_xlfn._xlws.FILTER(images!L:L,images!F:F=Barrierenmessung!A509, ""))</f>
        <v>https://captureandgo.cloudlab.zhaw.ch/uploads/image_1dd39a3765.jpg</v>
      </c>
      <c r="AJ509" s="2"/>
      <c r="AK509" s="2"/>
      <c r="AL509" s="2"/>
      <c r="AM509" s="2"/>
      <c r="AN509" s="2"/>
    </row>
    <row r="510" spans="1:40" ht="16" x14ac:dyDescent="0.2">
      <c r="A510" s="68" t="s">
        <v>1675</v>
      </c>
      <c r="B510" s="68">
        <v>509</v>
      </c>
      <c r="C510" s="68" t="b">
        <v>0</v>
      </c>
      <c r="D510" s="68" t="b">
        <v>0</v>
      </c>
      <c r="E510" s="68" t="b">
        <v>0</v>
      </c>
      <c r="F510" s="68" t="b">
        <v>0</v>
      </c>
      <c r="G510" s="68" t="s">
        <v>31</v>
      </c>
      <c r="H510" s="68" t="s">
        <v>149</v>
      </c>
      <c r="I510" s="68" t="s">
        <v>1676</v>
      </c>
      <c r="J510" s="68" t="s">
        <v>1654</v>
      </c>
      <c r="K510" s="68" t="s">
        <v>35</v>
      </c>
      <c r="L510" s="68" t="s">
        <v>35</v>
      </c>
      <c r="M510" s="68" t="s">
        <v>35</v>
      </c>
      <c r="N510" s="68" t="s">
        <v>35</v>
      </c>
      <c r="O510" s="69">
        <v>44747.504125046296</v>
      </c>
      <c r="P510" s="69">
        <v>44747.504345972222</v>
      </c>
      <c r="Q510" s="70">
        <f t="shared" si="21"/>
        <v>2.209259255323559E-4</v>
      </c>
      <c r="R510" s="70">
        <f t="shared" si="23"/>
        <v>1.0013657374656759E-3</v>
      </c>
      <c r="S510" s="68">
        <v>0</v>
      </c>
      <c r="T510" s="68" t="s">
        <v>36</v>
      </c>
      <c r="U510" s="68" t="s">
        <v>37</v>
      </c>
      <c r="V510" s="68" t="s">
        <v>38</v>
      </c>
      <c r="W510" s="68" t="s">
        <v>35</v>
      </c>
      <c r="X510" s="68" t="s">
        <v>35</v>
      </c>
      <c r="Y510" s="68" t="s">
        <v>35</v>
      </c>
      <c r="Z510" s="68" t="b">
        <v>0</v>
      </c>
      <c r="AA510" s="68" t="s">
        <v>35</v>
      </c>
      <c r="AB510" s="68" t="s">
        <v>35</v>
      </c>
      <c r="AC510" s="68">
        <v>8</v>
      </c>
      <c r="AD510" s="68">
        <v>3</v>
      </c>
      <c r="AE510" s="68" t="s">
        <v>1464</v>
      </c>
      <c r="AF510" s="69">
        <v>44747.425694386577</v>
      </c>
      <c r="AG510" s="71"/>
      <c r="AH510" s="71" t="b">
        <f t="shared" si="22"/>
        <v>0</v>
      </c>
      <c r="AI510" s="56" t="str" cm="1">
        <f t="array" ref="AI510">TRANSPOSE(_xlfn._xlws.FILTER(images!L:L,images!F:F=Barrierenmessung!A510, ""))</f>
        <v/>
      </c>
      <c r="AJ510" s="68"/>
      <c r="AK510" s="68"/>
      <c r="AL510" s="68"/>
      <c r="AM510" s="68"/>
      <c r="AN510" s="68"/>
    </row>
    <row r="511" spans="1:40" ht="16" x14ac:dyDescent="0.2">
      <c r="A511" s="2" t="s">
        <v>1677</v>
      </c>
      <c r="B511" s="46">
        <v>510</v>
      </c>
      <c r="C511" s="2" t="b">
        <v>0</v>
      </c>
      <c r="D511" s="2" t="b">
        <v>0</v>
      </c>
      <c r="E511" s="2" t="b">
        <v>0</v>
      </c>
      <c r="F511" s="2" t="b">
        <v>0</v>
      </c>
      <c r="G511" s="2" t="s">
        <v>31</v>
      </c>
      <c r="H511" s="2" t="s">
        <v>1678</v>
      </c>
      <c r="I511" s="2" t="s">
        <v>1679</v>
      </c>
      <c r="J511" s="2" t="s">
        <v>1680</v>
      </c>
      <c r="K511" s="2" t="s">
        <v>35</v>
      </c>
      <c r="L511" s="2" t="s">
        <v>35</v>
      </c>
      <c r="M511" s="2" t="s">
        <v>35</v>
      </c>
      <c r="N511" s="2" t="s">
        <v>35</v>
      </c>
      <c r="O511" s="11">
        <v>44747.504584386574</v>
      </c>
      <c r="P511" s="11">
        <v>44747.505115347223</v>
      </c>
      <c r="Q511" s="27">
        <f t="shared" si="21"/>
        <v>5.3096064948476851E-4</v>
      </c>
      <c r="R511" s="65">
        <f t="shared" si="23"/>
        <v>7.6937500125495717E-4</v>
      </c>
      <c r="S511" s="2">
        <v>0</v>
      </c>
      <c r="T511" s="2" t="s">
        <v>416</v>
      </c>
      <c r="U511" s="2" t="s">
        <v>417</v>
      </c>
      <c r="V511" s="2" t="s">
        <v>38</v>
      </c>
      <c r="W511" s="2" t="s">
        <v>35</v>
      </c>
      <c r="X511" s="2">
        <v>0</v>
      </c>
      <c r="Y511" s="2" t="s">
        <v>1440</v>
      </c>
      <c r="Z511" s="2" t="b">
        <v>0</v>
      </c>
      <c r="AA511" s="2" t="s">
        <v>35</v>
      </c>
      <c r="AB511" s="2" t="s">
        <v>35</v>
      </c>
      <c r="AC511" s="2" t="s">
        <v>35</v>
      </c>
      <c r="AD511" s="2" t="s">
        <v>35</v>
      </c>
      <c r="AE511" s="2" t="s">
        <v>1464</v>
      </c>
      <c r="AF511" s="11">
        <v>44747.425694386577</v>
      </c>
      <c r="AG511" s="53"/>
      <c r="AH511" s="53" t="b">
        <f t="shared" si="22"/>
        <v>0</v>
      </c>
      <c r="AI511" s="54" t="str" cm="1">
        <f t="array" ref="AI511">TRANSPOSE(_xlfn._xlws.FILTER(images!L:L,images!F:F=Barrierenmessung!A511, ""))</f>
        <v>https://captureandgo.cloudlab.zhaw.ch/uploads/image_3b2a365ff9.jpg</v>
      </c>
      <c r="AJ511" s="2"/>
      <c r="AK511" s="2"/>
      <c r="AL511" s="2"/>
      <c r="AM511" s="2"/>
      <c r="AN511" s="2"/>
    </row>
    <row r="512" spans="1:40" ht="16" x14ac:dyDescent="0.2">
      <c r="A512" s="2" t="s">
        <v>1681</v>
      </c>
      <c r="B512" s="46">
        <v>511</v>
      </c>
      <c r="C512" s="2" t="b">
        <v>0</v>
      </c>
      <c r="D512" s="2" t="b">
        <v>0</v>
      </c>
      <c r="E512" s="2" t="b">
        <v>0</v>
      </c>
      <c r="F512" s="2" t="b">
        <v>0</v>
      </c>
      <c r="G512" s="2" t="s">
        <v>31</v>
      </c>
      <c r="H512" s="2" t="s">
        <v>1682</v>
      </c>
      <c r="I512" s="2" t="s">
        <v>1683</v>
      </c>
      <c r="J512" s="2" t="s">
        <v>1594</v>
      </c>
      <c r="K512" s="2" t="s">
        <v>35</v>
      </c>
      <c r="L512" s="2" t="s">
        <v>35</v>
      </c>
      <c r="M512" s="2" t="s">
        <v>35</v>
      </c>
      <c r="N512" s="2" t="s">
        <v>35</v>
      </c>
      <c r="O512" s="11">
        <v>44747.505834814816</v>
      </c>
      <c r="P512" s="11">
        <v>44747.506048495372</v>
      </c>
      <c r="Q512" s="27">
        <f t="shared" si="21"/>
        <v>2.1368055604398251E-4</v>
      </c>
      <c r="R512" s="65">
        <f t="shared" si="23"/>
        <v>9.3314814876066521E-4</v>
      </c>
      <c r="S512" s="2">
        <v>0</v>
      </c>
      <c r="T512" s="2" t="s">
        <v>36</v>
      </c>
      <c r="U512" s="2" t="s">
        <v>37</v>
      </c>
      <c r="V512" s="2" t="s">
        <v>38</v>
      </c>
      <c r="W512" s="2" t="s">
        <v>35</v>
      </c>
      <c r="X512" s="2" t="s">
        <v>35</v>
      </c>
      <c r="Y512" s="2" t="s">
        <v>35</v>
      </c>
      <c r="Z512" s="2" t="b">
        <v>0</v>
      </c>
      <c r="AA512" s="2" t="s">
        <v>35</v>
      </c>
      <c r="AB512" s="2" t="s">
        <v>35</v>
      </c>
      <c r="AC512" s="2">
        <v>9</v>
      </c>
      <c r="AD512" s="2" t="s">
        <v>35</v>
      </c>
      <c r="AE512" s="2" t="s">
        <v>1464</v>
      </c>
      <c r="AF512" s="11">
        <v>44747.425694386577</v>
      </c>
      <c r="AG512" s="53"/>
      <c r="AH512" s="53" t="b">
        <f t="shared" si="22"/>
        <v>0</v>
      </c>
      <c r="AI512" s="54" t="str" cm="1">
        <f t="array" ref="AI512">TRANSPOSE(_xlfn._xlws.FILTER(images!L:L,images!F:F=Barrierenmessung!A512, ""))</f>
        <v>https://captureandgo.cloudlab.zhaw.ch/uploads/image_6af1959915.jpg</v>
      </c>
      <c r="AJ512" s="2"/>
      <c r="AK512" s="2"/>
      <c r="AL512" s="2"/>
      <c r="AM512" s="2"/>
      <c r="AN512" s="2"/>
    </row>
    <row r="513" spans="1:40" ht="16" x14ac:dyDescent="0.2">
      <c r="A513" s="2" t="s">
        <v>1684</v>
      </c>
      <c r="B513" s="46">
        <v>512</v>
      </c>
      <c r="C513" s="2" t="b">
        <v>0</v>
      </c>
      <c r="D513" s="2" t="b">
        <v>0</v>
      </c>
      <c r="E513" s="2" t="b">
        <v>0</v>
      </c>
      <c r="F513" s="2" t="b">
        <v>0</v>
      </c>
      <c r="G513" s="2" t="s">
        <v>31</v>
      </c>
      <c r="H513" s="2" t="s">
        <v>1685</v>
      </c>
      <c r="I513" s="2" t="s">
        <v>1686</v>
      </c>
      <c r="J513" s="2" t="s">
        <v>35</v>
      </c>
      <c r="K513" s="2" t="s">
        <v>35</v>
      </c>
      <c r="L513" s="2" t="s">
        <v>35</v>
      </c>
      <c r="M513" s="2">
        <v>2</v>
      </c>
      <c r="N513" s="2">
        <v>15</v>
      </c>
      <c r="O513" s="11">
        <v>44747.50688724537</v>
      </c>
      <c r="P513" s="11">
        <v>44747.50722939815</v>
      </c>
      <c r="Q513" s="27">
        <f t="shared" si="21"/>
        <v>3.4215277992188931E-4</v>
      </c>
      <c r="R513" s="65">
        <f t="shared" si="23"/>
        <v>1.1809027782874182E-3</v>
      </c>
      <c r="S513" s="2">
        <v>0</v>
      </c>
      <c r="T513" s="2" t="s">
        <v>54</v>
      </c>
      <c r="U513" s="2" t="s">
        <v>55</v>
      </c>
      <c r="V513" s="2" t="s">
        <v>38</v>
      </c>
      <c r="W513" s="2" t="s">
        <v>35</v>
      </c>
      <c r="X513" s="2" t="s">
        <v>35</v>
      </c>
      <c r="Y513" s="2" t="s">
        <v>35</v>
      </c>
      <c r="Z513" s="2" t="b">
        <v>0</v>
      </c>
      <c r="AA513" s="2" t="s">
        <v>35</v>
      </c>
      <c r="AB513" s="2" t="s">
        <v>35</v>
      </c>
      <c r="AC513" s="2" t="s">
        <v>35</v>
      </c>
      <c r="AD513" s="2" t="s">
        <v>35</v>
      </c>
      <c r="AE513" s="2" t="s">
        <v>1464</v>
      </c>
      <c r="AF513" s="11">
        <v>44747.425694386577</v>
      </c>
      <c r="AG513" s="53"/>
      <c r="AH513" s="53" t="b">
        <f t="shared" si="22"/>
        <v>0</v>
      </c>
      <c r="AI513" s="54" t="str" cm="1">
        <f t="array" ref="AI513">TRANSPOSE(_xlfn._xlws.FILTER(images!L:L,images!F:F=Barrierenmessung!A513, ""))</f>
        <v>https://captureandgo.cloudlab.zhaw.ch/uploads/image_5625c46a05.jpg</v>
      </c>
      <c r="AJ513" s="2"/>
      <c r="AK513" s="2"/>
      <c r="AL513" s="2"/>
      <c r="AM513" s="2"/>
      <c r="AN513" s="2"/>
    </row>
    <row r="514" spans="1:40" ht="16" x14ac:dyDescent="0.2">
      <c r="A514" s="68" t="s">
        <v>1687</v>
      </c>
      <c r="B514" s="68">
        <v>513</v>
      </c>
      <c r="C514" s="68" t="b">
        <v>0</v>
      </c>
      <c r="D514" s="68" t="b">
        <v>0</v>
      </c>
      <c r="E514" s="68" t="b">
        <v>0</v>
      </c>
      <c r="F514" s="68" t="b">
        <v>0</v>
      </c>
      <c r="G514" s="68" t="s">
        <v>31</v>
      </c>
      <c r="H514" s="68" t="s">
        <v>149</v>
      </c>
      <c r="I514" s="68" t="s">
        <v>1688</v>
      </c>
      <c r="J514" s="68" t="s">
        <v>35</v>
      </c>
      <c r="K514" s="68" t="s">
        <v>35</v>
      </c>
      <c r="L514" s="68" t="s">
        <v>35</v>
      </c>
      <c r="M514" s="68">
        <v>45</v>
      </c>
      <c r="N514" s="68">
        <v>15</v>
      </c>
      <c r="O514" s="69">
        <v>44747.507742164351</v>
      </c>
      <c r="P514" s="69">
        <v>44747.508008969904</v>
      </c>
      <c r="Q514" s="70">
        <f t="shared" ref="Q514:Q577" si="24">P514-O514</f>
        <v>2.668055531103164E-4</v>
      </c>
      <c r="R514" s="70">
        <f t="shared" si="23"/>
        <v>7.7957175381015986E-4</v>
      </c>
      <c r="S514" s="68">
        <v>0</v>
      </c>
      <c r="T514" s="68" t="s">
        <v>54</v>
      </c>
      <c r="U514" s="68" t="s">
        <v>55</v>
      </c>
      <c r="V514" s="68" t="s">
        <v>38</v>
      </c>
      <c r="W514" s="68" t="s">
        <v>35</v>
      </c>
      <c r="X514" s="68" t="s">
        <v>35</v>
      </c>
      <c r="Y514" s="68" t="s">
        <v>35</v>
      </c>
      <c r="Z514" s="68" t="b">
        <v>0</v>
      </c>
      <c r="AA514" s="68" t="s">
        <v>35</v>
      </c>
      <c r="AB514" s="68" t="s">
        <v>35</v>
      </c>
      <c r="AC514" s="68" t="s">
        <v>35</v>
      </c>
      <c r="AD514" s="68" t="s">
        <v>35</v>
      </c>
      <c r="AE514" s="68" t="s">
        <v>1464</v>
      </c>
      <c r="AF514" s="69">
        <v>44747.425694386577</v>
      </c>
      <c r="AG514" s="71"/>
      <c r="AH514" s="71" t="b">
        <f t="shared" si="22"/>
        <v>0</v>
      </c>
      <c r="AI514" s="56" t="str" cm="1">
        <f t="array" ref="AI514">TRANSPOSE(_xlfn._xlws.FILTER(images!L:L,images!F:F=Barrierenmessung!A514, ""))</f>
        <v/>
      </c>
      <c r="AJ514" s="68"/>
      <c r="AK514" s="68"/>
      <c r="AL514" s="68"/>
      <c r="AM514" s="68"/>
      <c r="AN514" s="68"/>
    </row>
    <row r="515" spans="1:40" ht="16" x14ac:dyDescent="0.2">
      <c r="A515" s="2" t="s">
        <v>1689</v>
      </c>
      <c r="B515" s="46">
        <v>514</v>
      </c>
      <c r="C515" s="2" t="b">
        <v>0</v>
      </c>
      <c r="D515" s="2" t="b">
        <v>0</v>
      </c>
      <c r="E515" s="2" t="b">
        <v>0</v>
      </c>
      <c r="F515" s="2" t="b">
        <v>0</v>
      </c>
      <c r="G515" s="2" t="s">
        <v>31</v>
      </c>
      <c r="H515" s="2" t="s">
        <v>1690</v>
      </c>
      <c r="I515" s="2" t="s">
        <v>1691</v>
      </c>
      <c r="J515" s="2" t="s">
        <v>35</v>
      </c>
      <c r="K515" s="2" t="s">
        <v>35</v>
      </c>
      <c r="L515" s="2" t="s">
        <v>35</v>
      </c>
      <c r="M515" s="2">
        <v>20</v>
      </c>
      <c r="N515" s="2">
        <v>15</v>
      </c>
      <c r="O515" s="11">
        <v>44747.508656701386</v>
      </c>
      <c r="P515" s="11">
        <v>44747.509025740743</v>
      </c>
      <c r="Q515" s="27">
        <f t="shared" si="24"/>
        <v>3.6903935688314959E-4</v>
      </c>
      <c r="R515" s="65">
        <f t="shared" si="23"/>
        <v>1.0167708387598395E-3</v>
      </c>
      <c r="S515" s="2">
        <v>0</v>
      </c>
      <c r="T515" s="2" t="s">
        <v>54</v>
      </c>
      <c r="U515" s="2" t="s">
        <v>55</v>
      </c>
      <c r="V515" s="2" t="s">
        <v>38</v>
      </c>
      <c r="W515" s="2" t="s">
        <v>35</v>
      </c>
      <c r="X515" s="2" t="s">
        <v>35</v>
      </c>
      <c r="Y515" s="2" t="s">
        <v>35</v>
      </c>
      <c r="Z515" s="2" t="b">
        <v>0</v>
      </c>
      <c r="AA515" s="2" t="s">
        <v>35</v>
      </c>
      <c r="AB515" s="2" t="s">
        <v>35</v>
      </c>
      <c r="AC515" s="2" t="s">
        <v>35</v>
      </c>
      <c r="AD515" s="2" t="s">
        <v>35</v>
      </c>
      <c r="AE515" s="2" t="s">
        <v>1464</v>
      </c>
      <c r="AF515" s="11">
        <v>44747.425694386577</v>
      </c>
      <c r="AG515" s="53"/>
      <c r="AH515" s="53" t="b">
        <f t="shared" ref="AH515:AH578" si="25">IF(Q515&lt;TIME(0,0,1),"TRUE")</f>
        <v>0</v>
      </c>
      <c r="AI515" s="54" t="str" cm="1">
        <f t="array" ref="AI515">TRANSPOSE(_xlfn._xlws.FILTER(images!L:L,images!F:F=Barrierenmessung!A515, ""))</f>
        <v>https://captureandgo.cloudlab.zhaw.ch/uploads/image_de46b9757d.jpg</v>
      </c>
      <c r="AJ515" s="2"/>
      <c r="AK515" s="2"/>
      <c r="AL515" s="2"/>
      <c r="AM515" s="2"/>
      <c r="AN515" s="2"/>
    </row>
    <row r="516" spans="1:40" ht="16" x14ac:dyDescent="0.2">
      <c r="A516" s="2" t="s">
        <v>1692</v>
      </c>
      <c r="B516" s="46">
        <v>515</v>
      </c>
      <c r="C516" s="2" t="b">
        <v>0</v>
      </c>
      <c r="D516" s="2" t="b">
        <v>0</v>
      </c>
      <c r="E516" s="2" t="b">
        <v>0</v>
      </c>
      <c r="F516" s="2" t="b">
        <v>0</v>
      </c>
      <c r="G516" s="2" t="s">
        <v>31</v>
      </c>
      <c r="H516" s="2" t="s">
        <v>1693</v>
      </c>
      <c r="I516" s="2" t="s">
        <v>1694</v>
      </c>
      <c r="J516" s="2" t="s">
        <v>1594</v>
      </c>
      <c r="K516" s="2" t="s">
        <v>35</v>
      </c>
      <c r="L516" s="2" t="s">
        <v>35</v>
      </c>
      <c r="M516" s="2" t="s">
        <v>35</v>
      </c>
      <c r="N516" s="2" t="s">
        <v>35</v>
      </c>
      <c r="O516" s="11">
        <v>44747.50967107639</v>
      </c>
      <c r="P516" s="11">
        <v>44747.510113923614</v>
      </c>
      <c r="Q516" s="27">
        <f t="shared" si="24"/>
        <v>4.4284722389420494E-4</v>
      </c>
      <c r="R516" s="65">
        <f t="shared" si="23"/>
        <v>1.088182871171739E-3</v>
      </c>
      <c r="S516" s="2">
        <v>0</v>
      </c>
      <c r="T516" s="2" t="s">
        <v>36</v>
      </c>
      <c r="U516" s="2" t="s">
        <v>37</v>
      </c>
      <c r="V516" s="2" t="s">
        <v>38</v>
      </c>
      <c r="W516" s="2" t="s">
        <v>35</v>
      </c>
      <c r="X516" s="2" t="s">
        <v>35</v>
      </c>
      <c r="Y516" s="2" t="s">
        <v>35</v>
      </c>
      <c r="Z516" s="2" t="b">
        <v>0</v>
      </c>
      <c r="AA516" s="2" t="s">
        <v>35</v>
      </c>
      <c r="AB516" s="2" t="s">
        <v>35</v>
      </c>
      <c r="AC516" s="2">
        <v>7</v>
      </c>
      <c r="AD516" s="2" t="s">
        <v>35</v>
      </c>
      <c r="AE516" s="2" t="s">
        <v>1464</v>
      </c>
      <c r="AF516" s="11">
        <v>44747.425694386577</v>
      </c>
      <c r="AG516" s="53"/>
      <c r="AH516" s="53" t="b">
        <f t="shared" si="25"/>
        <v>0</v>
      </c>
      <c r="AI516" s="54" t="str" cm="1">
        <f t="array" ref="AI516">TRANSPOSE(_xlfn._xlws.FILTER(images!L:L,images!F:F=Barrierenmessung!A516, ""))</f>
        <v>https://captureandgo.cloudlab.zhaw.ch/uploads/image_bf9cccdb30.jpg</v>
      </c>
      <c r="AJ516" s="2"/>
      <c r="AK516" s="2"/>
      <c r="AL516" s="2"/>
      <c r="AM516" s="2"/>
      <c r="AN516" s="2"/>
    </row>
    <row r="517" spans="1:40" ht="16" x14ac:dyDescent="0.2">
      <c r="A517" s="2" t="s">
        <v>1695</v>
      </c>
      <c r="B517" s="46">
        <v>516</v>
      </c>
      <c r="C517" s="2" t="b">
        <v>0</v>
      </c>
      <c r="D517" s="2" t="b">
        <v>0</v>
      </c>
      <c r="E517" s="2" t="b">
        <v>0</v>
      </c>
      <c r="F517" s="2" t="b">
        <v>0</v>
      </c>
      <c r="G517" s="2" t="s">
        <v>31</v>
      </c>
      <c r="H517" s="2" t="s">
        <v>1696</v>
      </c>
      <c r="I517" s="2" t="s">
        <v>1697</v>
      </c>
      <c r="J517" s="2" t="s">
        <v>35</v>
      </c>
      <c r="K517" s="2" t="s">
        <v>35</v>
      </c>
      <c r="L517" s="2" t="s">
        <v>35</v>
      </c>
      <c r="M517" s="2">
        <v>33</v>
      </c>
      <c r="N517" s="2">
        <v>15</v>
      </c>
      <c r="O517" s="11">
        <v>44747.511014502314</v>
      </c>
      <c r="P517" s="11">
        <v>44747.511513020836</v>
      </c>
      <c r="Q517" s="27">
        <f t="shared" si="24"/>
        <v>4.9851852236315608E-4</v>
      </c>
      <c r="R517" s="65">
        <f t="shared" ref="R517:R580" si="26">MIN(P517-P516, P517-AF517)</f>
        <v>1.3990972220199183E-3</v>
      </c>
      <c r="S517" s="2">
        <v>0</v>
      </c>
      <c r="T517" s="2" t="s">
        <v>54</v>
      </c>
      <c r="U517" s="2" t="s">
        <v>55</v>
      </c>
      <c r="V517" s="2" t="s">
        <v>38</v>
      </c>
      <c r="W517" s="2" t="s">
        <v>35</v>
      </c>
      <c r="X517" s="2" t="s">
        <v>35</v>
      </c>
      <c r="Y517" s="2" t="s">
        <v>35</v>
      </c>
      <c r="Z517" s="2" t="b">
        <v>0</v>
      </c>
      <c r="AA517" s="2" t="s">
        <v>35</v>
      </c>
      <c r="AB517" s="2" t="s">
        <v>35</v>
      </c>
      <c r="AC517" s="2" t="s">
        <v>35</v>
      </c>
      <c r="AD517" s="2" t="s">
        <v>35</v>
      </c>
      <c r="AE517" s="2" t="s">
        <v>1464</v>
      </c>
      <c r="AF517" s="11">
        <v>44747.425694386577</v>
      </c>
      <c r="AG517" s="53"/>
      <c r="AH517" s="53" t="b">
        <f t="shared" si="25"/>
        <v>0</v>
      </c>
      <c r="AI517" s="54" t="str" cm="1">
        <f t="array" ref="AI517">TRANSPOSE(_xlfn._xlws.FILTER(images!L:L,images!F:F=Barrierenmessung!A517, ""))</f>
        <v>https://captureandgo.cloudlab.zhaw.ch/uploads/image_c86d3ae718.jpg</v>
      </c>
      <c r="AJ517" s="2"/>
      <c r="AK517" s="2"/>
      <c r="AL517" s="2"/>
      <c r="AM517" s="2"/>
      <c r="AN517" s="2"/>
    </row>
    <row r="518" spans="1:40" ht="16" x14ac:dyDescent="0.2">
      <c r="A518" s="2" t="s">
        <v>1698</v>
      </c>
      <c r="B518" s="46">
        <v>517</v>
      </c>
      <c r="C518" s="2" t="b">
        <v>0</v>
      </c>
      <c r="D518" s="2" t="b">
        <v>0</v>
      </c>
      <c r="E518" s="2" t="b">
        <v>0</v>
      </c>
      <c r="F518" s="2" t="b">
        <v>0</v>
      </c>
      <c r="G518" s="2" t="s">
        <v>31</v>
      </c>
      <c r="H518" s="2" t="s">
        <v>1699</v>
      </c>
      <c r="I518" s="2" t="s">
        <v>1700</v>
      </c>
      <c r="J518" s="2" t="s">
        <v>1701</v>
      </c>
      <c r="K518" s="2" t="s">
        <v>35</v>
      </c>
      <c r="L518" s="2" t="s">
        <v>35</v>
      </c>
      <c r="M518" s="2" t="s">
        <v>35</v>
      </c>
      <c r="N518" s="2" t="s">
        <v>35</v>
      </c>
      <c r="O518" s="11">
        <v>44747.511779976849</v>
      </c>
      <c r="P518" s="11">
        <v>44747.512042002316</v>
      </c>
      <c r="Q518" s="27">
        <f t="shared" si="24"/>
        <v>2.6202546723652631E-4</v>
      </c>
      <c r="R518" s="65">
        <f t="shared" si="26"/>
        <v>5.2898147987434641E-4</v>
      </c>
      <c r="S518" s="2">
        <v>0</v>
      </c>
      <c r="T518" s="2" t="s">
        <v>54</v>
      </c>
      <c r="U518" s="2" t="s">
        <v>55</v>
      </c>
      <c r="V518" s="2" t="s">
        <v>38</v>
      </c>
      <c r="W518" s="2" t="s">
        <v>35</v>
      </c>
      <c r="X518" s="2" t="s">
        <v>35</v>
      </c>
      <c r="Y518" s="2" t="s">
        <v>35</v>
      </c>
      <c r="Z518" s="2" t="b">
        <v>0</v>
      </c>
      <c r="AA518" s="2" t="s">
        <v>35</v>
      </c>
      <c r="AB518" s="2" t="s">
        <v>35</v>
      </c>
      <c r="AC518" s="2" t="s">
        <v>35</v>
      </c>
      <c r="AD518" s="2" t="s">
        <v>35</v>
      </c>
      <c r="AE518" s="2" t="s">
        <v>1464</v>
      </c>
      <c r="AF518" s="11">
        <v>44747.425694386577</v>
      </c>
      <c r="AG518" s="53"/>
      <c r="AH518" s="53" t="b">
        <f t="shared" si="25"/>
        <v>0</v>
      </c>
      <c r="AI518" s="54" t="str" cm="1">
        <f t="array" ref="AI518">TRANSPOSE(_xlfn._xlws.FILTER(images!L:L,images!F:F=Barrierenmessung!A518, ""))</f>
        <v>https://captureandgo.cloudlab.zhaw.ch/uploads/image_92af603b5a.jpg</v>
      </c>
      <c r="AJ518" s="2"/>
      <c r="AK518" s="2"/>
      <c r="AL518" s="2"/>
      <c r="AM518" s="2"/>
      <c r="AN518" s="2"/>
    </row>
    <row r="519" spans="1:40" ht="16" x14ac:dyDescent="0.2">
      <c r="A519" s="2" t="s">
        <v>1702</v>
      </c>
      <c r="B519" s="46">
        <v>518</v>
      </c>
      <c r="C519" s="2" t="b">
        <v>0</v>
      </c>
      <c r="D519" s="2" t="b">
        <v>0</v>
      </c>
      <c r="E519" s="2" t="b">
        <v>0</v>
      </c>
      <c r="F519" s="2" t="b">
        <v>0</v>
      </c>
      <c r="G519" s="2" t="s">
        <v>31</v>
      </c>
      <c r="H519" s="2" t="s">
        <v>1703</v>
      </c>
      <c r="I519" s="2" t="s">
        <v>1704</v>
      </c>
      <c r="J519" s="2" t="s">
        <v>35</v>
      </c>
      <c r="K519" s="2" t="s">
        <v>35</v>
      </c>
      <c r="L519" s="2" t="s">
        <v>35</v>
      </c>
      <c r="M519" s="2">
        <v>35</v>
      </c>
      <c r="N519" s="2">
        <v>15</v>
      </c>
      <c r="O519" s="11">
        <v>44747.512185960652</v>
      </c>
      <c r="P519" s="11">
        <v>44747.51273519676</v>
      </c>
      <c r="Q519" s="27">
        <f t="shared" si="24"/>
        <v>5.4923610878176987E-4</v>
      </c>
      <c r="R519" s="65">
        <f t="shared" si="26"/>
        <v>6.931944444659166E-4</v>
      </c>
      <c r="S519" s="2">
        <v>0</v>
      </c>
      <c r="T519" s="2" t="s">
        <v>54</v>
      </c>
      <c r="U519" s="2" t="s">
        <v>55</v>
      </c>
      <c r="V519" s="2" t="s">
        <v>38</v>
      </c>
      <c r="W519" s="2" t="s">
        <v>35</v>
      </c>
      <c r="X519" s="2" t="s">
        <v>35</v>
      </c>
      <c r="Y519" s="2" t="s">
        <v>35</v>
      </c>
      <c r="Z519" s="2" t="b">
        <v>0</v>
      </c>
      <c r="AA519" s="2" t="s">
        <v>35</v>
      </c>
      <c r="AB519" s="2" t="s">
        <v>35</v>
      </c>
      <c r="AC519" s="2" t="s">
        <v>35</v>
      </c>
      <c r="AD519" s="2" t="s">
        <v>35</v>
      </c>
      <c r="AE519" s="2" t="s">
        <v>1464</v>
      </c>
      <c r="AF519" s="11">
        <v>44747.425694386577</v>
      </c>
      <c r="AG519" s="53"/>
      <c r="AH519" s="53" t="b">
        <f t="shared" si="25"/>
        <v>0</v>
      </c>
      <c r="AI519" s="54" t="str" cm="1">
        <f t="array" ref="AI519">TRANSPOSE(_xlfn._xlws.FILTER(images!L:L,images!F:F=Barrierenmessung!A519, ""))</f>
        <v>https://captureandgo.cloudlab.zhaw.ch/uploads/image_5a5b88b2cf.jpg</v>
      </c>
      <c r="AJ519" s="2"/>
      <c r="AK519" s="2"/>
      <c r="AL519" s="2"/>
      <c r="AM519" s="2"/>
      <c r="AN519" s="2"/>
    </row>
    <row r="520" spans="1:40" ht="16" x14ac:dyDescent="0.2">
      <c r="A520" s="2" t="s">
        <v>1705</v>
      </c>
      <c r="B520" s="46">
        <v>519</v>
      </c>
      <c r="C520" s="2" t="b">
        <v>0</v>
      </c>
      <c r="D520" s="2" t="b">
        <v>0</v>
      </c>
      <c r="E520" s="2" t="b">
        <v>0</v>
      </c>
      <c r="F520" s="2" t="b">
        <v>0</v>
      </c>
      <c r="G520" s="2" t="s">
        <v>31</v>
      </c>
      <c r="H520" s="2" t="s">
        <v>1706</v>
      </c>
      <c r="I520" s="2" t="s">
        <v>1707</v>
      </c>
      <c r="J520" s="2" t="s">
        <v>35</v>
      </c>
      <c r="K520" s="2" t="s">
        <v>35</v>
      </c>
      <c r="L520" s="2" t="s">
        <v>35</v>
      </c>
      <c r="M520" s="2">
        <v>34</v>
      </c>
      <c r="N520" s="2">
        <v>15</v>
      </c>
      <c r="O520" s="11">
        <v>44747.513038877318</v>
      </c>
      <c r="P520" s="11">
        <v>44747.513443425923</v>
      </c>
      <c r="Q520" s="27">
        <f t="shared" si="24"/>
        <v>4.0454860572936013E-4</v>
      </c>
      <c r="R520" s="65">
        <f t="shared" si="26"/>
        <v>7.0822916313773021E-4</v>
      </c>
      <c r="S520" s="2">
        <v>0</v>
      </c>
      <c r="T520" s="2" t="s">
        <v>54</v>
      </c>
      <c r="U520" s="2" t="s">
        <v>55</v>
      </c>
      <c r="V520" s="2" t="s">
        <v>38</v>
      </c>
      <c r="W520" s="2" t="s">
        <v>35</v>
      </c>
      <c r="X520" s="2" t="s">
        <v>35</v>
      </c>
      <c r="Y520" s="2" t="s">
        <v>35</v>
      </c>
      <c r="Z520" s="2" t="b">
        <v>0</v>
      </c>
      <c r="AA520" s="2" t="s">
        <v>35</v>
      </c>
      <c r="AB520" s="2" t="s">
        <v>35</v>
      </c>
      <c r="AC520" s="2" t="s">
        <v>35</v>
      </c>
      <c r="AD520" s="2" t="s">
        <v>35</v>
      </c>
      <c r="AE520" s="2" t="s">
        <v>1464</v>
      </c>
      <c r="AF520" s="11">
        <v>44747.425694386577</v>
      </c>
      <c r="AG520" s="53"/>
      <c r="AH520" s="53" t="b">
        <f t="shared" si="25"/>
        <v>0</v>
      </c>
      <c r="AI520" s="54" t="str" cm="1">
        <f t="array" ref="AI520">TRANSPOSE(_xlfn._xlws.FILTER(images!L:L,images!F:F=Barrierenmessung!A520, ""))</f>
        <v>https://captureandgo.cloudlab.zhaw.ch/uploads/image_924fb67925.jpg</v>
      </c>
      <c r="AJ520" s="2"/>
      <c r="AK520" s="2"/>
      <c r="AL520" s="2"/>
      <c r="AM520" s="2"/>
      <c r="AN520" s="2"/>
    </row>
    <row r="521" spans="1:40" ht="16" x14ac:dyDescent="0.2">
      <c r="A521" s="2" t="s">
        <v>1708</v>
      </c>
      <c r="B521" s="46">
        <v>520</v>
      </c>
      <c r="C521" s="2" t="b">
        <v>0</v>
      </c>
      <c r="D521" s="2" t="b">
        <v>0</v>
      </c>
      <c r="E521" s="2" t="b">
        <v>0</v>
      </c>
      <c r="F521" s="2" t="b">
        <v>0</v>
      </c>
      <c r="G521" s="2" t="s">
        <v>31</v>
      </c>
      <c r="H521" s="2" t="s">
        <v>1709</v>
      </c>
      <c r="I521" s="2" t="s">
        <v>1710</v>
      </c>
      <c r="J521" s="2" t="s">
        <v>1711</v>
      </c>
      <c r="K521" s="2" t="s">
        <v>35</v>
      </c>
      <c r="L521" s="2" t="s">
        <v>35</v>
      </c>
      <c r="M521" s="2" t="s">
        <v>35</v>
      </c>
      <c r="N521" s="2" t="s">
        <v>35</v>
      </c>
      <c r="O521" s="11">
        <v>44747.513507650459</v>
      </c>
      <c r="P521" s="11">
        <v>44747.513726516205</v>
      </c>
      <c r="Q521" s="27">
        <f t="shared" si="24"/>
        <v>2.1886574540985748E-4</v>
      </c>
      <c r="R521" s="65">
        <f t="shared" si="26"/>
        <v>2.8309028130024672E-4</v>
      </c>
      <c r="S521" s="2">
        <v>0</v>
      </c>
      <c r="T521" s="2" t="s">
        <v>54</v>
      </c>
      <c r="U521" s="2" t="s">
        <v>55</v>
      </c>
      <c r="V521" s="2" t="s">
        <v>38</v>
      </c>
      <c r="W521" s="2" t="s">
        <v>35</v>
      </c>
      <c r="X521" s="2" t="s">
        <v>35</v>
      </c>
      <c r="Y521" s="2" t="s">
        <v>35</v>
      </c>
      <c r="Z521" s="2" t="b">
        <v>0</v>
      </c>
      <c r="AA521" s="2" t="s">
        <v>35</v>
      </c>
      <c r="AB521" s="2" t="s">
        <v>35</v>
      </c>
      <c r="AC521" s="2" t="s">
        <v>35</v>
      </c>
      <c r="AD521" s="2" t="s">
        <v>35</v>
      </c>
      <c r="AE521" s="2" t="s">
        <v>1464</v>
      </c>
      <c r="AF521" s="11">
        <v>44747.425694386577</v>
      </c>
      <c r="AG521" s="53"/>
      <c r="AH521" s="53" t="b">
        <f t="shared" si="25"/>
        <v>0</v>
      </c>
      <c r="AI521" s="54" t="str" cm="1">
        <f t="array" ref="AI521">TRANSPOSE(_xlfn._xlws.FILTER(images!L:L,images!F:F=Barrierenmessung!A521, ""))</f>
        <v>https://captureandgo.cloudlab.zhaw.ch/uploads/image_bea4a917d9.jpg</v>
      </c>
      <c r="AJ521" s="2"/>
      <c r="AK521" s="2"/>
      <c r="AL521" s="2"/>
      <c r="AM521" s="2"/>
      <c r="AN521" s="2"/>
    </row>
    <row r="522" spans="1:40" ht="16" x14ac:dyDescent="0.2">
      <c r="A522" s="2" t="s">
        <v>1712</v>
      </c>
      <c r="B522" s="46">
        <v>521</v>
      </c>
      <c r="C522" s="2" t="b">
        <v>0</v>
      </c>
      <c r="D522" s="2" t="b">
        <v>0</v>
      </c>
      <c r="E522" s="2" t="b">
        <v>0</v>
      </c>
      <c r="F522" s="2" t="b">
        <v>0</v>
      </c>
      <c r="G522" s="2" t="s">
        <v>31</v>
      </c>
      <c r="H522" s="2" t="s">
        <v>1713</v>
      </c>
      <c r="I522" s="2" t="s">
        <v>1714</v>
      </c>
      <c r="J522" s="2" t="s">
        <v>1711</v>
      </c>
      <c r="K522" s="2" t="s">
        <v>35</v>
      </c>
      <c r="L522" s="2" t="s">
        <v>35</v>
      </c>
      <c r="M522" s="2" t="s">
        <v>35</v>
      </c>
      <c r="N522" s="2" t="s">
        <v>35</v>
      </c>
      <c r="O522" s="11">
        <v>44747.514469768517</v>
      </c>
      <c r="P522" s="11">
        <v>44747.51461096065</v>
      </c>
      <c r="Q522" s="27">
        <f t="shared" si="24"/>
        <v>1.4119213301455602E-4</v>
      </c>
      <c r="R522" s="65">
        <f t="shared" si="26"/>
        <v>8.8444444554625079E-4</v>
      </c>
      <c r="S522" s="2">
        <v>0</v>
      </c>
      <c r="T522" s="2" t="s">
        <v>54</v>
      </c>
      <c r="U522" s="2" t="s">
        <v>55</v>
      </c>
      <c r="V522" s="2" t="s">
        <v>38</v>
      </c>
      <c r="W522" s="2" t="s">
        <v>35</v>
      </c>
      <c r="X522" s="2" t="s">
        <v>35</v>
      </c>
      <c r="Y522" s="2" t="s">
        <v>35</v>
      </c>
      <c r="Z522" s="2" t="b">
        <v>0</v>
      </c>
      <c r="AA522" s="2" t="s">
        <v>35</v>
      </c>
      <c r="AB522" s="2" t="s">
        <v>35</v>
      </c>
      <c r="AC522" s="2" t="s">
        <v>35</v>
      </c>
      <c r="AD522" s="2" t="s">
        <v>35</v>
      </c>
      <c r="AE522" s="2" t="s">
        <v>1464</v>
      </c>
      <c r="AF522" s="11">
        <v>44747.425694386577</v>
      </c>
      <c r="AG522" s="53"/>
      <c r="AH522" s="53" t="b">
        <f t="shared" si="25"/>
        <v>0</v>
      </c>
      <c r="AI522" s="54" t="str" cm="1">
        <f t="array" ref="AI522">TRANSPOSE(_xlfn._xlws.FILTER(images!L:L,images!F:F=Barrierenmessung!A522, ""))</f>
        <v>https://captureandgo.cloudlab.zhaw.ch/uploads/image_79cac3a1b5.jpg</v>
      </c>
      <c r="AJ522" s="2"/>
      <c r="AK522" s="2"/>
      <c r="AL522" s="2"/>
      <c r="AM522" s="2"/>
      <c r="AN522" s="2"/>
    </row>
    <row r="523" spans="1:40" ht="16" x14ac:dyDescent="0.2">
      <c r="A523" s="2" t="s">
        <v>1715</v>
      </c>
      <c r="B523" s="46">
        <v>522</v>
      </c>
      <c r="C523" s="2" t="b">
        <v>0</v>
      </c>
      <c r="D523" s="2" t="b">
        <v>0</v>
      </c>
      <c r="E523" s="2" t="b">
        <v>0</v>
      </c>
      <c r="F523" s="2" t="b">
        <v>0</v>
      </c>
      <c r="G523" s="2" t="s">
        <v>31</v>
      </c>
      <c r="H523" s="2" t="s">
        <v>1716</v>
      </c>
      <c r="I523" s="2" t="s">
        <v>1717</v>
      </c>
      <c r="J523" s="2" t="s">
        <v>35</v>
      </c>
      <c r="K523" s="2" t="s">
        <v>35</v>
      </c>
      <c r="L523" s="2" t="s">
        <v>35</v>
      </c>
      <c r="M523" s="2">
        <v>35</v>
      </c>
      <c r="N523" s="2">
        <v>15</v>
      </c>
      <c r="O523" s="11">
        <v>44747.514665208335</v>
      </c>
      <c r="P523" s="11">
        <v>44747.515119398151</v>
      </c>
      <c r="Q523" s="27">
        <f t="shared" si="24"/>
        <v>4.5418981608236209E-4</v>
      </c>
      <c r="R523" s="65">
        <f t="shared" si="26"/>
        <v>5.0843750068452209E-4</v>
      </c>
      <c r="S523" s="2">
        <v>0</v>
      </c>
      <c r="T523" s="2" t="s">
        <v>54</v>
      </c>
      <c r="U523" s="2" t="s">
        <v>55</v>
      </c>
      <c r="V523" s="2" t="s">
        <v>38</v>
      </c>
      <c r="W523" s="2" t="s">
        <v>35</v>
      </c>
      <c r="X523" s="2" t="s">
        <v>35</v>
      </c>
      <c r="Y523" s="2" t="s">
        <v>35</v>
      </c>
      <c r="Z523" s="2" t="b">
        <v>0</v>
      </c>
      <c r="AA523" s="2" t="s">
        <v>35</v>
      </c>
      <c r="AB523" s="2" t="s">
        <v>35</v>
      </c>
      <c r="AC523" s="2" t="s">
        <v>35</v>
      </c>
      <c r="AD523" s="2" t="s">
        <v>35</v>
      </c>
      <c r="AE523" s="2" t="s">
        <v>1464</v>
      </c>
      <c r="AF523" s="11">
        <v>44747.425694386577</v>
      </c>
      <c r="AG523" s="53"/>
      <c r="AH523" s="53" t="b">
        <f t="shared" si="25"/>
        <v>0</v>
      </c>
      <c r="AI523" s="54" t="str" cm="1">
        <f t="array" ref="AI523">TRANSPOSE(_xlfn._xlws.FILTER(images!L:L,images!F:F=Barrierenmessung!A523, ""))</f>
        <v>https://captureandgo.cloudlab.zhaw.ch/uploads/image_c77e880f3c.jpg</v>
      </c>
      <c r="AJ523" s="2"/>
      <c r="AK523" s="2"/>
      <c r="AL523" s="2"/>
      <c r="AM523" s="2"/>
      <c r="AN523" s="2"/>
    </row>
    <row r="524" spans="1:40" ht="16" x14ac:dyDescent="0.2">
      <c r="A524" s="2" t="s">
        <v>1718</v>
      </c>
      <c r="B524" s="46">
        <v>523</v>
      </c>
      <c r="C524" s="2" t="b">
        <v>0</v>
      </c>
      <c r="D524" s="2" t="b">
        <v>0</v>
      </c>
      <c r="E524" s="2" t="b">
        <v>0</v>
      </c>
      <c r="F524" s="2" t="b">
        <v>0</v>
      </c>
      <c r="G524" s="2" t="s">
        <v>31</v>
      </c>
      <c r="H524" s="2" t="s">
        <v>1719</v>
      </c>
      <c r="I524" s="2" t="s">
        <v>1720</v>
      </c>
      <c r="J524" s="2" t="s">
        <v>35</v>
      </c>
      <c r="K524" s="2" t="s">
        <v>35</v>
      </c>
      <c r="L524" s="2" t="s">
        <v>35</v>
      </c>
      <c r="M524" s="2">
        <v>36</v>
      </c>
      <c r="N524" s="2">
        <v>15</v>
      </c>
      <c r="O524" s="11">
        <v>44747.515671643516</v>
      </c>
      <c r="P524" s="11">
        <v>44747.516114571757</v>
      </c>
      <c r="Q524" s="27">
        <f t="shared" si="24"/>
        <v>4.4292824168223888E-4</v>
      </c>
      <c r="R524" s="65">
        <f t="shared" si="26"/>
        <v>9.9517360649770126E-4</v>
      </c>
      <c r="S524" s="2">
        <v>0</v>
      </c>
      <c r="T524" s="2" t="s">
        <v>54</v>
      </c>
      <c r="U524" s="2" t="s">
        <v>55</v>
      </c>
      <c r="V524" s="2" t="s">
        <v>38</v>
      </c>
      <c r="W524" s="2" t="s">
        <v>35</v>
      </c>
      <c r="X524" s="2" t="s">
        <v>35</v>
      </c>
      <c r="Y524" s="2" t="s">
        <v>35</v>
      </c>
      <c r="Z524" s="2" t="b">
        <v>0</v>
      </c>
      <c r="AA524" s="2" t="s">
        <v>35</v>
      </c>
      <c r="AB524" s="2" t="s">
        <v>35</v>
      </c>
      <c r="AC524" s="2" t="s">
        <v>35</v>
      </c>
      <c r="AD524" s="2" t="s">
        <v>35</v>
      </c>
      <c r="AE524" s="2" t="s">
        <v>1464</v>
      </c>
      <c r="AF524" s="11">
        <v>44747.425694386577</v>
      </c>
      <c r="AG524" s="53"/>
      <c r="AH524" s="53" t="b">
        <f t="shared" si="25"/>
        <v>0</v>
      </c>
      <c r="AI524" s="54" t="str" cm="1">
        <f t="array" ref="AI524">TRANSPOSE(_xlfn._xlws.FILTER(images!L:L,images!F:F=Barrierenmessung!A524, ""))</f>
        <v>https://captureandgo.cloudlab.zhaw.ch/uploads/image_9c66ff7236.jpg</v>
      </c>
      <c r="AJ524" s="2"/>
      <c r="AK524" s="2"/>
      <c r="AL524" s="2"/>
      <c r="AM524" s="2"/>
      <c r="AN524" s="2"/>
    </row>
    <row r="525" spans="1:40" ht="16" x14ac:dyDescent="0.2">
      <c r="A525" s="2" t="s">
        <v>1721</v>
      </c>
      <c r="B525" s="46">
        <v>524</v>
      </c>
      <c r="C525" s="2" t="b">
        <v>0</v>
      </c>
      <c r="D525" s="2" t="b">
        <v>0</v>
      </c>
      <c r="E525" s="2" t="b">
        <v>0</v>
      </c>
      <c r="F525" s="2" t="b">
        <v>0</v>
      </c>
      <c r="G525" s="2" t="s">
        <v>31</v>
      </c>
      <c r="H525" s="2" t="s">
        <v>1722</v>
      </c>
      <c r="I525" s="2" t="s">
        <v>1720</v>
      </c>
      <c r="J525" s="2" t="s">
        <v>1711</v>
      </c>
      <c r="K525" s="2" t="s">
        <v>35</v>
      </c>
      <c r="L525" s="2" t="s">
        <v>35</v>
      </c>
      <c r="M525" s="2" t="s">
        <v>35</v>
      </c>
      <c r="N525" s="2" t="s">
        <v>35</v>
      </c>
      <c r="O525" s="11">
        <v>44747.516166412039</v>
      </c>
      <c r="P525" s="11">
        <v>44747.516360358793</v>
      </c>
      <c r="Q525" s="27">
        <f t="shared" si="24"/>
        <v>1.9394675473449752E-4</v>
      </c>
      <c r="R525" s="65">
        <f t="shared" si="26"/>
        <v>2.4578703596489504E-4</v>
      </c>
      <c r="S525" s="2">
        <v>0</v>
      </c>
      <c r="T525" s="2" t="s">
        <v>54</v>
      </c>
      <c r="U525" s="2" t="s">
        <v>55</v>
      </c>
      <c r="V525" s="2" t="s">
        <v>38</v>
      </c>
      <c r="W525" s="2" t="s">
        <v>35</v>
      </c>
      <c r="X525" s="2" t="s">
        <v>35</v>
      </c>
      <c r="Y525" s="2" t="s">
        <v>35</v>
      </c>
      <c r="Z525" s="2" t="b">
        <v>0</v>
      </c>
      <c r="AA525" s="2" t="s">
        <v>35</v>
      </c>
      <c r="AB525" s="2" t="s">
        <v>35</v>
      </c>
      <c r="AC525" s="2" t="s">
        <v>35</v>
      </c>
      <c r="AD525" s="2" t="s">
        <v>35</v>
      </c>
      <c r="AE525" s="2" t="s">
        <v>1464</v>
      </c>
      <c r="AF525" s="11">
        <v>44747.425694386577</v>
      </c>
      <c r="AG525" s="53"/>
      <c r="AH525" s="53" t="b">
        <f t="shared" si="25"/>
        <v>0</v>
      </c>
      <c r="AI525" s="54" t="str" cm="1">
        <f t="array" ref="AI525">TRANSPOSE(_xlfn._xlws.FILTER(images!L:L,images!F:F=Barrierenmessung!A525, ""))</f>
        <v>https://captureandgo.cloudlab.zhaw.ch/uploads/image_829f023702.jpg</v>
      </c>
      <c r="AJ525" s="2"/>
      <c r="AK525" s="2"/>
      <c r="AL525" s="2"/>
      <c r="AM525" s="2"/>
      <c r="AN525" s="2"/>
    </row>
    <row r="526" spans="1:40" ht="16" x14ac:dyDescent="0.2">
      <c r="A526" s="2" t="s">
        <v>1723</v>
      </c>
      <c r="B526" s="46">
        <v>525</v>
      </c>
      <c r="C526" s="2" t="b">
        <v>0</v>
      </c>
      <c r="D526" s="2" t="b">
        <v>0</v>
      </c>
      <c r="E526" s="2" t="b">
        <v>0</v>
      </c>
      <c r="F526" s="2" t="b">
        <v>0</v>
      </c>
      <c r="G526" s="2" t="s">
        <v>31</v>
      </c>
      <c r="H526" s="2" t="s">
        <v>1724</v>
      </c>
      <c r="I526" s="2" t="s">
        <v>1725</v>
      </c>
      <c r="J526" s="2" t="s">
        <v>35</v>
      </c>
      <c r="K526" s="2" t="s">
        <v>35</v>
      </c>
      <c r="L526" s="2" t="s">
        <v>35</v>
      </c>
      <c r="M526" s="2">
        <v>27</v>
      </c>
      <c r="N526" s="2">
        <v>15</v>
      </c>
      <c r="O526" s="11">
        <v>44747.516948078701</v>
      </c>
      <c r="P526" s="11">
        <v>44747.517542974536</v>
      </c>
      <c r="Q526" s="27">
        <f t="shared" si="24"/>
        <v>5.948958350927569E-4</v>
      </c>
      <c r="R526" s="65">
        <f t="shared" si="26"/>
        <v>1.1826157424366102E-3</v>
      </c>
      <c r="S526" s="2">
        <v>0</v>
      </c>
      <c r="T526" s="2" t="s">
        <v>54</v>
      </c>
      <c r="U526" s="2" t="s">
        <v>55</v>
      </c>
      <c r="V526" s="2" t="s">
        <v>38</v>
      </c>
      <c r="W526" s="2" t="s">
        <v>35</v>
      </c>
      <c r="X526" s="2" t="s">
        <v>35</v>
      </c>
      <c r="Y526" s="2" t="s">
        <v>35</v>
      </c>
      <c r="Z526" s="2" t="b">
        <v>0</v>
      </c>
      <c r="AA526" s="2" t="s">
        <v>35</v>
      </c>
      <c r="AB526" s="2" t="s">
        <v>35</v>
      </c>
      <c r="AC526" s="2" t="s">
        <v>35</v>
      </c>
      <c r="AD526" s="2" t="s">
        <v>35</v>
      </c>
      <c r="AE526" s="2" t="s">
        <v>1464</v>
      </c>
      <c r="AF526" s="11">
        <v>44747.425694386577</v>
      </c>
      <c r="AG526" s="53"/>
      <c r="AH526" s="53" t="b">
        <f t="shared" si="25"/>
        <v>0</v>
      </c>
      <c r="AI526" s="54" t="str" cm="1">
        <f t="array" ref="AI526">TRANSPOSE(_xlfn._xlws.FILTER(images!L:L,images!F:F=Barrierenmessung!A526, ""))</f>
        <v>https://captureandgo.cloudlab.zhaw.ch/uploads/image_cde6cfd24d.jpg</v>
      </c>
      <c r="AJ526" s="2"/>
      <c r="AK526" s="2"/>
      <c r="AL526" s="2"/>
      <c r="AM526" s="2"/>
      <c r="AN526" s="2"/>
    </row>
    <row r="527" spans="1:40" ht="16" x14ac:dyDescent="0.2">
      <c r="A527" s="2" t="s">
        <v>1726</v>
      </c>
      <c r="B527" s="46">
        <v>526</v>
      </c>
      <c r="C527" s="2" t="b">
        <v>0</v>
      </c>
      <c r="D527" s="2" t="b">
        <v>0</v>
      </c>
      <c r="E527" s="2" t="b">
        <v>0</v>
      </c>
      <c r="F527" s="2" t="b">
        <v>0</v>
      </c>
      <c r="G527" s="2" t="s">
        <v>31</v>
      </c>
      <c r="H527" s="2" t="s">
        <v>1727</v>
      </c>
      <c r="I527" s="2" t="s">
        <v>1728</v>
      </c>
      <c r="J527" s="2" t="s">
        <v>35</v>
      </c>
      <c r="K527" s="2" t="s">
        <v>35</v>
      </c>
      <c r="L527" s="2" t="s">
        <v>35</v>
      </c>
      <c r="M527" s="2">
        <v>28</v>
      </c>
      <c r="N527" s="2">
        <v>15</v>
      </c>
      <c r="O527" s="11">
        <v>44747.519116261574</v>
      </c>
      <c r="P527" s="11">
        <v>44747.519865138886</v>
      </c>
      <c r="Q527" s="27">
        <f t="shared" si="24"/>
        <v>7.4887731170747429E-4</v>
      </c>
      <c r="R527" s="65">
        <f t="shared" si="26"/>
        <v>2.322164349607192E-3</v>
      </c>
      <c r="S527" s="2">
        <v>0</v>
      </c>
      <c r="T527" s="2" t="s">
        <v>54</v>
      </c>
      <c r="U527" s="2" t="s">
        <v>55</v>
      </c>
      <c r="V527" s="2" t="s">
        <v>38</v>
      </c>
      <c r="W527" s="2" t="s">
        <v>35</v>
      </c>
      <c r="X527" s="2" t="s">
        <v>35</v>
      </c>
      <c r="Y527" s="2" t="s">
        <v>35</v>
      </c>
      <c r="Z527" s="2" t="b">
        <v>0</v>
      </c>
      <c r="AA527" s="2" t="s">
        <v>35</v>
      </c>
      <c r="AB527" s="2" t="s">
        <v>35</v>
      </c>
      <c r="AC527" s="2" t="s">
        <v>35</v>
      </c>
      <c r="AD527" s="2" t="s">
        <v>35</v>
      </c>
      <c r="AE527" s="2" t="s">
        <v>1464</v>
      </c>
      <c r="AF527" s="11">
        <v>44747.425694386577</v>
      </c>
      <c r="AG527" s="53"/>
      <c r="AH527" s="53" t="b">
        <f t="shared" si="25"/>
        <v>0</v>
      </c>
      <c r="AI527" s="54" t="str" cm="1">
        <f t="array" ref="AI527">TRANSPOSE(_xlfn._xlws.FILTER(images!L:L,images!F:F=Barrierenmessung!A527, ""))</f>
        <v>https://captureandgo.cloudlab.zhaw.ch/uploads/image_d7b853af6c.jpg</v>
      </c>
      <c r="AJ527" s="2"/>
      <c r="AK527" s="2"/>
      <c r="AL527" s="2"/>
      <c r="AM527" s="2"/>
      <c r="AN527" s="2"/>
    </row>
    <row r="528" spans="1:40" ht="16" x14ac:dyDescent="0.2">
      <c r="A528" s="2" t="s">
        <v>1729</v>
      </c>
      <c r="B528" s="46">
        <v>527</v>
      </c>
      <c r="C528" s="2" t="b">
        <v>0</v>
      </c>
      <c r="D528" s="2" t="b">
        <v>0</v>
      </c>
      <c r="E528" s="2" t="b">
        <v>0</v>
      </c>
      <c r="F528" s="2" t="b">
        <v>0</v>
      </c>
      <c r="G528" s="2" t="s">
        <v>31</v>
      </c>
      <c r="H528" s="2" t="s">
        <v>1730</v>
      </c>
      <c r="I528" s="2" t="s">
        <v>1731</v>
      </c>
      <c r="J528" s="2" t="s">
        <v>35</v>
      </c>
      <c r="K528" s="2" t="s">
        <v>35</v>
      </c>
      <c r="L528" s="2" t="s">
        <v>35</v>
      </c>
      <c r="M528" s="2">
        <v>37</v>
      </c>
      <c r="N528" s="2">
        <v>15</v>
      </c>
      <c r="O528" s="11">
        <v>44747.5199096875</v>
      </c>
      <c r="P528" s="11">
        <v>44747.520301331017</v>
      </c>
      <c r="Q528" s="27">
        <f t="shared" si="24"/>
        <v>3.9164351619547233E-4</v>
      </c>
      <c r="R528" s="65">
        <f t="shared" si="26"/>
        <v>4.361921310191974E-4</v>
      </c>
      <c r="S528" s="2">
        <v>0</v>
      </c>
      <c r="T528" s="2" t="s">
        <v>54</v>
      </c>
      <c r="U528" s="2" t="s">
        <v>55</v>
      </c>
      <c r="V528" s="2" t="s">
        <v>38</v>
      </c>
      <c r="W528" s="2" t="s">
        <v>35</v>
      </c>
      <c r="X528" s="2" t="s">
        <v>35</v>
      </c>
      <c r="Y528" s="2" t="s">
        <v>35</v>
      </c>
      <c r="Z528" s="2" t="b">
        <v>0</v>
      </c>
      <c r="AA528" s="2" t="s">
        <v>35</v>
      </c>
      <c r="AB528" s="2" t="s">
        <v>35</v>
      </c>
      <c r="AC528" s="2" t="s">
        <v>35</v>
      </c>
      <c r="AD528" s="2" t="s">
        <v>35</v>
      </c>
      <c r="AE528" s="2" t="s">
        <v>1464</v>
      </c>
      <c r="AF528" s="11">
        <v>44747.425694386577</v>
      </c>
      <c r="AG528" s="53"/>
      <c r="AH528" s="53" t="b">
        <f t="shared" si="25"/>
        <v>0</v>
      </c>
      <c r="AI528" s="54" t="str" cm="1">
        <f t="array" ref="AI528">TRANSPOSE(_xlfn._xlws.FILTER(images!L:L,images!F:F=Barrierenmessung!A528, ""))</f>
        <v>https://captureandgo.cloudlab.zhaw.ch/uploads/image_20066d765d.jpg</v>
      </c>
      <c r="AJ528" s="2"/>
      <c r="AK528" s="2"/>
      <c r="AL528" s="2"/>
      <c r="AM528" s="2"/>
      <c r="AN528" s="2"/>
    </row>
    <row r="529" spans="1:40" ht="16" x14ac:dyDescent="0.2">
      <c r="A529" s="2" t="s">
        <v>1732</v>
      </c>
      <c r="B529" s="46">
        <v>528</v>
      </c>
      <c r="C529" s="2" t="b">
        <v>0</v>
      </c>
      <c r="D529" s="2" t="b">
        <v>0</v>
      </c>
      <c r="E529" s="2" t="b">
        <v>0</v>
      </c>
      <c r="F529" s="2" t="b">
        <v>0</v>
      </c>
      <c r="G529" s="2" t="s">
        <v>31</v>
      </c>
      <c r="H529" s="2" t="s">
        <v>1733</v>
      </c>
      <c r="I529" s="2" t="s">
        <v>1734</v>
      </c>
      <c r="J529" s="2" t="s">
        <v>35</v>
      </c>
      <c r="K529" s="2" t="s">
        <v>35</v>
      </c>
      <c r="L529" s="2" t="s">
        <v>35</v>
      </c>
      <c r="M529" s="2">
        <v>19</v>
      </c>
      <c r="N529" s="2">
        <v>16</v>
      </c>
      <c r="O529" s="11">
        <v>44747.521550775462</v>
      </c>
      <c r="P529" s="11">
        <v>44747.522159490742</v>
      </c>
      <c r="Q529" s="27">
        <f t="shared" si="24"/>
        <v>6.087152796681039E-4</v>
      </c>
      <c r="R529" s="65">
        <f t="shared" si="26"/>
        <v>1.8581597250886261E-3</v>
      </c>
      <c r="S529" s="2">
        <v>0</v>
      </c>
      <c r="T529" s="2" t="s">
        <v>54</v>
      </c>
      <c r="U529" s="2" t="s">
        <v>55</v>
      </c>
      <c r="V529" s="2" t="s">
        <v>38</v>
      </c>
      <c r="W529" s="2" t="s">
        <v>35</v>
      </c>
      <c r="X529" s="2" t="s">
        <v>35</v>
      </c>
      <c r="Y529" s="2" t="s">
        <v>35</v>
      </c>
      <c r="Z529" s="2" t="b">
        <v>0</v>
      </c>
      <c r="AA529" s="2" t="s">
        <v>35</v>
      </c>
      <c r="AB529" s="2" t="s">
        <v>35</v>
      </c>
      <c r="AC529" s="2" t="s">
        <v>35</v>
      </c>
      <c r="AD529" s="2" t="s">
        <v>35</v>
      </c>
      <c r="AE529" s="2" t="s">
        <v>1464</v>
      </c>
      <c r="AF529" s="11">
        <v>44747.425694386577</v>
      </c>
      <c r="AG529" s="53"/>
      <c r="AH529" s="53" t="b">
        <f t="shared" si="25"/>
        <v>0</v>
      </c>
      <c r="AI529" s="54" t="str" cm="1">
        <f t="array" ref="AI529">TRANSPOSE(_xlfn._xlws.FILTER(images!L:L,images!F:F=Barrierenmessung!A529, ""))</f>
        <v>https://captureandgo.cloudlab.zhaw.ch/uploads/image_1ff66c9976.jpg</v>
      </c>
      <c r="AJ529" s="2"/>
      <c r="AK529" s="2"/>
      <c r="AL529" s="2"/>
      <c r="AM529" s="2"/>
      <c r="AN529" s="2"/>
    </row>
    <row r="530" spans="1:40" ht="16" x14ac:dyDescent="0.2">
      <c r="A530" s="2" t="s">
        <v>1735</v>
      </c>
      <c r="B530" s="46">
        <v>529</v>
      </c>
      <c r="C530" s="2" t="b">
        <v>0</v>
      </c>
      <c r="D530" s="2" t="b">
        <v>0</v>
      </c>
      <c r="E530" s="2" t="b">
        <v>0</v>
      </c>
      <c r="F530" s="2" t="b">
        <v>0</v>
      </c>
      <c r="G530" s="2" t="s">
        <v>31</v>
      </c>
      <c r="H530" s="2" t="s">
        <v>1736</v>
      </c>
      <c r="I530" s="2" t="s">
        <v>1737</v>
      </c>
      <c r="J530" s="2" t="s">
        <v>1738</v>
      </c>
      <c r="K530" s="2" t="s">
        <v>35</v>
      </c>
      <c r="L530" s="2" t="s">
        <v>35</v>
      </c>
      <c r="M530" s="2" t="s">
        <v>35</v>
      </c>
      <c r="N530" s="2" t="s">
        <v>35</v>
      </c>
      <c r="O530" s="11">
        <v>44747.52464452546</v>
      </c>
      <c r="P530" s="11">
        <v>44747.525009351855</v>
      </c>
      <c r="Q530" s="27">
        <f t="shared" si="24"/>
        <v>3.6482639552559704E-4</v>
      </c>
      <c r="R530" s="65">
        <f t="shared" si="26"/>
        <v>2.849861113645602E-3</v>
      </c>
      <c r="S530" s="2">
        <v>0</v>
      </c>
      <c r="T530" s="2" t="s">
        <v>36</v>
      </c>
      <c r="U530" s="2" t="s">
        <v>37</v>
      </c>
      <c r="V530" s="2" t="s">
        <v>38</v>
      </c>
      <c r="W530" s="2" t="s">
        <v>35</v>
      </c>
      <c r="X530" s="2" t="s">
        <v>35</v>
      </c>
      <c r="Y530" s="2" t="s">
        <v>35</v>
      </c>
      <c r="Z530" s="2" t="b">
        <v>0</v>
      </c>
      <c r="AA530" s="2" t="s">
        <v>35</v>
      </c>
      <c r="AB530" s="2" t="s">
        <v>35</v>
      </c>
      <c r="AC530" s="2">
        <v>12</v>
      </c>
      <c r="AD530" s="2">
        <v>4</v>
      </c>
      <c r="AE530" s="2" t="s">
        <v>1464</v>
      </c>
      <c r="AF530" s="11">
        <v>44747.425694386577</v>
      </c>
      <c r="AG530" s="53"/>
      <c r="AH530" s="53" t="b">
        <f t="shared" si="25"/>
        <v>0</v>
      </c>
      <c r="AI530" s="54" t="str" cm="1">
        <f t="array" ref="AI530">TRANSPOSE(_xlfn._xlws.FILTER(images!L:L,images!F:F=Barrierenmessung!A530, ""))</f>
        <v>https://captureandgo.cloudlab.zhaw.ch/uploads/image_e4101216b8.jpg</v>
      </c>
      <c r="AJ530" s="2"/>
      <c r="AK530" s="2"/>
      <c r="AL530" s="2"/>
      <c r="AM530" s="2"/>
      <c r="AN530" s="2"/>
    </row>
    <row r="531" spans="1:40" ht="16" x14ac:dyDescent="0.2">
      <c r="A531" s="2" t="s">
        <v>1739</v>
      </c>
      <c r="B531" s="46">
        <v>530</v>
      </c>
      <c r="C531" s="2" t="b">
        <v>0</v>
      </c>
      <c r="D531" s="2" t="b">
        <v>0</v>
      </c>
      <c r="E531" s="2" t="b">
        <v>0</v>
      </c>
      <c r="F531" s="2" t="b">
        <v>0</v>
      </c>
      <c r="G531" s="2" t="s">
        <v>31</v>
      </c>
      <c r="H531" s="2" t="s">
        <v>1740</v>
      </c>
      <c r="I531" s="2" t="s">
        <v>1741</v>
      </c>
      <c r="J531" s="2" t="s">
        <v>1742</v>
      </c>
      <c r="K531" s="2" t="s">
        <v>35</v>
      </c>
      <c r="L531" s="2" t="s">
        <v>35</v>
      </c>
      <c r="M531" s="2" t="s">
        <v>35</v>
      </c>
      <c r="N531" s="2" t="s">
        <v>35</v>
      </c>
      <c r="O531" s="11">
        <v>44747.525952372685</v>
      </c>
      <c r="P531" s="11">
        <v>44747.526260960651</v>
      </c>
      <c r="Q531" s="27">
        <f t="shared" si="24"/>
        <v>3.0858796526445076E-4</v>
      </c>
      <c r="R531" s="65">
        <f t="shared" si="26"/>
        <v>1.2516087954281829E-3</v>
      </c>
      <c r="S531" s="2">
        <v>0</v>
      </c>
      <c r="T531" s="2" t="s">
        <v>36</v>
      </c>
      <c r="U531" s="2" t="s">
        <v>37</v>
      </c>
      <c r="V531" s="2" t="s">
        <v>38</v>
      </c>
      <c r="W531" s="2" t="s">
        <v>35</v>
      </c>
      <c r="X531" s="2" t="s">
        <v>35</v>
      </c>
      <c r="Y531" s="2" t="s">
        <v>35</v>
      </c>
      <c r="Z531" s="2" t="b">
        <v>0</v>
      </c>
      <c r="AA531" s="2" t="s">
        <v>35</v>
      </c>
      <c r="AB531" s="2" t="s">
        <v>35</v>
      </c>
      <c r="AC531" s="2">
        <v>4</v>
      </c>
      <c r="AD531" s="2" t="s">
        <v>35</v>
      </c>
      <c r="AE531" s="2" t="s">
        <v>1464</v>
      </c>
      <c r="AF531" s="11">
        <v>44747.425694386577</v>
      </c>
      <c r="AG531" s="53"/>
      <c r="AH531" s="53" t="b">
        <f t="shared" si="25"/>
        <v>0</v>
      </c>
      <c r="AI531" s="54" t="str" cm="1">
        <f t="array" ref="AI531">TRANSPOSE(_xlfn._xlws.FILTER(images!L:L,images!F:F=Barrierenmessung!A531, ""))</f>
        <v>https://captureandgo.cloudlab.zhaw.ch/uploads/image_2a21b6a114.jpg</v>
      </c>
      <c r="AJ531" s="2"/>
      <c r="AK531" s="2"/>
      <c r="AL531" s="2"/>
      <c r="AM531" s="2"/>
      <c r="AN531" s="2"/>
    </row>
    <row r="532" spans="1:40" ht="16" x14ac:dyDescent="0.2">
      <c r="A532" s="2" t="s">
        <v>1743</v>
      </c>
      <c r="B532" s="46">
        <v>531</v>
      </c>
      <c r="C532" s="2" t="b">
        <v>0</v>
      </c>
      <c r="D532" s="2" t="b">
        <v>0</v>
      </c>
      <c r="E532" s="2" t="b">
        <v>0</v>
      </c>
      <c r="F532" s="2" t="b">
        <v>0</v>
      </c>
      <c r="G532" s="2" t="s">
        <v>31</v>
      </c>
      <c r="H532" s="2" t="s">
        <v>1744</v>
      </c>
      <c r="I532" s="2" t="s">
        <v>1745</v>
      </c>
      <c r="J532" s="2" t="s">
        <v>35</v>
      </c>
      <c r="K532" s="2" t="s">
        <v>35</v>
      </c>
      <c r="L532" s="2" t="s">
        <v>35</v>
      </c>
      <c r="M532" s="2" t="s">
        <v>35</v>
      </c>
      <c r="N532" s="2" t="s">
        <v>35</v>
      </c>
      <c r="O532" s="11">
        <v>44748.590499143516</v>
      </c>
      <c r="P532" s="11">
        <v>44748.590690625002</v>
      </c>
      <c r="Q532" s="27">
        <f t="shared" si="24"/>
        <v>1.9148148567182943E-4</v>
      </c>
      <c r="R532" s="65">
        <f t="shared" si="26"/>
        <v>3.1906250005704351E-3</v>
      </c>
      <c r="S532" s="2">
        <v>0</v>
      </c>
      <c r="T532" s="2" t="s">
        <v>36</v>
      </c>
      <c r="U532" s="2" t="s">
        <v>37</v>
      </c>
      <c r="V532" s="2" t="s">
        <v>38</v>
      </c>
      <c r="W532" s="2" t="s">
        <v>35</v>
      </c>
      <c r="X532" s="2" t="s">
        <v>35</v>
      </c>
      <c r="Y532" s="2" t="s">
        <v>35</v>
      </c>
      <c r="Z532" s="2" t="b">
        <v>0</v>
      </c>
      <c r="AA532" s="2" t="s">
        <v>35</v>
      </c>
      <c r="AB532" s="2" t="s">
        <v>35</v>
      </c>
      <c r="AC532" s="2" t="s">
        <v>35</v>
      </c>
      <c r="AD532" s="2">
        <v>2</v>
      </c>
      <c r="AE532" s="2" t="s">
        <v>941</v>
      </c>
      <c r="AF532" s="11">
        <v>44748.587500000001</v>
      </c>
      <c r="AG532" s="53"/>
      <c r="AH532" s="53" t="b">
        <f t="shared" si="25"/>
        <v>0</v>
      </c>
      <c r="AI532" s="54" t="str" cm="1">
        <f t="array" ref="AI532">TRANSPOSE(_xlfn._xlws.FILTER(images!L:L,images!F:F=Barrierenmessung!A532, ""))</f>
        <v>https://captureandgo.cloudlab.zhaw.ch/uploads/image_38bf99ba51.jpg</v>
      </c>
      <c r="AJ532" s="2"/>
      <c r="AK532" s="2"/>
      <c r="AL532" s="2"/>
      <c r="AM532" s="2"/>
      <c r="AN532" s="2"/>
    </row>
    <row r="533" spans="1:40" ht="16" x14ac:dyDescent="0.2">
      <c r="A533" s="2" t="s">
        <v>1746</v>
      </c>
      <c r="B533" s="46">
        <v>532</v>
      </c>
      <c r="C533" s="2" t="b">
        <v>0</v>
      </c>
      <c r="D533" s="2" t="b">
        <v>0</v>
      </c>
      <c r="E533" s="2" t="b">
        <v>0</v>
      </c>
      <c r="F533" s="2" t="b">
        <v>0</v>
      </c>
      <c r="G533" s="2" t="s">
        <v>31</v>
      </c>
      <c r="H533" s="2" t="s">
        <v>1747</v>
      </c>
      <c r="I533" s="2" t="s">
        <v>1748</v>
      </c>
      <c r="J533" s="2" t="s">
        <v>1749</v>
      </c>
      <c r="K533" s="2" t="s">
        <v>35</v>
      </c>
      <c r="L533" s="2" t="s">
        <v>35</v>
      </c>
      <c r="M533" s="2">
        <v>2</v>
      </c>
      <c r="N533" s="2">
        <v>19</v>
      </c>
      <c r="O533" s="11">
        <v>44748.591328807874</v>
      </c>
      <c r="P533" s="11">
        <v>44748.592046851853</v>
      </c>
      <c r="Q533" s="27">
        <f t="shared" si="24"/>
        <v>7.1804397884989157E-4</v>
      </c>
      <c r="R533" s="65">
        <f t="shared" si="26"/>
        <v>1.3562268504756503E-3</v>
      </c>
      <c r="S533" s="2">
        <v>0</v>
      </c>
      <c r="T533" s="2" t="s">
        <v>54</v>
      </c>
      <c r="U533" s="2" t="s">
        <v>55</v>
      </c>
      <c r="V533" s="2" t="s">
        <v>38</v>
      </c>
      <c r="W533" s="2" t="s">
        <v>35</v>
      </c>
      <c r="X533" s="2" t="s">
        <v>35</v>
      </c>
      <c r="Y533" s="2" t="s">
        <v>35</v>
      </c>
      <c r="Z533" s="2" t="b">
        <v>0</v>
      </c>
      <c r="AA533" s="2" t="s">
        <v>35</v>
      </c>
      <c r="AB533" s="2" t="s">
        <v>35</v>
      </c>
      <c r="AC533" s="2" t="s">
        <v>35</v>
      </c>
      <c r="AD533" s="2" t="s">
        <v>35</v>
      </c>
      <c r="AE533" s="2" t="s">
        <v>941</v>
      </c>
      <c r="AF533" s="11">
        <v>44748.587500000001</v>
      </c>
      <c r="AG533" s="53"/>
      <c r="AH533" s="53" t="b">
        <f t="shared" si="25"/>
        <v>0</v>
      </c>
      <c r="AI533" s="54" t="str" cm="1">
        <f t="array" ref="AI533">TRANSPOSE(_xlfn._xlws.FILTER(images!L:L,images!F:F=Barrierenmessung!A533, ""))</f>
        <v>https://captureandgo.cloudlab.zhaw.ch/uploads/image_7a561c1a7a.jpg</v>
      </c>
      <c r="AJ533" s="2"/>
      <c r="AK533" s="2"/>
      <c r="AL533" s="2"/>
      <c r="AM533" s="2"/>
      <c r="AN533" s="2"/>
    </row>
    <row r="534" spans="1:40" ht="16" x14ac:dyDescent="0.2">
      <c r="A534" s="2" t="s">
        <v>1750</v>
      </c>
      <c r="B534" s="46">
        <v>533</v>
      </c>
      <c r="C534" s="2" t="b">
        <v>0</v>
      </c>
      <c r="D534" s="2" t="b">
        <v>0</v>
      </c>
      <c r="E534" s="2" t="b">
        <v>0</v>
      </c>
      <c r="F534" s="2" t="b">
        <v>0</v>
      </c>
      <c r="G534" s="2" t="s">
        <v>31</v>
      </c>
      <c r="H534" s="2" t="s">
        <v>1751</v>
      </c>
      <c r="I534" s="2" t="s">
        <v>1752</v>
      </c>
      <c r="J534" s="2" t="s">
        <v>35</v>
      </c>
      <c r="K534" s="2" t="s">
        <v>35</v>
      </c>
      <c r="L534" s="2" t="s">
        <v>35</v>
      </c>
      <c r="M534" s="2">
        <v>13</v>
      </c>
      <c r="N534" s="2">
        <v>15</v>
      </c>
      <c r="O534" s="11">
        <v>44748.592460439817</v>
      </c>
      <c r="P534" s="11">
        <v>44748.592814861113</v>
      </c>
      <c r="Q534" s="27">
        <f t="shared" si="24"/>
        <v>3.544212959241122E-4</v>
      </c>
      <c r="R534" s="65">
        <f t="shared" si="26"/>
        <v>7.6800926035502926E-4</v>
      </c>
      <c r="S534" s="2">
        <v>0</v>
      </c>
      <c r="T534" s="2" t="s">
        <v>54</v>
      </c>
      <c r="U534" s="2" t="s">
        <v>55</v>
      </c>
      <c r="V534" s="2" t="s">
        <v>38</v>
      </c>
      <c r="W534" s="2" t="s">
        <v>35</v>
      </c>
      <c r="X534" s="2" t="s">
        <v>35</v>
      </c>
      <c r="Y534" s="2" t="s">
        <v>35</v>
      </c>
      <c r="Z534" s="2" t="b">
        <v>0</v>
      </c>
      <c r="AA534" s="2" t="s">
        <v>35</v>
      </c>
      <c r="AB534" s="2" t="s">
        <v>35</v>
      </c>
      <c r="AC534" s="2" t="s">
        <v>35</v>
      </c>
      <c r="AD534" s="2" t="s">
        <v>35</v>
      </c>
      <c r="AE534" s="2" t="s">
        <v>941</v>
      </c>
      <c r="AF534" s="11">
        <v>44748.587500000001</v>
      </c>
      <c r="AG534" s="53"/>
      <c r="AH534" s="53" t="b">
        <f t="shared" si="25"/>
        <v>0</v>
      </c>
      <c r="AI534" s="54" t="str" cm="1">
        <f t="array" ref="AI534">TRANSPOSE(_xlfn._xlws.FILTER(images!L:L,images!F:F=Barrierenmessung!A534, ""))</f>
        <v>https://captureandgo.cloudlab.zhaw.ch/uploads/image_5b6e93cdee.jpg</v>
      </c>
      <c r="AJ534" s="2"/>
      <c r="AK534" s="2"/>
      <c r="AL534" s="2"/>
      <c r="AM534" s="2"/>
      <c r="AN534" s="2"/>
    </row>
    <row r="535" spans="1:40" ht="16" x14ac:dyDescent="0.2">
      <c r="A535" s="2" t="s">
        <v>1753</v>
      </c>
      <c r="B535" s="46">
        <v>534</v>
      </c>
      <c r="C535" s="2" t="b">
        <v>0</v>
      </c>
      <c r="D535" s="2" t="b">
        <v>0</v>
      </c>
      <c r="E535" s="2" t="b">
        <v>0</v>
      </c>
      <c r="F535" s="2" t="b">
        <v>0</v>
      </c>
      <c r="G535" s="2" t="s">
        <v>31</v>
      </c>
      <c r="H535" s="2" t="s">
        <v>1754</v>
      </c>
      <c r="I535" s="2" t="s">
        <v>1755</v>
      </c>
      <c r="J535" s="2" t="s">
        <v>35</v>
      </c>
      <c r="K535" s="2" t="s">
        <v>35</v>
      </c>
      <c r="L535" s="2" t="s">
        <v>35</v>
      </c>
      <c r="M535" s="2">
        <v>13</v>
      </c>
      <c r="N535" s="2">
        <v>15</v>
      </c>
      <c r="O535" s="11">
        <v>44748.592960462964</v>
      </c>
      <c r="P535" s="11">
        <v>44748.593334722224</v>
      </c>
      <c r="Q535" s="27">
        <f t="shared" si="24"/>
        <v>3.7425925984280184E-4</v>
      </c>
      <c r="R535" s="65">
        <f t="shared" si="26"/>
        <v>5.1986111066071317E-4</v>
      </c>
      <c r="S535" s="2">
        <v>0</v>
      </c>
      <c r="T535" s="2" t="s">
        <v>54</v>
      </c>
      <c r="U535" s="2" t="s">
        <v>55</v>
      </c>
      <c r="V535" s="2" t="s">
        <v>38</v>
      </c>
      <c r="W535" s="2" t="s">
        <v>35</v>
      </c>
      <c r="X535" s="2" t="s">
        <v>35</v>
      </c>
      <c r="Y535" s="2" t="s">
        <v>35</v>
      </c>
      <c r="Z535" s="2" t="b">
        <v>0</v>
      </c>
      <c r="AA535" s="2" t="s">
        <v>35</v>
      </c>
      <c r="AB535" s="2" t="s">
        <v>35</v>
      </c>
      <c r="AC535" s="2" t="s">
        <v>35</v>
      </c>
      <c r="AD535" s="2" t="s">
        <v>35</v>
      </c>
      <c r="AE535" s="2" t="s">
        <v>941</v>
      </c>
      <c r="AF535" s="11">
        <v>44748.587500000001</v>
      </c>
      <c r="AG535" s="53"/>
      <c r="AH535" s="53" t="b">
        <f t="shared" si="25"/>
        <v>0</v>
      </c>
      <c r="AI535" s="54" t="str" cm="1">
        <f t="array" ref="AI535">TRANSPOSE(_xlfn._xlws.FILTER(images!L:L,images!F:F=Barrierenmessung!A535, ""))</f>
        <v>https://captureandgo.cloudlab.zhaw.ch/uploads/image_01bc082a8e.jpg</v>
      </c>
      <c r="AJ535" s="2"/>
      <c r="AK535" s="2"/>
      <c r="AL535" s="2"/>
      <c r="AM535" s="2"/>
      <c r="AN535" s="2"/>
    </row>
    <row r="536" spans="1:40" ht="16" x14ac:dyDescent="0.2">
      <c r="A536" s="2" t="s">
        <v>1756</v>
      </c>
      <c r="B536" s="46">
        <v>535</v>
      </c>
      <c r="C536" s="2" t="b">
        <v>0</v>
      </c>
      <c r="D536" s="2" t="b">
        <v>0</v>
      </c>
      <c r="E536" s="2" t="b">
        <v>0</v>
      </c>
      <c r="F536" s="2" t="b">
        <v>0</v>
      </c>
      <c r="G536" s="2" t="s">
        <v>31</v>
      </c>
      <c r="H536" s="2" t="s">
        <v>1757</v>
      </c>
      <c r="I536" s="2" t="s">
        <v>1758</v>
      </c>
      <c r="J536" s="2" t="s">
        <v>35</v>
      </c>
      <c r="K536" s="2" t="s">
        <v>35</v>
      </c>
      <c r="L536" s="2" t="s">
        <v>35</v>
      </c>
      <c r="M536" s="2">
        <v>6</v>
      </c>
      <c r="N536" s="2">
        <v>15</v>
      </c>
      <c r="O536" s="11">
        <v>44748.593646967594</v>
      </c>
      <c r="P536" s="11">
        <v>44748.594132638886</v>
      </c>
      <c r="Q536" s="27">
        <f t="shared" si="24"/>
        <v>4.8567129124421626E-4</v>
      </c>
      <c r="R536" s="65">
        <f t="shared" si="26"/>
        <v>7.979166621225886E-4</v>
      </c>
      <c r="S536" s="2">
        <v>0</v>
      </c>
      <c r="T536" s="2" t="s">
        <v>54</v>
      </c>
      <c r="U536" s="2" t="s">
        <v>55</v>
      </c>
      <c r="V536" s="2" t="s">
        <v>38</v>
      </c>
      <c r="W536" s="2" t="s">
        <v>35</v>
      </c>
      <c r="X536" s="2" t="s">
        <v>35</v>
      </c>
      <c r="Y536" s="2" t="s">
        <v>35</v>
      </c>
      <c r="Z536" s="2" t="b">
        <v>0</v>
      </c>
      <c r="AA536" s="2" t="s">
        <v>35</v>
      </c>
      <c r="AB536" s="2" t="s">
        <v>35</v>
      </c>
      <c r="AC536" s="2" t="s">
        <v>35</v>
      </c>
      <c r="AD536" s="2" t="s">
        <v>35</v>
      </c>
      <c r="AE536" s="2" t="s">
        <v>941</v>
      </c>
      <c r="AF536" s="11">
        <v>44748.587500000001</v>
      </c>
      <c r="AG536" s="53"/>
      <c r="AH536" s="53" t="b">
        <f t="shared" si="25"/>
        <v>0</v>
      </c>
      <c r="AI536" s="54" t="str" cm="1">
        <f t="array" ref="AI536">TRANSPOSE(_xlfn._xlws.FILTER(images!L:L,images!F:F=Barrierenmessung!A536, ""))</f>
        <v>https://captureandgo.cloudlab.zhaw.ch/uploads/image_100187f24d.jpg</v>
      </c>
      <c r="AJ536" s="2"/>
      <c r="AK536" s="2"/>
      <c r="AL536" s="2"/>
      <c r="AM536" s="2"/>
      <c r="AN536" s="2"/>
    </row>
    <row r="537" spans="1:40" ht="16" x14ac:dyDescent="0.2">
      <c r="A537" s="2" t="s">
        <v>1759</v>
      </c>
      <c r="B537" s="46">
        <v>536</v>
      </c>
      <c r="C537" s="2" t="b">
        <v>0</v>
      </c>
      <c r="D537" s="2" t="b">
        <v>0</v>
      </c>
      <c r="E537" s="2" t="b">
        <v>0</v>
      </c>
      <c r="F537" s="2" t="b">
        <v>0</v>
      </c>
      <c r="G537" s="2" t="s">
        <v>31</v>
      </c>
      <c r="H537" s="2" t="s">
        <v>1760</v>
      </c>
      <c r="I537" s="2" t="s">
        <v>1761</v>
      </c>
      <c r="J537" s="2" t="s">
        <v>35</v>
      </c>
      <c r="K537" s="2" t="s">
        <v>35</v>
      </c>
      <c r="L537" s="2" t="s">
        <v>35</v>
      </c>
      <c r="M537" s="2">
        <v>7</v>
      </c>
      <c r="N537" s="2">
        <v>15</v>
      </c>
      <c r="O537" s="11">
        <v>44748.594505578702</v>
      </c>
      <c r="P537" s="11">
        <v>44748.594811076386</v>
      </c>
      <c r="Q537" s="27">
        <f t="shared" si="24"/>
        <v>3.054976841667667E-4</v>
      </c>
      <c r="R537" s="65">
        <f t="shared" si="26"/>
        <v>6.7843750002793968E-4</v>
      </c>
      <c r="S537" s="2">
        <v>0</v>
      </c>
      <c r="T537" s="2" t="s">
        <v>54</v>
      </c>
      <c r="U537" s="2" t="s">
        <v>55</v>
      </c>
      <c r="V537" s="2" t="s">
        <v>38</v>
      </c>
      <c r="W537" s="2" t="s">
        <v>35</v>
      </c>
      <c r="X537" s="2" t="s">
        <v>35</v>
      </c>
      <c r="Y537" s="2" t="s">
        <v>35</v>
      </c>
      <c r="Z537" s="2" t="b">
        <v>0</v>
      </c>
      <c r="AA537" s="2" t="s">
        <v>35</v>
      </c>
      <c r="AB537" s="2" t="s">
        <v>35</v>
      </c>
      <c r="AC537" s="2" t="s">
        <v>35</v>
      </c>
      <c r="AD537" s="2" t="s">
        <v>35</v>
      </c>
      <c r="AE537" s="2" t="s">
        <v>941</v>
      </c>
      <c r="AF537" s="11">
        <v>44748.587500000001</v>
      </c>
      <c r="AG537" s="53"/>
      <c r="AH537" s="53" t="b">
        <f t="shared" si="25"/>
        <v>0</v>
      </c>
      <c r="AI537" s="54" t="str" cm="1">
        <f t="array" ref="AI537">TRANSPOSE(_xlfn._xlws.FILTER(images!L:L,images!F:F=Barrierenmessung!A537, ""))</f>
        <v>https://captureandgo.cloudlab.zhaw.ch/uploads/image_1600e86052.jpg</v>
      </c>
      <c r="AJ537" s="2"/>
      <c r="AK537" s="2"/>
      <c r="AL537" s="2"/>
      <c r="AM537" s="2"/>
      <c r="AN537" s="2"/>
    </row>
    <row r="538" spans="1:40" ht="16" x14ac:dyDescent="0.2">
      <c r="A538" s="2" t="s">
        <v>1762</v>
      </c>
      <c r="B538" s="46">
        <v>537</v>
      </c>
      <c r="C538" s="2" t="b">
        <v>0</v>
      </c>
      <c r="D538" s="2" t="b">
        <v>0</v>
      </c>
      <c r="E538" s="2" t="b">
        <v>0</v>
      </c>
      <c r="F538" s="2" t="b">
        <v>0</v>
      </c>
      <c r="G538" s="2" t="s">
        <v>31</v>
      </c>
      <c r="H538" s="2" t="s">
        <v>1763</v>
      </c>
      <c r="I538" s="2" t="s">
        <v>1764</v>
      </c>
      <c r="J538" s="2" t="s">
        <v>1765</v>
      </c>
      <c r="K538" s="2" t="s">
        <v>35</v>
      </c>
      <c r="L538" s="2" t="s">
        <v>35</v>
      </c>
      <c r="M538" s="2" t="s">
        <v>35</v>
      </c>
      <c r="N538" s="2" t="s">
        <v>35</v>
      </c>
      <c r="O538" s="11">
        <v>44748.595314479164</v>
      </c>
      <c r="P538" s="11">
        <v>44748.595608067131</v>
      </c>
      <c r="Q538" s="27">
        <f t="shared" si="24"/>
        <v>2.9358796746237203E-4</v>
      </c>
      <c r="R538" s="65">
        <f t="shared" si="26"/>
        <v>7.9699074558448046E-4</v>
      </c>
      <c r="S538" s="2">
        <v>0</v>
      </c>
      <c r="T538" s="2" t="s">
        <v>36</v>
      </c>
      <c r="U538" s="2" t="s">
        <v>37</v>
      </c>
      <c r="V538" s="2" t="s">
        <v>38</v>
      </c>
      <c r="W538" s="2" t="s">
        <v>35</v>
      </c>
      <c r="X538" s="2" t="s">
        <v>35</v>
      </c>
      <c r="Y538" s="2" t="s">
        <v>35</v>
      </c>
      <c r="Z538" s="2" t="b">
        <v>0</v>
      </c>
      <c r="AA538" s="2" t="s">
        <v>35</v>
      </c>
      <c r="AB538" s="2" t="s">
        <v>35</v>
      </c>
      <c r="AC538" s="2">
        <v>8</v>
      </c>
      <c r="AD538" s="2" t="s">
        <v>35</v>
      </c>
      <c r="AE538" s="2" t="s">
        <v>941</v>
      </c>
      <c r="AF538" s="11">
        <v>44748.587500000001</v>
      </c>
      <c r="AG538" s="53"/>
      <c r="AH538" s="53" t="b">
        <f t="shared" si="25"/>
        <v>0</v>
      </c>
      <c r="AI538" s="54" t="str" cm="1">
        <f t="array" ref="AI538">TRANSPOSE(_xlfn._xlws.FILTER(images!L:L,images!F:F=Barrierenmessung!A538, ""))</f>
        <v>https://captureandgo.cloudlab.zhaw.ch/uploads/image_99a1e605c7.jpg</v>
      </c>
      <c r="AJ538" s="2"/>
      <c r="AK538" s="2"/>
      <c r="AL538" s="2"/>
      <c r="AM538" s="2"/>
      <c r="AN538" s="2"/>
    </row>
    <row r="539" spans="1:40" ht="16" x14ac:dyDescent="0.2">
      <c r="A539" s="2" t="s">
        <v>1766</v>
      </c>
      <c r="B539" s="46">
        <v>538</v>
      </c>
      <c r="C539" s="2" t="b">
        <v>0</v>
      </c>
      <c r="D539" s="2" t="b">
        <v>0</v>
      </c>
      <c r="E539" s="2" t="b">
        <v>0</v>
      </c>
      <c r="F539" s="2" t="b">
        <v>0</v>
      </c>
      <c r="G539" s="2" t="s">
        <v>31</v>
      </c>
      <c r="H539" s="2" t="s">
        <v>1767</v>
      </c>
      <c r="I539" s="2" t="s">
        <v>1768</v>
      </c>
      <c r="J539" s="2" t="s">
        <v>35</v>
      </c>
      <c r="K539" s="2" t="s">
        <v>35</v>
      </c>
      <c r="L539" s="2" t="s">
        <v>35</v>
      </c>
      <c r="M539" s="2">
        <v>6</v>
      </c>
      <c r="N539" s="2">
        <v>15</v>
      </c>
      <c r="O539" s="11">
        <v>44748.596492303244</v>
      </c>
      <c r="P539" s="11">
        <v>44748.596742210648</v>
      </c>
      <c r="Q539" s="27">
        <f t="shared" si="24"/>
        <v>2.499074034858495E-4</v>
      </c>
      <c r="R539" s="65">
        <f t="shared" si="26"/>
        <v>1.1341435165377334E-3</v>
      </c>
      <c r="S539" s="2">
        <v>0</v>
      </c>
      <c r="T539" s="2" t="s">
        <v>54</v>
      </c>
      <c r="U539" s="2" t="s">
        <v>55</v>
      </c>
      <c r="V539" s="2" t="s">
        <v>38</v>
      </c>
      <c r="W539" s="2" t="s">
        <v>35</v>
      </c>
      <c r="X539" s="2" t="s">
        <v>35</v>
      </c>
      <c r="Y539" s="2" t="s">
        <v>35</v>
      </c>
      <c r="Z539" s="2" t="b">
        <v>0</v>
      </c>
      <c r="AA539" s="2" t="s">
        <v>35</v>
      </c>
      <c r="AB539" s="2" t="s">
        <v>35</v>
      </c>
      <c r="AC539" s="2" t="s">
        <v>35</v>
      </c>
      <c r="AD539" s="2" t="s">
        <v>35</v>
      </c>
      <c r="AE539" s="2" t="s">
        <v>941</v>
      </c>
      <c r="AF539" s="11">
        <v>44748.587500000001</v>
      </c>
      <c r="AG539" s="53"/>
      <c r="AH539" s="53" t="b">
        <f t="shared" si="25"/>
        <v>0</v>
      </c>
      <c r="AI539" s="54" t="str" cm="1">
        <f t="array" ref="AI539">TRANSPOSE(_xlfn._xlws.FILTER(images!L:L,images!F:F=Barrierenmessung!A539, ""))</f>
        <v>https://captureandgo.cloudlab.zhaw.ch/uploads/image_316d01a2a3.jpg</v>
      </c>
      <c r="AJ539" s="2"/>
      <c r="AK539" s="2"/>
      <c r="AL539" s="2"/>
      <c r="AM539" s="2"/>
      <c r="AN539" s="2"/>
    </row>
    <row r="540" spans="1:40" ht="16" x14ac:dyDescent="0.2">
      <c r="A540" s="2" t="s">
        <v>1769</v>
      </c>
      <c r="B540" s="46">
        <v>539</v>
      </c>
      <c r="C540" s="2" t="b">
        <v>0</v>
      </c>
      <c r="D540" s="2" t="b">
        <v>0</v>
      </c>
      <c r="E540" s="2" t="b">
        <v>0</v>
      </c>
      <c r="F540" s="2" t="b">
        <v>0</v>
      </c>
      <c r="G540" s="2" t="s">
        <v>31</v>
      </c>
      <c r="H540" s="2" t="s">
        <v>1770</v>
      </c>
      <c r="I540" s="2" t="s">
        <v>1771</v>
      </c>
      <c r="J540" s="2" t="s">
        <v>35</v>
      </c>
      <c r="K540" s="2" t="s">
        <v>35</v>
      </c>
      <c r="L540" s="2" t="s">
        <v>35</v>
      </c>
      <c r="M540" s="2">
        <v>5</v>
      </c>
      <c r="N540" s="2">
        <v>15</v>
      </c>
      <c r="O540" s="11">
        <v>44748.59703449074</v>
      </c>
      <c r="P540" s="11">
        <v>44748.59720650463</v>
      </c>
      <c r="Q540" s="27">
        <f t="shared" si="24"/>
        <v>1.7201388982357457E-4</v>
      </c>
      <c r="R540" s="65">
        <f t="shared" si="26"/>
        <v>4.6429398207692429E-4</v>
      </c>
      <c r="S540" s="2">
        <v>0</v>
      </c>
      <c r="T540" s="2" t="s">
        <v>54</v>
      </c>
      <c r="U540" s="2" t="s">
        <v>55</v>
      </c>
      <c r="V540" s="2" t="s">
        <v>38</v>
      </c>
      <c r="W540" s="2" t="s">
        <v>35</v>
      </c>
      <c r="X540" s="2" t="s">
        <v>35</v>
      </c>
      <c r="Y540" s="2" t="s">
        <v>35</v>
      </c>
      <c r="Z540" s="2" t="b">
        <v>0</v>
      </c>
      <c r="AA540" s="2" t="s">
        <v>35</v>
      </c>
      <c r="AB540" s="2" t="s">
        <v>35</v>
      </c>
      <c r="AC540" s="2" t="s">
        <v>35</v>
      </c>
      <c r="AD540" s="2" t="s">
        <v>35</v>
      </c>
      <c r="AE540" s="2" t="s">
        <v>941</v>
      </c>
      <c r="AF540" s="11">
        <v>44748.587500000001</v>
      </c>
      <c r="AG540" s="53"/>
      <c r="AH540" s="53" t="b">
        <f t="shared" si="25"/>
        <v>0</v>
      </c>
      <c r="AI540" s="54" t="str" cm="1">
        <f t="array" ref="AI540">TRANSPOSE(_xlfn._xlws.FILTER(images!L:L,images!F:F=Barrierenmessung!A540, ""))</f>
        <v>https://captureandgo.cloudlab.zhaw.ch/uploads/image_ff88e7f40a.jpg</v>
      </c>
      <c r="AJ540" s="2"/>
      <c r="AK540" s="2"/>
      <c r="AL540" s="2"/>
      <c r="AM540" s="2"/>
      <c r="AN540" s="2"/>
    </row>
    <row r="541" spans="1:40" ht="16" x14ac:dyDescent="0.2">
      <c r="A541" s="2" t="s">
        <v>1772</v>
      </c>
      <c r="B541" s="46">
        <v>540</v>
      </c>
      <c r="C541" s="2" t="b">
        <v>0</v>
      </c>
      <c r="D541" s="2" t="b">
        <v>0</v>
      </c>
      <c r="E541" s="2" t="b">
        <v>0</v>
      </c>
      <c r="F541" s="2" t="b">
        <v>0</v>
      </c>
      <c r="G541" s="2" t="s">
        <v>31</v>
      </c>
      <c r="H541" s="2" t="s">
        <v>1773</v>
      </c>
      <c r="I541" s="2" t="s">
        <v>1774</v>
      </c>
      <c r="J541" s="2" t="s">
        <v>35</v>
      </c>
      <c r="K541" s="2" t="s">
        <v>35</v>
      </c>
      <c r="L541" s="2" t="s">
        <v>35</v>
      </c>
      <c r="M541" s="2" t="s">
        <v>35</v>
      </c>
      <c r="N541" s="2" t="s">
        <v>35</v>
      </c>
      <c r="O541" s="11">
        <v>44748.597242384261</v>
      </c>
      <c r="P541" s="11">
        <v>44748.597549062499</v>
      </c>
      <c r="Q541" s="27">
        <f t="shared" si="24"/>
        <v>3.0667823739349842E-4</v>
      </c>
      <c r="R541" s="65">
        <f t="shared" si="26"/>
        <v>3.4255786886205897E-4</v>
      </c>
      <c r="S541" s="2">
        <v>0</v>
      </c>
      <c r="T541" s="2" t="s">
        <v>36</v>
      </c>
      <c r="U541" s="2" t="s">
        <v>37</v>
      </c>
      <c r="V541" s="2" t="s">
        <v>38</v>
      </c>
      <c r="W541" s="2" t="s">
        <v>35</v>
      </c>
      <c r="X541" s="2" t="s">
        <v>35</v>
      </c>
      <c r="Y541" s="2" t="s">
        <v>35</v>
      </c>
      <c r="Z541" s="2" t="b">
        <v>0</v>
      </c>
      <c r="AA541" s="2" t="s">
        <v>165</v>
      </c>
      <c r="AB541" s="2" t="s">
        <v>35</v>
      </c>
      <c r="AC541" s="2" t="s">
        <v>35</v>
      </c>
      <c r="AD541" s="2" t="s">
        <v>35</v>
      </c>
      <c r="AE541" s="2" t="s">
        <v>941</v>
      </c>
      <c r="AF541" s="11">
        <v>44748.587500000001</v>
      </c>
      <c r="AG541" s="53"/>
      <c r="AH541" s="53" t="b">
        <f t="shared" si="25"/>
        <v>0</v>
      </c>
      <c r="AI541" s="54" t="str" cm="1">
        <f t="array" ref="AI541">TRANSPOSE(_xlfn._xlws.FILTER(images!L:L,images!F:F=Barrierenmessung!A541, ""))</f>
        <v>https://captureandgo.cloudlab.zhaw.ch/uploads/image_3f20bcabe0.jpg</v>
      </c>
      <c r="AJ541" s="2"/>
      <c r="AK541" s="2"/>
      <c r="AL541" s="2"/>
      <c r="AM541" s="2"/>
      <c r="AN541" s="2"/>
    </row>
    <row r="542" spans="1:40" ht="16" x14ac:dyDescent="0.2">
      <c r="A542" s="2" t="s">
        <v>1775</v>
      </c>
      <c r="B542" s="46">
        <v>541</v>
      </c>
      <c r="C542" s="2" t="b">
        <v>0</v>
      </c>
      <c r="D542" s="2" t="b">
        <v>0</v>
      </c>
      <c r="E542" s="2" t="b">
        <v>0</v>
      </c>
      <c r="F542" s="2" t="b">
        <v>0</v>
      </c>
      <c r="G542" s="2" t="s">
        <v>31</v>
      </c>
      <c r="H542" s="2" t="s">
        <v>1776</v>
      </c>
      <c r="I542" s="2" t="s">
        <v>1777</v>
      </c>
      <c r="J542" s="2" t="s">
        <v>940</v>
      </c>
      <c r="K542" s="2" t="s">
        <v>35</v>
      </c>
      <c r="L542" s="2" t="s">
        <v>35</v>
      </c>
      <c r="M542" s="2" t="s">
        <v>35</v>
      </c>
      <c r="N542" s="2" t="s">
        <v>35</v>
      </c>
      <c r="O542" s="11">
        <v>44748.599635497689</v>
      </c>
      <c r="P542" s="11">
        <v>44748.599892349535</v>
      </c>
      <c r="Q542" s="27">
        <f t="shared" si="24"/>
        <v>2.5685184664325789E-4</v>
      </c>
      <c r="R542" s="65">
        <f t="shared" si="26"/>
        <v>2.3432870366377756E-3</v>
      </c>
      <c r="S542" s="2">
        <v>0</v>
      </c>
      <c r="T542" s="2" t="s">
        <v>124</v>
      </c>
      <c r="U542" s="2" t="s">
        <v>125</v>
      </c>
      <c r="V542" s="2" t="s">
        <v>38</v>
      </c>
      <c r="W542" s="2" t="s">
        <v>35</v>
      </c>
      <c r="X542" s="2" t="s">
        <v>35</v>
      </c>
      <c r="Y542" s="2" t="s">
        <v>35</v>
      </c>
      <c r="Z542" s="2" t="b">
        <v>0</v>
      </c>
      <c r="AA542" s="2" t="s">
        <v>35</v>
      </c>
      <c r="AB542" s="2">
        <v>4</v>
      </c>
      <c r="AC542" s="2" t="s">
        <v>35</v>
      </c>
      <c r="AD542" s="2" t="s">
        <v>35</v>
      </c>
      <c r="AE542" s="2" t="s">
        <v>941</v>
      </c>
      <c r="AF542" s="11">
        <v>44748.587500000001</v>
      </c>
      <c r="AG542" s="53"/>
      <c r="AH542" s="53" t="b">
        <f t="shared" si="25"/>
        <v>0</v>
      </c>
      <c r="AI542" s="54" t="str" cm="1">
        <f t="array" ref="AI542">TRANSPOSE(_xlfn._xlws.FILTER(images!L:L,images!F:F=Barrierenmessung!A542, ""))</f>
        <v>https://captureandgo.cloudlab.zhaw.ch/uploads/image_dee2a4ab1f.jpg</v>
      </c>
      <c r="AJ542" s="2"/>
      <c r="AK542" s="2"/>
      <c r="AL542" s="2"/>
      <c r="AM542" s="2"/>
      <c r="AN542" s="2"/>
    </row>
    <row r="543" spans="1:40" ht="16" x14ac:dyDescent="0.2">
      <c r="A543" s="68" t="s">
        <v>1778</v>
      </c>
      <c r="B543" s="68">
        <v>542</v>
      </c>
      <c r="C543" s="68" t="b">
        <v>0</v>
      </c>
      <c r="D543" s="68" t="b">
        <v>0</v>
      </c>
      <c r="E543" s="68" t="b">
        <v>0</v>
      </c>
      <c r="F543" s="68" t="b">
        <v>0</v>
      </c>
      <c r="G543" s="68" t="s">
        <v>31</v>
      </c>
      <c r="H543" s="68" t="s">
        <v>149</v>
      </c>
      <c r="I543" s="68" t="s">
        <v>1779</v>
      </c>
      <c r="J543" s="68" t="s">
        <v>940</v>
      </c>
      <c r="K543" s="68" t="s">
        <v>35</v>
      </c>
      <c r="L543" s="68" t="s">
        <v>35</v>
      </c>
      <c r="M543" s="68" t="s">
        <v>35</v>
      </c>
      <c r="N543" s="68" t="s">
        <v>35</v>
      </c>
      <c r="O543" s="69">
        <v>44748.600552372685</v>
      </c>
      <c r="P543" s="69">
        <v>44748.600758877314</v>
      </c>
      <c r="Q543" s="70">
        <f t="shared" si="24"/>
        <v>2.0650462829507887E-4</v>
      </c>
      <c r="R543" s="70">
        <f t="shared" si="26"/>
        <v>8.6652777827112004E-4</v>
      </c>
      <c r="S543" s="68">
        <v>0</v>
      </c>
      <c r="T543" s="68" t="s">
        <v>124</v>
      </c>
      <c r="U543" s="68" t="s">
        <v>125</v>
      </c>
      <c r="V543" s="68" t="s">
        <v>38</v>
      </c>
      <c r="W543" s="68" t="s">
        <v>35</v>
      </c>
      <c r="X543" s="68" t="s">
        <v>35</v>
      </c>
      <c r="Y543" s="68" t="s">
        <v>35</v>
      </c>
      <c r="Z543" s="68" t="b">
        <v>0</v>
      </c>
      <c r="AA543" s="68" t="s">
        <v>35</v>
      </c>
      <c r="AB543" s="68">
        <v>4</v>
      </c>
      <c r="AC543" s="68" t="s">
        <v>35</v>
      </c>
      <c r="AD543" s="68" t="s">
        <v>35</v>
      </c>
      <c r="AE543" s="68" t="s">
        <v>941</v>
      </c>
      <c r="AF543" s="69">
        <v>44748.587500000001</v>
      </c>
      <c r="AG543" s="71"/>
      <c r="AH543" s="71" t="b">
        <f t="shared" si="25"/>
        <v>0</v>
      </c>
      <c r="AI543" s="56" t="str" cm="1">
        <f t="array" ref="AI543">TRANSPOSE(_xlfn._xlws.FILTER(images!L:L,images!F:F=Barrierenmessung!A543, ""))</f>
        <v/>
      </c>
      <c r="AJ543" s="68"/>
      <c r="AK543" s="68"/>
      <c r="AL543" s="68"/>
      <c r="AM543" s="68"/>
      <c r="AN543" s="68"/>
    </row>
    <row r="544" spans="1:40" ht="16" x14ac:dyDescent="0.2">
      <c r="A544" s="2" t="s">
        <v>1780</v>
      </c>
      <c r="B544" s="46">
        <v>543</v>
      </c>
      <c r="C544" s="2" t="b">
        <v>0</v>
      </c>
      <c r="D544" s="2" t="b">
        <v>0</v>
      </c>
      <c r="E544" s="2" t="b">
        <v>0</v>
      </c>
      <c r="F544" s="2" t="b">
        <v>0</v>
      </c>
      <c r="G544" s="2" t="s">
        <v>31</v>
      </c>
      <c r="H544" s="2" t="s">
        <v>1781</v>
      </c>
      <c r="I544" s="2" t="s">
        <v>1782</v>
      </c>
      <c r="J544" s="2" t="s">
        <v>940</v>
      </c>
      <c r="K544" s="2" t="s">
        <v>35</v>
      </c>
      <c r="L544" s="2" t="s">
        <v>35</v>
      </c>
      <c r="M544" s="2" t="s">
        <v>35</v>
      </c>
      <c r="N544" s="2" t="s">
        <v>35</v>
      </c>
      <c r="O544" s="11">
        <v>44748.601175312499</v>
      </c>
      <c r="P544" s="11">
        <v>44748.601422361113</v>
      </c>
      <c r="Q544" s="27">
        <f t="shared" si="24"/>
        <v>2.470486142556183E-4</v>
      </c>
      <c r="R544" s="65">
        <f t="shared" si="26"/>
        <v>6.6348379914416E-4</v>
      </c>
      <c r="S544" s="2">
        <v>0</v>
      </c>
      <c r="T544" s="2" t="s">
        <v>124</v>
      </c>
      <c r="U544" s="2" t="s">
        <v>125</v>
      </c>
      <c r="V544" s="2" t="s">
        <v>38</v>
      </c>
      <c r="W544" s="2" t="s">
        <v>35</v>
      </c>
      <c r="X544" s="2" t="s">
        <v>35</v>
      </c>
      <c r="Y544" s="2" t="s">
        <v>35</v>
      </c>
      <c r="Z544" s="2" t="b">
        <v>0</v>
      </c>
      <c r="AA544" s="2" t="s">
        <v>35</v>
      </c>
      <c r="AB544" s="2">
        <v>4</v>
      </c>
      <c r="AC544" s="2" t="s">
        <v>35</v>
      </c>
      <c r="AD544" s="2" t="s">
        <v>35</v>
      </c>
      <c r="AE544" s="2" t="s">
        <v>941</v>
      </c>
      <c r="AF544" s="11">
        <v>44748.587500000001</v>
      </c>
      <c r="AG544" s="53"/>
      <c r="AH544" s="53" t="b">
        <f t="shared" si="25"/>
        <v>0</v>
      </c>
      <c r="AI544" s="54" t="str" cm="1">
        <f t="array" ref="AI544">TRANSPOSE(_xlfn._xlws.FILTER(images!L:L,images!F:F=Barrierenmessung!A544, ""))</f>
        <v>https://captureandgo.cloudlab.zhaw.ch/uploads/image_3d5d55487b.jpg</v>
      </c>
      <c r="AJ544" s="2"/>
      <c r="AK544" s="2"/>
      <c r="AL544" s="2"/>
      <c r="AM544" s="2"/>
      <c r="AN544" s="2"/>
    </row>
    <row r="545" spans="1:40" ht="16" x14ac:dyDescent="0.2">
      <c r="A545" s="2" t="s">
        <v>1783</v>
      </c>
      <c r="B545" s="46">
        <v>544</v>
      </c>
      <c r="C545" s="2" t="b">
        <v>0</v>
      </c>
      <c r="D545" s="2" t="b">
        <v>0</v>
      </c>
      <c r="E545" s="2" t="b">
        <v>0</v>
      </c>
      <c r="F545" s="2" t="b">
        <v>0</v>
      </c>
      <c r="G545" s="2" t="s">
        <v>31</v>
      </c>
      <c r="H545" s="2" t="s">
        <v>1784</v>
      </c>
      <c r="I545" s="2" t="s">
        <v>1785</v>
      </c>
      <c r="J545" s="2" t="s">
        <v>940</v>
      </c>
      <c r="K545" s="2" t="s">
        <v>35</v>
      </c>
      <c r="L545" s="2" t="s">
        <v>35</v>
      </c>
      <c r="M545" s="2" t="s">
        <v>35</v>
      </c>
      <c r="N545" s="2" t="s">
        <v>35</v>
      </c>
      <c r="O545" s="11">
        <v>44748.602517222222</v>
      </c>
      <c r="P545" s="11">
        <v>44748.602736354165</v>
      </c>
      <c r="Q545" s="27">
        <f t="shared" si="24"/>
        <v>2.1913194359513E-4</v>
      </c>
      <c r="R545" s="65">
        <f t="shared" si="26"/>
        <v>1.3139930524630472E-3</v>
      </c>
      <c r="S545" s="2">
        <v>0</v>
      </c>
      <c r="T545" s="2" t="s">
        <v>124</v>
      </c>
      <c r="U545" s="2" t="s">
        <v>125</v>
      </c>
      <c r="V545" s="2" t="s">
        <v>38</v>
      </c>
      <c r="W545" s="2" t="s">
        <v>35</v>
      </c>
      <c r="X545" s="2" t="s">
        <v>35</v>
      </c>
      <c r="Y545" s="2" t="s">
        <v>35</v>
      </c>
      <c r="Z545" s="2" t="b">
        <v>0</v>
      </c>
      <c r="AA545" s="2" t="s">
        <v>35</v>
      </c>
      <c r="AB545" s="2">
        <v>4</v>
      </c>
      <c r="AC545" s="2" t="s">
        <v>35</v>
      </c>
      <c r="AD545" s="2" t="s">
        <v>35</v>
      </c>
      <c r="AE545" s="2" t="s">
        <v>941</v>
      </c>
      <c r="AF545" s="11">
        <v>44748.587500000001</v>
      </c>
      <c r="AG545" s="53"/>
      <c r="AH545" s="53" t="b">
        <f t="shared" si="25"/>
        <v>0</v>
      </c>
      <c r="AI545" s="54" t="str" cm="1">
        <f t="array" ref="AI545">TRANSPOSE(_xlfn._xlws.FILTER(images!L:L,images!F:F=Barrierenmessung!A545, ""))</f>
        <v>https://captureandgo.cloudlab.zhaw.ch/uploads/image_7e37d73ce5.jpg</v>
      </c>
      <c r="AJ545" s="2"/>
      <c r="AK545" s="2"/>
      <c r="AL545" s="2"/>
      <c r="AM545" s="2"/>
      <c r="AN545" s="2"/>
    </row>
    <row r="546" spans="1:40" ht="16" x14ac:dyDescent="0.2">
      <c r="A546" s="2" t="s">
        <v>1786</v>
      </c>
      <c r="B546" s="46">
        <v>545</v>
      </c>
      <c r="C546" s="2" t="b">
        <v>0</v>
      </c>
      <c r="D546" s="2" t="b">
        <v>0</v>
      </c>
      <c r="E546" s="2" t="b">
        <v>0</v>
      </c>
      <c r="F546" s="2" t="b">
        <v>0</v>
      </c>
      <c r="G546" s="2" t="s">
        <v>31</v>
      </c>
      <c r="H546" s="2" t="s">
        <v>1787</v>
      </c>
      <c r="I546" s="2" t="s">
        <v>1788</v>
      </c>
      <c r="J546" s="2" t="s">
        <v>940</v>
      </c>
      <c r="K546" s="2" t="s">
        <v>35</v>
      </c>
      <c r="L546" s="2" t="s">
        <v>35</v>
      </c>
      <c r="M546" s="2" t="s">
        <v>35</v>
      </c>
      <c r="N546" s="2" t="s">
        <v>35</v>
      </c>
      <c r="O546" s="11">
        <v>44748.603118449071</v>
      </c>
      <c r="P546" s="11">
        <v>44748.603509652778</v>
      </c>
      <c r="Q546" s="27">
        <f t="shared" si="24"/>
        <v>3.9120370638556778E-4</v>
      </c>
      <c r="R546" s="65">
        <f t="shared" si="26"/>
        <v>7.7329861233010888E-4</v>
      </c>
      <c r="S546" s="2">
        <v>0</v>
      </c>
      <c r="T546" s="2" t="s">
        <v>124</v>
      </c>
      <c r="U546" s="2" t="s">
        <v>125</v>
      </c>
      <c r="V546" s="2" t="s">
        <v>38</v>
      </c>
      <c r="W546" s="2" t="s">
        <v>35</v>
      </c>
      <c r="X546" s="2" t="s">
        <v>35</v>
      </c>
      <c r="Y546" s="2" t="s">
        <v>35</v>
      </c>
      <c r="Z546" s="2" t="b">
        <v>0</v>
      </c>
      <c r="AA546" s="2" t="s">
        <v>35</v>
      </c>
      <c r="AB546" s="2">
        <v>4</v>
      </c>
      <c r="AC546" s="2" t="s">
        <v>35</v>
      </c>
      <c r="AD546" s="2" t="s">
        <v>35</v>
      </c>
      <c r="AE546" s="2" t="s">
        <v>941</v>
      </c>
      <c r="AF546" s="11">
        <v>44748.587500000001</v>
      </c>
      <c r="AG546" s="53"/>
      <c r="AH546" s="53" t="b">
        <f t="shared" si="25"/>
        <v>0</v>
      </c>
      <c r="AI546" s="54" t="str" cm="1">
        <f t="array" ref="AI546">TRANSPOSE(_xlfn._xlws.FILTER(images!L:L,images!F:F=Barrierenmessung!A546, ""))</f>
        <v>https://captureandgo.cloudlab.zhaw.ch/uploads/image_86ad1a2a63.jpg</v>
      </c>
      <c r="AJ546" s="2"/>
      <c r="AK546" s="2"/>
      <c r="AL546" s="2"/>
      <c r="AM546" s="2"/>
      <c r="AN546" s="2"/>
    </row>
    <row r="547" spans="1:40" ht="16" x14ac:dyDescent="0.2">
      <c r="A547" s="2" t="s">
        <v>1789</v>
      </c>
      <c r="B547" s="46">
        <v>546</v>
      </c>
      <c r="C547" s="2" t="b">
        <v>0</v>
      </c>
      <c r="D547" s="2" t="b">
        <v>0</v>
      </c>
      <c r="E547" s="2" t="b">
        <v>0</v>
      </c>
      <c r="F547" s="2" t="b">
        <v>0</v>
      </c>
      <c r="G547" s="2" t="s">
        <v>31</v>
      </c>
      <c r="H547" s="2" t="s">
        <v>1790</v>
      </c>
      <c r="I547" s="2" t="s">
        <v>1791</v>
      </c>
      <c r="J547" s="2" t="s">
        <v>35</v>
      </c>
      <c r="K547" s="2" t="s">
        <v>35</v>
      </c>
      <c r="L547" s="2" t="s">
        <v>35</v>
      </c>
      <c r="M547" s="2" t="s">
        <v>35</v>
      </c>
      <c r="N547" s="2" t="s">
        <v>35</v>
      </c>
      <c r="O547" s="11">
        <v>44748.603703171299</v>
      </c>
      <c r="P547" s="11">
        <v>44748.604172638887</v>
      </c>
      <c r="Q547" s="27">
        <f t="shared" si="24"/>
        <v>4.6946758811827749E-4</v>
      </c>
      <c r="R547" s="65">
        <f t="shared" si="26"/>
        <v>6.6298610909143463E-4</v>
      </c>
      <c r="S547" s="2">
        <v>0</v>
      </c>
      <c r="T547" s="2" t="s">
        <v>36</v>
      </c>
      <c r="U547" s="2" t="s">
        <v>37</v>
      </c>
      <c r="V547" s="2" t="s">
        <v>38</v>
      </c>
      <c r="W547" s="2" t="s">
        <v>35</v>
      </c>
      <c r="X547" s="2" t="s">
        <v>35</v>
      </c>
      <c r="Y547" s="2" t="s">
        <v>35</v>
      </c>
      <c r="Z547" s="2" t="b">
        <v>0</v>
      </c>
      <c r="AA547" s="2" t="s">
        <v>35</v>
      </c>
      <c r="AB547" s="2" t="s">
        <v>35</v>
      </c>
      <c r="AC547" s="2" t="s">
        <v>35</v>
      </c>
      <c r="AD547" s="2">
        <v>2</v>
      </c>
      <c r="AE547" s="2" t="s">
        <v>941</v>
      </c>
      <c r="AF547" s="11">
        <v>44748.587500000001</v>
      </c>
      <c r="AG547" s="53"/>
      <c r="AH547" s="53" t="b">
        <f t="shared" si="25"/>
        <v>0</v>
      </c>
      <c r="AI547" s="54" t="str" cm="1">
        <f t="array" ref="AI547">TRANSPOSE(_xlfn._xlws.FILTER(images!L:L,images!F:F=Barrierenmessung!A547, ""))</f>
        <v>https://captureandgo.cloudlab.zhaw.ch/uploads/image_34271b3fbd.jpg</v>
      </c>
      <c r="AJ547" s="2"/>
      <c r="AK547" s="2"/>
      <c r="AL547" s="2"/>
      <c r="AM547" s="2"/>
      <c r="AN547" s="2"/>
    </row>
    <row r="548" spans="1:40" ht="16" x14ac:dyDescent="0.2">
      <c r="A548" s="2" t="s">
        <v>1792</v>
      </c>
      <c r="B548" s="46">
        <v>547</v>
      </c>
      <c r="C548" s="2" t="b">
        <v>0</v>
      </c>
      <c r="D548" s="2" t="b">
        <v>0</v>
      </c>
      <c r="E548" s="2" t="b">
        <v>0</v>
      </c>
      <c r="F548" s="2" t="b">
        <v>0</v>
      </c>
      <c r="G548" s="2" t="s">
        <v>31</v>
      </c>
      <c r="H548" s="2" t="s">
        <v>1793</v>
      </c>
      <c r="I548" s="2" t="s">
        <v>1794</v>
      </c>
      <c r="J548" s="2" t="s">
        <v>35</v>
      </c>
      <c r="K548" s="2" t="s">
        <v>35</v>
      </c>
      <c r="L548" s="2" t="s">
        <v>35</v>
      </c>
      <c r="M548" s="2" t="s">
        <v>35</v>
      </c>
      <c r="N548" s="2" t="s">
        <v>35</v>
      </c>
      <c r="O548" s="11">
        <v>44748.604962581019</v>
      </c>
      <c r="P548" s="11">
        <v>44748.605159317129</v>
      </c>
      <c r="Q548" s="27">
        <f t="shared" si="24"/>
        <v>1.9673610950121656E-4</v>
      </c>
      <c r="R548" s="65">
        <f t="shared" si="26"/>
        <v>9.8667824204312637E-4</v>
      </c>
      <c r="S548" s="2">
        <v>0</v>
      </c>
      <c r="T548" s="2" t="s">
        <v>36</v>
      </c>
      <c r="U548" s="2" t="s">
        <v>37</v>
      </c>
      <c r="V548" s="2" t="s">
        <v>38</v>
      </c>
      <c r="W548" s="2" t="s">
        <v>35</v>
      </c>
      <c r="X548" s="2" t="s">
        <v>35</v>
      </c>
      <c r="Y548" s="2" t="s">
        <v>35</v>
      </c>
      <c r="Z548" s="2" t="b">
        <v>0</v>
      </c>
      <c r="AA548" s="2" t="s">
        <v>35</v>
      </c>
      <c r="AB548" s="2" t="s">
        <v>35</v>
      </c>
      <c r="AC548" s="2" t="s">
        <v>35</v>
      </c>
      <c r="AD548" s="2">
        <v>2</v>
      </c>
      <c r="AE548" s="2" t="s">
        <v>941</v>
      </c>
      <c r="AF548" s="11">
        <v>44748.587500000001</v>
      </c>
      <c r="AG548" s="53"/>
      <c r="AH548" s="53" t="b">
        <f t="shared" si="25"/>
        <v>0</v>
      </c>
      <c r="AI548" s="54" t="str" cm="1">
        <f t="array" ref="AI548">TRANSPOSE(_xlfn._xlws.FILTER(images!L:L,images!F:F=Barrierenmessung!A548, ""))</f>
        <v>https://captureandgo.cloudlab.zhaw.ch/uploads/image_70cb1f47db.jpg</v>
      </c>
      <c r="AJ548" s="2"/>
      <c r="AK548" s="2"/>
      <c r="AL548" s="2"/>
      <c r="AM548" s="2"/>
      <c r="AN548" s="2"/>
    </row>
    <row r="549" spans="1:40" ht="16" x14ac:dyDescent="0.2">
      <c r="A549" s="2" t="s">
        <v>1795</v>
      </c>
      <c r="B549" s="46">
        <v>548</v>
      </c>
      <c r="C549" s="2" t="b">
        <v>0</v>
      </c>
      <c r="D549" s="2" t="b">
        <v>0</v>
      </c>
      <c r="E549" s="2" t="b">
        <v>0</v>
      </c>
      <c r="F549" s="2" t="b">
        <v>0</v>
      </c>
      <c r="G549" s="2" t="s">
        <v>31</v>
      </c>
      <c r="H549" s="2" t="s">
        <v>1796</v>
      </c>
      <c r="I549" s="2" t="s">
        <v>1797</v>
      </c>
      <c r="J549" s="2" t="s">
        <v>35</v>
      </c>
      <c r="K549" s="2" t="s">
        <v>35</v>
      </c>
      <c r="L549" s="2" t="s">
        <v>35</v>
      </c>
      <c r="M549" s="2" t="s">
        <v>35</v>
      </c>
      <c r="N549" s="2" t="s">
        <v>35</v>
      </c>
      <c r="O549" s="11">
        <v>44748.606437604169</v>
      </c>
      <c r="P549" s="11">
        <v>44748.606557326391</v>
      </c>
      <c r="Q549" s="27">
        <f t="shared" si="24"/>
        <v>1.1972222273470834E-4</v>
      </c>
      <c r="R549" s="65">
        <f t="shared" si="26"/>
        <v>1.3980092626297846E-3</v>
      </c>
      <c r="S549" s="2">
        <v>0</v>
      </c>
      <c r="T549" s="2" t="s">
        <v>36</v>
      </c>
      <c r="U549" s="2" t="s">
        <v>37</v>
      </c>
      <c r="V549" s="2" t="s">
        <v>38</v>
      </c>
      <c r="W549" s="2" t="s">
        <v>35</v>
      </c>
      <c r="X549" s="2" t="s">
        <v>35</v>
      </c>
      <c r="Y549" s="2" t="s">
        <v>35</v>
      </c>
      <c r="Z549" s="2" t="b">
        <v>0</v>
      </c>
      <c r="AA549" s="2" t="s">
        <v>35</v>
      </c>
      <c r="AB549" s="2" t="s">
        <v>35</v>
      </c>
      <c r="AC549" s="2" t="s">
        <v>35</v>
      </c>
      <c r="AD549" s="2">
        <v>3</v>
      </c>
      <c r="AE549" s="2" t="s">
        <v>941</v>
      </c>
      <c r="AF549" s="11">
        <v>44748.587500000001</v>
      </c>
      <c r="AG549" s="53"/>
      <c r="AH549" s="53" t="b">
        <f t="shared" si="25"/>
        <v>0</v>
      </c>
      <c r="AI549" s="54" t="str" cm="1">
        <f t="array" ref="AI549">TRANSPOSE(_xlfn._xlws.FILTER(images!L:L,images!F:F=Barrierenmessung!A549, ""))</f>
        <v>https://captureandgo.cloudlab.zhaw.ch/uploads/image_8ffd4f1225.jpg</v>
      </c>
      <c r="AJ549" s="2"/>
      <c r="AK549" s="2"/>
      <c r="AL549" s="2"/>
      <c r="AM549" s="2"/>
      <c r="AN549" s="2"/>
    </row>
    <row r="550" spans="1:40" ht="16" x14ac:dyDescent="0.2">
      <c r="A550" s="2" t="s">
        <v>1798</v>
      </c>
      <c r="B550" s="46">
        <v>549</v>
      </c>
      <c r="C550" s="2" t="b">
        <v>0</v>
      </c>
      <c r="D550" s="2" t="b">
        <v>0</v>
      </c>
      <c r="E550" s="2" t="b">
        <v>0</v>
      </c>
      <c r="F550" s="2" t="b">
        <v>0</v>
      </c>
      <c r="G550" s="2" t="s">
        <v>31</v>
      </c>
      <c r="H550" s="2" t="s">
        <v>1799</v>
      </c>
      <c r="I550" s="2" t="s">
        <v>1800</v>
      </c>
      <c r="J550" s="2" t="s">
        <v>35</v>
      </c>
      <c r="K550" s="2" t="s">
        <v>35</v>
      </c>
      <c r="L550" s="2" t="s">
        <v>35</v>
      </c>
      <c r="M550" s="2" t="s">
        <v>35</v>
      </c>
      <c r="N550" s="2" t="s">
        <v>35</v>
      </c>
      <c r="O550" s="11">
        <v>44748.607157106482</v>
      </c>
      <c r="P550" s="11">
        <v>44748.607420763889</v>
      </c>
      <c r="Q550" s="27">
        <f t="shared" si="24"/>
        <v>2.6365740632172674E-4</v>
      </c>
      <c r="R550" s="65">
        <f t="shared" si="26"/>
        <v>8.6343749717343599E-4</v>
      </c>
      <c r="S550" s="2">
        <v>0</v>
      </c>
      <c r="T550" s="2" t="s">
        <v>36</v>
      </c>
      <c r="U550" s="2" t="s">
        <v>37</v>
      </c>
      <c r="V550" s="2" t="s">
        <v>38</v>
      </c>
      <c r="W550" s="2" t="s">
        <v>35</v>
      </c>
      <c r="X550" s="2" t="s">
        <v>35</v>
      </c>
      <c r="Y550" s="2" t="s">
        <v>35</v>
      </c>
      <c r="Z550" s="2" t="b">
        <v>0</v>
      </c>
      <c r="AA550" s="2" t="s">
        <v>35</v>
      </c>
      <c r="AB550" s="2" t="s">
        <v>35</v>
      </c>
      <c r="AC550" s="2" t="s">
        <v>35</v>
      </c>
      <c r="AD550" s="2">
        <v>2</v>
      </c>
      <c r="AE550" s="2" t="s">
        <v>941</v>
      </c>
      <c r="AF550" s="11">
        <v>44748.587500000001</v>
      </c>
      <c r="AG550" s="53"/>
      <c r="AH550" s="53" t="b">
        <f t="shared" si="25"/>
        <v>0</v>
      </c>
      <c r="AI550" s="54" t="str" cm="1">
        <f t="array" ref="AI550">TRANSPOSE(_xlfn._xlws.FILTER(images!L:L,images!F:F=Barrierenmessung!A550, ""))</f>
        <v>https://captureandgo.cloudlab.zhaw.ch/uploads/image_5490c6c041.jpg</v>
      </c>
      <c r="AJ550" s="2"/>
      <c r="AK550" s="2"/>
      <c r="AL550" s="2"/>
      <c r="AM550" s="2"/>
      <c r="AN550" s="2"/>
    </row>
    <row r="551" spans="1:40" ht="16" x14ac:dyDescent="0.2">
      <c r="A551" s="2" t="s">
        <v>1801</v>
      </c>
      <c r="B551" s="46">
        <v>550</v>
      </c>
      <c r="C551" s="2" t="b">
        <v>0</v>
      </c>
      <c r="D551" s="2" t="b">
        <v>0</v>
      </c>
      <c r="E551" s="2" t="b">
        <v>0</v>
      </c>
      <c r="F551" s="2" t="b">
        <v>0</v>
      </c>
      <c r="G551" s="2" t="s">
        <v>31</v>
      </c>
      <c r="H551" s="2" t="s">
        <v>1802</v>
      </c>
      <c r="I551" s="2" t="s">
        <v>1803</v>
      </c>
      <c r="J551" s="2" t="s">
        <v>35</v>
      </c>
      <c r="K551" s="2" t="s">
        <v>35</v>
      </c>
      <c r="L551" s="2" t="s">
        <v>35</v>
      </c>
      <c r="M551" s="2" t="s">
        <v>35</v>
      </c>
      <c r="N551" s="2" t="s">
        <v>35</v>
      </c>
      <c r="O551" s="11">
        <v>44748.609893530091</v>
      </c>
      <c r="P551" s="11">
        <v>44748.61001585648</v>
      </c>
      <c r="Q551" s="27">
        <f t="shared" si="24"/>
        <v>1.2232638982823119E-4</v>
      </c>
      <c r="R551" s="65">
        <f t="shared" si="26"/>
        <v>2.5950925919460133E-3</v>
      </c>
      <c r="S551" s="2">
        <v>0</v>
      </c>
      <c r="T551" s="2" t="s">
        <v>36</v>
      </c>
      <c r="U551" s="2" t="s">
        <v>37</v>
      </c>
      <c r="V551" s="2" t="s">
        <v>38</v>
      </c>
      <c r="W551" s="2" t="s">
        <v>35</v>
      </c>
      <c r="X551" s="2" t="s">
        <v>35</v>
      </c>
      <c r="Y551" s="2" t="s">
        <v>35</v>
      </c>
      <c r="Z551" s="2" t="b">
        <v>0</v>
      </c>
      <c r="AA551" s="2" t="s">
        <v>35</v>
      </c>
      <c r="AB551" s="2" t="s">
        <v>35</v>
      </c>
      <c r="AC551" s="2" t="s">
        <v>35</v>
      </c>
      <c r="AD551" s="2">
        <v>4</v>
      </c>
      <c r="AE551" s="2" t="s">
        <v>941</v>
      </c>
      <c r="AF551" s="11">
        <v>44748.587500000001</v>
      </c>
      <c r="AG551" s="53"/>
      <c r="AH551" s="53" t="b">
        <f t="shared" si="25"/>
        <v>0</v>
      </c>
      <c r="AI551" s="54" t="str" cm="1">
        <f t="array" ref="AI551">TRANSPOSE(_xlfn._xlws.FILTER(images!L:L,images!F:F=Barrierenmessung!A551, ""))</f>
        <v>https://captureandgo.cloudlab.zhaw.ch/uploads/image_e20b402561.jpg</v>
      </c>
      <c r="AJ551" s="2"/>
      <c r="AK551" s="2"/>
      <c r="AL551" s="2"/>
      <c r="AM551" s="2"/>
      <c r="AN551" s="2"/>
    </row>
    <row r="552" spans="1:40" ht="16" x14ac:dyDescent="0.2">
      <c r="A552" s="2" t="s">
        <v>1804</v>
      </c>
      <c r="B552" s="46">
        <v>551</v>
      </c>
      <c r="C552" s="2" t="b">
        <v>0</v>
      </c>
      <c r="D552" s="2" t="b">
        <v>0</v>
      </c>
      <c r="E552" s="2" t="b">
        <v>0</v>
      </c>
      <c r="F552" s="2" t="b">
        <v>0</v>
      </c>
      <c r="G552" s="2" t="s">
        <v>31</v>
      </c>
      <c r="H552" s="2" t="s">
        <v>1805</v>
      </c>
      <c r="I552" s="2" t="s">
        <v>1806</v>
      </c>
      <c r="J552" s="2" t="s">
        <v>940</v>
      </c>
      <c r="K552" s="2" t="s">
        <v>35</v>
      </c>
      <c r="L552" s="2" t="s">
        <v>35</v>
      </c>
      <c r="M552" s="2" t="s">
        <v>35</v>
      </c>
      <c r="N552" s="2" t="s">
        <v>35</v>
      </c>
      <c r="O552" s="11">
        <v>44748.611765462963</v>
      </c>
      <c r="P552" s="11">
        <v>44748.611956400462</v>
      </c>
      <c r="Q552" s="27">
        <f t="shared" si="24"/>
        <v>1.9093749870080501E-4</v>
      </c>
      <c r="R552" s="65">
        <f t="shared" si="26"/>
        <v>1.9405439816182479E-3</v>
      </c>
      <c r="S552" s="2">
        <v>0</v>
      </c>
      <c r="T552" s="2" t="s">
        <v>124</v>
      </c>
      <c r="U552" s="2" t="s">
        <v>125</v>
      </c>
      <c r="V552" s="2" t="s">
        <v>38</v>
      </c>
      <c r="W552" s="2" t="s">
        <v>35</v>
      </c>
      <c r="X552" s="2" t="s">
        <v>35</v>
      </c>
      <c r="Y552" s="2" t="s">
        <v>35</v>
      </c>
      <c r="Z552" s="2" t="b">
        <v>0</v>
      </c>
      <c r="AA552" s="2" t="s">
        <v>35</v>
      </c>
      <c r="AB552" s="2">
        <v>4</v>
      </c>
      <c r="AC552" s="2" t="s">
        <v>35</v>
      </c>
      <c r="AD552" s="2" t="s">
        <v>35</v>
      </c>
      <c r="AE552" s="2" t="s">
        <v>941</v>
      </c>
      <c r="AF552" s="11">
        <v>44748.587500000001</v>
      </c>
      <c r="AG552" s="53"/>
      <c r="AH552" s="53" t="b">
        <f t="shared" si="25"/>
        <v>0</v>
      </c>
      <c r="AI552" s="54" t="str" cm="1">
        <f t="array" ref="AI552">TRANSPOSE(_xlfn._xlws.FILTER(images!L:L,images!F:F=Barrierenmessung!A552, ""))</f>
        <v>https://captureandgo.cloudlab.zhaw.ch/uploads/image_5ed43b4290.jpg</v>
      </c>
      <c r="AJ552" s="2"/>
      <c r="AK552" s="2"/>
      <c r="AL552" s="2"/>
      <c r="AM552" s="2"/>
      <c r="AN552" s="2"/>
    </row>
    <row r="553" spans="1:40" ht="16" x14ac:dyDescent="0.2">
      <c r="A553" s="2" t="s">
        <v>1807</v>
      </c>
      <c r="B553" s="46">
        <v>552</v>
      </c>
      <c r="C553" s="2" t="b">
        <v>0</v>
      </c>
      <c r="D553" s="2" t="b">
        <v>0</v>
      </c>
      <c r="E553" s="2" t="b">
        <v>0</v>
      </c>
      <c r="F553" s="2" t="b">
        <v>1</v>
      </c>
      <c r="G553" s="2" t="s">
        <v>31</v>
      </c>
      <c r="H553" s="2" t="s">
        <v>1808</v>
      </c>
      <c r="I553" s="2" t="s">
        <v>1809</v>
      </c>
      <c r="J553" s="2" t="s">
        <v>1810</v>
      </c>
      <c r="K553" s="2" t="s">
        <v>35</v>
      </c>
      <c r="L553" s="2">
        <v>15</v>
      </c>
      <c r="M553" s="2" t="s">
        <v>35</v>
      </c>
      <c r="N553" s="2" t="s">
        <v>35</v>
      </c>
      <c r="O553" s="11">
        <v>44748.612043310182</v>
      </c>
      <c r="P553" s="11">
        <v>44748.613276701391</v>
      </c>
      <c r="Q553" s="27">
        <f t="shared" si="24"/>
        <v>1.2333912090980448E-3</v>
      </c>
      <c r="R553" s="65">
        <f t="shared" si="26"/>
        <v>1.3203009293647483E-3</v>
      </c>
      <c r="S553" s="2">
        <v>0</v>
      </c>
      <c r="T553" s="2" t="s">
        <v>265</v>
      </c>
      <c r="U553" s="2" t="s">
        <v>266</v>
      </c>
      <c r="V553" s="2" t="s">
        <v>38</v>
      </c>
      <c r="W553" s="2" t="s">
        <v>35</v>
      </c>
      <c r="X553" s="2" t="s">
        <v>35</v>
      </c>
      <c r="Y553" s="2" t="s">
        <v>35</v>
      </c>
      <c r="Z553" s="2" t="b">
        <v>0</v>
      </c>
      <c r="AA553" s="2" t="s">
        <v>35</v>
      </c>
      <c r="AB553" s="2" t="s">
        <v>35</v>
      </c>
      <c r="AC553" s="2" t="s">
        <v>35</v>
      </c>
      <c r="AD553" s="2" t="s">
        <v>35</v>
      </c>
      <c r="AE553" s="2" t="s">
        <v>941</v>
      </c>
      <c r="AF553" s="11">
        <v>44748.587500000001</v>
      </c>
      <c r="AG553" s="53"/>
      <c r="AH553" s="53" t="b">
        <f t="shared" si="25"/>
        <v>0</v>
      </c>
      <c r="AI553" s="54" t="str" cm="1">
        <f t="array" ref="AI553">TRANSPOSE(_xlfn._xlws.FILTER(images!L:L,images!F:F=Barrierenmessung!A553, ""))</f>
        <v>https://captureandgo.cloudlab.zhaw.ch/uploads/image_f93f4b0205.jpg</v>
      </c>
      <c r="AJ553" s="2"/>
      <c r="AK553" s="2"/>
      <c r="AL553" s="2"/>
      <c r="AM553" s="2"/>
      <c r="AN553" s="2"/>
    </row>
    <row r="554" spans="1:40" ht="16" x14ac:dyDescent="0.2">
      <c r="A554" s="2" t="s">
        <v>1811</v>
      </c>
      <c r="B554" s="46">
        <v>553</v>
      </c>
      <c r="C554" s="2" t="b">
        <v>0</v>
      </c>
      <c r="D554" s="2" t="b">
        <v>0</v>
      </c>
      <c r="E554" s="2" t="b">
        <v>0</v>
      </c>
      <c r="F554" s="2" t="b">
        <v>0</v>
      </c>
      <c r="G554" s="2" t="s">
        <v>31</v>
      </c>
      <c r="H554" s="2" t="s">
        <v>1812</v>
      </c>
      <c r="I554" s="2" t="s">
        <v>1813</v>
      </c>
      <c r="J554" s="2" t="s">
        <v>35</v>
      </c>
      <c r="K554" s="2" t="s">
        <v>35</v>
      </c>
      <c r="L554" s="2" t="s">
        <v>35</v>
      </c>
      <c r="M554" s="2" t="s">
        <v>35</v>
      </c>
      <c r="N554" s="2" t="s">
        <v>35</v>
      </c>
      <c r="O554" s="11">
        <v>44748.613734837963</v>
      </c>
      <c r="P554" s="11">
        <v>44748.613858171295</v>
      </c>
      <c r="Q554" s="27">
        <f t="shared" si="24"/>
        <v>1.2333333143033087E-4</v>
      </c>
      <c r="R554" s="65">
        <f t="shared" si="26"/>
        <v>5.8146990340901539E-4</v>
      </c>
      <c r="S554" s="2">
        <v>0</v>
      </c>
      <c r="T554" s="2" t="s">
        <v>36</v>
      </c>
      <c r="U554" s="2" t="s">
        <v>37</v>
      </c>
      <c r="V554" s="2" t="s">
        <v>38</v>
      </c>
      <c r="W554" s="2" t="s">
        <v>35</v>
      </c>
      <c r="X554" s="2" t="s">
        <v>35</v>
      </c>
      <c r="Y554" s="2" t="s">
        <v>35</v>
      </c>
      <c r="Z554" s="2" t="b">
        <v>0</v>
      </c>
      <c r="AA554" s="2" t="s">
        <v>35</v>
      </c>
      <c r="AB554" s="2" t="s">
        <v>35</v>
      </c>
      <c r="AC554" s="2" t="s">
        <v>35</v>
      </c>
      <c r="AD554" s="2">
        <v>3</v>
      </c>
      <c r="AE554" s="2" t="s">
        <v>941</v>
      </c>
      <c r="AF554" s="11">
        <v>44748.587500000001</v>
      </c>
      <c r="AG554" s="53"/>
      <c r="AH554" s="53" t="b">
        <f t="shared" si="25"/>
        <v>0</v>
      </c>
      <c r="AI554" s="54" t="str" cm="1">
        <f t="array" ref="AI554">TRANSPOSE(_xlfn._xlws.FILTER(images!L:L,images!F:F=Barrierenmessung!A554, ""))</f>
        <v>https://captureandgo.cloudlab.zhaw.ch/uploads/image_c5dd3a1913.jpg</v>
      </c>
      <c r="AJ554" s="2"/>
      <c r="AK554" s="2"/>
      <c r="AL554" s="2"/>
      <c r="AM554" s="2"/>
      <c r="AN554" s="2"/>
    </row>
    <row r="555" spans="1:40" ht="16" x14ac:dyDescent="0.2">
      <c r="A555" s="2" t="s">
        <v>1814</v>
      </c>
      <c r="B555" s="46">
        <v>554</v>
      </c>
      <c r="C555" s="2" t="b">
        <v>0</v>
      </c>
      <c r="D555" s="2" t="b">
        <v>0</v>
      </c>
      <c r="E555" s="2" t="b">
        <v>0</v>
      </c>
      <c r="F555" s="2" t="b">
        <v>0</v>
      </c>
      <c r="G555" s="2" t="s">
        <v>31</v>
      </c>
      <c r="H555" s="2" t="s">
        <v>1815</v>
      </c>
      <c r="I555" s="2" t="s">
        <v>1816</v>
      </c>
      <c r="J555" s="2" t="s">
        <v>35</v>
      </c>
      <c r="K555" s="2" t="s">
        <v>35</v>
      </c>
      <c r="L555" s="2" t="s">
        <v>35</v>
      </c>
      <c r="M555" s="2" t="s">
        <v>35</v>
      </c>
      <c r="N555" s="2" t="s">
        <v>35</v>
      </c>
      <c r="O555" s="11">
        <v>44748.615874027775</v>
      </c>
      <c r="P555" s="11">
        <v>44748.616050416669</v>
      </c>
      <c r="Q555" s="27">
        <f t="shared" si="24"/>
        <v>1.7638889403315261E-4</v>
      </c>
      <c r="R555" s="65">
        <f t="shared" si="26"/>
        <v>2.1922453743172809E-3</v>
      </c>
      <c r="S555" s="2">
        <v>0</v>
      </c>
      <c r="T555" s="2" t="s">
        <v>36</v>
      </c>
      <c r="U555" s="2" t="s">
        <v>37</v>
      </c>
      <c r="V555" s="2" t="s">
        <v>38</v>
      </c>
      <c r="W555" s="2" t="s">
        <v>35</v>
      </c>
      <c r="X555" s="2" t="s">
        <v>35</v>
      </c>
      <c r="Y555" s="2" t="s">
        <v>35</v>
      </c>
      <c r="Z555" s="2" t="b">
        <v>0</v>
      </c>
      <c r="AA555" s="2" t="s">
        <v>35</v>
      </c>
      <c r="AB555" s="2" t="s">
        <v>35</v>
      </c>
      <c r="AC555" s="2" t="s">
        <v>35</v>
      </c>
      <c r="AD555" s="2">
        <v>2</v>
      </c>
      <c r="AE555" s="2" t="s">
        <v>941</v>
      </c>
      <c r="AF555" s="11">
        <v>44748.587500000001</v>
      </c>
      <c r="AG555" s="53"/>
      <c r="AH555" s="53" t="b">
        <f t="shared" si="25"/>
        <v>0</v>
      </c>
      <c r="AI555" s="54" t="str" cm="1">
        <f t="array" ref="AI555">TRANSPOSE(_xlfn._xlws.FILTER(images!L:L,images!F:F=Barrierenmessung!A555, ""))</f>
        <v>https://captureandgo.cloudlab.zhaw.ch/uploads/image_5830eae2cd.jpg</v>
      </c>
      <c r="AJ555" s="2"/>
      <c r="AK555" s="2"/>
      <c r="AL555" s="2"/>
      <c r="AM555" s="2"/>
      <c r="AN555" s="2"/>
    </row>
    <row r="556" spans="1:40" ht="16" x14ac:dyDescent="0.2">
      <c r="A556" s="2" t="s">
        <v>1817</v>
      </c>
      <c r="B556" s="46">
        <v>555</v>
      </c>
      <c r="C556" s="2" t="b">
        <v>0</v>
      </c>
      <c r="D556" s="2" t="b">
        <v>0</v>
      </c>
      <c r="E556" s="2" t="b">
        <v>0</v>
      </c>
      <c r="F556" s="2" t="b">
        <v>0</v>
      </c>
      <c r="G556" s="2" t="s">
        <v>31</v>
      </c>
      <c r="H556" s="2" t="s">
        <v>1818</v>
      </c>
      <c r="I556" s="2" t="s">
        <v>1819</v>
      </c>
      <c r="J556" s="2" t="s">
        <v>35</v>
      </c>
      <c r="K556" s="2" t="s">
        <v>35</v>
      </c>
      <c r="L556" s="2" t="s">
        <v>35</v>
      </c>
      <c r="M556" s="2">
        <v>2</v>
      </c>
      <c r="N556" s="2">
        <v>15</v>
      </c>
      <c r="O556" s="11">
        <v>44748.61629322917</v>
      </c>
      <c r="P556" s="11">
        <v>44748.616743564817</v>
      </c>
      <c r="Q556" s="27">
        <f t="shared" si="24"/>
        <v>4.5033564674668014E-4</v>
      </c>
      <c r="R556" s="65">
        <f t="shared" si="26"/>
        <v>6.9314814754761755E-4</v>
      </c>
      <c r="S556" s="2">
        <v>0</v>
      </c>
      <c r="T556" s="2" t="s">
        <v>54</v>
      </c>
      <c r="U556" s="2" t="s">
        <v>55</v>
      </c>
      <c r="V556" s="2" t="s">
        <v>38</v>
      </c>
      <c r="W556" s="2" t="s">
        <v>35</v>
      </c>
      <c r="X556" s="2" t="s">
        <v>35</v>
      </c>
      <c r="Y556" s="2" t="s">
        <v>35</v>
      </c>
      <c r="Z556" s="2" t="b">
        <v>0</v>
      </c>
      <c r="AA556" s="2" t="s">
        <v>35</v>
      </c>
      <c r="AB556" s="2" t="s">
        <v>35</v>
      </c>
      <c r="AC556" s="2" t="s">
        <v>35</v>
      </c>
      <c r="AD556" s="2" t="s">
        <v>35</v>
      </c>
      <c r="AE556" s="2" t="s">
        <v>941</v>
      </c>
      <c r="AF556" s="11">
        <v>44748.587500000001</v>
      </c>
      <c r="AG556" s="53"/>
      <c r="AH556" s="53" t="b">
        <f t="shared" si="25"/>
        <v>0</v>
      </c>
      <c r="AI556" s="54" t="str" cm="1">
        <f t="array" ref="AI556">TRANSPOSE(_xlfn._xlws.FILTER(images!L:L,images!F:F=Barrierenmessung!A556, ""))</f>
        <v>https://captureandgo.cloudlab.zhaw.ch/uploads/image_197ea622c2.jpg</v>
      </c>
      <c r="AJ556" s="2"/>
      <c r="AK556" s="2"/>
      <c r="AL556" s="2"/>
      <c r="AM556" s="2"/>
      <c r="AN556" s="2"/>
    </row>
    <row r="557" spans="1:40" ht="16" x14ac:dyDescent="0.2">
      <c r="A557" s="2" t="s">
        <v>1820</v>
      </c>
      <c r="B557" s="46">
        <v>556</v>
      </c>
      <c r="C557" s="2" t="b">
        <v>0</v>
      </c>
      <c r="D557" s="2" t="b">
        <v>0</v>
      </c>
      <c r="E557" s="2" t="b">
        <v>0</v>
      </c>
      <c r="F557" s="2" t="b">
        <v>0</v>
      </c>
      <c r="G557" s="2" t="s">
        <v>31</v>
      </c>
      <c r="H557" s="2" t="s">
        <v>1821</v>
      </c>
      <c r="I557" s="2" t="s">
        <v>1822</v>
      </c>
      <c r="J557" s="2" t="s">
        <v>119</v>
      </c>
      <c r="K557" s="2" t="s">
        <v>35</v>
      </c>
      <c r="L557" s="2" t="s">
        <v>35</v>
      </c>
      <c r="M557" s="2" t="s">
        <v>35</v>
      </c>
      <c r="N557" s="2" t="s">
        <v>35</v>
      </c>
      <c r="O557" s="11">
        <v>44748.617552708332</v>
      </c>
      <c r="P557" s="11">
        <v>44748.61790636574</v>
      </c>
      <c r="Q557" s="27">
        <f t="shared" si="24"/>
        <v>3.5365740768611431E-4</v>
      </c>
      <c r="R557" s="65">
        <f t="shared" si="26"/>
        <v>1.1628009233390912E-3</v>
      </c>
      <c r="S557" s="2">
        <v>0</v>
      </c>
      <c r="T557" s="2" t="s">
        <v>416</v>
      </c>
      <c r="U557" s="2" t="s">
        <v>417</v>
      </c>
      <c r="V557" s="2" t="s">
        <v>38</v>
      </c>
      <c r="W557" s="2" t="s">
        <v>35</v>
      </c>
      <c r="X557" s="2">
        <v>0</v>
      </c>
      <c r="Y557" s="2" t="s">
        <v>1823</v>
      </c>
      <c r="Z557" s="2" t="b">
        <v>0</v>
      </c>
      <c r="AA557" s="2" t="s">
        <v>35</v>
      </c>
      <c r="AB557" s="2" t="s">
        <v>35</v>
      </c>
      <c r="AC557" s="2" t="s">
        <v>35</v>
      </c>
      <c r="AD557" s="2" t="s">
        <v>35</v>
      </c>
      <c r="AE557" s="2" t="s">
        <v>941</v>
      </c>
      <c r="AF557" s="11">
        <v>44748.587500000001</v>
      </c>
      <c r="AG557" s="53"/>
      <c r="AH557" s="53" t="b">
        <f t="shared" si="25"/>
        <v>0</v>
      </c>
      <c r="AI557" s="54" t="str" cm="1">
        <f t="array" ref="AI557">TRANSPOSE(_xlfn._xlws.FILTER(images!L:L,images!F:F=Barrierenmessung!A557, ""))</f>
        <v>https://captureandgo.cloudlab.zhaw.ch/uploads/image_fcc0ac92d2.jpg</v>
      </c>
      <c r="AJ557" s="2"/>
      <c r="AK557" s="2"/>
      <c r="AL557" s="2"/>
      <c r="AM557" s="2"/>
      <c r="AN557" s="2"/>
    </row>
    <row r="558" spans="1:40" ht="16" x14ac:dyDescent="0.2">
      <c r="A558" s="4" t="s">
        <v>1824</v>
      </c>
      <c r="B558" s="4">
        <v>557</v>
      </c>
      <c r="C558" s="4" t="b">
        <v>0</v>
      </c>
      <c r="D558" s="4" t="b">
        <v>0</v>
      </c>
      <c r="E558" s="4" t="b">
        <v>0</v>
      </c>
      <c r="F558" s="4" t="b">
        <v>0</v>
      </c>
      <c r="G558" s="4" t="s">
        <v>121</v>
      </c>
      <c r="H558" s="68" t="s">
        <v>149</v>
      </c>
      <c r="I558" s="4" t="s">
        <v>1825</v>
      </c>
      <c r="J558" s="4" t="s">
        <v>35</v>
      </c>
      <c r="K558" s="4" t="s">
        <v>35</v>
      </c>
      <c r="L558" s="4" t="s">
        <v>35</v>
      </c>
      <c r="M558" s="4" t="s">
        <v>35</v>
      </c>
      <c r="N558" s="4" t="s">
        <v>35</v>
      </c>
      <c r="O558" s="13">
        <v>44748.632398310183</v>
      </c>
      <c r="P558" s="13">
        <v>44748.632413576386</v>
      </c>
      <c r="Q558" s="15">
        <f t="shared" si="24"/>
        <v>1.5266203263308853E-5</v>
      </c>
      <c r="R558" s="15">
        <f t="shared" si="26"/>
        <v>3.2469097204739228E-3</v>
      </c>
      <c r="S558" s="4">
        <v>0</v>
      </c>
      <c r="T558" s="4" t="s">
        <v>124</v>
      </c>
      <c r="U558" s="4" t="s">
        <v>125</v>
      </c>
      <c r="V558" s="4" t="s">
        <v>38</v>
      </c>
      <c r="W558" s="4" t="s">
        <v>35</v>
      </c>
      <c r="X558" s="4" t="s">
        <v>35</v>
      </c>
      <c r="Y558" s="4" t="s">
        <v>35</v>
      </c>
      <c r="Z558" s="4" t="b">
        <v>0</v>
      </c>
      <c r="AA558" s="4" t="s">
        <v>35</v>
      </c>
      <c r="AB558" s="4" t="s">
        <v>35</v>
      </c>
      <c r="AC558" s="4" t="s">
        <v>35</v>
      </c>
      <c r="AD558" s="4" t="s">
        <v>35</v>
      </c>
      <c r="AE558" s="4" t="s">
        <v>1826</v>
      </c>
      <c r="AF558" s="13">
        <v>44748.629166666666</v>
      </c>
      <c r="AG558" s="74" t="s">
        <v>9488</v>
      </c>
      <c r="AH558" s="58" t="b">
        <f t="shared" si="25"/>
        <v>0</v>
      </c>
      <c r="AI558" s="56" t="str" cm="1">
        <f t="array" ref="AI558">TRANSPOSE(_xlfn._xlws.FILTER(images!L:L,images!F:F=Barrierenmessung!A558, ""))</f>
        <v/>
      </c>
      <c r="AJ558" s="4"/>
      <c r="AK558" s="4"/>
      <c r="AL558" s="4"/>
      <c r="AM558" s="4"/>
      <c r="AN558" s="4"/>
    </row>
    <row r="559" spans="1:40" ht="16" x14ac:dyDescent="0.2">
      <c r="A559" s="4" t="s">
        <v>1827</v>
      </c>
      <c r="B559" s="4">
        <v>558</v>
      </c>
      <c r="C559" s="4" t="b">
        <v>0</v>
      </c>
      <c r="D559" s="4" t="b">
        <v>0</v>
      </c>
      <c r="E559" s="4" t="b">
        <v>0</v>
      </c>
      <c r="F559" s="4" t="b">
        <v>0</v>
      </c>
      <c r="G559" s="4" t="s">
        <v>121</v>
      </c>
      <c r="H559" s="68" t="s">
        <v>149</v>
      </c>
      <c r="I559" s="4" t="s">
        <v>1825</v>
      </c>
      <c r="J559" s="4" t="s">
        <v>35</v>
      </c>
      <c r="K559" s="4" t="s">
        <v>35</v>
      </c>
      <c r="L559" s="4" t="s">
        <v>35</v>
      </c>
      <c r="M559" s="4" t="s">
        <v>35</v>
      </c>
      <c r="N559" s="4" t="s">
        <v>35</v>
      </c>
      <c r="O559" s="13">
        <v>44748.63239846065</v>
      </c>
      <c r="P559" s="13">
        <v>44748.632413587962</v>
      </c>
      <c r="Q559" s="15">
        <f t="shared" si="24"/>
        <v>1.5127312508411705E-5</v>
      </c>
      <c r="R559" s="15">
        <f t="shared" si="26"/>
        <v>1.1576048564165831E-8</v>
      </c>
      <c r="S559" s="4">
        <v>0</v>
      </c>
      <c r="T559" s="4" t="s">
        <v>124</v>
      </c>
      <c r="U559" s="4" t="s">
        <v>125</v>
      </c>
      <c r="V559" s="4" t="s">
        <v>38</v>
      </c>
      <c r="W559" s="4" t="s">
        <v>35</v>
      </c>
      <c r="X559" s="4" t="s">
        <v>35</v>
      </c>
      <c r="Y559" s="4" t="s">
        <v>35</v>
      </c>
      <c r="Z559" s="4" t="b">
        <v>0</v>
      </c>
      <c r="AA559" s="4" t="s">
        <v>35</v>
      </c>
      <c r="AB559" s="4" t="s">
        <v>35</v>
      </c>
      <c r="AC559" s="4" t="s">
        <v>35</v>
      </c>
      <c r="AD559" s="4" t="s">
        <v>35</v>
      </c>
      <c r="AE559" s="4" t="s">
        <v>1826</v>
      </c>
      <c r="AF559" s="13">
        <v>44748.629166666666</v>
      </c>
      <c r="AG559" s="74" t="s">
        <v>9490</v>
      </c>
      <c r="AH559" s="58" t="b">
        <f t="shared" si="25"/>
        <v>0</v>
      </c>
      <c r="AI559" s="56" t="str" cm="1">
        <f t="array" ref="AI559">TRANSPOSE(_xlfn._xlws.FILTER(images!L:L,images!F:F=Barrierenmessung!A559, ""))</f>
        <v/>
      </c>
      <c r="AJ559" s="4"/>
      <c r="AK559" s="4"/>
      <c r="AL559" s="4"/>
      <c r="AM559" s="4"/>
      <c r="AN559" s="4"/>
    </row>
    <row r="560" spans="1:40" ht="16" x14ac:dyDescent="0.2">
      <c r="A560" s="46" t="s">
        <v>1828</v>
      </c>
      <c r="B560" s="46">
        <v>559</v>
      </c>
      <c r="C560" s="46" t="b">
        <v>0</v>
      </c>
      <c r="D560" s="46" t="b">
        <v>0</v>
      </c>
      <c r="E560" s="46" t="b">
        <v>0</v>
      </c>
      <c r="F560" s="46" t="b">
        <v>0</v>
      </c>
      <c r="G560" s="46" t="s">
        <v>31</v>
      </c>
      <c r="H560" s="46" t="s">
        <v>1829</v>
      </c>
      <c r="I560" s="46" t="s">
        <v>1830</v>
      </c>
      <c r="J560" s="46" t="s">
        <v>1831</v>
      </c>
      <c r="K560" s="46" t="s">
        <v>35</v>
      </c>
      <c r="L560" s="46" t="s">
        <v>35</v>
      </c>
      <c r="M560" s="46" t="s">
        <v>35</v>
      </c>
      <c r="N560" s="46" t="s">
        <v>35</v>
      </c>
      <c r="O560" s="66">
        <v>44748.632398576388</v>
      </c>
      <c r="P560" s="66">
        <v>44748.632904386577</v>
      </c>
      <c r="Q560" s="65">
        <f t="shared" si="24"/>
        <v>5.0581018876982853E-4</v>
      </c>
      <c r="R560" s="65">
        <f t="shared" si="26"/>
        <v>4.9079861491918564E-4</v>
      </c>
      <c r="S560" s="46">
        <v>0</v>
      </c>
      <c r="T560" s="46" t="s">
        <v>36</v>
      </c>
      <c r="U560" s="46" t="s">
        <v>37</v>
      </c>
      <c r="V560" s="46" t="s">
        <v>38</v>
      </c>
      <c r="W560" s="46" t="s">
        <v>35</v>
      </c>
      <c r="X560" s="46" t="s">
        <v>35</v>
      </c>
      <c r="Y560" s="46" t="s">
        <v>35</v>
      </c>
      <c r="Z560" s="46" t="b">
        <v>0</v>
      </c>
      <c r="AA560" s="46" t="s">
        <v>35</v>
      </c>
      <c r="AB560" s="46">
        <v>4</v>
      </c>
      <c r="AC560" s="46">
        <v>3</v>
      </c>
      <c r="AD560" s="46" t="s">
        <v>35</v>
      </c>
      <c r="AE560" s="46" t="s">
        <v>1826</v>
      </c>
      <c r="AF560" s="66">
        <v>44748.629166666666</v>
      </c>
      <c r="AG560" s="67"/>
      <c r="AH560" s="53" t="b">
        <f t="shared" si="25"/>
        <v>0</v>
      </c>
      <c r="AI560" s="73" t="str" cm="1">
        <f t="array" ref="AI560">TRANSPOSE(_xlfn._xlws.FILTER(images!L:L,images!F:F=Barrierenmessung!A560, ""))</f>
        <v>https://captureandgo.cloudlab.zhaw.ch/uploads/image_a71a51e7a3.jpg</v>
      </c>
      <c r="AJ560" s="46"/>
      <c r="AK560" s="46"/>
      <c r="AL560" s="46"/>
      <c r="AM560" s="46"/>
      <c r="AN560" s="46"/>
    </row>
    <row r="561" spans="1:40" ht="16" x14ac:dyDescent="0.2">
      <c r="A561" s="21" t="s">
        <v>1832</v>
      </c>
      <c r="B561" s="21">
        <v>560</v>
      </c>
      <c r="C561" s="21" t="b">
        <v>0</v>
      </c>
      <c r="D561" s="21" t="b">
        <v>0</v>
      </c>
      <c r="E561" s="21" t="b">
        <v>0</v>
      </c>
      <c r="F561" s="21" t="b">
        <v>0</v>
      </c>
      <c r="G561" s="21" t="s">
        <v>31</v>
      </c>
      <c r="H561" s="68" t="s">
        <v>149</v>
      </c>
      <c r="I561" s="21" t="s">
        <v>1825</v>
      </c>
      <c r="J561" s="21" t="s">
        <v>940</v>
      </c>
      <c r="K561" s="21" t="s">
        <v>35</v>
      </c>
      <c r="L561" s="21" t="s">
        <v>35</v>
      </c>
      <c r="M561" s="21" t="s">
        <v>35</v>
      </c>
      <c r="N561" s="21" t="s">
        <v>35</v>
      </c>
      <c r="O561" s="22">
        <v>44748.63239864583</v>
      </c>
      <c r="P561" s="22">
        <v>44748.632413599538</v>
      </c>
      <c r="Q561" s="23">
        <f t="shared" si="24"/>
        <v>1.4953708159737289E-5</v>
      </c>
      <c r="R561" s="23">
        <f t="shared" si="26"/>
        <v>-4.9078703887062147E-4</v>
      </c>
      <c r="S561" s="21">
        <v>0</v>
      </c>
      <c r="T561" s="21" t="s">
        <v>124</v>
      </c>
      <c r="U561" s="21" t="s">
        <v>125</v>
      </c>
      <c r="V561" s="21" t="s">
        <v>38</v>
      </c>
      <c r="W561" s="21" t="s">
        <v>35</v>
      </c>
      <c r="X561" s="21" t="s">
        <v>35</v>
      </c>
      <c r="Y561" s="21" t="s">
        <v>35</v>
      </c>
      <c r="Z561" s="21" t="b">
        <v>0</v>
      </c>
      <c r="AA561" s="21" t="s">
        <v>35</v>
      </c>
      <c r="AB561" s="21">
        <v>4</v>
      </c>
      <c r="AC561" s="21" t="s">
        <v>35</v>
      </c>
      <c r="AD561" s="21" t="s">
        <v>35</v>
      </c>
      <c r="AE561" s="21" t="s">
        <v>1826</v>
      </c>
      <c r="AF561" s="22">
        <v>44748.629166666666</v>
      </c>
      <c r="AG561" s="75" t="s">
        <v>9489</v>
      </c>
      <c r="AH561" s="57" t="b">
        <f t="shared" si="25"/>
        <v>0</v>
      </c>
      <c r="AI561" s="56" t="str" cm="1">
        <f t="array" ref="AI561">TRANSPOSE(_xlfn._xlws.FILTER(images!L:L,images!F:F=Barrierenmessung!A561, ""))</f>
        <v/>
      </c>
      <c r="AJ561" s="21"/>
      <c r="AK561" s="21"/>
      <c r="AL561" s="21"/>
      <c r="AM561" s="21"/>
      <c r="AN561" s="21"/>
    </row>
    <row r="562" spans="1:40" ht="16" x14ac:dyDescent="0.2">
      <c r="A562" s="68" t="s">
        <v>1833</v>
      </c>
      <c r="B562" s="68">
        <v>561</v>
      </c>
      <c r="C562" s="68" t="b">
        <v>0</v>
      </c>
      <c r="D562" s="68" t="b">
        <v>0</v>
      </c>
      <c r="E562" s="68" t="b">
        <v>0</v>
      </c>
      <c r="F562" s="68" t="b">
        <v>0</v>
      </c>
      <c r="G562" s="68" t="s">
        <v>31</v>
      </c>
      <c r="H562" s="68" t="s">
        <v>149</v>
      </c>
      <c r="I562" s="68" t="s">
        <v>1834</v>
      </c>
      <c r="J562" s="68" t="s">
        <v>1835</v>
      </c>
      <c r="K562" s="68" t="s">
        <v>35</v>
      </c>
      <c r="L562" s="68" t="s">
        <v>35</v>
      </c>
      <c r="M562" s="68" t="s">
        <v>35</v>
      </c>
      <c r="N562" s="68" t="s">
        <v>35</v>
      </c>
      <c r="O562" s="69">
        <v>44748.634756111111</v>
      </c>
      <c r="P562" s="69">
        <v>44748.635266516205</v>
      </c>
      <c r="Q562" s="70">
        <f t="shared" si="24"/>
        <v>5.1040509424638003E-4</v>
      </c>
      <c r="R562" s="70">
        <f t="shared" si="26"/>
        <v>2.8529166665975936E-3</v>
      </c>
      <c r="S562" s="68">
        <v>0</v>
      </c>
      <c r="T562" s="68" t="s">
        <v>36</v>
      </c>
      <c r="U562" s="68" t="s">
        <v>37</v>
      </c>
      <c r="V562" s="68" t="s">
        <v>38</v>
      </c>
      <c r="W562" s="68" t="s">
        <v>35</v>
      </c>
      <c r="X562" s="68" t="s">
        <v>35</v>
      </c>
      <c r="Y562" s="68" t="s">
        <v>35</v>
      </c>
      <c r="Z562" s="68" t="b">
        <v>0</v>
      </c>
      <c r="AA562" s="68" t="s">
        <v>35</v>
      </c>
      <c r="AB562" s="68" t="s">
        <v>35</v>
      </c>
      <c r="AC562" s="68">
        <v>6</v>
      </c>
      <c r="AD562" s="68" t="s">
        <v>35</v>
      </c>
      <c r="AE562" s="68" t="s">
        <v>1826</v>
      </c>
      <c r="AF562" s="69">
        <v>44748.629166666666</v>
      </c>
      <c r="AG562" s="71"/>
      <c r="AH562" s="71" t="b">
        <f t="shared" si="25"/>
        <v>0</v>
      </c>
      <c r="AI562" s="56" t="str" cm="1">
        <f t="array" ref="AI562">TRANSPOSE(_xlfn._xlws.FILTER(images!L:L,images!F:F=Barrierenmessung!A562, ""))</f>
        <v/>
      </c>
      <c r="AJ562" s="68"/>
      <c r="AK562" s="68"/>
      <c r="AL562" s="68"/>
      <c r="AM562" s="68"/>
      <c r="AN562" s="68"/>
    </row>
    <row r="563" spans="1:40" ht="16" x14ac:dyDescent="0.2">
      <c r="A563" s="68" t="s">
        <v>1836</v>
      </c>
      <c r="B563" s="68">
        <v>562</v>
      </c>
      <c r="C563" s="68" t="b">
        <v>0</v>
      </c>
      <c r="D563" s="68" t="b">
        <v>0</v>
      </c>
      <c r="E563" s="68" t="b">
        <v>0</v>
      </c>
      <c r="F563" s="68" t="b">
        <v>0</v>
      </c>
      <c r="G563" s="68" t="s">
        <v>31</v>
      </c>
      <c r="H563" s="68" t="s">
        <v>149</v>
      </c>
      <c r="I563" s="68" t="s">
        <v>1837</v>
      </c>
      <c r="J563" s="68" t="s">
        <v>35</v>
      </c>
      <c r="K563" s="68" t="s">
        <v>35</v>
      </c>
      <c r="L563" s="68" t="s">
        <v>35</v>
      </c>
      <c r="M563" s="68">
        <v>21</v>
      </c>
      <c r="N563" s="68">
        <v>16</v>
      </c>
      <c r="O563" s="69">
        <v>44748.636153784719</v>
      </c>
      <c r="P563" s="69">
        <v>44748.636500231485</v>
      </c>
      <c r="Q563" s="70">
        <f t="shared" si="24"/>
        <v>3.4644676634343341E-4</v>
      </c>
      <c r="R563" s="70">
        <f t="shared" si="26"/>
        <v>1.2337152802501805E-3</v>
      </c>
      <c r="S563" s="68">
        <v>0</v>
      </c>
      <c r="T563" s="68" t="s">
        <v>54</v>
      </c>
      <c r="U563" s="68" t="s">
        <v>55</v>
      </c>
      <c r="V563" s="68" t="s">
        <v>38</v>
      </c>
      <c r="W563" s="68" t="s">
        <v>35</v>
      </c>
      <c r="X563" s="68" t="s">
        <v>35</v>
      </c>
      <c r="Y563" s="68" t="s">
        <v>35</v>
      </c>
      <c r="Z563" s="68" t="b">
        <v>0</v>
      </c>
      <c r="AA563" s="68" t="s">
        <v>35</v>
      </c>
      <c r="AB563" s="68" t="s">
        <v>35</v>
      </c>
      <c r="AC563" s="68" t="s">
        <v>35</v>
      </c>
      <c r="AD563" s="68" t="s">
        <v>35</v>
      </c>
      <c r="AE563" s="68" t="s">
        <v>1826</v>
      </c>
      <c r="AF563" s="69">
        <v>44748.629166666666</v>
      </c>
      <c r="AG563" s="71"/>
      <c r="AH563" s="71" t="b">
        <f t="shared" si="25"/>
        <v>0</v>
      </c>
      <c r="AI563" s="56" t="str" cm="1">
        <f t="array" ref="AI563">TRANSPOSE(_xlfn._xlws.FILTER(images!L:L,images!F:F=Barrierenmessung!A563, ""))</f>
        <v/>
      </c>
      <c r="AJ563" s="68"/>
      <c r="AK563" s="68"/>
      <c r="AL563" s="68"/>
      <c r="AM563" s="68"/>
      <c r="AN563" s="68"/>
    </row>
    <row r="564" spans="1:40" ht="16" x14ac:dyDescent="0.2">
      <c r="A564" s="68" t="s">
        <v>1838</v>
      </c>
      <c r="B564" s="68">
        <v>563</v>
      </c>
      <c r="C564" s="68" t="b">
        <v>0</v>
      </c>
      <c r="D564" s="68" t="b">
        <v>0</v>
      </c>
      <c r="E564" s="68" t="b">
        <v>0</v>
      </c>
      <c r="F564" s="68" t="b">
        <v>0</v>
      </c>
      <c r="G564" s="68" t="s">
        <v>31</v>
      </c>
      <c r="H564" s="68" t="s">
        <v>149</v>
      </c>
      <c r="I564" s="68" t="s">
        <v>1839</v>
      </c>
      <c r="J564" s="68" t="s">
        <v>35</v>
      </c>
      <c r="K564" s="68" t="s">
        <v>35</v>
      </c>
      <c r="L564" s="68" t="s">
        <v>35</v>
      </c>
      <c r="M564" s="68">
        <v>15</v>
      </c>
      <c r="N564" s="68">
        <v>16</v>
      </c>
      <c r="O564" s="69">
        <v>44748.636723449075</v>
      </c>
      <c r="P564" s="69">
        <v>44748.63696916667</v>
      </c>
      <c r="Q564" s="70">
        <f t="shared" si="24"/>
        <v>2.4571759422542527E-4</v>
      </c>
      <c r="R564" s="70">
        <f t="shared" si="26"/>
        <v>4.6893518447177485E-4</v>
      </c>
      <c r="S564" s="68">
        <v>0</v>
      </c>
      <c r="T564" s="68" t="s">
        <v>54</v>
      </c>
      <c r="U564" s="68" t="s">
        <v>55</v>
      </c>
      <c r="V564" s="68" t="s">
        <v>38</v>
      </c>
      <c r="W564" s="68" t="s">
        <v>35</v>
      </c>
      <c r="X564" s="68" t="s">
        <v>35</v>
      </c>
      <c r="Y564" s="68" t="s">
        <v>35</v>
      </c>
      <c r="Z564" s="68" t="b">
        <v>0</v>
      </c>
      <c r="AA564" s="68" t="s">
        <v>35</v>
      </c>
      <c r="AB564" s="68" t="s">
        <v>35</v>
      </c>
      <c r="AC564" s="68" t="s">
        <v>35</v>
      </c>
      <c r="AD564" s="68" t="s">
        <v>35</v>
      </c>
      <c r="AE564" s="68" t="s">
        <v>1826</v>
      </c>
      <c r="AF564" s="69">
        <v>44748.629166608793</v>
      </c>
      <c r="AG564" s="71"/>
      <c r="AH564" s="71" t="b">
        <f t="shared" si="25"/>
        <v>0</v>
      </c>
      <c r="AI564" s="56" t="str" cm="1">
        <f t="array" ref="AI564">TRANSPOSE(_xlfn._xlws.FILTER(images!L:L,images!F:F=Barrierenmessung!A564, ""))</f>
        <v/>
      </c>
      <c r="AJ564" s="68"/>
      <c r="AK564" s="68"/>
      <c r="AL564" s="68"/>
      <c r="AM564" s="68"/>
      <c r="AN564" s="68"/>
    </row>
    <row r="565" spans="1:40" ht="16" x14ac:dyDescent="0.2">
      <c r="A565" s="68" t="s">
        <v>1840</v>
      </c>
      <c r="B565" s="68">
        <v>564</v>
      </c>
      <c r="C565" s="68" t="b">
        <v>0</v>
      </c>
      <c r="D565" s="68" t="b">
        <v>0</v>
      </c>
      <c r="E565" s="68" t="b">
        <v>0</v>
      </c>
      <c r="F565" s="68" t="b">
        <v>0</v>
      </c>
      <c r="G565" s="68" t="s">
        <v>31</v>
      </c>
      <c r="H565" s="68" t="s">
        <v>149</v>
      </c>
      <c r="I565" s="68" t="s">
        <v>1841</v>
      </c>
      <c r="J565" s="68" t="s">
        <v>35</v>
      </c>
      <c r="K565" s="68" t="s">
        <v>35</v>
      </c>
      <c r="L565" s="68" t="s">
        <v>35</v>
      </c>
      <c r="M565" s="68" t="s">
        <v>35</v>
      </c>
      <c r="N565" s="68" t="s">
        <v>35</v>
      </c>
      <c r="O565" s="69">
        <v>44748.637738333331</v>
      </c>
      <c r="P565" s="69">
        <v>44748.637836608796</v>
      </c>
      <c r="Q565" s="70">
        <f t="shared" si="24"/>
        <v>9.8275464551988989E-5</v>
      </c>
      <c r="R565" s="70">
        <f t="shared" si="26"/>
        <v>8.6744212603662163E-4</v>
      </c>
      <c r="S565" s="68">
        <v>0</v>
      </c>
      <c r="T565" s="68" t="s">
        <v>36</v>
      </c>
      <c r="U565" s="68" t="s">
        <v>37</v>
      </c>
      <c r="V565" s="68" t="s">
        <v>38</v>
      </c>
      <c r="W565" s="68" t="s">
        <v>35</v>
      </c>
      <c r="X565" s="68" t="s">
        <v>35</v>
      </c>
      <c r="Y565" s="68" t="s">
        <v>35</v>
      </c>
      <c r="Z565" s="68" t="b">
        <v>0</v>
      </c>
      <c r="AA565" s="68" t="s">
        <v>35</v>
      </c>
      <c r="AB565" s="68" t="s">
        <v>35</v>
      </c>
      <c r="AC565" s="68" t="s">
        <v>35</v>
      </c>
      <c r="AD565" s="68">
        <v>2</v>
      </c>
      <c r="AE565" s="68" t="s">
        <v>1826</v>
      </c>
      <c r="AF565" s="69">
        <v>44748.629166608793</v>
      </c>
      <c r="AG565" s="71"/>
      <c r="AH565" s="71" t="b">
        <f t="shared" si="25"/>
        <v>0</v>
      </c>
      <c r="AI565" s="56" t="str" cm="1">
        <f t="array" ref="AI565">TRANSPOSE(_xlfn._xlws.FILTER(images!L:L,images!F:F=Barrierenmessung!A565, ""))</f>
        <v/>
      </c>
      <c r="AJ565" s="68"/>
      <c r="AK565" s="68"/>
      <c r="AL565" s="68"/>
      <c r="AM565" s="68"/>
      <c r="AN565" s="68"/>
    </row>
    <row r="566" spans="1:40" ht="16" x14ac:dyDescent="0.2">
      <c r="A566" s="68" t="s">
        <v>1842</v>
      </c>
      <c r="B566" s="68">
        <v>565</v>
      </c>
      <c r="C566" s="68" t="b">
        <v>0</v>
      </c>
      <c r="D566" s="68" t="b">
        <v>0</v>
      </c>
      <c r="E566" s="68" t="b">
        <v>0</v>
      </c>
      <c r="F566" s="68" t="b">
        <v>0</v>
      </c>
      <c r="G566" s="68" t="s">
        <v>31</v>
      </c>
      <c r="H566" s="68" t="s">
        <v>149</v>
      </c>
      <c r="I566" s="68" t="s">
        <v>1843</v>
      </c>
      <c r="J566" s="68" t="s">
        <v>940</v>
      </c>
      <c r="K566" s="68" t="s">
        <v>35</v>
      </c>
      <c r="L566" s="68" t="s">
        <v>35</v>
      </c>
      <c r="M566" s="68" t="s">
        <v>35</v>
      </c>
      <c r="N566" s="68" t="s">
        <v>35</v>
      </c>
      <c r="O566" s="69">
        <v>44748.640732384258</v>
      </c>
      <c r="P566" s="69">
        <v>44748.641055</v>
      </c>
      <c r="Q566" s="70">
        <f t="shared" si="24"/>
        <v>3.2261574233416468E-4</v>
      </c>
      <c r="R566" s="70">
        <f t="shared" si="26"/>
        <v>3.2183912044274621E-3</v>
      </c>
      <c r="S566" s="68">
        <v>0</v>
      </c>
      <c r="T566" s="68" t="s">
        <v>124</v>
      </c>
      <c r="U566" s="68" t="s">
        <v>125</v>
      </c>
      <c r="V566" s="68" t="s">
        <v>38</v>
      </c>
      <c r="W566" s="68" t="s">
        <v>35</v>
      </c>
      <c r="X566" s="68" t="s">
        <v>35</v>
      </c>
      <c r="Y566" s="68" t="s">
        <v>35</v>
      </c>
      <c r="Z566" s="68" t="b">
        <v>0</v>
      </c>
      <c r="AA566" s="68" t="s">
        <v>35</v>
      </c>
      <c r="AB566" s="68">
        <v>4</v>
      </c>
      <c r="AC566" s="68" t="s">
        <v>35</v>
      </c>
      <c r="AD566" s="68" t="s">
        <v>35</v>
      </c>
      <c r="AE566" s="68" t="s">
        <v>1826</v>
      </c>
      <c r="AF566" s="69">
        <v>44748.629166608793</v>
      </c>
      <c r="AG566" s="71"/>
      <c r="AH566" s="71" t="b">
        <f t="shared" si="25"/>
        <v>0</v>
      </c>
      <c r="AI566" s="56" t="str" cm="1">
        <f t="array" ref="AI566">TRANSPOSE(_xlfn._xlws.FILTER(images!L:L,images!F:F=Barrierenmessung!A566, ""))</f>
        <v/>
      </c>
      <c r="AJ566" s="68"/>
      <c r="AK566" s="68"/>
      <c r="AL566" s="68"/>
      <c r="AM566" s="68"/>
      <c r="AN566" s="68"/>
    </row>
    <row r="567" spans="1:40" ht="16" x14ac:dyDescent="0.2">
      <c r="A567" s="2" t="s">
        <v>1844</v>
      </c>
      <c r="B567" s="46">
        <v>566</v>
      </c>
      <c r="C567" s="2" t="b">
        <v>0</v>
      </c>
      <c r="D567" s="2" t="b">
        <v>0</v>
      </c>
      <c r="E567" s="2" t="b">
        <v>0</v>
      </c>
      <c r="F567" s="2" t="b">
        <v>0</v>
      </c>
      <c r="G567" s="2" t="s">
        <v>31</v>
      </c>
      <c r="H567" s="2" t="s">
        <v>1845</v>
      </c>
      <c r="I567" s="2" t="s">
        <v>1846</v>
      </c>
      <c r="J567" s="2" t="s">
        <v>940</v>
      </c>
      <c r="K567" s="2" t="s">
        <v>35</v>
      </c>
      <c r="L567" s="2" t="s">
        <v>35</v>
      </c>
      <c r="M567" s="2" t="s">
        <v>35</v>
      </c>
      <c r="N567" s="2" t="s">
        <v>35</v>
      </c>
      <c r="O567" s="11">
        <v>44748.641262800928</v>
      </c>
      <c r="P567" s="11">
        <v>44748.641960069443</v>
      </c>
      <c r="Q567" s="27">
        <f t="shared" si="24"/>
        <v>6.9726851506857201E-4</v>
      </c>
      <c r="R567" s="65">
        <f t="shared" si="26"/>
        <v>9.0506944252410904E-4</v>
      </c>
      <c r="S567" s="2">
        <v>0</v>
      </c>
      <c r="T567" s="2" t="s">
        <v>124</v>
      </c>
      <c r="U567" s="2" t="s">
        <v>125</v>
      </c>
      <c r="V567" s="2" t="s">
        <v>38</v>
      </c>
      <c r="W567" s="2" t="s">
        <v>35</v>
      </c>
      <c r="X567" s="2" t="s">
        <v>35</v>
      </c>
      <c r="Y567" s="2" t="s">
        <v>35</v>
      </c>
      <c r="Z567" s="2" t="b">
        <v>0</v>
      </c>
      <c r="AA567" s="2" t="s">
        <v>35</v>
      </c>
      <c r="AB567" s="2">
        <v>4</v>
      </c>
      <c r="AC567" s="2" t="s">
        <v>35</v>
      </c>
      <c r="AD567" s="2" t="s">
        <v>35</v>
      </c>
      <c r="AE567" s="2" t="s">
        <v>1826</v>
      </c>
      <c r="AF567" s="11">
        <v>44748.629166608793</v>
      </c>
      <c r="AG567" s="53"/>
      <c r="AH567" s="53" t="b">
        <f t="shared" si="25"/>
        <v>0</v>
      </c>
      <c r="AI567" s="54" t="str" cm="1">
        <f t="array" ref="AI567">TRANSPOSE(_xlfn._xlws.FILTER(images!L:L,images!F:F=Barrierenmessung!A567, ""))</f>
        <v>https://captureandgo.cloudlab.zhaw.ch/uploads/image_067e74dcb0.jpg</v>
      </c>
      <c r="AJ567" s="2"/>
      <c r="AK567" s="2"/>
      <c r="AL567" s="2"/>
      <c r="AM567" s="2"/>
      <c r="AN567" s="2"/>
    </row>
    <row r="568" spans="1:40" ht="16" x14ac:dyDescent="0.2">
      <c r="A568" s="2" t="s">
        <v>1847</v>
      </c>
      <c r="B568" s="46">
        <v>567</v>
      </c>
      <c r="C568" s="2" t="b">
        <v>0</v>
      </c>
      <c r="D568" s="2" t="b">
        <v>0</v>
      </c>
      <c r="E568" s="2" t="b">
        <v>0</v>
      </c>
      <c r="F568" s="2" t="b">
        <v>0</v>
      </c>
      <c r="G568" s="2" t="s">
        <v>31</v>
      </c>
      <c r="H568" s="2" t="s">
        <v>1848</v>
      </c>
      <c r="I568" s="2" t="s">
        <v>1849</v>
      </c>
      <c r="J568" s="2" t="s">
        <v>1850</v>
      </c>
      <c r="K568" s="2" t="s">
        <v>35</v>
      </c>
      <c r="L568" s="2" t="s">
        <v>35</v>
      </c>
      <c r="M568" s="2" t="s">
        <v>35</v>
      </c>
      <c r="N568" s="2" t="s">
        <v>35</v>
      </c>
      <c r="O568" s="11">
        <v>44748.644376296295</v>
      </c>
      <c r="P568" s="11">
        <v>44748.644803819443</v>
      </c>
      <c r="Q568" s="27">
        <f t="shared" si="24"/>
        <v>4.2752314766403288E-4</v>
      </c>
      <c r="R568" s="65">
        <f t="shared" si="26"/>
        <v>2.8437500004656613E-3</v>
      </c>
      <c r="S568" s="2">
        <v>0</v>
      </c>
      <c r="T568" s="2" t="s">
        <v>36</v>
      </c>
      <c r="U568" s="2" t="s">
        <v>37</v>
      </c>
      <c r="V568" s="2" t="s">
        <v>38</v>
      </c>
      <c r="W568" s="2" t="s">
        <v>35</v>
      </c>
      <c r="X568" s="2" t="s">
        <v>35</v>
      </c>
      <c r="Y568" s="2" t="s">
        <v>35</v>
      </c>
      <c r="Z568" s="2" t="b">
        <v>0</v>
      </c>
      <c r="AA568" s="2" t="s">
        <v>35</v>
      </c>
      <c r="AB568" s="2" t="s">
        <v>35</v>
      </c>
      <c r="AC568" s="2">
        <v>6</v>
      </c>
      <c r="AD568" s="2" t="s">
        <v>35</v>
      </c>
      <c r="AE568" s="2" t="s">
        <v>1826</v>
      </c>
      <c r="AF568" s="11">
        <v>44748.629166608793</v>
      </c>
      <c r="AG568" s="53"/>
      <c r="AH568" s="53" t="b">
        <f t="shared" si="25"/>
        <v>0</v>
      </c>
      <c r="AI568" s="54" t="str" cm="1">
        <f t="array" ref="AI568">TRANSPOSE(_xlfn._xlws.FILTER(images!L:L,images!F:F=Barrierenmessung!A568, ""))</f>
        <v>https://captureandgo.cloudlab.zhaw.ch/uploads/image_e1e728ba67.jpg</v>
      </c>
      <c r="AJ568" s="2"/>
      <c r="AK568" s="2"/>
      <c r="AL568" s="2"/>
      <c r="AM568" s="2"/>
      <c r="AN568" s="2"/>
    </row>
    <row r="569" spans="1:40" ht="16" x14ac:dyDescent="0.2">
      <c r="A569" s="68" t="s">
        <v>1851</v>
      </c>
      <c r="B569" s="68">
        <v>568</v>
      </c>
      <c r="C569" s="68" t="b">
        <v>0</v>
      </c>
      <c r="D569" s="68" t="b">
        <v>0</v>
      </c>
      <c r="E569" s="68" t="b">
        <v>0</v>
      </c>
      <c r="F569" s="68" t="b">
        <v>0</v>
      </c>
      <c r="G569" s="68" t="s">
        <v>31</v>
      </c>
      <c r="H569" s="68" t="s">
        <v>149</v>
      </c>
      <c r="I569" s="68" t="s">
        <v>1852</v>
      </c>
      <c r="J569" s="68" t="s">
        <v>35</v>
      </c>
      <c r="K569" s="68" t="s">
        <v>35</v>
      </c>
      <c r="L569" s="68" t="s">
        <v>35</v>
      </c>
      <c r="M569" s="68" t="s">
        <v>35</v>
      </c>
      <c r="N569" s="68" t="s">
        <v>35</v>
      </c>
      <c r="O569" s="69">
        <v>44748.645682893519</v>
      </c>
      <c r="P569" s="69">
        <v>44748.645792546296</v>
      </c>
      <c r="Q569" s="70">
        <f t="shared" si="24"/>
        <v>1.0965277760988101E-4</v>
      </c>
      <c r="R569" s="70">
        <f t="shared" si="26"/>
        <v>9.8872685339301825E-4</v>
      </c>
      <c r="S569" s="68">
        <v>0</v>
      </c>
      <c r="T569" s="68" t="s">
        <v>36</v>
      </c>
      <c r="U569" s="68" t="s">
        <v>37</v>
      </c>
      <c r="V569" s="68" t="s">
        <v>38</v>
      </c>
      <c r="W569" s="68" t="s">
        <v>35</v>
      </c>
      <c r="X569" s="68" t="s">
        <v>35</v>
      </c>
      <c r="Y569" s="68" t="s">
        <v>35</v>
      </c>
      <c r="Z569" s="68" t="b">
        <v>0</v>
      </c>
      <c r="AA569" s="68" t="s">
        <v>35</v>
      </c>
      <c r="AB569" s="68" t="s">
        <v>35</v>
      </c>
      <c r="AC569" s="68" t="s">
        <v>35</v>
      </c>
      <c r="AD569" s="68">
        <v>3</v>
      </c>
      <c r="AE569" s="68" t="s">
        <v>1826</v>
      </c>
      <c r="AF569" s="69">
        <v>44748.629166608793</v>
      </c>
      <c r="AG569" s="71"/>
      <c r="AH569" s="71" t="b">
        <f t="shared" si="25"/>
        <v>0</v>
      </c>
      <c r="AI569" s="56" t="str" cm="1">
        <f t="array" ref="AI569">TRANSPOSE(_xlfn._xlws.FILTER(images!L:L,images!F:F=Barrierenmessung!A569, ""))</f>
        <v/>
      </c>
      <c r="AJ569" s="68"/>
      <c r="AK569" s="68"/>
      <c r="AL569" s="68"/>
      <c r="AM569" s="68"/>
      <c r="AN569" s="68"/>
    </row>
    <row r="570" spans="1:40" ht="16" x14ac:dyDescent="0.2">
      <c r="A570" s="2" t="s">
        <v>1853</v>
      </c>
      <c r="B570" s="46">
        <v>569</v>
      </c>
      <c r="C570" s="2" t="b">
        <v>0</v>
      </c>
      <c r="D570" s="2" t="b">
        <v>0</v>
      </c>
      <c r="E570" s="2" t="b">
        <v>0</v>
      </c>
      <c r="F570" s="2" t="b">
        <v>0</v>
      </c>
      <c r="G570" s="2" t="s">
        <v>31</v>
      </c>
      <c r="H570" s="2" t="s">
        <v>1854</v>
      </c>
      <c r="I570" s="2" t="s">
        <v>1855</v>
      </c>
      <c r="J570" s="2" t="s">
        <v>1850</v>
      </c>
      <c r="K570" s="2" t="s">
        <v>35</v>
      </c>
      <c r="L570" s="2" t="s">
        <v>35</v>
      </c>
      <c r="M570" s="2" t="s">
        <v>35</v>
      </c>
      <c r="N570" s="2" t="s">
        <v>35</v>
      </c>
      <c r="O570" s="11">
        <v>44748.646535254629</v>
      </c>
      <c r="P570" s="11">
        <v>44748.64697047454</v>
      </c>
      <c r="Q570" s="27">
        <f t="shared" si="24"/>
        <v>4.352199102868326E-4</v>
      </c>
      <c r="R570" s="65">
        <f t="shared" si="26"/>
        <v>1.1779282431234606E-3</v>
      </c>
      <c r="S570" s="2">
        <v>0</v>
      </c>
      <c r="T570" s="2" t="s">
        <v>36</v>
      </c>
      <c r="U570" s="2" t="s">
        <v>37</v>
      </c>
      <c r="V570" s="2" t="s">
        <v>38</v>
      </c>
      <c r="W570" s="2" t="s">
        <v>35</v>
      </c>
      <c r="X570" s="2" t="s">
        <v>35</v>
      </c>
      <c r="Y570" s="2" t="s">
        <v>35</v>
      </c>
      <c r="Z570" s="2" t="b">
        <v>0</v>
      </c>
      <c r="AA570" s="2" t="s">
        <v>35</v>
      </c>
      <c r="AB570" s="2" t="s">
        <v>35</v>
      </c>
      <c r="AC570" s="2">
        <v>6</v>
      </c>
      <c r="AD570" s="2" t="s">
        <v>35</v>
      </c>
      <c r="AE570" s="2" t="s">
        <v>1826</v>
      </c>
      <c r="AF570" s="11">
        <v>44748.629166608793</v>
      </c>
      <c r="AG570" s="53"/>
      <c r="AH570" s="53" t="b">
        <f t="shared" si="25"/>
        <v>0</v>
      </c>
      <c r="AI570" s="54" t="str" cm="1">
        <f t="array" ref="AI570">TRANSPOSE(_xlfn._xlws.FILTER(images!L:L,images!F:F=Barrierenmessung!A570, ""))</f>
        <v>https://captureandgo.cloudlab.zhaw.ch/uploads/image_7584ac006f.jpg</v>
      </c>
      <c r="AJ570" s="2"/>
      <c r="AK570" s="2"/>
      <c r="AL570" s="2"/>
      <c r="AM570" s="2"/>
      <c r="AN570" s="2"/>
    </row>
    <row r="571" spans="1:40" ht="16" x14ac:dyDescent="0.2">
      <c r="A571" s="2" t="s">
        <v>1856</v>
      </c>
      <c r="B571" s="46">
        <v>570</v>
      </c>
      <c r="C571" s="2" t="b">
        <v>0</v>
      </c>
      <c r="D571" s="2" t="b">
        <v>0</v>
      </c>
      <c r="E571" s="2" t="b">
        <v>0</v>
      </c>
      <c r="F571" s="2" t="b">
        <v>0</v>
      </c>
      <c r="G571" s="2" t="s">
        <v>31</v>
      </c>
      <c r="H571" s="2" t="s">
        <v>1857</v>
      </c>
      <c r="I571" s="2" t="s">
        <v>1858</v>
      </c>
      <c r="J571" s="2" t="s">
        <v>35</v>
      </c>
      <c r="K571" s="2" t="s">
        <v>35</v>
      </c>
      <c r="L571" s="2" t="s">
        <v>35</v>
      </c>
      <c r="M571" s="2">
        <v>28</v>
      </c>
      <c r="N571" s="2">
        <v>15</v>
      </c>
      <c r="O571" s="11">
        <v>44748.647654837965</v>
      </c>
      <c r="P571" s="11">
        <v>44748.648228182872</v>
      </c>
      <c r="Q571" s="27">
        <f t="shared" si="24"/>
        <v>5.7334490702487528E-4</v>
      </c>
      <c r="R571" s="65">
        <f t="shared" si="26"/>
        <v>1.2577083325595595E-3</v>
      </c>
      <c r="S571" s="2">
        <v>0</v>
      </c>
      <c r="T571" s="2" t="s">
        <v>54</v>
      </c>
      <c r="U571" s="2" t="s">
        <v>55</v>
      </c>
      <c r="V571" s="2" t="s">
        <v>38</v>
      </c>
      <c r="W571" s="2" t="s">
        <v>35</v>
      </c>
      <c r="X571" s="2" t="s">
        <v>35</v>
      </c>
      <c r="Y571" s="2" t="s">
        <v>35</v>
      </c>
      <c r="Z571" s="2" t="b">
        <v>0</v>
      </c>
      <c r="AA571" s="2" t="s">
        <v>35</v>
      </c>
      <c r="AB571" s="2" t="s">
        <v>35</v>
      </c>
      <c r="AC571" s="2" t="s">
        <v>35</v>
      </c>
      <c r="AD571" s="2" t="s">
        <v>35</v>
      </c>
      <c r="AE571" s="2" t="s">
        <v>1826</v>
      </c>
      <c r="AF571" s="11">
        <v>44748.629166608793</v>
      </c>
      <c r="AG571" s="53"/>
      <c r="AH571" s="53" t="b">
        <f t="shared" si="25"/>
        <v>0</v>
      </c>
      <c r="AI571" s="54" t="str" cm="1">
        <f t="array" ref="AI571">TRANSPOSE(_xlfn._xlws.FILTER(images!L:L,images!F:F=Barrierenmessung!A571, ""))</f>
        <v>https://captureandgo.cloudlab.zhaw.ch/uploads/image_b0eb8569c0.jpg</v>
      </c>
      <c r="AJ571" s="2"/>
      <c r="AK571" s="2"/>
      <c r="AL571" s="2"/>
      <c r="AM571" s="2"/>
      <c r="AN571" s="2"/>
    </row>
    <row r="572" spans="1:40" ht="16" x14ac:dyDescent="0.2">
      <c r="A572" s="2" t="s">
        <v>1859</v>
      </c>
      <c r="B572" s="46">
        <v>571</v>
      </c>
      <c r="C572" s="2" t="b">
        <v>0</v>
      </c>
      <c r="D572" s="2" t="b">
        <v>0</v>
      </c>
      <c r="E572" s="2" t="b">
        <v>0</v>
      </c>
      <c r="F572" s="2" t="b">
        <v>0</v>
      </c>
      <c r="G572" s="2" t="s">
        <v>31</v>
      </c>
      <c r="H572" s="2" t="s">
        <v>1860</v>
      </c>
      <c r="I572" s="2" t="s">
        <v>1861</v>
      </c>
      <c r="J572" s="2" t="s">
        <v>35</v>
      </c>
      <c r="K572" s="2" t="s">
        <v>35</v>
      </c>
      <c r="L572" s="2" t="s">
        <v>35</v>
      </c>
      <c r="M572" s="2">
        <v>7</v>
      </c>
      <c r="N572" s="2">
        <v>15</v>
      </c>
      <c r="O572" s="11">
        <v>44748.649184421294</v>
      </c>
      <c r="P572" s="11">
        <v>44748.649443344904</v>
      </c>
      <c r="Q572" s="27">
        <f t="shared" si="24"/>
        <v>2.5892361009027809E-4</v>
      </c>
      <c r="R572" s="65">
        <f t="shared" si="26"/>
        <v>1.2151620321674272E-3</v>
      </c>
      <c r="S572" s="2">
        <v>0</v>
      </c>
      <c r="T572" s="2" t="s">
        <v>54</v>
      </c>
      <c r="U572" s="2" t="s">
        <v>55</v>
      </c>
      <c r="V572" s="2" t="s">
        <v>38</v>
      </c>
      <c r="W572" s="2" t="s">
        <v>35</v>
      </c>
      <c r="X572" s="2" t="s">
        <v>35</v>
      </c>
      <c r="Y572" s="2" t="s">
        <v>35</v>
      </c>
      <c r="Z572" s="2" t="b">
        <v>0</v>
      </c>
      <c r="AA572" s="2" t="s">
        <v>35</v>
      </c>
      <c r="AB572" s="2" t="s">
        <v>35</v>
      </c>
      <c r="AC572" s="2" t="s">
        <v>35</v>
      </c>
      <c r="AD572" s="2" t="s">
        <v>35</v>
      </c>
      <c r="AE572" s="2" t="s">
        <v>1826</v>
      </c>
      <c r="AF572" s="11">
        <v>44748.629166608793</v>
      </c>
      <c r="AG572" s="53"/>
      <c r="AH572" s="53" t="b">
        <f t="shared" si="25"/>
        <v>0</v>
      </c>
      <c r="AI572" s="54" t="str" cm="1">
        <f t="array" ref="AI572">TRANSPOSE(_xlfn._xlws.FILTER(images!L:L,images!F:F=Barrierenmessung!A572, ""))</f>
        <v>https://captureandgo.cloudlab.zhaw.ch/uploads/image_a75e426a2b.jpg</v>
      </c>
      <c r="AJ572" s="2"/>
      <c r="AK572" s="2"/>
      <c r="AL572" s="2"/>
      <c r="AM572" s="2"/>
      <c r="AN572" s="2"/>
    </row>
    <row r="573" spans="1:40" ht="16" x14ac:dyDescent="0.2">
      <c r="A573" s="2" t="s">
        <v>1862</v>
      </c>
      <c r="B573" s="46">
        <v>572</v>
      </c>
      <c r="C573" s="2" t="b">
        <v>0</v>
      </c>
      <c r="D573" s="2" t="b">
        <v>0</v>
      </c>
      <c r="E573" s="2" t="b">
        <v>0</v>
      </c>
      <c r="F573" s="2" t="b">
        <v>0</v>
      </c>
      <c r="G573" s="2" t="s">
        <v>31</v>
      </c>
      <c r="H573" s="2" t="s">
        <v>1863</v>
      </c>
      <c r="I573" s="2" t="s">
        <v>1864</v>
      </c>
      <c r="J573" s="2" t="s">
        <v>35</v>
      </c>
      <c r="K573" s="2" t="s">
        <v>35</v>
      </c>
      <c r="L573" s="2" t="s">
        <v>35</v>
      </c>
      <c r="M573" s="2">
        <v>3</v>
      </c>
      <c r="N573" s="2">
        <v>15</v>
      </c>
      <c r="O573" s="11">
        <v>44748.649944178243</v>
      </c>
      <c r="P573" s="11">
        <v>44748.650079583334</v>
      </c>
      <c r="Q573" s="27">
        <f t="shared" si="24"/>
        <v>1.3540509098675102E-4</v>
      </c>
      <c r="R573" s="65">
        <f t="shared" si="26"/>
        <v>6.362384301610291E-4</v>
      </c>
      <c r="S573" s="2">
        <v>0</v>
      </c>
      <c r="T573" s="2" t="s">
        <v>54</v>
      </c>
      <c r="U573" s="2" t="s">
        <v>55</v>
      </c>
      <c r="V573" s="2" t="s">
        <v>38</v>
      </c>
      <c r="W573" s="2" t="s">
        <v>35</v>
      </c>
      <c r="X573" s="2" t="s">
        <v>35</v>
      </c>
      <c r="Y573" s="2" t="s">
        <v>35</v>
      </c>
      <c r="Z573" s="2" t="b">
        <v>0</v>
      </c>
      <c r="AA573" s="2" t="s">
        <v>35</v>
      </c>
      <c r="AB573" s="2" t="s">
        <v>35</v>
      </c>
      <c r="AC573" s="2" t="s">
        <v>35</v>
      </c>
      <c r="AD573" s="2" t="s">
        <v>35</v>
      </c>
      <c r="AE573" s="2" t="s">
        <v>1826</v>
      </c>
      <c r="AF573" s="11">
        <v>44748.629166608793</v>
      </c>
      <c r="AG573" s="53"/>
      <c r="AH573" s="53" t="b">
        <f t="shared" si="25"/>
        <v>0</v>
      </c>
      <c r="AI573" s="54" t="str" cm="1">
        <f t="array" ref="AI573">TRANSPOSE(_xlfn._xlws.FILTER(images!L:L,images!F:F=Barrierenmessung!A573, ""))</f>
        <v>https://captureandgo.cloudlab.zhaw.ch/uploads/image_56fbe153f7.jpg</v>
      </c>
      <c r="AJ573" s="2"/>
      <c r="AK573" s="2"/>
      <c r="AL573" s="2"/>
      <c r="AM573" s="2"/>
      <c r="AN573" s="2"/>
    </row>
    <row r="574" spans="1:40" ht="16" x14ac:dyDescent="0.2">
      <c r="A574" s="68" t="s">
        <v>1865</v>
      </c>
      <c r="B574" s="68">
        <v>573</v>
      </c>
      <c r="C574" s="68" t="b">
        <v>0</v>
      </c>
      <c r="D574" s="68" t="b">
        <v>0</v>
      </c>
      <c r="E574" s="68" t="b">
        <v>0</v>
      </c>
      <c r="F574" s="68" t="b">
        <v>0</v>
      </c>
      <c r="G574" s="68" t="s">
        <v>31</v>
      </c>
      <c r="H574" s="68" t="s">
        <v>149</v>
      </c>
      <c r="I574" s="68" t="s">
        <v>1866</v>
      </c>
      <c r="J574" s="68" t="s">
        <v>35</v>
      </c>
      <c r="K574" s="68" t="s">
        <v>35</v>
      </c>
      <c r="L574" s="68" t="s">
        <v>35</v>
      </c>
      <c r="M574" s="68">
        <v>40</v>
      </c>
      <c r="N574" s="68">
        <v>16</v>
      </c>
      <c r="O574" s="69">
        <v>44748.650737060183</v>
      </c>
      <c r="P574" s="69">
        <v>44748.651270972223</v>
      </c>
      <c r="Q574" s="70">
        <f t="shared" si="24"/>
        <v>5.3391203982755542E-4</v>
      </c>
      <c r="R574" s="70">
        <f t="shared" si="26"/>
        <v>1.1913888884009793E-3</v>
      </c>
      <c r="S574" s="68">
        <v>0</v>
      </c>
      <c r="T574" s="68" t="s">
        <v>54</v>
      </c>
      <c r="U574" s="68" t="s">
        <v>55</v>
      </c>
      <c r="V574" s="68" t="s">
        <v>38</v>
      </c>
      <c r="W574" s="68" t="s">
        <v>35</v>
      </c>
      <c r="X574" s="68" t="s">
        <v>35</v>
      </c>
      <c r="Y574" s="68" t="s">
        <v>35</v>
      </c>
      <c r="Z574" s="68" t="b">
        <v>0</v>
      </c>
      <c r="AA574" s="68" t="s">
        <v>35</v>
      </c>
      <c r="AB574" s="68" t="s">
        <v>35</v>
      </c>
      <c r="AC574" s="68" t="s">
        <v>35</v>
      </c>
      <c r="AD574" s="68" t="s">
        <v>35</v>
      </c>
      <c r="AE574" s="68" t="s">
        <v>1826</v>
      </c>
      <c r="AF574" s="69">
        <v>44748.629166608793</v>
      </c>
      <c r="AG574" s="71"/>
      <c r="AH574" s="71" t="b">
        <f t="shared" si="25"/>
        <v>0</v>
      </c>
      <c r="AI574" s="56" t="str" cm="1">
        <f t="array" ref="AI574">TRANSPOSE(_xlfn._xlws.FILTER(images!L:L,images!F:F=Barrierenmessung!A574, ""))</f>
        <v/>
      </c>
      <c r="AJ574" s="68"/>
      <c r="AK574" s="68"/>
      <c r="AL574" s="68"/>
      <c r="AM574" s="68"/>
      <c r="AN574" s="68"/>
    </row>
    <row r="575" spans="1:40" ht="16" x14ac:dyDescent="0.2">
      <c r="A575" s="2" t="s">
        <v>1867</v>
      </c>
      <c r="B575" s="46">
        <v>574</v>
      </c>
      <c r="C575" s="2" t="b">
        <v>0</v>
      </c>
      <c r="D575" s="2" t="b">
        <v>0</v>
      </c>
      <c r="E575" s="2" t="b">
        <v>0</v>
      </c>
      <c r="F575" s="2" t="b">
        <v>0</v>
      </c>
      <c r="G575" s="2" t="s">
        <v>31</v>
      </c>
      <c r="H575" s="2" t="s">
        <v>1868</v>
      </c>
      <c r="I575" s="2" t="s">
        <v>1869</v>
      </c>
      <c r="J575" s="2" t="s">
        <v>940</v>
      </c>
      <c r="K575" s="2" t="s">
        <v>35</v>
      </c>
      <c r="L575" s="2" t="s">
        <v>35</v>
      </c>
      <c r="M575" s="2" t="s">
        <v>35</v>
      </c>
      <c r="N575" s="2" t="s">
        <v>35</v>
      </c>
      <c r="O575" s="11">
        <v>44748.652139687503</v>
      </c>
      <c r="P575" s="11">
        <v>44748.652556053239</v>
      </c>
      <c r="Q575" s="27">
        <f t="shared" si="24"/>
        <v>4.1636573587311432E-4</v>
      </c>
      <c r="R575" s="65">
        <f t="shared" si="26"/>
        <v>1.2850810162490234E-3</v>
      </c>
      <c r="S575" s="2">
        <v>0</v>
      </c>
      <c r="T575" s="2" t="s">
        <v>124</v>
      </c>
      <c r="U575" s="2" t="s">
        <v>125</v>
      </c>
      <c r="V575" s="2" t="s">
        <v>38</v>
      </c>
      <c r="W575" s="2" t="s">
        <v>35</v>
      </c>
      <c r="X575" s="2" t="s">
        <v>35</v>
      </c>
      <c r="Y575" s="2" t="s">
        <v>35</v>
      </c>
      <c r="Z575" s="2" t="b">
        <v>0</v>
      </c>
      <c r="AA575" s="2" t="s">
        <v>35</v>
      </c>
      <c r="AB575" s="2">
        <v>4</v>
      </c>
      <c r="AC575" s="2" t="s">
        <v>35</v>
      </c>
      <c r="AD575" s="2" t="s">
        <v>35</v>
      </c>
      <c r="AE575" s="2" t="s">
        <v>1826</v>
      </c>
      <c r="AF575" s="11">
        <v>44748.629166608793</v>
      </c>
      <c r="AG575" s="53"/>
      <c r="AH575" s="53" t="b">
        <f t="shared" si="25"/>
        <v>0</v>
      </c>
      <c r="AI575" s="54" t="str" cm="1">
        <f t="array" ref="AI575">TRANSPOSE(_xlfn._xlws.FILTER(images!L:L,images!F:F=Barrierenmessung!A575, ""))</f>
        <v>https://captureandgo.cloudlab.zhaw.ch/uploads/image_e57ee236d9.jpg</v>
      </c>
      <c r="AJ575" s="2"/>
      <c r="AK575" s="2"/>
      <c r="AL575" s="2"/>
      <c r="AM575" s="2"/>
      <c r="AN575" s="2"/>
    </row>
    <row r="576" spans="1:40" ht="16" x14ac:dyDescent="0.2">
      <c r="A576" s="2" t="s">
        <v>1870</v>
      </c>
      <c r="B576" s="46">
        <v>575</v>
      </c>
      <c r="C576" s="2" t="b">
        <v>0</v>
      </c>
      <c r="D576" s="2" t="b">
        <v>0</v>
      </c>
      <c r="E576" s="2" t="b">
        <v>0</v>
      </c>
      <c r="F576" s="2" t="b">
        <v>0</v>
      </c>
      <c r="G576" s="2" t="s">
        <v>31</v>
      </c>
      <c r="H576" s="2" t="s">
        <v>1871</v>
      </c>
      <c r="I576" s="2" t="s">
        <v>1872</v>
      </c>
      <c r="J576" s="2" t="s">
        <v>940</v>
      </c>
      <c r="K576" s="2" t="s">
        <v>35</v>
      </c>
      <c r="L576" s="2" t="s">
        <v>35</v>
      </c>
      <c r="M576" s="2" t="s">
        <v>35</v>
      </c>
      <c r="N576" s="2" t="s">
        <v>35</v>
      </c>
      <c r="O576" s="11">
        <v>44748.652601203707</v>
      </c>
      <c r="P576" s="11">
        <v>44748.652787800929</v>
      </c>
      <c r="Q576" s="27">
        <f t="shared" si="24"/>
        <v>1.8659722263691947E-4</v>
      </c>
      <c r="R576" s="65">
        <f t="shared" si="26"/>
        <v>2.3174769012257457E-4</v>
      </c>
      <c r="S576" s="2">
        <v>0</v>
      </c>
      <c r="T576" s="2" t="s">
        <v>124</v>
      </c>
      <c r="U576" s="2" t="s">
        <v>125</v>
      </c>
      <c r="V576" s="2" t="s">
        <v>38</v>
      </c>
      <c r="W576" s="2" t="s">
        <v>35</v>
      </c>
      <c r="X576" s="2" t="s">
        <v>35</v>
      </c>
      <c r="Y576" s="2" t="s">
        <v>35</v>
      </c>
      <c r="Z576" s="2" t="b">
        <v>0</v>
      </c>
      <c r="AA576" s="2" t="s">
        <v>35</v>
      </c>
      <c r="AB576" s="2">
        <v>4</v>
      </c>
      <c r="AC576" s="2" t="s">
        <v>35</v>
      </c>
      <c r="AD576" s="2" t="s">
        <v>35</v>
      </c>
      <c r="AE576" s="2" t="s">
        <v>1826</v>
      </c>
      <c r="AF576" s="11">
        <v>44748.629166608793</v>
      </c>
      <c r="AG576" s="53"/>
      <c r="AH576" s="53" t="b">
        <f t="shared" si="25"/>
        <v>0</v>
      </c>
      <c r="AI576" s="54" t="str" cm="1">
        <f t="array" ref="AI576">TRANSPOSE(_xlfn._xlws.FILTER(images!L:L,images!F:F=Barrierenmessung!A576, ""))</f>
        <v>https://captureandgo.cloudlab.zhaw.ch/uploads/image_886b70dc62.jpg</v>
      </c>
      <c r="AJ576" s="2"/>
      <c r="AK576" s="2"/>
      <c r="AL576" s="2"/>
      <c r="AM576" s="2"/>
      <c r="AN576" s="2"/>
    </row>
    <row r="577" spans="1:40" ht="16" x14ac:dyDescent="0.2">
      <c r="A577" s="2" t="s">
        <v>1873</v>
      </c>
      <c r="B577" s="46">
        <v>576</v>
      </c>
      <c r="C577" s="2" t="b">
        <v>0</v>
      </c>
      <c r="D577" s="2" t="b">
        <v>0</v>
      </c>
      <c r="E577" s="2" t="b">
        <v>0</v>
      </c>
      <c r="F577" s="2" t="b">
        <v>0</v>
      </c>
      <c r="G577" s="2" t="s">
        <v>31</v>
      </c>
      <c r="H577" s="2" t="s">
        <v>1874</v>
      </c>
      <c r="I577" s="2" t="s">
        <v>1875</v>
      </c>
      <c r="J577" s="2" t="s">
        <v>35</v>
      </c>
      <c r="K577" s="2" t="s">
        <v>35</v>
      </c>
      <c r="L577" s="2" t="s">
        <v>35</v>
      </c>
      <c r="M577" s="2" t="s">
        <v>35</v>
      </c>
      <c r="N577" s="2" t="s">
        <v>35</v>
      </c>
      <c r="O577" s="11">
        <v>44748.653324733794</v>
      </c>
      <c r="P577" s="11">
        <v>44748.653696875001</v>
      </c>
      <c r="Q577" s="27">
        <f t="shared" si="24"/>
        <v>3.721412067534402E-4</v>
      </c>
      <c r="R577" s="65">
        <f t="shared" si="26"/>
        <v>9.0907407138729468E-4</v>
      </c>
      <c r="S577" s="2">
        <v>0</v>
      </c>
      <c r="T577" s="2" t="s">
        <v>36</v>
      </c>
      <c r="U577" s="2" t="s">
        <v>37</v>
      </c>
      <c r="V577" s="2" t="s">
        <v>38</v>
      </c>
      <c r="W577" s="2" t="s">
        <v>35</v>
      </c>
      <c r="X577" s="2" t="s">
        <v>35</v>
      </c>
      <c r="Y577" s="2" t="s">
        <v>35</v>
      </c>
      <c r="Z577" s="2" t="b">
        <v>0</v>
      </c>
      <c r="AA577" s="2" t="s">
        <v>35</v>
      </c>
      <c r="AB577" s="2" t="s">
        <v>35</v>
      </c>
      <c r="AC577" s="2" t="s">
        <v>35</v>
      </c>
      <c r="AD577" s="2">
        <v>3</v>
      </c>
      <c r="AE577" s="2" t="s">
        <v>1826</v>
      </c>
      <c r="AF577" s="11">
        <v>44748.629166608793</v>
      </c>
      <c r="AG577" s="53"/>
      <c r="AH577" s="53" t="b">
        <f t="shared" si="25"/>
        <v>0</v>
      </c>
      <c r="AI577" s="54" t="str" cm="1">
        <f t="array" ref="AI577">TRANSPOSE(_xlfn._xlws.FILTER(images!L:L,images!F:F=Barrierenmessung!A577, ""))</f>
        <v>https://captureandgo.cloudlab.zhaw.ch/uploads/image_e6171e66d9.jpg</v>
      </c>
      <c r="AJ577" s="2"/>
      <c r="AK577" s="2"/>
      <c r="AL577" s="2"/>
      <c r="AM577" s="2"/>
      <c r="AN577" s="2"/>
    </row>
    <row r="578" spans="1:40" ht="16" x14ac:dyDescent="0.2">
      <c r="A578" s="2" t="s">
        <v>1876</v>
      </c>
      <c r="B578" s="46">
        <v>577</v>
      </c>
      <c r="C578" s="2" t="b">
        <v>0</v>
      </c>
      <c r="D578" s="2" t="b">
        <v>0</v>
      </c>
      <c r="E578" s="2" t="b">
        <v>0</v>
      </c>
      <c r="F578" s="2" t="b">
        <v>0</v>
      </c>
      <c r="G578" s="2" t="s">
        <v>31</v>
      </c>
      <c r="H578" s="2" t="s">
        <v>1877</v>
      </c>
      <c r="I578" s="2" t="s">
        <v>1878</v>
      </c>
      <c r="J578" s="2" t="s">
        <v>119</v>
      </c>
      <c r="K578" s="2" t="s">
        <v>35</v>
      </c>
      <c r="L578" s="2" t="s">
        <v>35</v>
      </c>
      <c r="M578" s="2" t="s">
        <v>35</v>
      </c>
      <c r="N578" s="2" t="s">
        <v>35</v>
      </c>
      <c r="O578" s="11">
        <v>44748.655982418983</v>
      </c>
      <c r="P578" s="11">
        <v>44748.656331412036</v>
      </c>
      <c r="Q578" s="27">
        <f t="shared" ref="Q578:Q641" si="27">P578-O578</f>
        <v>3.4899305319413543E-4</v>
      </c>
      <c r="R578" s="65">
        <f t="shared" si="26"/>
        <v>2.6345370351918973E-3</v>
      </c>
      <c r="S578" s="2">
        <v>0</v>
      </c>
      <c r="T578" s="2" t="s">
        <v>416</v>
      </c>
      <c r="U578" s="2" t="s">
        <v>417</v>
      </c>
      <c r="V578" s="2" t="s">
        <v>38</v>
      </c>
      <c r="W578" s="2" t="s">
        <v>35</v>
      </c>
      <c r="X578" s="2">
        <v>0</v>
      </c>
      <c r="Y578" s="2" t="s">
        <v>1823</v>
      </c>
      <c r="Z578" s="2" t="b">
        <v>0</v>
      </c>
      <c r="AA578" s="2" t="s">
        <v>35</v>
      </c>
      <c r="AB578" s="2" t="s">
        <v>35</v>
      </c>
      <c r="AC578" s="2" t="s">
        <v>35</v>
      </c>
      <c r="AD578" s="2" t="s">
        <v>35</v>
      </c>
      <c r="AE578" s="2" t="s">
        <v>1826</v>
      </c>
      <c r="AF578" s="11">
        <v>44748.629166608793</v>
      </c>
      <c r="AG578" s="53"/>
      <c r="AH578" s="53" t="b">
        <f t="shared" si="25"/>
        <v>0</v>
      </c>
      <c r="AI578" s="54" t="str" cm="1">
        <f t="array" ref="AI578">TRANSPOSE(_xlfn._xlws.FILTER(images!L:L,images!F:F=Barrierenmessung!A578, ""))</f>
        <v>https://captureandgo.cloudlab.zhaw.ch/uploads/image_8db6bb7203.jpg</v>
      </c>
      <c r="AJ578" s="2"/>
      <c r="AK578" s="2"/>
      <c r="AL578" s="2"/>
      <c r="AM578" s="2"/>
      <c r="AN578" s="2"/>
    </row>
    <row r="579" spans="1:40" ht="16" x14ac:dyDescent="0.2">
      <c r="A579" s="2" t="s">
        <v>1879</v>
      </c>
      <c r="B579" s="46">
        <v>578</v>
      </c>
      <c r="C579" s="2" t="b">
        <v>0</v>
      </c>
      <c r="D579" s="2" t="b">
        <v>0</v>
      </c>
      <c r="E579" s="2" t="b">
        <v>0</v>
      </c>
      <c r="F579" s="2" t="b">
        <v>0</v>
      </c>
      <c r="G579" s="2" t="s">
        <v>31</v>
      </c>
      <c r="H579" s="2" t="s">
        <v>1880</v>
      </c>
      <c r="I579" s="2" t="s">
        <v>1881</v>
      </c>
      <c r="J579" s="2" t="s">
        <v>35</v>
      </c>
      <c r="K579" s="2" t="s">
        <v>35</v>
      </c>
      <c r="L579" s="2" t="s">
        <v>35</v>
      </c>
      <c r="M579" s="2">
        <v>40</v>
      </c>
      <c r="N579" s="2">
        <v>16</v>
      </c>
      <c r="O579" s="11">
        <v>44748.657814178237</v>
      </c>
      <c r="P579" s="11">
        <v>44748.658155821759</v>
      </c>
      <c r="Q579" s="27">
        <f t="shared" si="27"/>
        <v>3.4164352109655738E-4</v>
      </c>
      <c r="R579" s="65">
        <f t="shared" si="26"/>
        <v>1.8244097227579914E-3</v>
      </c>
      <c r="S579" s="2">
        <v>0</v>
      </c>
      <c r="T579" s="2" t="s">
        <v>54</v>
      </c>
      <c r="U579" s="2" t="s">
        <v>55</v>
      </c>
      <c r="V579" s="2" t="s">
        <v>38</v>
      </c>
      <c r="W579" s="2" t="s">
        <v>35</v>
      </c>
      <c r="X579" s="2" t="s">
        <v>35</v>
      </c>
      <c r="Y579" s="2" t="s">
        <v>35</v>
      </c>
      <c r="Z579" s="2" t="b">
        <v>0</v>
      </c>
      <c r="AA579" s="2" t="s">
        <v>35</v>
      </c>
      <c r="AB579" s="2" t="s">
        <v>35</v>
      </c>
      <c r="AC579" s="2" t="s">
        <v>35</v>
      </c>
      <c r="AD579" s="2" t="s">
        <v>35</v>
      </c>
      <c r="AE579" s="2" t="s">
        <v>1826</v>
      </c>
      <c r="AF579" s="11">
        <v>44748.629166608793</v>
      </c>
      <c r="AG579" s="53"/>
      <c r="AH579" s="53" t="b">
        <f t="shared" ref="AH579:AH642" si="28">IF(Q579&lt;TIME(0,0,1),"TRUE")</f>
        <v>0</v>
      </c>
      <c r="AI579" s="54" t="str" cm="1">
        <f t="array" ref="AI579">TRANSPOSE(_xlfn._xlws.FILTER(images!L:L,images!F:F=Barrierenmessung!A579, ""))</f>
        <v>https://captureandgo.cloudlab.zhaw.ch/uploads/image_ae6e7d8740.jpg</v>
      </c>
      <c r="AJ579" s="2"/>
      <c r="AK579" s="2"/>
      <c r="AL579" s="2"/>
      <c r="AM579" s="2"/>
      <c r="AN579" s="2"/>
    </row>
    <row r="580" spans="1:40" ht="16" x14ac:dyDescent="0.2">
      <c r="A580" s="2" t="s">
        <v>1882</v>
      </c>
      <c r="B580" s="46">
        <v>579</v>
      </c>
      <c r="C580" s="2" t="b">
        <v>0</v>
      </c>
      <c r="D580" s="2" t="b">
        <v>0</v>
      </c>
      <c r="E580" s="2" t="b">
        <v>0</v>
      </c>
      <c r="F580" s="2" t="b">
        <v>0</v>
      </c>
      <c r="G580" s="2" t="s">
        <v>31</v>
      </c>
      <c r="H580" s="2" t="s">
        <v>1883</v>
      </c>
      <c r="I580" s="2" t="s">
        <v>1884</v>
      </c>
      <c r="J580" s="2" t="s">
        <v>35</v>
      </c>
      <c r="K580" s="2" t="s">
        <v>35</v>
      </c>
      <c r="L580" s="2" t="s">
        <v>35</v>
      </c>
      <c r="M580" s="2">
        <v>33</v>
      </c>
      <c r="N580" s="2">
        <v>16</v>
      </c>
      <c r="O580" s="11">
        <v>44748.658300138886</v>
      </c>
      <c r="P580" s="11">
        <v>44748.658715879632</v>
      </c>
      <c r="Q580" s="27">
        <f t="shared" si="27"/>
        <v>4.1574074566597119E-4</v>
      </c>
      <c r="R580" s="65">
        <f t="shared" si="26"/>
        <v>5.6005787337198853E-4</v>
      </c>
      <c r="S580" s="2">
        <v>0</v>
      </c>
      <c r="T580" s="2" t="s">
        <v>54</v>
      </c>
      <c r="U580" s="2" t="s">
        <v>55</v>
      </c>
      <c r="V580" s="2" t="s">
        <v>38</v>
      </c>
      <c r="W580" s="2" t="s">
        <v>35</v>
      </c>
      <c r="X580" s="2" t="s">
        <v>35</v>
      </c>
      <c r="Y580" s="2" t="s">
        <v>35</v>
      </c>
      <c r="Z580" s="2" t="b">
        <v>0</v>
      </c>
      <c r="AA580" s="2" t="s">
        <v>35</v>
      </c>
      <c r="AB580" s="2" t="s">
        <v>35</v>
      </c>
      <c r="AC580" s="2" t="s">
        <v>35</v>
      </c>
      <c r="AD580" s="2" t="s">
        <v>35</v>
      </c>
      <c r="AE580" s="2" t="s">
        <v>1826</v>
      </c>
      <c r="AF580" s="11">
        <v>44748.629166608793</v>
      </c>
      <c r="AG580" s="53"/>
      <c r="AH580" s="53" t="b">
        <f t="shared" si="28"/>
        <v>0</v>
      </c>
      <c r="AI580" s="54" t="str" cm="1">
        <f t="array" ref="AI580">TRANSPOSE(_xlfn._xlws.FILTER(images!L:L,images!F:F=Barrierenmessung!A580, ""))</f>
        <v>https://captureandgo.cloudlab.zhaw.ch/uploads/image_6dfa3de0a9.jpg</v>
      </c>
      <c r="AJ580" s="2"/>
      <c r="AK580" s="2"/>
      <c r="AL580" s="2"/>
      <c r="AM580" s="2"/>
      <c r="AN580" s="2"/>
    </row>
    <row r="581" spans="1:40" ht="16" x14ac:dyDescent="0.2">
      <c r="A581" s="2" t="s">
        <v>1885</v>
      </c>
      <c r="B581" s="46">
        <v>580</v>
      </c>
      <c r="C581" s="2" t="b">
        <v>0</v>
      </c>
      <c r="D581" s="2" t="b">
        <v>0</v>
      </c>
      <c r="E581" s="2" t="b">
        <v>0</v>
      </c>
      <c r="F581" s="2" t="b">
        <v>0</v>
      </c>
      <c r="G581" s="2" t="s">
        <v>31</v>
      </c>
      <c r="H581" s="2" t="s">
        <v>1886</v>
      </c>
      <c r="I581" s="2" t="s">
        <v>1887</v>
      </c>
      <c r="J581" s="2" t="s">
        <v>35</v>
      </c>
      <c r="K581" s="2" t="s">
        <v>35</v>
      </c>
      <c r="L581" s="2" t="s">
        <v>35</v>
      </c>
      <c r="M581" s="2">
        <v>29</v>
      </c>
      <c r="N581" s="2">
        <v>16</v>
      </c>
      <c r="O581" s="11">
        <v>44748.659699444448</v>
      </c>
      <c r="P581" s="11">
        <v>44748.659857222221</v>
      </c>
      <c r="Q581" s="27">
        <f t="shared" si="27"/>
        <v>1.5777777298353612E-4</v>
      </c>
      <c r="R581" s="65">
        <f t="shared" ref="R581:R644" si="29">MIN(P581-P580, P581-AF581)</f>
        <v>1.1413425891078077E-3</v>
      </c>
      <c r="S581" s="2">
        <v>0</v>
      </c>
      <c r="T581" s="2" t="s">
        <v>54</v>
      </c>
      <c r="U581" s="2" t="s">
        <v>55</v>
      </c>
      <c r="V581" s="2" t="s">
        <v>38</v>
      </c>
      <c r="W581" s="2" t="s">
        <v>35</v>
      </c>
      <c r="X581" s="2" t="s">
        <v>35</v>
      </c>
      <c r="Y581" s="2" t="s">
        <v>35</v>
      </c>
      <c r="Z581" s="2" t="b">
        <v>0</v>
      </c>
      <c r="AA581" s="2" t="s">
        <v>35</v>
      </c>
      <c r="AB581" s="2" t="s">
        <v>35</v>
      </c>
      <c r="AC581" s="2" t="s">
        <v>35</v>
      </c>
      <c r="AD581" s="2" t="s">
        <v>35</v>
      </c>
      <c r="AE581" s="2" t="s">
        <v>1826</v>
      </c>
      <c r="AF581" s="11">
        <v>44748.629166608793</v>
      </c>
      <c r="AG581" s="53"/>
      <c r="AH581" s="53" t="b">
        <f t="shared" si="28"/>
        <v>0</v>
      </c>
      <c r="AI581" s="54" t="str" cm="1">
        <f t="array" ref="AI581">TRANSPOSE(_xlfn._xlws.FILTER(images!L:L,images!F:F=Barrierenmessung!A581, ""))</f>
        <v>https://captureandgo.cloudlab.zhaw.ch/uploads/image_e4442200db.jpg</v>
      </c>
      <c r="AJ581" s="2"/>
      <c r="AK581" s="2"/>
      <c r="AL581" s="2"/>
      <c r="AM581" s="2"/>
      <c r="AN581" s="2"/>
    </row>
    <row r="582" spans="1:40" ht="16" x14ac:dyDescent="0.2">
      <c r="A582" s="2" t="s">
        <v>1888</v>
      </c>
      <c r="B582" s="46">
        <v>581</v>
      </c>
      <c r="C582" s="2" t="b">
        <v>0</v>
      </c>
      <c r="D582" s="2" t="b">
        <v>0</v>
      </c>
      <c r="E582" s="2" t="b">
        <v>0</v>
      </c>
      <c r="F582" s="2" t="b">
        <v>0</v>
      </c>
      <c r="G582" s="2" t="s">
        <v>31</v>
      </c>
      <c r="H582" s="2" t="s">
        <v>1889</v>
      </c>
      <c r="I582" s="2" t="s">
        <v>1890</v>
      </c>
      <c r="J582" s="2" t="s">
        <v>35</v>
      </c>
      <c r="K582" s="2" t="s">
        <v>35</v>
      </c>
      <c r="L582" s="2" t="s">
        <v>35</v>
      </c>
      <c r="M582" s="2" t="s">
        <v>35</v>
      </c>
      <c r="N582" s="2" t="s">
        <v>35</v>
      </c>
      <c r="O582" s="11">
        <v>44748.665382303239</v>
      </c>
      <c r="P582" s="11">
        <v>44748.665591319441</v>
      </c>
      <c r="Q582" s="27">
        <f t="shared" si="27"/>
        <v>2.0901620155200362E-4</v>
      </c>
      <c r="R582" s="65">
        <f t="shared" si="29"/>
        <v>5.7340972198289819E-3</v>
      </c>
      <c r="S582" s="2">
        <v>0</v>
      </c>
      <c r="T582" s="2" t="s">
        <v>36</v>
      </c>
      <c r="U582" s="2" t="s">
        <v>37</v>
      </c>
      <c r="V582" s="2" t="s">
        <v>38</v>
      </c>
      <c r="W582" s="2" t="s">
        <v>35</v>
      </c>
      <c r="X582" s="2" t="s">
        <v>35</v>
      </c>
      <c r="Y582" s="2" t="s">
        <v>35</v>
      </c>
      <c r="Z582" s="2" t="b">
        <v>0</v>
      </c>
      <c r="AA582" s="2" t="s">
        <v>1891</v>
      </c>
      <c r="AB582" s="2" t="s">
        <v>35</v>
      </c>
      <c r="AC582" s="2" t="s">
        <v>35</v>
      </c>
      <c r="AD582" s="2" t="s">
        <v>35</v>
      </c>
      <c r="AE582" s="2" t="s">
        <v>1826</v>
      </c>
      <c r="AF582" s="11">
        <v>44748.629166608793</v>
      </c>
      <c r="AG582" s="53"/>
      <c r="AH582" s="53" t="b">
        <f t="shared" si="28"/>
        <v>0</v>
      </c>
      <c r="AI582" s="54" t="str" cm="1">
        <f t="array" ref="AI582">TRANSPOSE(_xlfn._xlws.FILTER(images!L:L,images!F:F=Barrierenmessung!A582, ""))</f>
        <v>https://captureandgo.cloudlab.zhaw.ch/uploads/image_51d75da107.jpg</v>
      </c>
      <c r="AJ582" s="2"/>
      <c r="AK582" s="2"/>
      <c r="AL582" s="2"/>
      <c r="AM582" s="2"/>
      <c r="AN582" s="2"/>
    </row>
    <row r="583" spans="1:40" ht="16" x14ac:dyDescent="0.2">
      <c r="A583" s="2" t="s">
        <v>1892</v>
      </c>
      <c r="B583" s="46">
        <v>582</v>
      </c>
      <c r="C583" s="2" t="b">
        <v>0</v>
      </c>
      <c r="D583" s="2" t="b">
        <v>0</v>
      </c>
      <c r="E583" s="2" t="b">
        <v>0</v>
      </c>
      <c r="F583" s="2" t="b">
        <v>0</v>
      </c>
      <c r="G583" s="2" t="s">
        <v>31</v>
      </c>
      <c r="H583" s="2" t="s">
        <v>1893</v>
      </c>
      <c r="I583" s="2" t="s">
        <v>1894</v>
      </c>
      <c r="J583" s="2" t="s">
        <v>35</v>
      </c>
      <c r="K583" s="2" t="s">
        <v>35</v>
      </c>
      <c r="L583" s="2" t="s">
        <v>35</v>
      </c>
      <c r="M583" s="2">
        <v>11</v>
      </c>
      <c r="N583" s="2">
        <v>25</v>
      </c>
      <c r="O583" s="11">
        <v>44748.666451828707</v>
      </c>
      <c r="P583" s="11">
        <v>44748.667457222225</v>
      </c>
      <c r="Q583" s="27">
        <f t="shared" si="27"/>
        <v>1.0053935184259899E-3</v>
      </c>
      <c r="R583" s="65">
        <f t="shared" si="29"/>
        <v>1.8659027846297249E-3</v>
      </c>
      <c r="S583" s="2">
        <v>0</v>
      </c>
      <c r="T583" s="2" t="s">
        <v>54</v>
      </c>
      <c r="U583" s="2" t="s">
        <v>55</v>
      </c>
      <c r="V583" s="2" t="s">
        <v>38</v>
      </c>
      <c r="W583" s="2" t="s">
        <v>35</v>
      </c>
      <c r="X583" s="2" t="s">
        <v>35</v>
      </c>
      <c r="Y583" s="2" t="s">
        <v>35</v>
      </c>
      <c r="Z583" s="2" t="b">
        <v>0</v>
      </c>
      <c r="AA583" s="2" t="s">
        <v>35</v>
      </c>
      <c r="AB583" s="2" t="s">
        <v>35</v>
      </c>
      <c r="AC583" s="2" t="s">
        <v>35</v>
      </c>
      <c r="AD583" s="2" t="s">
        <v>35</v>
      </c>
      <c r="AE583" s="2" t="s">
        <v>1826</v>
      </c>
      <c r="AF583" s="11">
        <v>44748.629166608793</v>
      </c>
      <c r="AG583" s="53"/>
      <c r="AH583" s="53" t="b">
        <f t="shared" si="28"/>
        <v>0</v>
      </c>
      <c r="AI583" s="54" t="str" cm="1">
        <f t="array" ref="AI583">TRANSPOSE(_xlfn._xlws.FILTER(images!L:L,images!F:F=Barrierenmessung!A583, ""))</f>
        <v>https://captureandgo.cloudlab.zhaw.ch/uploads/image_a0951f1e49.jpg</v>
      </c>
      <c r="AJ583" s="2"/>
      <c r="AK583" s="2"/>
      <c r="AL583" s="2"/>
      <c r="AM583" s="2"/>
      <c r="AN583" s="2"/>
    </row>
    <row r="584" spans="1:40" ht="16" x14ac:dyDescent="0.2">
      <c r="A584" s="2" t="s">
        <v>1895</v>
      </c>
      <c r="B584" s="46">
        <v>583</v>
      </c>
      <c r="C584" s="2" t="b">
        <v>0</v>
      </c>
      <c r="D584" s="2" t="b">
        <v>0</v>
      </c>
      <c r="E584" s="2" t="b">
        <v>0</v>
      </c>
      <c r="F584" s="2" t="b">
        <v>0</v>
      </c>
      <c r="G584" s="2" t="s">
        <v>31</v>
      </c>
      <c r="H584" s="2" t="s">
        <v>1896</v>
      </c>
      <c r="I584" s="2" t="s">
        <v>1897</v>
      </c>
      <c r="J584" s="2" t="s">
        <v>940</v>
      </c>
      <c r="K584" s="2" t="s">
        <v>35</v>
      </c>
      <c r="L584" s="2" t="s">
        <v>35</v>
      </c>
      <c r="M584" s="2" t="s">
        <v>35</v>
      </c>
      <c r="N584" s="2" t="s">
        <v>35</v>
      </c>
      <c r="O584" s="11">
        <v>44748.667972303243</v>
      </c>
      <c r="P584" s="11">
        <v>44748.668392210646</v>
      </c>
      <c r="Q584" s="27">
        <f t="shared" si="27"/>
        <v>4.1990740282926708E-4</v>
      </c>
      <c r="R584" s="65">
        <f t="shared" si="29"/>
        <v>9.3498842034023255E-4</v>
      </c>
      <c r="S584" s="2">
        <v>0</v>
      </c>
      <c r="T584" s="2" t="s">
        <v>124</v>
      </c>
      <c r="U584" s="2" t="s">
        <v>125</v>
      </c>
      <c r="V584" s="2" t="s">
        <v>38</v>
      </c>
      <c r="W584" s="2" t="s">
        <v>35</v>
      </c>
      <c r="X584" s="2" t="s">
        <v>35</v>
      </c>
      <c r="Y584" s="2" t="s">
        <v>35</v>
      </c>
      <c r="Z584" s="2" t="b">
        <v>0</v>
      </c>
      <c r="AA584" s="2" t="s">
        <v>35</v>
      </c>
      <c r="AB584" s="2">
        <v>4</v>
      </c>
      <c r="AC584" s="2" t="s">
        <v>35</v>
      </c>
      <c r="AD584" s="2" t="s">
        <v>35</v>
      </c>
      <c r="AE584" s="2" t="s">
        <v>1826</v>
      </c>
      <c r="AF584" s="11">
        <v>44748.629166608793</v>
      </c>
      <c r="AG584" s="53"/>
      <c r="AH584" s="53" t="b">
        <f t="shared" si="28"/>
        <v>0</v>
      </c>
      <c r="AI584" s="54" t="str" cm="1">
        <f t="array" ref="AI584">TRANSPOSE(_xlfn._xlws.FILTER(images!L:L,images!F:F=Barrierenmessung!A584, ""))</f>
        <v>https://captureandgo.cloudlab.zhaw.ch/uploads/image_79a74afe1c.jpg</v>
      </c>
      <c r="AJ584" s="2"/>
      <c r="AK584" s="2"/>
      <c r="AL584" s="2"/>
      <c r="AM584" s="2"/>
      <c r="AN584" s="2"/>
    </row>
    <row r="585" spans="1:40" ht="16" x14ac:dyDescent="0.2">
      <c r="A585" s="68" t="s">
        <v>1898</v>
      </c>
      <c r="B585" s="68">
        <v>584</v>
      </c>
      <c r="C585" s="68" t="b">
        <v>0</v>
      </c>
      <c r="D585" s="68" t="b">
        <v>0</v>
      </c>
      <c r="E585" s="68" t="b">
        <v>0</v>
      </c>
      <c r="F585" s="68" t="b">
        <v>0</v>
      </c>
      <c r="G585" s="68" t="s">
        <v>31</v>
      </c>
      <c r="H585" s="68" t="s">
        <v>149</v>
      </c>
      <c r="I585" s="68" t="s">
        <v>1899</v>
      </c>
      <c r="J585" s="68" t="s">
        <v>35</v>
      </c>
      <c r="K585" s="68" t="s">
        <v>35</v>
      </c>
      <c r="L585" s="68" t="s">
        <v>35</v>
      </c>
      <c r="M585" s="68">
        <v>6</v>
      </c>
      <c r="N585" s="68">
        <v>17</v>
      </c>
      <c r="O585" s="69">
        <v>44748.668539479164</v>
      </c>
      <c r="P585" s="69">
        <v>44748.668733020837</v>
      </c>
      <c r="Q585" s="70">
        <f t="shared" si="27"/>
        <v>1.9354167307028547E-4</v>
      </c>
      <c r="R585" s="70">
        <f t="shared" si="29"/>
        <v>3.4081019111908972E-4</v>
      </c>
      <c r="S585" s="68">
        <v>0</v>
      </c>
      <c r="T585" s="68" t="s">
        <v>54</v>
      </c>
      <c r="U585" s="68" t="s">
        <v>55</v>
      </c>
      <c r="V585" s="68" t="s">
        <v>38</v>
      </c>
      <c r="W585" s="68" t="s">
        <v>35</v>
      </c>
      <c r="X585" s="68" t="s">
        <v>35</v>
      </c>
      <c r="Y585" s="68" t="s">
        <v>35</v>
      </c>
      <c r="Z585" s="68" t="b">
        <v>0</v>
      </c>
      <c r="AA585" s="68" t="s">
        <v>35</v>
      </c>
      <c r="AB585" s="68" t="s">
        <v>35</v>
      </c>
      <c r="AC585" s="68" t="s">
        <v>35</v>
      </c>
      <c r="AD585" s="68" t="s">
        <v>35</v>
      </c>
      <c r="AE585" s="68" t="s">
        <v>1826</v>
      </c>
      <c r="AF585" s="69">
        <v>44748.629166608793</v>
      </c>
      <c r="AG585" s="71"/>
      <c r="AH585" s="71" t="b">
        <f t="shared" si="28"/>
        <v>0</v>
      </c>
      <c r="AI585" s="56" t="str" cm="1">
        <f t="array" ref="AI585">TRANSPOSE(_xlfn._xlws.FILTER(images!L:L,images!F:F=Barrierenmessung!A585, ""))</f>
        <v/>
      </c>
      <c r="AJ585" s="68"/>
      <c r="AK585" s="68"/>
      <c r="AL585" s="68"/>
      <c r="AM585" s="68"/>
      <c r="AN585" s="68"/>
    </row>
    <row r="586" spans="1:40" ht="16" x14ac:dyDescent="0.2">
      <c r="A586" s="68" t="s">
        <v>1900</v>
      </c>
      <c r="B586" s="68">
        <v>585</v>
      </c>
      <c r="C586" s="68" t="b">
        <v>0</v>
      </c>
      <c r="D586" s="68" t="b">
        <v>0</v>
      </c>
      <c r="E586" s="68" t="b">
        <v>0</v>
      </c>
      <c r="F586" s="68" t="b">
        <v>0</v>
      </c>
      <c r="G586" s="68" t="s">
        <v>31</v>
      </c>
      <c r="H586" s="68" t="s">
        <v>149</v>
      </c>
      <c r="I586" s="68" t="s">
        <v>1901</v>
      </c>
      <c r="J586" s="68" t="s">
        <v>35</v>
      </c>
      <c r="K586" s="68" t="s">
        <v>35</v>
      </c>
      <c r="L586" s="68" t="s">
        <v>35</v>
      </c>
      <c r="M586" s="68" t="s">
        <v>35</v>
      </c>
      <c r="N586" s="68" t="s">
        <v>35</v>
      </c>
      <c r="O586" s="69">
        <v>44748.668928067127</v>
      </c>
      <c r="P586" s="69">
        <v>44748.669076666665</v>
      </c>
      <c r="Q586" s="70">
        <f t="shared" si="27"/>
        <v>1.4859953807899728E-4</v>
      </c>
      <c r="R586" s="70">
        <f t="shared" si="29"/>
        <v>3.4364582825219259E-4</v>
      </c>
      <c r="S586" s="68">
        <v>0</v>
      </c>
      <c r="T586" s="68" t="s">
        <v>36</v>
      </c>
      <c r="U586" s="68" t="s">
        <v>37</v>
      </c>
      <c r="V586" s="68" t="s">
        <v>38</v>
      </c>
      <c r="W586" s="68" t="s">
        <v>35</v>
      </c>
      <c r="X586" s="68" t="s">
        <v>35</v>
      </c>
      <c r="Y586" s="68" t="s">
        <v>35</v>
      </c>
      <c r="Z586" s="68" t="b">
        <v>0</v>
      </c>
      <c r="AA586" s="68" t="s">
        <v>1891</v>
      </c>
      <c r="AB586" s="68" t="s">
        <v>35</v>
      </c>
      <c r="AC586" s="68" t="s">
        <v>35</v>
      </c>
      <c r="AD586" s="68" t="s">
        <v>35</v>
      </c>
      <c r="AE586" s="68" t="s">
        <v>1826</v>
      </c>
      <c r="AF586" s="69">
        <v>44748.629166608793</v>
      </c>
      <c r="AG586" s="71"/>
      <c r="AH586" s="71" t="b">
        <f t="shared" si="28"/>
        <v>0</v>
      </c>
      <c r="AI586" s="56" t="str" cm="1">
        <f t="array" ref="AI586">TRANSPOSE(_xlfn._xlws.FILTER(images!L:L,images!F:F=Barrierenmessung!A586, ""))</f>
        <v/>
      </c>
      <c r="AJ586" s="68"/>
      <c r="AK586" s="68"/>
      <c r="AL586" s="68"/>
      <c r="AM586" s="68"/>
      <c r="AN586" s="68"/>
    </row>
    <row r="587" spans="1:40" ht="16" x14ac:dyDescent="0.2">
      <c r="A587" s="2" t="s">
        <v>1902</v>
      </c>
      <c r="B587" s="46">
        <v>586</v>
      </c>
      <c r="C587" s="2" t="b">
        <v>0</v>
      </c>
      <c r="D587" s="2" t="b">
        <v>0</v>
      </c>
      <c r="E587" s="2" t="b">
        <v>0</v>
      </c>
      <c r="F587" s="2" t="b">
        <v>0</v>
      </c>
      <c r="G587" s="2" t="s">
        <v>31</v>
      </c>
      <c r="H587" s="2" t="s">
        <v>1903</v>
      </c>
      <c r="I587" s="2" t="s">
        <v>1904</v>
      </c>
      <c r="J587" s="2" t="s">
        <v>940</v>
      </c>
      <c r="K587" s="2" t="s">
        <v>35</v>
      </c>
      <c r="L587" s="2" t="s">
        <v>35</v>
      </c>
      <c r="M587" s="2" t="s">
        <v>35</v>
      </c>
      <c r="N587" s="2" t="s">
        <v>35</v>
      </c>
      <c r="O587" s="11">
        <v>44748.669739849538</v>
      </c>
      <c r="P587" s="11">
        <v>44748.670265624998</v>
      </c>
      <c r="Q587" s="27">
        <f t="shared" si="27"/>
        <v>5.2577546011889353E-4</v>
      </c>
      <c r="R587" s="65">
        <f t="shared" si="29"/>
        <v>1.1889583329320885E-3</v>
      </c>
      <c r="S587" s="2">
        <v>0</v>
      </c>
      <c r="T587" s="2" t="s">
        <v>124</v>
      </c>
      <c r="U587" s="2" t="s">
        <v>125</v>
      </c>
      <c r="V587" s="2" t="s">
        <v>38</v>
      </c>
      <c r="W587" s="2" t="s">
        <v>35</v>
      </c>
      <c r="X587" s="2" t="s">
        <v>35</v>
      </c>
      <c r="Y587" s="2" t="s">
        <v>35</v>
      </c>
      <c r="Z587" s="2" t="b">
        <v>0</v>
      </c>
      <c r="AA587" s="2" t="s">
        <v>35</v>
      </c>
      <c r="AB587" s="2">
        <v>4</v>
      </c>
      <c r="AC587" s="2" t="s">
        <v>35</v>
      </c>
      <c r="AD587" s="2" t="s">
        <v>35</v>
      </c>
      <c r="AE587" s="2" t="s">
        <v>1826</v>
      </c>
      <c r="AF587" s="11">
        <v>44748.629166608793</v>
      </c>
      <c r="AG587" s="53"/>
      <c r="AH587" s="53" t="b">
        <f t="shared" si="28"/>
        <v>0</v>
      </c>
      <c r="AI587" s="54" t="str" cm="1">
        <f t="array" ref="AI587:AL587">TRANSPOSE(_xlfn._xlws.FILTER(images!L:L,images!F:F=Barrierenmessung!A587, ""))</f>
        <v>https://captureandgo.cloudlab.zhaw.ch/uploads/image_6244ee00af.jpg</v>
      </c>
      <c r="AJ587" s="2" t="str">
        <v>https://captureandgo.cloudlab.zhaw.ch/uploads/image_b8a720367f.jpg</v>
      </c>
      <c r="AK587" s="2" t="str">
        <v>https://captureandgo.cloudlab.zhaw.ch/uploads/image_0c0178f66c.jpg</v>
      </c>
      <c r="AL587" s="2" t="str">
        <v>https://captureandgo.cloudlab.zhaw.ch/uploads/image_35e35c5599.jpg</v>
      </c>
      <c r="AM587" s="2"/>
      <c r="AN587" s="2"/>
    </row>
    <row r="588" spans="1:40" ht="16" x14ac:dyDescent="0.2">
      <c r="A588" s="2" t="s">
        <v>1905</v>
      </c>
      <c r="B588" s="46">
        <v>587</v>
      </c>
      <c r="C588" s="2" t="b">
        <v>0</v>
      </c>
      <c r="D588" s="2" t="b">
        <v>0</v>
      </c>
      <c r="E588" s="2" t="b">
        <v>0</v>
      </c>
      <c r="F588" s="2" t="b">
        <v>0</v>
      </c>
      <c r="G588" s="2" t="s">
        <v>31</v>
      </c>
      <c r="H588" s="2" t="s">
        <v>1906</v>
      </c>
      <c r="I588" s="2" t="s">
        <v>1907</v>
      </c>
      <c r="J588" s="2" t="s">
        <v>35</v>
      </c>
      <c r="K588" s="2" t="s">
        <v>35</v>
      </c>
      <c r="L588" s="2" t="s">
        <v>35</v>
      </c>
      <c r="M588" s="2" t="s">
        <v>35</v>
      </c>
      <c r="N588" s="2" t="s">
        <v>35</v>
      </c>
      <c r="O588" s="11">
        <v>44748.671551898151</v>
      </c>
      <c r="P588" s="11">
        <v>44748.671674062498</v>
      </c>
      <c r="Q588" s="27">
        <f t="shared" si="27"/>
        <v>1.2216434697620571E-4</v>
      </c>
      <c r="R588" s="65">
        <f t="shared" si="29"/>
        <v>1.4084374997764826E-3</v>
      </c>
      <c r="S588" s="2">
        <v>0</v>
      </c>
      <c r="T588" s="2" t="s">
        <v>36</v>
      </c>
      <c r="U588" s="2" t="s">
        <v>37</v>
      </c>
      <c r="V588" s="2" t="s">
        <v>38</v>
      </c>
      <c r="W588" s="2" t="s">
        <v>35</v>
      </c>
      <c r="X588" s="2" t="s">
        <v>35</v>
      </c>
      <c r="Y588" s="2" t="s">
        <v>35</v>
      </c>
      <c r="Z588" s="2" t="b">
        <v>0</v>
      </c>
      <c r="AA588" s="2" t="s">
        <v>35</v>
      </c>
      <c r="AB588" s="2" t="s">
        <v>35</v>
      </c>
      <c r="AC588" s="2" t="s">
        <v>35</v>
      </c>
      <c r="AD588" s="2">
        <v>2</v>
      </c>
      <c r="AE588" s="2" t="s">
        <v>1826</v>
      </c>
      <c r="AF588" s="11">
        <v>44748.629166608793</v>
      </c>
      <c r="AG588" s="53"/>
      <c r="AH588" s="53" t="b">
        <f t="shared" si="28"/>
        <v>0</v>
      </c>
      <c r="AI588" s="54" t="str" cm="1">
        <f t="array" ref="AI588">TRANSPOSE(_xlfn._xlws.FILTER(images!L:L,images!F:F=Barrierenmessung!A588, ""))</f>
        <v>https://captureandgo.cloudlab.zhaw.ch/uploads/image_f6b2e86ac8.jpg</v>
      </c>
      <c r="AJ588" s="2"/>
      <c r="AK588" s="2"/>
      <c r="AL588" s="2"/>
      <c r="AM588" s="2"/>
      <c r="AN588" s="2"/>
    </row>
    <row r="589" spans="1:40" ht="16" x14ac:dyDescent="0.2">
      <c r="A589" s="2" t="s">
        <v>1908</v>
      </c>
      <c r="B589" s="46">
        <v>588</v>
      </c>
      <c r="C589" s="2" t="b">
        <v>0</v>
      </c>
      <c r="D589" s="2" t="b">
        <v>0</v>
      </c>
      <c r="E589" s="2" t="b">
        <v>0</v>
      </c>
      <c r="F589" s="2" t="b">
        <v>0</v>
      </c>
      <c r="G589" s="2" t="s">
        <v>31</v>
      </c>
      <c r="H589" s="2" t="s">
        <v>1909</v>
      </c>
      <c r="I589" s="2" t="s">
        <v>1910</v>
      </c>
      <c r="J589" s="2" t="s">
        <v>35</v>
      </c>
      <c r="K589" s="2" t="s">
        <v>35</v>
      </c>
      <c r="L589" s="2" t="s">
        <v>35</v>
      </c>
      <c r="M589" s="2">
        <v>24</v>
      </c>
      <c r="N589" s="2">
        <v>20</v>
      </c>
      <c r="O589" s="11">
        <v>44748.674163009258</v>
      </c>
      <c r="P589" s="11">
        <v>44748.674437650465</v>
      </c>
      <c r="Q589" s="27">
        <f t="shared" si="27"/>
        <v>2.7464120648801327E-4</v>
      </c>
      <c r="R589" s="65">
        <f t="shared" si="29"/>
        <v>2.7635879669105634E-3</v>
      </c>
      <c r="S589" s="2">
        <v>0</v>
      </c>
      <c r="T589" s="2" t="s">
        <v>54</v>
      </c>
      <c r="U589" s="2" t="s">
        <v>55</v>
      </c>
      <c r="V589" s="2" t="s">
        <v>38</v>
      </c>
      <c r="W589" s="2" t="s">
        <v>35</v>
      </c>
      <c r="X589" s="2" t="s">
        <v>35</v>
      </c>
      <c r="Y589" s="2" t="s">
        <v>35</v>
      </c>
      <c r="Z589" s="2" t="b">
        <v>0</v>
      </c>
      <c r="AA589" s="2" t="s">
        <v>35</v>
      </c>
      <c r="AB589" s="2" t="s">
        <v>35</v>
      </c>
      <c r="AC589" s="2" t="s">
        <v>35</v>
      </c>
      <c r="AD589" s="2" t="s">
        <v>35</v>
      </c>
      <c r="AE589" s="2" t="s">
        <v>1826</v>
      </c>
      <c r="AF589" s="11">
        <v>44748.629166608793</v>
      </c>
      <c r="AG589" s="53"/>
      <c r="AH589" s="53" t="b">
        <f t="shared" si="28"/>
        <v>0</v>
      </c>
      <c r="AI589" s="54" t="str" cm="1">
        <f t="array" ref="AI589">TRANSPOSE(_xlfn._xlws.FILTER(images!L:L,images!F:F=Barrierenmessung!A589, ""))</f>
        <v>https://captureandgo.cloudlab.zhaw.ch/uploads/image_70d81dbf7d.jpg</v>
      </c>
      <c r="AJ589" s="2"/>
      <c r="AK589" s="2"/>
      <c r="AL589" s="2"/>
      <c r="AM589" s="2"/>
      <c r="AN589" s="2"/>
    </row>
    <row r="590" spans="1:40" ht="16" x14ac:dyDescent="0.2">
      <c r="A590" s="2" t="s">
        <v>1911</v>
      </c>
      <c r="B590" s="46">
        <v>589</v>
      </c>
      <c r="C590" s="2" t="b">
        <v>0</v>
      </c>
      <c r="D590" s="2" t="b">
        <v>0</v>
      </c>
      <c r="E590" s="2" t="b">
        <v>0</v>
      </c>
      <c r="F590" s="2" t="b">
        <v>0</v>
      </c>
      <c r="G590" s="2" t="s">
        <v>31</v>
      </c>
      <c r="H590" s="2" t="s">
        <v>1912</v>
      </c>
      <c r="I590" s="2" t="s">
        <v>1913</v>
      </c>
      <c r="J590" s="2" t="s">
        <v>35</v>
      </c>
      <c r="K590" s="2" t="s">
        <v>35</v>
      </c>
      <c r="L590" s="2" t="s">
        <v>35</v>
      </c>
      <c r="M590" s="2" t="s">
        <v>35</v>
      </c>
      <c r="N590" s="2" t="s">
        <v>35</v>
      </c>
      <c r="O590" s="11">
        <v>44748.675166747686</v>
      </c>
      <c r="P590" s="11">
        <v>44748.675366145835</v>
      </c>
      <c r="Q590" s="27">
        <f t="shared" si="27"/>
        <v>1.9939814956160262E-4</v>
      </c>
      <c r="R590" s="65">
        <f t="shared" si="29"/>
        <v>9.2849537031725049E-4</v>
      </c>
      <c r="S590" s="2">
        <v>0</v>
      </c>
      <c r="T590" s="2" t="s">
        <v>36</v>
      </c>
      <c r="U590" s="2" t="s">
        <v>37</v>
      </c>
      <c r="V590" s="2" t="s">
        <v>38</v>
      </c>
      <c r="W590" s="2" t="s">
        <v>35</v>
      </c>
      <c r="X590" s="2" t="s">
        <v>35</v>
      </c>
      <c r="Y590" s="2" t="s">
        <v>35</v>
      </c>
      <c r="Z590" s="2" t="b">
        <v>0</v>
      </c>
      <c r="AA590" s="2" t="s">
        <v>1891</v>
      </c>
      <c r="AB590" s="2" t="s">
        <v>35</v>
      </c>
      <c r="AC590" s="2" t="s">
        <v>35</v>
      </c>
      <c r="AD590" s="2" t="s">
        <v>35</v>
      </c>
      <c r="AE590" s="2" t="s">
        <v>1826</v>
      </c>
      <c r="AF590" s="11">
        <v>44748.629166608793</v>
      </c>
      <c r="AG590" s="53"/>
      <c r="AH590" s="53" t="b">
        <f t="shared" si="28"/>
        <v>0</v>
      </c>
      <c r="AI590" s="54" t="str" cm="1">
        <f t="array" ref="AI590">TRANSPOSE(_xlfn._xlws.FILTER(images!L:L,images!F:F=Barrierenmessung!A590, ""))</f>
        <v>https://captureandgo.cloudlab.zhaw.ch/uploads/image_966307d892.jpg</v>
      </c>
      <c r="AJ590" s="2"/>
      <c r="AK590" s="2"/>
      <c r="AL590" s="2"/>
      <c r="AM590" s="2"/>
      <c r="AN590" s="2"/>
    </row>
    <row r="591" spans="1:40" ht="16" x14ac:dyDescent="0.2">
      <c r="A591" s="2" t="s">
        <v>1914</v>
      </c>
      <c r="B591" s="46">
        <v>590</v>
      </c>
      <c r="C591" s="2" t="b">
        <v>0</v>
      </c>
      <c r="D591" s="2" t="b">
        <v>0</v>
      </c>
      <c r="E591" s="2" t="b">
        <v>0</v>
      </c>
      <c r="F591" s="2" t="b">
        <v>0</v>
      </c>
      <c r="G591" s="2" t="s">
        <v>31</v>
      </c>
      <c r="H591" s="2" t="s">
        <v>1915</v>
      </c>
      <c r="I591" s="2" t="s">
        <v>1916</v>
      </c>
      <c r="J591" s="2" t="s">
        <v>35</v>
      </c>
      <c r="K591" s="2" t="s">
        <v>35</v>
      </c>
      <c r="L591" s="2" t="s">
        <v>35</v>
      </c>
      <c r="M591" s="2">
        <v>6</v>
      </c>
      <c r="N591" s="2">
        <v>16</v>
      </c>
      <c r="O591" s="11">
        <v>44748.676246574076</v>
      </c>
      <c r="P591" s="11">
        <v>44748.676490011574</v>
      </c>
      <c r="Q591" s="27">
        <f t="shared" si="27"/>
        <v>2.4343749828403816E-4</v>
      </c>
      <c r="R591" s="65">
        <f t="shared" si="29"/>
        <v>1.1238657389185391E-3</v>
      </c>
      <c r="S591" s="2">
        <v>0</v>
      </c>
      <c r="T591" s="2" t="s">
        <v>54</v>
      </c>
      <c r="U591" s="2" t="s">
        <v>55</v>
      </c>
      <c r="V591" s="2" t="s">
        <v>38</v>
      </c>
      <c r="W591" s="2" t="s">
        <v>35</v>
      </c>
      <c r="X591" s="2" t="s">
        <v>35</v>
      </c>
      <c r="Y591" s="2" t="s">
        <v>35</v>
      </c>
      <c r="Z591" s="2" t="b">
        <v>0</v>
      </c>
      <c r="AA591" s="2" t="s">
        <v>35</v>
      </c>
      <c r="AB591" s="2" t="s">
        <v>35</v>
      </c>
      <c r="AC591" s="2" t="s">
        <v>35</v>
      </c>
      <c r="AD591" s="2" t="s">
        <v>35</v>
      </c>
      <c r="AE591" s="2" t="s">
        <v>1826</v>
      </c>
      <c r="AF591" s="11">
        <v>44748.629166608793</v>
      </c>
      <c r="AG591" s="53"/>
      <c r="AH591" s="53" t="b">
        <f t="shared" si="28"/>
        <v>0</v>
      </c>
      <c r="AI591" s="54" t="str" cm="1">
        <f t="array" ref="AI591">TRANSPOSE(_xlfn._xlws.FILTER(images!L:L,images!F:F=Barrierenmessung!A591, ""))</f>
        <v>https://captureandgo.cloudlab.zhaw.ch/uploads/image_c48e261ca3.jpg</v>
      </c>
      <c r="AJ591" s="2"/>
      <c r="AK591" s="2"/>
      <c r="AL591" s="2"/>
      <c r="AM591" s="2"/>
      <c r="AN591" s="2"/>
    </row>
    <row r="592" spans="1:40" ht="16" x14ac:dyDescent="0.2">
      <c r="A592" s="2" t="s">
        <v>1917</v>
      </c>
      <c r="B592" s="46">
        <v>591</v>
      </c>
      <c r="C592" s="2" t="b">
        <v>0</v>
      </c>
      <c r="D592" s="2" t="b">
        <v>0</v>
      </c>
      <c r="E592" s="2" t="b">
        <v>0</v>
      </c>
      <c r="F592" s="2" t="b">
        <v>0</v>
      </c>
      <c r="G592" s="2" t="s">
        <v>31</v>
      </c>
      <c r="H592" s="2" t="s">
        <v>1918</v>
      </c>
      <c r="I592" s="2" t="s">
        <v>1919</v>
      </c>
      <c r="J592" s="2" t="s">
        <v>35</v>
      </c>
      <c r="K592" s="2" t="s">
        <v>35</v>
      </c>
      <c r="L592" s="2" t="s">
        <v>35</v>
      </c>
      <c r="M592" s="2" t="s">
        <v>35</v>
      </c>
      <c r="N592" s="2" t="s">
        <v>35</v>
      </c>
      <c r="O592" s="11">
        <v>44748.676592754629</v>
      </c>
      <c r="P592" s="11">
        <v>44748.676858217594</v>
      </c>
      <c r="Q592" s="27">
        <f t="shared" si="27"/>
        <v>2.6546296430751681E-4</v>
      </c>
      <c r="R592" s="65">
        <f t="shared" si="29"/>
        <v>3.6820601962972432E-4</v>
      </c>
      <c r="S592" s="2">
        <v>0</v>
      </c>
      <c r="T592" s="2" t="s">
        <v>36</v>
      </c>
      <c r="U592" s="2" t="s">
        <v>37</v>
      </c>
      <c r="V592" s="2" t="s">
        <v>38</v>
      </c>
      <c r="W592" s="2" t="s">
        <v>35</v>
      </c>
      <c r="X592" s="2" t="s">
        <v>35</v>
      </c>
      <c r="Y592" s="2" t="s">
        <v>35</v>
      </c>
      <c r="Z592" s="2" t="b">
        <v>0</v>
      </c>
      <c r="AA592" s="2" t="s">
        <v>1920</v>
      </c>
      <c r="AB592" s="2" t="s">
        <v>35</v>
      </c>
      <c r="AC592" s="2" t="s">
        <v>35</v>
      </c>
      <c r="AD592" s="2" t="s">
        <v>35</v>
      </c>
      <c r="AE592" s="2" t="s">
        <v>1826</v>
      </c>
      <c r="AF592" s="11">
        <v>44748.629166608793</v>
      </c>
      <c r="AG592" s="53"/>
      <c r="AH592" s="53" t="b">
        <f t="shared" si="28"/>
        <v>0</v>
      </c>
      <c r="AI592" s="54" t="str" cm="1">
        <f t="array" ref="AI592">TRANSPOSE(_xlfn._xlws.FILTER(images!L:L,images!F:F=Barrierenmessung!A592, ""))</f>
        <v>https://captureandgo.cloudlab.zhaw.ch/uploads/image_b2539a7b73.jpg</v>
      </c>
      <c r="AJ592" s="2"/>
      <c r="AK592" s="2"/>
      <c r="AL592" s="2"/>
      <c r="AM592" s="2"/>
      <c r="AN592" s="2"/>
    </row>
    <row r="593" spans="1:40" ht="16" x14ac:dyDescent="0.2">
      <c r="A593" s="2" t="s">
        <v>1921</v>
      </c>
      <c r="B593" s="46">
        <v>592</v>
      </c>
      <c r="C593" s="2" t="b">
        <v>0</v>
      </c>
      <c r="D593" s="2" t="b">
        <v>0</v>
      </c>
      <c r="E593" s="2" t="b">
        <v>0</v>
      </c>
      <c r="F593" s="2" t="b">
        <v>0</v>
      </c>
      <c r="G593" s="2" t="s">
        <v>31</v>
      </c>
      <c r="H593" s="2" t="s">
        <v>1922</v>
      </c>
      <c r="I593" s="2" t="s">
        <v>1923</v>
      </c>
      <c r="J593" s="2" t="s">
        <v>35</v>
      </c>
      <c r="K593" s="2" t="s">
        <v>35</v>
      </c>
      <c r="L593" s="2">
        <v>13</v>
      </c>
      <c r="M593" s="2" t="s">
        <v>35</v>
      </c>
      <c r="N593" s="2" t="s">
        <v>35</v>
      </c>
      <c r="O593" s="11">
        <v>44748.677755856479</v>
      </c>
      <c r="P593" s="11">
        <v>44748.677963078706</v>
      </c>
      <c r="Q593" s="27">
        <f t="shared" si="27"/>
        <v>2.0722222689073533E-4</v>
      </c>
      <c r="R593" s="65">
        <f t="shared" si="29"/>
        <v>1.1048611122532748E-3</v>
      </c>
      <c r="S593" s="2">
        <v>0</v>
      </c>
      <c r="T593" s="2" t="s">
        <v>265</v>
      </c>
      <c r="U593" s="2" t="s">
        <v>266</v>
      </c>
      <c r="V593" s="2" t="s">
        <v>38</v>
      </c>
      <c r="W593" s="2" t="s">
        <v>35</v>
      </c>
      <c r="X593" s="2" t="s">
        <v>35</v>
      </c>
      <c r="Y593" s="2" t="s">
        <v>35</v>
      </c>
      <c r="Z593" s="2" t="b">
        <v>0</v>
      </c>
      <c r="AA593" s="2" t="s">
        <v>35</v>
      </c>
      <c r="AB593" s="2" t="s">
        <v>35</v>
      </c>
      <c r="AC593" s="2" t="s">
        <v>35</v>
      </c>
      <c r="AD593" s="2" t="s">
        <v>35</v>
      </c>
      <c r="AE593" s="2" t="s">
        <v>1826</v>
      </c>
      <c r="AF593" s="11">
        <v>44748.629166608793</v>
      </c>
      <c r="AG593" s="53"/>
      <c r="AH593" s="53" t="b">
        <f t="shared" si="28"/>
        <v>0</v>
      </c>
      <c r="AI593" s="54" t="str" cm="1">
        <f t="array" ref="AI593">TRANSPOSE(_xlfn._xlws.FILTER(images!L:L,images!F:F=Barrierenmessung!A593, ""))</f>
        <v>https://captureandgo.cloudlab.zhaw.ch/uploads/image_0c7df4bee4.jpg</v>
      </c>
      <c r="AJ593" s="2"/>
      <c r="AK593" s="2"/>
      <c r="AL593" s="2"/>
      <c r="AM593" s="2"/>
      <c r="AN593" s="2"/>
    </row>
    <row r="594" spans="1:40" ht="16" x14ac:dyDescent="0.2">
      <c r="A594" s="2" t="s">
        <v>1924</v>
      </c>
      <c r="B594" s="46">
        <v>593</v>
      </c>
      <c r="C594" s="2" t="b">
        <v>0</v>
      </c>
      <c r="D594" s="2" t="b">
        <v>0</v>
      </c>
      <c r="E594" s="2" t="b">
        <v>0</v>
      </c>
      <c r="F594" s="2" t="b">
        <v>0</v>
      </c>
      <c r="G594" s="2" t="s">
        <v>31</v>
      </c>
      <c r="H594" s="2" t="s">
        <v>1925</v>
      </c>
      <c r="I594" s="2" t="s">
        <v>1926</v>
      </c>
      <c r="J594" s="2" t="s">
        <v>35</v>
      </c>
      <c r="K594" s="2" t="s">
        <v>35</v>
      </c>
      <c r="L594" s="2" t="s">
        <v>35</v>
      </c>
      <c r="M594" s="2">
        <v>20</v>
      </c>
      <c r="N594" s="2">
        <v>16</v>
      </c>
      <c r="O594" s="11">
        <v>44748.678900775463</v>
      </c>
      <c r="P594" s="11">
        <v>44748.679243599538</v>
      </c>
      <c r="Q594" s="27">
        <f t="shared" si="27"/>
        <v>3.428240743232891E-4</v>
      </c>
      <c r="R594" s="65">
        <f t="shared" si="29"/>
        <v>1.2805208316422068E-3</v>
      </c>
      <c r="S594" s="2">
        <v>0</v>
      </c>
      <c r="T594" s="2" t="s">
        <v>54</v>
      </c>
      <c r="U594" s="2" t="s">
        <v>55</v>
      </c>
      <c r="V594" s="2" t="s">
        <v>38</v>
      </c>
      <c r="W594" s="2" t="s">
        <v>35</v>
      </c>
      <c r="X594" s="2" t="s">
        <v>35</v>
      </c>
      <c r="Y594" s="2" t="s">
        <v>35</v>
      </c>
      <c r="Z594" s="2" t="b">
        <v>0</v>
      </c>
      <c r="AA594" s="2" t="s">
        <v>35</v>
      </c>
      <c r="AB594" s="2" t="s">
        <v>35</v>
      </c>
      <c r="AC594" s="2" t="s">
        <v>35</v>
      </c>
      <c r="AD594" s="2" t="s">
        <v>35</v>
      </c>
      <c r="AE594" s="2" t="s">
        <v>1826</v>
      </c>
      <c r="AF594" s="11">
        <v>44748.629166608793</v>
      </c>
      <c r="AG594" s="53"/>
      <c r="AH594" s="53" t="b">
        <f t="shared" si="28"/>
        <v>0</v>
      </c>
      <c r="AI594" s="54" t="str" cm="1">
        <f t="array" ref="AI594">TRANSPOSE(_xlfn._xlws.FILTER(images!L:L,images!F:F=Barrierenmessung!A594, ""))</f>
        <v>https://captureandgo.cloudlab.zhaw.ch/uploads/image_251adf6f8e.jpg</v>
      </c>
      <c r="AJ594" s="2"/>
      <c r="AK594" s="2"/>
      <c r="AL594" s="2"/>
      <c r="AM594" s="2"/>
      <c r="AN594" s="2"/>
    </row>
    <row r="595" spans="1:40" ht="16" x14ac:dyDescent="0.2">
      <c r="A595" s="2" t="s">
        <v>1927</v>
      </c>
      <c r="B595" s="46">
        <v>594</v>
      </c>
      <c r="C595" s="2" t="b">
        <v>0</v>
      </c>
      <c r="D595" s="2" t="b">
        <v>0</v>
      </c>
      <c r="E595" s="2" t="b">
        <v>0</v>
      </c>
      <c r="F595" s="2" t="b">
        <v>0</v>
      </c>
      <c r="G595" s="2" t="s">
        <v>31</v>
      </c>
      <c r="H595" s="2" t="s">
        <v>1928</v>
      </c>
      <c r="I595" s="2" t="s">
        <v>1929</v>
      </c>
      <c r="J595" s="2" t="s">
        <v>35</v>
      </c>
      <c r="K595" s="2" t="s">
        <v>35</v>
      </c>
      <c r="L595" s="2" t="s">
        <v>35</v>
      </c>
      <c r="M595" s="2">
        <v>20</v>
      </c>
      <c r="N595" s="2">
        <v>16</v>
      </c>
      <c r="O595" s="11">
        <v>44748.681016493058</v>
      </c>
      <c r="P595" s="11">
        <v>44748.681335254631</v>
      </c>
      <c r="Q595" s="27">
        <f t="shared" si="27"/>
        <v>3.1876157299848273E-4</v>
      </c>
      <c r="R595" s="65">
        <f t="shared" si="29"/>
        <v>2.09165509295417E-3</v>
      </c>
      <c r="S595" s="2">
        <v>0</v>
      </c>
      <c r="T595" s="2" t="s">
        <v>54</v>
      </c>
      <c r="U595" s="2" t="s">
        <v>55</v>
      </c>
      <c r="V595" s="2" t="s">
        <v>38</v>
      </c>
      <c r="W595" s="2" t="s">
        <v>35</v>
      </c>
      <c r="X595" s="2" t="s">
        <v>35</v>
      </c>
      <c r="Y595" s="2" t="s">
        <v>35</v>
      </c>
      <c r="Z595" s="2" t="b">
        <v>0</v>
      </c>
      <c r="AA595" s="2" t="s">
        <v>35</v>
      </c>
      <c r="AB595" s="2" t="s">
        <v>35</v>
      </c>
      <c r="AC595" s="2" t="s">
        <v>35</v>
      </c>
      <c r="AD595" s="2" t="s">
        <v>35</v>
      </c>
      <c r="AE595" s="2" t="s">
        <v>1826</v>
      </c>
      <c r="AF595" s="11">
        <v>44748.629166608793</v>
      </c>
      <c r="AG595" s="53"/>
      <c r="AH595" s="53" t="b">
        <f t="shared" si="28"/>
        <v>0</v>
      </c>
      <c r="AI595" s="54" t="str" cm="1">
        <f t="array" ref="AI595">TRANSPOSE(_xlfn._xlws.FILTER(images!L:L,images!F:F=Barrierenmessung!A595, ""))</f>
        <v>https://captureandgo.cloudlab.zhaw.ch/uploads/image_17294f505a.jpg</v>
      </c>
      <c r="AJ595" s="2"/>
      <c r="AK595" s="2"/>
      <c r="AL595" s="2"/>
      <c r="AM595" s="2"/>
      <c r="AN595" s="2"/>
    </row>
    <row r="596" spans="1:40" ht="16" x14ac:dyDescent="0.2">
      <c r="A596" s="2" t="s">
        <v>1930</v>
      </c>
      <c r="B596" s="46">
        <v>595</v>
      </c>
      <c r="C596" s="2" t="b">
        <v>0</v>
      </c>
      <c r="D596" s="2" t="b">
        <v>0</v>
      </c>
      <c r="E596" s="2" t="b">
        <v>0</v>
      </c>
      <c r="F596" s="2" t="b">
        <v>0</v>
      </c>
      <c r="G596" s="2" t="s">
        <v>31</v>
      </c>
      <c r="H596" s="2" t="s">
        <v>1931</v>
      </c>
      <c r="I596" s="2" t="s">
        <v>1932</v>
      </c>
      <c r="J596" s="2" t="s">
        <v>35</v>
      </c>
      <c r="K596" s="2" t="s">
        <v>35</v>
      </c>
      <c r="L596" s="2" t="s">
        <v>35</v>
      </c>
      <c r="M596" s="2">
        <v>13</v>
      </c>
      <c r="N596" s="2">
        <v>16</v>
      </c>
      <c r="O596" s="11">
        <v>44748.681432523146</v>
      </c>
      <c r="P596" s="11">
        <v>44748.681655798609</v>
      </c>
      <c r="Q596" s="27">
        <f t="shared" si="27"/>
        <v>2.2327546321321279E-4</v>
      </c>
      <c r="R596" s="65">
        <f t="shared" si="29"/>
        <v>3.2054397888714448E-4</v>
      </c>
      <c r="S596" s="2">
        <v>0</v>
      </c>
      <c r="T596" s="2" t="s">
        <v>54</v>
      </c>
      <c r="U596" s="2" t="s">
        <v>55</v>
      </c>
      <c r="V596" s="2" t="s">
        <v>38</v>
      </c>
      <c r="W596" s="2" t="s">
        <v>35</v>
      </c>
      <c r="X596" s="2" t="s">
        <v>35</v>
      </c>
      <c r="Y596" s="2" t="s">
        <v>35</v>
      </c>
      <c r="Z596" s="2" t="b">
        <v>0</v>
      </c>
      <c r="AA596" s="2" t="s">
        <v>35</v>
      </c>
      <c r="AB596" s="2" t="s">
        <v>35</v>
      </c>
      <c r="AC596" s="2" t="s">
        <v>35</v>
      </c>
      <c r="AD596" s="2" t="s">
        <v>35</v>
      </c>
      <c r="AE596" s="2" t="s">
        <v>1826</v>
      </c>
      <c r="AF596" s="11">
        <v>44748.629166608793</v>
      </c>
      <c r="AG596" s="53"/>
      <c r="AH596" s="53" t="b">
        <f t="shared" si="28"/>
        <v>0</v>
      </c>
      <c r="AI596" s="54" t="str" cm="1">
        <f t="array" ref="AI596">TRANSPOSE(_xlfn._xlws.FILTER(images!L:L,images!F:F=Barrierenmessung!A596, ""))</f>
        <v>https://captureandgo.cloudlab.zhaw.ch/uploads/image_158cbe4ae2.jpg</v>
      </c>
      <c r="AJ596" s="2"/>
      <c r="AK596" s="2"/>
      <c r="AL596" s="2"/>
      <c r="AM596" s="2"/>
      <c r="AN596" s="2"/>
    </row>
    <row r="597" spans="1:40" ht="16" x14ac:dyDescent="0.2">
      <c r="A597" s="2" t="s">
        <v>1933</v>
      </c>
      <c r="B597" s="46">
        <v>596</v>
      </c>
      <c r="C597" s="2" t="b">
        <v>0</v>
      </c>
      <c r="D597" s="2" t="b">
        <v>0</v>
      </c>
      <c r="E597" s="2" t="b">
        <v>0</v>
      </c>
      <c r="F597" s="2" t="b">
        <v>0</v>
      </c>
      <c r="G597" s="2" t="s">
        <v>31</v>
      </c>
      <c r="H597" s="2" t="s">
        <v>1934</v>
      </c>
      <c r="I597" s="2" t="s">
        <v>1935</v>
      </c>
      <c r="J597" s="2" t="s">
        <v>35</v>
      </c>
      <c r="K597" s="2" t="s">
        <v>35</v>
      </c>
      <c r="L597" s="2" t="s">
        <v>35</v>
      </c>
      <c r="M597" s="2">
        <v>1</v>
      </c>
      <c r="N597" s="2">
        <v>16</v>
      </c>
      <c r="O597" s="11">
        <v>44748.681817245371</v>
      </c>
      <c r="P597" s="11">
        <v>44748.68198872685</v>
      </c>
      <c r="Q597" s="27">
        <f t="shared" si="27"/>
        <v>1.7148147890111431E-4</v>
      </c>
      <c r="R597" s="65">
        <f t="shared" si="29"/>
        <v>3.329282408230938E-4</v>
      </c>
      <c r="S597" s="2">
        <v>0</v>
      </c>
      <c r="T597" s="2" t="s">
        <v>54</v>
      </c>
      <c r="U597" s="2" t="s">
        <v>55</v>
      </c>
      <c r="V597" s="2" t="s">
        <v>38</v>
      </c>
      <c r="W597" s="2" t="s">
        <v>35</v>
      </c>
      <c r="X597" s="2" t="s">
        <v>35</v>
      </c>
      <c r="Y597" s="2" t="s">
        <v>35</v>
      </c>
      <c r="Z597" s="2" t="b">
        <v>0</v>
      </c>
      <c r="AA597" s="2" t="s">
        <v>35</v>
      </c>
      <c r="AB597" s="2" t="s">
        <v>35</v>
      </c>
      <c r="AC597" s="2" t="s">
        <v>35</v>
      </c>
      <c r="AD597" s="2" t="s">
        <v>35</v>
      </c>
      <c r="AE597" s="2" t="s">
        <v>1826</v>
      </c>
      <c r="AF597" s="11">
        <v>44748.629166608793</v>
      </c>
      <c r="AG597" s="53"/>
      <c r="AH597" s="53" t="b">
        <f t="shared" si="28"/>
        <v>0</v>
      </c>
      <c r="AI597" s="54" t="str" cm="1">
        <f t="array" ref="AI597">TRANSPOSE(_xlfn._xlws.FILTER(images!L:L,images!F:F=Barrierenmessung!A597, ""))</f>
        <v>https://captureandgo.cloudlab.zhaw.ch/uploads/image_29c2420d7a.jpg</v>
      </c>
      <c r="AJ597" s="2"/>
      <c r="AK597" s="2"/>
      <c r="AL597" s="2"/>
      <c r="AM597" s="2"/>
      <c r="AN597" s="2"/>
    </row>
    <row r="598" spans="1:40" ht="16" x14ac:dyDescent="0.2">
      <c r="A598" s="2" t="s">
        <v>1936</v>
      </c>
      <c r="B598" s="46">
        <v>597</v>
      </c>
      <c r="C598" s="2" t="b">
        <v>0</v>
      </c>
      <c r="D598" s="2" t="b">
        <v>0</v>
      </c>
      <c r="E598" s="2" t="b">
        <v>0</v>
      </c>
      <c r="F598" s="2" t="b">
        <v>0</v>
      </c>
      <c r="G598" s="2" t="s">
        <v>31</v>
      </c>
      <c r="H598" s="2" t="s">
        <v>1937</v>
      </c>
      <c r="I598" s="2" t="s">
        <v>1938</v>
      </c>
      <c r="J598" s="2" t="s">
        <v>35</v>
      </c>
      <c r="K598" s="2" t="s">
        <v>35</v>
      </c>
      <c r="L598" s="2" t="s">
        <v>35</v>
      </c>
      <c r="M598" s="2">
        <v>1</v>
      </c>
      <c r="N598" s="2">
        <v>16</v>
      </c>
      <c r="O598" s="11">
        <v>44748.682116053242</v>
      </c>
      <c r="P598" s="11">
        <v>44748.682243958334</v>
      </c>
      <c r="Q598" s="27">
        <f t="shared" si="27"/>
        <v>1.2790509208571166E-4</v>
      </c>
      <c r="R598" s="65">
        <f t="shared" si="29"/>
        <v>2.5523148360662162E-4</v>
      </c>
      <c r="S598" s="2">
        <v>0</v>
      </c>
      <c r="T598" s="2" t="s">
        <v>54</v>
      </c>
      <c r="U598" s="2" t="s">
        <v>55</v>
      </c>
      <c r="V598" s="2" t="s">
        <v>38</v>
      </c>
      <c r="W598" s="2" t="s">
        <v>35</v>
      </c>
      <c r="X598" s="2" t="s">
        <v>35</v>
      </c>
      <c r="Y598" s="2" t="s">
        <v>35</v>
      </c>
      <c r="Z598" s="2" t="b">
        <v>0</v>
      </c>
      <c r="AA598" s="2" t="s">
        <v>35</v>
      </c>
      <c r="AB598" s="2" t="s">
        <v>35</v>
      </c>
      <c r="AC598" s="2" t="s">
        <v>35</v>
      </c>
      <c r="AD598" s="2" t="s">
        <v>35</v>
      </c>
      <c r="AE598" s="2" t="s">
        <v>1826</v>
      </c>
      <c r="AF598" s="11">
        <v>44748.629166608793</v>
      </c>
      <c r="AG598" s="53"/>
      <c r="AH598" s="53" t="b">
        <f t="shared" si="28"/>
        <v>0</v>
      </c>
      <c r="AI598" s="54" t="str" cm="1">
        <f t="array" ref="AI598">TRANSPOSE(_xlfn._xlws.FILTER(images!L:L,images!F:F=Barrierenmessung!A598, ""))</f>
        <v>https://captureandgo.cloudlab.zhaw.ch/uploads/image_9fb5b41537.jpg</v>
      </c>
      <c r="AJ598" s="2"/>
      <c r="AK598" s="2"/>
      <c r="AL598" s="2"/>
      <c r="AM598" s="2"/>
      <c r="AN598" s="2"/>
    </row>
    <row r="599" spans="1:40" ht="16" x14ac:dyDescent="0.2">
      <c r="A599" s="2" t="s">
        <v>1939</v>
      </c>
      <c r="B599" s="46">
        <v>598</v>
      </c>
      <c r="C599" s="2" t="b">
        <v>0</v>
      </c>
      <c r="D599" s="2" t="b">
        <v>0</v>
      </c>
      <c r="E599" s="2" t="b">
        <v>0</v>
      </c>
      <c r="F599" s="2" t="b">
        <v>0</v>
      </c>
      <c r="G599" s="2" t="s">
        <v>31</v>
      </c>
      <c r="H599" s="2" t="s">
        <v>1940</v>
      </c>
      <c r="I599" s="2" t="s">
        <v>1941</v>
      </c>
      <c r="J599" s="2" t="s">
        <v>35</v>
      </c>
      <c r="K599" s="2" t="s">
        <v>35</v>
      </c>
      <c r="L599" s="2" t="s">
        <v>35</v>
      </c>
      <c r="M599" s="2">
        <v>16</v>
      </c>
      <c r="N599" s="2">
        <v>16</v>
      </c>
      <c r="O599" s="11">
        <v>44748.682379328704</v>
      </c>
      <c r="P599" s="11">
        <v>44748.682717372685</v>
      </c>
      <c r="Q599" s="27">
        <f t="shared" si="27"/>
        <v>3.380439811735414E-4</v>
      </c>
      <c r="R599" s="65">
        <f t="shared" si="29"/>
        <v>4.7341435129055753E-4</v>
      </c>
      <c r="S599" s="2">
        <v>0</v>
      </c>
      <c r="T599" s="2" t="s">
        <v>54</v>
      </c>
      <c r="U599" s="2" t="s">
        <v>55</v>
      </c>
      <c r="V599" s="2" t="s">
        <v>38</v>
      </c>
      <c r="W599" s="2" t="s">
        <v>35</v>
      </c>
      <c r="X599" s="2" t="s">
        <v>35</v>
      </c>
      <c r="Y599" s="2" t="s">
        <v>35</v>
      </c>
      <c r="Z599" s="2" t="b">
        <v>0</v>
      </c>
      <c r="AA599" s="2" t="s">
        <v>35</v>
      </c>
      <c r="AB599" s="2" t="s">
        <v>35</v>
      </c>
      <c r="AC599" s="2" t="s">
        <v>35</v>
      </c>
      <c r="AD599" s="2" t="s">
        <v>35</v>
      </c>
      <c r="AE599" s="2" t="s">
        <v>1826</v>
      </c>
      <c r="AF599" s="11">
        <v>44748.629166608793</v>
      </c>
      <c r="AG599" s="53"/>
      <c r="AH599" s="53" t="b">
        <f t="shared" si="28"/>
        <v>0</v>
      </c>
      <c r="AI599" s="54" t="str" cm="1">
        <f t="array" ref="AI599">TRANSPOSE(_xlfn._xlws.FILTER(images!L:L,images!F:F=Barrierenmessung!A599, ""))</f>
        <v>https://captureandgo.cloudlab.zhaw.ch/uploads/image_8455ece0bb.jpg</v>
      </c>
      <c r="AJ599" s="2"/>
      <c r="AK599" s="2"/>
      <c r="AL599" s="2"/>
      <c r="AM599" s="2"/>
      <c r="AN599" s="2"/>
    </row>
    <row r="600" spans="1:40" ht="16" x14ac:dyDescent="0.2">
      <c r="A600" s="68" t="s">
        <v>1942</v>
      </c>
      <c r="B600" s="68">
        <v>599</v>
      </c>
      <c r="C600" s="68" t="b">
        <v>0</v>
      </c>
      <c r="D600" s="68" t="b">
        <v>0</v>
      </c>
      <c r="E600" s="68" t="b">
        <v>0</v>
      </c>
      <c r="F600" s="68" t="b">
        <v>0</v>
      </c>
      <c r="G600" s="68" t="s">
        <v>31</v>
      </c>
      <c r="H600" s="68" t="s">
        <v>149</v>
      </c>
      <c r="I600" s="68" t="s">
        <v>1943</v>
      </c>
      <c r="J600" s="68" t="s">
        <v>1944</v>
      </c>
      <c r="K600" s="68" t="s">
        <v>35</v>
      </c>
      <c r="L600" s="68" t="s">
        <v>35</v>
      </c>
      <c r="M600" s="68" t="s">
        <v>35</v>
      </c>
      <c r="N600" s="68" t="s">
        <v>35</v>
      </c>
      <c r="O600" s="69">
        <v>44748.697846840281</v>
      </c>
      <c r="P600" s="69">
        <v>44748.698133032405</v>
      </c>
      <c r="Q600" s="70">
        <f t="shared" si="27"/>
        <v>2.8619212389457971E-4</v>
      </c>
      <c r="R600" s="70">
        <f t="shared" si="29"/>
        <v>9.1081018035765737E-4</v>
      </c>
      <c r="S600" s="68">
        <v>0</v>
      </c>
      <c r="T600" s="68" t="s">
        <v>36</v>
      </c>
      <c r="U600" s="68" t="s">
        <v>37</v>
      </c>
      <c r="V600" s="68" t="s">
        <v>38</v>
      </c>
      <c r="W600" s="68" t="s">
        <v>35</v>
      </c>
      <c r="X600" s="68" t="s">
        <v>35</v>
      </c>
      <c r="Y600" s="68" t="s">
        <v>35</v>
      </c>
      <c r="Z600" s="68" t="b">
        <v>0</v>
      </c>
      <c r="AA600" s="68" t="s">
        <v>35</v>
      </c>
      <c r="AB600" s="68" t="s">
        <v>35</v>
      </c>
      <c r="AC600" s="68">
        <v>4</v>
      </c>
      <c r="AD600" s="68" t="s">
        <v>35</v>
      </c>
      <c r="AE600" s="68" t="s">
        <v>1945</v>
      </c>
      <c r="AF600" s="69">
        <v>44748.697222222225</v>
      </c>
      <c r="AG600" s="71"/>
      <c r="AH600" s="71" t="b">
        <f t="shared" si="28"/>
        <v>0</v>
      </c>
      <c r="AI600" s="56" t="str" cm="1">
        <f t="array" ref="AI600">TRANSPOSE(_xlfn._xlws.FILTER(images!L:L,images!F:F=Barrierenmessung!A600, ""))</f>
        <v/>
      </c>
      <c r="AJ600" s="68"/>
      <c r="AK600" s="68"/>
      <c r="AL600" s="68"/>
      <c r="AM600" s="68"/>
      <c r="AN600" s="68"/>
    </row>
    <row r="601" spans="1:40" ht="16" x14ac:dyDescent="0.2">
      <c r="A601" s="2" t="s">
        <v>1946</v>
      </c>
      <c r="B601" s="46">
        <v>600</v>
      </c>
      <c r="C601" s="2" t="b">
        <v>0</v>
      </c>
      <c r="D601" s="2" t="b">
        <v>0</v>
      </c>
      <c r="E601" s="2" t="b">
        <v>0</v>
      </c>
      <c r="F601" s="2" t="b">
        <v>0</v>
      </c>
      <c r="G601" s="2" t="s">
        <v>31</v>
      </c>
      <c r="H601" s="2" t="s">
        <v>1947</v>
      </c>
      <c r="I601" s="2" t="s">
        <v>1948</v>
      </c>
      <c r="J601" s="2" t="s">
        <v>35</v>
      </c>
      <c r="K601" s="2" t="s">
        <v>35</v>
      </c>
      <c r="L601" s="2" t="s">
        <v>35</v>
      </c>
      <c r="M601" s="2" t="s">
        <v>35</v>
      </c>
      <c r="N601" s="2" t="s">
        <v>35</v>
      </c>
      <c r="O601" s="11">
        <v>44748.698957141205</v>
      </c>
      <c r="P601" s="11">
        <v>44748.699073657408</v>
      </c>
      <c r="Q601" s="27">
        <f t="shared" si="27"/>
        <v>1.1651620297925547E-4</v>
      </c>
      <c r="R601" s="65">
        <f t="shared" si="29"/>
        <v>9.4062500284053385E-4</v>
      </c>
      <c r="S601" s="2">
        <v>0</v>
      </c>
      <c r="T601" s="2" t="s">
        <v>36</v>
      </c>
      <c r="U601" s="2" t="s">
        <v>37</v>
      </c>
      <c r="V601" s="2" t="s">
        <v>38</v>
      </c>
      <c r="W601" s="2" t="s">
        <v>35</v>
      </c>
      <c r="X601" s="2" t="s">
        <v>35</v>
      </c>
      <c r="Y601" s="2" t="s">
        <v>35</v>
      </c>
      <c r="Z601" s="2" t="b">
        <v>0</v>
      </c>
      <c r="AA601" s="2" t="s">
        <v>35</v>
      </c>
      <c r="AB601" s="2" t="s">
        <v>35</v>
      </c>
      <c r="AC601" s="2" t="s">
        <v>35</v>
      </c>
      <c r="AD601" s="2">
        <v>3</v>
      </c>
      <c r="AE601" s="2" t="s">
        <v>1945</v>
      </c>
      <c r="AF601" s="11">
        <v>44748.697222222225</v>
      </c>
      <c r="AG601" s="53"/>
      <c r="AH601" s="53" t="b">
        <f t="shared" si="28"/>
        <v>0</v>
      </c>
      <c r="AI601" s="54" t="str" cm="1">
        <f t="array" ref="AI601">TRANSPOSE(_xlfn._xlws.FILTER(images!L:L,images!F:F=Barrierenmessung!A601, ""))</f>
        <v>https://captureandgo.cloudlab.zhaw.ch/uploads/image_c0334f877d.jpg</v>
      </c>
      <c r="AJ601" s="2"/>
      <c r="AK601" s="2"/>
      <c r="AL601" s="2"/>
      <c r="AM601" s="2"/>
      <c r="AN601" s="2"/>
    </row>
    <row r="602" spans="1:40" ht="16" x14ac:dyDescent="0.2">
      <c r="A602" s="2" t="s">
        <v>1949</v>
      </c>
      <c r="B602" s="46">
        <v>601</v>
      </c>
      <c r="C602" s="2" t="b">
        <v>0</v>
      </c>
      <c r="D602" s="2" t="b">
        <v>0</v>
      </c>
      <c r="E602" s="2" t="b">
        <v>0</v>
      </c>
      <c r="F602" s="2" t="b">
        <v>0</v>
      </c>
      <c r="G602" s="2" t="s">
        <v>31</v>
      </c>
      <c r="H602" s="2" t="s">
        <v>1950</v>
      </c>
      <c r="I602" s="2" t="s">
        <v>1951</v>
      </c>
      <c r="J602" s="2" t="s">
        <v>35</v>
      </c>
      <c r="K602" s="2" t="s">
        <v>35</v>
      </c>
      <c r="L602" s="2" t="s">
        <v>35</v>
      </c>
      <c r="M602" s="2" t="s">
        <v>35</v>
      </c>
      <c r="N602" s="2" t="s">
        <v>35</v>
      </c>
      <c r="O602" s="11">
        <v>44748.699630023148</v>
      </c>
      <c r="P602" s="11">
        <v>44748.699753530091</v>
      </c>
      <c r="Q602" s="27">
        <f t="shared" si="27"/>
        <v>1.235069430549629E-4</v>
      </c>
      <c r="R602" s="65">
        <f t="shared" si="29"/>
        <v>6.7987268266733736E-4</v>
      </c>
      <c r="S602" s="2">
        <v>0</v>
      </c>
      <c r="T602" s="2" t="s">
        <v>36</v>
      </c>
      <c r="U602" s="2" t="s">
        <v>37</v>
      </c>
      <c r="V602" s="2" t="s">
        <v>38</v>
      </c>
      <c r="W602" s="2" t="s">
        <v>35</v>
      </c>
      <c r="X602" s="2" t="s">
        <v>35</v>
      </c>
      <c r="Y602" s="2" t="s">
        <v>35</v>
      </c>
      <c r="Z602" s="2" t="b">
        <v>0</v>
      </c>
      <c r="AA602" s="2" t="s">
        <v>165</v>
      </c>
      <c r="AB602" s="2" t="s">
        <v>35</v>
      </c>
      <c r="AC602" s="2" t="s">
        <v>35</v>
      </c>
      <c r="AD602" s="2" t="s">
        <v>35</v>
      </c>
      <c r="AE602" s="2" t="s">
        <v>1945</v>
      </c>
      <c r="AF602" s="11">
        <v>44748.697222222225</v>
      </c>
      <c r="AG602" s="53"/>
      <c r="AH602" s="53" t="b">
        <f t="shared" si="28"/>
        <v>0</v>
      </c>
      <c r="AI602" s="54" t="str" cm="1">
        <f t="array" ref="AI602">TRANSPOSE(_xlfn._xlws.FILTER(images!L:L,images!F:F=Barrierenmessung!A602, ""))</f>
        <v>https://captureandgo.cloudlab.zhaw.ch/uploads/image_0140c63537.jpg</v>
      </c>
      <c r="AJ602" s="2"/>
      <c r="AK602" s="2"/>
      <c r="AL602" s="2"/>
      <c r="AM602" s="2"/>
      <c r="AN602" s="2"/>
    </row>
    <row r="603" spans="1:40" ht="16" x14ac:dyDescent="0.2">
      <c r="A603" s="68" t="s">
        <v>1952</v>
      </c>
      <c r="B603" s="68">
        <v>602</v>
      </c>
      <c r="C603" s="68" t="b">
        <v>0</v>
      </c>
      <c r="D603" s="68" t="b">
        <v>0</v>
      </c>
      <c r="E603" s="68" t="b">
        <v>0</v>
      </c>
      <c r="F603" s="68" t="b">
        <v>0</v>
      </c>
      <c r="G603" s="68" t="s">
        <v>31</v>
      </c>
      <c r="H603" s="68" t="s">
        <v>149</v>
      </c>
      <c r="I603" s="68" t="s">
        <v>1953</v>
      </c>
      <c r="J603" s="68" t="s">
        <v>35</v>
      </c>
      <c r="K603" s="68" t="s">
        <v>35</v>
      </c>
      <c r="L603" s="68" t="s">
        <v>35</v>
      </c>
      <c r="M603" s="68">
        <v>3</v>
      </c>
      <c r="N603" s="68">
        <v>13</v>
      </c>
      <c r="O603" s="69">
        <v>44748.699954374999</v>
      </c>
      <c r="P603" s="69">
        <v>44748.700206805559</v>
      </c>
      <c r="Q603" s="70">
        <f t="shared" si="27"/>
        <v>2.5243056006729603E-4</v>
      </c>
      <c r="R603" s="70">
        <f t="shared" si="29"/>
        <v>4.532754683168605E-4</v>
      </c>
      <c r="S603" s="68">
        <v>0</v>
      </c>
      <c r="T603" s="68" t="s">
        <v>54</v>
      </c>
      <c r="U603" s="68" t="s">
        <v>55</v>
      </c>
      <c r="V603" s="68" t="s">
        <v>38</v>
      </c>
      <c r="W603" s="68" t="s">
        <v>35</v>
      </c>
      <c r="X603" s="68" t="s">
        <v>35</v>
      </c>
      <c r="Y603" s="68" t="s">
        <v>35</v>
      </c>
      <c r="Z603" s="68" t="b">
        <v>0</v>
      </c>
      <c r="AA603" s="68" t="s">
        <v>35</v>
      </c>
      <c r="AB603" s="68" t="s">
        <v>35</v>
      </c>
      <c r="AC603" s="68" t="s">
        <v>35</v>
      </c>
      <c r="AD603" s="68" t="s">
        <v>35</v>
      </c>
      <c r="AE603" s="68" t="s">
        <v>1945</v>
      </c>
      <c r="AF603" s="69">
        <v>44748.697222222225</v>
      </c>
      <c r="AG603" s="71"/>
      <c r="AH603" s="71" t="b">
        <f t="shared" si="28"/>
        <v>0</v>
      </c>
      <c r="AI603" s="56" t="str" cm="1">
        <f t="array" ref="AI603">TRANSPOSE(_xlfn._xlws.FILTER(images!L:L,images!F:F=Barrierenmessung!A603, ""))</f>
        <v/>
      </c>
      <c r="AJ603" s="68"/>
      <c r="AK603" s="68"/>
      <c r="AL603" s="68"/>
      <c r="AM603" s="68"/>
      <c r="AN603" s="68"/>
    </row>
    <row r="604" spans="1:40" ht="16" x14ac:dyDescent="0.2">
      <c r="A604" s="68" t="s">
        <v>1954</v>
      </c>
      <c r="B604" s="68">
        <v>603</v>
      </c>
      <c r="C604" s="68" t="b">
        <v>0</v>
      </c>
      <c r="D604" s="68" t="b">
        <v>0</v>
      </c>
      <c r="E604" s="68" t="b">
        <v>0</v>
      </c>
      <c r="F604" s="68" t="b">
        <v>0</v>
      </c>
      <c r="G604" s="68" t="s">
        <v>31</v>
      </c>
      <c r="H604" s="68" t="s">
        <v>149</v>
      </c>
      <c r="I604" s="68" t="s">
        <v>1955</v>
      </c>
      <c r="J604" s="68" t="s">
        <v>35</v>
      </c>
      <c r="K604" s="68" t="s">
        <v>35</v>
      </c>
      <c r="L604" s="68" t="s">
        <v>35</v>
      </c>
      <c r="M604" s="68" t="s">
        <v>35</v>
      </c>
      <c r="N604" s="68" t="s">
        <v>35</v>
      </c>
      <c r="O604" s="69">
        <v>44748.700371851854</v>
      </c>
      <c r="P604" s="69">
        <v>44748.700529502312</v>
      </c>
      <c r="Q604" s="70">
        <f t="shared" si="27"/>
        <v>1.5765045827720314E-4</v>
      </c>
      <c r="R604" s="70">
        <f t="shared" si="29"/>
        <v>3.22696752846241E-4</v>
      </c>
      <c r="S604" s="68">
        <v>0</v>
      </c>
      <c r="T604" s="68" t="s">
        <v>36</v>
      </c>
      <c r="U604" s="68" t="s">
        <v>37</v>
      </c>
      <c r="V604" s="68" t="s">
        <v>38</v>
      </c>
      <c r="W604" s="68" t="s">
        <v>35</v>
      </c>
      <c r="X604" s="68" t="s">
        <v>35</v>
      </c>
      <c r="Y604" s="68" t="s">
        <v>35</v>
      </c>
      <c r="Z604" s="68" t="b">
        <v>0</v>
      </c>
      <c r="AA604" s="68" t="s">
        <v>165</v>
      </c>
      <c r="AB604" s="68" t="s">
        <v>35</v>
      </c>
      <c r="AC604" s="68" t="s">
        <v>35</v>
      </c>
      <c r="AD604" s="68" t="s">
        <v>35</v>
      </c>
      <c r="AE604" s="68" t="s">
        <v>1945</v>
      </c>
      <c r="AF604" s="69">
        <v>44748.697222222225</v>
      </c>
      <c r="AG604" s="71"/>
      <c r="AH604" s="71" t="b">
        <f t="shared" si="28"/>
        <v>0</v>
      </c>
      <c r="AI604" s="56" t="str" cm="1">
        <f t="array" ref="AI604">TRANSPOSE(_xlfn._xlws.FILTER(images!L:L,images!F:F=Barrierenmessung!A604, ""))</f>
        <v/>
      </c>
      <c r="AJ604" s="68"/>
      <c r="AK604" s="68"/>
      <c r="AL604" s="68"/>
      <c r="AM604" s="68"/>
      <c r="AN604" s="68"/>
    </row>
    <row r="605" spans="1:40" ht="16" x14ac:dyDescent="0.2">
      <c r="A605" s="68" t="s">
        <v>1956</v>
      </c>
      <c r="B605" s="68">
        <v>604</v>
      </c>
      <c r="C605" s="68" t="b">
        <v>0</v>
      </c>
      <c r="D605" s="68" t="b">
        <v>0</v>
      </c>
      <c r="E605" s="68" t="b">
        <v>0</v>
      </c>
      <c r="F605" s="68" t="b">
        <v>0</v>
      </c>
      <c r="G605" s="68" t="s">
        <v>31</v>
      </c>
      <c r="H605" s="68" t="s">
        <v>149</v>
      </c>
      <c r="I605" s="68" t="s">
        <v>1957</v>
      </c>
      <c r="J605" s="68" t="s">
        <v>35</v>
      </c>
      <c r="K605" s="68" t="s">
        <v>35</v>
      </c>
      <c r="L605" s="68" t="s">
        <v>35</v>
      </c>
      <c r="M605" s="68" t="s">
        <v>35</v>
      </c>
      <c r="N605" s="68" t="s">
        <v>35</v>
      </c>
      <c r="O605" s="69">
        <v>44748.700623657409</v>
      </c>
      <c r="P605" s="69">
        <v>44748.700762939814</v>
      </c>
      <c r="Q605" s="70">
        <f t="shared" si="27"/>
        <v>1.3928240514360368E-4</v>
      </c>
      <c r="R605" s="70">
        <f t="shared" si="29"/>
        <v>2.3343750217463821E-4</v>
      </c>
      <c r="S605" s="68">
        <v>0</v>
      </c>
      <c r="T605" s="68" t="s">
        <v>36</v>
      </c>
      <c r="U605" s="68" t="s">
        <v>37</v>
      </c>
      <c r="V605" s="68" t="s">
        <v>38</v>
      </c>
      <c r="W605" s="68" t="s">
        <v>35</v>
      </c>
      <c r="X605" s="68" t="s">
        <v>35</v>
      </c>
      <c r="Y605" s="68" t="s">
        <v>35</v>
      </c>
      <c r="Z605" s="68" t="b">
        <v>0</v>
      </c>
      <c r="AA605" s="68" t="s">
        <v>165</v>
      </c>
      <c r="AB605" s="68" t="s">
        <v>35</v>
      </c>
      <c r="AC605" s="68" t="s">
        <v>35</v>
      </c>
      <c r="AD605" s="68" t="s">
        <v>35</v>
      </c>
      <c r="AE605" s="68" t="s">
        <v>1945</v>
      </c>
      <c r="AF605" s="69">
        <v>44748.697222222225</v>
      </c>
      <c r="AG605" s="71"/>
      <c r="AH605" s="71" t="b">
        <f t="shared" si="28"/>
        <v>0</v>
      </c>
      <c r="AI605" s="56" t="str" cm="1">
        <f t="array" ref="AI605">TRANSPOSE(_xlfn._xlws.FILTER(images!L:L,images!F:F=Barrierenmessung!A605, ""))</f>
        <v/>
      </c>
      <c r="AJ605" s="68"/>
      <c r="AK605" s="68"/>
      <c r="AL605" s="68"/>
      <c r="AM605" s="68"/>
      <c r="AN605" s="68"/>
    </row>
    <row r="606" spans="1:40" ht="16" x14ac:dyDescent="0.2">
      <c r="A606" s="68" t="s">
        <v>1958</v>
      </c>
      <c r="B606" s="68">
        <v>605</v>
      </c>
      <c r="C606" s="68" t="b">
        <v>0</v>
      </c>
      <c r="D606" s="68" t="b">
        <v>0</v>
      </c>
      <c r="E606" s="68" t="b">
        <v>0</v>
      </c>
      <c r="F606" s="68" t="b">
        <v>0</v>
      </c>
      <c r="G606" s="68" t="s">
        <v>31</v>
      </c>
      <c r="H606" s="68" t="s">
        <v>149</v>
      </c>
      <c r="I606" s="68" t="s">
        <v>1959</v>
      </c>
      <c r="J606" s="68" t="s">
        <v>35</v>
      </c>
      <c r="K606" s="68" t="s">
        <v>35</v>
      </c>
      <c r="L606" s="68" t="s">
        <v>35</v>
      </c>
      <c r="M606" s="68" t="s">
        <v>35</v>
      </c>
      <c r="N606" s="68" t="s">
        <v>35</v>
      </c>
      <c r="O606" s="69">
        <v>44748.701251562503</v>
      </c>
      <c r="P606" s="69">
        <v>44748.701364942128</v>
      </c>
      <c r="Q606" s="70">
        <f t="shared" si="27"/>
        <v>1.1337962496327236E-4</v>
      </c>
      <c r="R606" s="70">
        <f t="shared" si="29"/>
        <v>6.0200231382623315E-4</v>
      </c>
      <c r="S606" s="68">
        <v>0</v>
      </c>
      <c r="T606" s="68" t="s">
        <v>36</v>
      </c>
      <c r="U606" s="68" t="s">
        <v>37</v>
      </c>
      <c r="V606" s="68" t="s">
        <v>38</v>
      </c>
      <c r="W606" s="68" t="s">
        <v>35</v>
      </c>
      <c r="X606" s="68" t="s">
        <v>35</v>
      </c>
      <c r="Y606" s="68" t="s">
        <v>35</v>
      </c>
      <c r="Z606" s="68" t="b">
        <v>0</v>
      </c>
      <c r="AA606" s="68" t="s">
        <v>35</v>
      </c>
      <c r="AB606" s="68" t="s">
        <v>35</v>
      </c>
      <c r="AC606" s="68" t="s">
        <v>35</v>
      </c>
      <c r="AD606" s="68">
        <v>2</v>
      </c>
      <c r="AE606" s="68" t="s">
        <v>1945</v>
      </c>
      <c r="AF606" s="69">
        <v>44748.697222222225</v>
      </c>
      <c r="AG606" s="71"/>
      <c r="AH606" s="71" t="b">
        <f t="shared" si="28"/>
        <v>0</v>
      </c>
      <c r="AI606" s="56" t="str" cm="1">
        <f t="array" ref="AI606">TRANSPOSE(_xlfn._xlws.FILTER(images!L:L,images!F:F=Barrierenmessung!A606, ""))</f>
        <v/>
      </c>
      <c r="AJ606" s="68"/>
      <c r="AK606" s="68"/>
      <c r="AL606" s="68"/>
      <c r="AM606" s="68"/>
      <c r="AN606" s="68"/>
    </row>
    <row r="607" spans="1:40" ht="16" x14ac:dyDescent="0.2">
      <c r="A607" s="2" t="s">
        <v>1960</v>
      </c>
      <c r="B607" s="46">
        <v>606</v>
      </c>
      <c r="C607" s="2" t="b">
        <v>0</v>
      </c>
      <c r="D607" s="2" t="b">
        <v>0</v>
      </c>
      <c r="E607" s="2" t="b">
        <v>0</v>
      </c>
      <c r="F607" s="2" t="b">
        <v>0</v>
      </c>
      <c r="G607" s="2" t="s">
        <v>31</v>
      </c>
      <c r="H607" s="2" t="s">
        <v>1961</v>
      </c>
      <c r="I607" s="2" t="s">
        <v>1962</v>
      </c>
      <c r="J607" s="2" t="s">
        <v>35</v>
      </c>
      <c r="K607" s="2" t="s">
        <v>35</v>
      </c>
      <c r="L607" s="2">
        <v>10</v>
      </c>
      <c r="M607" s="2" t="s">
        <v>35</v>
      </c>
      <c r="N607" s="2" t="s">
        <v>35</v>
      </c>
      <c r="O607" s="11">
        <v>44748.702035856484</v>
      </c>
      <c r="P607" s="11">
        <v>44748.702286134256</v>
      </c>
      <c r="Q607" s="27">
        <f t="shared" si="27"/>
        <v>2.5027777155628428E-4</v>
      </c>
      <c r="R607" s="65">
        <f t="shared" si="29"/>
        <v>9.2119212786201388E-4</v>
      </c>
      <c r="S607" s="2">
        <v>0</v>
      </c>
      <c r="T607" s="2" t="s">
        <v>265</v>
      </c>
      <c r="U607" s="2" t="s">
        <v>266</v>
      </c>
      <c r="V607" s="2" t="s">
        <v>38</v>
      </c>
      <c r="W607" s="2" t="s">
        <v>35</v>
      </c>
      <c r="X607" s="2" t="s">
        <v>35</v>
      </c>
      <c r="Y607" s="2" t="s">
        <v>35</v>
      </c>
      <c r="Z607" s="2" t="b">
        <v>0</v>
      </c>
      <c r="AA607" s="2" t="s">
        <v>35</v>
      </c>
      <c r="AB607" s="2" t="s">
        <v>35</v>
      </c>
      <c r="AC607" s="2" t="s">
        <v>35</v>
      </c>
      <c r="AD607" s="2" t="s">
        <v>35</v>
      </c>
      <c r="AE607" s="2" t="s">
        <v>1945</v>
      </c>
      <c r="AF607" s="11">
        <v>44748.697222222225</v>
      </c>
      <c r="AG607" s="53"/>
      <c r="AH607" s="53" t="b">
        <f t="shared" si="28"/>
        <v>0</v>
      </c>
      <c r="AI607" s="54" t="str" cm="1">
        <f t="array" ref="AI607">TRANSPOSE(_xlfn._xlws.FILTER(images!L:L,images!F:F=Barrierenmessung!A607, ""))</f>
        <v>https://captureandgo.cloudlab.zhaw.ch/uploads/image_e6af1d1420.jpg</v>
      </c>
      <c r="AJ607" s="2"/>
      <c r="AK607" s="2"/>
      <c r="AL607" s="2"/>
      <c r="AM607" s="2"/>
      <c r="AN607" s="2"/>
    </row>
    <row r="608" spans="1:40" ht="16" x14ac:dyDescent="0.2">
      <c r="A608" s="68" t="s">
        <v>1963</v>
      </c>
      <c r="B608" s="68">
        <v>607</v>
      </c>
      <c r="C608" s="68" t="b">
        <v>0</v>
      </c>
      <c r="D608" s="68" t="b">
        <v>0</v>
      </c>
      <c r="E608" s="68" t="b">
        <v>0</v>
      </c>
      <c r="F608" s="68" t="b">
        <v>0</v>
      </c>
      <c r="G608" s="68" t="s">
        <v>31</v>
      </c>
      <c r="H608" s="68" t="s">
        <v>149</v>
      </c>
      <c r="I608" s="68" t="s">
        <v>1964</v>
      </c>
      <c r="J608" s="68" t="s">
        <v>35</v>
      </c>
      <c r="K608" s="68" t="s">
        <v>35</v>
      </c>
      <c r="L608" s="68" t="s">
        <v>35</v>
      </c>
      <c r="M608" s="68">
        <v>5</v>
      </c>
      <c r="N608" s="68">
        <v>15</v>
      </c>
      <c r="O608" s="69">
        <v>44748.702354120367</v>
      </c>
      <c r="P608" s="69">
        <v>44748.702575740739</v>
      </c>
      <c r="Q608" s="70">
        <f t="shared" si="27"/>
        <v>2.2162037203088403E-4</v>
      </c>
      <c r="R608" s="70">
        <f t="shared" si="29"/>
        <v>2.8960648342035711E-4</v>
      </c>
      <c r="S608" s="68">
        <v>0</v>
      </c>
      <c r="T608" s="68" t="s">
        <v>54</v>
      </c>
      <c r="U608" s="68" t="s">
        <v>55</v>
      </c>
      <c r="V608" s="68" t="s">
        <v>38</v>
      </c>
      <c r="W608" s="68" t="s">
        <v>35</v>
      </c>
      <c r="X608" s="68" t="s">
        <v>35</v>
      </c>
      <c r="Y608" s="68" t="s">
        <v>35</v>
      </c>
      <c r="Z608" s="68" t="b">
        <v>0</v>
      </c>
      <c r="AA608" s="68" t="s">
        <v>35</v>
      </c>
      <c r="AB608" s="68" t="s">
        <v>35</v>
      </c>
      <c r="AC608" s="68" t="s">
        <v>35</v>
      </c>
      <c r="AD608" s="68" t="s">
        <v>35</v>
      </c>
      <c r="AE608" s="68" t="s">
        <v>1945</v>
      </c>
      <c r="AF608" s="69">
        <v>44748.697222222225</v>
      </c>
      <c r="AG608" s="71"/>
      <c r="AH608" s="71" t="b">
        <f t="shared" si="28"/>
        <v>0</v>
      </c>
      <c r="AI608" s="56" t="str" cm="1">
        <f t="array" ref="AI608">TRANSPOSE(_xlfn._xlws.FILTER(images!L:L,images!F:F=Barrierenmessung!A608, ""))</f>
        <v/>
      </c>
      <c r="AJ608" s="68"/>
      <c r="AK608" s="68"/>
      <c r="AL608" s="68"/>
      <c r="AM608" s="68"/>
      <c r="AN608" s="68"/>
    </row>
    <row r="609" spans="1:40" ht="16" x14ac:dyDescent="0.2">
      <c r="A609" s="2" t="s">
        <v>1965</v>
      </c>
      <c r="B609" s="46">
        <v>608</v>
      </c>
      <c r="C609" s="2" t="b">
        <v>0</v>
      </c>
      <c r="D609" s="2" t="b">
        <v>0</v>
      </c>
      <c r="E609" s="2" t="b">
        <v>0</v>
      </c>
      <c r="F609" s="2" t="b">
        <v>0</v>
      </c>
      <c r="G609" s="2" t="s">
        <v>31</v>
      </c>
      <c r="H609" s="2" t="s">
        <v>1966</v>
      </c>
      <c r="I609" s="2" t="s">
        <v>1967</v>
      </c>
      <c r="J609" s="2" t="s">
        <v>35</v>
      </c>
      <c r="K609" s="2" t="s">
        <v>35</v>
      </c>
      <c r="L609" s="2">
        <v>5</v>
      </c>
      <c r="M609" s="2" t="s">
        <v>35</v>
      </c>
      <c r="N609" s="2" t="s">
        <v>35</v>
      </c>
      <c r="O609" s="11">
        <v>44748.70306201389</v>
      </c>
      <c r="P609" s="11">
        <v>44748.703284363422</v>
      </c>
      <c r="Q609" s="27">
        <f t="shared" si="27"/>
        <v>2.2234953212318942E-4</v>
      </c>
      <c r="R609" s="65">
        <f t="shared" si="29"/>
        <v>7.0862268330529332E-4</v>
      </c>
      <c r="S609" s="2">
        <v>0</v>
      </c>
      <c r="T609" s="2" t="s">
        <v>265</v>
      </c>
      <c r="U609" s="2" t="s">
        <v>266</v>
      </c>
      <c r="V609" s="2" t="s">
        <v>38</v>
      </c>
      <c r="W609" s="2" t="s">
        <v>35</v>
      </c>
      <c r="X609" s="2" t="s">
        <v>35</v>
      </c>
      <c r="Y609" s="2" t="s">
        <v>35</v>
      </c>
      <c r="Z609" s="2" t="b">
        <v>0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2" t="s">
        <v>1945</v>
      </c>
      <c r="AF609" s="11">
        <v>44748.697222222225</v>
      </c>
      <c r="AG609" s="53"/>
      <c r="AH609" s="53" t="b">
        <f t="shared" si="28"/>
        <v>0</v>
      </c>
      <c r="AI609" s="54" t="str" cm="1">
        <f t="array" ref="AI609">TRANSPOSE(_xlfn._xlws.FILTER(images!L:L,images!F:F=Barrierenmessung!A609, ""))</f>
        <v>https://captureandgo.cloudlab.zhaw.ch/uploads/image_ccdbde2456.jpg</v>
      </c>
      <c r="AJ609" s="2"/>
      <c r="AK609" s="2"/>
      <c r="AL609" s="2"/>
      <c r="AM609" s="2"/>
      <c r="AN609" s="2"/>
    </row>
    <row r="610" spans="1:40" ht="16" x14ac:dyDescent="0.2">
      <c r="A610" s="68" t="s">
        <v>1968</v>
      </c>
      <c r="B610" s="68">
        <v>609</v>
      </c>
      <c r="C610" s="68" t="b">
        <v>0</v>
      </c>
      <c r="D610" s="68" t="b">
        <v>0</v>
      </c>
      <c r="E610" s="68" t="b">
        <v>0</v>
      </c>
      <c r="F610" s="68" t="b">
        <v>0</v>
      </c>
      <c r="G610" s="68" t="s">
        <v>31</v>
      </c>
      <c r="H610" s="68" t="s">
        <v>149</v>
      </c>
      <c r="I610" s="68" t="s">
        <v>1969</v>
      </c>
      <c r="J610" s="68" t="s">
        <v>35</v>
      </c>
      <c r="K610" s="68" t="s">
        <v>35</v>
      </c>
      <c r="L610" s="68">
        <v>6</v>
      </c>
      <c r="M610" s="68" t="s">
        <v>35</v>
      </c>
      <c r="N610" s="68" t="s">
        <v>35</v>
      </c>
      <c r="O610" s="69">
        <v>44748.703539131944</v>
      </c>
      <c r="P610" s="69">
        <v>44748.703709699075</v>
      </c>
      <c r="Q610" s="70">
        <f t="shared" si="27"/>
        <v>1.7056713113561273E-4</v>
      </c>
      <c r="R610" s="70">
        <f t="shared" si="29"/>
        <v>4.2533565283520147E-4</v>
      </c>
      <c r="S610" s="68">
        <v>0</v>
      </c>
      <c r="T610" s="68" t="s">
        <v>265</v>
      </c>
      <c r="U610" s="68" t="s">
        <v>266</v>
      </c>
      <c r="V610" s="68" t="s">
        <v>38</v>
      </c>
      <c r="W610" s="68" t="s">
        <v>35</v>
      </c>
      <c r="X610" s="68" t="s">
        <v>35</v>
      </c>
      <c r="Y610" s="68" t="s">
        <v>35</v>
      </c>
      <c r="Z610" s="68" t="b">
        <v>0</v>
      </c>
      <c r="AA610" s="68" t="s">
        <v>35</v>
      </c>
      <c r="AB610" s="68" t="s">
        <v>35</v>
      </c>
      <c r="AC610" s="68" t="s">
        <v>35</v>
      </c>
      <c r="AD610" s="68" t="s">
        <v>35</v>
      </c>
      <c r="AE610" s="68" t="s">
        <v>1945</v>
      </c>
      <c r="AF610" s="69">
        <v>44748.697222222225</v>
      </c>
      <c r="AG610" s="71"/>
      <c r="AH610" s="71" t="b">
        <f t="shared" si="28"/>
        <v>0</v>
      </c>
      <c r="AI610" s="56" t="str" cm="1">
        <f t="array" ref="AI610">TRANSPOSE(_xlfn._xlws.FILTER(images!L:L,images!F:F=Barrierenmessung!A610, ""))</f>
        <v/>
      </c>
      <c r="AJ610" s="68"/>
      <c r="AK610" s="68"/>
      <c r="AL610" s="68"/>
      <c r="AM610" s="68"/>
      <c r="AN610" s="68"/>
    </row>
    <row r="611" spans="1:40" ht="16" x14ac:dyDescent="0.2">
      <c r="A611" s="2" t="s">
        <v>1970</v>
      </c>
      <c r="B611" s="46">
        <v>610</v>
      </c>
      <c r="C611" s="2" t="b">
        <v>0</v>
      </c>
      <c r="D611" s="2" t="b">
        <v>0</v>
      </c>
      <c r="E611" s="2" t="b">
        <v>0</v>
      </c>
      <c r="F611" s="2" t="b">
        <v>0</v>
      </c>
      <c r="G611" s="2" t="s">
        <v>31</v>
      </c>
      <c r="H611" s="2" t="s">
        <v>1971</v>
      </c>
      <c r="I611" s="2" t="s">
        <v>1972</v>
      </c>
      <c r="J611" s="2" t="s">
        <v>35</v>
      </c>
      <c r="K611" s="2" t="s">
        <v>35</v>
      </c>
      <c r="L611" s="2" t="s">
        <v>35</v>
      </c>
      <c r="M611" s="2">
        <v>5</v>
      </c>
      <c r="N611" s="2">
        <v>15</v>
      </c>
      <c r="O611" s="11">
        <v>44748.703879479166</v>
      </c>
      <c r="P611" s="11">
        <v>44748.704072106484</v>
      </c>
      <c r="Q611" s="27">
        <f t="shared" si="27"/>
        <v>1.9262731802882627E-4</v>
      </c>
      <c r="R611" s="65">
        <f t="shared" si="29"/>
        <v>3.6240740882931277E-4</v>
      </c>
      <c r="S611" s="2">
        <v>0</v>
      </c>
      <c r="T611" s="2" t="s">
        <v>54</v>
      </c>
      <c r="U611" s="2" t="s">
        <v>55</v>
      </c>
      <c r="V611" s="2" t="s">
        <v>38</v>
      </c>
      <c r="W611" s="2" t="s">
        <v>35</v>
      </c>
      <c r="X611" s="2" t="s">
        <v>35</v>
      </c>
      <c r="Y611" s="2" t="s">
        <v>35</v>
      </c>
      <c r="Z611" s="2" t="b">
        <v>0</v>
      </c>
      <c r="AA611" s="2" t="s">
        <v>35</v>
      </c>
      <c r="AB611" s="2" t="s">
        <v>35</v>
      </c>
      <c r="AC611" s="2" t="s">
        <v>35</v>
      </c>
      <c r="AD611" s="2" t="s">
        <v>35</v>
      </c>
      <c r="AE611" s="2" t="s">
        <v>1945</v>
      </c>
      <c r="AF611" s="11">
        <v>44748.697222222225</v>
      </c>
      <c r="AG611" s="53"/>
      <c r="AH611" s="53" t="b">
        <f t="shared" si="28"/>
        <v>0</v>
      </c>
      <c r="AI611" s="54" t="str" cm="1">
        <f t="array" ref="AI611">TRANSPOSE(_xlfn._xlws.FILTER(images!L:L,images!F:F=Barrierenmessung!A611, ""))</f>
        <v>https://captureandgo.cloudlab.zhaw.ch/uploads/image_b6f565924b.jpg</v>
      </c>
      <c r="AJ611" s="2"/>
      <c r="AK611" s="2"/>
      <c r="AL611" s="2"/>
      <c r="AM611" s="2"/>
      <c r="AN611" s="2"/>
    </row>
    <row r="612" spans="1:40" ht="16" x14ac:dyDescent="0.2">
      <c r="A612" s="2" t="s">
        <v>1973</v>
      </c>
      <c r="B612" s="46">
        <v>611</v>
      </c>
      <c r="C612" s="2" t="b">
        <v>0</v>
      </c>
      <c r="D612" s="2" t="b">
        <v>0</v>
      </c>
      <c r="E612" s="2" t="b">
        <v>0</v>
      </c>
      <c r="F612" s="2" t="b">
        <v>0</v>
      </c>
      <c r="G612" s="2" t="s">
        <v>31</v>
      </c>
      <c r="H612" s="2" t="s">
        <v>1974</v>
      </c>
      <c r="I612" s="2" t="s">
        <v>1975</v>
      </c>
      <c r="J612" s="2" t="s">
        <v>35</v>
      </c>
      <c r="K612" s="2" t="s">
        <v>35</v>
      </c>
      <c r="L612" s="2" t="s">
        <v>35</v>
      </c>
      <c r="M612" s="2">
        <v>3</v>
      </c>
      <c r="N612" s="2">
        <v>15</v>
      </c>
      <c r="O612" s="11">
        <v>44748.704209618052</v>
      </c>
      <c r="P612" s="11">
        <v>44748.704386168982</v>
      </c>
      <c r="Q612" s="27">
        <f t="shared" si="27"/>
        <v>1.7655092960922047E-4</v>
      </c>
      <c r="R612" s="65">
        <f t="shared" si="29"/>
        <v>3.1406249763676897E-4</v>
      </c>
      <c r="S612" s="2">
        <v>0</v>
      </c>
      <c r="T612" s="2" t="s">
        <v>54</v>
      </c>
      <c r="U612" s="2" t="s">
        <v>55</v>
      </c>
      <c r="V612" s="2" t="s">
        <v>38</v>
      </c>
      <c r="W612" s="2" t="s">
        <v>35</v>
      </c>
      <c r="X612" s="2" t="s">
        <v>35</v>
      </c>
      <c r="Y612" s="2" t="s">
        <v>35</v>
      </c>
      <c r="Z612" s="2" t="b">
        <v>0</v>
      </c>
      <c r="AA612" s="2" t="s">
        <v>35</v>
      </c>
      <c r="AB612" s="2" t="s">
        <v>35</v>
      </c>
      <c r="AC612" s="2" t="s">
        <v>35</v>
      </c>
      <c r="AD612" s="2" t="s">
        <v>35</v>
      </c>
      <c r="AE612" s="2" t="s">
        <v>1945</v>
      </c>
      <c r="AF612" s="11">
        <v>44748.697222222225</v>
      </c>
      <c r="AG612" s="53"/>
      <c r="AH612" s="53" t="b">
        <f t="shared" si="28"/>
        <v>0</v>
      </c>
      <c r="AI612" s="54" t="str" cm="1">
        <f t="array" ref="AI612">TRANSPOSE(_xlfn._xlws.FILTER(images!L:L,images!F:F=Barrierenmessung!A612, ""))</f>
        <v>https://captureandgo.cloudlab.zhaw.ch/uploads/image_3f4ad86514.jpg</v>
      </c>
      <c r="AJ612" s="2"/>
      <c r="AK612" s="2"/>
      <c r="AL612" s="2"/>
      <c r="AM612" s="2"/>
      <c r="AN612" s="2"/>
    </row>
    <row r="613" spans="1:40" ht="16" x14ac:dyDescent="0.2">
      <c r="A613" s="2" t="s">
        <v>1976</v>
      </c>
      <c r="B613" s="46">
        <v>612</v>
      </c>
      <c r="C613" s="2" t="b">
        <v>0</v>
      </c>
      <c r="D613" s="2" t="b">
        <v>0</v>
      </c>
      <c r="E613" s="2" t="b">
        <v>0</v>
      </c>
      <c r="F613" s="2" t="b">
        <v>0</v>
      </c>
      <c r="G613" s="2" t="s">
        <v>31</v>
      </c>
      <c r="H613" s="2" t="s">
        <v>1977</v>
      </c>
      <c r="I613" s="2" t="s">
        <v>1978</v>
      </c>
      <c r="J613" s="2" t="s">
        <v>35</v>
      </c>
      <c r="K613" s="2" t="s">
        <v>35</v>
      </c>
      <c r="L613" s="2" t="s">
        <v>35</v>
      </c>
      <c r="M613" s="2">
        <v>4</v>
      </c>
      <c r="N613" s="2">
        <v>13</v>
      </c>
      <c r="O613" s="11">
        <v>44748.704751377314</v>
      </c>
      <c r="P613" s="11">
        <v>44748.704945879632</v>
      </c>
      <c r="Q613" s="27">
        <f t="shared" si="27"/>
        <v>1.9450231775408611E-4</v>
      </c>
      <c r="R613" s="65">
        <f t="shared" si="29"/>
        <v>5.5971065012272447E-4</v>
      </c>
      <c r="S613" s="2">
        <v>0</v>
      </c>
      <c r="T613" s="2" t="s">
        <v>54</v>
      </c>
      <c r="U613" s="2" t="s">
        <v>55</v>
      </c>
      <c r="V613" s="2" t="s">
        <v>38</v>
      </c>
      <c r="W613" s="2" t="s">
        <v>35</v>
      </c>
      <c r="X613" s="2" t="s">
        <v>35</v>
      </c>
      <c r="Y613" s="2" t="s">
        <v>35</v>
      </c>
      <c r="Z613" s="2" t="b">
        <v>0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2" t="s">
        <v>1945</v>
      </c>
      <c r="AF613" s="11">
        <v>44748.697222222225</v>
      </c>
      <c r="AG613" s="53"/>
      <c r="AH613" s="53" t="b">
        <f t="shared" si="28"/>
        <v>0</v>
      </c>
      <c r="AI613" s="54" t="str" cm="1">
        <f t="array" ref="AI613">TRANSPOSE(_xlfn._xlws.FILTER(images!L:L,images!F:F=Barrierenmessung!A613, ""))</f>
        <v>https://captureandgo.cloudlab.zhaw.ch/uploads/image_5ab59b3bc9.jpg</v>
      </c>
      <c r="AJ613" s="2"/>
      <c r="AK613" s="2"/>
      <c r="AL613" s="2"/>
      <c r="AM613" s="2"/>
      <c r="AN613" s="2"/>
    </row>
    <row r="614" spans="1:40" ht="16" x14ac:dyDescent="0.2">
      <c r="A614" s="68" t="s">
        <v>1979</v>
      </c>
      <c r="B614" s="68">
        <v>613</v>
      </c>
      <c r="C614" s="68" t="b">
        <v>0</v>
      </c>
      <c r="D614" s="68" t="b">
        <v>0</v>
      </c>
      <c r="E614" s="68" t="b">
        <v>0</v>
      </c>
      <c r="F614" s="68" t="b">
        <v>0</v>
      </c>
      <c r="G614" s="68" t="s">
        <v>31</v>
      </c>
      <c r="H614" s="68" t="s">
        <v>149</v>
      </c>
      <c r="I614" s="68" t="s">
        <v>1980</v>
      </c>
      <c r="J614" s="68" t="s">
        <v>35</v>
      </c>
      <c r="K614" s="68" t="s">
        <v>35</v>
      </c>
      <c r="L614" s="68" t="s">
        <v>35</v>
      </c>
      <c r="M614" s="68" t="s">
        <v>35</v>
      </c>
      <c r="N614" s="68" t="s">
        <v>35</v>
      </c>
      <c r="O614" s="69">
        <v>44748.705563379626</v>
      </c>
      <c r="P614" s="69">
        <v>44748.705780833334</v>
      </c>
      <c r="Q614" s="70">
        <f t="shared" si="27"/>
        <v>2.1745370759163052E-4</v>
      </c>
      <c r="R614" s="70">
        <f t="shared" si="29"/>
        <v>8.3495370199671015E-4</v>
      </c>
      <c r="S614" s="68">
        <v>0</v>
      </c>
      <c r="T614" s="68" t="s">
        <v>36</v>
      </c>
      <c r="U614" s="68" t="s">
        <v>37</v>
      </c>
      <c r="V614" s="68" t="s">
        <v>38</v>
      </c>
      <c r="W614" s="68" t="s">
        <v>35</v>
      </c>
      <c r="X614" s="68" t="s">
        <v>35</v>
      </c>
      <c r="Y614" s="68" t="s">
        <v>35</v>
      </c>
      <c r="Z614" s="68" t="b">
        <v>0</v>
      </c>
      <c r="AA614" s="68" t="s">
        <v>165</v>
      </c>
      <c r="AB614" s="68" t="s">
        <v>35</v>
      </c>
      <c r="AC614" s="68" t="s">
        <v>35</v>
      </c>
      <c r="AD614" s="68" t="s">
        <v>35</v>
      </c>
      <c r="AE614" s="68" t="s">
        <v>1945</v>
      </c>
      <c r="AF614" s="69">
        <v>44748.697222222225</v>
      </c>
      <c r="AG614" s="71"/>
      <c r="AH614" s="71" t="b">
        <f t="shared" si="28"/>
        <v>0</v>
      </c>
      <c r="AI614" s="56" t="str" cm="1">
        <f t="array" ref="AI614">TRANSPOSE(_xlfn._xlws.FILTER(images!L:L,images!F:F=Barrierenmessung!A614, ""))</f>
        <v/>
      </c>
      <c r="AJ614" s="68"/>
      <c r="AK614" s="68"/>
      <c r="AL614" s="68"/>
      <c r="AM614" s="68"/>
      <c r="AN614" s="68"/>
    </row>
    <row r="615" spans="1:40" ht="16" x14ac:dyDescent="0.2">
      <c r="A615" s="68" t="s">
        <v>1981</v>
      </c>
      <c r="B615" s="68">
        <v>614</v>
      </c>
      <c r="C615" s="68" t="b">
        <v>0</v>
      </c>
      <c r="D615" s="68" t="b">
        <v>0</v>
      </c>
      <c r="E615" s="68" t="b">
        <v>0</v>
      </c>
      <c r="F615" s="68" t="b">
        <v>0</v>
      </c>
      <c r="G615" s="68" t="s">
        <v>31</v>
      </c>
      <c r="H615" s="68" t="s">
        <v>149</v>
      </c>
      <c r="I615" s="68" t="s">
        <v>1982</v>
      </c>
      <c r="J615" s="68" t="s">
        <v>1983</v>
      </c>
      <c r="K615" s="68" t="s">
        <v>35</v>
      </c>
      <c r="L615" s="68" t="s">
        <v>35</v>
      </c>
      <c r="M615" s="68" t="s">
        <v>35</v>
      </c>
      <c r="N615" s="68" t="s">
        <v>35</v>
      </c>
      <c r="O615" s="69">
        <v>44748.705875509258</v>
      </c>
      <c r="P615" s="69">
        <v>44748.706419409726</v>
      </c>
      <c r="Q615" s="70">
        <f t="shared" si="27"/>
        <v>5.4390046716434881E-4</v>
      </c>
      <c r="R615" s="70">
        <f t="shared" si="29"/>
        <v>6.3857639179332182E-4</v>
      </c>
      <c r="S615" s="68">
        <v>0</v>
      </c>
      <c r="T615" s="68" t="s">
        <v>36</v>
      </c>
      <c r="U615" s="68" t="s">
        <v>37</v>
      </c>
      <c r="V615" s="68" t="s">
        <v>38</v>
      </c>
      <c r="W615" s="68" t="s">
        <v>35</v>
      </c>
      <c r="X615" s="68" t="s">
        <v>35</v>
      </c>
      <c r="Y615" s="68" t="s">
        <v>35</v>
      </c>
      <c r="Z615" s="68" t="b">
        <v>0</v>
      </c>
      <c r="AA615" s="68" t="s">
        <v>35</v>
      </c>
      <c r="AB615" s="68" t="s">
        <v>35</v>
      </c>
      <c r="AC615" s="68">
        <v>9</v>
      </c>
      <c r="AD615" s="68" t="s">
        <v>35</v>
      </c>
      <c r="AE615" s="68" t="s">
        <v>1945</v>
      </c>
      <c r="AF615" s="69">
        <v>44748.697222222225</v>
      </c>
      <c r="AG615" s="71"/>
      <c r="AH615" s="71" t="b">
        <f t="shared" si="28"/>
        <v>0</v>
      </c>
      <c r="AI615" s="56" t="str" cm="1">
        <f t="array" ref="AI615">TRANSPOSE(_xlfn._xlws.FILTER(images!L:L,images!F:F=Barrierenmessung!A615, ""))</f>
        <v/>
      </c>
      <c r="AJ615" s="68"/>
      <c r="AK615" s="68"/>
      <c r="AL615" s="68"/>
      <c r="AM615" s="68"/>
      <c r="AN615" s="68"/>
    </row>
    <row r="616" spans="1:40" ht="16" x14ac:dyDescent="0.2">
      <c r="A616" s="2" t="s">
        <v>1984</v>
      </c>
      <c r="B616" s="46">
        <v>615</v>
      </c>
      <c r="C616" s="2" t="b">
        <v>0</v>
      </c>
      <c r="D616" s="2" t="b">
        <v>0</v>
      </c>
      <c r="E616" s="2" t="b">
        <v>0</v>
      </c>
      <c r="F616" s="2" t="b">
        <v>0</v>
      </c>
      <c r="G616" s="2" t="s">
        <v>31</v>
      </c>
      <c r="H616" s="2" t="s">
        <v>1985</v>
      </c>
      <c r="I616" s="2" t="s">
        <v>1986</v>
      </c>
      <c r="J616" s="2" t="s">
        <v>35</v>
      </c>
      <c r="K616" s="2" t="s">
        <v>35</v>
      </c>
      <c r="L616" s="2" t="s">
        <v>35</v>
      </c>
      <c r="M616" s="2" t="s">
        <v>35</v>
      </c>
      <c r="N616" s="2" t="s">
        <v>35</v>
      </c>
      <c r="O616" s="11">
        <v>44748.706626192128</v>
      </c>
      <c r="P616" s="11">
        <v>44748.706768263888</v>
      </c>
      <c r="Q616" s="27">
        <f t="shared" si="27"/>
        <v>1.4207175991032273E-4</v>
      </c>
      <c r="R616" s="65">
        <f t="shared" si="29"/>
        <v>3.4885416243923828E-4</v>
      </c>
      <c r="S616" s="2">
        <v>0</v>
      </c>
      <c r="T616" s="2" t="s">
        <v>36</v>
      </c>
      <c r="U616" s="2" t="s">
        <v>37</v>
      </c>
      <c r="V616" s="2" t="s">
        <v>38</v>
      </c>
      <c r="W616" s="2" t="s">
        <v>35</v>
      </c>
      <c r="X616" s="2" t="s">
        <v>35</v>
      </c>
      <c r="Y616" s="2" t="s">
        <v>35</v>
      </c>
      <c r="Z616" s="2" t="b">
        <v>0</v>
      </c>
      <c r="AA616" s="2" t="s">
        <v>165</v>
      </c>
      <c r="AB616" s="2" t="s">
        <v>35</v>
      </c>
      <c r="AC616" s="2" t="s">
        <v>35</v>
      </c>
      <c r="AD616" s="2" t="s">
        <v>35</v>
      </c>
      <c r="AE616" s="2" t="s">
        <v>1945</v>
      </c>
      <c r="AF616" s="11">
        <v>44748.697222222225</v>
      </c>
      <c r="AG616" s="53"/>
      <c r="AH616" s="53" t="b">
        <f t="shared" si="28"/>
        <v>0</v>
      </c>
      <c r="AI616" s="54" t="str" cm="1">
        <f t="array" ref="AI616">TRANSPOSE(_xlfn._xlws.FILTER(images!L:L,images!F:F=Barrierenmessung!A616, ""))</f>
        <v>https://captureandgo.cloudlab.zhaw.ch/uploads/image_7f4537b076.jpg</v>
      </c>
      <c r="AJ616" s="2"/>
      <c r="AK616" s="2"/>
      <c r="AL616" s="2"/>
      <c r="AM616" s="2"/>
      <c r="AN616" s="2"/>
    </row>
    <row r="617" spans="1:40" ht="16" x14ac:dyDescent="0.2">
      <c r="A617" s="68" t="s">
        <v>1987</v>
      </c>
      <c r="B617" s="68">
        <v>616</v>
      </c>
      <c r="C617" s="68" t="b">
        <v>0</v>
      </c>
      <c r="D617" s="68" t="b">
        <v>0</v>
      </c>
      <c r="E617" s="68" t="b">
        <v>0</v>
      </c>
      <c r="F617" s="68" t="b">
        <v>0</v>
      </c>
      <c r="G617" s="68" t="s">
        <v>31</v>
      </c>
      <c r="H617" s="68" t="s">
        <v>149</v>
      </c>
      <c r="I617" s="68" t="s">
        <v>1988</v>
      </c>
      <c r="J617" s="68" t="s">
        <v>35</v>
      </c>
      <c r="K617" s="68" t="s">
        <v>35</v>
      </c>
      <c r="L617" s="68">
        <v>4</v>
      </c>
      <c r="M617" s="68" t="s">
        <v>35</v>
      </c>
      <c r="N617" s="68" t="s">
        <v>35</v>
      </c>
      <c r="O617" s="69">
        <v>44748.707020578702</v>
      </c>
      <c r="P617" s="69">
        <v>44748.707210775465</v>
      </c>
      <c r="Q617" s="70">
        <f t="shared" si="27"/>
        <v>1.9019676255993545E-4</v>
      </c>
      <c r="R617" s="70">
        <f t="shared" si="29"/>
        <v>4.4251157669350505E-4</v>
      </c>
      <c r="S617" s="68">
        <v>0</v>
      </c>
      <c r="T617" s="68" t="s">
        <v>265</v>
      </c>
      <c r="U617" s="68" t="s">
        <v>266</v>
      </c>
      <c r="V617" s="68" t="s">
        <v>38</v>
      </c>
      <c r="W617" s="68" t="s">
        <v>35</v>
      </c>
      <c r="X617" s="68" t="s">
        <v>35</v>
      </c>
      <c r="Y617" s="68" t="s">
        <v>35</v>
      </c>
      <c r="Z617" s="68" t="b">
        <v>0</v>
      </c>
      <c r="AA617" s="68" t="s">
        <v>35</v>
      </c>
      <c r="AB617" s="68" t="s">
        <v>35</v>
      </c>
      <c r="AC617" s="68" t="s">
        <v>35</v>
      </c>
      <c r="AD617" s="68" t="s">
        <v>35</v>
      </c>
      <c r="AE617" s="68" t="s">
        <v>1945</v>
      </c>
      <c r="AF617" s="69">
        <v>44748.697222222225</v>
      </c>
      <c r="AG617" s="71"/>
      <c r="AH617" s="71" t="b">
        <f t="shared" si="28"/>
        <v>0</v>
      </c>
      <c r="AI617" s="56" t="str" cm="1">
        <f t="array" ref="AI617">TRANSPOSE(_xlfn._xlws.FILTER(images!L:L,images!F:F=Barrierenmessung!A617, ""))</f>
        <v/>
      </c>
      <c r="AJ617" s="68"/>
      <c r="AK617" s="68"/>
      <c r="AL617" s="68"/>
      <c r="AM617" s="68"/>
      <c r="AN617" s="68"/>
    </row>
    <row r="618" spans="1:40" ht="16" x14ac:dyDescent="0.2">
      <c r="A618" s="2" t="s">
        <v>1989</v>
      </c>
      <c r="B618" s="46">
        <v>617</v>
      </c>
      <c r="C618" s="2" t="b">
        <v>0</v>
      </c>
      <c r="D618" s="2" t="b">
        <v>0</v>
      </c>
      <c r="E618" s="2" t="b">
        <v>0</v>
      </c>
      <c r="F618" s="2" t="b">
        <v>0</v>
      </c>
      <c r="G618" s="2" t="s">
        <v>31</v>
      </c>
      <c r="H618" s="2" t="s">
        <v>1990</v>
      </c>
      <c r="I618" s="2" t="s">
        <v>1991</v>
      </c>
      <c r="J618" s="2" t="s">
        <v>1992</v>
      </c>
      <c r="K618" s="2" t="s">
        <v>35</v>
      </c>
      <c r="L618" s="2" t="s">
        <v>35</v>
      </c>
      <c r="M618" s="2" t="s">
        <v>35</v>
      </c>
      <c r="N618" s="2" t="s">
        <v>35</v>
      </c>
      <c r="O618" s="11">
        <v>44748.709801469908</v>
      </c>
      <c r="P618" s="11">
        <v>44748.71021730324</v>
      </c>
      <c r="Q618" s="27">
        <f t="shared" si="27"/>
        <v>4.1583333222661167E-4</v>
      </c>
      <c r="R618" s="65">
        <f t="shared" si="29"/>
        <v>3.0065277751418762E-3</v>
      </c>
      <c r="S618" s="2">
        <v>0</v>
      </c>
      <c r="T618" s="2" t="s">
        <v>36</v>
      </c>
      <c r="U618" s="2" t="s">
        <v>37</v>
      </c>
      <c r="V618" s="2" t="s">
        <v>38</v>
      </c>
      <c r="W618" s="2" t="s">
        <v>35</v>
      </c>
      <c r="X618" s="2" t="s">
        <v>35</v>
      </c>
      <c r="Y618" s="2" t="s">
        <v>35</v>
      </c>
      <c r="Z618" s="2" t="b">
        <v>0</v>
      </c>
      <c r="AA618" s="2" t="s">
        <v>165</v>
      </c>
      <c r="AB618" s="2" t="s">
        <v>35</v>
      </c>
      <c r="AC618" s="2">
        <v>4</v>
      </c>
      <c r="AD618" s="2" t="s">
        <v>35</v>
      </c>
      <c r="AE618" s="2" t="s">
        <v>1945</v>
      </c>
      <c r="AF618" s="11">
        <v>44748.697222222225</v>
      </c>
      <c r="AG618" s="53"/>
      <c r="AH618" s="53" t="b">
        <f t="shared" si="28"/>
        <v>0</v>
      </c>
      <c r="AI618" s="54" t="str" cm="1">
        <f t="array" ref="AI618">TRANSPOSE(_xlfn._xlws.FILTER(images!L:L,images!F:F=Barrierenmessung!A618, ""))</f>
        <v>https://captureandgo.cloudlab.zhaw.ch/uploads/image_ae1eaed561.jpg</v>
      </c>
      <c r="AJ618" s="2"/>
      <c r="AK618" s="2"/>
      <c r="AL618" s="2"/>
      <c r="AM618" s="2"/>
      <c r="AN618" s="2"/>
    </row>
    <row r="619" spans="1:40" ht="16" x14ac:dyDescent="0.2">
      <c r="A619" s="68" t="s">
        <v>1993</v>
      </c>
      <c r="B619" s="68">
        <v>618</v>
      </c>
      <c r="C619" s="68" t="b">
        <v>0</v>
      </c>
      <c r="D619" s="68" t="b">
        <v>0</v>
      </c>
      <c r="E619" s="68" t="b">
        <v>0</v>
      </c>
      <c r="F619" s="68" t="b">
        <v>0</v>
      </c>
      <c r="G619" s="68" t="s">
        <v>31</v>
      </c>
      <c r="H619" s="68" t="s">
        <v>149</v>
      </c>
      <c r="I619" s="68" t="s">
        <v>1994</v>
      </c>
      <c r="J619" s="68" t="s">
        <v>35</v>
      </c>
      <c r="K619" s="68" t="s">
        <v>35</v>
      </c>
      <c r="L619" s="68" t="s">
        <v>35</v>
      </c>
      <c r="M619" s="68">
        <v>8</v>
      </c>
      <c r="N619" s="68">
        <v>14</v>
      </c>
      <c r="O619" s="69">
        <v>44748.710762615738</v>
      </c>
      <c r="P619" s="69">
        <v>44748.71092258102</v>
      </c>
      <c r="Q619" s="70">
        <f t="shared" si="27"/>
        <v>1.5996528236428276E-4</v>
      </c>
      <c r="R619" s="70">
        <f t="shared" si="29"/>
        <v>7.0527778007090092E-4</v>
      </c>
      <c r="S619" s="68">
        <v>0</v>
      </c>
      <c r="T619" s="68" t="s">
        <v>54</v>
      </c>
      <c r="U619" s="68" t="s">
        <v>55</v>
      </c>
      <c r="V619" s="68" t="s">
        <v>38</v>
      </c>
      <c r="W619" s="68" t="s">
        <v>35</v>
      </c>
      <c r="X619" s="68" t="s">
        <v>35</v>
      </c>
      <c r="Y619" s="68" t="s">
        <v>35</v>
      </c>
      <c r="Z619" s="68" t="b">
        <v>0</v>
      </c>
      <c r="AA619" s="68" t="s">
        <v>35</v>
      </c>
      <c r="AB619" s="68" t="s">
        <v>35</v>
      </c>
      <c r="AC619" s="68" t="s">
        <v>35</v>
      </c>
      <c r="AD619" s="68" t="s">
        <v>35</v>
      </c>
      <c r="AE619" s="68" t="s">
        <v>1945</v>
      </c>
      <c r="AF619" s="69">
        <v>44748.697222222225</v>
      </c>
      <c r="AG619" s="71"/>
      <c r="AH619" s="71" t="b">
        <f t="shared" si="28"/>
        <v>0</v>
      </c>
      <c r="AI619" s="56" t="str" cm="1">
        <f t="array" ref="AI619">TRANSPOSE(_xlfn._xlws.FILTER(images!L:L,images!F:F=Barrierenmessung!A619, ""))</f>
        <v/>
      </c>
      <c r="AJ619" s="68"/>
      <c r="AK619" s="68"/>
      <c r="AL619" s="68"/>
      <c r="AM619" s="68"/>
      <c r="AN619" s="68"/>
    </row>
    <row r="620" spans="1:40" ht="16" x14ac:dyDescent="0.2">
      <c r="A620" s="68" t="s">
        <v>1995</v>
      </c>
      <c r="B620" s="68">
        <v>619</v>
      </c>
      <c r="C620" s="68" t="b">
        <v>0</v>
      </c>
      <c r="D620" s="68" t="b">
        <v>0</v>
      </c>
      <c r="E620" s="68" t="b">
        <v>0</v>
      </c>
      <c r="F620" s="68" t="b">
        <v>0</v>
      </c>
      <c r="G620" s="68" t="s">
        <v>31</v>
      </c>
      <c r="H620" s="68" t="s">
        <v>149</v>
      </c>
      <c r="I620" s="68" t="s">
        <v>1996</v>
      </c>
      <c r="J620" s="68" t="s">
        <v>1997</v>
      </c>
      <c r="K620" s="68" t="s">
        <v>35</v>
      </c>
      <c r="L620" s="68" t="s">
        <v>35</v>
      </c>
      <c r="M620" s="68" t="s">
        <v>35</v>
      </c>
      <c r="N620" s="68" t="s">
        <v>35</v>
      </c>
      <c r="O620" s="69">
        <v>44748.712266562499</v>
      </c>
      <c r="P620" s="69">
        <v>44748.712810173609</v>
      </c>
      <c r="Q620" s="70">
        <f t="shared" si="27"/>
        <v>5.4361110960599035E-4</v>
      </c>
      <c r="R620" s="70">
        <f t="shared" si="29"/>
        <v>1.8875925889005885E-3</v>
      </c>
      <c r="S620" s="68">
        <v>0</v>
      </c>
      <c r="T620" s="68" t="s">
        <v>416</v>
      </c>
      <c r="U620" s="68" t="s">
        <v>417</v>
      </c>
      <c r="V620" s="68" t="s">
        <v>38</v>
      </c>
      <c r="W620" s="68" t="s">
        <v>35</v>
      </c>
      <c r="X620" s="68">
        <v>0</v>
      </c>
      <c r="Y620" s="68" t="s">
        <v>1823</v>
      </c>
      <c r="Z620" s="68" t="b">
        <v>0</v>
      </c>
      <c r="AA620" s="68" t="s">
        <v>35</v>
      </c>
      <c r="AB620" s="68" t="s">
        <v>35</v>
      </c>
      <c r="AC620" s="68" t="s">
        <v>35</v>
      </c>
      <c r="AD620" s="68" t="s">
        <v>35</v>
      </c>
      <c r="AE620" s="68" t="s">
        <v>1945</v>
      </c>
      <c r="AF620" s="69">
        <v>44748.697222222225</v>
      </c>
      <c r="AG620" s="71"/>
      <c r="AH620" s="71" t="b">
        <f t="shared" si="28"/>
        <v>0</v>
      </c>
      <c r="AI620" s="56" t="str" cm="1">
        <f t="array" ref="AI620">TRANSPOSE(_xlfn._xlws.FILTER(images!L:L,images!F:F=Barrierenmessung!A620, ""))</f>
        <v/>
      </c>
      <c r="AJ620" s="68"/>
      <c r="AK620" s="68"/>
      <c r="AL620" s="68"/>
      <c r="AM620" s="68"/>
      <c r="AN620" s="68"/>
    </row>
    <row r="621" spans="1:40" ht="16" x14ac:dyDescent="0.2">
      <c r="A621" s="2" t="s">
        <v>1998</v>
      </c>
      <c r="B621" s="46">
        <v>620</v>
      </c>
      <c r="C621" s="2" t="b">
        <v>0</v>
      </c>
      <c r="D621" s="2" t="b">
        <v>0</v>
      </c>
      <c r="E621" s="2" t="b">
        <v>0</v>
      </c>
      <c r="F621" s="2" t="b">
        <v>0</v>
      </c>
      <c r="G621" s="2" t="s">
        <v>31</v>
      </c>
      <c r="H621" s="2" t="s">
        <v>1999</v>
      </c>
      <c r="I621" s="2" t="s">
        <v>2000</v>
      </c>
      <c r="J621" s="2" t="s">
        <v>35</v>
      </c>
      <c r="K621" s="2" t="s">
        <v>35</v>
      </c>
      <c r="L621" s="2" t="s">
        <v>35</v>
      </c>
      <c r="M621" s="2" t="s">
        <v>35</v>
      </c>
      <c r="N621" s="2" t="s">
        <v>35</v>
      </c>
      <c r="O621" s="11">
        <v>44748.715182928237</v>
      </c>
      <c r="P621" s="11">
        <v>44748.715327256941</v>
      </c>
      <c r="Q621" s="27">
        <f t="shared" si="27"/>
        <v>1.4432870375458151E-4</v>
      </c>
      <c r="R621" s="65">
        <f t="shared" si="29"/>
        <v>2.5170833323500119E-3</v>
      </c>
      <c r="S621" s="2">
        <v>0</v>
      </c>
      <c r="T621" s="2" t="s">
        <v>36</v>
      </c>
      <c r="U621" s="2" t="s">
        <v>37</v>
      </c>
      <c r="V621" s="2" t="s">
        <v>38</v>
      </c>
      <c r="W621" s="2" t="s">
        <v>35</v>
      </c>
      <c r="X621" s="2" t="s">
        <v>35</v>
      </c>
      <c r="Y621" s="2" t="s">
        <v>35</v>
      </c>
      <c r="Z621" s="2" t="b">
        <v>0</v>
      </c>
      <c r="AA621" s="2" t="s">
        <v>165</v>
      </c>
      <c r="AB621" s="2" t="s">
        <v>35</v>
      </c>
      <c r="AC621" s="2" t="s">
        <v>35</v>
      </c>
      <c r="AD621" s="2" t="s">
        <v>35</v>
      </c>
      <c r="AE621" s="2" t="s">
        <v>1945</v>
      </c>
      <c r="AF621" s="11">
        <v>44748.697222222225</v>
      </c>
      <c r="AG621" s="53"/>
      <c r="AH621" s="53" t="b">
        <f t="shared" si="28"/>
        <v>0</v>
      </c>
      <c r="AI621" s="54" t="str" cm="1">
        <f t="array" ref="AI621">TRANSPOSE(_xlfn._xlws.FILTER(images!L:L,images!F:F=Barrierenmessung!A621, ""))</f>
        <v>https://captureandgo.cloudlab.zhaw.ch/uploads/image_0a4e1e141a.jpg</v>
      </c>
      <c r="AJ621" s="2"/>
      <c r="AK621" s="2"/>
      <c r="AL621" s="2"/>
      <c r="AM621" s="2"/>
      <c r="AN621" s="2"/>
    </row>
    <row r="622" spans="1:40" ht="16" x14ac:dyDescent="0.2">
      <c r="A622" s="2" t="s">
        <v>2001</v>
      </c>
      <c r="B622" s="46">
        <v>621</v>
      </c>
      <c r="C622" s="2" t="b">
        <v>0</v>
      </c>
      <c r="D622" s="2" t="b">
        <v>0</v>
      </c>
      <c r="E622" s="2" t="b">
        <v>0</v>
      </c>
      <c r="F622" s="2" t="b">
        <v>0</v>
      </c>
      <c r="G622" s="2" t="s">
        <v>31</v>
      </c>
      <c r="H622" s="2" t="s">
        <v>2002</v>
      </c>
      <c r="I622" s="2" t="s">
        <v>2003</v>
      </c>
      <c r="J622" s="2" t="s">
        <v>2004</v>
      </c>
      <c r="K622" s="2" t="s">
        <v>35</v>
      </c>
      <c r="L622" s="2" t="s">
        <v>35</v>
      </c>
      <c r="M622" s="2" t="s">
        <v>35</v>
      </c>
      <c r="N622" s="2" t="s">
        <v>35</v>
      </c>
      <c r="O622" s="11">
        <v>44748.716172060187</v>
      </c>
      <c r="P622" s="11">
        <v>44748.717095081018</v>
      </c>
      <c r="Q622" s="27">
        <f t="shared" si="27"/>
        <v>9.2302083066897467E-4</v>
      </c>
      <c r="R622" s="65">
        <f t="shared" si="29"/>
        <v>1.7678240765235387E-3</v>
      </c>
      <c r="S622" s="2">
        <v>0</v>
      </c>
      <c r="T622" s="2" t="s">
        <v>2005</v>
      </c>
      <c r="U622" s="2" t="s">
        <v>2006</v>
      </c>
      <c r="V622" s="2" t="s">
        <v>38</v>
      </c>
      <c r="W622" s="2" t="s">
        <v>35</v>
      </c>
      <c r="X622" s="2">
        <v>20</v>
      </c>
      <c r="Y622" s="2" t="s">
        <v>35</v>
      </c>
      <c r="Z622" s="2" t="b">
        <v>0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2" t="s">
        <v>1945</v>
      </c>
      <c r="AF622" s="11">
        <v>44748.697222222225</v>
      </c>
      <c r="AG622" s="53"/>
      <c r="AH622" s="53" t="b">
        <f t="shared" si="28"/>
        <v>0</v>
      </c>
      <c r="AI622" s="54" t="str" cm="1">
        <f t="array" ref="AI622">TRANSPOSE(_xlfn._xlws.FILTER(images!L:L,images!F:F=Barrierenmessung!A622, ""))</f>
        <v>https://captureandgo.cloudlab.zhaw.ch/uploads/image_4ea574faf5.jpg</v>
      </c>
      <c r="AJ622" s="2"/>
      <c r="AK622" s="2"/>
      <c r="AL622" s="2"/>
      <c r="AM622" s="2"/>
      <c r="AN622" s="2"/>
    </row>
    <row r="623" spans="1:40" ht="16" x14ac:dyDescent="0.2">
      <c r="A623" s="2" t="s">
        <v>2007</v>
      </c>
      <c r="B623" s="46">
        <v>622</v>
      </c>
      <c r="C623" s="2" t="b">
        <v>0</v>
      </c>
      <c r="D623" s="2" t="b">
        <v>0</v>
      </c>
      <c r="E623" s="2" t="b">
        <v>0</v>
      </c>
      <c r="F623" s="2" t="b">
        <v>0</v>
      </c>
      <c r="G623" s="2" t="s">
        <v>31</v>
      </c>
      <c r="H623" s="2" t="s">
        <v>2008</v>
      </c>
      <c r="I623" s="2" t="s">
        <v>2009</v>
      </c>
      <c r="J623" s="2" t="s">
        <v>2010</v>
      </c>
      <c r="K623" s="2" t="s">
        <v>35</v>
      </c>
      <c r="L623" s="2" t="s">
        <v>35</v>
      </c>
      <c r="M623" s="2" t="s">
        <v>35</v>
      </c>
      <c r="N623" s="2" t="s">
        <v>35</v>
      </c>
      <c r="O623" s="11">
        <v>44748.717122141206</v>
      </c>
      <c r="P623" s="11">
        <v>44748.7180528588</v>
      </c>
      <c r="Q623" s="27">
        <f t="shared" si="27"/>
        <v>9.3071759329177439E-4</v>
      </c>
      <c r="R623" s="65">
        <f t="shared" si="29"/>
        <v>9.5777778187766671E-4</v>
      </c>
      <c r="S623" s="2">
        <v>0</v>
      </c>
      <c r="T623" s="2" t="s">
        <v>2005</v>
      </c>
      <c r="U623" s="2" t="s">
        <v>2006</v>
      </c>
      <c r="V623" s="2" t="s">
        <v>38</v>
      </c>
      <c r="W623" s="2" t="s">
        <v>35</v>
      </c>
      <c r="X623" s="2">
        <v>120</v>
      </c>
      <c r="Y623" s="2" t="s">
        <v>35</v>
      </c>
      <c r="Z623" s="2" t="b">
        <v>0</v>
      </c>
      <c r="AA623" s="2" t="s">
        <v>35</v>
      </c>
      <c r="AB623" s="2" t="s">
        <v>35</v>
      </c>
      <c r="AC623" s="2" t="s">
        <v>35</v>
      </c>
      <c r="AD623" s="2" t="s">
        <v>35</v>
      </c>
      <c r="AE623" s="2" t="s">
        <v>1945</v>
      </c>
      <c r="AF623" s="11">
        <v>44748.697222222225</v>
      </c>
      <c r="AG623" s="53" t="s">
        <v>9442</v>
      </c>
      <c r="AH623" s="53" t="b">
        <f t="shared" si="28"/>
        <v>0</v>
      </c>
      <c r="AI623" s="54" t="str" cm="1">
        <f t="array" ref="AI623">TRANSPOSE(_xlfn._xlws.FILTER(images!L:L,images!F:F=Barrierenmessung!A623, ""))</f>
        <v>https://captureandgo.cloudlab.zhaw.ch/uploads/image_3277c43941.jpg</v>
      </c>
      <c r="AJ623" s="2"/>
      <c r="AK623" s="2"/>
      <c r="AL623" s="2"/>
      <c r="AM623" s="2"/>
      <c r="AN623" s="2"/>
    </row>
    <row r="624" spans="1:40" ht="16" x14ac:dyDescent="0.2">
      <c r="A624" s="2" t="s">
        <v>2011</v>
      </c>
      <c r="B624" s="46">
        <v>623</v>
      </c>
      <c r="C624" s="2" t="b">
        <v>0</v>
      </c>
      <c r="D624" s="2" t="b">
        <v>0</v>
      </c>
      <c r="E624" s="2" t="b">
        <v>0</v>
      </c>
      <c r="F624" s="2" t="b">
        <v>0</v>
      </c>
      <c r="G624" s="2" t="s">
        <v>31</v>
      </c>
      <c r="H624" s="2" t="s">
        <v>2012</v>
      </c>
      <c r="I624" s="2" t="s">
        <v>2013</v>
      </c>
      <c r="J624" s="2" t="s">
        <v>2014</v>
      </c>
      <c r="K624" s="2" t="s">
        <v>35</v>
      </c>
      <c r="L624" s="2" t="s">
        <v>35</v>
      </c>
      <c r="M624" s="2" t="s">
        <v>35</v>
      </c>
      <c r="N624" s="2" t="s">
        <v>35</v>
      </c>
      <c r="O624" s="11">
        <v>44748.719184583337</v>
      </c>
      <c r="P624" s="11">
        <v>44748.719449363423</v>
      </c>
      <c r="Q624" s="27">
        <f t="shared" si="27"/>
        <v>2.6478008658159524E-4</v>
      </c>
      <c r="R624" s="65">
        <f t="shared" si="29"/>
        <v>1.396504623699002E-3</v>
      </c>
      <c r="S624" s="2">
        <v>0</v>
      </c>
      <c r="T624" s="2" t="s">
        <v>36</v>
      </c>
      <c r="U624" s="2" t="s">
        <v>37</v>
      </c>
      <c r="V624" s="2" t="s">
        <v>38</v>
      </c>
      <c r="W624" s="2" t="s">
        <v>35</v>
      </c>
      <c r="X624" s="2" t="s">
        <v>35</v>
      </c>
      <c r="Y624" s="2" t="s">
        <v>35</v>
      </c>
      <c r="Z624" s="2" t="b">
        <v>0</v>
      </c>
      <c r="AA624" s="2" t="s">
        <v>35</v>
      </c>
      <c r="AB624" s="2" t="s">
        <v>35</v>
      </c>
      <c r="AC624" s="2">
        <v>4</v>
      </c>
      <c r="AD624" s="2" t="s">
        <v>35</v>
      </c>
      <c r="AE624" s="2" t="s">
        <v>1945</v>
      </c>
      <c r="AF624" s="11">
        <v>44748.697222222225</v>
      </c>
      <c r="AG624" s="53"/>
      <c r="AH624" s="53" t="b">
        <f t="shared" si="28"/>
        <v>0</v>
      </c>
      <c r="AI624" s="54" t="str" cm="1">
        <f t="array" ref="AI624">TRANSPOSE(_xlfn._xlws.FILTER(images!L:L,images!F:F=Barrierenmessung!A624, ""))</f>
        <v>https://captureandgo.cloudlab.zhaw.ch/uploads/image_9ef362505d.jpg</v>
      </c>
      <c r="AJ624" s="2"/>
      <c r="AK624" s="2"/>
      <c r="AL624" s="2"/>
      <c r="AM624" s="2"/>
      <c r="AN624" s="2"/>
    </row>
    <row r="625" spans="1:40" ht="16" x14ac:dyDescent="0.2">
      <c r="A625" s="2" t="s">
        <v>2015</v>
      </c>
      <c r="B625" s="46">
        <v>624</v>
      </c>
      <c r="C625" s="2" t="b">
        <v>0</v>
      </c>
      <c r="D625" s="2" t="b">
        <v>0</v>
      </c>
      <c r="E625" s="2" t="b">
        <v>0</v>
      </c>
      <c r="F625" s="2" t="b">
        <v>0</v>
      </c>
      <c r="G625" s="2" t="s">
        <v>31</v>
      </c>
      <c r="H625" s="2" t="s">
        <v>2016</v>
      </c>
      <c r="I625" s="2" t="s">
        <v>2017</v>
      </c>
      <c r="J625" s="2" t="s">
        <v>35</v>
      </c>
      <c r="K625" s="2" t="s">
        <v>35</v>
      </c>
      <c r="L625" s="2" t="s">
        <v>35</v>
      </c>
      <c r="M625" s="2" t="s">
        <v>35</v>
      </c>
      <c r="N625" s="2" t="s">
        <v>35</v>
      </c>
      <c r="O625" s="11">
        <v>44748.719938680559</v>
      </c>
      <c r="P625" s="11">
        <v>44748.720048136573</v>
      </c>
      <c r="Q625" s="27">
        <f t="shared" si="27"/>
        <v>1.0945601388812065E-4</v>
      </c>
      <c r="R625" s="65">
        <f t="shared" si="29"/>
        <v>5.9877314924960956E-4</v>
      </c>
      <c r="S625" s="2">
        <v>0</v>
      </c>
      <c r="T625" s="2" t="s">
        <v>36</v>
      </c>
      <c r="U625" s="2" t="s">
        <v>37</v>
      </c>
      <c r="V625" s="2" t="s">
        <v>38</v>
      </c>
      <c r="W625" s="2" t="s">
        <v>35</v>
      </c>
      <c r="X625" s="2" t="s">
        <v>35</v>
      </c>
      <c r="Y625" s="2" t="s">
        <v>35</v>
      </c>
      <c r="Z625" s="2" t="b">
        <v>0</v>
      </c>
      <c r="AA625" s="2" t="s">
        <v>35</v>
      </c>
      <c r="AB625" s="2" t="s">
        <v>35</v>
      </c>
      <c r="AC625" s="2" t="s">
        <v>35</v>
      </c>
      <c r="AD625" s="2">
        <v>3</v>
      </c>
      <c r="AE625" s="2" t="s">
        <v>1945</v>
      </c>
      <c r="AF625" s="11">
        <v>44748.697222222225</v>
      </c>
      <c r="AG625" s="53"/>
      <c r="AH625" s="53" t="b">
        <f t="shared" si="28"/>
        <v>0</v>
      </c>
      <c r="AI625" s="54" t="str" cm="1">
        <f t="array" ref="AI625">TRANSPOSE(_xlfn._xlws.FILTER(images!L:L,images!F:F=Barrierenmessung!A625, ""))</f>
        <v>https://captureandgo.cloudlab.zhaw.ch/uploads/image_7bdd9c52a6.jpg</v>
      </c>
      <c r="AJ625" s="2"/>
      <c r="AK625" s="2"/>
      <c r="AL625" s="2"/>
      <c r="AM625" s="2"/>
      <c r="AN625" s="2"/>
    </row>
    <row r="626" spans="1:40" ht="16" x14ac:dyDescent="0.2">
      <c r="A626" s="68" t="s">
        <v>2018</v>
      </c>
      <c r="B626" s="68">
        <v>625</v>
      </c>
      <c r="C626" s="68" t="b">
        <v>0</v>
      </c>
      <c r="D626" s="68" t="b">
        <v>0</v>
      </c>
      <c r="E626" s="68" t="b">
        <v>0</v>
      </c>
      <c r="F626" s="68" t="b">
        <v>0</v>
      </c>
      <c r="G626" s="68" t="s">
        <v>31</v>
      </c>
      <c r="H626" s="68" t="s">
        <v>149</v>
      </c>
      <c r="I626" s="68" t="s">
        <v>2019</v>
      </c>
      <c r="J626" s="68" t="s">
        <v>2020</v>
      </c>
      <c r="K626" s="68" t="s">
        <v>35</v>
      </c>
      <c r="L626" s="68" t="s">
        <v>35</v>
      </c>
      <c r="M626" s="68" t="s">
        <v>35</v>
      </c>
      <c r="N626" s="68" t="s">
        <v>35</v>
      </c>
      <c r="O626" s="69">
        <v>44748.720611099539</v>
      </c>
      <c r="P626" s="69">
        <v>44748.720874629631</v>
      </c>
      <c r="Q626" s="70">
        <f t="shared" si="27"/>
        <v>2.6353009161539376E-4</v>
      </c>
      <c r="R626" s="70">
        <f t="shared" si="29"/>
        <v>8.2649305841187015E-4</v>
      </c>
      <c r="S626" s="68">
        <v>0</v>
      </c>
      <c r="T626" s="68" t="s">
        <v>36</v>
      </c>
      <c r="U626" s="68" t="s">
        <v>37</v>
      </c>
      <c r="V626" s="68" t="s">
        <v>38</v>
      </c>
      <c r="W626" s="68" t="s">
        <v>35</v>
      </c>
      <c r="X626" s="68" t="s">
        <v>35</v>
      </c>
      <c r="Y626" s="68" t="s">
        <v>35</v>
      </c>
      <c r="Z626" s="68" t="b">
        <v>0</v>
      </c>
      <c r="AA626" s="68" t="s">
        <v>35</v>
      </c>
      <c r="AB626" s="68" t="s">
        <v>35</v>
      </c>
      <c r="AC626" s="68">
        <v>5</v>
      </c>
      <c r="AD626" s="68" t="s">
        <v>35</v>
      </c>
      <c r="AE626" s="68" t="s">
        <v>1945</v>
      </c>
      <c r="AF626" s="69">
        <v>44748.697222222225</v>
      </c>
      <c r="AG626" s="71"/>
      <c r="AH626" s="71" t="b">
        <f t="shared" si="28"/>
        <v>0</v>
      </c>
      <c r="AI626" s="56" t="str" cm="1">
        <f t="array" ref="AI626">TRANSPOSE(_xlfn._xlws.FILTER(images!L:L,images!F:F=Barrierenmessung!A626, ""))</f>
        <v/>
      </c>
      <c r="AJ626" s="68"/>
      <c r="AK626" s="68"/>
      <c r="AL626" s="68"/>
      <c r="AM626" s="68"/>
      <c r="AN626" s="68"/>
    </row>
    <row r="627" spans="1:40" ht="16" x14ac:dyDescent="0.2">
      <c r="A627" s="21" t="s">
        <v>2021</v>
      </c>
      <c r="B627" s="21">
        <v>626</v>
      </c>
      <c r="C627" s="21" t="b">
        <v>0</v>
      </c>
      <c r="D627" s="21" t="b">
        <v>0</v>
      </c>
      <c r="E627" s="21" t="b">
        <v>0</v>
      </c>
      <c r="F627" s="21" t="b">
        <v>0</v>
      </c>
      <c r="G627" s="21" t="s">
        <v>31</v>
      </c>
      <c r="H627" s="21" t="s">
        <v>2022</v>
      </c>
      <c r="I627" s="21" t="s">
        <v>2023</v>
      </c>
      <c r="J627" s="21" t="s">
        <v>2024</v>
      </c>
      <c r="K627" s="21" t="s">
        <v>35</v>
      </c>
      <c r="L627" s="21" t="s">
        <v>35</v>
      </c>
      <c r="M627" s="21" t="s">
        <v>35</v>
      </c>
      <c r="N627" s="21" t="s">
        <v>35</v>
      </c>
      <c r="O627" s="22">
        <v>44749.405929386572</v>
      </c>
      <c r="P627" s="22">
        <v>44749.406160613427</v>
      </c>
      <c r="Q627" s="23">
        <f t="shared" si="27"/>
        <v>2.3122685524867848E-4</v>
      </c>
      <c r="R627" s="23">
        <f t="shared" si="29"/>
        <v>-8.9386572653893381E-5</v>
      </c>
      <c r="S627" s="21">
        <v>0</v>
      </c>
      <c r="T627" s="21" t="s">
        <v>36</v>
      </c>
      <c r="U627" s="21" t="s">
        <v>37</v>
      </c>
      <c r="V627" s="21" t="s">
        <v>38</v>
      </c>
      <c r="W627" s="21" t="s">
        <v>35</v>
      </c>
      <c r="X627" s="21" t="s">
        <v>35</v>
      </c>
      <c r="Y627" s="21" t="s">
        <v>35</v>
      </c>
      <c r="Z627" s="21" t="b">
        <v>0</v>
      </c>
      <c r="AA627" s="21" t="s">
        <v>35</v>
      </c>
      <c r="AB627" s="21" t="s">
        <v>35</v>
      </c>
      <c r="AC627" s="21">
        <v>6</v>
      </c>
      <c r="AD627" s="21" t="s">
        <v>35</v>
      </c>
      <c r="AE627" s="21" t="s">
        <v>2025</v>
      </c>
      <c r="AF627" s="22">
        <v>44749.40625</v>
      </c>
      <c r="AG627" s="57"/>
      <c r="AH627" s="57" t="b">
        <f t="shared" si="28"/>
        <v>0</v>
      </c>
      <c r="AI627" s="64" t="str" cm="1">
        <f t="array" ref="AI627">TRANSPOSE(_xlfn._xlws.FILTER(images!L:L,images!F:F=Barrierenmessung!A627, ""))</f>
        <v>https://captureandgo.cloudlab.zhaw.ch/uploads/image_fa60b0c39a.jpg</v>
      </c>
      <c r="AJ627" s="21"/>
      <c r="AK627" s="21"/>
      <c r="AL627" s="21"/>
      <c r="AM627" s="21"/>
      <c r="AN627" s="21"/>
    </row>
    <row r="628" spans="1:40" ht="16" x14ac:dyDescent="0.2">
      <c r="A628" s="2" t="s">
        <v>2026</v>
      </c>
      <c r="B628" s="46">
        <v>627</v>
      </c>
      <c r="C628" s="2" t="b">
        <v>0</v>
      </c>
      <c r="D628" s="2" t="b">
        <v>0</v>
      </c>
      <c r="E628" s="2" t="b">
        <v>0</v>
      </c>
      <c r="F628" s="2" t="b">
        <v>0</v>
      </c>
      <c r="G628" s="2" t="s">
        <v>31</v>
      </c>
      <c r="H628" s="2" t="s">
        <v>2027</v>
      </c>
      <c r="I628" s="2" t="s">
        <v>2028</v>
      </c>
      <c r="J628" s="2" t="s">
        <v>35</v>
      </c>
      <c r="K628" s="2" t="s">
        <v>35</v>
      </c>
      <c r="L628" s="2" t="s">
        <v>35</v>
      </c>
      <c r="M628" s="2" t="s">
        <v>35</v>
      </c>
      <c r="N628" s="2" t="s">
        <v>35</v>
      </c>
      <c r="O628" s="11">
        <v>44749.407840555556</v>
      </c>
      <c r="P628" s="11">
        <v>44749.408214756942</v>
      </c>
      <c r="Q628" s="27">
        <f t="shared" si="27"/>
        <v>3.7420138687593862E-4</v>
      </c>
      <c r="R628" s="65">
        <f t="shared" si="29"/>
        <v>1.964756942470558E-3</v>
      </c>
      <c r="S628" s="2">
        <v>0</v>
      </c>
      <c r="T628" s="2" t="s">
        <v>36</v>
      </c>
      <c r="U628" s="2" t="s">
        <v>37</v>
      </c>
      <c r="V628" s="2" t="s">
        <v>38</v>
      </c>
      <c r="W628" s="2" t="s">
        <v>35</v>
      </c>
      <c r="X628" s="2" t="s">
        <v>35</v>
      </c>
      <c r="Y628" s="2" t="s">
        <v>35</v>
      </c>
      <c r="Z628" s="2" t="b">
        <v>0</v>
      </c>
      <c r="AA628" s="2" t="s">
        <v>35</v>
      </c>
      <c r="AB628" s="2" t="s">
        <v>35</v>
      </c>
      <c r="AC628" s="2" t="s">
        <v>35</v>
      </c>
      <c r="AD628" s="2">
        <v>2</v>
      </c>
      <c r="AE628" s="2" t="s">
        <v>2025</v>
      </c>
      <c r="AF628" s="11">
        <v>44749.40625</v>
      </c>
      <c r="AG628" s="53"/>
      <c r="AH628" s="53" t="b">
        <f t="shared" si="28"/>
        <v>0</v>
      </c>
      <c r="AI628" s="54" t="str" cm="1">
        <f t="array" ref="AI628:AK628">TRANSPOSE(_xlfn._xlws.FILTER(images!L:L,images!F:F=Barrierenmessung!A628, ""))</f>
        <v>https://captureandgo.cloudlab.zhaw.ch/uploads/image_03bdaaa262.jpg</v>
      </c>
      <c r="AJ628" s="2" t="str">
        <v>https://captureandgo.cloudlab.zhaw.ch/uploads/image_5d516e5b3a.jpg</v>
      </c>
      <c r="AK628" s="2" t="str">
        <v>https://captureandgo.cloudlab.zhaw.ch/uploads/image_8096fe34b2.jpg</v>
      </c>
      <c r="AL628" s="2"/>
      <c r="AM628" s="2"/>
      <c r="AN628" s="2"/>
    </row>
    <row r="629" spans="1:40" ht="16" x14ac:dyDescent="0.2">
      <c r="A629" s="2" t="s">
        <v>2029</v>
      </c>
      <c r="B629" s="46">
        <v>628</v>
      </c>
      <c r="C629" s="2" t="b">
        <v>0</v>
      </c>
      <c r="D629" s="2" t="b">
        <v>0</v>
      </c>
      <c r="E629" s="2" t="b">
        <v>0</v>
      </c>
      <c r="F629" s="2" t="b">
        <v>0</v>
      </c>
      <c r="G629" s="2" t="s">
        <v>31</v>
      </c>
      <c r="H629" s="2" t="s">
        <v>2030</v>
      </c>
      <c r="I629" s="2" t="s">
        <v>2031</v>
      </c>
      <c r="J629" s="2" t="s">
        <v>35</v>
      </c>
      <c r="K629" s="2" t="s">
        <v>35</v>
      </c>
      <c r="L629" s="2" t="s">
        <v>35</v>
      </c>
      <c r="M629" s="2" t="s">
        <v>35</v>
      </c>
      <c r="N629" s="2" t="s">
        <v>35</v>
      </c>
      <c r="O629" s="11">
        <v>44749.409700277778</v>
      </c>
      <c r="P629" s="11">
        <v>44749.409827905096</v>
      </c>
      <c r="Q629" s="27">
        <f t="shared" si="27"/>
        <v>1.2762731785187498E-4</v>
      </c>
      <c r="R629" s="65">
        <f t="shared" si="29"/>
        <v>1.6131481534102932E-3</v>
      </c>
      <c r="S629" s="2">
        <v>0</v>
      </c>
      <c r="T629" s="2" t="s">
        <v>36</v>
      </c>
      <c r="U629" s="2" t="s">
        <v>37</v>
      </c>
      <c r="V629" s="2" t="s">
        <v>38</v>
      </c>
      <c r="W629" s="2" t="s">
        <v>35</v>
      </c>
      <c r="X629" s="2" t="s">
        <v>35</v>
      </c>
      <c r="Y629" s="2" t="s">
        <v>35</v>
      </c>
      <c r="Z629" s="2" t="b">
        <v>0</v>
      </c>
      <c r="AA629" s="2" t="s">
        <v>35</v>
      </c>
      <c r="AB629" s="2" t="s">
        <v>35</v>
      </c>
      <c r="AC629" s="2" t="s">
        <v>35</v>
      </c>
      <c r="AD629" s="2">
        <v>2</v>
      </c>
      <c r="AE629" s="2" t="s">
        <v>2025</v>
      </c>
      <c r="AF629" s="11">
        <v>44749.40625</v>
      </c>
      <c r="AG629" s="53"/>
      <c r="AH629" s="53" t="b">
        <f t="shared" si="28"/>
        <v>0</v>
      </c>
      <c r="AI629" s="54" t="str" cm="1">
        <f t="array" ref="AI629">TRANSPOSE(_xlfn._xlws.FILTER(images!L:L,images!F:F=Barrierenmessung!A629, ""))</f>
        <v>https://captureandgo.cloudlab.zhaw.ch/uploads/image_f28f2885af.jpg</v>
      </c>
      <c r="AJ629" s="2"/>
      <c r="AK629" s="2"/>
      <c r="AL629" s="2"/>
      <c r="AM629" s="2"/>
      <c r="AN629" s="2"/>
    </row>
    <row r="630" spans="1:40" ht="16" x14ac:dyDescent="0.2">
      <c r="A630" s="2" t="s">
        <v>2032</v>
      </c>
      <c r="B630" s="46">
        <v>629</v>
      </c>
      <c r="C630" s="2" t="b">
        <v>0</v>
      </c>
      <c r="D630" s="2" t="b">
        <v>0</v>
      </c>
      <c r="E630" s="2" t="b">
        <v>0</v>
      </c>
      <c r="F630" s="2" t="b">
        <v>0</v>
      </c>
      <c r="G630" s="2" t="s">
        <v>31</v>
      </c>
      <c r="H630" s="2" t="s">
        <v>2033</v>
      </c>
      <c r="I630" s="2" t="s">
        <v>2034</v>
      </c>
      <c r="J630" s="2" t="s">
        <v>2035</v>
      </c>
      <c r="K630" s="2" t="s">
        <v>35</v>
      </c>
      <c r="L630" s="2">
        <v>8</v>
      </c>
      <c r="M630" s="2" t="s">
        <v>35</v>
      </c>
      <c r="N630" s="2" t="s">
        <v>35</v>
      </c>
      <c r="O630" s="11">
        <v>44749.410464039349</v>
      </c>
      <c r="P630" s="11">
        <v>44749.410875833331</v>
      </c>
      <c r="Q630" s="27">
        <f t="shared" si="27"/>
        <v>4.1179398249369115E-4</v>
      </c>
      <c r="R630" s="65">
        <f t="shared" si="29"/>
        <v>1.0479282354936004E-3</v>
      </c>
      <c r="S630" s="2">
        <v>0</v>
      </c>
      <c r="T630" s="2" t="s">
        <v>265</v>
      </c>
      <c r="U630" s="2" t="s">
        <v>266</v>
      </c>
      <c r="V630" s="2" t="s">
        <v>38</v>
      </c>
      <c r="W630" s="2" t="s">
        <v>35</v>
      </c>
      <c r="X630" s="2" t="s">
        <v>35</v>
      </c>
      <c r="Y630" s="2" t="s">
        <v>35</v>
      </c>
      <c r="Z630" s="2" t="b">
        <v>0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2025</v>
      </c>
      <c r="AF630" s="11">
        <v>44749.40625</v>
      </c>
      <c r="AG630" s="53"/>
      <c r="AH630" s="53" t="b">
        <f t="shared" si="28"/>
        <v>0</v>
      </c>
      <c r="AI630" s="54" t="str" cm="1">
        <f t="array" ref="AI630">TRANSPOSE(_xlfn._xlws.FILTER(images!L:L,images!F:F=Barrierenmessung!A630, ""))</f>
        <v>https://captureandgo.cloudlab.zhaw.ch/uploads/image_cfff33c40d.jpg</v>
      </c>
      <c r="AJ630" s="2"/>
      <c r="AK630" s="2"/>
      <c r="AL630" s="2"/>
      <c r="AM630" s="2"/>
      <c r="AN630" s="2"/>
    </row>
    <row r="631" spans="1:40" ht="16" x14ac:dyDescent="0.2">
      <c r="A631" s="2" t="s">
        <v>2036</v>
      </c>
      <c r="B631" s="46">
        <v>630</v>
      </c>
      <c r="C631" s="2" t="b">
        <v>0</v>
      </c>
      <c r="D631" s="2" t="b">
        <v>0</v>
      </c>
      <c r="E631" s="2" t="b">
        <v>0</v>
      </c>
      <c r="F631" s="2" t="b">
        <v>0</v>
      </c>
      <c r="G631" s="2" t="s">
        <v>31</v>
      </c>
      <c r="H631" s="2" t="s">
        <v>2037</v>
      </c>
      <c r="I631" s="2" t="s">
        <v>2038</v>
      </c>
      <c r="J631" s="2" t="s">
        <v>2039</v>
      </c>
      <c r="K631" s="2" t="s">
        <v>35</v>
      </c>
      <c r="L631" s="2" t="s">
        <v>35</v>
      </c>
      <c r="M631" s="2" t="s">
        <v>35</v>
      </c>
      <c r="N631" s="2" t="s">
        <v>35</v>
      </c>
      <c r="O631" s="11">
        <v>44749.411366215281</v>
      </c>
      <c r="P631" s="11">
        <v>44749.411732824075</v>
      </c>
      <c r="Q631" s="27">
        <f t="shared" si="27"/>
        <v>3.6660879413830116E-4</v>
      </c>
      <c r="R631" s="65">
        <f t="shared" si="29"/>
        <v>8.5699074406875297E-4</v>
      </c>
      <c r="S631" s="2">
        <v>0</v>
      </c>
      <c r="T631" s="2" t="s">
        <v>36</v>
      </c>
      <c r="U631" s="2" t="s">
        <v>37</v>
      </c>
      <c r="V631" s="2" t="s">
        <v>38</v>
      </c>
      <c r="W631" s="2" t="s">
        <v>35</v>
      </c>
      <c r="X631" s="2" t="s">
        <v>35</v>
      </c>
      <c r="Y631" s="2" t="s">
        <v>35</v>
      </c>
      <c r="Z631" s="2" t="b">
        <v>0</v>
      </c>
      <c r="AA631" s="2" t="s">
        <v>2040</v>
      </c>
      <c r="AB631" s="2" t="s">
        <v>35</v>
      </c>
      <c r="AC631" s="2" t="s">
        <v>35</v>
      </c>
      <c r="AD631" s="2" t="s">
        <v>35</v>
      </c>
      <c r="AE631" s="2" t="s">
        <v>2025</v>
      </c>
      <c r="AF631" s="11">
        <v>44749.40625</v>
      </c>
      <c r="AG631" s="53"/>
      <c r="AH631" s="53" t="b">
        <f t="shared" si="28"/>
        <v>0</v>
      </c>
      <c r="AI631" s="54" t="str" cm="1">
        <f t="array" ref="AI631">TRANSPOSE(_xlfn._xlws.FILTER(images!L:L,images!F:F=Barrierenmessung!A631, ""))</f>
        <v>https://captureandgo.cloudlab.zhaw.ch/uploads/image_495c6e4c1a.jpg</v>
      </c>
      <c r="AJ631" s="2"/>
      <c r="AK631" s="2"/>
      <c r="AL631" s="2"/>
      <c r="AM631" s="2"/>
      <c r="AN631" s="2"/>
    </row>
    <row r="632" spans="1:40" ht="16" x14ac:dyDescent="0.2">
      <c r="A632" s="2" t="s">
        <v>2041</v>
      </c>
      <c r="B632" s="46">
        <v>631</v>
      </c>
      <c r="C632" s="2" t="b">
        <v>0</v>
      </c>
      <c r="D632" s="2" t="b">
        <v>0</v>
      </c>
      <c r="E632" s="2" t="b">
        <v>0</v>
      </c>
      <c r="F632" s="2" t="b">
        <v>0</v>
      </c>
      <c r="G632" s="2" t="s">
        <v>31</v>
      </c>
      <c r="H632" s="2" t="s">
        <v>2042</v>
      </c>
      <c r="I632" s="2" t="s">
        <v>2043</v>
      </c>
      <c r="J632" s="2" t="s">
        <v>2044</v>
      </c>
      <c r="K632" s="2" t="s">
        <v>35</v>
      </c>
      <c r="L632" s="2" t="s">
        <v>35</v>
      </c>
      <c r="M632" s="2" t="s">
        <v>35</v>
      </c>
      <c r="N632" s="2" t="s">
        <v>35</v>
      </c>
      <c r="O632" s="11">
        <v>44749.413448310188</v>
      </c>
      <c r="P632" s="11">
        <v>44749.413751284723</v>
      </c>
      <c r="Q632" s="27">
        <f t="shared" si="27"/>
        <v>3.0297453486127779E-4</v>
      </c>
      <c r="R632" s="65">
        <f t="shared" si="29"/>
        <v>2.0184606473776512E-3</v>
      </c>
      <c r="S632" s="2">
        <v>0</v>
      </c>
      <c r="T632" s="2" t="s">
        <v>36</v>
      </c>
      <c r="U632" s="2" t="s">
        <v>37</v>
      </c>
      <c r="V632" s="2" t="s">
        <v>38</v>
      </c>
      <c r="W632" s="2" t="s">
        <v>35</v>
      </c>
      <c r="X632" s="2" t="s">
        <v>35</v>
      </c>
      <c r="Y632" s="2" t="s">
        <v>35</v>
      </c>
      <c r="Z632" s="2" t="b">
        <v>0</v>
      </c>
      <c r="AA632" s="2" t="s">
        <v>35</v>
      </c>
      <c r="AB632" s="2" t="s">
        <v>35</v>
      </c>
      <c r="AC632" s="2">
        <v>4</v>
      </c>
      <c r="AD632" s="2" t="s">
        <v>35</v>
      </c>
      <c r="AE632" s="2" t="s">
        <v>2025</v>
      </c>
      <c r="AF632" s="11">
        <v>44749.40625</v>
      </c>
      <c r="AG632" s="53"/>
      <c r="AH632" s="53" t="b">
        <f t="shared" si="28"/>
        <v>0</v>
      </c>
      <c r="AI632" s="54" t="str" cm="1">
        <f t="array" ref="AI632">TRANSPOSE(_xlfn._xlws.FILTER(images!L:L,images!F:F=Barrierenmessung!A632, ""))</f>
        <v>https://captureandgo.cloudlab.zhaw.ch/uploads/image_30d17d5359.jpg</v>
      </c>
      <c r="AJ632" s="2"/>
      <c r="AK632" s="2"/>
      <c r="AL632" s="2"/>
      <c r="AM632" s="2"/>
      <c r="AN632" s="2"/>
    </row>
    <row r="633" spans="1:40" ht="16" x14ac:dyDescent="0.2">
      <c r="A633" s="2" t="s">
        <v>2045</v>
      </c>
      <c r="B633" s="46">
        <v>632</v>
      </c>
      <c r="C633" s="2" t="b">
        <v>0</v>
      </c>
      <c r="D633" s="2" t="b">
        <v>0</v>
      </c>
      <c r="E633" s="2" t="b">
        <v>0</v>
      </c>
      <c r="F633" s="2" t="b">
        <v>0</v>
      </c>
      <c r="G633" s="2" t="s">
        <v>31</v>
      </c>
      <c r="H633" s="2" t="s">
        <v>2046</v>
      </c>
      <c r="I633" s="2" t="s">
        <v>2047</v>
      </c>
      <c r="J633" s="2" t="s">
        <v>2048</v>
      </c>
      <c r="K633" s="2" t="s">
        <v>35</v>
      </c>
      <c r="L633" s="2" t="s">
        <v>35</v>
      </c>
      <c r="M633" s="2" t="s">
        <v>35</v>
      </c>
      <c r="N633" s="2" t="s">
        <v>35</v>
      </c>
      <c r="O633" s="11">
        <v>44749.413982685182</v>
      </c>
      <c r="P633" s="11">
        <v>44749.414211990741</v>
      </c>
      <c r="Q633" s="27">
        <f t="shared" si="27"/>
        <v>2.2930555860511959E-4</v>
      </c>
      <c r="R633" s="65">
        <f t="shared" si="29"/>
        <v>4.6070601820247248E-4</v>
      </c>
      <c r="S633" s="2">
        <v>0</v>
      </c>
      <c r="T633" s="2" t="s">
        <v>36</v>
      </c>
      <c r="U633" s="2" t="s">
        <v>37</v>
      </c>
      <c r="V633" s="2" t="s">
        <v>38</v>
      </c>
      <c r="W633" s="2" t="s">
        <v>35</v>
      </c>
      <c r="X633" s="2" t="s">
        <v>35</v>
      </c>
      <c r="Y633" s="2" t="s">
        <v>35</v>
      </c>
      <c r="Z633" s="2" t="b">
        <v>0</v>
      </c>
      <c r="AA633" s="2" t="s">
        <v>35</v>
      </c>
      <c r="AB633" s="2" t="s">
        <v>35</v>
      </c>
      <c r="AC633" s="2">
        <v>6</v>
      </c>
      <c r="AD633" s="2" t="s">
        <v>35</v>
      </c>
      <c r="AE633" s="2" t="s">
        <v>2025</v>
      </c>
      <c r="AF633" s="11">
        <v>44749.40625</v>
      </c>
      <c r="AG633" s="53"/>
      <c r="AH633" s="53" t="b">
        <f t="shared" si="28"/>
        <v>0</v>
      </c>
      <c r="AI633" s="54" t="str" cm="1">
        <f t="array" ref="AI633">TRANSPOSE(_xlfn._xlws.FILTER(images!L:L,images!F:F=Barrierenmessung!A633, ""))</f>
        <v>https://captureandgo.cloudlab.zhaw.ch/uploads/image_6cb6ebe531.jpg</v>
      </c>
      <c r="AJ633" s="2"/>
      <c r="AK633" s="2"/>
      <c r="AL633" s="2"/>
      <c r="AM633" s="2"/>
      <c r="AN633" s="2"/>
    </row>
    <row r="634" spans="1:40" ht="16" x14ac:dyDescent="0.2">
      <c r="A634" s="2" t="s">
        <v>2049</v>
      </c>
      <c r="B634" s="46">
        <v>633</v>
      </c>
      <c r="C634" s="2" t="b">
        <v>0</v>
      </c>
      <c r="D634" s="2" t="b">
        <v>0</v>
      </c>
      <c r="E634" s="2" t="b">
        <v>0</v>
      </c>
      <c r="F634" s="2" t="b">
        <v>0</v>
      </c>
      <c r="G634" s="2" t="s">
        <v>31</v>
      </c>
      <c r="H634" s="2" t="s">
        <v>2050</v>
      </c>
      <c r="I634" s="2" t="s">
        <v>2051</v>
      </c>
      <c r="J634" s="2" t="s">
        <v>35</v>
      </c>
      <c r="K634" s="2" t="s">
        <v>35</v>
      </c>
      <c r="L634" s="2" t="s">
        <v>35</v>
      </c>
      <c r="M634" s="2" t="s">
        <v>35</v>
      </c>
      <c r="N634" s="2" t="s">
        <v>35</v>
      </c>
      <c r="O634" s="11">
        <v>44749.414829780093</v>
      </c>
      <c r="P634" s="11">
        <v>44749.415005567127</v>
      </c>
      <c r="Q634" s="27">
        <f t="shared" si="27"/>
        <v>1.7578703409526497E-4</v>
      </c>
      <c r="R634" s="65">
        <f t="shared" si="29"/>
        <v>7.9357638605870306E-4</v>
      </c>
      <c r="S634" s="2">
        <v>0</v>
      </c>
      <c r="T634" s="2" t="s">
        <v>36</v>
      </c>
      <c r="U634" s="2" t="s">
        <v>37</v>
      </c>
      <c r="V634" s="2" t="s">
        <v>38</v>
      </c>
      <c r="W634" s="2" t="s">
        <v>35</v>
      </c>
      <c r="X634" s="2" t="s">
        <v>35</v>
      </c>
      <c r="Y634" s="2" t="s">
        <v>35</v>
      </c>
      <c r="Z634" s="2" t="b">
        <v>0</v>
      </c>
      <c r="AA634" s="2" t="s">
        <v>35</v>
      </c>
      <c r="AB634" s="2" t="s">
        <v>35</v>
      </c>
      <c r="AC634" s="2" t="s">
        <v>35</v>
      </c>
      <c r="AD634" s="2">
        <v>2</v>
      </c>
      <c r="AE634" s="2" t="s">
        <v>2025</v>
      </c>
      <c r="AF634" s="11">
        <v>44749.40625</v>
      </c>
      <c r="AG634" s="53"/>
      <c r="AH634" s="53" t="b">
        <f t="shared" si="28"/>
        <v>0</v>
      </c>
      <c r="AI634" s="54" t="str" cm="1">
        <f t="array" ref="AI634">TRANSPOSE(_xlfn._xlws.FILTER(images!L:L,images!F:F=Barrierenmessung!A634, ""))</f>
        <v>https://captureandgo.cloudlab.zhaw.ch/uploads/image_5c9b67abcb.jpg</v>
      </c>
      <c r="AJ634" s="2"/>
      <c r="AK634" s="2"/>
      <c r="AL634" s="2"/>
      <c r="AM634" s="2"/>
      <c r="AN634" s="2"/>
    </row>
    <row r="635" spans="1:40" ht="16" x14ac:dyDescent="0.2">
      <c r="A635" s="2" t="s">
        <v>2052</v>
      </c>
      <c r="B635" s="46">
        <v>634</v>
      </c>
      <c r="C635" s="2" t="b">
        <v>0</v>
      </c>
      <c r="D635" s="2" t="b">
        <v>0</v>
      </c>
      <c r="E635" s="2" t="b">
        <v>0</v>
      </c>
      <c r="F635" s="2" t="b">
        <v>0</v>
      </c>
      <c r="G635" s="2" t="s">
        <v>31</v>
      </c>
      <c r="H635" s="2" t="s">
        <v>2053</v>
      </c>
      <c r="I635" s="2" t="s">
        <v>2054</v>
      </c>
      <c r="J635" s="2" t="s">
        <v>2055</v>
      </c>
      <c r="K635" s="2" t="s">
        <v>35</v>
      </c>
      <c r="L635" s="2" t="s">
        <v>35</v>
      </c>
      <c r="M635" s="2" t="s">
        <v>35</v>
      </c>
      <c r="N635" s="2" t="s">
        <v>35</v>
      </c>
      <c r="O635" s="11">
        <v>44749.416787685186</v>
      </c>
      <c r="P635" s="11">
        <v>44749.417250671293</v>
      </c>
      <c r="Q635" s="27">
        <f t="shared" si="27"/>
        <v>4.6298610686790198E-4</v>
      </c>
      <c r="R635" s="65">
        <f t="shared" si="29"/>
        <v>2.2451041659223847E-3</v>
      </c>
      <c r="S635" s="2">
        <v>0</v>
      </c>
      <c r="T635" s="2" t="s">
        <v>36</v>
      </c>
      <c r="U635" s="2" t="s">
        <v>37</v>
      </c>
      <c r="V635" s="2" t="s">
        <v>38</v>
      </c>
      <c r="W635" s="2" t="s">
        <v>35</v>
      </c>
      <c r="X635" s="2" t="s">
        <v>35</v>
      </c>
      <c r="Y635" s="2" t="s">
        <v>35</v>
      </c>
      <c r="Z635" s="2" t="b">
        <v>0</v>
      </c>
      <c r="AA635" s="2" t="s">
        <v>35</v>
      </c>
      <c r="AB635" s="2" t="s">
        <v>35</v>
      </c>
      <c r="AC635" s="2">
        <v>5</v>
      </c>
      <c r="AD635" s="2">
        <v>2</v>
      </c>
      <c r="AE635" s="2" t="s">
        <v>2025</v>
      </c>
      <c r="AF635" s="11">
        <v>44749.40625</v>
      </c>
      <c r="AG635" s="53"/>
      <c r="AH635" s="53" t="b">
        <f t="shared" si="28"/>
        <v>0</v>
      </c>
      <c r="AI635" s="54" t="str" cm="1">
        <f t="array" ref="AI635">TRANSPOSE(_xlfn._xlws.FILTER(images!L:L,images!F:F=Barrierenmessung!A635, ""))</f>
        <v>https://captureandgo.cloudlab.zhaw.ch/uploads/image_0cdb663923.jpg</v>
      </c>
      <c r="AJ635" s="2"/>
      <c r="AK635" s="2"/>
      <c r="AL635" s="2"/>
      <c r="AM635" s="2"/>
      <c r="AN635" s="2"/>
    </row>
    <row r="636" spans="1:40" ht="16" x14ac:dyDescent="0.2">
      <c r="A636" s="2" t="s">
        <v>2056</v>
      </c>
      <c r="B636" s="46">
        <v>635</v>
      </c>
      <c r="C636" s="2" t="b">
        <v>0</v>
      </c>
      <c r="D636" s="2" t="b">
        <v>0</v>
      </c>
      <c r="E636" s="2" t="b">
        <v>0</v>
      </c>
      <c r="F636" s="2" t="b">
        <v>0</v>
      </c>
      <c r="G636" s="2" t="s">
        <v>31</v>
      </c>
      <c r="H636" s="2" t="s">
        <v>2057</v>
      </c>
      <c r="I636" s="2" t="s">
        <v>2058</v>
      </c>
      <c r="J636" s="2" t="s">
        <v>2059</v>
      </c>
      <c r="K636" s="2" t="s">
        <v>35</v>
      </c>
      <c r="L636" s="2" t="s">
        <v>35</v>
      </c>
      <c r="M636" s="2" t="s">
        <v>35</v>
      </c>
      <c r="N636" s="2" t="s">
        <v>35</v>
      </c>
      <c r="O636" s="11">
        <v>44749.41926372685</v>
      </c>
      <c r="P636" s="11">
        <v>44749.419538101851</v>
      </c>
      <c r="Q636" s="27">
        <f t="shared" si="27"/>
        <v>2.7437500102678314E-4</v>
      </c>
      <c r="R636" s="65">
        <f t="shared" si="29"/>
        <v>2.2874305577715859E-3</v>
      </c>
      <c r="S636" s="2">
        <v>0</v>
      </c>
      <c r="T636" s="2" t="s">
        <v>36</v>
      </c>
      <c r="U636" s="2" t="s">
        <v>37</v>
      </c>
      <c r="V636" s="2" t="s">
        <v>38</v>
      </c>
      <c r="W636" s="2" t="s">
        <v>35</v>
      </c>
      <c r="X636" s="2" t="s">
        <v>35</v>
      </c>
      <c r="Y636" s="2" t="s">
        <v>35</v>
      </c>
      <c r="Z636" s="2" t="b">
        <v>0</v>
      </c>
      <c r="AA636" s="2" t="s">
        <v>35</v>
      </c>
      <c r="AB636" s="2" t="s">
        <v>35</v>
      </c>
      <c r="AC636" s="2">
        <v>5</v>
      </c>
      <c r="AD636" s="2" t="s">
        <v>35</v>
      </c>
      <c r="AE636" s="2" t="s">
        <v>2025</v>
      </c>
      <c r="AF636" s="11">
        <v>44749.40625</v>
      </c>
      <c r="AG636" s="53"/>
      <c r="AH636" s="53" t="b">
        <f t="shared" si="28"/>
        <v>0</v>
      </c>
      <c r="AI636" s="54" t="str" cm="1">
        <f t="array" ref="AI636">TRANSPOSE(_xlfn._xlws.FILTER(images!L:L,images!F:F=Barrierenmessung!A636, ""))</f>
        <v>https://captureandgo.cloudlab.zhaw.ch/uploads/image_401537fc82.jpg</v>
      </c>
      <c r="AJ636" s="2"/>
      <c r="AK636" s="2"/>
      <c r="AL636" s="2"/>
      <c r="AM636" s="2"/>
      <c r="AN636" s="2"/>
    </row>
    <row r="637" spans="1:40" ht="16" x14ac:dyDescent="0.2">
      <c r="A637" s="2" t="s">
        <v>2060</v>
      </c>
      <c r="B637" s="46">
        <v>636</v>
      </c>
      <c r="C637" s="2" t="b">
        <v>0</v>
      </c>
      <c r="D637" s="2" t="b">
        <v>0</v>
      </c>
      <c r="E637" s="2" t="b">
        <v>0</v>
      </c>
      <c r="F637" s="2" t="b">
        <v>0</v>
      </c>
      <c r="G637" s="2" t="s">
        <v>31</v>
      </c>
      <c r="H637" s="2" t="s">
        <v>2061</v>
      </c>
      <c r="I637" s="2" t="s">
        <v>2062</v>
      </c>
      <c r="J637" s="2" t="s">
        <v>2063</v>
      </c>
      <c r="K637" s="2" t="s">
        <v>35</v>
      </c>
      <c r="L637" s="2" t="s">
        <v>35</v>
      </c>
      <c r="M637" s="2" t="s">
        <v>35</v>
      </c>
      <c r="N637" s="2" t="s">
        <v>35</v>
      </c>
      <c r="O637" s="11">
        <v>44749.419999560188</v>
      </c>
      <c r="P637" s="11">
        <v>44749.420329074077</v>
      </c>
      <c r="Q637" s="27">
        <f t="shared" si="27"/>
        <v>3.2951388857327402E-4</v>
      </c>
      <c r="R637" s="65">
        <f t="shared" si="29"/>
        <v>7.9097222624113783E-4</v>
      </c>
      <c r="S637" s="2">
        <v>0</v>
      </c>
      <c r="T637" s="2" t="s">
        <v>36</v>
      </c>
      <c r="U637" s="2" t="s">
        <v>37</v>
      </c>
      <c r="V637" s="2" t="s">
        <v>38</v>
      </c>
      <c r="W637" s="2" t="s">
        <v>35</v>
      </c>
      <c r="X637" s="2" t="s">
        <v>35</v>
      </c>
      <c r="Y637" s="2" t="s">
        <v>35</v>
      </c>
      <c r="Z637" s="2" t="b">
        <v>0</v>
      </c>
      <c r="AA637" s="2" t="s">
        <v>35</v>
      </c>
      <c r="AB637" s="2" t="s">
        <v>35</v>
      </c>
      <c r="AC637" s="2">
        <v>7</v>
      </c>
      <c r="AD637" s="2" t="s">
        <v>35</v>
      </c>
      <c r="AE637" s="2" t="s">
        <v>2025</v>
      </c>
      <c r="AF637" s="11">
        <v>44749.40625</v>
      </c>
      <c r="AG637" s="53"/>
      <c r="AH637" s="53" t="b">
        <f t="shared" si="28"/>
        <v>0</v>
      </c>
      <c r="AI637" s="54" t="str" cm="1">
        <f t="array" ref="AI637">TRANSPOSE(_xlfn._xlws.FILTER(images!L:L,images!F:F=Barrierenmessung!A637, ""))</f>
        <v>https://captureandgo.cloudlab.zhaw.ch/uploads/image_bbceb1c9f8.jpg</v>
      </c>
      <c r="AJ637" s="2"/>
      <c r="AK637" s="2"/>
      <c r="AL637" s="2"/>
      <c r="AM637" s="2"/>
      <c r="AN637" s="2"/>
    </row>
    <row r="638" spans="1:40" ht="16" x14ac:dyDescent="0.2">
      <c r="A638" s="2" t="s">
        <v>2064</v>
      </c>
      <c r="B638" s="46">
        <v>637</v>
      </c>
      <c r="C638" s="2" t="b">
        <v>0</v>
      </c>
      <c r="D638" s="2" t="b">
        <v>0</v>
      </c>
      <c r="E638" s="2" t="b">
        <v>0</v>
      </c>
      <c r="F638" s="2" t="b">
        <v>0</v>
      </c>
      <c r="G638" s="2" t="s">
        <v>31</v>
      </c>
      <c r="H638" s="2" t="s">
        <v>2065</v>
      </c>
      <c r="I638" s="2" t="s">
        <v>2066</v>
      </c>
      <c r="J638" s="2" t="s">
        <v>35</v>
      </c>
      <c r="K638" s="2" t="s">
        <v>35</v>
      </c>
      <c r="L638" s="2" t="s">
        <v>35</v>
      </c>
      <c r="M638" s="2" t="s">
        <v>35</v>
      </c>
      <c r="N638" s="2" t="s">
        <v>35</v>
      </c>
      <c r="O638" s="11">
        <v>44749.421700590276</v>
      </c>
      <c r="P638" s="11">
        <v>44749.421811527776</v>
      </c>
      <c r="Q638" s="27">
        <f t="shared" si="27"/>
        <v>1.10937500721775E-4</v>
      </c>
      <c r="R638" s="65">
        <f t="shared" si="29"/>
        <v>1.4824536992819048E-3</v>
      </c>
      <c r="S638" s="2">
        <v>0</v>
      </c>
      <c r="T638" s="2" t="s">
        <v>36</v>
      </c>
      <c r="U638" s="2" t="s">
        <v>37</v>
      </c>
      <c r="V638" s="2" t="s">
        <v>38</v>
      </c>
      <c r="W638" s="2" t="s">
        <v>35</v>
      </c>
      <c r="X638" s="2" t="s">
        <v>35</v>
      </c>
      <c r="Y638" s="2" t="s">
        <v>35</v>
      </c>
      <c r="Z638" s="2" t="b">
        <v>0</v>
      </c>
      <c r="AA638" s="2" t="s">
        <v>35</v>
      </c>
      <c r="AB638" s="2" t="s">
        <v>35</v>
      </c>
      <c r="AC638" s="2" t="s">
        <v>35</v>
      </c>
      <c r="AD638" s="2">
        <v>3</v>
      </c>
      <c r="AE638" s="2" t="s">
        <v>2025</v>
      </c>
      <c r="AF638" s="11">
        <v>44749.40625</v>
      </c>
      <c r="AG638" s="53"/>
      <c r="AH638" s="53" t="b">
        <f t="shared" si="28"/>
        <v>0</v>
      </c>
      <c r="AI638" s="54" t="str" cm="1">
        <f t="array" ref="AI638">TRANSPOSE(_xlfn._xlws.FILTER(images!L:L,images!F:F=Barrierenmessung!A638, ""))</f>
        <v>https://captureandgo.cloudlab.zhaw.ch/uploads/image_a8640625c0.jpg</v>
      </c>
      <c r="AJ638" s="2"/>
      <c r="AK638" s="2"/>
      <c r="AL638" s="2"/>
      <c r="AM638" s="2"/>
      <c r="AN638" s="2"/>
    </row>
    <row r="639" spans="1:40" ht="16" x14ac:dyDescent="0.2">
      <c r="A639" s="2" t="s">
        <v>2067</v>
      </c>
      <c r="B639" s="46">
        <v>638</v>
      </c>
      <c r="C639" s="2" t="b">
        <v>0</v>
      </c>
      <c r="D639" s="2" t="b">
        <v>0</v>
      </c>
      <c r="E639" s="2" t="b">
        <v>0</v>
      </c>
      <c r="F639" s="2" t="b">
        <v>0</v>
      </c>
      <c r="G639" s="2" t="s">
        <v>31</v>
      </c>
      <c r="H639" s="2" t="s">
        <v>2068</v>
      </c>
      <c r="I639" s="2" t="s">
        <v>2069</v>
      </c>
      <c r="J639" s="2" t="s">
        <v>2070</v>
      </c>
      <c r="K639" s="2" t="s">
        <v>35</v>
      </c>
      <c r="L639" s="2" t="s">
        <v>35</v>
      </c>
      <c r="M639" s="2" t="s">
        <v>35</v>
      </c>
      <c r="N639" s="2" t="s">
        <v>35</v>
      </c>
      <c r="O639" s="11">
        <v>44749.423096469909</v>
      </c>
      <c r="P639" s="11">
        <v>44749.423421608793</v>
      </c>
      <c r="Q639" s="27">
        <f t="shared" si="27"/>
        <v>3.2513888436369598E-4</v>
      </c>
      <c r="R639" s="65">
        <f t="shared" si="29"/>
        <v>1.6100810171337798E-3</v>
      </c>
      <c r="S639" s="2">
        <v>0</v>
      </c>
      <c r="T639" s="2" t="s">
        <v>36</v>
      </c>
      <c r="U639" s="2" t="s">
        <v>37</v>
      </c>
      <c r="V639" s="2" t="s">
        <v>38</v>
      </c>
      <c r="W639" s="2" t="s">
        <v>35</v>
      </c>
      <c r="X639" s="2" t="s">
        <v>35</v>
      </c>
      <c r="Y639" s="2" t="s">
        <v>35</v>
      </c>
      <c r="Z639" s="2" t="b">
        <v>0</v>
      </c>
      <c r="AA639" s="2" t="s">
        <v>35</v>
      </c>
      <c r="AB639" s="2" t="s">
        <v>35</v>
      </c>
      <c r="AC639" s="2">
        <v>4</v>
      </c>
      <c r="AD639" s="2" t="s">
        <v>35</v>
      </c>
      <c r="AE639" s="2" t="s">
        <v>2025</v>
      </c>
      <c r="AF639" s="11">
        <v>44749.40625</v>
      </c>
      <c r="AG639" s="53"/>
      <c r="AH639" s="53" t="b">
        <f t="shared" si="28"/>
        <v>0</v>
      </c>
      <c r="AI639" s="54" t="str" cm="1">
        <f t="array" ref="AI639">TRANSPOSE(_xlfn._xlws.FILTER(images!L:L,images!F:F=Barrierenmessung!A639, ""))</f>
        <v>https://captureandgo.cloudlab.zhaw.ch/uploads/image_96376a92a9.jpg</v>
      </c>
      <c r="AJ639" s="2"/>
      <c r="AK639" s="2"/>
      <c r="AL639" s="2"/>
      <c r="AM639" s="2"/>
      <c r="AN639" s="2"/>
    </row>
    <row r="640" spans="1:40" ht="16" x14ac:dyDescent="0.2">
      <c r="A640" s="2" t="s">
        <v>2071</v>
      </c>
      <c r="B640" s="46">
        <v>639</v>
      </c>
      <c r="C640" s="2" t="b">
        <v>0</v>
      </c>
      <c r="D640" s="2" t="b">
        <v>0</v>
      </c>
      <c r="E640" s="2" t="b">
        <v>0</v>
      </c>
      <c r="F640" s="2" t="b">
        <v>0</v>
      </c>
      <c r="G640" s="2" t="s">
        <v>31</v>
      </c>
      <c r="H640" s="2" t="s">
        <v>2072</v>
      </c>
      <c r="I640" s="2" t="s">
        <v>2073</v>
      </c>
      <c r="J640" s="2" t="s">
        <v>35</v>
      </c>
      <c r="K640" s="2" t="s">
        <v>35</v>
      </c>
      <c r="L640" s="2" t="s">
        <v>35</v>
      </c>
      <c r="M640" s="2" t="s">
        <v>35</v>
      </c>
      <c r="N640" s="2" t="s">
        <v>35</v>
      </c>
      <c r="O640" s="11">
        <v>44749.424100185184</v>
      </c>
      <c r="P640" s="11">
        <v>44749.424230960649</v>
      </c>
      <c r="Q640" s="27">
        <f t="shared" si="27"/>
        <v>1.3077546464046463E-4</v>
      </c>
      <c r="R640" s="65">
        <f t="shared" si="29"/>
        <v>8.0935185542330146E-4</v>
      </c>
      <c r="S640" s="2">
        <v>0</v>
      </c>
      <c r="T640" s="2" t="s">
        <v>36</v>
      </c>
      <c r="U640" s="2" t="s">
        <v>37</v>
      </c>
      <c r="V640" s="2" t="s">
        <v>38</v>
      </c>
      <c r="W640" s="2" t="s">
        <v>35</v>
      </c>
      <c r="X640" s="2" t="s">
        <v>35</v>
      </c>
      <c r="Y640" s="2" t="s">
        <v>35</v>
      </c>
      <c r="Z640" s="2" t="b">
        <v>0</v>
      </c>
      <c r="AA640" s="2" t="s">
        <v>35</v>
      </c>
      <c r="AB640" s="2" t="s">
        <v>35</v>
      </c>
      <c r="AC640" s="2" t="s">
        <v>35</v>
      </c>
      <c r="AD640" s="2">
        <v>2</v>
      </c>
      <c r="AE640" s="2" t="s">
        <v>2025</v>
      </c>
      <c r="AF640" s="11">
        <v>44749.40625</v>
      </c>
      <c r="AG640" s="53"/>
      <c r="AH640" s="53" t="b">
        <f t="shared" si="28"/>
        <v>0</v>
      </c>
      <c r="AI640" s="54" t="str" cm="1">
        <f t="array" ref="AI640">TRANSPOSE(_xlfn._xlws.FILTER(images!L:L,images!F:F=Barrierenmessung!A640, ""))</f>
        <v>https://captureandgo.cloudlab.zhaw.ch/uploads/image_a1b17c2f5a.jpg</v>
      </c>
      <c r="AJ640" s="2"/>
      <c r="AK640" s="2"/>
      <c r="AL640" s="2"/>
      <c r="AM640" s="2"/>
      <c r="AN640" s="2"/>
    </row>
    <row r="641" spans="1:40" ht="16" x14ac:dyDescent="0.2">
      <c r="A641" s="2" t="s">
        <v>2074</v>
      </c>
      <c r="B641" s="46">
        <v>640</v>
      </c>
      <c r="C641" s="2" t="b">
        <v>0</v>
      </c>
      <c r="D641" s="2" t="b">
        <v>0</v>
      </c>
      <c r="E641" s="2" t="b">
        <v>0</v>
      </c>
      <c r="F641" s="2" t="b">
        <v>0</v>
      </c>
      <c r="G641" s="2" t="s">
        <v>31</v>
      </c>
      <c r="H641" s="2" t="s">
        <v>2075</v>
      </c>
      <c r="I641" s="2" t="s">
        <v>2076</v>
      </c>
      <c r="J641" s="2" t="s">
        <v>35</v>
      </c>
      <c r="K641" s="2" t="s">
        <v>35</v>
      </c>
      <c r="L641" s="2" t="s">
        <v>35</v>
      </c>
      <c r="M641" s="2" t="s">
        <v>35</v>
      </c>
      <c r="N641" s="2" t="s">
        <v>35</v>
      </c>
      <c r="O641" s="11">
        <v>44749.424786134259</v>
      </c>
      <c r="P641" s="11">
        <v>44749.424928645836</v>
      </c>
      <c r="Q641" s="27">
        <f t="shared" si="27"/>
        <v>1.4251157699618489E-4</v>
      </c>
      <c r="R641" s="65">
        <f t="shared" si="29"/>
        <v>6.9768518733326346E-4</v>
      </c>
      <c r="S641" s="2">
        <v>0</v>
      </c>
      <c r="T641" s="2" t="s">
        <v>36</v>
      </c>
      <c r="U641" s="2" t="s">
        <v>37</v>
      </c>
      <c r="V641" s="2" t="s">
        <v>38</v>
      </c>
      <c r="W641" s="2" t="s">
        <v>35</v>
      </c>
      <c r="X641" s="2" t="s">
        <v>35</v>
      </c>
      <c r="Y641" s="2" t="s">
        <v>35</v>
      </c>
      <c r="Z641" s="2" t="b">
        <v>0</v>
      </c>
      <c r="AA641" s="2" t="s">
        <v>35</v>
      </c>
      <c r="AB641" s="2" t="s">
        <v>35</v>
      </c>
      <c r="AC641" s="2" t="s">
        <v>35</v>
      </c>
      <c r="AD641" s="2">
        <v>3</v>
      </c>
      <c r="AE641" s="2" t="s">
        <v>2025</v>
      </c>
      <c r="AF641" s="11">
        <v>44749.40625</v>
      </c>
      <c r="AG641" s="53"/>
      <c r="AH641" s="53" t="b">
        <f t="shared" si="28"/>
        <v>0</v>
      </c>
      <c r="AI641" s="54" t="str" cm="1">
        <f t="array" ref="AI641">TRANSPOSE(_xlfn._xlws.FILTER(images!L:L,images!F:F=Barrierenmessung!A641, ""))</f>
        <v>https://captureandgo.cloudlab.zhaw.ch/uploads/image_b6f8de239f.jpg</v>
      </c>
      <c r="AJ641" s="2"/>
      <c r="AK641" s="2"/>
      <c r="AL641" s="2"/>
      <c r="AM641" s="2"/>
      <c r="AN641" s="2"/>
    </row>
    <row r="642" spans="1:40" ht="16" x14ac:dyDescent="0.2">
      <c r="A642" s="2" t="s">
        <v>2077</v>
      </c>
      <c r="B642" s="46">
        <v>641</v>
      </c>
      <c r="C642" s="2" t="b">
        <v>0</v>
      </c>
      <c r="D642" s="2" t="b">
        <v>0</v>
      </c>
      <c r="E642" s="2" t="b">
        <v>0</v>
      </c>
      <c r="F642" s="2" t="b">
        <v>0</v>
      </c>
      <c r="G642" s="2" t="s">
        <v>31</v>
      </c>
      <c r="H642" s="2" t="s">
        <v>2078</v>
      </c>
      <c r="I642" s="2" t="s">
        <v>2079</v>
      </c>
      <c r="J642" s="2" t="s">
        <v>35</v>
      </c>
      <c r="K642" s="2" t="s">
        <v>35</v>
      </c>
      <c r="L642" s="2" t="s">
        <v>35</v>
      </c>
      <c r="M642" s="2" t="s">
        <v>35</v>
      </c>
      <c r="N642" s="2" t="s">
        <v>35</v>
      </c>
      <c r="O642" s="11">
        <v>44749.425454525466</v>
      </c>
      <c r="P642" s="11">
        <v>44749.425793680559</v>
      </c>
      <c r="Q642" s="27">
        <f t="shared" ref="Q642:Q705" si="30">P642-O642</f>
        <v>3.3915509266080335E-4</v>
      </c>
      <c r="R642" s="65">
        <f t="shared" si="29"/>
        <v>8.6503472266485915E-4</v>
      </c>
      <c r="S642" s="2">
        <v>0</v>
      </c>
      <c r="T642" s="2" t="s">
        <v>36</v>
      </c>
      <c r="U642" s="2" t="s">
        <v>37</v>
      </c>
      <c r="V642" s="2" t="s">
        <v>38</v>
      </c>
      <c r="W642" s="2" t="s">
        <v>35</v>
      </c>
      <c r="X642" s="2" t="s">
        <v>35</v>
      </c>
      <c r="Y642" s="2" t="s">
        <v>35</v>
      </c>
      <c r="Z642" s="2" t="b">
        <v>0</v>
      </c>
      <c r="AA642" s="2" t="s">
        <v>35</v>
      </c>
      <c r="AB642" s="2" t="s">
        <v>35</v>
      </c>
      <c r="AC642" s="2" t="s">
        <v>35</v>
      </c>
      <c r="AD642" s="2">
        <v>2</v>
      </c>
      <c r="AE642" s="2" t="s">
        <v>2025</v>
      </c>
      <c r="AF642" s="11">
        <v>44749.40625</v>
      </c>
      <c r="AG642" s="53"/>
      <c r="AH642" s="53" t="b">
        <f t="shared" si="28"/>
        <v>0</v>
      </c>
      <c r="AI642" s="54" t="str" cm="1">
        <f t="array" ref="AI642">TRANSPOSE(_xlfn._xlws.FILTER(images!L:L,images!F:F=Barrierenmessung!A642, ""))</f>
        <v>https://captureandgo.cloudlab.zhaw.ch/uploads/image_f90964e1dd.jpg</v>
      </c>
      <c r="AJ642" s="2"/>
      <c r="AK642" s="2"/>
      <c r="AL642" s="2"/>
      <c r="AM642" s="2"/>
      <c r="AN642" s="2"/>
    </row>
    <row r="643" spans="1:40" ht="16" x14ac:dyDescent="0.2">
      <c r="A643" s="2" t="s">
        <v>2080</v>
      </c>
      <c r="B643" s="46">
        <v>642</v>
      </c>
      <c r="C643" s="2" t="b">
        <v>0</v>
      </c>
      <c r="D643" s="2" t="b">
        <v>0</v>
      </c>
      <c r="E643" s="2" t="b">
        <v>0</v>
      </c>
      <c r="F643" s="2" t="b">
        <v>0</v>
      </c>
      <c r="G643" s="2" t="s">
        <v>31</v>
      </c>
      <c r="H643" s="2" t="s">
        <v>2081</v>
      </c>
      <c r="I643" s="2" t="s">
        <v>2082</v>
      </c>
      <c r="J643" s="2" t="s">
        <v>35</v>
      </c>
      <c r="K643" s="2" t="s">
        <v>35</v>
      </c>
      <c r="L643" s="2" t="s">
        <v>35</v>
      </c>
      <c r="M643" s="2" t="s">
        <v>35</v>
      </c>
      <c r="N643" s="2" t="s">
        <v>35</v>
      </c>
      <c r="O643" s="11">
        <v>44749.426058275465</v>
      </c>
      <c r="P643" s="11">
        <v>44749.426178171299</v>
      </c>
      <c r="Q643" s="27">
        <f t="shared" si="30"/>
        <v>1.1989583435934037E-4</v>
      </c>
      <c r="R643" s="65">
        <f t="shared" si="29"/>
        <v>3.8449074054369703E-4</v>
      </c>
      <c r="S643" s="2">
        <v>0</v>
      </c>
      <c r="T643" s="2" t="s">
        <v>36</v>
      </c>
      <c r="U643" s="2" t="s">
        <v>37</v>
      </c>
      <c r="V643" s="2" t="s">
        <v>38</v>
      </c>
      <c r="W643" s="2" t="s">
        <v>35</v>
      </c>
      <c r="X643" s="2" t="s">
        <v>35</v>
      </c>
      <c r="Y643" s="2" t="s">
        <v>35</v>
      </c>
      <c r="Z643" s="2" t="b">
        <v>0</v>
      </c>
      <c r="AA643" s="2" t="s">
        <v>35</v>
      </c>
      <c r="AB643" s="2" t="s">
        <v>35</v>
      </c>
      <c r="AC643" s="2" t="s">
        <v>35</v>
      </c>
      <c r="AD643" s="2">
        <v>3</v>
      </c>
      <c r="AE643" s="2" t="s">
        <v>2025</v>
      </c>
      <c r="AF643" s="11">
        <v>44749.40625</v>
      </c>
      <c r="AG643" s="53"/>
      <c r="AH643" s="53" t="b">
        <f t="shared" ref="AH643:AH706" si="31">IF(Q643&lt;TIME(0,0,1),"TRUE")</f>
        <v>0</v>
      </c>
      <c r="AI643" s="54" t="str" cm="1">
        <f t="array" ref="AI643">TRANSPOSE(_xlfn._xlws.FILTER(images!L:L,images!F:F=Barrierenmessung!A643, ""))</f>
        <v>https://captureandgo.cloudlab.zhaw.ch/uploads/image_50f2272e58.jpg</v>
      </c>
      <c r="AJ643" s="2"/>
      <c r="AK643" s="2"/>
      <c r="AL643" s="2"/>
      <c r="AM643" s="2"/>
      <c r="AN643" s="2"/>
    </row>
    <row r="644" spans="1:40" ht="16" x14ac:dyDescent="0.2">
      <c r="A644" s="2" t="s">
        <v>2083</v>
      </c>
      <c r="B644" s="46">
        <v>643</v>
      </c>
      <c r="C644" s="2" t="b">
        <v>0</v>
      </c>
      <c r="D644" s="2" t="b">
        <v>0</v>
      </c>
      <c r="E644" s="2" t="b">
        <v>0</v>
      </c>
      <c r="F644" s="2" t="b">
        <v>0</v>
      </c>
      <c r="G644" s="2" t="s">
        <v>31</v>
      </c>
      <c r="H644" s="2" t="s">
        <v>2084</v>
      </c>
      <c r="I644" s="2" t="s">
        <v>2085</v>
      </c>
      <c r="J644" s="2" t="s">
        <v>35</v>
      </c>
      <c r="K644" s="2" t="s">
        <v>35</v>
      </c>
      <c r="L644" s="2" t="s">
        <v>35</v>
      </c>
      <c r="M644" s="2" t="s">
        <v>35</v>
      </c>
      <c r="N644" s="2" t="s">
        <v>35</v>
      </c>
      <c r="O644" s="11">
        <v>44749.426745925928</v>
      </c>
      <c r="P644" s="11">
        <v>44749.427075868058</v>
      </c>
      <c r="Q644" s="27">
        <f t="shared" si="30"/>
        <v>3.2994212961057201E-4</v>
      </c>
      <c r="R644" s="65">
        <f t="shared" si="29"/>
        <v>8.9769675832940266E-4</v>
      </c>
      <c r="S644" s="2">
        <v>0</v>
      </c>
      <c r="T644" s="2" t="s">
        <v>36</v>
      </c>
      <c r="U644" s="2" t="s">
        <v>37</v>
      </c>
      <c r="V644" s="2" t="s">
        <v>38</v>
      </c>
      <c r="W644" s="2" t="s">
        <v>35</v>
      </c>
      <c r="X644" s="2" t="s">
        <v>35</v>
      </c>
      <c r="Y644" s="2" t="s">
        <v>35</v>
      </c>
      <c r="Z644" s="2" t="b">
        <v>0</v>
      </c>
      <c r="AA644" s="2" t="s">
        <v>35</v>
      </c>
      <c r="AB644" s="2" t="s">
        <v>35</v>
      </c>
      <c r="AC644" s="2" t="s">
        <v>35</v>
      </c>
      <c r="AD644" s="2">
        <v>3</v>
      </c>
      <c r="AE644" s="2" t="s">
        <v>2025</v>
      </c>
      <c r="AF644" s="11">
        <v>44749.40625</v>
      </c>
      <c r="AG644" s="53"/>
      <c r="AH644" s="53" t="b">
        <f t="shared" si="31"/>
        <v>0</v>
      </c>
      <c r="AI644" s="54" t="str" cm="1">
        <f t="array" ref="AI644">TRANSPOSE(_xlfn._xlws.FILTER(images!L:L,images!F:F=Barrierenmessung!A644, ""))</f>
        <v>https://captureandgo.cloudlab.zhaw.ch/uploads/image_45e731f7c1.jpg</v>
      </c>
      <c r="AJ644" s="2"/>
      <c r="AK644" s="2"/>
      <c r="AL644" s="2"/>
      <c r="AM644" s="2"/>
      <c r="AN644" s="2"/>
    </row>
    <row r="645" spans="1:40" ht="16" x14ac:dyDescent="0.2">
      <c r="A645" s="68" t="s">
        <v>2086</v>
      </c>
      <c r="B645" s="68">
        <v>644</v>
      </c>
      <c r="C645" s="68" t="b">
        <v>0</v>
      </c>
      <c r="D645" s="68" t="b">
        <v>0</v>
      </c>
      <c r="E645" s="68" t="b">
        <v>0</v>
      </c>
      <c r="F645" s="68" t="b">
        <v>0</v>
      </c>
      <c r="G645" s="68" t="s">
        <v>31</v>
      </c>
      <c r="H645" s="68" t="s">
        <v>149</v>
      </c>
      <c r="I645" s="68" t="s">
        <v>2087</v>
      </c>
      <c r="J645" s="68" t="s">
        <v>2088</v>
      </c>
      <c r="K645" s="68" t="s">
        <v>35</v>
      </c>
      <c r="L645" s="68" t="s">
        <v>35</v>
      </c>
      <c r="M645" s="68" t="s">
        <v>35</v>
      </c>
      <c r="N645" s="68" t="s">
        <v>35</v>
      </c>
      <c r="O645" s="69">
        <v>44749.431405902775</v>
      </c>
      <c r="P645" s="69">
        <v>44749.431440370368</v>
      </c>
      <c r="Q645" s="70">
        <f t="shared" si="30"/>
        <v>3.4467593650333583E-5</v>
      </c>
      <c r="R645" s="70">
        <f t="shared" ref="R645:R708" si="32">MIN(P645-P644, P645-AF645)</f>
        <v>4.3645023106364533E-3</v>
      </c>
      <c r="S645" s="68">
        <v>0</v>
      </c>
      <c r="T645" s="68" t="s">
        <v>36</v>
      </c>
      <c r="U645" s="68" t="s">
        <v>37</v>
      </c>
      <c r="V645" s="68" t="s">
        <v>38</v>
      </c>
      <c r="W645" s="68" t="s">
        <v>35</v>
      </c>
      <c r="X645" s="68" t="s">
        <v>35</v>
      </c>
      <c r="Y645" s="68" t="s">
        <v>35</v>
      </c>
      <c r="Z645" s="68" t="b">
        <v>0</v>
      </c>
      <c r="AA645" s="68" t="s">
        <v>35</v>
      </c>
      <c r="AB645" s="68" t="s">
        <v>35</v>
      </c>
      <c r="AC645" s="68">
        <v>5</v>
      </c>
      <c r="AD645" s="68" t="s">
        <v>35</v>
      </c>
      <c r="AE645" s="68" t="s">
        <v>2025</v>
      </c>
      <c r="AF645" s="69">
        <v>44749.40625</v>
      </c>
      <c r="AG645" s="71"/>
      <c r="AH645" s="71" t="b">
        <f t="shared" si="31"/>
        <v>0</v>
      </c>
      <c r="AI645" s="56" t="str" cm="1">
        <f t="array" ref="AI645">TRANSPOSE(_xlfn._xlws.FILTER(images!L:L,images!F:F=Barrierenmessung!A645, ""))</f>
        <v/>
      </c>
      <c r="AJ645" s="68"/>
      <c r="AK645" s="68"/>
      <c r="AL645" s="68"/>
      <c r="AM645" s="68"/>
      <c r="AN645" s="68"/>
    </row>
    <row r="646" spans="1:40" ht="16" x14ac:dyDescent="0.2">
      <c r="A646" s="2" t="s">
        <v>2089</v>
      </c>
      <c r="B646" s="46">
        <v>645</v>
      </c>
      <c r="C646" s="2" t="b">
        <v>0</v>
      </c>
      <c r="D646" s="2" t="b">
        <v>0</v>
      </c>
      <c r="E646" s="2" t="b">
        <v>0</v>
      </c>
      <c r="F646" s="2" t="b">
        <v>0</v>
      </c>
      <c r="G646" s="2" t="s">
        <v>31</v>
      </c>
      <c r="H646" s="2" t="s">
        <v>2090</v>
      </c>
      <c r="I646" s="2" t="s">
        <v>2091</v>
      </c>
      <c r="J646" s="2" t="s">
        <v>35</v>
      </c>
      <c r="K646" s="2" t="s">
        <v>35</v>
      </c>
      <c r="L646" s="2" t="s">
        <v>35</v>
      </c>
      <c r="M646" s="2">
        <v>52</v>
      </c>
      <c r="N646" s="2">
        <v>16</v>
      </c>
      <c r="O646" s="11">
        <v>44749.431440972221</v>
      </c>
      <c r="P646" s="11">
        <v>44749.432354976852</v>
      </c>
      <c r="Q646" s="27">
        <f t="shared" si="30"/>
        <v>9.1400463134050369E-4</v>
      </c>
      <c r="R646" s="65">
        <f t="shared" si="32"/>
        <v>9.1460648400243372E-4</v>
      </c>
      <c r="S646" s="2">
        <v>0</v>
      </c>
      <c r="T646" s="2" t="s">
        <v>54</v>
      </c>
      <c r="U646" s="2" t="s">
        <v>55</v>
      </c>
      <c r="V646" s="2" t="s">
        <v>38</v>
      </c>
      <c r="W646" s="2" t="s">
        <v>35</v>
      </c>
      <c r="X646" s="2" t="s">
        <v>35</v>
      </c>
      <c r="Y646" s="2" t="s">
        <v>35</v>
      </c>
      <c r="Z646" s="2" t="b">
        <v>0</v>
      </c>
      <c r="AA646" s="2" t="s">
        <v>35</v>
      </c>
      <c r="AB646" s="2" t="s">
        <v>35</v>
      </c>
      <c r="AC646" s="2" t="s">
        <v>35</v>
      </c>
      <c r="AD646" s="2" t="s">
        <v>35</v>
      </c>
      <c r="AE646" s="2" t="s">
        <v>2025</v>
      </c>
      <c r="AF646" s="11">
        <v>44749.40625</v>
      </c>
      <c r="AG646" s="53"/>
      <c r="AH646" s="53" t="b">
        <f t="shared" si="31"/>
        <v>0</v>
      </c>
      <c r="AI646" s="54" t="str" cm="1">
        <f t="array" ref="AI646">TRANSPOSE(_xlfn._xlws.FILTER(images!L:L,images!F:F=Barrierenmessung!A646, ""))</f>
        <v>https://captureandgo.cloudlab.zhaw.ch/uploads/image_0e1223719f.jpg</v>
      </c>
      <c r="AJ646" s="2"/>
      <c r="AK646" s="2"/>
      <c r="AL646" s="2"/>
      <c r="AM646" s="2"/>
      <c r="AN646" s="2"/>
    </row>
    <row r="647" spans="1:40" ht="16" x14ac:dyDescent="0.2">
      <c r="A647" s="2" t="s">
        <v>2092</v>
      </c>
      <c r="B647" s="46">
        <v>646</v>
      </c>
      <c r="C647" s="2" t="b">
        <v>0</v>
      </c>
      <c r="D647" s="2" t="b">
        <v>0</v>
      </c>
      <c r="E647" s="2" t="b">
        <v>0</v>
      </c>
      <c r="F647" s="2" t="b">
        <v>0</v>
      </c>
      <c r="G647" s="2" t="s">
        <v>31</v>
      </c>
      <c r="H647" s="2" t="s">
        <v>2093</v>
      </c>
      <c r="I647" s="2" t="s">
        <v>2094</v>
      </c>
      <c r="J647" s="2" t="s">
        <v>2095</v>
      </c>
      <c r="K647" s="2" t="s">
        <v>35</v>
      </c>
      <c r="L647" s="2" t="s">
        <v>35</v>
      </c>
      <c r="M647" s="2" t="s">
        <v>35</v>
      </c>
      <c r="N647" s="2" t="s">
        <v>35</v>
      </c>
      <c r="O647" s="11">
        <v>44749.433332361114</v>
      </c>
      <c r="P647" s="11">
        <v>44749.433675289351</v>
      </c>
      <c r="Q647" s="27">
        <f t="shared" si="30"/>
        <v>3.4292823693249375E-4</v>
      </c>
      <c r="R647" s="65">
        <f t="shared" si="32"/>
        <v>1.3203124981373549E-3</v>
      </c>
      <c r="S647" s="2">
        <v>0</v>
      </c>
      <c r="T647" s="2" t="s">
        <v>36</v>
      </c>
      <c r="U647" s="2" t="s">
        <v>37</v>
      </c>
      <c r="V647" s="2" t="s">
        <v>38</v>
      </c>
      <c r="W647" s="2" t="s">
        <v>35</v>
      </c>
      <c r="X647" s="2" t="s">
        <v>35</v>
      </c>
      <c r="Y647" s="2" t="s">
        <v>35</v>
      </c>
      <c r="Z647" s="2" t="b">
        <v>0</v>
      </c>
      <c r="AA647" s="2" t="s">
        <v>35</v>
      </c>
      <c r="AB647" s="2" t="s">
        <v>35</v>
      </c>
      <c r="AC647" s="2">
        <v>5</v>
      </c>
      <c r="AD647" s="2" t="s">
        <v>35</v>
      </c>
      <c r="AE647" s="2" t="s">
        <v>2025</v>
      </c>
      <c r="AF647" s="11">
        <v>44749.40625</v>
      </c>
      <c r="AG647" s="53"/>
      <c r="AH647" s="53" t="b">
        <f t="shared" si="31"/>
        <v>0</v>
      </c>
      <c r="AI647" s="54" t="str" cm="1">
        <f t="array" ref="AI647">TRANSPOSE(_xlfn._xlws.FILTER(images!L:L,images!F:F=Barrierenmessung!A647, ""))</f>
        <v>https://captureandgo.cloudlab.zhaw.ch/uploads/image_6050cefabf.jpg</v>
      </c>
      <c r="AJ647" s="2"/>
      <c r="AK647" s="2"/>
      <c r="AL647" s="2"/>
      <c r="AM647" s="2"/>
      <c r="AN647" s="2"/>
    </row>
    <row r="648" spans="1:40" ht="16" x14ac:dyDescent="0.2">
      <c r="A648" s="2" t="s">
        <v>2096</v>
      </c>
      <c r="B648" s="46">
        <v>647</v>
      </c>
      <c r="C648" s="2" t="b">
        <v>0</v>
      </c>
      <c r="D648" s="2" t="b">
        <v>0</v>
      </c>
      <c r="E648" s="2" t="b">
        <v>0</v>
      </c>
      <c r="F648" s="2" t="b">
        <v>0</v>
      </c>
      <c r="G648" s="2" t="s">
        <v>31</v>
      </c>
      <c r="H648" s="2" t="s">
        <v>2097</v>
      </c>
      <c r="I648" s="2" t="s">
        <v>2098</v>
      </c>
      <c r="J648" s="2" t="s">
        <v>35</v>
      </c>
      <c r="K648" s="2" t="s">
        <v>35</v>
      </c>
      <c r="L648" s="2" t="s">
        <v>35</v>
      </c>
      <c r="M648" s="2">
        <v>38</v>
      </c>
      <c r="N648" s="2">
        <v>16</v>
      </c>
      <c r="O648" s="11">
        <v>44749.433746134258</v>
      </c>
      <c r="P648" s="11">
        <v>44749.434269282407</v>
      </c>
      <c r="Q648" s="27">
        <f t="shared" si="30"/>
        <v>5.2314814820419997E-4</v>
      </c>
      <c r="R648" s="65">
        <f t="shared" si="32"/>
        <v>5.9399305609986186E-4</v>
      </c>
      <c r="S648" s="2">
        <v>0</v>
      </c>
      <c r="T648" s="2" t="s">
        <v>54</v>
      </c>
      <c r="U648" s="2" t="s">
        <v>55</v>
      </c>
      <c r="V648" s="2" t="s">
        <v>38</v>
      </c>
      <c r="W648" s="2" t="s">
        <v>35</v>
      </c>
      <c r="X648" s="2" t="s">
        <v>35</v>
      </c>
      <c r="Y648" s="2" t="s">
        <v>35</v>
      </c>
      <c r="Z648" s="2" t="b">
        <v>0</v>
      </c>
      <c r="AA648" s="2" t="s">
        <v>35</v>
      </c>
      <c r="AB648" s="2" t="s">
        <v>35</v>
      </c>
      <c r="AC648" s="2" t="s">
        <v>35</v>
      </c>
      <c r="AD648" s="2" t="s">
        <v>35</v>
      </c>
      <c r="AE648" s="2" t="s">
        <v>2025</v>
      </c>
      <c r="AF648" s="11">
        <v>44749.40625</v>
      </c>
      <c r="AG648" s="53"/>
      <c r="AH648" s="53" t="b">
        <f t="shared" si="31"/>
        <v>0</v>
      </c>
      <c r="AI648" s="54" t="str" cm="1">
        <f t="array" ref="AI648">TRANSPOSE(_xlfn._xlws.FILTER(images!L:L,images!F:F=Barrierenmessung!A648, ""))</f>
        <v>https://captureandgo.cloudlab.zhaw.ch/uploads/image_50060d4d42.jpg</v>
      </c>
      <c r="AJ648" s="2"/>
      <c r="AK648" s="2"/>
      <c r="AL648" s="2"/>
      <c r="AM648" s="2"/>
      <c r="AN648" s="2"/>
    </row>
    <row r="649" spans="1:40" ht="16" x14ac:dyDescent="0.2">
      <c r="A649" s="2" t="s">
        <v>2099</v>
      </c>
      <c r="B649" s="46">
        <v>648</v>
      </c>
      <c r="C649" s="2" t="b">
        <v>0</v>
      </c>
      <c r="D649" s="2" t="b">
        <v>0</v>
      </c>
      <c r="E649" s="2" t="b">
        <v>0</v>
      </c>
      <c r="F649" s="2" t="b">
        <v>0</v>
      </c>
      <c r="G649" s="2" t="s">
        <v>31</v>
      </c>
      <c r="H649" s="2" t="s">
        <v>2100</v>
      </c>
      <c r="I649" s="2" t="s">
        <v>2101</v>
      </c>
      <c r="J649" s="2" t="s">
        <v>2102</v>
      </c>
      <c r="K649" s="2" t="s">
        <v>35</v>
      </c>
      <c r="L649" s="2" t="s">
        <v>35</v>
      </c>
      <c r="M649" s="2" t="s">
        <v>35</v>
      </c>
      <c r="N649" s="2" t="s">
        <v>35</v>
      </c>
      <c r="O649" s="11">
        <v>44749.434899490741</v>
      </c>
      <c r="P649" s="11">
        <v>44749.435476736115</v>
      </c>
      <c r="Q649" s="27">
        <f t="shared" si="30"/>
        <v>5.7724537327885628E-4</v>
      </c>
      <c r="R649" s="65">
        <f t="shared" si="32"/>
        <v>1.2074537080479786E-3</v>
      </c>
      <c r="S649" s="2">
        <v>0</v>
      </c>
      <c r="T649" s="2" t="s">
        <v>36</v>
      </c>
      <c r="U649" s="2" t="s">
        <v>37</v>
      </c>
      <c r="V649" s="2" t="s">
        <v>38</v>
      </c>
      <c r="W649" s="2" t="s">
        <v>35</v>
      </c>
      <c r="X649" s="2" t="s">
        <v>35</v>
      </c>
      <c r="Y649" s="2" t="s">
        <v>35</v>
      </c>
      <c r="Z649" s="2" t="b">
        <v>0</v>
      </c>
      <c r="AA649" s="2" t="s">
        <v>35</v>
      </c>
      <c r="AB649" s="2" t="s">
        <v>35</v>
      </c>
      <c r="AC649" s="2">
        <v>8</v>
      </c>
      <c r="AD649" s="2" t="s">
        <v>35</v>
      </c>
      <c r="AE649" s="2" t="s">
        <v>2025</v>
      </c>
      <c r="AF649" s="11">
        <v>44749.40625</v>
      </c>
      <c r="AG649" s="53"/>
      <c r="AH649" s="53" t="b">
        <f t="shared" si="31"/>
        <v>0</v>
      </c>
      <c r="AI649" s="54" t="str" cm="1">
        <f t="array" ref="AI649">TRANSPOSE(_xlfn._xlws.FILTER(images!L:L,images!F:F=Barrierenmessung!A649, ""))</f>
        <v>https://captureandgo.cloudlab.zhaw.ch/uploads/image_db40c1243e.jpg</v>
      </c>
      <c r="AJ649" s="2"/>
      <c r="AK649" s="2"/>
      <c r="AL649" s="2"/>
      <c r="AM649" s="2"/>
      <c r="AN649" s="2"/>
    </row>
    <row r="650" spans="1:40" ht="16" x14ac:dyDescent="0.2">
      <c r="A650" s="2" t="s">
        <v>2103</v>
      </c>
      <c r="B650" s="46">
        <v>649</v>
      </c>
      <c r="C650" s="2" t="b">
        <v>0</v>
      </c>
      <c r="D650" s="2" t="b">
        <v>0</v>
      </c>
      <c r="E650" s="2" t="b">
        <v>0</v>
      </c>
      <c r="F650" s="2" t="b">
        <v>0</v>
      </c>
      <c r="G650" s="2" t="s">
        <v>31</v>
      </c>
      <c r="H650" s="2" t="s">
        <v>2104</v>
      </c>
      <c r="I650" s="2" t="s">
        <v>2105</v>
      </c>
      <c r="J650" s="2" t="s">
        <v>35</v>
      </c>
      <c r="K650" s="2" t="s">
        <v>35</v>
      </c>
      <c r="L650" s="2" t="s">
        <v>35</v>
      </c>
      <c r="M650" s="2">
        <v>16</v>
      </c>
      <c r="N650" s="2">
        <v>15</v>
      </c>
      <c r="O650" s="11">
        <v>44749.436202523146</v>
      </c>
      <c r="P650" s="11">
        <v>44749.436585277777</v>
      </c>
      <c r="Q650" s="27">
        <f t="shared" si="30"/>
        <v>3.8275463157333434E-4</v>
      </c>
      <c r="R650" s="65">
        <f t="shared" si="32"/>
        <v>1.1085416626883671E-3</v>
      </c>
      <c r="S650" s="2">
        <v>0</v>
      </c>
      <c r="T650" s="2" t="s">
        <v>54</v>
      </c>
      <c r="U650" s="2" t="s">
        <v>55</v>
      </c>
      <c r="V650" s="2" t="s">
        <v>38</v>
      </c>
      <c r="W650" s="2" t="s">
        <v>35</v>
      </c>
      <c r="X650" s="2" t="s">
        <v>35</v>
      </c>
      <c r="Y650" s="2" t="s">
        <v>35</v>
      </c>
      <c r="Z650" s="2" t="b">
        <v>0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2" t="s">
        <v>2025</v>
      </c>
      <c r="AF650" s="11">
        <v>44749.40625</v>
      </c>
      <c r="AG650" s="53"/>
      <c r="AH650" s="53" t="b">
        <f t="shared" si="31"/>
        <v>0</v>
      </c>
      <c r="AI650" s="54" t="str" cm="1">
        <f t="array" ref="AI650:AK650">TRANSPOSE(_xlfn._xlws.FILTER(images!L:L,images!F:F=Barrierenmessung!A650, ""))</f>
        <v>https://captureandgo.cloudlab.zhaw.ch/uploads/image_174fe86636.jpg</v>
      </c>
      <c r="AJ650" s="2" t="str">
        <v>https://captureandgo.cloudlab.zhaw.ch/uploads/image_7844ffac04.jpg</v>
      </c>
      <c r="AK650" s="2" t="str">
        <v>https://captureandgo.cloudlab.zhaw.ch/uploads/image_28e3aae20d.jpg</v>
      </c>
      <c r="AL650" s="2"/>
      <c r="AM650" s="2"/>
      <c r="AN650" s="2"/>
    </row>
    <row r="651" spans="1:40" ht="16" x14ac:dyDescent="0.2">
      <c r="A651" s="2" t="s">
        <v>2106</v>
      </c>
      <c r="B651" s="46">
        <v>650</v>
      </c>
      <c r="C651" s="2" t="b">
        <v>0</v>
      </c>
      <c r="D651" s="2" t="b">
        <v>0</v>
      </c>
      <c r="E651" s="2" t="b">
        <v>0</v>
      </c>
      <c r="F651" s="2" t="b">
        <v>0</v>
      </c>
      <c r="G651" s="2" t="s">
        <v>31</v>
      </c>
      <c r="H651" s="2" t="s">
        <v>2107</v>
      </c>
      <c r="I651" s="2" t="s">
        <v>2108</v>
      </c>
      <c r="J651" s="2" t="s">
        <v>1406</v>
      </c>
      <c r="K651" s="2" t="s">
        <v>35</v>
      </c>
      <c r="L651" s="2" t="s">
        <v>35</v>
      </c>
      <c r="M651" s="2" t="s">
        <v>35</v>
      </c>
      <c r="N651" s="2" t="s">
        <v>35</v>
      </c>
      <c r="O651" s="11">
        <v>44749.436703888889</v>
      </c>
      <c r="P651" s="11">
        <v>44749.437038738426</v>
      </c>
      <c r="Q651" s="27">
        <f t="shared" si="30"/>
        <v>3.3484953746665269E-4</v>
      </c>
      <c r="R651" s="65">
        <f t="shared" si="32"/>
        <v>4.5346064871409908E-4</v>
      </c>
      <c r="S651" s="2">
        <v>0</v>
      </c>
      <c r="T651" s="2" t="s">
        <v>36</v>
      </c>
      <c r="U651" s="2" t="s">
        <v>37</v>
      </c>
      <c r="V651" s="2" t="s">
        <v>38</v>
      </c>
      <c r="W651" s="2" t="s">
        <v>35</v>
      </c>
      <c r="X651" s="2" t="s">
        <v>35</v>
      </c>
      <c r="Y651" s="2" t="s">
        <v>35</v>
      </c>
      <c r="Z651" s="2" t="b">
        <v>0</v>
      </c>
      <c r="AA651" s="2" t="s">
        <v>35</v>
      </c>
      <c r="AB651" s="2" t="s">
        <v>35</v>
      </c>
      <c r="AC651" s="2">
        <v>5</v>
      </c>
      <c r="AD651" s="2" t="s">
        <v>35</v>
      </c>
      <c r="AE651" s="2" t="s">
        <v>2025</v>
      </c>
      <c r="AF651" s="11">
        <v>44749.40625</v>
      </c>
      <c r="AG651" s="53"/>
      <c r="AH651" s="53" t="b">
        <f t="shared" si="31"/>
        <v>0</v>
      </c>
      <c r="AI651" s="54" t="str" cm="1">
        <f t="array" ref="AI651">TRANSPOSE(_xlfn._xlws.FILTER(images!L:L,images!F:F=Barrierenmessung!A651, ""))</f>
        <v>https://captureandgo.cloudlab.zhaw.ch/uploads/image_6062cefcb8.jpg</v>
      </c>
      <c r="AJ651" s="2"/>
      <c r="AK651" s="2"/>
      <c r="AL651" s="2"/>
      <c r="AM651" s="2"/>
      <c r="AN651" s="2"/>
    </row>
    <row r="652" spans="1:40" ht="16" x14ac:dyDescent="0.2">
      <c r="A652" s="2" t="s">
        <v>2109</v>
      </c>
      <c r="B652" s="46">
        <v>651</v>
      </c>
      <c r="C652" s="2" t="b">
        <v>0</v>
      </c>
      <c r="D652" s="2" t="b">
        <v>0</v>
      </c>
      <c r="E652" s="2" t="b">
        <v>0</v>
      </c>
      <c r="F652" s="2" t="b">
        <v>0</v>
      </c>
      <c r="G652" s="2" t="s">
        <v>31</v>
      </c>
      <c r="H652" s="2" t="s">
        <v>2110</v>
      </c>
      <c r="I652" s="2" t="s">
        <v>2111</v>
      </c>
      <c r="J652" s="2" t="s">
        <v>35</v>
      </c>
      <c r="K652" s="2" t="s">
        <v>35</v>
      </c>
      <c r="L652" s="2" t="s">
        <v>35</v>
      </c>
      <c r="M652" s="2">
        <v>3</v>
      </c>
      <c r="N652" s="2">
        <v>15</v>
      </c>
      <c r="O652" s="11">
        <v>44749.43708822917</v>
      </c>
      <c r="P652" s="11">
        <v>44749.437202511574</v>
      </c>
      <c r="Q652" s="27">
        <f t="shared" si="30"/>
        <v>1.142824039561674E-4</v>
      </c>
      <c r="R652" s="65">
        <f t="shared" si="32"/>
        <v>1.6377314750570804E-4</v>
      </c>
      <c r="S652" s="2">
        <v>0</v>
      </c>
      <c r="T652" s="2" t="s">
        <v>54</v>
      </c>
      <c r="U652" s="2" t="s">
        <v>55</v>
      </c>
      <c r="V652" s="2" t="s">
        <v>38</v>
      </c>
      <c r="W652" s="2" t="s">
        <v>35</v>
      </c>
      <c r="X652" s="2" t="s">
        <v>35</v>
      </c>
      <c r="Y652" s="2" t="s">
        <v>35</v>
      </c>
      <c r="Z652" s="2" t="b">
        <v>0</v>
      </c>
      <c r="AA652" s="2" t="s">
        <v>35</v>
      </c>
      <c r="AB652" s="2" t="s">
        <v>35</v>
      </c>
      <c r="AC652" s="2" t="s">
        <v>35</v>
      </c>
      <c r="AD652" s="2" t="s">
        <v>35</v>
      </c>
      <c r="AE652" s="2" t="s">
        <v>2025</v>
      </c>
      <c r="AF652" s="11">
        <v>44749.40625</v>
      </c>
      <c r="AG652" s="53"/>
      <c r="AH652" s="53" t="b">
        <f t="shared" si="31"/>
        <v>0</v>
      </c>
      <c r="AI652" s="54" t="str" cm="1">
        <f t="array" ref="AI652">TRANSPOSE(_xlfn._xlws.FILTER(images!L:L,images!F:F=Barrierenmessung!A652, ""))</f>
        <v>https://captureandgo.cloudlab.zhaw.ch/uploads/image_518bd76aa1.jpg</v>
      </c>
      <c r="AJ652" s="2"/>
      <c r="AK652" s="2"/>
      <c r="AL652" s="2"/>
      <c r="AM652" s="2"/>
      <c r="AN652" s="2"/>
    </row>
    <row r="653" spans="1:40" ht="16" x14ac:dyDescent="0.2">
      <c r="A653" s="2" t="s">
        <v>2112</v>
      </c>
      <c r="B653" s="46">
        <v>652</v>
      </c>
      <c r="C653" s="2" t="b">
        <v>0</v>
      </c>
      <c r="D653" s="2" t="b">
        <v>0</v>
      </c>
      <c r="E653" s="2" t="b">
        <v>0</v>
      </c>
      <c r="F653" s="2" t="b">
        <v>0</v>
      </c>
      <c r="G653" s="2" t="s">
        <v>31</v>
      </c>
      <c r="H653" s="2" t="s">
        <v>2113</v>
      </c>
      <c r="I653" s="2" t="s">
        <v>2114</v>
      </c>
      <c r="J653" s="2" t="s">
        <v>35</v>
      </c>
      <c r="K653" s="2" t="s">
        <v>35</v>
      </c>
      <c r="L653" s="2" t="s">
        <v>35</v>
      </c>
      <c r="M653" s="2" t="s">
        <v>35</v>
      </c>
      <c r="N653" s="2" t="s">
        <v>35</v>
      </c>
      <c r="O653" s="11">
        <v>44749.439541388892</v>
      </c>
      <c r="P653" s="11">
        <v>44749.439937754629</v>
      </c>
      <c r="Q653" s="27">
        <f t="shared" si="30"/>
        <v>3.9636573637835681E-4</v>
      </c>
      <c r="R653" s="65">
        <f t="shared" si="32"/>
        <v>2.7352430552127771E-3</v>
      </c>
      <c r="S653" s="2">
        <v>0</v>
      </c>
      <c r="T653" s="2" t="s">
        <v>36</v>
      </c>
      <c r="U653" s="2" t="s">
        <v>37</v>
      </c>
      <c r="V653" s="2" t="s">
        <v>38</v>
      </c>
      <c r="W653" s="2" t="s">
        <v>35</v>
      </c>
      <c r="X653" s="2" t="s">
        <v>35</v>
      </c>
      <c r="Y653" s="2" t="s">
        <v>35</v>
      </c>
      <c r="Z653" s="2" t="b">
        <v>0</v>
      </c>
      <c r="AA653" s="2" t="s">
        <v>35</v>
      </c>
      <c r="AB653" s="2" t="s">
        <v>35</v>
      </c>
      <c r="AC653" s="2" t="s">
        <v>35</v>
      </c>
      <c r="AD653" s="2">
        <v>2</v>
      </c>
      <c r="AE653" s="2" t="s">
        <v>2025</v>
      </c>
      <c r="AF653" s="11">
        <v>44749.40625</v>
      </c>
      <c r="AG653" s="53"/>
      <c r="AH653" s="53" t="b">
        <f t="shared" si="31"/>
        <v>0</v>
      </c>
      <c r="AI653" s="54" t="str" cm="1">
        <f t="array" ref="AI653">TRANSPOSE(_xlfn._xlws.FILTER(images!L:L,images!F:F=Barrierenmessung!A653, ""))</f>
        <v>https://captureandgo.cloudlab.zhaw.ch/uploads/image_84c57c6047.jpg</v>
      </c>
      <c r="AJ653" s="2"/>
      <c r="AK653" s="2"/>
      <c r="AL653" s="2"/>
      <c r="AM653" s="2"/>
      <c r="AN653" s="2"/>
    </row>
    <row r="654" spans="1:40" ht="16" x14ac:dyDescent="0.2">
      <c r="A654" s="2" t="s">
        <v>2115</v>
      </c>
      <c r="B654" s="46">
        <v>653</v>
      </c>
      <c r="C654" s="2" t="b">
        <v>0</v>
      </c>
      <c r="D654" s="2" t="b">
        <v>0</v>
      </c>
      <c r="E654" s="2" t="b">
        <v>0</v>
      </c>
      <c r="F654" s="2" t="b">
        <v>0</v>
      </c>
      <c r="G654" s="2" t="s">
        <v>31</v>
      </c>
      <c r="H654" s="2" t="s">
        <v>2116</v>
      </c>
      <c r="I654" s="2" t="s">
        <v>2117</v>
      </c>
      <c r="J654" s="2" t="s">
        <v>2035</v>
      </c>
      <c r="K654" s="2" t="s">
        <v>35</v>
      </c>
      <c r="L654" s="2">
        <v>15</v>
      </c>
      <c r="M654" s="2" t="s">
        <v>35</v>
      </c>
      <c r="N654" s="2" t="s">
        <v>35</v>
      </c>
      <c r="O654" s="11">
        <v>44749.43996427083</v>
      </c>
      <c r="P654" s="11">
        <v>44749.440303819443</v>
      </c>
      <c r="Q654" s="27">
        <f t="shared" si="30"/>
        <v>3.3954861282836646E-4</v>
      </c>
      <c r="R654" s="65">
        <f t="shared" si="32"/>
        <v>3.6606481444323435E-4</v>
      </c>
      <c r="S654" s="2">
        <v>0</v>
      </c>
      <c r="T654" s="2" t="s">
        <v>265</v>
      </c>
      <c r="U654" s="2" t="s">
        <v>266</v>
      </c>
      <c r="V654" s="2" t="s">
        <v>38</v>
      </c>
      <c r="W654" s="2" t="s">
        <v>35</v>
      </c>
      <c r="X654" s="2" t="s">
        <v>35</v>
      </c>
      <c r="Y654" s="2" t="s">
        <v>35</v>
      </c>
      <c r="Z654" s="2" t="b">
        <v>0</v>
      </c>
      <c r="AA654" s="2" t="s">
        <v>35</v>
      </c>
      <c r="AB654" s="2" t="s">
        <v>35</v>
      </c>
      <c r="AC654" s="2" t="s">
        <v>35</v>
      </c>
      <c r="AD654" s="2" t="s">
        <v>35</v>
      </c>
      <c r="AE654" s="2" t="s">
        <v>2025</v>
      </c>
      <c r="AF654" s="11">
        <v>44749.40625</v>
      </c>
      <c r="AG654" s="53"/>
      <c r="AH654" s="53" t="b">
        <f t="shared" si="31"/>
        <v>0</v>
      </c>
      <c r="AI654" s="54" t="str" cm="1">
        <f t="array" ref="AI654">TRANSPOSE(_xlfn._xlws.FILTER(images!L:L,images!F:F=Barrierenmessung!A654, ""))</f>
        <v>https://captureandgo.cloudlab.zhaw.ch/uploads/image_32e2fdaa7d.jpg</v>
      </c>
      <c r="AJ654" s="2"/>
      <c r="AK654" s="2"/>
      <c r="AL654" s="2"/>
      <c r="AM654" s="2"/>
      <c r="AN654" s="2"/>
    </row>
    <row r="655" spans="1:40" ht="16" x14ac:dyDescent="0.2">
      <c r="A655" s="2" t="s">
        <v>2118</v>
      </c>
      <c r="B655" s="46">
        <v>654</v>
      </c>
      <c r="C655" s="2" t="b">
        <v>0</v>
      </c>
      <c r="D655" s="2" t="b">
        <v>0</v>
      </c>
      <c r="E655" s="2" t="b">
        <v>0</v>
      </c>
      <c r="F655" s="2" t="b">
        <v>0</v>
      </c>
      <c r="G655" s="2" t="s">
        <v>31</v>
      </c>
      <c r="H655" s="2" t="s">
        <v>2119</v>
      </c>
      <c r="I655" s="2" t="s">
        <v>2120</v>
      </c>
      <c r="J655" s="2" t="s">
        <v>35</v>
      </c>
      <c r="K655" s="2" t="s">
        <v>35</v>
      </c>
      <c r="L655" s="2" t="s">
        <v>35</v>
      </c>
      <c r="M655" s="2" t="s">
        <v>35</v>
      </c>
      <c r="N655" s="2" t="s">
        <v>35</v>
      </c>
      <c r="O655" s="11">
        <v>44749.441358784723</v>
      </c>
      <c r="P655" s="11">
        <v>44749.441964027777</v>
      </c>
      <c r="Q655" s="27">
        <f t="shared" si="30"/>
        <v>6.052430544514209E-4</v>
      </c>
      <c r="R655" s="65">
        <f t="shared" si="32"/>
        <v>1.6602083342149854E-3</v>
      </c>
      <c r="S655" s="2">
        <v>0</v>
      </c>
      <c r="T655" s="2" t="s">
        <v>36</v>
      </c>
      <c r="U655" s="2" t="s">
        <v>37</v>
      </c>
      <c r="V655" s="2" t="s">
        <v>38</v>
      </c>
      <c r="W655" s="2" t="s">
        <v>35</v>
      </c>
      <c r="X655" s="2" t="s">
        <v>35</v>
      </c>
      <c r="Y655" s="2" t="s">
        <v>35</v>
      </c>
      <c r="Z655" s="2" t="b">
        <v>0</v>
      </c>
      <c r="AA655" s="2" t="s">
        <v>2121</v>
      </c>
      <c r="AB655" s="2" t="s">
        <v>35</v>
      </c>
      <c r="AC655" s="2" t="s">
        <v>35</v>
      </c>
      <c r="AD655" s="2" t="s">
        <v>35</v>
      </c>
      <c r="AE655" s="2" t="s">
        <v>2025</v>
      </c>
      <c r="AF655" s="11">
        <v>44749.40625</v>
      </c>
      <c r="AG655" s="53"/>
      <c r="AH655" s="53" t="b">
        <f t="shared" si="31"/>
        <v>0</v>
      </c>
      <c r="AI655" s="54" t="str" cm="1">
        <f t="array" ref="AI655:AM655">TRANSPOSE(_xlfn._xlws.FILTER(images!L:L,images!F:F=Barrierenmessung!A655, ""))</f>
        <v>https://captureandgo.cloudlab.zhaw.ch/uploads/image_cd250e5c87.jpg</v>
      </c>
      <c r="AJ655" s="2" t="str">
        <v>https://captureandgo.cloudlab.zhaw.ch/uploads/image_18df2581f1.jpg</v>
      </c>
      <c r="AK655" s="2" t="str">
        <v>https://captureandgo.cloudlab.zhaw.ch/uploads/image_731c63a7f9.jpg</v>
      </c>
      <c r="AL655" s="2" t="str">
        <v>https://captureandgo.cloudlab.zhaw.ch/uploads/image_76788b2c6c.jpg</v>
      </c>
      <c r="AM655" s="2" t="str">
        <v>https://captureandgo.cloudlab.zhaw.ch/uploads/image_a591ca1ac5.jpg</v>
      </c>
      <c r="AN655" s="2"/>
    </row>
    <row r="656" spans="1:40" ht="16" x14ac:dyDescent="0.2">
      <c r="A656" s="2" t="s">
        <v>2122</v>
      </c>
      <c r="B656" s="46">
        <v>655</v>
      </c>
      <c r="C656" s="2" t="b">
        <v>0</v>
      </c>
      <c r="D656" s="2" t="b">
        <v>0</v>
      </c>
      <c r="E656" s="2" t="b">
        <v>0</v>
      </c>
      <c r="F656" s="2" t="b">
        <v>0</v>
      </c>
      <c r="G656" s="2" t="s">
        <v>31</v>
      </c>
      <c r="H656" s="2" t="s">
        <v>2123</v>
      </c>
      <c r="I656" s="2" t="s">
        <v>2124</v>
      </c>
      <c r="J656" s="2" t="s">
        <v>35</v>
      </c>
      <c r="K656" s="2" t="s">
        <v>35</v>
      </c>
      <c r="L656" s="2" t="s">
        <v>35</v>
      </c>
      <c r="M656" s="2">
        <v>42</v>
      </c>
      <c r="N656" s="2">
        <v>16</v>
      </c>
      <c r="O656" s="11">
        <v>44749.442169421294</v>
      </c>
      <c r="P656" s="11">
        <v>44749.442965358794</v>
      </c>
      <c r="Q656" s="27">
        <f t="shared" si="30"/>
        <v>7.9593749978812411E-4</v>
      </c>
      <c r="R656" s="65">
        <f t="shared" si="32"/>
        <v>1.001331016595941E-3</v>
      </c>
      <c r="S656" s="2">
        <v>0</v>
      </c>
      <c r="T656" s="2" t="s">
        <v>54</v>
      </c>
      <c r="U656" s="2" t="s">
        <v>55</v>
      </c>
      <c r="V656" s="2" t="s">
        <v>38</v>
      </c>
      <c r="W656" s="2" t="s">
        <v>35</v>
      </c>
      <c r="X656" s="2" t="s">
        <v>35</v>
      </c>
      <c r="Y656" s="2" t="s">
        <v>35</v>
      </c>
      <c r="Z656" s="2" t="b">
        <v>0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2025</v>
      </c>
      <c r="AF656" s="11">
        <v>44749.40625</v>
      </c>
      <c r="AG656" s="53"/>
      <c r="AH656" s="53" t="b">
        <f t="shared" si="31"/>
        <v>0</v>
      </c>
      <c r="AI656" s="54" t="str" cm="1">
        <f t="array" ref="AI656">TRANSPOSE(_xlfn._xlws.FILTER(images!L:L,images!F:F=Barrierenmessung!A656, ""))</f>
        <v>https://captureandgo.cloudlab.zhaw.ch/uploads/image_823d6ea2a2.jpg</v>
      </c>
      <c r="AJ656" s="2"/>
      <c r="AK656" s="2"/>
      <c r="AL656" s="2"/>
      <c r="AM656" s="2"/>
      <c r="AN656" s="2"/>
    </row>
    <row r="657" spans="1:40" ht="16" x14ac:dyDescent="0.2">
      <c r="A657" s="2" t="s">
        <v>2125</v>
      </c>
      <c r="B657" s="46">
        <v>656</v>
      </c>
      <c r="C657" s="2" t="b">
        <v>0</v>
      </c>
      <c r="D657" s="2" t="b">
        <v>0</v>
      </c>
      <c r="E657" s="2" t="b">
        <v>0</v>
      </c>
      <c r="F657" s="2" t="b">
        <v>0</v>
      </c>
      <c r="G657" s="2" t="s">
        <v>31</v>
      </c>
      <c r="H657" s="2" t="s">
        <v>2126</v>
      </c>
      <c r="I657" s="2" t="s">
        <v>2127</v>
      </c>
      <c r="J657" s="2" t="s">
        <v>2102</v>
      </c>
      <c r="K657" s="2" t="s">
        <v>35</v>
      </c>
      <c r="L657" s="2" t="s">
        <v>35</v>
      </c>
      <c r="M657" s="2" t="s">
        <v>35</v>
      </c>
      <c r="N657" s="2" t="s">
        <v>35</v>
      </c>
      <c r="O657" s="11">
        <v>44749.443497905093</v>
      </c>
      <c r="P657" s="11">
        <v>44749.443887592592</v>
      </c>
      <c r="Q657" s="27">
        <f t="shared" si="30"/>
        <v>3.8968749868217856E-4</v>
      </c>
      <c r="R657" s="65">
        <f t="shared" si="32"/>
        <v>9.2223379760980606E-4</v>
      </c>
      <c r="S657" s="2">
        <v>0</v>
      </c>
      <c r="T657" s="2" t="s">
        <v>36</v>
      </c>
      <c r="U657" s="2" t="s">
        <v>37</v>
      </c>
      <c r="V657" s="2" t="s">
        <v>38</v>
      </c>
      <c r="W657" s="2" t="s">
        <v>35</v>
      </c>
      <c r="X657" s="2" t="s">
        <v>35</v>
      </c>
      <c r="Y657" s="2" t="s">
        <v>35</v>
      </c>
      <c r="Z657" s="2" t="b">
        <v>0</v>
      </c>
      <c r="AA657" s="2" t="s">
        <v>35</v>
      </c>
      <c r="AB657" s="2" t="s">
        <v>35</v>
      </c>
      <c r="AC657" s="2">
        <v>8</v>
      </c>
      <c r="AD657" s="2" t="s">
        <v>35</v>
      </c>
      <c r="AE657" s="2" t="s">
        <v>2025</v>
      </c>
      <c r="AF657" s="11">
        <v>44749.40625</v>
      </c>
      <c r="AG657" s="53"/>
      <c r="AH657" s="53" t="b">
        <f t="shared" si="31"/>
        <v>0</v>
      </c>
      <c r="AI657" s="54" t="str" cm="1">
        <f t="array" ref="AI657">TRANSPOSE(_xlfn._xlws.FILTER(images!L:L,images!F:F=Barrierenmessung!A657, ""))</f>
        <v>https://captureandgo.cloudlab.zhaw.ch/uploads/image_ee34164a66.jpg</v>
      </c>
      <c r="AJ657" s="2"/>
      <c r="AK657" s="2"/>
      <c r="AL657" s="2"/>
      <c r="AM657" s="2"/>
      <c r="AN657" s="2"/>
    </row>
    <row r="658" spans="1:40" ht="16" x14ac:dyDescent="0.2">
      <c r="A658" s="2" t="s">
        <v>2128</v>
      </c>
      <c r="B658" s="46">
        <v>657</v>
      </c>
      <c r="C658" s="2" t="b">
        <v>0</v>
      </c>
      <c r="D658" s="2" t="b">
        <v>0</v>
      </c>
      <c r="E658" s="2" t="b">
        <v>0</v>
      </c>
      <c r="F658" s="2" t="b">
        <v>0</v>
      </c>
      <c r="G658" s="2" t="s">
        <v>31</v>
      </c>
      <c r="H658" s="2" t="s">
        <v>2129</v>
      </c>
      <c r="I658" s="2" t="s">
        <v>2130</v>
      </c>
      <c r="J658" s="2" t="s">
        <v>35</v>
      </c>
      <c r="K658" s="2" t="s">
        <v>35</v>
      </c>
      <c r="L658" s="2" t="s">
        <v>35</v>
      </c>
      <c r="M658" s="2">
        <v>17</v>
      </c>
      <c r="N658" s="2">
        <v>15</v>
      </c>
      <c r="O658" s="11">
        <v>44749.44468346065</v>
      </c>
      <c r="P658" s="11">
        <v>44749.445185358796</v>
      </c>
      <c r="Q658" s="27">
        <f t="shared" si="30"/>
        <v>5.0189814646728337E-4</v>
      </c>
      <c r="R658" s="65">
        <f t="shared" si="32"/>
        <v>1.2977662045159377E-3</v>
      </c>
      <c r="S658" s="2">
        <v>0</v>
      </c>
      <c r="T658" s="2" t="s">
        <v>54</v>
      </c>
      <c r="U658" s="2" t="s">
        <v>55</v>
      </c>
      <c r="V658" s="2" t="s">
        <v>38</v>
      </c>
      <c r="W658" s="2" t="s">
        <v>35</v>
      </c>
      <c r="X658" s="2" t="s">
        <v>35</v>
      </c>
      <c r="Y658" s="2" t="s">
        <v>35</v>
      </c>
      <c r="Z658" s="2" t="b">
        <v>0</v>
      </c>
      <c r="AA658" s="2" t="s">
        <v>35</v>
      </c>
      <c r="AB658" s="2" t="s">
        <v>35</v>
      </c>
      <c r="AC658" s="2" t="s">
        <v>35</v>
      </c>
      <c r="AD658" s="2" t="s">
        <v>35</v>
      </c>
      <c r="AE658" s="2" t="s">
        <v>2025</v>
      </c>
      <c r="AF658" s="11">
        <v>44749.40625</v>
      </c>
      <c r="AG658" s="53"/>
      <c r="AH658" s="53" t="b">
        <f t="shared" si="31"/>
        <v>0</v>
      </c>
      <c r="AI658" s="54" t="str" cm="1">
        <f t="array" ref="AI658">TRANSPOSE(_xlfn._xlws.FILTER(images!L:L,images!F:F=Barrierenmessung!A658, ""))</f>
        <v>https://captureandgo.cloudlab.zhaw.ch/uploads/image_dcff59cd12.jpg</v>
      </c>
      <c r="AJ658" s="2"/>
      <c r="AK658" s="2"/>
      <c r="AL658" s="2"/>
      <c r="AM658" s="2"/>
      <c r="AN658" s="2"/>
    </row>
    <row r="659" spans="1:40" ht="16" x14ac:dyDescent="0.2">
      <c r="A659" s="2" t="s">
        <v>2131</v>
      </c>
      <c r="B659" s="46">
        <v>658</v>
      </c>
      <c r="C659" s="2" t="b">
        <v>0</v>
      </c>
      <c r="D659" s="2" t="b">
        <v>0</v>
      </c>
      <c r="E659" s="2" t="b">
        <v>0</v>
      </c>
      <c r="F659" s="2" t="b">
        <v>0</v>
      </c>
      <c r="G659" s="2" t="s">
        <v>31</v>
      </c>
      <c r="H659" s="2" t="s">
        <v>2132</v>
      </c>
      <c r="I659" s="2" t="s">
        <v>2133</v>
      </c>
      <c r="J659" s="2" t="s">
        <v>2134</v>
      </c>
      <c r="K659" s="2" t="s">
        <v>35</v>
      </c>
      <c r="L659" s="2" t="s">
        <v>35</v>
      </c>
      <c r="M659" s="2" t="s">
        <v>35</v>
      </c>
      <c r="N659" s="2" t="s">
        <v>35</v>
      </c>
      <c r="O659" s="11">
        <v>44749.44560752315</v>
      </c>
      <c r="P659" s="11">
        <v>44749.445881238425</v>
      </c>
      <c r="Q659" s="27">
        <f t="shared" si="30"/>
        <v>2.737152753979899E-4</v>
      </c>
      <c r="R659" s="65">
        <f t="shared" si="32"/>
        <v>6.9587962934747338E-4</v>
      </c>
      <c r="S659" s="2">
        <v>0</v>
      </c>
      <c r="T659" s="2" t="s">
        <v>36</v>
      </c>
      <c r="U659" s="2" t="s">
        <v>37</v>
      </c>
      <c r="V659" s="2" t="s">
        <v>38</v>
      </c>
      <c r="W659" s="2" t="s">
        <v>35</v>
      </c>
      <c r="X659" s="2" t="s">
        <v>35</v>
      </c>
      <c r="Y659" s="2" t="s">
        <v>35</v>
      </c>
      <c r="Z659" s="2" t="b">
        <v>0</v>
      </c>
      <c r="AA659" s="2" t="s">
        <v>35</v>
      </c>
      <c r="AB659" s="2" t="s">
        <v>35</v>
      </c>
      <c r="AC659" s="2">
        <v>4</v>
      </c>
      <c r="AD659" s="2" t="s">
        <v>35</v>
      </c>
      <c r="AE659" s="2" t="s">
        <v>2025</v>
      </c>
      <c r="AF659" s="11">
        <v>44749.40625</v>
      </c>
      <c r="AG659" s="53"/>
      <c r="AH659" s="53" t="b">
        <f t="shared" si="31"/>
        <v>0</v>
      </c>
      <c r="AI659" s="54" t="str" cm="1">
        <f t="array" ref="AI659">TRANSPOSE(_xlfn._xlws.FILTER(images!L:L,images!F:F=Barrierenmessung!A659, ""))</f>
        <v>https://captureandgo.cloudlab.zhaw.ch/uploads/image_47d57722c9.jpg</v>
      </c>
      <c r="AJ659" s="2"/>
      <c r="AK659" s="2"/>
      <c r="AL659" s="2"/>
      <c r="AM659" s="2"/>
      <c r="AN659" s="2"/>
    </row>
    <row r="660" spans="1:40" ht="16" x14ac:dyDescent="0.2">
      <c r="A660" s="2" t="s">
        <v>2135</v>
      </c>
      <c r="B660" s="46">
        <v>659</v>
      </c>
      <c r="C660" s="2" t="b">
        <v>0</v>
      </c>
      <c r="D660" s="2" t="b">
        <v>0</v>
      </c>
      <c r="E660" s="2" t="b">
        <v>0</v>
      </c>
      <c r="F660" s="2" t="b">
        <v>0</v>
      </c>
      <c r="G660" s="2" t="s">
        <v>31</v>
      </c>
      <c r="H660" s="2" t="s">
        <v>2136</v>
      </c>
      <c r="I660" s="2" t="s">
        <v>2137</v>
      </c>
      <c r="J660" s="2" t="s">
        <v>35</v>
      </c>
      <c r="K660" s="2" t="s">
        <v>35</v>
      </c>
      <c r="L660" s="2" t="s">
        <v>35</v>
      </c>
      <c r="M660" s="2">
        <v>15</v>
      </c>
      <c r="N660" s="2">
        <v>15</v>
      </c>
      <c r="O660" s="11">
        <v>44749.445967858795</v>
      </c>
      <c r="P660" s="11">
        <v>44749.446345243057</v>
      </c>
      <c r="Q660" s="27">
        <f t="shared" si="30"/>
        <v>3.7738426181022078E-4</v>
      </c>
      <c r="R660" s="65">
        <f t="shared" si="32"/>
        <v>4.6400463179452345E-4</v>
      </c>
      <c r="S660" s="2">
        <v>0</v>
      </c>
      <c r="T660" s="2" t="s">
        <v>54</v>
      </c>
      <c r="U660" s="2" t="s">
        <v>55</v>
      </c>
      <c r="V660" s="2" t="s">
        <v>38</v>
      </c>
      <c r="W660" s="2" t="s">
        <v>35</v>
      </c>
      <c r="X660" s="2" t="s">
        <v>35</v>
      </c>
      <c r="Y660" s="2" t="s">
        <v>35</v>
      </c>
      <c r="Z660" s="2" t="b">
        <v>0</v>
      </c>
      <c r="AA660" s="2" t="s">
        <v>35</v>
      </c>
      <c r="AB660" s="2" t="s">
        <v>35</v>
      </c>
      <c r="AC660" s="2" t="s">
        <v>35</v>
      </c>
      <c r="AD660" s="2" t="s">
        <v>35</v>
      </c>
      <c r="AE660" s="2" t="s">
        <v>2025</v>
      </c>
      <c r="AF660" s="11">
        <v>44749.40625</v>
      </c>
      <c r="AG660" s="53"/>
      <c r="AH660" s="53" t="b">
        <f t="shared" si="31"/>
        <v>0</v>
      </c>
      <c r="AI660" s="54" t="str" cm="1">
        <f t="array" ref="AI660">TRANSPOSE(_xlfn._xlws.FILTER(images!L:L,images!F:F=Barrierenmessung!A660, ""))</f>
        <v>https://captureandgo.cloudlab.zhaw.ch/uploads/image_6e626693f8.jpg</v>
      </c>
      <c r="AJ660" s="2"/>
      <c r="AK660" s="2"/>
      <c r="AL660" s="2"/>
      <c r="AM660" s="2"/>
      <c r="AN660" s="2"/>
    </row>
    <row r="661" spans="1:40" ht="16" x14ac:dyDescent="0.2">
      <c r="A661" s="2" t="s">
        <v>2138</v>
      </c>
      <c r="B661" s="46">
        <v>660</v>
      </c>
      <c r="C661" s="2" t="b">
        <v>0</v>
      </c>
      <c r="D661" s="2" t="b">
        <v>0</v>
      </c>
      <c r="E661" s="2" t="b">
        <v>0</v>
      </c>
      <c r="F661" s="2" t="b">
        <v>0</v>
      </c>
      <c r="G661" s="2" t="s">
        <v>31</v>
      </c>
      <c r="H661" s="2" t="s">
        <v>2139</v>
      </c>
      <c r="I661" s="2" t="s">
        <v>2140</v>
      </c>
      <c r="J661" s="2" t="s">
        <v>2063</v>
      </c>
      <c r="K661" s="2" t="s">
        <v>35</v>
      </c>
      <c r="L661" s="2" t="s">
        <v>35</v>
      </c>
      <c r="M661" s="2" t="s">
        <v>35</v>
      </c>
      <c r="N661" s="2" t="s">
        <v>35</v>
      </c>
      <c r="O661" s="11">
        <v>44749.449197106478</v>
      </c>
      <c r="P661" s="11">
        <v>44749.449795925924</v>
      </c>
      <c r="Q661" s="27">
        <f t="shared" si="30"/>
        <v>5.9881944616790861E-4</v>
      </c>
      <c r="R661" s="65">
        <f t="shared" si="32"/>
        <v>3.4506828669691458E-3</v>
      </c>
      <c r="S661" s="2">
        <v>0</v>
      </c>
      <c r="T661" s="2" t="s">
        <v>36</v>
      </c>
      <c r="U661" s="2" t="s">
        <v>37</v>
      </c>
      <c r="V661" s="2" t="s">
        <v>38</v>
      </c>
      <c r="W661" s="2" t="s">
        <v>35</v>
      </c>
      <c r="X661" s="2" t="s">
        <v>35</v>
      </c>
      <c r="Y661" s="2" t="s">
        <v>35</v>
      </c>
      <c r="Z661" s="2" t="b">
        <v>0</v>
      </c>
      <c r="AA661" s="2" t="s">
        <v>35</v>
      </c>
      <c r="AB661" s="2" t="s">
        <v>35</v>
      </c>
      <c r="AC661" s="2">
        <v>4</v>
      </c>
      <c r="AD661" s="2">
        <v>2</v>
      </c>
      <c r="AE661" s="2" t="s">
        <v>2025</v>
      </c>
      <c r="AF661" s="11">
        <v>44749.40625</v>
      </c>
      <c r="AG661" s="53"/>
      <c r="AH661" s="53" t="b">
        <f t="shared" si="31"/>
        <v>0</v>
      </c>
      <c r="AI661" s="54" t="str" cm="1">
        <f t="array" ref="AI661">TRANSPOSE(_xlfn._xlws.FILTER(images!L:L,images!F:F=Barrierenmessung!A661, ""))</f>
        <v>https://captureandgo.cloudlab.zhaw.ch/uploads/image_6713862226.jpg</v>
      </c>
      <c r="AJ661" s="2"/>
      <c r="AK661" s="2"/>
      <c r="AL661" s="2"/>
      <c r="AM661" s="2"/>
      <c r="AN661" s="2"/>
    </row>
    <row r="662" spans="1:40" ht="16" x14ac:dyDescent="0.2">
      <c r="A662" s="2" t="s">
        <v>2141</v>
      </c>
      <c r="B662" s="46">
        <v>661</v>
      </c>
      <c r="C662" s="2" t="b">
        <v>0</v>
      </c>
      <c r="D662" s="2" t="b">
        <v>0</v>
      </c>
      <c r="E662" s="2" t="b">
        <v>0</v>
      </c>
      <c r="F662" s="2" t="b">
        <v>0</v>
      </c>
      <c r="G662" s="2" t="s">
        <v>31</v>
      </c>
      <c r="H662" s="2" t="s">
        <v>2142</v>
      </c>
      <c r="I662" s="2" t="s">
        <v>2143</v>
      </c>
      <c r="J662" s="2" t="s">
        <v>35</v>
      </c>
      <c r="K662" s="2" t="s">
        <v>35</v>
      </c>
      <c r="L662" s="2" t="s">
        <v>35</v>
      </c>
      <c r="M662" s="2">
        <v>22</v>
      </c>
      <c r="N662" s="2">
        <v>17</v>
      </c>
      <c r="O662" s="11">
        <v>44749.449996631942</v>
      </c>
      <c r="P662" s="11">
        <v>44749.450584259263</v>
      </c>
      <c r="Q662" s="27">
        <f t="shared" si="30"/>
        <v>5.8762732078321278E-4</v>
      </c>
      <c r="R662" s="65">
        <f t="shared" si="32"/>
        <v>7.883333382778801E-4</v>
      </c>
      <c r="S662" s="2">
        <v>0</v>
      </c>
      <c r="T662" s="2" t="s">
        <v>54</v>
      </c>
      <c r="U662" s="2" t="s">
        <v>55</v>
      </c>
      <c r="V662" s="2" t="s">
        <v>38</v>
      </c>
      <c r="W662" s="2" t="s">
        <v>35</v>
      </c>
      <c r="X662" s="2" t="s">
        <v>35</v>
      </c>
      <c r="Y662" s="2" t="s">
        <v>35</v>
      </c>
      <c r="Z662" s="2" t="b">
        <v>0</v>
      </c>
      <c r="AA662" s="2" t="s">
        <v>35</v>
      </c>
      <c r="AB662" s="2" t="s">
        <v>35</v>
      </c>
      <c r="AC662" s="2" t="s">
        <v>35</v>
      </c>
      <c r="AD662" s="2" t="s">
        <v>35</v>
      </c>
      <c r="AE662" s="2" t="s">
        <v>2025</v>
      </c>
      <c r="AF662" s="11">
        <v>44749.40625</v>
      </c>
      <c r="AG662" s="53"/>
      <c r="AH662" s="53" t="b">
        <f t="shared" si="31"/>
        <v>0</v>
      </c>
      <c r="AI662" s="54" t="str" cm="1">
        <f t="array" ref="AI662">TRANSPOSE(_xlfn._xlws.FILTER(images!L:L,images!F:F=Barrierenmessung!A662, ""))</f>
        <v>https://captureandgo.cloudlab.zhaw.ch/uploads/image_669fec428b.jpg</v>
      </c>
      <c r="AJ662" s="2"/>
      <c r="AK662" s="2"/>
      <c r="AL662" s="2"/>
      <c r="AM662" s="2"/>
      <c r="AN662" s="2"/>
    </row>
    <row r="663" spans="1:40" ht="16" x14ac:dyDescent="0.2">
      <c r="A663" s="2" t="s">
        <v>2144</v>
      </c>
      <c r="B663" s="46">
        <v>662</v>
      </c>
      <c r="C663" s="2" t="b">
        <v>0</v>
      </c>
      <c r="D663" s="2" t="b">
        <v>0</v>
      </c>
      <c r="E663" s="2" t="b">
        <v>0</v>
      </c>
      <c r="F663" s="2" t="b">
        <v>0</v>
      </c>
      <c r="G663" s="2" t="s">
        <v>31</v>
      </c>
      <c r="H663" s="2" t="s">
        <v>2145</v>
      </c>
      <c r="I663" s="2" t="s">
        <v>2146</v>
      </c>
      <c r="J663" s="2" t="s">
        <v>2063</v>
      </c>
      <c r="K663" s="2" t="s">
        <v>35</v>
      </c>
      <c r="L663" s="2" t="s">
        <v>35</v>
      </c>
      <c r="M663" s="2" t="s">
        <v>35</v>
      </c>
      <c r="N663" s="2" t="s">
        <v>35</v>
      </c>
      <c r="O663" s="11">
        <v>44749.450705567127</v>
      </c>
      <c r="P663" s="11">
        <v>44749.451107499997</v>
      </c>
      <c r="Q663" s="27">
        <f t="shared" si="30"/>
        <v>4.0193286986323074E-4</v>
      </c>
      <c r="R663" s="65">
        <f t="shared" si="32"/>
        <v>5.2324073476484045E-4</v>
      </c>
      <c r="S663" s="2">
        <v>0</v>
      </c>
      <c r="T663" s="2" t="s">
        <v>36</v>
      </c>
      <c r="U663" s="2" t="s">
        <v>37</v>
      </c>
      <c r="V663" s="2" t="s">
        <v>38</v>
      </c>
      <c r="W663" s="2" t="s">
        <v>35</v>
      </c>
      <c r="X663" s="2" t="s">
        <v>35</v>
      </c>
      <c r="Y663" s="2" t="s">
        <v>35</v>
      </c>
      <c r="Z663" s="2" t="b">
        <v>0</v>
      </c>
      <c r="AA663" s="2" t="s">
        <v>35</v>
      </c>
      <c r="AB663" s="2" t="s">
        <v>35</v>
      </c>
      <c r="AC663" s="2">
        <v>6</v>
      </c>
      <c r="AD663" s="2">
        <v>3</v>
      </c>
      <c r="AE663" s="2" t="s">
        <v>2025</v>
      </c>
      <c r="AF663" s="11">
        <v>44749.40625</v>
      </c>
      <c r="AG663" s="53"/>
      <c r="AH663" s="53" t="b">
        <f t="shared" si="31"/>
        <v>0</v>
      </c>
      <c r="AI663" s="54" t="str" cm="1">
        <f t="array" ref="AI663">TRANSPOSE(_xlfn._xlws.FILTER(images!L:L,images!F:F=Barrierenmessung!A663, ""))</f>
        <v>https://captureandgo.cloudlab.zhaw.ch/uploads/image_42d93cdac5.jpg</v>
      </c>
      <c r="AJ663" s="2"/>
      <c r="AK663" s="2"/>
      <c r="AL663" s="2"/>
      <c r="AM663" s="2"/>
      <c r="AN663" s="2"/>
    </row>
    <row r="664" spans="1:40" ht="16" x14ac:dyDescent="0.2">
      <c r="A664" s="2" t="s">
        <v>2147</v>
      </c>
      <c r="B664" s="46">
        <v>663</v>
      </c>
      <c r="C664" s="2" t="b">
        <v>0</v>
      </c>
      <c r="D664" s="2" t="b">
        <v>0</v>
      </c>
      <c r="E664" s="2" t="b">
        <v>0</v>
      </c>
      <c r="F664" s="2" t="b">
        <v>0</v>
      </c>
      <c r="G664" s="2" t="s">
        <v>31</v>
      </c>
      <c r="H664" s="2" t="s">
        <v>2148</v>
      </c>
      <c r="I664" s="2" t="s">
        <v>2149</v>
      </c>
      <c r="J664" s="2" t="s">
        <v>2150</v>
      </c>
      <c r="K664" s="2" t="s">
        <v>35</v>
      </c>
      <c r="L664" s="2" t="s">
        <v>35</v>
      </c>
      <c r="M664" s="2" t="s">
        <v>35</v>
      </c>
      <c r="N664" s="2" t="s">
        <v>35</v>
      </c>
      <c r="O664" s="11">
        <v>44749.451569999997</v>
      </c>
      <c r="P664" s="11">
        <v>44749.452151840276</v>
      </c>
      <c r="Q664" s="27">
        <f t="shared" si="30"/>
        <v>5.8184027875540778E-4</v>
      </c>
      <c r="R664" s="65">
        <f t="shared" si="32"/>
        <v>1.0443402788951062E-3</v>
      </c>
      <c r="S664" s="2">
        <v>0</v>
      </c>
      <c r="T664" s="2" t="s">
        <v>36</v>
      </c>
      <c r="U664" s="2" t="s">
        <v>37</v>
      </c>
      <c r="V664" s="2" t="s">
        <v>38</v>
      </c>
      <c r="W664" s="2" t="s">
        <v>35</v>
      </c>
      <c r="X664" s="2" t="s">
        <v>35</v>
      </c>
      <c r="Y664" s="2" t="s">
        <v>35</v>
      </c>
      <c r="Z664" s="2" t="b">
        <v>0</v>
      </c>
      <c r="AA664" s="2" t="s">
        <v>35</v>
      </c>
      <c r="AB664" s="2" t="s">
        <v>35</v>
      </c>
      <c r="AC664" s="2">
        <v>4</v>
      </c>
      <c r="AD664" s="2" t="s">
        <v>35</v>
      </c>
      <c r="AE664" s="2" t="s">
        <v>2025</v>
      </c>
      <c r="AF664" s="11">
        <v>44749.40625</v>
      </c>
      <c r="AG664" s="53"/>
      <c r="AH664" s="53" t="b">
        <f t="shared" si="31"/>
        <v>0</v>
      </c>
      <c r="AI664" s="54" t="str" cm="1">
        <f t="array" ref="AI664:AJ664">TRANSPOSE(_xlfn._xlws.FILTER(images!L:L,images!F:F=Barrierenmessung!A664, ""))</f>
        <v>https://captureandgo.cloudlab.zhaw.ch/uploads/image_f72c831c1d.jpg</v>
      </c>
      <c r="AJ664" s="2" t="str">
        <v>https://captureandgo.cloudlab.zhaw.ch/uploads/image_98aa2c52d4.jpg</v>
      </c>
      <c r="AK664" s="2"/>
      <c r="AL664" s="2"/>
      <c r="AM664" s="2"/>
      <c r="AN664" s="2"/>
    </row>
    <row r="665" spans="1:40" ht="16" x14ac:dyDescent="0.2">
      <c r="A665" s="2" t="s">
        <v>2151</v>
      </c>
      <c r="B665" s="46">
        <v>664</v>
      </c>
      <c r="C665" s="2" t="b">
        <v>0</v>
      </c>
      <c r="D665" s="2" t="b">
        <v>0</v>
      </c>
      <c r="E665" s="2" t="b">
        <v>0</v>
      </c>
      <c r="F665" s="2" t="b">
        <v>0</v>
      </c>
      <c r="G665" s="2" t="s">
        <v>31</v>
      </c>
      <c r="H665" s="2" t="s">
        <v>2152</v>
      </c>
      <c r="I665" s="2" t="s">
        <v>2153</v>
      </c>
      <c r="J665" s="2" t="s">
        <v>2150</v>
      </c>
      <c r="K665" s="2" t="s">
        <v>35</v>
      </c>
      <c r="L665" s="2" t="s">
        <v>35</v>
      </c>
      <c r="M665" s="2" t="s">
        <v>35</v>
      </c>
      <c r="N665" s="2" t="s">
        <v>35</v>
      </c>
      <c r="O665" s="11">
        <v>44749.452392025465</v>
      </c>
      <c r="P665" s="11">
        <v>44749.452682002317</v>
      </c>
      <c r="Q665" s="27">
        <f t="shared" si="30"/>
        <v>2.8997685149079189E-4</v>
      </c>
      <c r="R665" s="65">
        <f t="shared" si="32"/>
        <v>5.3016204037703574E-4</v>
      </c>
      <c r="S665" s="2">
        <v>0</v>
      </c>
      <c r="T665" s="2" t="s">
        <v>36</v>
      </c>
      <c r="U665" s="2" t="s">
        <v>37</v>
      </c>
      <c r="V665" s="2" t="s">
        <v>38</v>
      </c>
      <c r="W665" s="2" t="s">
        <v>35</v>
      </c>
      <c r="X665" s="2" t="s">
        <v>35</v>
      </c>
      <c r="Y665" s="2" t="s">
        <v>35</v>
      </c>
      <c r="Z665" s="2" t="b">
        <v>0</v>
      </c>
      <c r="AA665" s="2" t="s">
        <v>35</v>
      </c>
      <c r="AB665" s="2" t="s">
        <v>35</v>
      </c>
      <c r="AC665" s="2">
        <v>6</v>
      </c>
      <c r="AD665" s="2" t="s">
        <v>35</v>
      </c>
      <c r="AE665" s="2" t="s">
        <v>2025</v>
      </c>
      <c r="AF665" s="11">
        <v>44749.40625</v>
      </c>
      <c r="AG665" s="53"/>
      <c r="AH665" s="53" t="b">
        <f t="shared" si="31"/>
        <v>0</v>
      </c>
      <c r="AI665" s="54" t="str" cm="1">
        <f t="array" ref="AI665">TRANSPOSE(_xlfn._xlws.FILTER(images!L:L,images!F:F=Barrierenmessung!A665, ""))</f>
        <v>https://captureandgo.cloudlab.zhaw.ch/uploads/image_26646461ea.jpg</v>
      </c>
      <c r="AJ665" s="2"/>
      <c r="AK665" s="2"/>
      <c r="AL665" s="2"/>
      <c r="AM665" s="2"/>
      <c r="AN665" s="2"/>
    </row>
    <row r="666" spans="1:40" ht="16" x14ac:dyDescent="0.2">
      <c r="A666" s="2" t="s">
        <v>2154</v>
      </c>
      <c r="B666" s="46">
        <v>665</v>
      </c>
      <c r="C666" s="2" t="b">
        <v>0</v>
      </c>
      <c r="D666" s="2" t="b">
        <v>0</v>
      </c>
      <c r="E666" s="2" t="b">
        <v>0</v>
      </c>
      <c r="F666" s="2" t="b">
        <v>0</v>
      </c>
      <c r="G666" s="2" t="s">
        <v>31</v>
      </c>
      <c r="H666" s="2" t="s">
        <v>2155</v>
      </c>
      <c r="I666" s="2" t="s">
        <v>2156</v>
      </c>
      <c r="J666" s="2" t="s">
        <v>35</v>
      </c>
      <c r="K666" s="2" t="s">
        <v>35</v>
      </c>
      <c r="L666" s="2" t="s">
        <v>35</v>
      </c>
      <c r="M666" s="2">
        <v>16</v>
      </c>
      <c r="N666" s="2">
        <v>16</v>
      </c>
      <c r="O666" s="11">
        <v>44749.4528091088</v>
      </c>
      <c r="P666" s="11">
        <v>44749.45328037037</v>
      </c>
      <c r="Q666" s="27">
        <f t="shared" si="30"/>
        <v>4.712615700555034E-4</v>
      </c>
      <c r="R666" s="65">
        <f t="shared" si="32"/>
        <v>5.9836805303348228E-4</v>
      </c>
      <c r="S666" s="2">
        <v>0</v>
      </c>
      <c r="T666" s="2" t="s">
        <v>54</v>
      </c>
      <c r="U666" s="2" t="s">
        <v>55</v>
      </c>
      <c r="V666" s="2" t="s">
        <v>38</v>
      </c>
      <c r="W666" s="2" t="s">
        <v>35</v>
      </c>
      <c r="X666" s="2" t="s">
        <v>35</v>
      </c>
      <c r="Y666" s="2" t="s">
        <v>35</v>
      </c>
      <c r="Z666" s="2" t="b">
        <v>0</v>
      </c>
      <c r="AA666" s="2" t="s">
        <v>35</v>
      </c>
      <c r="AB666" s="2" t="s">
        <v>35</v>
      </c>
      <c r="AC666" s="2" t="s">
        <v>35</v>
      </c>
      <c r="AD666" s="2" t="s">
        <v>35</v>
      </c>
      <c r="AE666" s="2" t="s">
        <v>2025</v>
      </c>
      <c r="AF666" s="11">
        <v>44749.40625</v>
      </c>
      <c r="AG666" s="53"/>
      <c r="AH666" s="53" t="b">
        <f t="shared" si="31"/>
        <v>0</v>
      </c>
      <c r="AI666" s="54" t="str" cm="1">
        <f t="array" ref="AI666">TRANSPOSE(_xlfn._xlws.FILTER(images!L:L,images!F:F=Barrierenmessung!A666, ""))</f>
        <v>https://captureandgo.cloudlab.zhaw.ch/uploads/image_3fd176fd95.jpg</v>
      </c>
      <c r="AJ666" s="2"/>
      <c r="AK666" s="2"/>
      <c r="AL666" s="2"/>
      <c r="AM666" s="2"/>
      <c r="AN666" s="2"/>
    </row>
    <row r="667" spans="1:40" ht="16" x14ac:dyDescent="0.2">
      <c r="A667" s="2" t="s">
        <v>2157</v>
      </c>
      <c r="B667" s="46">
        <v>666</v>
      </c>
      <c r="C667" s="2" t="b">
        <v>0</v>
      </c>
      <c r="D667" s="2" t="b">
        <v>0</v>
      </c>
      <c r="E667" s="2" t="b">
        <v>0</v>
      </c>
      <c r="F667" s="2" t="b">
        <v>0</v>
      </c>
      <c r="G667" s="2" t="s">
        <v>31</v>
      </c>
      <c r="H667" s="2" t="s">
        <v>2158</v>
      </c>
      <c r="I667" s="2" t="s">
        <v>2159</v>
      </c>
      <c r="J667" s="2" t="s">
        <v>2160</v>
      </c>
      <c r="K667" s="2" t="s">
        <v>35</v>
      </c>
      <c r="L667" s="2" t="s">
        <v>35</v>
      </c>
      <c r="M667" s="2" t="s">
        <v>35</v>
      </c>
      <c r="N667" s="2" t="s">
        <v>35</v>
      </c>
      <c r="O667" s="11">
        <v>44749.45405083333</v>
      </c>
      <c r="P667" s="11">
        <v>44749.454663055556</v>
      </c>
      <c r="Q667" s="27">
        <f t="shared" si="30"/>
        <v>6.1222222575452179E-4</v>
      </c>
      <c r="R667" s="65">
        <f t="shared" si="32"/>
        <v>1.3826851863996126E-3</v>
      </c>
      <c r="S667" s="2">
        <v>0</v>
      </c>
      <c r="T667" s="2" t="s">
        <v>36</v>
      </c>
      <c r="U667" s="2" t="s">
        <v>37</v>
      </c>
      <c r="V667" s="2" t="s">
        <v>38</v>
      </c>
      <c r="W667" s="2" t="s">
        <v>35</v>
      </c>
      <c r="X667" s="2" t="s">
        <v>35</v>
      </c>
      <c r="Y667" s="2" t="s">
        <v>35</v>
      </c>
      <c r="Z667" s="2" t="b">
        <v>0</v>
      </c>
      <c r="AA667" s="2" t="s">
        <v>35</v>
      </c>
      <c r="AB667" s="2" t="s">
        <v>35</v>
      </c>
      <c r="AC667" s="2">
        <v>4</v>
      </c>
      <c r="AD667" s="2">
        <v>2</v>
      </c>
      <c r="AE667" s="2" t="s">
        <v>2025</v>
      </c>
      <c r="AF667" s="11">
        <v>44749.40625</v>
      </c>
      <c r="AG667" s="53"/>
      <c r="AH667" s="53" t="b">
        <f t="shared" si="31"/>
        <v>0</v>
      </c>
      <c r="AI667" s="54" t="str" cm="1">
        <f t="array" ref="AI667">TRANSPOSE(_xlfn._xlws.FILTER(images!L:L,images!F:F=Barrierenmessung!A667, ""))</f>
        <v>https://captureandgo.cloudlab.zhaw.ch/uploads/image_db46a77188.jpg</v>
      </c>
      <c r="AJ667" s="2"/>
      <c r="AK667" s="2"/>
      <c r="AL667" s="2"/>
      <c r="AM667" s="2"/>
      <c r="AN667" s="2"/>
    </row>
    <row r="668" spans="1:40" ht="16" x14ac:dyDescent="0.2">
      <c r="A668" s="2" t="s">
        <v>2161</v>
      </c>
      <c r="B668" s="46">
        <v>667</v>
      </c>
      <c r="C668" s="2" t="b">
        <v>0</v>
      </c>
      <c r="D668" s="2" t="b">
        <v>0</v>
      </c>
      <c r="E668" s="2" t="b">
        <v>0</v>
      </c>
      <c r="F668" s="2" t="b">
        <v>0</v>
      </c>
      <c r="G668" s="2" t="s">
        <v>31</v>
      </c>
      <c r="H668" s="2" t="s">
        <v>2162</v>
      </c>
      <c r="I668" s="2" t="s">
        <v>2163</v>
      </c>
      <c r="J668" s="2" t="s">
        <v>1658</v>
      </c>
      <c r="K668" s="2" t="s">
        <v>35</v>
      </c>
      <c r="L668" s="2" t="s">
        <v>35</v>
      </c>
      <c r="M668" s="2">
        <v>7</v>
      </c>
      <c r="N668" s="2">
        <v>6</v>
      </c>
      <c r="O668" s="11">
        <v>44749.454844409724</v>
      </c>
      <c r="P668" s="11">
        <v>44749.455204456019</v>
      </c>
      <c r="Q668" s="27">
        <f t="shared" si="30"/>
        <v>3.6004629509989172E-4</v>
      </c>
      <c r="R668" s="65">
        <f t="shared" si="32"/>
        <v>5.4140046268003061E-4</v>
      </c>
      <c r="S668" s="2">
        <v>0</v>
      </c>
      <c r="T668" s="2" t="s">
        <v>54</v>
      </c>
      <c r="U668" s="2" t="s">
        <v>55</v>
      </c>
      <c r="V668" s="2" t="s">
        <v>38</v>
      </c>
      <c r="W668" s="2" t="s">
        <v>35</v>
      </c>
      <c r="X668" s="2" t="s">
        <v>35</v>
      </c>
      <c r="Y668" s="2" t="s">
        <v>35</v>
      </c>
      <c r="Z668" s="2" t="b">
        <v>1</v>
      </c>
      <c r="AA668" s="2" t="s">
        <v>35</v>
      </c>
      <c r="AB668" s="2" t="s">
        <v>35</v>
      </c>
      <c r="AC668" s="2" t="s">
        <v>35</v>
      </c>
      <c r="AD668" s="2" t="s">
        <v>35</v>
      </c>
      <c r="AE668" s="2" t="s">
        <v>2025</v>
      </c>
      <c r="AF668" s="11">
        <v>44749.40625</v>
      </c>
      <c r="AG668" s="53"/>
      <c r="AH668" s="53" t="b">
        <f t="shared" si="31"/>
        <v>0</v>
      </c>
      <c r="AI668" s="54" t="str" cm="1">
        <f t="array" ref="AI668">TRANSPOSE(_xlfn._xlws.FILTER(images!L:L,images!F:F=Barrierenmessung!A668, ""))</f>
        <v>https://captureandgo.cloudlab.zhaw.ch/uploads/image_0045dd97ac.jpg</v>
      </c>
      <c r="AJ668" s="2"/>
      <c r="AK668" s="2"/>
      <c r="AL668" s="2"/>
      <c r="AM668" s="2"/>
      <c r="AN668" s="2"/>
    </row>
    <row r="669" spans="1:40" ht="16" x14ac:dyDescent="0.2">
      <c r="A669" s="68" t="s">
        <v>2164</v>
      </c>
      <c r="B669" s="68">
        <v>668</v>
      </c>
      <c r="C669" s="68" t="b">
        <v>0</v>
      </c>
      <c r="D669" s="68" t="b">
        <v>0</v>
      </c>
      <c r="E669" s="68" t="b">
        <v>0</v>
      </c>
      <c r="F669" s="68" t="b">
        <v>0</v>
      </c>
      <c r="G669" s="68" t="s">
        <v>31</v>
      </c>
      <c r="H669" s="68" t="s">
        <v>149</v>
      </c>
      <c r="I669" s="68" t="s">
        <v>2165</v>
      </c>
      <c r="J669" s="68" t="s">
        <v>2166</v>
      </c>
      <c r="K669" s="68" t="s">
        <v>35</v>
      </c>
      <c r="L669" s="68" t="s">
        <v>35</v>
      </c>
      <c r="M669" s="68" t="s">
        <v>35</v>
      </c>
      <c r="N669" s="68" t="s">
        <v>35</v>
      </c>
      <c r="O669" s="69">
        <v>44749.455473715279</v>
      </c>
      <c r="P669" s="69">
        <v>44749.455840659721</v>
      </c>
      <c r="Q669" s="70">
        <f t="shared" si="30"/>
        <v>3.6694444133900106E-4</v>
      </c>
      <c r="R669" s="70">
        <f t="shared" si="32"/>
        <v>6.362037020153366E-4</v>
      </c>
      <c r="S669" s="68">
        <v>0</v>
      </c>
      <c r="T669" s="68" t="s">
        <v>36</v>
      </c>
      <c r="U669" s="68" t="s">
        <v>37</v>
      </c>
      <c r="V669" s="68" t="s">
        <v>38</v>
      </c>
      <c r="W669" s="68" t="s">
        <v>35</v>
      </c>
      <c r="X669" s="68" t="s">
        <v>35</v>
      </c>
      <c r="Y669" s="68" t="s">
        <v>35</v>
      </c>
      <c r="Z669" s="68" t="b">
        <v>0</v>
      </c>
      <c r="AA669" s="68" t="s">
        <v>35</v>
      </c>
      <c r="AB669" s="68" t="s">
        <v>35</v>
      </c>
      <c r="AC669" s="68">
        <v>5</v>
      </c>
      <c r="AD669" s="68" t="s">
        <v>35</v>
      </c>
      <c r="AE669" s="68" t="s">
        <v>2025</v>
      </c>
      <c r="AF669" s="69">
        <v>44749.40625</v>
      </c>
      <c r="AG669" s="71"/>
      <c r="AH669" s="71" t="b">
        <f t="shared" si="31"/>
        <v>0</v>
      </c>
      <c r="AI669" s="56" t="str" cm="1">
        <f t="array" ref="AI669">TRANSPOSE(_xlfn._xlws.FILTER(images!L:L,images!F:F=Barrierenmessung!A669, ""))</f>
        <v/>
      </c>
      <c r="AJ669" s="68"/>
      <c r="AK669" s="68"/>
      <c r="AL669" s="68"/>
      <c r="AM669" s="68"/>
      <c r="AN669" s="68"/>
    </row>
    <row r="670" spans="1:40" ht="16" x14ac:dyDescent="0.2">
      <c r="A670" s="2" t="s">
        <v>2167</v>
      </c>
      <c r="B670" s="46">
        <v>669</v>
      </c>
      <c r="C670" s="2" t="b">
        <v>0</v>
      </c>
      <c r="D670" s="2" t="b">
        <v>0</v>
      </c>
      <c r="E670" s="2" t="b">
        <v>0</v>
      </c>
      <c r="F670" s="2" t="b">
        <v>0</v>
      </c>
      <c r="G670" s="2" t="s">
        <v>31</v>
      </c>
      <c r="H670" s="2" t="s">
        <v>2168</v>
      </c>
      <c r="I670" s="2" t="s">
        <v>2169</v>
      </c>
      <c r="J670" s="2" t="s">
        <v>2170</v>
      </c>
      <c r="K670" s="2" t="s">
        <v>35</v>
      </c>
      <c r="L670" s="2" t="s">
        <v>35</v>
      </c>
      <c r="M670" s="2" t="s">
        <v>35</v>
      </c>
      <c r="N670" s="2" t="s">
        <v>35</v>
      </c>
      <c r="O670" s="11">
        <v>44749.456673182867</v>
      </c>
      <c r="P670" s="11">
        <v>44749.456997337962</v>
      </c>
      <c r="Q670" s="27">
        <f t="shared" si="30"/>
        <v>3.2415509485872462E-4</v>
      </c>
      <c r="R670" s="65">
        <f t="shared" si="32"/>
        <v>1.156678241386544E-3</v>
      </c>
      <c r="S670" s="2">
        <v>0</v>
      </c>
      <c r="T670" s="2" t="s">
        <v>36</v>
      </c>
      <c r="U670" s="2" t="s">
        <v>37</v>
      </c>
      <c r="V670" s="2" t="s">
        <v>38</v>
      </c>
      <c r="W670" s="2" t="s">
        <v>35</v>
      </c>
      <c r="X670" s="2" t="s">
        <v>35</v>
      </c>
      <c r="Y670" s="2" t="s">
        <v>35</v>
      </c>
      <c r="Z670" s="2" t="b">
        <v>0</v>
      </c>
      <c r="AA670" s="2" t="s">
        <v>35</v>
      </c>
      <c r="AB670" s="2" t="s">
        <v>35</v>
      </c>
      <c r="AC670" s="2">
        <v>7</v>
      </c>
      <c r="AD670" s="2" t="s">
        <v>35</v>
      </c>
      <c r="AE670" s="2" t="s">
        <v>2025</v>
      </c>
      <c r="AF670" s="11">
        <v>44749.40625</v>
      </c>
      <c r="AG670" s="53"/>
      <c r="AH670" s="53" t="b">
        <f t="shared" si="31"/>
        <v>0</v>
      </c>
      <c r="AI670" s="54" t="str" cm="1">
        <f t="array" ref="AI670">TRANSPOSE(_xlfn._xlws.FILTER(images!L:L,images!F:F=Barrierenmessung!A670, ""))</f>
        <v>https://captureandgo.cloudlab.zhaw.ch/uploads/image_61bad1e425.jpg</v>
      </c>
      <c r="AJ670" s="2"/>
      <c r="AK670" s="2"/>
      <c r="AL670" s="2"/>
      <c r="AM670" s="2"/>
      <c r="AN670" s="2"/>
    </row>
    <row r="671" spans="1:40" ht="16" x14ac:dyDescent="0.2">
      <c r="A671" s="2" t="s">
        <v>2171</v>
      </c>
      <c r="B671" s="46">
        <v>670</v>
      </c>
      <c r="C671" s="2" t="b">
        <v>0</v>
      </c>
      <c r="D671" s="2" t="b">
        <v>0</v>
      </c>
      <c r="E671" s="2" t="b">
        <v>0</v>
      </c>
      <c r="F671" s="2" t="b">
        <v>0</v>
      </c>
      <c r="G671" s="2" t="s">
        <v>31</v>
      </c>
      <c r="H671" s="2" t="s">
        <v>2172</v>
      </c>
      <c r="I671" s="2" t="s">
        <v>2173</v>
      </c>
      <c r="J671" s="2" t="s">
        <v>2174</v>
      </c>
      <c r="K671" s="2" t="s">
        <v>35</v>
      </c>
      <c r="L671" s="2" t="s">
        <v>35</v>
      </c>
      <c r="M671" s="2" t="s">
        <v>35</v>
      </c>
      <c r="N671" s="2" t="s">
        <v>35</v>
      </c>
      <c r="O671" s="11">
        <v>44749.457491076391</v>
      </c>
      <c r="P671" s="11">
        <v>44749.457986099536</v>
      </c>
      <c r="Q671" s="27">
        <f t="shared" si="30"/>
        <v>4.9502314504934475E-4</v>
      </c>
      <c r="R671" s="65">
        <f t="shared" si="32"/>
        <v>9.8876157426275313E-4</v>
      </c>
      <c r="S671" s="2">
        <v>0</v>
      </c>
      <c r="T671" s="2" t="s">
        <v>36</v>
      </c>
      <c r="U671" s="2" t="s">
        <v>37</v>
      </c>
      <c r="V671" s="2" t="s">
        <v>38</v>
      </c>
      <c r="W671" s="2" t="s">
        <v>35</v>
      </c>
      <c r="X671" s="2" t="s">
        <v>35</v>
      </c>
      <c r="Y671" s="2" t="s">
        <v>35</v>
      </c>
      <c r="Z671" s="2" t="b">
        <v>0</v>
      </c>
      <c r="AA671" s="2" t="s">
        <v>35</v>
      </c>
      <c r="AB671" s="2" t="s">
        <v>35</v>
      </c>
      <c r="AC671" s="2">
        <v>4</v>
      </c>
      <c r="AD671" s="2" t="s">
        <v>35</v>
      </c>
      <c r="AE671" s="2" t="s">
        <v>2025</v>
      </c>
      <c r="AF671" s="11">
        <v>44749.40625</v>
      </c>
      <c r="AG671" s="53"/>
      <c r="AH671" s="53" t="b">
        <f t="shared" si="31"/>
        <v>0</v>
      </c>
      <c r="AI671" s="54" t="str" cm="1">
        <f t="array" ref="AI671">TRANSPOSE(_xlfn._xlws.FILTER(images!L:L,images!F:F=Barrierenmessung!A671, ""))</f>
        <v>https://captureandgo.cloudlab.zhaw.ch/uploads/image_5a322b700c.jpg</v>
      </c>
      <c r="AJ671" s="2"/>
      <c r="AK671" s="2"/>
      <c r="AL671" s="2"/>
      <c r="AM671" s="2"/>
      <c r="AN671" s="2"/>
    </row>
    <row r="672" spans="1:40" ht="16" customHeight="1" x14ac:dyDescent="0.2">
      <c r="A672" s="2" t="s">
        <v>2175</v>
      </c>
      <c r="B672" s="46">
        <v>671</v>
      </c>
      <c r="C672" s="2" t="b">
        <v>0</v>
      </c>
      <c r="D672" s="2" t="b">
        <v>0</v>
      </c>
      <c r="E672" s="2" t="b">
        <v>0</v>
      </c>
      <c r="F672" s="2" t="b">
        <v>0</v>
      </c>
      <c r="G672" s="2" t="s">
        <v>31</v>
      </c>
      <c r="H672" s="2" t="s">
        <v>2176</v>
      </c>
      <c r="I672" s="2" t="s">
        <v>2177</v>
      </c>
      <c r="J672" s="2" t="s">
        <v>35</v>
      </c>
      <c r="K672" s="2" t="s">
        <v>35</v>
      </c>
      <c r="L672" s="2" t="s">
        <v>35</v>
      </c>
      <c r="M672" s="2">
        <v>7</v>
      </c>
      <c r="N672" s="2">
        <v>17</v>
      </c>
      <c r="O672" s="11">
        <v>44749.458083113423</v>
      </c>
      <c r="P672" s="11">
        <v>44749.458440358794</v>
      </c>
      <c r="Q672" s="27">
        <f t="shared" si="30"/>
        <v>3.5724537156056613E-4</v>
      </c>
      <c r="R672" s="65">
        <f t="shared" si="32"/>
        <v>4.5425925782183185E-4</v>
      </c>
      <c r="S672" s="2">
        <v>0</v>
      </c>
      <c r="T672" s="2" t="s">
        <v>54</v>
      </c>
      <c r="U672" s="2" t="s">
        <v>55</v>
      </c>
      <c r="V672" s="2" t="s">
        <v>38</v>
      </c>
      <c r="W672" s="2" t="s">
        <v>35</v>
      </c>
      <c r="X672" s="2" t="s">
        <v>35</v>
      </c>
      <c r="Y672" s="2" t="s">
        <v>35</v>
      </c>
      <c r="Z672" s="2" t="b">
        <v>0</v>
      </c>
      <c r="AA672" s="2" t="s">
        <v>35</v>
      </c>
      <c r="AB672" s="2" t="s">
        <v>35</v>
      </c>
      <c r="AC672" s="2" t="s">
        <v>35</v>
      </c>
      <c r="AD672" s="2" t="s">
        <v>35</v>
      </c>
      <c r="AE672" s="2" t="s">
        <v>2025</v>
      </c>
      <c r="AF672" s="11">
        <v>44749.40625</v>
      </c>
      <c r="AG672" s="53"/>
      <c r="AH672" s="53" t="b">
        <f t="shared" si="31"/>
        <v>0</v>
      </c>
      <c r="AI672" s="54" t="str" cm="1">
        <f t="array" ref="AI672:AK672">TRANSPOSE(_xlfn._xlws.FILTER(images!L:L,images!F:F=Barrierenmessung!A672, ""))</f>
        <v>https://captureandgo.cloudlab.zhaw.ch/uploads/image_c66e5c06de.jpg</v>
      </c>
      <c r="AJ672" s="2" t="str">
        <v>https://captureandgo.cloudlab.zhaw.ch/uploads/image_062815b778.jpg</v>
      </c>
      <c r="AK672" s="2" t="str">
        <v>https://captureandgo.cloudlab.zhaw.ch/uploads/image_01ac6b0b35.jpg</v>
      </c>
      <c r="AL672" s="2"/>
      <c r="AM672" s="2"/>
      <c r="AN672" s="2"/>
    </row>
    <row r="673" spans="1:40" ht="16" customHeight="1" x14ac:dyDescent="0.2">
      <c r="A673" s="2" t="s">
        <v>2178</v>
      </c>
      <c r="B673" s="46">
        <v>672</v>
      </c>
      <c r="C673" s="2" t="b">
        <v>0</v>
      </c>
      <c r="D673" s="2" t="b">
        <v>0</v>
      </c>
      <c r="E673" s="2" t="b">
        <v>0</v>
      </c>
      <c r="F673" s="2" t="b">
        <v>0</v>
      </c>
      <c r="G673" s="2" t="s">
        <v>121</v>
      </c>
      <c r="H673" s="2" t="s">
        <v>2179</v>
      </c>
      <c r="I673" s="2" t="s">
        <v>2180</v>
      </c>
      <c r="J673" s="2" t="s">
        <v>35</v>
      </c>
      <c r="K673" s="2" t="s">
        <v>35</v>
      </c>
      <c r="L673" s="2" t="s">
        <v>35</v>
      </c>
      <c r="M673" s="2" t="s">
        <v>35</v>
      </c>
      <c r="N673" s="2" t="s">
        <v>35</v>
      </c>
      <c r="O673" s="11">
        <v>44749.458896828706</v>
      </c>
      <c r="P673" s="11">
        <v>44749.458961921293</v>
      </c>
      <c r="Q673" s="27">
        <f t="shared" si="30"/>
        <v>6.5092586737591773E-5</v>
      </c>
      <c r="R673" s="65">
        <f t="shared" si="32"/>
        <v>5.2156249876134098E-4</v>
      </c>
      <c r="S673" s="2">
        <v>0</v>
      </c>
      <c r="T673" s="2" t="s">
        <v>265</v>
      </c>
      <c r="U673" s="2" t="s">
        <v>266</v>
      </c>
      <c r="V673" s="2" t="s">
        <v>38</v>
      </c>
      <c r="W673" s="2" t="s">
        <v>35</v>
      </c>
      <c r="X673" s="2" t="s">
        <v>35</v>
      </c>
      <c r="Y673" s="2" t="s">
        <v>35</v>
      </c>
      <c r="Z673" s="2" t="b">
        <v>0</v>
      </c>
      <c r="AA673" s="2" t="s">
        <v>35</v>
      </c>
      <c r="AB673" s="2" t="s">
        <v>35</v>
      </c>
      <c r="AC673" s="2" t="s">
        <v>35</v>
      </c>
      <c r="AD673" s="2" t="s">
        <v>35</v>
      </c>
      <c r="AE673" s="2" t="s">
        <v>2025</v>
      </c>
      <c r="AF673" s="11">
        <v>44749.40625</v>
      </c>
      <c r="AG673" s="53"/>
      <c r="AH673" s="53" t="b">
        <f t="shared" si="31"/>
        <v>0</v>
      </c>
      <c r="AI673" s="54" t="str" cm="1">
        <f t="array" ref="AI673">TRANSPOSE(_xlfn._xlws.FILTER(images!L:L,images!F:F=Barrierenmessung!A673, ""))</f>
        <v>https://captureandgo.cloudlab.zhaw.ch/uploads/image_32146c927f.jpg</v>
      </c>
      <c r="AJ673" s="2"/>
      <c r="AK673" s="2"/>
      <c r="AL673" s="2"/>
      <c r="AM673" s="2"/>
      <c r="AN673" s="2"/>
    </row>
    <row r="674" spans="1:40" ht="16" x14ac:dyDescent="0.2">
      <c r="A674" s="2" t="s">
        <v>2181</v>
      </c>
      <c r="B674" s="46">
        <v>673</v>
      </c>
      <c r="C674" s="2" t="b">
        <v>0</v>
      </c>
      <c r="D674" s="2" t="b">
        <v>0</v>
      </c>
      <c r="E674" s="2" t="b">
        <v>0</v>
      </c>
      <c r="F674" s="2" t="b">
        <v>0</v>
      </c>
      <c r="G674" s="2" t="s">
        <v>31</v>
      </c>
      <c r="H674" s="2" t="s">
        <v>2182</v>
      </c>
      <c r="I674" s="2" t="s">
        <v>2183</v>
      </c>
      <c r="J674" s="2" t="s">
        <v>2035</v>
      </c>
      <c r="K674" s="2" t="s">
        <v>35</v>
      </c>
      <c r="L674" s="2">
        <v>13</v>
      </c>
      <c r="M674" s="2" t="s">
        <v>35</v>
      </c>
      <c r="N674" s="2" t="s">
        <v>35</v>
      </c>
      <c r="O674" s="11">
        <v>44749.459373912039</v>
      </c>
      <c r="P674" s="11">
        <v>44749.459601678238</v>
      </c>
      <c r="Q674" s="27">
        <f t="shared" si="30"/>
        <v>2.2776619880460203E-4</v>
      </c>
      <c r="R674" s="65">
        <f t="shared" si="32"/>
        <v>6.3975694502005354E-4</v>
      </c>
      <c r="S674" s="2">
        <v>0</v>
      </c>
      <c r="T674" s="2" t="s">
        <v>265</v>
      </c>
      <c r="U674" s="2" t="s">
        <v>266</v>
      </c>
      <c r="V674" s="2" t="s">
        <v>38</v>
      </c>
      <c r="W674" s="2" t="s">
        <v>35</v>
      </c>
      <c r="X674" s="2" t="s">
        <v>35</v>
      </c>
      <c r="Y674" s="2" t="s">
        <v>35</v>
      </c>
      <c r="Z674" s="2" t="b">
        <v>0</v>
      </c>
      <c r="AA674" s="2" t="s">
        <v>35</v>
      </c>
      <c r="AB674" s="2" t="s">
        <v>35</v>
      </c>
      <c r="AC674" s="2" t="s">
        <v>35</v>
      </c>
      <c r="AD674" s="2" t="s">
        <v>35</v>
      </c>
      <c r="AE674" s="2" t="s">
        <v>2025</v>
      </c>
      <c r="AF674" s="11">
        <v>44749.40625</v>
      </c>
      <c r="AG674" s="53"/>
      <c r="AH674" s="53" t="b">
        <f t="shared" si="31"/>
        <v>0</v>
      </c>
      <c r="AI674" s="54" t="str" cm="1">
        <f t="array" ref="AI674">TRANSPOSE(_xlfn._xlws.FILTER(images!L:L,images!F:F=Barrierenmessung!A674, ""))</f>
        <v>https://captureandgo.cloudlab.zhaw.ch/uploads/image_a6a38ca5d0.jpg</v>
      </c>
      <c r="AJ674" s="2"/>
      <c r="AK674" s="2"/>
      <c r="AL674" s="2"/>
      <c r="AM674" s="2"/>
      <c r="AN674" s="2"/>
    </row>
    <row r="675" spans="1:40" ht="16" x14ac:dyDescent="0.2">
      <c r="A675" s="68" t="s">
        <v>2184</v>
      </c>
      <c r="B675" s="68">
        <v>674</v>
      </c>
      <c r="C675" s="68" t="b">
        <v>0</v>
      </c>
      <c r="D675" s="68" t="b">
        <v>0</v>
      </c>
      <c r="E675" s="68" t="b">
        <v>0</v>
      </c>
      <c r="F675" s="68" t="b">
        <v>0</v>
      </c>
      <c r="G675" s="68" t="s">
        <v>31</v>
      </c>
      <c r="H675" s="68" t="s">
        <v>149</v>
      </c>
      <c r="I675" s="68" t="s">
        <v>2185</v>
      </c>
      <c r="J675" s="68" t="s">
        <v>2186</v>
      </c>
      <c r="K675" s="68" t="s">
        <v>35</v>
      </c>
      <c r="L675" s="68" t="s">
        <v>35</v>
      </c>
      <c r="M675" s="68" t="s">
        <v>35</v>
      </c>
      <c r="N675" s="68" t="s">
        <v>35</v>
      </c>
      <c r="O675" s="69">
        <v>44749.459982997687</v>
      </c>
      <c r="P675" s="69">
        <v>44749.460413171299</v>
      </c>
      <c r="Q675" s="70">
        <f t="shared" si="30"/>
        <v>4.3017361167585477E-4</v>
      </c>
      <c r="R675" s="70">
        <f t="shared" si="32"/>
        <v>8.1149306060979143E-4</v>
      </c>
      <c r="S675" s="68">
        <v>0</v>
      </c>
      <c r="T675" s="68" t="s">
        <v>36</v>
      </c>
      <c r="U675" s="68" t="s">
        <v>37</v>
      </c>
      <c r="V675" s="68" t="s">
        <v>38</v>
      </c>
      <c r="W675" s="68" t="s">
        <v>35</v>
      </c>
      <c r="X675" s="68" t="s">
        <v>35</v>
      </c>
      <c r="Y675" s="68" t="s">
        <v>35</v>
      </c>
      <c r="Z675" s="68" t="b">
        <v>0</v>
      </c>
      <c r="AA675" s="68" t="s">
        <v>35</v>
      </c>
      <c r="AB675" s="68" t="s">
        <v>35</v>
      </c>
      <c r="AC675" s="68">
        <v>5</v>
      </c>
      <c r="AD675" s="68" t="s">
        <v>35</v>
      </c>
      <c r="AE675" s="68" t="s">
        <v>2025</v>
      </c>
      <c r="AF675" s="69">
        <v>44749.40625</v>
      </c>
      <c r="AG675" s="71"/>
      <c r="AH675" s="71" t="b">
        <f t="shared" si="31"/>
        <v>0</v>
      </c>
      <c r="AI675" s="56" t="str" cm="1">
        <f t="array" ref="AI675">TRANSPOSE(_xlfn._xlws.FILTER(images!L:L,images!F:F=Barrierenmessung!A675, ""))</f>
        <v/>
      </c>
      <c r="AJ675" s="68"/>
      <c r="AK675" s="68"/>
      <c r="AL675" s="68"/>
      <c r="AM675" s="68"/>
      <c r="AN675" s="68"/>
    </row>
    <row r="676" spans="1:40" ht="16" x14ac:dyDescent="0.2">
      <c r="A676" s="2" t="s">
        <v>2187</v>
      </c>
      <c r="B676" s="46">
        <v>675</v>
      </c>
      <c r="C676" s="2" t="b">
        <v>0</v>
      </c>
      <c r="D676" s="2" t="b">
        <v>0</v>
      </c>
      <c r="E676" s="2" t="b">
        <v>0</v>
      </c>
      <c r="F676" s="2" t="b">
        <v>0</v>
      </c>
      <c r="G676" s="2" t="s">
        <v>31</v>
      </c>
      <c r="H676" s="2" t="s">
        <v>2188</v>
      </c>
      <c r="I676" s="2" t="s">
        <v>2189</v>
      </c>
      <c r="J676" s="2" t="s">
        <v>35</v>
      </c>
      <c r="K676" s="2" t="s">
        <v>35</v>
      </c>
      <c r="L676" s="2" t="s">
        <v>35</v>
      </c>
      <c r="M676" s="2" t="s">
        <v>35</v>
      </c>
      <c r="N676" s="2" t="s">
        <v>35</v>
      </c>
      <c r="O676" s="11">
        <v>44749.460616435186</v>
      </c>
      <c r="P676" s="11">
        <v>44749.461063437499</v>
      </c>
      <c r="Q676" s="27">
        <f t="shared" si="30"/>
        <v>4.4700231228489429E-4</v>
      </c>
      <c r="R676" s="65">
        <f t="shared" si="32"/>
        <v>6.5026619995478541E-4</v>
      </c>
      <c r="S676" s="2">
        <v>0</v>
      </c>
      <c r="T676" s="2" t="s">
        <v>36</v>
      </c>
      <c r="U676" s="2" t="s">
        <v>37</v>
      </c>
      <c r="V676" s="2" t="s">
        <v>38</v>
      </c>
      <c r="W676" s="2" t="s">
        <v>35</v>
      </c>
      <c r="X676" s="2" t="s">
        <v>35</v>
      </c>
      <c r="Y676" s="2" t="s">
        <v>35</v>
      </c>
      <c r="Z676" s="2" t="b">
        <v>0</v>
      </c>
      <c r="AA676" s="2" t="s">
        <v>35</v>
      </c>
      <c r="AB676" s="2" t="s">
        <v>35</v>
      </c>
      <c r="AC676" s="2" t="s">
        <v>35</v>
      </c>
      <c r="AD676" s="2">
        <v>4</v>
      </c>
      <c r="AE676" s="2" t="s">
        <v>2025</v>
      </c>
      <c r="AF676" s="11">
        <v>44749.40625</v>
      </c>
      <c r="AG676" s="53"/>
      <c r="AH676" s="53" t="b">
        <f t="shared" si="31"/>
        <v>0</v>
      </c>
      <c r="AI676" s="54" t="str" cm="1">
        <f t="array" ref="AI676">TRANSPOSE(_xlfn._xlws.FILTER(images!L:L,images!F:F=Barrierenmessung!A676, ""))</f>
        <v>https://captureandgo.cloudlab.zhaw.ch/uploads/image_66f52a3b22.jpg</v>
      </c>
      <c r="AJ676" s="2"/>
      <c r="AK676" s="2"/>
      <c r="AL676" s="2"/>
      <c r="AM676" s="2"/>
      <c r="AN676" s="2"/>
    </row>
    <row r="677" spans="1:40" ht="16" x14ac:dyDescent="0.2">
      <c r="A677" s="2" t="s">
        <v>2190</v>
      </c>
      <c r="B677" s="46">
        <v>676</v>
      </c>
      <c r="C677" s="2" t="b">
        <v>0</v>
      </c>
      <c r="D677" s="2" t="b">
        <v>0</v>
      </c>
      <c r="E677" s="2" t="b">
        <v>0</v>
      </c>
      <c r="F677" s="2" t="b">
        <v>0</v>
      </c>
      <c r="G677" s="2" t="s">
        <v>31</v>
      </c>
      <c r="H677" s="2" t="s">
        <v>2191</v>
      </c>
      <c r="I677" s="2" t="s">
        <v>2192</v>
      </c>
      <c r="J677" s="2" t="s">
        <v>35</v>
      </c>
      <c r="K677" s="2" t="s">
        <v>35</v>
      </c>
      <c r="L677" s="2" t="s">
        <v>35</v>
      </c>
      <c r="M677" s="2">
        <v>11</v>
      </c>
      <c r="N677" s="2">
        <v>15</v>
      </c>
      <c r="O677" s="11">
        <v>44749.461103182868</v>
      </c>
      <c r="P677" s="11">
        <v>44749.461617118053</v>
      </c>
      <c r="Q677" s="27">
        <f t="shared" si="30"/>
        <v>5.1393518515396863E-4</v>
      </c>
      <c r="R677" s="65">
        <f t="shared" si="32"/>
        <v>5.5368055473081768E-4</v>
      </c>
      <c r="S677" s="2">
        <v>0</v>
      </c>
      <c r="T677" s="2" t="s">
        <v>54</v>
      </c>
      <c r="U677" s="2" t="s">
        <v>55</v>
      </c>
      <c r="V677" s="2" t="s">
        <v>38</v>
      </c>
      <c r="W677" s="2" t="s">
        <v>35</v>
      </c>
      <c r="X677" s="2" t="s">
        <v>35</v>
      </c>
      <c r="Y677" s="2" t="s">
        <v>35</v>
      </c>
      <c r="Z677" s="2" t="b">
        <v>0</v>
      </c>
      <c r="AA677" s="2" t="s">
        <v>35</v>
      </c>
      <c r="AB677" s="2" t="s">
        <v>35</v>
      </c>
      <c r="AC677" s="2" t="s">
        <v>35</v>
      </c>
      <c r="AD677" s="2" t="s">
        <v>35</v>
      </c>
      <c r="AE677" s="2" t="s">
        <v>2025</v>
      </c>
      <c r="AF677" s="11">
        <v>44749.40625</v>
      </c>
      <c r="AG677" s="53"/>
      <c r="AH677" s="53" t="b">
        <f t="shared" si="31"/>
        <v>0</v>
      </c>
      <c r="AI677" s="54" t="str" cm="1">
        <f t="array" ref="AI677">TRANSPOSE(_xlfn._xlws.FILTER(images!L:L,images!F:F=Barrierenmessung!A677, ""))</f>
        <v>https://captureandgo.cloudlab.zhaw.ch/uploads/image_37c7edf7c5.jpg</v>
      </c>
      <c r="AJ677" s="2"/>
      <c r="AK677" s="2"/>
      <c r="AL677" s="2"/>
      <c r="AM677" s="2"/>
      <c r="AN677" s="2"/>
    </row>
    <row r="678" spans="1:40" ht="16" x14ac:dyDescent="0.2">
      <c r="A678" s="2" t="s">
        <v>2193</v>
      </c>
      <c r="B678" s="46">
        <v>677</v>
      </c>
      <c r="C678" s="2" t="b">
        <v>0</v>
      </c>
      <c r="D678" s="2" t="b">
        <v>0</v>
      </c>
      <c r="E678" s="2" t="b">
        <v>0</v>
      </c>
      <c r="F678" s="2" t="b">
        <v>0</v>
      </c>
      <c r="G678" s="2" t="s">
        <v>31</v>
      </c>
      <c r="H678" s="2" t="s">
        <v>2194</v>
      </c>
      <c r="I678" s="2" t="s">
        <v>2195</v>
      </c>
      <c r="J678" s="2" t="s">
        <v>2186</v>
      </c>
      <c r="K678" s="2" t="s">
        <v>35</v>
      </c>
      <c r="L678" s="2" t="s">
        <v>35</v>
      </c>
      <c r="M678" s="2" t="s">
        <v>35</v>
      </c>
      <c r="N678" s="2" t="s">
        <v>35</v>
      </c>
      <c r="O678" s="11">
        <v>44749.461686261573</v>
      </c>
      <c r="P678" s="11">
        <v>44749.462343692132</v>
      </c>
      <c r="Q678" s="27">
        <f t="shared" si="30"/>
        <v>6.5743055893108249E-4</v>
      </c>
      <c r="R678" s="65">
        <f t="shared" si="32"/>
        <v>7.2657407872611657E-4</v>
      </c>
      <c r="S678" s="2">
        <v>0</v>
      </c>
      <c r="T678" s="2" t="s">
        <v>36</v>
      </c>
      <c r="U678" s="2" t="s">
        <v>37</v>
      </c>
      <c r="V678" s="2" t="s">
        <v>38</v>
      </c>
      <c r="W678" s="2" t="s">
        <v>35</v>
      </c>
      <c r="X678" s="2" t="s">
        <v>35</v>
      </c>
      <c r="Y678" s="2" t="s">
        <v>35</v>
      </c>
      <c r="Z678" s="2" t="b">
        <v>0</v>
      </c>
      <c r="AA678" s="2" t="s">
        <v>35</v>
      </c>
      <c r="AB678" s="2" t="s">
        <v>35</v>
      </c>
      <c r="AC678" s="2">
        <v>7</v>
      </c>
      <c r="AD678" s="2" t="s">
        <v>35</v>
      </c>
      <c r="AE678" s="2" t="s">
        <v>2025</v>
      </c>
      <c r="AF678" s="11">
        <v>44749.40625</v>
      </c>
      <c r="AG678" s="53"/>
      <c r="AH678" s="53" t="b">
        <f t="shared" si="31"/>
        <v>0</v>
      </c>
      <c r="AI678" s="54" t="str" cm="1">
        <f t="array" ref="AI678">TRANSPOSE(_xlfn._xlws.FILTER(images!L:L,images!F:F=Barrierenmessung!A678, ""))</f>
        <v>https://captureandgo.cloudlab.zhaw.ch/uploads/image_1b6bcadc71.jpg</v>
      </c>
      <c r="AJ678" s="2"/>
      <c r="AK678" s="2"/>
      <c r="AL678" s="2"/>
      <c r="AM678" s="2"/>
      <c r="AN678" s="2"/>
    </row>
    <row r="679" spans="1:40" ht="16" x14ac:dyDescent="0.2">
      <c r="A679" s="4" t="s">
        <v>2196</v>
      </c>
      <c r="B679" s="4">
        <v>678</v>
      </c>
      <c r="C679" s="4" t="b">
        <v>0</v>
      </c>
      <c r="D679" s="4" t="b">
        <v>0</v>
      </c>
      <c r="E679" s="4" t="b">
        <v>0</v>
      </c>
      <c r="F679" s="4" t="b">
        <v>0</v>
      </c>
      <c r="G679" s="4" t="s">
        <v>121</v>
      </c>
      <c r="H679" s="68" t="s">
        <v>149</v>
      </c>
      <c r="I679" s="4" t="s">
        <v>2197</v>
      </c>
      <c r="J679" s="4" t="s">
        <v>2150</v>
      </c>
      <c r="K679" s="4" t="s">
        <v>35</v>
      </c>
      <c r="L679" s="4" t="s">
        <v>35</v>
      </c>
      <c r="M679" s="4" t="s">
        <v>35</v>
      </c>
      <c r="N679" s="4" t="s">
        <v>35</v>
      </c>
      <c r="O679" s="13">
        <v>44749.463344699077</v>
      </c>
      <c r="P679" s="13">
        <v>44749.463345625001</v>
      </c>
      <c r="Q679" s="15">
        <f t="shared" si="30"/>
        <v>9.2592381406575441E-7</v>
      </c>
      <c r="R679" s="15">
        <f t="shared" si="32"/>
        <v>1.0019328692578711E-3</v>
      </c>
      <c r="S679" s="4">
        <v>0</v>
      </c>
      <c r="T679" s="4" t="s">
        <v>36</v>
      </c>
      <c r="U679" s="4" t="s">
        <v>37</v>
      </c>
      <c r="V679" s="4" t="s">
        <v>38</v>
      </c>
      <c r="W679" s="4" t="s">
        <v>35</v>
      </c>
      <c r="X679" s="4" t="s">
        <v>35</v>
      </c>
      <c r="Y679" s="4" t="s">
        <v>35</v>
      </c>
      <c r="Z679" s="4" t="b">
        <v>0</v>
      </c>
      <c r="AA679" s="4" t="s">
        <v>35</v>
      </c>
      <c r="AB679" s="4" t="s">
        <v>35</v>
      </c>
      <c r="AC679" s="4">
        <v>7</v>
      </c>
      <c r="AD679" s="4" t="s">
        <v>35</v>
      </c>
      <c r="AE679" s="4" t="s">
        <v>2025</v>
      </c>
      <c r="AF679" s="13">
        <v>44749.40625</v>
      </c>
      <c r="AG679" s="58"/>
      <c r="AH679" s="58" t="str">
        <f t="shared" si="31"/>
        <v>TRUE</v>
      </c>
      <c r="AI679" s="56" t="str" cm="1">
        <f t="array" ref="AI679">TRANSPOSE(_xlfn._xlws.FILTER(images!L:L,images!F:F=Barrierenmessung!A679, ""))</f>
        <v/>
      </c>
      <c r="AJ679" s="4"/>
      <c r="AK679" s="4"/>
      <c r="AL679" s="4"/>
      <c r="AM679" s="4"/>
      <c r="AN679" s="4"/>
    </row>
    <row r="680" spans="1:40" ht="16" x14ac:dyDescent="0.2">
      <c r="A680" s="46" t="s">
        <v>2198</v>
      </c>
      <c r="B680" s="46">
        <v>679</v>
      </c>
      <c r="C680" s="46" t="b">
        <v>0</v>
      </c>
      <c r="D680" s="46" t="b">
        <v>0</v>
      </c>
      <c r="E680" s="46" t="b">
        <v>0</v>
      </c>
      <c r="F680" s="46" t="b">
        <v>0</v>
      </c>
      <c r="G680" s="46" t="s">
        <v>31</v>
      </c>
      <c r="H680" s="46" t="s">
        <v>2199</v>
      </c>
      <c r="I680" s="46" t="s">
        <v>2200</v>
      </c>
      <c r="J680" s="46" t="s">
        <v>2048</v>
      </c>
      <c r="K680" s="46" t="s">
        <v>35</v>
      </c>
      <c r="L680" s="46" t="s">
        <v>35</v>
      </c>
      <c r="M680" s="46" t="s">
        <v>35</v>
      </c>
      <c r="N680" s="46" t="s">
        <v>35</v>
      </c>
      <c r="O680" s="66">
        <v>44749.463344768519</v>
      </c>
      <c r="P680" s="66">
        <v>44749.463944641204</v>
      </c>
      <c r="Q680" s="65">
        <f t="shared" si="30"/>
        <v>5.9987268468830734E-4</v>
      </c>
      <c r="R680" s="65">
        <f t="shared" si="32"/>
        <v>5.9901620261371136E-4</v>
      </c>
      <c r="S680" s="46">
        <v>0</v>
      </c>
      <c r="T680" s="46" t="s">
        <v>36</v>
      </c>
      <c r="U680" s="46" t="s">
        <v>37</v>
      </c>
      <c r="V680" s="46" t="s">
        <v>38</v>
      </c>
      <c r="W680" s="46" t="s">
        <v>35</v>
      </c>
      <c r="X680" s="46" t="s">
        <v>35</v>
      </c>
      <c r="Y680" s="46" t="s">
        <v>35</v>
      </c>
      <c r="Z680" s="46" t="b">
        <v>0</v>
      </c>
      <c r="AA680" s="46" t="s">
        <v>35</v>
      </c>
      <c r="AB680" s="46" t="s">
        <v>35</v>
      </c>
      <c r="AC680" s="46">
        <v>5</v>
      </c>
      <c r="AD680" s="46" t="s">
        <v>35</v>
      </c>
      <c r="AE680" s="46" t="s">
        <v>2025</v>
      </c>
      <c r="AF680" s="66">
        <v>44749.40625</v>
      </c>
      <c r="AG680" s="67"/>
      <c r="AH680" s="53" t="b">
        <f t="shared" si="31"/>
        <v>0</v>
      </c>
      <c r="AI680" s="73" t="str" cm="1">
        <f t="array" ref="AI680">TRANSPOSE(_xlfn._xlws.FILTER(images!L:L,images!F:F=Barrierenmessung!A680, ""))</f>
        <v>https://captureandgo.cloudlab.zhaw.ch/uploads/image_8c8d290eb2.jpg</v>
      </c>
      <c r="AJ680" s="46"/>
      <c r="AK680" s="46"/>
      <c r="AL680" s="46"/>
      <c r="AM680" s="46"/>
      <c r="AN680" s="46"/>
    </row>
    <row r="681" spans="1:40" ht="16" x14ac:dyDescent="0.2">
      <c r="A681" s="2" t="s">
        <v>2201</v>
      </c>
      <c r="B681" s="46">
        <v>680</v>
      </c>
      <c r="C681" s="2" t="b">
        <v>0</v>
      </c>
      <c r="D681" s="2" t="b">
        <v>0</v>
      </c>
      <c r="E681" s="2" t="b">
        <v>0</v>
      </c>
      <c r="F681" s="2" t="b">
        <v>0</v>
      </c>
      <c r="G681" s="2" t="s">
        <v>31</v>
      </c>
      <c r="H681" s="2" t="s">
        <v>2202</v>
      </c>
      <c r="I681" s="2" t="s">
        <v>2203</v>
      </c>
      <c r="J681" s="2" t="s">
        <v>2150</v>
      </c>
      <c r="K681" s="2" t="s">
        <v>35</v>
      </c>
      <c r="L681" s="2" t="s">
        <v>35</v>
      </c>
      <c r="M681" s="2" t="s">
        <v>35</v>
      </c>
      <c r="N681" s="2" t="s">
        <v>35</v>
      </c>
      <c r="O681" s="11">
        <v>44749.464160034724</v>
      </c>
      <c r="P681" s="11">
        <v>44749.464430624997</v>
      </c>
      <c r="Q681" s="27">
        <f t="shared" si="30"/>
        <v>2.7059027343057096E-4</v>
      </c>
      <c r="R681" s="65">
        <f t="shared" si="32"/>
        <v>4.8598379362374544E-4</v>
      </c>
      <c r="S681" s="2">
        <v>0</v>
      </c>
      <c r="T681" s="2" t="s">
        <v>36</v>
      </c>
      <c r="U681" s="2" t="s">
        <v>37</v>
      </c>
      <c r="V681" s="2" t="s">
        <v>38</v>
      </c>
      <c r="W681" s="2" t="s">
        <v>35</v>
      </c>
      <c r="X681" s="2" t="s">
        <v>35</v>
      </c>
      <c r="Y681" s="2" t="s">
        <v>35</v>
      </c>
      <c r="Z681" s="2" t="b">
        <v>0</v>
      </c>
      <c r="AA681" s="2" t="s">
        <v>35</v>
      </c>
      <c r="AB681" s="2" t="s">
        <v>35</v>
      </c>
      <c r="AC681" s="2">
        <v>8</v>
      </c>
      <c r="AD681" s="2" t="s">
        <v>35</v>
      </c>
      <c r="AE681" s="2" t="s">
        <v>2025</v>
      </c>
      <c r="AF681" s="11">
        <v>44749.40625</v>
      </c>
      <c r="AG681" s="53"/>
      <c r="AH681" s="53" t="b">
        <f t="shared" si="31"/>
        <v>0</v>
      </c>
      <c r="AI681" s="54" t="str" cm="1">
        <f t="array" ref="AI681">TRANSPOSE(_xlfn._xlws.FILTER(images!L:L,images!F:F=Barrierenmessung!A681, ""))</f>
        <v>https://captureandgo.cloudlab.zhaw.ch/uploads/image_c2c99c21f8.jpg</v>
      </c>
      <c r="AJ681" s="2"/>
      <c r="AK681" s="2"/>
      <c r="AL681" s="2"/>
      <c r="AM681" s="2"/>
      <c r="AN681" s="2"/>
    </row>
    <row r="682" spans="1:40" ht="16" x14ac:dyDescent="0.2">
      <c r="A682" s="2" t="s">
        <v>2204</v>
      </c>
      <c r="B682" s="46">
        <v>681</v>
      </c>
      <c r="C682" s="2" t="b">
        <v>0</v>
      </c>
      <c r="D682" s="2" t="b">
        <v>0</v>
      </c>
      <c r="E682" s="2" t="b">
        <v>0</v>
      </c>
      <c r="F682" s="2" t="b">
        <v>0</v>
      </c>
      <c r="G682" s="2" t="s">
        <v>31</v>
      </c>
      <c r="H682" s="2" t="s">
        <v>2205</v>
      </c>
      <c r="I682" s="2" t="s">
        <v>2206</v>
      </c>
      <c r="J682" s="2" t="s">
        <v>2207</v>
      </c>
      <c r="K682" s="2" t="s">
        <v>35</v>
      </c>
      <c r="L682" s="2" t="s">
        <v>35</v>
      </c>
      <c r="M682" s="2" t="s">
        <v>35</v>
      </c>
      <c r="N682" s="2" t="s">
        <v>35</v>
      </c>
      <c r="O682" s="11">
        <v>44749.465451655095</v>
      </c>
      <c r="P682" s="11">
        <v>44749.465807037035</v>
      </c>
      <c r="Q682" s="27">
        <f t="shared" si="30"/>
        <v>3.5538194060791284E-4</v>
      </c>
      <c r="R682" s="65">
        <f t="shared" si="32"/>
        <v>1.376412037643604E-3</v>
      </c>
      <c r="S682" s="2">
        <v>0</v>
      </c>
      <c r="T682" s="2" t="s">
        <v>36</v>
      </c>
      <c r="U682" s="2" t="s">
        <v>37</v>
      </c>
      <c r="V682" s="2" t="s">
        <v>38</v>
      </c>
      <c r="W682" s="2" t="s">
        <v>35</v>
      </c>
      <c r="X682" s="2" t="s">
        <v>35</v>
      </c>
      <c r="Y682" s="2" t="s">
        <v>35</v>
      </c>
      <c r="Z682" s="2" t="b">
        <v>0</v>
      </c>
      <c r="AA682" s="2" t="s">
        <v>35</v>
      </c>
      <c r="AB682" s="2" t="s">
        <v>35</v>
      </c>
      <c r="AC682" s="2">
        <v>4</v>
      </c>
      <c r="AD682" s="2" t="s">
        <v>35</v>
      </c>
      <c r="AE682" s="2" t="s">
        <v>2025</v>
      </c>
      <c r="AF682" s="11">
        <v>44749.40625</v>
      </c>
      <c r="AG682" s="53"/>
      <c r="AH682" s="53" t="b">
        <f t="shared" si="31"/>
        <v>0</v>
      </c>
      <c r="AI682" s="54" t="str" cm="1">
        <f t="array" ref="AI682">TRANSPOSE(_xlfn._xlws.FILTER(images!L:L,images!F:F=Barrierenmessung!A682, ""))</f>
        <v>https://captureandgo.cloudlab.zhaw.ch/uploads/image_8e23dd3ab0.jpg</v>
      </c>
      <c r="AJ682" s="2"/>
      <c r="AK682" s="2"/>
      <c r="AL682" s="2"/>
      <c r="AM682" s="2"/>
      <c r="AN682" s="2"/>
    </row>
    <row r="683" spans="1:40" ht="16" x14ac:dyDescent="0.2">
      <c r="A683" s="2" t="s">
        <v>2208</v>
      </c>
      <c r="B683" s="46">
        <v>682</v>
      </c>
      <c r="C683" s="2" t="b">
        <v>0</v>
      </c>
      <c r="D683" s="2" t="b">
        <v>0</v>
      </c>
      <c r="E683" s="2" t="b">
        <v>0</v>
      </c>
      <c r="F683" s="2" t="b">
        <v>0</v>
      </c>
      <c r="G683" s="2" t="s">
        <v>31</v>
      </c>
      <c r="H683" s="2" t="s">
        <v>2209</v>
      </c>
      <c r="I683" s="2" t="s">
        <v>2210</v>
      </c>
      <c r="J683" s="2" t="s">
        <v>35</v>
      </c>
      <c r="K683" s="2" t="s">
        <v>35</v>
      </c>
      <c r="L683" s="2" t="s">
        <v>35</v>
      </c>
      <c r="M683" s="2" t="s">
        <v>35</v>
      </c>
      <c r="N683" s="2" t="s">
        <v>35</v>
      </c>
      <c r="O683" s="11">
        <v>44749.466160613425</v>
      </c>
      <c r="P683" s="11">
        <v>44749.466295844904</v>
      </c>
      <c r="Q683" s="27">
        <f t="shared" si="30"/>
        <v>1.3523147936211899E-4</v>
      </c>
      <c r="R683" s="65">
        <f t="shared" si="32"/>
        <v>4.8880786926019937E-4</v>
      </c>
      <c r="S683" s="2">
        <v>0</v>
      </c>
      <c r="T683" s="2" t="s">
        <v>109</v>
      </c>
      <c r="U683" s="2" t="s">
        <v>110</v>
      </c>
      <c r="V683" s="2" t="s">
        <v>38</v>
      </c>
      <c r="W683" s="2" t="s">
        <v>35</v>
      </c>
      <c r="X683" s="2">
        <v>110</v>
      </c>
      <c r="Y683" s="2" t="s">
        <v>35</v>
      </c>
      <c r="Z683" s="2" t="b">
        <v>0</v>
      </c>
      <c r="AA683" s="2" t="s">
        <v>35</v>
      </c>
      <c r="AB683" s="2" t="s">
        <v>35</v>
      </c>
      <c r="AC683" s="2" t="s">
        <v>35</v>
      </c>
      <c r="AD683" s="2" t="s">
        <v>35</v>
      </c>
      <c r="AE683" s="2" t="s">
        <v>2025</v>
      </c>
      <c r="AF683" s="11">
        <v>44749.40625</v>
      </c>
      <c r="AG683" s="53"/>
      <c r="AH683" s="53" t="b">
        <f t="shared" si="31"/>
        <v>0</v>
      </c>
      <c r="AI683" s="54" t="str" cm="1">
        <f t="array" ref="AI683">TRANSPOSE(_xlfn._xlws.FILTER(images!L:L,images!F:F=Barrierenmessung!A683, ""))</f>
        <v>https://captureandgo.cloudlab.zhaw.ch/uploads/image_15f88e6b8d.jpg</v>
      </c>
      <c r="AJ683" s="2"/>
      <c r="AK683" s="2"/>
      <c r="AL683" s="2"/>
      <c r="AM683" s="2"/>
      <c r="AN683" s="2"/>
    </row>
    <row r="684" spans="1:40" ht="16" x14ac:dyDescent="0.2">
      <c r="A684" s="2" t="s">
        <v>2211</v>
      </c>
      <c r="B684" s="46">
        <v>683</v>
      </c>
      <c r="C684" s="2" t="b">
        <v>0</v>
      </c>
      <c r="D684" s="2" t="b">
        <v>0</v>
      </c>
      <c r="E684" s="2" t="b">
        <v>0</v>
      </c>
      <c r="F684" s="2" t="b">
        <v>0</v>
      </c>
      <c r="G684" s="2" t="s">
        <v>31</v>
      </c>
      <c r="H684" s="2" t="s">
        <v>2212</v>
      </c>
      <c r="I684" s="2" t="s">
        <v>2213</v>
      </c>
      <c r="J684" s="2" t="s">
        <v>2214</v>
      </c>
      <c r="K684" s="2" t="s">
        <v>35</v>
      </c>
      <c r="L684" s="2" t="s">
        <v>35</v>
      </c>
      <c r="M684" s="2" t="s">
        <v>35</v>
      </c>
      <c r="N684" s="2" t="s">
        <v>35</v>
      </c>
      <c r="O684" s="11">
        <v>44749.466428981483</v>
      </c>
      <c r="P684" s="11">
        <v>44749.46670971065</v>
      </c>
      <c r="Q684" s="27">
        <f t="shared" si="30"/>
        <v>2.8072916757082567E-4</v>
      </c>
      <c r="R684" s="65">
        <f t="shared" si="32"/>
        <v>4.1386574594071135E-4</v>
      </c>
      <c r="S684" s="2">
        <v>0</v>
      </c>
      <c r="T684" s="2" t="s">
        <v>36</v>
      </c>
      <c r="U684" s="2" t="s">
        <v>37</v>
      </c>
      <c r="V684" s="2" t="s">
        <v>38</v>
      </c>
      <c r="W684" s="2" t="s">
        <v>35</v>
      </c>
      <c r="X684" s="2" t="s">
        <v>35</v>
      </c>
      <c r="Y684" s="2" t="s">
        <v>35</v>
      </c>
      <c r="Z684" s="2" t="b">
        <v>0</v>
      </c>
      <c r="AA684" s="2" t="s">
        <v>35</v>
      </c>
      <c r="AB684" s="2" t="s">
        <v>35</v>
      </c>
      <c r="AC684" s="2">
        <v>5</v>
      </c>
      <c r="AD684" s="2" t="s">
        <v>35</v>
      </c>
      <c r="AE684" s="2" t="s">
        <v>2025</v>
      </c>
      <c r="AF684" s="11">
        <v>44749.40625</v>
      </c>
      <c r="AG684" s="53"/>
      <c r="AH684" s="53" t="b">
        <f t="shared" si="31"/>
        <v>0</v>
      </c>
      <c r="AI684" s="54" t="str" cm="1">
        <f t="array" ref="AI684">TRANSPOSE(_xlfn._xlws.FILTER(images!L:L,images!F:F=Barrierenmessung!A684, ""))</f>
        <v>https://captureandgo.cloudlab.zhaw.ch/uploads/image_ff2cc43d6c.jpg</v>
      </c>
      <c r="AJ684" s="2"/>
      <c r="AK684" s="2"/>
      <c r="AL684" s="2"/>
      <c r="AM684" s="2"/>
      <c r="AN684" s="2"/>
    </row>
    <row r="685" spans="1:40" ht="16" x14ac:dyDescent="0.2">
      <c r="A685" s="2" t="s">
        <v>2215</v>
      </c>
      <c r="B685" s="46">
        <v>684</v>
      </c>
      <c r="C685" s="2" t="b">
        <v>0</v>
      </c>
      <c r="D685" s="2" t="b">
        <v>0</v>
      </c>
      <c r="E685" s="2" t="b">
        <v>0</v>
      </c>
      <c r="F685" s="2" t="b">
        <v>0</v>
      </c>
      <c r="G685" s="2" t="s">
        <v>31</v>
      </c>
      <c r="H685" s="2" t="s">
        <v>2216</v>
      </c>
      <c r="I685" s="2" t="s">
        <v>2217</v>
      </c>
      <c r="J685" s="2" t="s">
        <v>2214</v>
      </c>
      <c r="K685" s="2" t="s">
        <v>35</v>
      </c>
      <c r="L685" s="2" t="s">
        <v>35</v>
      </c>
      <c r="M685" s="2" t="s">
        <v>35</v>
      </c>
      <c r="N685" s="2" t="s">
        <v>35</v>
      </c>
      <c r="O685" s="11">
        <v>44749.467285810184</v>
      </c>
      <c r="P685" s="11">
        <v>44749.467579456017</v>
      </c>
      <c r="Q685" s="27">
        <f t="shared" si="30"/>
        <v>2.9364583315327764E-4</v>
      </c>
      <c r="R685" s="65">
        <f t="shared" si="32"/>
        <v>8.6974536679917946E-4</v>
      </c>
      <c r="S685" s="2">
        <v>0</v>
      </c>
      <c r="T685" s="2" t="s">
        <v>36</v>
      </c>
      <c r="U685" s="2" t="s">
        <v>37</v>
      </c>
      <c r="V685" s="2" t="s">
        <v>38</v>
      </c>
      <c r="W685" s="2" t="s">
        <v>35</v>
      </c>
      <c r="X685" s="2" t="s">
        <v>35</v>
      </c>
      <c r="Y685" s="2" t="s">
        <v>35</v>
      </c>
      <c r="Z685" s="2" t="b">
        <v>0</v>
      </c>
      <c r="AA685" s="2" t="s">
        <v>35</v>
      </c>
      <c r="AB685" s="2" t="s">
        <v>35</v>
      </c>
      <c r="AC685" s="2">
        <v>13</v>
      </c>
      <c r="AD685" s="2" t="s">
        <v>35</v>
      </c>
      <c r="AE685" s="2" t="s">
        <v>2025</v>
      </c>
      <c r="AF685" s="11">
        <v>44749.40625</v>
      </c>
      <c r="AG685" s="53"/>
      <c r="AH685" s="53" t="b">
        <f t="shared" si="31"/>
        <v>0</v>
      </c>
      <c r="AI685" s="54" t="str" cm="1">
        <f t="array" ref="AI685">TRANSPOSE(_xlfn._xlws.FILTER(images!L:L,images!F:F=Barrierenmessung!A685, ""))</f>
        <v>https://captureandgo.cloudlab.zhaw.ch/uploads/image_6f7b0aadf9.jpg</v>
      </c>
      <c r="AJ685" s="2"/>
      <c r="AK685" s="2"/>
      <c r="AL685" s="2"/>
      <c r="AM685" s="2"/>
      <c r="AN685" s="2"/>
    </row>
    <row r="686" spans="1:40" ht="16" x14ac:dyDescent="0.2">
      <c r="A686" s="2" t="s">
        <v>2218</v>
      </c>
      <c r="B686" s="46">
        <v>685</v>
      </c>
      <c r="C686" s="2" t="b">
        <v>0</v>
      </c>
      <c r="D686" s="2" t="b">
        <v>0</v>
      </c>
      <c r="E686" s="2" t="b">
        <v>0</v>
      </c>
      <c r="F686" s="2" t="b">
        <v>0</v>
      </c>
      <c r="G686" s="2" t="s">
        <v>31</v>
      </c>
      <c r="H686" s="2" t="s">
        <v>2219</v>
      </c>
      <c r="I686" s="2" t="s">
        <v>2220</v>
      </c>
      <c r="J686" s="2" t="s">
        <v>35</v>
      </c>
      <c r="K686" s="2" t="s">
        <v>35</v>
      </c>
      <c r="L686" s="2" t="s">
        <v>35</v>
      </c>
      <c r="M686" s="2">
        <v>10</v>
      </c>
      <c r="N686" s="2">
        <v>19</v>
      </c>
      <c r="O686" s="11">
        <v>44749.467897893519</v>
      </c>
      <c r="P686" s="11">
        <v>44749.46863048611</v>
      </c>
      <c r="Q686" s="27">
        <f t="shared" si="30"/>
        <v>7.3259259079350159E-4</v>
      </c>
      <c r="R686" s="65">
        <f t="shared" si="32"/>
        <v>1.0510300926398486E-3</v>
      </c>
      <c r="S686" s="2">
        <v>0</v>
      </c>
      <c r="T686" s="2" t="s">
        <v>54</v>
      </c>
      <c r="U686" s="2" t="s">
        <v>55</v>
      </c>
      <c r="V686" s="2" t="s">
        <v>38</v>
      </c>
      <c r="W686" s="2" t="s">
        <v>35</v>
      </c>
      <c r="X686" s="2" t="s">
        <v>35</v>
      </c>
      <c r="Y686" s="2" t="s">
        <v>35</v>
      </c>
      <c r="Z686" s="2" t="b">
        <v>0</v>
      </c>
      <c r="AA686" s="2" t="s">
        <v>35</v>
      </c>
      <c r="AB686" s="2" t="s">
        <v>35</v>
      </c>
      <c r="AC686" s="2" t="s">
        <v>35</v>
      </c>
      <c r="AD686" s="2" t="s">
        <v>35</v>
      </c>
      <c r="AE686" s="2" t="s">
        <v>2025</v>
      </c>
      <c r="AF686" s="11">
        <v>44749.40625</v>
      </c>
      <c r="AG686" s="53"/>
      <c r="AH686" s="53" t="b">
        <f t="shared" si="31"/>
        <v>0</v>
      </c>
      <c r="AI686" s="54" t="str" cm="1">
        <f t="array" ref="AI686:AJ686">TRANSPOSE(_xlfn._xlws.FILTER(images!L:L,images!F:F=Barrierenmessung!A686, ""))</f>
        <v>https://captureandgo.cloudlab.zhaw.ch/uploads/image_a7b9c13c7a.jpg</v>
      </c>
      <c r="AJ686" s="2" t="str">
        <v>https://captureandgo.cloudlab.zhaw.ch/uploads/image_3df3445253.jpg</v>
      </c>
      <c r="AK686" s="2"/>
      <c r="AL686" s="2"/>
      <c r="AM686" s="2"/>
      <c r="AN686" s="2"/>
    </row>
    <row r="687" spans="1:40" ht="16" x14ac:dyDescent="0.2">
      <c r="A687" s="2" t="s">
        <v>2221</v>
      </c>
      <c r="B687" s="46">
        <v>686</v>
      </c>
      <c r="C687" s="2" t="b">
        <v>0</v>
      </c>
      <c r="D687" s="2" t="b">
        <v>0</v>
      </c>
      <c r="E687" s="2" t="b">
        <v>0</v>
      </c>
      <c r="F687" s="2" t="b">
        <v>0</v>
      </c>
      <c r="G687" s="2" t="s">
        <v>31</v>
      </c>
      <c r="H687" s="2" t="s">
        <v>2222</v>
      </c>
      <c r="I687" s="2" t="s">
        <v>2223</v>
      </c>
      <c r="J687" s="2" t="s">
        <v>35</v>
      </c>
      <c r="K687" s="2" t="s">
        <v>35</v>
      </c>
      <c r="L687" s="2" t="s">
        <v>35</v>
      </c>
      <c r="M687" s="2">
        <v>18</v>
      </c>
      <c r="N687" s="2">
        <v>16</v>
      </c>
      <c r="O687" s="11">
        <v>44749.468681284721</v>
      </c>
      <c r="P687" s="11">
        <v>44749.468975844909</v>
      </c>
      <c r="Q687" s="27">
        <f t="shared" si="30"/>
        <v>2.9456018819473684E-4</v>
      </c>
      <c r="R687" s="65">
        <f t="shared" si="32"/>
        <v>3.4535879967734218E-4</v>
      </c>
      <c r="S687" s="2">
        <v>0</v>
      </c>
      <c r="T687" s="2" t="s">
        <v>54</v>
      </c>
      <c r="U687" s="2" t="s">
        <v>55</v>
      </c>
      <c r="V687" s="2" t="s">
        <v>38</v>
      </c>
      <c r="W687" s="2" t="s">
        <v>35</v>
      </c>
      <c r="X687" s="2" t="s">
        <v>35</v>
      </c>
      <c r="Y687" s="2" t="s">
        <v>35</v>
      </c>
      <c r="Z687" s="2" t="b">
        <v>0</v>
      </c>
      <c r="AA687" s="2" t="s">
        <v>35</v>
      </c>
      <c r="AB687" s="2" t="s">
        <v>35</v>
      </c>
      <c r="AC687" s="2" t="s">
        <v>35</v>
      </c>
      <c r="AD687" s="2" t="s">
        <v>35</v>
      </c>
      <c r="AE687" s="2" t="s">
        <v>2025</v>
      </c>
      <c r="AF687" s="11">
        <v>44749.40625</v>
      </c>
      <c r="AG687" s="53"/>
      <c r="AH687" s="53" t="b">
        <f t="shared" si="31"/>
        <v>0</v>
      </c>
      <c r="AI687" s="54" t="str" cm="1">
        <f t="array" ref="AI687">TRANSPOSE(_xlfn._xlws.FILTER(images!L:L,images!F:F=Barrierenmessung!A687, ""))</f>
        <v>https://captureandgo.cloudlab.zhaw.ch/uploads/image_c798b41768.jpg</v>
      </c>
      <c r="AJ687" s="2"/>
      <c r="AK687" s="2"/>
      <c r="AL687" s="2"/>
      <c r="AM687" s="2"/>
      <c r="AN687" s="2"/>
    </row>
    <row r="688" spans="1:40" ht="16" x14ac:dyDescent="0.2">
      <c r="A688" s="2" t="s">
        <v>2224</v>
      </c>
      <c r="B688" s="46">
        <v>687</v>
      </c>
      <c r="C688" s="2" t="b">
        <v>0</v>
      </c>
      <c r="D688" s="2" t="b">
        <v>0</v>
      </c>
      <c r="E688" s="2" t="b">
        <v>0</v>
      </c>
      <c r="F688" s="2" t="b">
        <v>0</v>
      </c>
      <c r="G688" s="2" t="s">
        <v>31</v>
      </c>
      <c r="H688" s="2" t="s">
        <v>2225</v>
      </c>
      <c r="I688" s="2" t="s">
        <v>2226</v>
      </c>
      <c r="J688" s="2" t="s">
        <v>2214</v>
      </c>
      <c r="K688" s="2" t="s">
        <v>35</v>
      </c>
      <c r="L688" s="2" t="s">
        <v>35</v>
      </c>
      <c r="M688" s="2" t="s">
        <v>35</v>
      </c>
      <c r="N688" s="2" t="s">
        <v>35</v>
      </c>
      <c r="O688" s="11">
        <v>44749.469154305552</v>
      </c>
      <c r="P688" s="11">
        <v>44749.469408460645</v>
      </c>
      <c r="Q688" s="27">
        <f t="shared" si="30"/>
        <v>2.5415509298909456E-4</v>
      </c>
      <c r="R688" s="65">
        <f t="shared" si="32"/>
        <v>4.3261573591735214E-4</v>
      </c>
      <c r="S688" s="2">
        <v>0</v>
      </c>
      <c r="T688" s="2" t="s">
        <v>36</v>
      </c>
      <c r="U688" s="2" t="s">
        <v>37</v>
      </c>
      <c r="V688" s="2" t="s">
        <v>38</v>
      </c>
      <c r="W688" s="2" t="s">
        <v>35</v>
      </c>
      <c r="X688" s="2" t="s">
        <v>35</v>
      </c>
      <c r="Y688" s="2" t="s">
        <v>35</v>
      </c>
      <c r="Z688" s="2" t="b">
        <v>0</v>
      </c>
      <c r="AA688" s="2" t="s">
        <v>35</v>
      </c>
      <c r="AB688" s="2" t="s">
        <v>35</v>
      </c>
      <c r="AC688" s="2">
        <v>4</v>
      </c>
      <c r="AD688" s="2">
        <v>3</v>
      </c>
      <c r="AE688" s="2" t="s">
        <v>2025</v>
      </c>
      <c r="AF688" s="11">
        <v>44749.40625</v>
      </c>
      <c r="AG688" s="53"/>
      <c r="AH688" s="53" t="b">
        <f t="shared" si="31"/>
        <v>0</v>
      </c>
      <c r="AI688" s="54" t="str" cm="1">
        <f t="array" ref="AI688">TRANSPOSE(_xlfn._xlws.FILTER(images!L:L,images!F:F=Barrierenmessung!A688, ""))</f>
        <v>https://captureandgo.cloudlab.zhaw.ch/uploads/image_1a1bb19fb5.jpg</v>
      </c>
      <c r="AJ688" s="2"/>
      <c r="AK688" s="2"/>
      <c r="AL688" s="2"/>
      <c r="AM688" s="2"/>
      <c r="AN688" s="2"/>
    </row>
    <row r="689" spans="1:40" ht="16" x14ac:dyDescent="0.2">
      <c r="A689" s="2" t="s">
        <v>2227</v>
      </c>
      <c r="B689" s="46">
        <v>688</v>
      </c>
      <c r="C689" s="2" t="b">
        <v>0</v>
      </c>
      <c r="D689" s="2" t="b">
        <v>0</v>
      </c>
      <c r="E689" s="2" t="b">
        <v>0</v>
      </c>
      <c r="F689" s="2" t="b">
        <v>0</v>
      </c>
      <c r="G689" s="2" t="s">
        <v>31</v>
      </c>
      <c r="H689" s="2" t="s">
        <v>2228</v>
      </c>
      <c r="I689" s="2" t="s">
        <v>2229</v>
      </c>
      <c r="J689" s="2" t="s">
        <v>35</v>
      </c>
      <c r="K689" s="2" t="s">
        <v>35</v>
      </c>
      <c r="L689" s="2" t="s">
        <v>35</v>
      </c>
      <c r="M689" s="2" t="s">
        <v>35</v>
      </c>
      <c r="N689" s="2" t="s">
        <v>35</v>
      </c>
      <c r="O689" s="11">
        <v>44749.47212982639</v>
      </c>
      <c r="P689" s="11">
        <v>44749.472342939815</v>
      </c>
      <c r="Q689" s="27">
        <f t="shared" si="30"/>
        <v>2.1311342425178736E-4</v>
      </c>
      <c r="R689" s="65">
        <f t="shared" si="32"/>
        <v>2.9344791691983119E-3</v>
      </c>
      <c r="S689" s="2">
        <v>0</v>
      </c>
      <c r="T689" s="2" t="s">
        <v>109</v>
      </c>
      <c r="U689" s="2" t="s">
        <v>110</v>
      </c>
      <c r="V689" s="2" t="s">
        <v>38</v>
      </c>
      <c r="W689" s="2" t="s">
        <v>35</v>
      </c>
      <c r="X689" s="2">
        <v>105</v>
      </c>
      <c r="Y689" s="2" t="s">
        <v>35</v>
      </c>
      <c r="Z689" s="2" t="b">
        <v>0</v>
      </c>
      <c r="AA689" s="2" t="s">
        <v>35</v>
      </c>
      <c r="AB689" s="2" t="s">
        <v>35</v>
      </c>
      <c r="AC689" s="2" t="s">
        <v>35</v>
      </c>
      <c r="AD689" s="2" t="s">
        <v>35</v>
      </c>
      <c r="AE689" s="2" t="s">
        <v>2025</v>
      </c>
      <c r="AF689" s="11">
        <v>44749.40625</v>
      </c>
      <c r="AG689" s="53"/>
      <c r="AH689" s="53" t="b">
        <f t="shared" si="31"/>
        <v>0</v>
      </c>
      <c r="AI689" s="54" t="str" cm="1">
        <f t="array" ref="AI689">TRANSPOSE(_xlfn._xlws.FILTER(images!L:L,images!F:F=Barrierenmessung!A689, ""))</f>
        <v>https://captureandgo.cloudlab.zhaw.ch/uploads/image_7c4bb6f3b3.jpg</v>
      </c>
      <c r="AJ689" s="2"/>
      <c r="AK689" s="2"/>
      <c r="AL689" s="2"/>
      <c r="AM689" s="2"/>
      <c r="AN689" s="2"/>
    </row>
    <row r="690" spans="1:40" ht="16" x14ac:dyDescent="0.2">
      <c r="A690" s="2" t="s">
        <v>2230</v>
      </c>
      <c r="B690" s="46">
        <v>689</v>
      </c>
      <c r="C690" s="2" t="b">
        <v>0</v>
      </c>
      <c r="D690" s="2" t="b">
        <v>0</v>
      </c>
      <c r="E690" s="2" t="b">
        <v>0</v>
      </c>
      <c r="F690" s="2" t="b">
        <v>0</v>
      </c>
      <c r="G690" s="2" t="s">
        <v>31</v>
      </c>
      <c r="H690" s="2" t="s">
        <v>2231</v>
      </c>
      <c r="I690" s="2" t="s">
        <v>2232</v>
      </c>
      <c r="J690" s="2" t="s">
        <v>2233</v>
      </c>
      <c r="K690" s="2" t="s">
        <v>35</v>
      </c>
      <c r="L690" s="2" t="s">
        <v>35</v>
      </c>
      <c r="M690" s="2" t="s">
        <v>35</v>
      </c>
      <c r="N690" s="2" t="s">
        <v>35</v>
      </c>
      <c r="O690" s="11">
        <v>44749.472674675926</v>
      </c>
      <c r="P690" s="11">
        <v>44749.473871527778</v>
      </c>
      <c r="Q690" s="27">
        <f t="shared" si="30"/>
        <v>1.196851852000691E-3</v>
      </c>
      <c r="R690" s="65">
        <f t="shared" si="32"/>
        <v>1.5285879635484889E-3</v>
      </c>
      <c r="S690" s="2">
        <v>0</v>
      </c>
      <c r="T690" s="2" t="s">
        <v>36</v>
      </c>
      <c r="U690" s="2" t="s">
        <v>37</v>
      </c>
      <c r="V690" s="2" t="s">
        <v>38</v>
      </c>
      <c r="W690" s="2" t="s">
        <v>35</v>
      </c>
      <c r="X690" s="2" t="s">
        <v>35</v>
      </c>
      <c r="Y690" s="2" t="s">
        <v>35</v>
      </c>
      <c r="Z690" s="2" t="b">
        <v>0</v>
      </c>
      <c r="AA690" s="2" t="s">
        <v>35</v>
      </c>
      <c r="AB690" s="2" t="s">
        <v>35</v>
      </c>
      <c r="AC690" s="2">
        <v>4</v>
      </c>
      <c r="AD690" s="2">
        <v>2</v>
      </c>
      <c r="AE690" s="2" t="s">
        <v>2025</v>
      </c>
      <c r="AF690" s="11">
        <v>44749.40625</v>
      </c>
      <c r="AG690" s="53"/>
      <c r="AH690" s="53" t="b">
        <f t="shared" si="31"/>
        <v>0</v>
      </c>
      <c r="AI690" s="54" t="str" cm="1">
        <f t="array" ref="AI690">TRANSPOSE(_xlfn._xlws.FILTER(images!L:L,images!F:F=Barrierenmessung!A690, ""))</f>
        <v>https://captureandgo.cloudlab.zhaw.ch/uploads/image_ff265609cb.jpg</v>
      </c>
      <c r="AJ690" s="2"/>
      <c r="AK690" s="2"/>
      <c r="AL690" s="2"/>
      <c r="AM690" s="2"/>
      <c r="AN690" s="2"/>
    </row>
    <row r="691" spans="1:40" ht="16" x14ac:dyDescent="0.2">
      <c r="A691" s="2" t="s">
        <v>2234</v>
      </c>
      <c r="B691" s="46">
        <v>690</v>
      </c>
      <c r="C691" s="2" t="b">
        <v>0</v>
      </c>
      <c r="D691" s="2" t="b">
        <v>0</v>
      </c>
      <c r="E691" s="2" t="b">
        <v>0</v>
      </c>
      <c r="F691" s="2" t="b">
        <v>0</v>
      </c>
      <c r="G691" s="2" t="s">
        <v>31</v>
      </c>
      <c r="H691" s="2" t="s">
        <v>2235</v>
      </c>
      <c r="I691" s="2" t="s">
        <v>2236</v>
      </c>
      <c r="J691" s="2" t="s">
        <v>35</v>
      </c>
      <c r="K691" s="2" t="s">
        <v>35</v>
      </c>
      <c r="L691" s="2" t="s">
        <v>35</v>
      </c>
      <c r="M691" s="2">
        <v>12</v>
      </c>
      <c r="N691" s="2">
        <v>20</v>
      </c>
      <c r="O691" s="11">
        <v>44749.474029456018</v>
      </c>
      <c r="P691" s="11">
        <v>44749.474587013887</v>
      </c>
      <c r="Q691" s="27">
        <f t="shared" si="30"/>
        <v>5.5755786888767034E-4</v>
      </c>
      <c r="R691" s="65">
        <f t="shared" si="32"/>
        <v>7.1548610867466778E-4</v>
      </c>
      <c r="S691" s="2">
        <v>0</v>
      </c>
      <c r="T691" s="2" t="s">
        <v>54</v>
      </c>
      <c r="U691" s="2" t="s">
        <v>55</v>
      </c>
      <c r="V691" s="2" t="s">
        <v>38</v>
      </c>
      <c r="W691" s="2" t="s">
        <v>35</v>
      </c>
      <c r="X691" s="2" t="s">
        <v>35</v>
      </c>
      <c r="Y691" s="2" t="s">
        <v>35</v>
      </c>
      <c r="Z691" s="2" t="b">
        <v>0</v>
      </c>
      <c r="AA691" s="2" t="s">
        <v>35</v>
      </c>
      <c r="AB691" s="2" t="s">
        <v>35</v>
      </c>
      <c r="AC691" s="2" t="s">
        <v>35</v>
      </c>
      <c r="AD691" s="2" t="s">
        <v>35</v>
      </c>
      <c r="AE691" s="2" t="s">
        <v>2025</v>
      </c>
      <c r="AF691" s="11">
        <v>44749.40625</v>
      </c>
      <c r="AG691" s="53"/>
      <c r="AH691" s="53" t="b">
        <f t="shared" si="31"/>
        <v>0</v>
      </c>
      <c r="AI691" s="54" t="str" cm="1">
        <f t="array" ref="AI691:AK691">TRANSPOSE(_xlfn._xlws.FILTER(images!L:L,images!F:F=Barrierenmessung!A691, ""))</f>
        <v>https://captureandgo.cloudlab.zhaw.ch/uploads/image_8934a3cca1.jpg</v>
      </c>
      <c r="AJ691" s="2" t="str">
        <v>https://captureandgo.cloudlab.zhaw.ch/uploads/image_bd9eaafd70.jpg</v>
      </c>
      <c r="AK691" s="2" t="str">
        <v>https://captureandgo.cloudlab.zhaw.ch/uploads/image_ffeb6843d1.jpg</v>
      </c>
      <c r="AL691" s="2"/>
      <c r="AM691" s="2"/>
      <c r="AN691" s="2"/>
    </row>
    <row r="692" spans="1:40" ht="16" x14ac:dyDescent="0.2">
      <c r="A692" s="2" t="s">
        <v>2237</v>
      </c>
      <c r="B692" s="46">
        <v>691</v>
      </c>
      <c r="C692" s="2" t="b">
        <v>0</v>
      </c>
      <c r="D692" s="2" t="b">
        <v>0</v>
      </c>
      <c r="E692" s="2" t="b">
        <v>0</v>
      </c>
      <c r="F692" s="2" t="b">
        <v>0</v>
      </c>
      <c r="G692" s="2" t="s">
        <v>31</v>
      </c>
      <c r="H692" s="2" t="s">
        <v>2238</v>
      </c>
      <c r="I692" s="2" t="s">
        <v>2239</v>
      </c>
      <c r="J692" s="2" t="s">
        <v>35</v>
      </c>
      <c r="K692" s="2" t="s">
        <v>35</v>
      </c>
      <c r="L692" s="2" t="s">
        <v>35</v>
      </c>
      <c r="M692" s="2">
        <v>19</v>
      </c>
      <c r="N692" s="2">
        <v>14</v>
      </c>
      <c r="O692" s="11">
        <v>44749.474626539355</v>
      </c>
      <c r="P692" s="11">
        <v>44749.475161099537</v>
      </c>
      <c r="Q692" s="27">
        <f t="shared" si="30"/>
        <v>5.3456018213182688E-4</v>
      </c>
      <c r="R692" s="65">
        <f t="shared" si="32"/>
        <v>5.7408565044170246E-4</v>
      </c>
      <c r="S692" s="2">
        <v>0</v>
      </c>
      <c r="T692" s="2" t="s">
        <v>54</v>
      </c>
      <c r="U692" s="2" t="s">
        <v>55</v>
      </c>
      <c r="V692" s="2" t="s">
        <v>38</v>
      </c>
      <c r="W692" s="2" t="s">
        <v>35</v>
      </c>
      <c r="X692" s="2" t="s">
        <v>35</v>
      </c>
      <c r="Y692" s="2" t="s">
        <v>35</v>
      </c>
      <c r="Z692" s="2" t="b">
        <v>0</v>
      </c>
      <c r="AA692" s="2" t="s">
        <v>35</v>
      </c>
      <c r="AB692" s="2" t="s">
        <v>35</v>
      </c>
      <c r="AC692" s="2" t="s">
        <v>35</v>
      </c>
      <c r="AD692" s="2" t="s">
        <v>35</v>
      </c>
      <c r="AE692" s="2" t="s">
        <v>2025</v>
      </c>
      <c r="AF692" s="11">
        <v>44749.40625</v>
      </c>
      <c r="AG692" s="53"/>
      <c r="AH692" s="53" t="b">
        <f t="shared" si="31"/>
        <v>0</v>
      </c>
      <c r="AI692" s="54" t="str" cm="1">
        <f t="array" ref="AI692">TRANSPOSE(_xlfn._xlws.FILTER(images!L:L,images!F:F=Barrierenmessung!A692, ""))</f>
        <v>https://captureandgo.cloudlab.zhaw.ch/uploads/image_fb9677975b.jpg</v>
      </c>
      <c r="AJ692" s="2"/>
      <c r="AK692" s="2"/>
      <c r="AL692" s="2"/>
      <c r="AM692" s="2"/>
      <c r="AN692" s="2"/>
    </row>
    <row r="693" spans="1:40" ht="16" x14ac:dyDescent="0.2">
      <c r="A693" s="2" t="s">
        <v>2240</v>
      </c>
      <c r="B693" s="46">
        <v>692</v>
      </c>
      <c r="C693" s="2" t="b">
        <v>0</v>
      </c>
      <c r="D693" s="2" t="b">
        <v>0</v>
      </c>
      <c r="E693" s="2" t="b">
        <v>0</v>
      </c>
      <c r="F693" s="2" t="b">
        <v>0</v>
      </c>
      <c r="G693" s="2" t="s">
        <v>31</v>
      </c>
      <c r="H693" s="2" t="s">
        <v>2241</v>
      </c>
      <c r="I693" s="2" t="s">
        <v>2242</v>
      </c>
      <c r="J693" s="2" t="s">
        <v>35</v>
      </c>
      <c r="K693" s="2" t="s">
        <v>35</v>
      </c>
      <c r="L693" s="2">
        <v>5</v>
      </c>
      <c r="M693" s="2" t="s">
        <v>35</v>
      </c>
      <c r="N693" s="2" t="s">
        <v>35</v>
      </c>
      <c r="O693" s="11">
        <v>44749.475365625003</v>
      </c>
      <c r="P693" s="11">
        <v>44749.475480937501</v>
      </c>
      <c r="Q693" s="27">
        <f t="shared" si="30"/>
        <v>1.1531249765539542E-4</v>
      </c>
      <c r="R693" s="65">
        <f t="shared" si="32"/>
        <v>3.198379636160098E-4</v>
      </c>
      <c r="S693" s="2">
        <v>0</v>
      </c>
      <c r="T693" s="2" t="s">
        <v>265</v>
      </c>
      <c r="U693" s="2" t="s">
        <v>266</v>
      </c>
      <c r="V693" s="2" t="s">
        <v>38</v>
      </c>
      <c r="W693" s="2" t="s">
        <v>35</v>
      </c>
      <c r="X693" s="2" t="s">
        <v>35</v>
      </c>
      <c r="Y693" s="2" t="s">
        <v>35</v>
      </c>
      <c r="Z693" s="2" t="b">
        <v>0</v>
      </c>
      <c r="AA693" s="2" t="s">
        <v>35</v>
      </c>
      <c r="AB693" s="2" t="s">
        <v>35</v>
      </c>
      <c r="AC693" s="2" t="s">
        <v>35</v>
      </c>
      <c r="AD693" s="2" t="s">
        <v>35</v>
      </c>
      <c r="AE693" s="2" t="s">
        <v>2025</v>
      </c>
      <c r="AF693" s="11">
        <v>44749.40625</v>
      </c>
      <c r="AG693" s="53"/>
      <c r="AH693" s="53" t="b">
        <f t="shared" si="31"/>
        <v>0</v>
      </c>
      <c r="AI693" s="54" t="str" cm="1">
        <f t="array" ref="AI693">TRANSPOSE(_xlfn._xlws.FILTER(images!L:L,images!F:F=Barrierenmessung!A693, ""))</f>
        <v>https://captureandgo.cloudlab.zhaw.ch/uploads/image_a92013c5db.jpg</v>
      </c>
      <c r="AJ693" s="2"/>
      <c r="AK693" s="2"/>
      <c r="AL693" s="2"/>
      <c r="AM693" s="2"/>
      <c r="AN693" s="2"/>
    </row>
    <row r="694" spans="1:40" ht="16" x14ac:dyDescent="0.2">
      <c r="A694" s="2" t="s">
        <v>2243</v>
      </c>
      <c r="B694" s="46">
        <v>693</v>
      </c>
      <c r="C694" s="2" t="b">
        <v>0</v>
      </c>
      <c r="D694" s="2" t="b">
        <v>0</v>
      </c>
      <c r="E694" s="2" t="b">
        <v>0</v>
      </c>
      <c r="F694" s="2" t="b">
        <v>0</v>
      </c>
      <c r="G694" s="2" t="s">
        <v>31</v>
      </c>
      <c r="H694" s="2" t="s">
        <v>2244</v>
      </c>
      <c r="I694" s="2" t="s">
        <v>2245</v>
      </c>
      <c r="J694" s="2" t="s">
        <v>2246</v>
      </c>
      <c r="K694" s="2" t="s">
        <v>35</v>
      </c>
      <c r="L694" s="2" t="s">
        <v>35</v>
      </c>
      <c r="M694" s="2" t="s">
        <v>35</v>
      </c>
      <c r="N694" s="2" t="s">
        <v>35</v>
      </c>
      <c r="O694" s="11">
        <v>44749.47556579861</v>
      </c>
      <c r="P694" s="11">
        <v>44749.476238530093</v>
      </c>
      <c r="Q694" s="27">
        <f t="shared" si="30"/>
        <v>6.7273148306412622E-4</v>
      </c>
      <c r="R694" s="65">
        <f t="shared" si="32"/>
        <v>7.5759259198093787E-4</v>
      </c>
      <c r="S694" s="2">
        <v>0</v>
      </c>
      <c r="T694" s="2" t="s">
        <v>36</v>
      </c>
      <c r="U694" s="2" t="s">
        <v>37</v>
      </c>
      <c r="V694" s="2" t="s">
        <v>38</v>
      </c>
      <c r="W694" s="2" t="s">
        <v>35</v>
      </c>
      <c r="X694" s="2" t="s">
        <v>35</v>
      </c>
      <c r="Y694" s="2" t="s">
        <v>35</v>
      </c>
      <c r="Z694" s="2" t="b">
        <v>0</v>
      </c>
      <c r="AA694" s="2" t="s">
        <v>35</v>
      </c>
      <c r="AB694" s="2" t="s">
        <v>35</v>
      </c>
      <c r="AC694" s="2">
        <v>6</v>
      </c>
      <c r="AD694" s="2" t="s">
        <v>35</v>
      </c>
      <c r="AE694" s="2" t="s">
        <v>2025</v>
      </c>
      <c r="AF694" s="11">
        <v>44749.40625</v>
      </c>
      <c r="AG694" s="53"/>
      <c r="AH694" s="53" t="b">
        <f t="shared" si="31"/>
        <v>0</v>
      </c>
      <c r="AI694" s="54" t="str" cm="1">
        <f t="array" ref="AI694">TRANSPOSE(_xlfn._xlws.FILTER(images!L:L,images!F:F=Barrierenmessung!A694, ""))</f>
        <v>https://captureandgo.cloudlab.zhaw.ch/uploads/image_62f98829c3.jpg</v>
      </c>
      <c r="AJ694" s="2"/>
      <c r="AK694" s="2"/>
      <c r="AL694" s="2"/>
      <c r="AM694" s="2"/>
      <c r="AN694" s="2"/>
    </row>
    <row r="695" spans="1:40" ht="16" x14ac:dyDescent="0.2">
      <c r="A695" s="2" t="s">
        <v>2247</v>
      </c>
      <c r="B695" s="46">
        <v>694</v>
      </c>
      <c r="C695" s="2" t="b">
        <v>0</v>
      </c>
      <c r="D695" s="2" t="b">
        <v>0</v>
      </c>
      <c r="E695" s="2" t="b">
        <v>0</v>
      </c>
      <c r="F695" s="2" t="b">
        <v>0</v>
      </c>
      <c r="G695" s="2" t="s">
        <v>31</v>
      </c>
      <c r="H695" s="2" t="s">
        <v>2248</v>
      </c>
      <c r="I695" s="2" t="s">
        <v>2249</v>
      </c>
      <c r="J695" s="2" t="s">
        <v>35</v>
      </c>
      <c r="K695" s="2" t="s">
        <v>35</v>
      </c>
      <c r="L695" s="2" t="s">
        <v>35</v>
      </c>
      <c r="M695" s="2">
        <v>17</v>
      </c>
      <c r="N695" s="2">
        <v>15</v>
      </c>
      <c r="O695" s="11">
        <v>44749.476710694442</v>
      </c>
      <c r="P695" s="11">
        <v>44749.477030972223</v>
      </c>
      <c r="Q695" s="27">
        <f t="shared" si="30"/>
        <v>3.2027778070187196E-4</v>
      </c>
      <c r="R695" s="65">
        <f t="shared" si="32"/>
        <v>7.924421297502704E-4</v>
      </c>
      <c r="S695" s="2">
        <v>0</v>
      </c>
      <c r="T695" s="2" t="s">
        <v>54</v>
      </c>
      <c r="U695" s="2" t="s">
        <v>55</v>
      </c>
      <c r="V695" s="2" t="s">
        <v>38</v>
      </c>
      <c r="W695" s="2" t="s">
        <v>35</v>
      </c>
      <c r="X695" s="2" t="s">
        <v>35</v>
      </c>
      <c r="Y695" s="2" t="s">
        <v>35</v>
      </c>
      <c r="Z695" s="2" t="b">
        <v>0</v>
      </c>
      <c r="AA695" s="2" t="s">
        <v>35</v>
      </c>
      <c r="AB695" s="2" t="s">
        <v>35</v>
      </c>
      <c r="AC695" s="2" t="s">
        <v>35</v>
      </c>
      <c r="AD695" s="2" t="s">
        <v>35</v>
      </c>
      <c r="AE695" s="2" t="s">
        <v>2025</v>
      </c>
      <c r="AF695" s="11">
        <v>44749.40625</v>
      </c>
      <c r="AG695" s="53"/>
      <c r="AH695" s="53" t="b">
        <f t="shared" si="31"/>
        <v>0</v>
      </c>
      <c r="AI695" s="54" t="str" cm="1">
        <f t="array" ref="AI695">TRANSPOSE(_xlfn._xlws.FILTER(images!L:L,images!F:F=Barrierenmessung!A695, ""))</f>
        <v>https://captureandgo.cloudlab.zhaw.ch/uploads/image_9d6d3d8d8f.jpg</v>
      </c>
      <c r="AJ695" s="2"/>
      <c r="AK695" s="2"/>
      <c r="AL695" s="2"/>
      <c r="AM695" s="2"/>
      <c r="AN695" s="2"/>
    </row>
    <row r="696" spans="1:40" ht="16" x14ac:dyDescent="0.2">
      <c r="A696" s="2" t="s">
        <v>2250</v>
      </c>
      <c r="B696" s="46">
        <v>695</v>
      </c>
      <c r="C696" s="2" t="b">
        <v>0</v>
      </c>
      <c r="D696" s="2" t="b">
        <v>0</v>
      </c>
      <c r="E696" s="2" t="b">
        <v>0</v>
      </c>
      <c r="F696" s="2" t="b">
        <v>0</v>
      </c>
      <c r="G696" s="2" t="s">
        <v>31</v>
      </c>
      <c r="H696" s="2" t="s">
        <v>2251</v>
      </c>
      <c r="I696" s="2" t="s">
        <v>2252</v>
      </c>
      <c r="J696" s="2" t="s">
        <v>35</v>
      </c>
      <c r="K696" s="2" t="s">
        <v>35</v>
      </c>
      <c r="L696" s="2">
        <v>5</v>
      </c>
      <c r="M696" s="2" t="s">
        <v>35</v>
      </c>
      <c r="N696" s="2" t="s">
        <v>35</v>
      </c>
      <c r="O696" s="11">
        <v>44749.477673136571</v>
      </c>
      <c r="P696" s="11">
        <v>44749.47783358796</v>
      </c>
      <c r="Q696" s="27">
        <f t="shared" si="30"/>
        <v>1.6045138909248635E-4</v>
      </c>
      <c r="R696" s="65">
        <f t="shared" si="32"/>
        <v>8.0261573748430237E-4</v>
      </c>
      <c r="S696" s="2">
        <v>0</v>
      </c>
      <c r="T696" s="2" t="s">
        <v>265</v>
      </c>
      <c r="U696" s="2" t="s">
        <v>266</v>
      </c>
      <c r="V696" s="2" t="s">
        <v>38</v>
      </c>
      <c r="W696" s="2" t="s">
        <v>35</v>
      </c>
      <c r="X696" s="2" t="s">
        <v>35</v>
      </c>
      <c r="Y696" s="2" t="s">
        <v>35</v>
      </c>
      <c r="Z696" s="2" t="b">
        <v>0</v>
      </c>
      <c r="AA696" s="2" t="s">
        <v>35</v>
      </c>
      <c r="AB696" s="2" t="s">
        <v>35</v>
      </c>
      <c r="AC696" s="2" t="s">
        <v>35</v>
      </c>
      <c r="AD696" s="2" t="s">
        <v>35</v>
      </c>
      <c r="AE696" s="2" t="s">
        <v>2025</v>
      </c>
      <c r="AF696" s="11">
        <v>44749.40625</v>
      </c>
      <c r="AG696" s="53"/>
      <c r="AH696" s="53" t="b">
        <f t="shared" si="31"/>
        <v>0</v>
      </c>
      <c r="AI696" s="54" t="str" cm="1">
        <f t="array" ref="AI696">TRANSPOSE(_xlfn._xlws.FILTER(images!L:L,images!F:F=Barrierenmessung!A696, ""))</f>
        <v>https://captureandgo.cloudlab.zhaw.ch/uploads/image_958dd92e26.jpg</v>
      </c>
      <c r="AJ696" s="2"/>
      <c r="AK696" s="2"/>
      <c r="AL696" s="2"/>
      <c r="AM696" s="2"/>
      <c r="AN696" s="2"/>
    </row>
    <row r="697" spans="1:40" ht="16" x14ac:dyDescent="0.2">
      <c r="A697" s="2" t="s">
        <v>2253</v>
      </c>
      <c r="B697" s="46">
        <v>696</v>
      </c>
      <c r="C697" s="2" t="b">
        <v>0</v>
      </c>
      <c r="D697" s="2" t="b">
        <v>0</v>
      </c>
      <c r="E697" s="2" t="b">
        <v>0</v>
      </c>
      <c r="F697" s="2" t="b">
        <v>0</v>
      </c>
      <c r="G697" s="2" t="s">
        <v>31</v>
      </c>
      <c r="H697" s="2" t="s">
        <v>2254</v>
      </c>
      <c r="I697" s="2" t="s">
        <v>2255</v>
      </c>
      <c r="J697" s="2" t="s">
        <v>2256</v>
      </c>
      <c r="K697" s="2" t="s">
        <v>35</v>
      </c>
      <c r="L697" s="2" t="s">
        <v>35</v>
      </c>
      <c r="M697" s="2">
        <v>4</v>
      </c>
      <c r="N697" s="2">
        <v>10</v>
      </c>
      <c r="O697" s="11">
        <v>44749.477911631948</v>
      </c>
      <c r="P697" s="11">
        <v>44749.478878437498</v>
      </c>
      <c r="Q697" s="27">
        <f t="shared" si="30"/>
        <v>9.6680554997874424E-4</v>
      </c>
      <c r="R697" s="65">
        <f t="shared" si="32"/>
        <v>1.0448495377204381E-3</v>
      </c>
      <c r="S697" s="2">
        <v>0</v>
      </c>
      <c r="T697" s="2" t="s">
        <v>54</v>
      </c>
      <c r="U697" s="2" t="s">
        <v>55</v>
      </c>
      <c r="V697" s="2" t="s">
        <v>38</v>
      </c>
      <c r="W697" s="2" t="s">
        <v>35</v>
      </c>
      <c r="X697" s="2" t="s">
        <v>35</v>
      </c>
      <c r="Y697" s="2" t="s">
        <v>35</v>
      </c>
      <c r="Z697" s="2" t="b">
        <v>1</v>
      </c>
      <c r="AA697" s="2" t="s">
        <v>35</v>
      </c>
      <c r="AB697" s="2" t="s">
        <v>35</v>
      </c>
      <c r="AC697" s="2" t="s">
        <v>35</v>
      </c>
      <c r="AD697" s="2" t="s">
        <v>35</v>
      </c>
      <c r="AE697" s="2" t="s">
        <v>2025</v>
      </c>
      <c r="AF697" s="11">
        <v>44749.40625</v>
      </c>
      <c r="AG697" s="53"/>
      <c r="AH697" s="53" t="b">
        <f t="shared" si="31"/>
        <v>0</v>
      </c>
      <c r="AI697" s="54" t="str" cm="1">
        <f t="array" ref="AI697">TRANSPOSE(_xlfn._xlws.FILTER(images!L:L,images!F:F=Barrierenmessung!A697, ""))</f>
        <v>https://captureandgo.cloudlab.zhaw.ch/uploads/image_d2d7b43eb8.jpg</v>
      </c>
      <c r="AJ697" s="2"/>
      <c r="AK697" s="2"/>
      <c r="AL697" s="2"/>
      <c r="AM697" s="2"/>
      <c r="AN697" s="2"/>
    </row>
    <row r="698" spans="1:40" ht="16" x14ac:dyDescent="0.2">
      <c r="A698" s="2" t="s">
        <v>2257</v>
      </c>
      <c r="B698" s="46">
        <v>697</v>
      </c>
      <c r="C698" s="2" t="b">
        <v>0</v>
      </c>
      <c r="D698" s="2" t="b">
        <v>0</v>
      </c>
      <c r="E698" s="2" t="b">
        <v>0</v>
      </c>
      <c r="F698" s="2" t="b">
        <v>0</v>
      </c>
      <c r="G698" s="2" t="s">
        <v>31</v>
      </c>
      <c r="H698" s="2" t="s">
        <v>2258</v>
      </c>
      <c r="I698" s="2" t="s">
        <v>2259</v>
      </c>
      <c r="J698" s="2" t="s">
        <v>2260</v>
      </c>
      <c r="K698" s="2" t="s">
        <v>35</v>
      </c>
      <c r="L698" s="2" t="s">
        <v>35</v>
      </c>
      <c r="M698" s="2">
        <v>5</v>
      </c>
      <c r="N698" s="2">
        <v>6</v>
      </c>
      <c r="O698" s="11">
        <v>44749.479988055558</v>
      </c>
      <c r="P698" s="11">
        <v>44749.480438344908</v>
      </c>
      <c r="Q698" s="27">
        <f t="shared" si="30"/>
        <v>4.5028934982838109E-4</v>
      </c>
      <c r="R698" s="65">
        <f t="shared" si="32"/>
        <v>1.5599074104102328E-3</v>
      </c>
      <c r="S698" s="2">
        <v>0</v>
      </c>
      <c r="T698" s="2" t="s">
        <v>54</v>
      </c>
      <c r="U698" s="2" t="s">
        <v>55</v>
      </c>
      <c r="V698" s="2" t="s">
        <v>38</v>
      </c>
      <c r="W698" s="2" t="s">
        <v>35</v>
      </c>
      <c r="X698" s="2" t="s">
        <v>35</v>
      </c>
      <c r="Y698" s="2" t="s">
        <v>35</v>
      </c>
      <c r="Z698" s="2" t="b">
        <v>1</v>
      </c>
      <c r="AA698" s="2" t="s">
        <v>35</v>
      </c>
      <c r="AB698" s="2" t="s">
        <v>35</v>
      </c>
      <c r="AC698" s="2" t="s">
        <v>35</v>
      </c>
      <c r="AD698" s="2" t="s">
        <v>35</v>
      </c>
      <c r="AE698" s="2" t="s">
        <v>2025</v>
      </c>
      <c r="AF698" s="11">
        <v>44749.40625</v>
      </c>
      <c r="AG698" s="53"/>
      <c r="AH698" s="53" t="b">
        <f t="shared" si="31"/>
        <v>0</v>
      </c>
      <c r="AI698" s="54" t="str" cm="1">
        <f t="array" ref="AI698">TRANSPOSE(_xlfn._xlws.FILTER(images!L:L,images!F:F=Barrierenmessung!A698, ""))</f>
        <v>https://captureandgo.cloudlab.zhaw.ch/uploads/image_271571783b.jpg</v>
      </c>
      <c r="AJ698" s="2"/>
      <c r="AK698" s="2"/>
      <c r="AL698" s="2"/>
      <c r="AM698" s="2"/>
      <c r="AN698" s="2"/>
    </row>
    <row r="699" spans="1:40" ht="16" x14ac:dyDescent="0.2">
      <c r="A699" s="2" t="s">
        <v>2261</v>
      </c>
      <c r="B699" s="46">
        <v>698</v>
      </c>
      <c r="C699" s="2" t="b">
        <v>0</v>
      </c>
      <c r="D699" s="2" t="b">
        <v>0</v>
      </c>
      <c r="E699" s="2" t="b">
        <v>0</v>
      </c>
      <c r="F699" s="2" t="b">
        <v>0</v>
      </c>
      <c r="G699" s="2" t="s">
        <v>31</v>
      </c>
      <c r="H699" s="2" t="s">
        <v>2262</v>
      </c>
      <c r="I699" s="2" t="s">
        <v>2263</v>
      </c>
      <c r="J699" s="2" t="s">
        <v>2150</v>
      </c>
      <c r="K699" s="2" t="s">
        <v>35</v>
      </c>
      <c r="L699" s="2" t="s">
        <v>35</v>
      </c>
      <c r="M699" s="2" t="s">
        <v>35</v>
      </c>
      <c r="N699" s="2" t="s">
        <v>35</v>
      </c>
      <c r="O699" s="11">
        <v>44749.48054423611</v>
      </c>
      <c r="P699" s="11">
        <v>44749.480783703701</v>
      </c>
      <c r="Q699" s="27">
        <f t="shared" si="30"/>
        <v>2.394675902905874E-4</v>
      </c>
      <c r="R699" s="65">
        <f t="shared" si="32"/>
        <v>3.4535879240138456E-4</v>
      </c>
      <c r="S699" s="2">
        <v>0</v>
      </c>
      <c r="T699" s="2" t="s">
        <v>36</v>
      </c>
      <c r="U699" s="2" t="s">
        <v>37</v>
      </c>
      <c r="V699" s="2" t="s">
        <v>38</v>
      </c>
      <c r="W699" s="2" t="s">
        <v>35</v>
      </c>
      <c r="X699" s="2" t="s">
        <v>35</v>
      </c>
      <c r="Y699" s="2" t="s">
        <v>35</v>
      </c>
      <c r="Z699" s="2" t="b">
        <v>0</v>
      </c>
      <c r="AA699" s="2" t="s">
        <v>35</v>
      </c>
      <c r="AB699" s="2" t="s">
        <v>35</v>
      </c>
      <c r="AC699" s="2">
        <v>5</v>
      </c>
      <c r="AD699" s="2" t="s">
        <v>35</v>
      </c>
      <c r="AE699" s="2" t="s">
        <v>2025</v>
      </c>
      <c r="AF699" s="11">
        <v>44749.40625</v>
      </c>
      <c r="AG699" s="53"/>
      <c r="AH699" s="53" t="b">
        <f t="shared" si="31"/>
        <v>0</v>
      </c>
      <c r="AI699" s="54" t="str" cm="1">
        <f t="array" ref="AI699">TRANSPOSE(_xlfn._xlws.FILTER(images!L:L,images!F:F=Barrierenmessung!A699, ""))</f>
        <v>https://captureandgo.cloudlab.zhaw.ch/uploads/image_5e86d9d485.jpg</v>
      </c>
      <c r="AJ699" s="2"/>
      <c r="AK699" s="2"/>
      <c r="AL699" s="2"/>
      <c r="AM699" s="2"/>
      <c r="AN699" s="2"/>
    </row>
    <row r="700" spans="1:40" ht="16" x14ac:dyDescent="0.2">
      <c r="A700" s="2" t="s">
        <v>2264</v>
      </c>
      <c r="B700" s="46">
        <v>699</v>
      </c>
      <c r="C700" s="2" t="b">
        <v>0</v>
      </c>
      <c r="D700" s="2" t="b">
        <v>0</v>
      </c>
      <c r="E700" s="2" t="b">
        <v>0</v>
      </c>
      <c r="F700" s="2" t="b">
        <v>0</v>
      </c>
      <c r="G700" s="2" t="s">
        <v>31</v>
      </c>
      <c r="H700" s="2" t="s">
        <v>2265</v>
      </c>
      <c r="I700" s="2" t="s">
        <v>2266</v>
      </c>
      <c r="J700" s="2" t="s">
        <v>2267</v>
      </c>
      <c r="K700" s="2" t="s">
        <v>35</v>
      </c>
      <c r="L700" s="2" t="s">
        <v>35</v>
      </c>
      <c r="M700" s="2">
        <v>2</v>
      </c>
      <c r="N700" s="2">
        <v>8</v>
      </c>
      <c r="O700" s="11">
        <v>44749.480958298613</v>
      </c>
      <c r="P700" s="11">
        <v>44749.481255949075</v>
      </c>
      <c r="Q700" s="27">
        <f t="shared" si="30"/>
        <v>2.9765046201646328E-4</v>
      </c>
      <c r="R700" s="65">
        <f t="shared" si="32"/>
        <v>4.7224537411238998E-4</v>
      </c>
      <c r="S700" s="2">
        <v>0</v>
      </c>
      <c r="T700" s="2" t="s">
        <v>54</v>
      </c>
      <c r="U700" s="2" t="s">
        <v>55</v>
      </c>
      <c r="V700" s="2" t="s">
        <v>38</v>
      </c>
      <c r="W700" s="2" t="s">
        <v>35</v>
      </c>
      <c r="X700" s="2" t="s">
        <v>35</v>
      </c>
      <c r="Y700" s="2" t="s">
        <v>35</v>
      </c>
      <c r="Z700" s="2" t="b">
        <v>1</v>
      </c>
      <c r="AA700" s="2" t="s">
        <v>35</v>
      </c>
      <c r="AB700" s="2" t="s">
        <v>35</v>
      </c>
      <c r="AC700" s="2" t="s">
        <v>35</v>
      </c>
      <c r="AD700" s="2" t="s">
        <v>35</v>
      </c>
      <c r="AE700" s="2" t="s">
        <v>2025</v>
      </c>
      <c r="AF700" s="11">
        <v>44749.40625</v>
      </c>
      <c r="AG700" s="53"/>
      <c r="AH700" s="53" t="b">
        <f t="shared" si="31"/>
        <v>0</v>
      </c>
      <c r="AI700" s="54" t="str" cm="1">
        <f t="array" ref="AI700">TRANSPOSE(_xlfn._xlws.FILTER(images!L:L,images!F:F=Barrierenmessung!A700, ""))</f>
        <v>https://captureandgo.cloudlab.zhaw.ch/uploads/image_ab07c86726.jpg</v>
      </c>
      <c r="AJ700" s="2"/>
      <c r="AK700" s="2"/>
      <c r="AL700" s="2"/>
      <c r="AM700" s="2"/>
      <c r="AN700" s="2"/>
    </row>
    <row r="701" spans="1:40" ht="16" x14ac:dyDescent="0.2">
      <c r="A701" s="2" t="s">
        <v>2268</v>
      </c>
      <c r="B701" s="46">
        <v>700</v>
      </c>
      <c r="C701" s="2" t="b">
        <v>0</v>
      </c>
      <c r="D701" s="2" t="b">
        <v>0</v>
      </c>
      <c r="E701" s="2" t="b">
        <v>0</v>
      </c>
      <c r="F701" s="2" t="b">
        <v>0</v>
      </c>
      <c r="G701" s="2" t="s">
        <v>31</v>
      </c>
      <c r="H701" s="2" t="s">
        <v>2269</v>
      </c>
      <c r="I701" s="2" t="s">
        <v>2270</v>
      </c>
      <c r="J701" s="2" t="s">
        <v>35</v>
      </c>
      <c r="K701" s="2" t="s">
        <v>35</v>
      </c>
      <c r="L701" s="2" t="s">
        <v>35</v>
      </c>
      <c r="M701" s="2" t="s">
        <v>35</v>
      </c>
      <c r="N701" s="2" t="s">
        <v>35</v>
      </c>
      <c r="O701" s="11">
        <v>44749.481553773148</v>
      </c>
      <c r="P701" s="11">
        <v>44749.481661863429</v>
      </c>
      <c r="Q701" s="27">
        <f t="shared" si="30"/>
        <v>1.0809028026415035E-4</v>
      </c>
      <c r="R701" s="65">
        <f t="shared" si="32"/>
        <v>4.0591435390524566E-4</v>
      </c>
      <c r="S701" s="2">
        <v>0</v>
      </c>
      <c r="T701" s="2" t="s">
        <v>36</v>
      </c>
      <c r="U701" s="2" t="s">
        <v>37</v>
      </c>
      <c r="V701" s="2" t="s">
        <v>38</v>
      </c>
      <c r="W701" s="2" t="s">
        <v>35</v>
      </c>
      <c r="X701" s="2" t="s">
        <v>35</v>
      </c>
      <c r="Y701" s="2" t="s">
        <v>35</v>
      </c>
      <c r="Z701" s="2" t="b">
        <v>0</v>
      </c>
      <c r="AA701" s="2" t="s">
        <v>35</v>
      </c>
      <c r="AB701" s="2" t="s">
        <v>35</v>
      </c>
      <c r="AC701" s="2" t="s">
        <v>35</v>
      </c>
      <c r="AD701" s="2">
        <v>2</v>
      </c>
      <c r="AE701" s="2" t="s">
        <v>2025</v>
      </c>
      <c r="AF701" s="11">
        <v>44749.40625</v>
      </c>
      <c r="AG701" s="53"/>
      <c r="AH701" s="53" t="b">
        <f t="shared" si="31"/>
        <v>0</v>
      </c>
      <c r="AI701" s="54" t="str" cm="1">
        <f t="array" ref="AI701">TRANSPOSE(_xlfn._xlws.FILTER(images!L:L,images!F:F=Barrierenmessung!A701, ""))</f>
        <v>https://captureandgo.cloudlab.zhaw.ch/uploads/image_b797a0bb2b.jpg</v>
      </c>
      <c r="AJ701" s="2"/>
      <c r="AK701" s="2"/>
      <c r="AL701" s="2"/>
      <c r="AM701" s="2"/>
      <c r="AN701" s="2"/>
    </row>
    <row r="702" spans="1:40" ht="16" x14ac:dyDescent="0.2">
      <c r="A702" s="2" t="s">
        <v>2271</v>
      </c>
      <c r="B702" s="46">
        <v>701</v>
      </c>
      <c r="C702" s="2" t="b">
        <v>0</v>
      </c>
      <c r="D702" s="2" t="b">
        <v>0</v>
      </c>
      <c r="E702" s="2" t="b">
        <v>0</v>
      </c>
      <c r="F702" s="2" t="b">
        <v>0</v>
      </c>
      <c r="G702" s="2" t="s">
        <v>31</v>
      </c>
      <c r="H702" s="2" t="s">
        <v>2272</v>
      </c>
      <c r="I702" s="2" t="s">
        <v>2273</v>
      </c>
      <c r="J702" s="2" t="s">
        <v>2274</v>
      </c>
      <c r="K702" s="2" t="s">
        <v>35</v>
      </c>
      <c r="L702" s="2" t="s">
        <v>35</v>
      </c>
      <c r="M702" s="2" t="s">
        <v>35</v>
      </c>
      <c r="N702" s="2" t="s">
        <v>35</v>
      </c>
      <c r="O702" s="11">
        <v>44749.481837453706</v>
      </c>
      <c r="P702" s="11">
        <v>44749.482354826388</v>
      </c>
      <c r="Q702" s="27">
        <f t="shared" si="30"/>
        <v>5.1737268222495914E-4</v>
      </c>
      <c r="R702" s="65">
        <f t="shared" si="32"/>
        <v>6.9296295987442136E-4</v>
      </c>
      <c r="S702" s="2">
        <v>0</v>
      </c>
      <c r="T702" s="2" t="s">
        <v>36</v>
      </c>
      <c r="U702" s="2" t="s">
        <v>37</v>
      </c>
      <c r="V702" s="2" t="s">
        <v>38</v>
      </c>
      <c r="W702" s="2" t="s">
        <v>35</v>
      </c>
      <c r="X702" s="2" t="s">
        <v>35</v>
      </c>
      <c r="Y702" s="2" t="s">
        <v>35</v>
      </c>
      <c r="Z702" s="2" t="b">
        <v>0</v>
      </c>
      <c r="AA702" s="2" t="s">
        <v>35</v>
      </c>
      <c r="AB702" s="2" t="s">
        <v>35</v>
      </c>
      <c r="AC702" s="2">
        <v>9</v>
      </c>
      <c r="AD702" s="2" t="s">
        <v>35</v>
      </c>
      <c r="AE702" s="2" t="s">
        <v>2025</v>
      </c>
      <c r="AF702" s="11">
        <v>44749.40625</v>
      </c>
      <c r="AG702" s="53"/>
      <c r="AH702" s="53" t="b">
        <f t="shared" si="31"/>
        <v>0</v>
      </c>
      <c r="AI702" s="54" t="str" cm="1">
        <f t="array" ref="AI702">TRANSPOSE(_xlfn._xlws.FILTER(images!L:L,images!F:F=Barrierenmessung!A702, ""))</f>
        <v>https://captureandgo.cloudlab.zhaw.ch/uploads/image_1cc8cbc27d.jpg</v>
      </c>
      <c r="AJ702" s="2"/>
      <c r="AK702" s="2"/>
      <c r="AL702" s="2"/>
      <c r="AM702" s="2"/>
      <c r="AN702" s="2"/>
    </row>
    <row r="703" spans="1:40" ht="16" x14ac:dyDescent="0.2">
      <c r="A703" s="2" t="s">
        <v>2275</v>
      </c>
      <c r="B703" s="46">
        <v>702</v>
      </c>
      <c r="C703" s="2" t="b">
        <v>0</v>
      </c>
      <c r="D703" s="2" t="b">
        <v>0</v>
      </c>
      <c r="E703" s="2" t="b">
        <v>0</v>
      </c>
      <c r="F703" s="2" t="b">
        <v>0</v>
      </c>
      <c r="G703" s="2" t="s">
        <v>31</v>
      </c>
      <c r="H703" s="2" t="s">
        <v>2276</v>
      </c>
      <c r="I703" s="2" t="s">
        <v>2277</v>
      </c>
      <c r="J703" s="2" t="s">
        <v>2267</v>
      </c>
      <c r="K703" s="2" t="s">
        <v>35</v>
      </c>
      <c r="L703" s="2" t="s">
        <v>35</v>
      </c>
      <c r="M703" s="2">
        <v>87</v>
      </c>
      <c r="N703" s="2">
        <v>9</v>
      </c>
      <c r="O703" s="11">
        <v>44749.482408750002</v>
      </c>
      <c r="P703" s="11">
        <v>44749.48383459491</v>
      </c>
      <c r="Q703" s="27">
        <f t="shared" si="30"/>
        <v>1.4258449082262814E-3</v>
      </c>
      <c r="R703" s="65">
        <f t="shared" si="32"/>
        <v>1.4797685216763057E-3</v>
      </c>
      <c r="S703" s="2">
        <v>0</v>
      </c>
      <c r="T703" s="2" t="s">
        <v>54</v>
      </c>
      <c r="U703" s="2" t="s">
        <v>55</v>
      </c>
      <c r="V703" s="2" t="s">
        <v>38</v>
      </c>
      <c r="W703" s="2" t="s">
        <v>35</v>
      </c>
      <c r="X703" s="2" t="s">
        <v>35</v>
      </c>
      <c r="Y703" s="2" t="s">
        <v>35</v>
      </c>
      <c r="Z703" s="2" t="b">
        <v>1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2025</v>
      </c>
      <c r="AF703" s="11">
        <v>44749.40625</v>
      </c>
      <c r="AG703" s="53"/>
      <c r="AH703" s="53" t="b">
        <f t="shared" si="31"/>
        <v>0</v>
      </c>
      <c r="AI703" s="54" t="str" cm="1">
        <f t="array" ref="AI703:AK703">TRANSPOSE(_xlfn._xlws.FILTER(images!L:L,images!F:F=Barrierenmessung!A703, ""))</f>
        <v>https://captureandgo.cloudlab.zhaw.ch/uploads/image_d8db1c1d62.jpg</v>
      </c>
      <c r="AJ703" s="2" t="str">
        <v>https://captureandgo.cloudlab.zhaw.ch/uploads/image_571fe541c5.jpg</v>
      </c>
      <c r="AK703" s="2" t="str">
        <v>https://captureandgo.cloudlab.zhaw.ch/uploads/image_feab86357d.jpg</v>
      </c>
      <c r="AL703" s="2"/>
      <c r="AM703" s="2"/>
      <c r="AN703" s="2"/>
    </row>
    <row r="704" spans="1:40" ht="16" x14ac:dyDescent="0.2">
      <c r="A704" s="2" t="s">
        <v>2278</v>
      </c>
      <c r="B704" s="46">
        <v>703</v>
      </c>
      <c r="C704" s="2" t="b">
        <v>0</v>
      </c>
      <c r="D704" s="2" t="b">
        <v>0</v>
      </c>
      <c r="E704" s="2" t="b">
        <v>0</v>
      </c>
      <c r="F704" s="2" t="b">
        <v>0</v>
      </c>
      <c r="G704" s="2" t="s">
        <v>31</v>
      </c>
      <c r="H704" s="2" t="s">
        <v>2279</v>
      </c>
      <c r="I704" s="2" t="s">
        <v>2280</v>
      </c>
      <c r="J704" s="2" t="s">
        <v>35</v>
      </c>
      <c r="K704" s="2" t="s">
        <v>35</v>
      </c>
      <c r="L704" s="2" t="s">
        <v>35</v>
      </c>
      <c r="M704" s="2">
        <v>12</v>
      </c>
      <c r="N704" s="2">
        <v>16</v>
      </c>
      <c r="O704" s="11">
        <v>44749.483908923612</v>
      </c>
      <c r="P704" s="11">
        <v>44749.484340555558</v>
      </c>
      <c r="Q704" s="27">
        <f t="shared" si="30"/>
        <v>4.3163194641238078E-4</v>
      </c>
      <c r="R704" s="65">
        <f t="shared" si="32"/>
        <v>5.0596064829733223E-4</v>
      </c>
      <c r="S704" s="2">
        <v>0</v>
      </c>
      <c r="T704" s="2" t="s">
        <v>54</v>
      </c>
      <c r="U704" s="2" t="s">
        <v>55</v>
      </c>
      <c r="V704" s="2" t="s">
        <v>38</v>
      </c>
      <c r="W704" s="2" t="s">
        <v>35</v>
      </c>
      <c r="X704" s="2" t="s">
        <v>35</v>
      </c>
      <c r="Y704" s="2" t="s">
        <v>35</v>
      </c>
      <c r="Z704" s="2" t="b">
        <v>0</v>
      </c>
      <c r="AA704" s="2" t="s">
        <v>35</v>
      </c>
      <c r="AB704" s="2" t="s">
        <v>35</v>
      </c>
      <c r="AC704" s="2" t="s">
        <v>35</v>
      </c>
      <c r="AD704" s="2" t="s">
        <v>35</v>
      </c>
      <c r="AE704" s="2" t="s">
        <v>2025</v>
      </c>
      <c r="AF704" s="11">
        <v>44749.40625</v>
      </c>
      <c r="AG704" s="53"/>
      <c r="AH704" s="53" t="b">
        <f t="shared" si="31"/>
        <v>0</v>
      </c>
      <c r="AI704" s="54" t="str" cm="1">
        <f t="array" ref="AI704">TRANSPOSE(_xlfn._xlws.FILTER(images!L:L,images!F:F=Barrierenmessung!A704, ""))</f>
        <v>https://captureandgo.cloudlab.zhaw.ch/uploads/image_721b41d8fe.jpg</v>
      </c>
      <c r="AJ704" s="2"/>
      <c r="AK704" s="2"/>
      <c r="AL704" s="2"/>
      <c r="AM704" s="2"/>
      <c r="AN704" s="2"/>
    </row>
    <row r="705" spans="1:40" ht="16" x14ac:dyDescent="0.2">
      <c r="A705" s="2" t="s">
        <v>2281</v>
      </c>
      <c r="B705" s="46">
        <v>704</v>
      </c>
      <c r="C705" s="2" t="b">
        <v>0</v>
      </c>
      <c r="D705" s="2" t="b">
        <v>0</v>
      </c>
      <c r="E705" s="2" t="b">
        <v>0</v>
      </c>
      <c r="F705" s="2" t="b">
        <v>0</v>
      </c>
      <c r="G705" s="2" t="s">
        <v>31</v>
      </c>
      <c r="H705" s="2" t="s">
        <v>2282</v>
      </c>
      <c r="I705" s="2" t="s">
        <v>2283</v>
      </c>
      <c r="J705" s="2" t="s">
        <v>35</v>
      </c>
      <c r="K705" s="2" t="s">
        <v>35</v>
      </c>
      <c r="L705" s="2" t="s">
        <v>35</v>
      </c>
      <c r="M705" s="2" t="s">
        <v>35</v>
      </c>
      <c r="N705" s="2" t="s">
        <v>35</v>
      </c>
      <c r="O705" s="11">
        <v>44749.484466099537</v>
      </c>
      <c r="P705" s="11">
        <v>44749.484648217593</v>
      </c>
      <c r="Q705" s="27">
        <f t="shared" si="30"/>
        <v>1.8211805581813678E-4</v>
      </c>
      <c r="R705" s="65">
        <f t="shared" si="32"/>
        <v>3.0766203417442739E-4</v>
      </c>
      <c r="S705" s="2">
        <v>0</v>
      </c>
      <c r="T705" s="2" t="s">
        <v>36</v>
      </c>
      <c r="U705" s="2" t="s">
        <v>37</v>
      </c>
      <c r="V705" s="2" t="s">
        <v>38</v>
      </c>
      <c r="W705" s="2" t="s">
        <v>35</v>
      </c>
      <c r="X705" s="2" t="s">
        <v>35</v>
      </c>
      <c r="Y705" s="2" t="s">
        <v>35</v>
      </c>
      <c r="Z705" s="2" t="b">
        <v>0</v>
      </c>
      <c r="AA705" s="2" t="s">
        <v>2284</v>
      </c>
      <c r="AB705" s="2" t="s">
        <v>35</v>
      </c>
      <c r="AC705" s="2" t="s">
        <v>35</v>
      </c>
      <c r="AD705" s="2" t="s">
        <v>35</v>
      </c>
      <c r="AE705" s="2" t="s">
        <v>2025</v>
      </c>
      <c r="AF705" s="11">
        <v>44749.40625</v>
      </c>
      <c r="AG705" s="53"/>
      <c r="AH705" s="53" t="b">
        <f t="shared" si="31"/>
        <v>0</v>
      </c>
      <c r="AI705" s="54" t="str" cm="1">
        <f t="array" ref="AI705">TRANSPOSE(_xlfn._xlws.FILTER(images!L:L,images!F:F=Barrierenmessung!A705, ""))</f>
        <v>https://captureandgo.cloudlab.zhaw.ch/uploads/image_febb69cebe.jpg</v>
      </c>
      <c r="AJ705" s="2"/>
      <c r="AK705" s="2"/>
      <c r="AL705" s="2"/>
      <c r="AM705" s="2"/>
      <c r="AN705" s="2"/>
    </row>
    <row r="706" spans="1:40" ht="16" x14ac:dyDescent="0.2">
      <c r="A706" s="2" t="s">
        <v>2285</v>
      </c>
      <c r="B706" s="46">
        <v>705</v>
      </c>
      <c r="C706" s="2" t="b">
        <v>0</v>
      </c>
      <c r="D706" s="2" t="b">
        <v>0</v>
      </c>
      <c r="E706" s="2" t="b">
        <v>0</v>
      </c>
      <c r="F706" s="2" t="b">
        <v>0</v>
      </c>
      <c r="G706" s="2" t="s">
        <v>31</v>
      </c>
      <c r="H706" s="2" t="s">
        <v>2286</v>
      </c>
      <c r="I706" s="2" t="s">
        <v>2287</v>
      </c>
      <c r="J706" s="2" t="s">
        <v>35</v>
      </c>
      <c r="K706" s="2" t="s">
        <v>35</v>
      </c>
      <c r="L706" s="2" t="s">
        <v>35</v>
      </c>
      <c r="M706" s="2" t="s">
        <v>35</v>
      </c>
      <c r="N706" s="2" t="s">
        <v>35</v>
      </c>
      <c r="O706" s="11">
        <v>44749.484999895831</v>
      </c>
      <c r="P706" s="11">
        <v>44749.48523337963</v>
      </c>
      <c r="Q706" s="27">
        <f t="shared" ref="Q706:Q769" si="33">P706-O706</f>
        <v>2.3348379909293726E-4</v>
      </c>
      <c r="R706" s="65">
        <f t="shared" si="32"/>
        <v>5.8516203716862947E-4</v>
      </c>
      <c r="S706" s="2">
        <v>0</v>
      </c>
      <c r="T706" s="2" t="s">
        <v>36</v>
      </c>
      <c r="U706" s="2" t="s">
        <v>37</v>
      </c>
      <c r="V706" s="2" t="s">
        <v>38</v>
      </c>
      <c r="W706" s="2" t="s">
        <v>35</v>
      </c>
      <c r="X706" s="2" t="s">
        <v>35</v>
      </c>
      <c r="Y706" s="2" t="s">
        <v>35</v>
      </c>
      <c r="Z706" s="2" t="b">
        <v>0</v>
      </c>
      <c r="AA706" s="2" t="s">
        <v>35</v>
      </c>
      <c r="AB706" s="2" t="s">
        <v>35</v>
      </c>
      <c r="AC706" s="2" t="s">
        <v>35</v>
      </c>
      <c r="AD706" s="2">
        <v>5</v>
      </c>
      <c r="AE706" s="2" t="s">
        <v>2025</v>
      </c>
      <c r="AF706" s="11">
        <v>44749.40625</v>
      </c>
      <c r="AG706" s="53"/>
      <c r="AH706" s="53" t="b">
        <f t="shared" si="31"/>
        <v>0</v>
      </c>
      <c r="AI706" s="54" t="str" cm="1">
        <f t="array" ref="AI706">TRANSPOSE(_xlfn._xlws.FILTER(images!L:L,images!F:F=Barrierenmessung!A706, ""))</f>
        <v>https://captureandgo.cloudlab.zhaw.ch/uploads/image_9ca439cb04.jpg</v>
      </c>
      <c r="AJ706" s="2"/>
      <c r="AK706" s="2"/>
      <c r="AL706" s="2"/>
      <c r="AM706" s="2"/>
      <c r="AN706" s="2"/>
    </row>
    <row r="707" spans="1:40" ht="16" x14ac:dyDescent="0.2">
      <c r="A707" s="2" t="s">
        <v>2288</v>
      </c>
      <c r="B707" s="46">
        <v>706</v>
      </c>
      <c r="C707" s="2" t="b">
        <v>0</v>
      </c>
      <c r="D707" s="2" t="b">
        <v>0</v>
      </c>
      <c r="E707" s="2" t="b">
        <v>0</v>
      </c>
      <c r="F707" s="2" t="b">
        <v>0</v>
      </c>
      <c r="G707" s="2" t="s">
        <v>31</v>
      </c>
      <c r="H707" s="2" t="s">
        <v>2289</v>
      </c>
      <c r="I707" s="2" t="s">
        <v>2290</v>
      </c>
      <c r="J707" s="2" t="s">
        <v>2035</v>
      </c>
      <c r="K707" s="2" t="s">
        <v>35</v>
      </c>
      <c r="L707" s="2">
        <v>7</v>
      </c>
      <c r="M707" s="2" t="s">
        <v>35</v>
      </c>
      <c r="N707" s="2" t="s">
        <v>35</v>
      </c>
      <c r="O707" s="11">
        <v>44749.485531643521</v>
      </c>
      <c r="P707" s="11">
        <v>44749.485698298609</v>
      </c>
      <c r="Q707" s="27">
        <f t="shared" si="33"/>
        <v>1.6665508883306757E-4</v>
      </c>
      <c r="R707" s="65">
        <f t="shared" si="32"/>
        <v>4.6491897956002504E-4</v>
      </c>
      <c r="S707" s="2">
        <v>0</v>
      </c>
      <c r="T707" s="2" t="s">
        <v>265</v>
      </c>
      <c r="U707" s="2" t="s">
        <v>266</v>
      </c>
      <c r="V707" s="2" t="s">
        <v>38</v>
      </c>
      <c r="W707" s="2" t="s">
        <v>35</v>
      </c>
      <c r="X707" s="2" t="s">
        <v>35</v>
      </c>
      <c r="Y707" s="2" t="s">
        <v>35</v>
      </c>
      <c r="Z707" s="2" t="b">
        <v>0</v>
      </c>
      <c r="AA707" s="2" t="s">
        <v>35</v>
      </c>
      <c r="AB707" s="2" t="s">
        <v>35</v>
      </c>
      <c r="AC707" s="2" t="s">
        <v>35</v>
      </c>
      <c r="AD707" s="2" t="s">
        <v>35</v>
      </c>
      <c r="AE707" s="2" t="s">
        <v>2025</v>
      </c>
      <c r="AF707" s="11">
        <v>44749.40625</v>
      </c>
      <c r="AG707" s="53"/>
      <c r="AH707" s="53" t="b">
        <f t="shared" ref="AH707:AH770" si="34">IF(Q707&lt;TIME(0,0,1),"TRUE")</f>
        <v>0</v>
      </c>
      <c r="AI707" s="54" t="str" cm="1">
        <f t="array" ref="AI707">TRANSPOSE(_xlfn._xlws.FILTER(images!L:L,images!F:F=Barrierenmessung!A707, ""))</f>
        <v>https://captureandgo.cloudlab.zhaw.ch/uploads/image_2403657e16.jpg</v>
      </c>
      <c r="AJ707" s="2"/>
      <c r="AK707" s="2"/>
      <c r="AL707" s="2"/>
      <c r="AM707" s="2"/>
      <c r="AN707" s="2"/>
    </row>
    <row r="708" spans="1:40" ht="16" x14ac:dyDescent="0.2">
      <c r="A708" s="2" t="s">
        <v>2291</v>
      </c>
      <c r="B708" s="46">
        <v>707</v>
      </c>
      <c r="C708" s="2" t="b">
        <v>0</v>
      </c>
      <c r="D708" s="2" t="b">
        <v>0</v>
      </c>
      <c r="E708" s="2" t="b">
        <v>0</v>
      </c>
      <c r="F708" s="2" t="b">
        <v>0</v>
      </c>
      <c r="G708" s="2" t="s">
        <v>31</v>
      </c>
      <c r="H708" s="2" t="s">
        <v>2292</v>
      </c>
      <c r="I708" s="2" t="s">
        <v>2293</v>
      </c>
      <c r="J708" s="2" t="s">
        <v>35</v>
      </c>
      <c r="K708" s="2" t="s">
        <v>35</v>
      </c>
      <c r="L708" s="2" t="s">
        <v>35</v>
      </c>
      <c r="M708" s="2" t="s">
        <v>35</v>
      </c>
      <c r="N708" s="2" t="s">
        <v>35</v>
      </c>
      <c r="O708" s="11">
        <v>44749.486316296294</v>
      </c>
      <c r="P708" s="11">
        <v>44749.486444571761</v>
      </c>
      <c r="Q708" s="27">
        <f t="shared" si="33"/>
        <v>1.2827546743210405E-4</v>
      </c>
      <c r="R708" s="65">
        <f t="shared" si="32"/>
        <v>7.4627315188990906E-4</v>
      </c>
      <c r="S708" s="2">
        <v>0</v>
      </c>
      <c r="T708" s="2" t="s">
        <v>36</v>
      </c>
      <c r="U708" s="2" t="s">
        <v>37</v>
      </c>
      <c r="V708" s="2" t="s">
        <v>38</v>
      </c>
      <c r="W708" s="2" t="s">
        <v>35</v>
      </c>
      <c r="X708" s="2" t="s">
        <v>35</v>
      </c>
      <c r="Y708" s="2" t="s">
        <v>35</v>
      </c>
      <c r="Z708" s="2" t="b">
        <v>0</v>
      </c>
      <c r="AA708" s="2" t="s">
        <v>2284</v>
      </c>
      <c r="AB708" s="2" t="s">
        <v>35</v>
      </c>
      <c r="AC708" s="2" t="s">
        <v>35</v>
      </c>
      <c r="AD708" s="2" t="s">
        <v>35</v>
      </c>
      <c r="AE708" s="2" t="s">
        <v>2025</v>
      </c>
      <c r="AF708" s="11">
        <v>44749.40625</v>
      </c>
      <c r="AG708" s="53"/>
      <c r="AH708" s="53" t="b">
        <f t="shared" si="34"/>
        <v>0</v>
      </c>
      <c r="AI708" s="54" t="str" cm="1">
        <f t="array" ref="AI708">TRANSPOSE(_xlfn._xlws.FILTER(images!L:L,images!F:F=Barrierenmessung!A708, ""))</f>
        <v>https://captureandgo.cloudlab.zhaw.ch/uploads/image_3d24a73b0f.jpg</v>
      </c>
      <c r="AJ708" s="2"/>
      <c r="AK708" s="2"/>
      <c r="AL708" s="2"/>
      <c r="AM708" s="2"/>
      <c r="AN708" s="2"/>
    </row>
    <row r="709" spans="1:40" ht="16" x14ac:dyDescent="0.2">
      <c r="A709" s="2" t="s">
        <v>2294</v>
      </c>
      <c r="B709" s="46">
        <v>708</v>
      </c>
      <c r="C709" s="2" t="b">
        <v>0</v>
      </c>
      <c r="D709" s="2" t="b">
        <v>0</v>
      </c>
      <c r="E709" s="2" t="b">
        <v>0</v>
      </c>
      <c r="F709" s="2" t="b">
        <v>0</v>
      </c>
      <c r="G709" s="2" t="s">
        <v>31</v>
      </c>
      <c r="H709" s="2" t="s">
        <v>2295</v>
      </c>
      <c r="I709" s="2" t="s">
        <v>2296</v>
      </c>
      <c r="J709" s="2" t="s">
        <v>35</v>
      </c>
      <c r="K709" s="2" t="s">
        <v>35</v>
      </c>
      <c r="L709" s="2" t="s">
        <v>35</v>
      </c>
      <c r="M709" s="2" t="s">
        <v>35</v>
      </c>
      <c r="N709" s="2" t="s">
        <v>35</v>
      </c>
      <c r="O709" s="11">
        <v>44749.486485601854</v>
      </c>
      <c r="P709" s="11">
        <v>44749.486677731482</v>
      </c>
      <c r="Q709" s="27">
        <f t="shared" si="33"/>
        <v>1.9212962797610089E-4</v>
      </c>
      <c r="R709" s="65">
        <f t="shared" ref="R709:R772" si="35">MIN(P709-P708, P709-AF709)</f>
        <v>2.3315972066484392E-4</v>
      </c>
      <c r="S709" s="2">
        <v>0</v>
      </c>
      <c r="T709" s="2" t="s">
        <v>36</v>
      </c>
      <c r="U709" s="2" t="s">
        <v>37</v>
      </c>
      <c r="V709" s="2" t="s">
        <v>38</v>
      </c>
      <c r="W709" s="2" t="s">
        <v>35</v>
      </c>
      <c r="X709" s="2" t="s">
        <v>35</v>
      </c>
      <c r="Y709" s="2" t="s">
        <v>35</v>
      </c>
      <c r="Z709" s="2" t="b">
        <v>0</v>
      </c>
      <c r="AA709" s="2" t="s">
        <v>2284</v>
      </c>
      <c r="AB709" s="2" t="s">
        <v>35</v>
      </c>
      <c r="AC709" s="2" t="s">
        <v>35</v>
      </c>
      <c r="AD709" s="2" t="s">
        <v>35</v>
      </c>
      <c r="AE709" s="2" t="s">
        <v>2025</v>
      </c>
      <c r="AF709" s="11">
        <v>44749.40625</v>
      </c>
      <c r="AG709" s="53"/>
      <c r="AH709" s="53" t="b">
        <f t="shared" si="34"/>
        <v>0</v>
      </c>
      <c r="AI709" s="54" t="str" cm="1">
        <f t="array" ref="AI709">TRANSPOSE(_xlfn._xlws.FILTER(images!L:L,images!F:F=Barrierenmessung!A709, ""))</f>
        <v>https://captureandgo.cloudlab.zhaw.ch/uploads/image_f60993838d.jpg</v>
      </c>
      <c r="AJ709" s="2"/>
      <c r="AK709" s="2"/>
      <c r="AL709" s="2"/>
      <c r="AM709" s="2"/>
      <c r="AN709" s="2"/>
    </row>
    <row r="710" spans="1:40" ht="16" x14ac:dyDescent="0.2">
      <c r="A710" s="2" t="s">
        <v>2297</v>
      </c>
      <c r="B710" s="46">
        <v>709</v>
      </c>
      <c r="C710" s="2" t="b">
        <v>0</v>
      </c>
      <c r="D710" s="2" t="b">
        <v>0</v>
      </c>
      <c r="E710" s="2" t="b">
        <v>0</v>
      </c>
      <c r="F710" s="2" t="b">
        <v>0</v>
      </c>
      <c r="G710" s="2" t="s">
        <v>31</v>
      </c>
      <c r="H710" s="2" t="s">
        <v>2298</v>
      </c>
      <c r="I710" s="2" t="s">
        <v>2299</v>
      </c>
      <c r="J710" s="2" t="s">
        <v>35</v>
      </c>
      <c r="K710" s="2" t="s">
        <v>35</v>
      </c>
      <c r="L710" s="2" t="s">
        <v>35</v>
      </c>
      <c r="M710" s="2">
        <v>22</v>
      </c>
      <c r="N710" s="2">
        <v>12</v>
      </c>
      <c r="O710" s="11">
        <v>44749.487124525462</v>
      </c>
      <c r="P710" s="11">
        <v>44749.487895289349</v>
      </c>
      <c r="Q710" s="27">
        <f t="shared" si="33"/>
        <v>7.707638869760558E-4</v>
      </c>
      <c r="R710" s="65">
        <f t="shared" si="35"/>
        <v>1.2175578667665832E-3</v>
      </c>
      <c r="S710" s="2">
        <v>0</v>
      </c>
      <c r="T710" s="2" t="s">
        <v>54</v>
      </c>
      <c r="U710" s="2" t="s">
        <v>55</v>
      </c>
      <c r="V710" s="2" t="s">
        <v>38</v>
      </c>
      <c r="W710" s="2" t="s">
        <v>35</v>
      </c>
      <c r="X710" s="2" t="s">
        <v>35</v>
      </c>
      <c r="Y710" s="2" t="s">
        <v>35</v>
      </c>
      <c r="Z710" s="2" t="b">
        <v>0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2025</v>
      </c>
      <c r="AF710" s="11">
        <v>44749.40625</v>
      </c>
      <c r="AG710" s="53"/>
      <c r="AH710" s="53" t="b">
        <f t="shared" si="34"/>
        <v>0</v>
      </c>
      <c r="AI710" s="54" t="str" cm="1">
        <f t="array" ref="AI710">TRANSPOSE(_xlfn._xlws.FILTER(images!L:L,images!F:F=Barrierenmessung!A710, ""))</f>
        <v>https://captureandgo.cloudlab.zhaw.ch/uploads/image_8902f60074.jpg</v>
      </c>
      <c r="AJ710" s="2"/>
      <c r="AK710" s="2"/>
      <c r="AL710" s="2"/>
      <c r="AM710" s="2"/>
      <c r="AN710" s="2"/>
    </row>
    <row r="711" spans="1:40" ht="16" x14ac:dyDescent="0.2">
      <c r="A711" s="2" t="s">
        <v>2300</v>
      </c>
      <c r="B711" s="46">
        <v>710</v>
      </c>
      <c r="C711" s="2" t="b">
        <v>0</v>
      </c>
      <c r="D711" s="2" t="b">
        <v>0</v>
      </c>
      <c r="E711" s="2" t="b">
        <v>0</v>
      </c>
      <c r="F711" s="2" t="b">
        <v>0</v>
      </c>
      <c r="G711" s="2" t="s">
        <v>31</v>
      </c>
      <c r="H711" s="2" t="s">
        <v>2301</v>
      </c>
      <c r="I711" s="2" t="s">
        <v>2302</v>
      </c>
      <c r="J711" s="2" t="s">
        <v>35</v>
      </c>
      <c r="K711" s="2" t="s">
        <v>35</v>
      </c>
      <c r="L711" s="2" t="s">
        <v>35</v>
      </c>
      <c r="M711" s="2">
        <v>43</v>
      </c>
      <c r="N711" s="2">
        <v>11</v>
      </c>
      <c r="O711" s="11">
        <v>44749.487983969906</v>
      </c>
      <c r="P711" s="11">
        <v>44749.488812129632</v>
      </c>
      <c r="Q711" s="27">
        <f t="shared" si="33"/>
        <v>8.2815972564276308E-4</v>
      </c>
      <c r="R711" s="65">
        <f t="shared" si="35"/>
        <v>9.1684028302552179E-4</v>
      </c>
      <c r="S711" s="2">
        <v>0</v>
      </c>
      <c r="T711" s="2" t="s">
        <v>54</v>
      </c>
      <c r="U711" s="2" t="s">
        <v>55</v>
      </c>
      <c r="V711" s="2" t="s">
        <v>38</v>
      </c>
      <c r="W711" s="2" t="s">
        <v>35</v>
      </c>
      <c r="X711" s="2" t="s">
        <v>35</v>
      </c>
      <c r="Y711" s="2" t="s">
        <v>35</v>
      </c>
      <c r="Z711" s="2" t="b">
        <v>0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2" t="s">
        <v>2025</v>
      </c>
      <c r="AF711" s="11">
        <v>44749.40625</v>
      </c>
      <c r="AG711" s="53"/>
      <c r="AH711" s="53" t="b">
        <f t="shared" si="34"/>
        <v>0</v>
      </c>
      <c r="AI711" s="54" t="str" cm="1">
        <f t="array" ref="AI711">TRANSPOSE(_xlfn._xlws.FILTER(images!L:L,images!F:F=Barrierenmessung!A711, ""))</f>
        <v>https://captureandgo.cloudlab.zhaw.ch/uploads/image_7ba1588813.jpg</v>
      </c>
      <c r="AJ711" s="2"/>
      <c r="AK711" s="2"/>
      <c r="AL711" s="2"/>
      <c r="AM711" s="2"/>
      <c r="AN711" s="2"/>
    </row>
    <row r="712" spans="1:40" ht="16" x14ac:dyDescent="0.2">
      <c r="A712" s="2" t="s">
        <v>2303</v>
      </c>
      <c r="B712" s="46">
        <v>711</v>
      </c>
      <c r="C712" s="2" t="b">
        <v>0</v>
      </c>
      <c r="D712" s="2" t="b">
        <v>0</v>
      </c>
      <c r="E712" s="2" t="b">
        <v>0</v>
      </c>
      <c r="F712" s="2" t="b">
        <v>0</v>
      </c>
      <c r="G712" s="2" t="s">
        <v>31</v>
      </c>
      <c r="H712" s="2" t="s">
        <v>2304</v>
      </c>
      <c r="I712" s="2" t="s">
        <v>2305</v>
      </c>
      <c r="J712" s="2" t="s">
        <v>2306</v>
      </c>
      <c r="K712" s="2" t="s">
        <v>35</v>
      </c>
      <c r="L712" s="2" t="s">
        <v>35</v>
      </c>
      <c r="M712" s="2" t="s">
        <v>35</v>
      </c>
      <c r="N712" s="2" t="s">
        <v>35</v>
      </c>
      <c r="O712" s="11">
        <v>44749.49033818287</v>
      </c>
      <c r="P712" s="11">
        <v>44749.490896377312</v>
      </c>
      <c r="Q712" s="27">
        <f t="shared" si="33"/>
        <v>5.5819444241933525E-4</v>
      </c>
      <c r="R712" s="65">
        <f t="shared" si="35"/>
        <v>2.0842476806137711E-3</v>
      </c>
      <c r="S712" s="2">
        <v>0</v>
      </c>
      <c r="T712" s="2" t="s">
        <v>36</v>
      </c>
      <c r="U712" s="2" t="s">
        <v>37</v>
      </c>
      <c r="V712" s="2" t="s">
        <v>38</v>
      </c>
      <c r="W712" s="2" t="s">
        <v>35</v>
      </c>
      <c r="X712" s="2" t="s">
        <v>35</v>
      </c>
      <c r="Y712" s="2" t="s">
        <v>35</v>
      </c>
      <c r="Z712" s="2" t="b">
        <v>0</v>
      </c>
      <c r="AA712" s="2" t="s">
        <v>35</v>
      </c>
      <c r="AB712" s="2" t="s">
        <v>35</v>
      </c>
      <c r="AC712" s="2">
        <v>6</v>
      </c>
      <c r="AD712" s="2" t="s">
        <v>35</v>
      </c>
      <c r="AE712" s="2" t="s">
        <v>2025</v>
      </c>
      <c r="AF712" s="11">
        <v>44749.40625</v>
      </c>
      <c r="AG712" s="53"/>
      <c r="AH712" s="53" t="b">
        <f t="shared" si="34"/>
        <v>0</v>
      </c>
      <c r="AI712" s="54" t="str" cm="1">
        <f t="array" ref="AI712:AK712">TRANSPOSE(_xlfn._xlws.FILTER(images!L:L,images!F:F=Barrierenmessung!A712, ""))</f>
        <v>https://captureandgo.cloudlab.zhaw.ch/uploads/image_6ab9814bf1.jpg</v>
      </c>
      <c r="AJ712" s="2" t="str">
        <v>https://captureandgo.cloudlab.zhaw.ch/uploads/image_07c7d67207.jpg</v>
      </c>
      <c r="AK712" s="2" t="str">
        <v>https://captureandgo.cloudlab.zhaw.ch/uploads/image_3510adf37e.jpg</v>
      </c>
      <c r="AL712" s="2"/>
      <c r="AM712" s="2"/>
      <c r="AN712" s="2"/>
    </row>
    <row r="713" spans="1:40" ht="16" x14ac:dyDescent="0.2">
      <c r="A713" s="2" t="s">
        <v>2307</v>
      </c>
      <c r="B713" s="46">
        <v>712</v>
      </c>
      <c r="C713" s="2" t="b">
        <v>0</v>
      </c>
      <c r="D713" s="2" t="b">
        <v>0</v>
      </c>
      <c r="E713" s="2" t="b">
        <v>0</v>
      </c>
      <c r="F713" s="2" t="b">
        <v>0</v>
      </c>
      <c r="G713" s="2" t="s">
        <v>31</v>
      </c>
      <c r="H713" s="2" t="s">
        <v>2308</v>
      </c>
      <c r="I713" s="2" t="s">
        <v>2309</v>
      </c>
      <c r="J713" s="2" t="s">
        <v>35</v>
      </c>
      <c r="K713" s="2" t="s">
        <v>35</v>
      </c>
      <c r="L713" s="2" t="s">
        <v>35</v>
      </c>
      <c r="M713" s="2">
        <v>26</v>
      </c>
      <c r="N713" s="2">
        <v>20</v>
      </c>
      <c r="O713" s="11">
        <v>44749.49193827546</v>
      </c>
      <c r="P713" s="11">
        <v>44749.492443923613</v>
      </c>
      <c r="Q713" s="27">
        <f t="shared" si="33"/>
        <v>5.0564815319376066E-4</v>
      </c>
      <c r="R713" s="65">
        <f t="shared" si="35"/>
        <v>1.5475463005714118E-3</v>
      </c>
      <c r="S713" s="2">
        <v>0</v>
      </c>
      <c r="T713" s="2" t="s">
        <v>54</v>
      </c>
      <c r="U713" s="2" t="s">
        <v>55</v>
      </c>
      <c r="V713" s="2" t="s">
        <v>38</v>
      </c>
      <c r="W713" s="2" t="s">
        <v>35</v>
      </c>
      <c r="X713" s="2" t="s">
        <v>35</v>
      </c>
      <c r="Y713" s="2" t="s">
        <v>35</v>
      </c>
      <c r="Z713" s="2" t="b">
        <v>0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2025</v>
      </c>
      <c r="AF713" s="11">
        <v>44749.40625</v>
      </c>
      <c r="AG713" s="53"/>
      <c r="AH713" s="53" t="b">
        <f t="shared" si="34"/>
        <v>0</v>
      </c>
      <c r="AI713" s="54" t="str" cm="1">
        <f t="array" ref="AI713:AK713">TRANSPOSE(_xlfn._xlws.FILTER(images!L:L,images!F:F=Barrierenmessung!A713, ""))</f>
        <v>https://captureandgo.cloudlab.zhaw.ch/uploads/image_161c9560a8.jpg</v>
      </c>
      <c r="AJ713" s="2" t="str">
        <v>https://captureandgo.cloudlab.zhaw.ch/uploads/image_b7a4e21f95.jpg</v>
      </c>
      <c r="AK713" s="2" t="str">
        <v>https://captureandgo.cloudlab.zhaw.ch/uploads/image_3d05487a82.jpg</v>
      </c>
      <c r="AL713" s="2"/>
      <c r="AM713" s="2"/>
      <c r="AN713" s="2"/>
    </row>
    <row r="714" spans="1:40" ht="16" x14ac:dyDescent="0.2">
      <c r="A714" s="2" t="s">
        <v>2310</v>
      </c>
      <c r="B714" s="46">
        <v>713</v>
      </c>
      <c r="C714" s="2" t="b">
        <v>0</v>
      </c>
      <c r="D714" s="2" t="b">
        <v>0</v>
      </c>
      <c r="E714" s="2" t="b">
        <v>0</v>
      </c>
      <c r="F714" s="2" t="b">
        <v>0</v>
      </c>
      <c r="G714" s="2" t="s">
        <v>31</v>
      </c>
      <c r="H714" s="2" t="s">
        <v>2311</v>
      </c>
      <c r="I714" s="2" t="s">
        <v>2312</v>
      </c>
      <c r="J714" s="2" t="s">
        <v>2274</v>
      </c>
      <c r="K714" s="2" t="s">
        <v>35</v>
      </c>
      <c r="L714" s="2" t="s">
        <v>35</v>
      </c>
      <c r="M714" s="2" t="s">
        <v>35</v>
      </c>
      <c r="N714" s="2" t="s">
        <v>35</v>
      </c>
      <c r="O714" s="11">
        <v>44749.49252240741</v>
      </c>
      <c r="P714" s="11">
        <v>44749.492810451389</v>
      </c>
      <c r="Q714" s="27">
        <f t="shared" si="33"/>
        <v>2.8804397879866883E-4</v>
      </c>
      <c r="R714" s="65">
        <f t="shared" si="35"/>
        <v>3.6652777635026723E-4</v>
      </c>
      <c r="S714" s="2">
        <v>0</v>
      </c>
      <c r="T714" s="2" t="s">
        <v>36</v>
      </c>
      <c r="U714" s="2" t="s">
        <v>37</v>
      </c>
      <c r="V714" s="2" t="s">
        <v>38</v>
      </c>
      <c r="W714" s="2" t="s">
        <v>35</v>
      </c>
      <c r="X714" s="2" t="s">
        <v>35</v>
      </c>
      <c r="Y714" s="2" t="s">
        <v>35</v>
      </c>
      <c r="Z714" s="2" t="b">
        <v>0</v>
      </c>
      <c r="AA714" s="2" t="s">
        <v>35</v>
      </c>
      <c r="AB714" s="2" t="s">
        <v>35</v>
      </c>
      <c r="AC714" s="2">
        <v>6</v>
      </c>
      <c r="AD714" s="2" t="s">
        <v>35</v>
      </c>
      <c r="AE714" s="2" t="s">
        <v>2025</v>
      </c>
      <c r="AF714" s="11">
        <v>44749.40625</v>
      </c>
      <c r="AG714" s="53"/>
      <c r="AH714" s="53" t="b">
        <f t="shared" si="34"/>
        <v>0</v>
      </c>
      <c r="AI714" s="54" t="str" cm="1">
        <f t="array" ref="AI714">TRANSPOSE(_xlfn._xlws.FILTER(images!L:L,images!F:F=Barrierenmessung!A714, ""))</f>
        <v>https://captureandgo.cloudlab.zhaw.ch/uploads/image_4946403270.jpg</v>
      </c>
      <c r="AJ714" s="2"/>
      <c r="AK714" s="2"/>
      <c r="AL714" s="2"/>
      <c r="AM714" s="2"/>
      <c r="AN714" s="2"/>
    </row>
    <row r="715" spans="1:40" ht="16" x14ac:dyDescent="0.2">
      <c r="A715" s="2" t="s">
        <v>2313</v>
      </c>
      <c r="B715" s="46">
        <v>714</v>
      </c>
      <c r="C715" s="2" t="b">
        <v>0</v>
      </c>
      <c r="D715" s="2" t="b">
        <v>0</v>
      </c>
      <c r="E715" s="2" t="b">
        <v>0</v>
      </c>
      <c r="F715" s="2" t="b">
        <v>0</v>
      </c>
      <c r="G715" s="2" t="s">
        <v>31</v>
      </c>
      <c r="H715" s="2" t="s">
        <v>2314</v>
      </c>
      <c r="I715" s="2" t="s">
        <v>2315</v>
      </c>
      <c r="J715" s="2" t="s">
        <v>35</v>
      </c>
      <c r="K715" s="2" t="s">
        <v>35</v>
      </c>
      <c r="L715" s="2" t="s">
        <v>35</v>
      </c>
      <c r="M715" s="2">
        <v>14</v>
      </c>
      <c r="N715" s="2">
        <v>17</v>
      </c>
      <c r="O715" s="11">
        <v>44749.492855590281</v>
      </c>
      <c r="P715" s="11">
        <v>44749.493155416669</v>
      </c>
      <c r="Q715" s="27">
        <f t="shared" si="33"/>
        <v>2.9982638807268813E-4</v>
      </c>
      <c r="R715" s="65">
        <f t="shared" si="35"/>
        <v>3.4496527950977907E-4</v>
      </c>
      <c r="S715" s="2">
        <v>0</v>
      </c>
      <c r="T715" s="2" t="s">
        <v>54</v>
      </c>
      <c r="U715" s="2" t="s">
        <v>55</v>
      </c>
      <c r="V715" s="2" t="s">
        <v>38</v>
      </c>
      <c r="W715" s="2" t="s">
        <v>35</v>
      </c>
      <c r="X715" s="2" t="s">
        <v>35</v>
      </c>
      <c r="Y715" s="2" t="s">
        <v>35</v>
      </c>
      <c r="Z715" s="2" t="b">
        <v>0</v>
      </c>
      <c r="AA715" s="2" t="s">
        <v>35</v>
      </c>
      <c r="AB715" s="2" t="s">
        <v>35</v>
      </c>
      <c r="AC715" s="2" t="s">
        <v>35</v>
      </c>
      <c r="AD715" s="2" t="s">
        <v>35</v>
      </c>
      <c r="AE715" s="2" t="s">
        <v>2025</v>
      </c>
      <c r="AF715" s="11">
        <v>44749.40625</v>
      </c>
      <c r="AG715" s="53"/>
      <c r="AH715" s="53" t="b">
        <f t="shared" si="34"/>
        <v>0</v>
      </c>
      <c r="AI715" s="54" t="str" cm="1">
        <f t="array" ref="AI715">TRANSPOSE(_xlfn._xlws.FILTER(images!L:L,images!F:F=Barrierenmessung!A715, ""))</f>
        <v>https://captureandgo.cloudlab.zhaw.ch/uploads/image_282859575e.jpg</v>
      </c>
      <c r="AJ715" s="2"/>
      <c r="AK715" s="2"/>
      <c r="AL715" s="2"/>
      <c r="AM715" s="2"/>
      <c r="AN715" s="2"/>
    </row>
    <row r="716" spans="1:40" ht="16" x14ac:dyDescent="0.2">
      <c r="A716" s="2" t="s">
        <v>2316</v>
      </c>
      <c r="B716" s="46">
        <v>715</v>
      </c>
      <c r="C716" s="2" t="b">
        <v>0</v>
      </c>
      <c r="D716" s="2" t="b">
        <v>0</v>
      </c>
      <c r="E716" s="2" t="b">
        <v>0</v>
      </c>
      <c r="F716" s="2" t="b">
        <v>0</v>
      </c>
      <c r="G716" s="2" t="s">
        <v>31</v>
      </c>
      <c r="H716" s="2" t="s">
        <v>2317</v>
      </c>
      <c r="I716" s="2" t="s">
        <v>2318</v>
      </c>
      <c r="J716" s="2" t="s">
        <v>2319</v>
      </c>
      <c r="K716" s="2" t="s">
        <v>35</v>
      </c>
      <c r="L716" s="2" t="s">
        <v>35</v>
      </c>
      <c r="M716" s="2" t="s">
        <v>35</v>
      </c>
      <c r="N716" s="2" t="s">
        <v>35</v>
      </c>
      <c r="O716" s="11">
        <v>44749.493664189817</v>
      </c>
      <c r="P716" s="11">
        <v>44749.494077974538</v>
      </c>
      <c r="Q716" s="27">
        <f t="shared" si="33"/>
        <v>4.137847208767198E-4</v>
      </c>
      <c r="R716" s="65">
        <f t="shared" si="35"/>
        <v>9.2255786876194179E-4</v>
      </c>
      <c r="S716" s="2">
        <v>0</v>
      </c>
      <c r="T716" s="2" t="s">
        <v>36</v>
      </c>
      <c r="U716" s="2" t="s">
        <v>37</v>
      </c>
      <c r="V716" s="2" t="s">
        <v>38</v>
      </c>
      <c r="W716" s="2" t="s">
        <v>35</v>
      </c>
      <c r="X716" s="2" t="s">
        <v>35</v>
      </c>
      <c r="Y716" s="2" t="s">
        <v>35</v>
      </c>
      <c r="Z716" s="2" t="b">
        <v>0</v>
      </c>
      <c r="AA716" s="2" t="s">
        <v>35</v>
      </c>
      <c r="AB716" s="2" t="s">
        <v>35</v>
      </c>
      <c r="AC716" s="2">
        <v>9</v>
      </c>
      <c r="AD716" s="2" t="s">
        <v>35</v>
      </c>
      <c r="AE716" s="2" t="s">
        <v>2025</v>
      </c>
      <c r="AF716" s="11">
        <v>44749.40625</v>
      </c>
      <c r="AG716" s="53"/>
      <c r="AH716" s="53" t="b">
        <f t="shared" si="34"/>
        <v>0</v>
      </c>
      <c r="AI716" s="54" t="str" cm="1">
        <f t="array" ref="AI716">TRANSPOSE(_xlfn._xlws.FILTER(images!L:L,images!F:F=Barrierenmessung!A716, ""))</f>
        <v>https://captureandgo.cloudlab.zhaw.ch/uploads/image_272d503115.jpg</v>
      </c>
      <c r="AJ716" s="2"/>
      <c r="AK716" s="2"/>
      <c r="AL716" s="2"/>
      <c r="AM716" s="2"/>
      <c r="AN716" s="2"/>
    </row>
    <row r="717" spans="1:40" ht="16" x14ac:dyDescent="0.2">
      <c r="A717" s="2" t="s">
        <v>2320</v>
      </c>
      <c r="B717" s="46">
        <v>716</v>
      </c>
      <c r="C717" s="2" t="b">
        <v>0</v>
      </c>
      <c r="D717" s="2" t="b">
        <v>0</v>
      </c>
      <c r="E717" s="2" t="b">
        <v>0</v>
      </c>
      <c r="F717" s="2" t="b">
        <v>0</v>
      </c>
      <c r="G717" s="2" t="s">
        <v>31</v>
      </c>
      <c r="H717" s="2" t="s">
        <v>2321</v>
      </c>
      <c r="I717" s="2" t="s">
        <v>2322</v>
      </c>
      <c r="J717" s="2" t="s">
        <v>35</v>
      </c>
      <c r="K717" s="2" t="s">
        <v>35</v>
      </c>
      <c r="L717" s="2" t="s">
        <v>35</v>
      </c>
      <c r="M717" s="2">
        <v>6</v>
      </c>
      <c r="N717" s="2">
        <v>13</v>
      </c>
      <c r="O717" s="11">
        <v>44749.494133275461</v>
      </c>
      <c r="P717" s="11">
        <v>44749.494403599536</v>
      </c>
      <c r="Q717" s="27">
        <f t="shared" si="33"/>
        <v>2.7032407524529845E-4</v>
      </c>
      <c r="R717" s="65">
        <f t="shared" si="35"/>
        <v>3.2562499836785719E-4</v>
      </c>
      <c r="S717" s="2">
        <v>0</v>
      </c>
      <c r="T717" s="2" t="s">
        <v>54</v>
      </c>
      <c r="U717" s="2" t="s">
        <v>55</v>
      </c>
      <c r="V717" s="2" t="s">
        <v>38</v>
      </c>
      <c r="W717" s="2" t="s">
        <v>35</v>
      </c>
      <c r="X717" s="2" t="s">
        <v>35</v>
      </c>
      <c r="Y717" s="2" t="s">
        <v>35</v>
      </c>
      <c r="Z717" s="2" t="b">
        <v>0</v>
      </c>
      <c r="AA717" s="2" t="s">
        <v>35</v>
      </c>
      <c r="AB717" s="2" t="s">
        <v>35</v>
      </c>
      <c r="AC717" s="2" t="s">
        <v>35</v>
      </c>
      <c r="AD717" s="2" t="s">
        <v>35</v>
      </c>
      <c r="AE717" s="2" t="s">
        <v>2025</v>
      </c>
      <c r="AF717" s="11">
        <v>44749.40625</v>
      </c>
      <c r="AG717" s="53"/>
      <c r="AH717" s="53" t="b">
        <f t="shared" si="34"/>
        <v>0</v>
      </c>
      <c r="AI717" s="54" t="str" cm="1">
        <f t="array" ref="AI717">TRANSPOSE(_xlfn._xlws.FILTER(images!L:L,images!F:F=Barrierenmessung!A717, ""))</f>
        <v>https://captureandgo.cloudlab.zhaw.ch/uploads/image_c2da7f6997.jpg</v>
      </c>
      <c r="AJ717" s="2"/>
      <c r="AK717" s="2"/>
      <c r="AL717" s="2"/>
      <c r="AM717" s="2"/>
      <c r="AN717" s="2"/>
    </row>
    <row r="718" spans="1:40" ht="16" x14ac:dyDescent="0.2">
      <c r="A718" s="2" t="s">
        <v>2323</v>
      </c>
      <c r="B718" s="46">
        <v>717</v>
      </c>
      <c r="C718" s="2" t="b">
        <v>0</v>
      </c>
      <c r="D718" s="2" t="b">
        <v>0</v>
      </c>
      <c r="E718" s="2" t="b">
        <v>0</v>
      </c>
      <c r="F718" s="2" t="b">
        <v>0</v>
      </c>
      <c r="G718" s="2" t="s">
        <v>31</v>
      </c>
      <c r="H718" s="2" t="s">
        <v>2324</v>
      </c>
      <c r="I718" s="2" t="s">
        <v>2325</v>
      </c>
      <c r="J718" s="2" t="s">
        <v>2326</v>
      </c>
      <c r="K718" s="2" t="s">
        <v>35</v>
      </c>
      <c r="L718" s="2" t="s">
        <v>35</v>
      </c>
      <c r="M718" s="2" t="s">
        <v>35</v>
      </c>
      <c r="N718" s="2" t="s">
        <v>35</v>
      </c>
      <c r="O718" s="11">
        <v>44749.49478108796</v>
      </c>
      <c r="P718" s="11">
        <v>44749.49503111111</v>
      </c>
      <c r="Q718" s="27">
        <f t="shared" si="33"/>
        <v>2.5002314941957593E-4</v>
      </c>
      <c r="R718" s="65">
        <f t="shared" si="35"/>
        <v>6.2751157383900136E-4</v>
      </c>
      <c r="S718" s="2">
        <v>0</v>
      </c>
      <c r="T718" s="2" t="s">
        <v>36</v>
      </c>
      <c r="U718" s="2" t="s">
        <v>37</v>
      </c>
      <c r="V718" s="2" t="s">
        <v>38</v>
      </c>
      <c r="W718" s="2" t="s">
        <v>35</v>
      </c>
      <c r="X718" s="2" t="s">
        <v>35</v>
      </c>
      <c r="Y718" s="2" t="s">
        <v>35</v>
      </c>
      <c r="Z718" s="2" t="b">
        <v>0</v>
      </c>
      <c r="AA718" s="2" t="s">
        <v>35</v>
      </c>
      <c r="AB718" s="2" t="s">
        <v>35</v>
      </c>
      <c r="AC718" s="2">
        <v>7</v>
      </c>
      <c r="AD718" s="2" t="s">
        <v>35</v>
      </c>
      <c r="AE718" s="2" t="s">
        <v>2025</v>
      </c>
      <c r="AF718" s="11">
        <v>44749.40625</v>
      </c>
      <c r="AG718" s="53"/>
      <c r="AH718" s="53" t="b">
        <f t="shared" si="34"/>
        <v>0</v>
      </c>
      <c r="AI718" s="54" t="str" cm="1">
        <f t="array" ref="AI718">TRANSPOSE(_xlfn._xlws.FILTER(images!L:L,images!F:F=Barrierenmessung!A718, ""))</f>
        <v>https://captureandgo.cloudlab.zhaw.ch/uploads/image_d8168d7777.jpg</v>
      </c>
      <c r="AJ718" s="2"/>
      <c r="AK718" s="2"/>
      <c r="AL718" s="2"/>
      <c r="AM718" s="2"/>
      <c r="AN718" s="2"/>
    </row>
    <row r="719" spans="1:40" ht="16" x14ac:dyDescent="0.2">
      <c r="A719" s="2" t="s">
        <v>2327</v>
      </c>
      <c r="B719" s="46">
        <v>718</v>
      </c>
      <c r="C719" s="2" t="b">
        <v>0</v>
      </c>
      <c r="D719" s="2" t="b">
        <v>0</v>
      </c>
      <c r="E719" s="2" t="b">
        <v>0</v>
      </c>
      <c r="F719" s="2" t="b">
        <v>0</v>
      </c>
      <c r="G719" s="2" t="s">
        <v>31</v>
      </c>
      <c r="H719" s="2" t="s">
        <v>2328</v>
      </c>
      <c r="I719" s="2" t="s">
        <v>2329</v>
      </c>
      <c r="J719" s="2" t="s">
        <v>35</v>
      </c>
      <c r="K719" s="2" t="s">
        <v>35</v>
      </c>
      <c r="L719" s="2" t="s">
        <v>35</v>
      </c>
      <c r="M719" s="2" t="s">
        <v>35</v>
      </c>
      <c r="N719" s="2" t="s">
        <v>35</v>
      </c>
      <c r="O719" s="11">
        <v>44749.495586226854</v>
      </c>
      <c r="P719" s="11">
        <v>44749.495715358797</v>
      </c>
      <c r="Q719" s="27">
        <f t="shared" si="33"/>
        <v>1.2913194223074242E-4</v>
      </c>
      <c r="R719" s="65">
        <f t="shared" si="35"/>
        <v>6.842476868769154E-4</v>
      </c>
      <c r="S719" s="2">
        <v>0</v>
      </c>
      <c r="T719" s="2" t="s">
        <v>36</v>
      </c>
      <c r="U719" s="2" t="s">
        <v>37</v>
      </c>
      <c r="V719" s="2" t="s">
        <v>38</v>
      </c>
      <c r="W719" s="2" t="s">
        <v>35</v>
      </c>
      <c r="X719" s="2" t="s">
        <v>35</v>
      </c>
      <c r="Y719" s="2" t="s">
        <v>35</v>
      </c>
      <c r="Z719" s="2" t="b">
        <v>0</v>
      </c>
      <c r="AA719" s="2" t="s">
        <v>35</v>
      </c>
      <c r="AB719" s="2" t="s">
        <v>35</v>
      </c>
      <c r="AC719" s="2" t="s">
        <v>35</v>
      </c>
      <c r="AD719" s="2">
        <v>5</v>
      </c>
      <c r="AE719" s="2" t="s">
        <v>2025</v>
      </c>
      <c r="AF719" s="11">
        <v>44749.40625</v>
      </c>
      <c r="AG719" s="53"/>
      <c r="AH719" s="53" t="b">
        <f t="shared" si="34"/>
        <v>0</v>
      </c>
      <c r="AI719" s="54" t="str" cm="1">
        <f t="array" ref="AI719">TRANSPOSE(_xlfn._xlws.FILTER(images!L:L,images!F:F=Barrierenmessung!A719, ""))</f>
        <v>https://captureandgo.cloudlab.zhaw.ch/uploads/image_80d9e47ca1.jpg</v>
      </c>
      <c r="AJ719" s="2"/>
      <c r="AK719" s="2"/>
      <c r="AL719" s="2"/>
      <c r="AM719" s="2"/>
      <c r="AN719" s="2"/>
    </row>
    <row r="720" spans="1:40" ht="16" x14ac:dyDescent="0.2">
      <c r="A720" s="2" t="s">
        <v>2330</v>
      </c>
      <c r="B720" s="46">
        <v>719</v>
      </c>
      <c r="C720" s="2" t="b">
        <v>0</v>
      </c>
      <c r="D720" s="2" t="b">
        <v>0</v>
      </c>
      <c r="E720" s="2" t="b">
        <v>0</v>
      </c>
      <c r="F720" s="2" t="b">
        <v>0</v>
      </c>
      <c r="G720" s="2" t="s">
        <v>31</v>
      </c>
      <c r="H720" s="2" t="s">
        <v>2331</v>
      </c>
      <c r="I720" s="2" t="s">
        <v>2332</v>
      </c>
      <c r="J720" s="2" t="s">
        <v>2333</v>
      </c>
      <c r="K720" s="2" t="s">
        <v>35</v>
      </c>
      <c r="L720" s="2" t="s">
        <v>35</v>
      </c>
      <c r="M720" s="2" t="s">
        <v>35</v>
      </c>
      <c r="N720" s="2" t="s">
        <v>35</v>
      </c>
      <c r="O720" s="11">
        <v>44749.49820804398</v>
      </c>
      <c r="P720" s="11">
        <v>44749.498760439812</v>
      </c>
      <c r="Q720" s="27">
        <f t="shared" si="33"/>
        <v>5.5239583161892369E-4</v>
      </c>
      <c r="R720" s="65">
        <f t="shared" si="35"/>
        <v>3.0450810154434294E-3</v>
      </c>
      <c r="S720" s="2">
        <v>0</v>
      </c>
      <c r="T720" s="2" t="s">
        <v>36</v>
      </c>
      <c r="U720" s="2" t="s">
        <v>37</v>
      </c>
      <c r="V720" s="2" t="s">
        <v>38</v>
      </c>
      <c r="W720" s="2" t="s">
        <v>35</v>
      </c>
      <c r="X720" s="2" t="s">
        <v>35</v>
      </c>
      <c r="Y720" s="2" t="s">
        <v>35</v>
      </c>
      <c r="Z720" s="2" t="b">
        <v>0</v>
      </c>
      <c r="AA720" s="2" t="s">
        <v>35</v>
      </c>
      <c r="AB720" s="2" t="s">
        <v>35</v>
      </c>
      <c r="AC720" s="2">
        <v>8</v>
      </c>
      <c r="AD720" s="2" t="s">
        <v>35</v>
      </c>
      <c r="AE720" s="2" t="s">
        <v>2025</v>
      </c>
      <c r="AF720" s="11">
        <v>44749.40625</v>
      </c>
      <c r="AG720" s="53"/>
      <c r="AH720" s="53" t="b">
        <f t="shared" si="34"/>
        <v>0</v>
      </c>
      <c r="AI720" s="54" t="str" cm="1">
        <f t="array" ref="AI720">TRANSPOSE(_xlfn._xlws.FILTER(images!L:L,images!F:F=Barrierenmessung!A720, ""))</f>
        <v>https://captureandgo.cloudlab.zhaw.ch/uploads/image_e77a28acad.jpg</v>
      </c>
      <c r="AJ720" s="2"/>
      <c r="AK720" s="2"/>
      <c r="AL720" s="2"/>
      <c r="AM720" s="2"/>
      <c r="AN720" s="2"/>
    </row>
    <row r="721" spans="1:40" ht="16" x14ac:dyDescent="0.2">
      <c r="A721" s="2" t="s">
        <v>2334</v>
      </c>
      <c r="B721" s="46">
        <v>720</v>
      </c>
      <c r="C721" s="2" t="b">
        <v>0</v>
      </c>
      <c r="D721" s="2" t="b">
        <v>0</v>
      </c>
      <c r="E721" s="2" t="b">
        <v>0</v>
      </c>
      <c r="F721" s="2" t="b">
        <v>0</v>
      </c>
      <c r="G721" s="2" t="s">
        <v>31</v>
      </c>
      <c r="H721" s="2" t="s">
        <v>2335</v>
      </c>
      <c r="I721" s="2" t="s">
        <v>2336</v>
      </c>
      <c r="J721" s="2" t="s">
        <v>35</v>
      </c>
      <c r="K721" s="2" t="s">
        <v>35</v>
      </c>
      <c r="L721" s="2" t="s">
        <v>35</v>
      </c>
      <c r="M721" s="2">
        <v>45</v>
      </c>
      <c r="N721" s="2">
        <v>18</v>
      </c>
      <c r="O721" s="11">
        <v>44749.499211388887</v>
      </c>
      <c r="P721" s="11">
        <v>44749.500528703706</v>
      </c>
      <c r="Q721" s="27">
        <f t="shared" si="33"/>
        <v>1.3173148181522265E-3</v>
      </c>
      <c r="R721" s="65">
        <f t="shared" si="35"/>
        <v>1.7682638936094008E-3</v>
      </c>
      <c r="S721" s="2">
        <v>0</v>
      </c>
      <c r="T721" s="2" t="s">
        <v>54</v>
      </c>
      <c r="U721" s="2" t="s">
        <v>55</v>
      </c>
      <c r="V721" s="2" t="s">
        <v>38</v>
      </c>
      <c r="W721" s="2" t="s">
        <v>35</v>
      </c>
      <c r="X721" s="2" t="s">
        <v>35</v>
      </c>
      <c r="Y721" s="2" t="s">
        <v>35</v>
      </c>
      <c r="Z721" s="2" t="b">
        <v>0</v>
      </c>
      <c r="AA721" s="2" t="s">
        <v>35</v>
      </c>
      <c r="AB721" s="2" t="s">
        <v>35</v>
      </c>
      <c r="AC721" s="2" t="s">
        <v>35</v>
      </c>
      <c r="AD721" s="2" t="s">
        <v>35</v>
      </c>
      <c r="AE721" s="2" t="s">
        <v>2025</v>
      </c>
      <c r="AF721" s="11">
        <v>44749.40625</v>
      </c>
      <c r="AG721" s="53"/>
      <c r="AH721" s="53" t="b">
        <f t="shared" si="34"/>
        <v>0</v>
      </c>
      <c r="AI721" s="54" t="str" cm="1">
        <f t="array" ref="AI721">TRANSPOSE(_xlfn._xlws.FILTER(images!L:L,images!F:F=Barrierenmessung!A721, ""))</f>
        <v>https://captureandgo.cloudlab.zhaw.ch/uploads/image_c7f3471e37.jpg</v>
      </c>
      <c r="AJ721" s="2"/>
      <c r="AK721" s="2"/>
      <c r="AL721" s="2"/>
      <c r="AM721" s="2"/>
      <c r="AN721" s="2"/>
    </row>
    <row r="722" spans="1:40" ht="16" x14ac:dyDescent="0.2">
      <c r="A722" s="46" t="s">
        <v>2337</v>
      </c>
      <c r="B722" s="46">
        <v>721</v>
      </c>
      <c r="C722" s="46" t="b">
        <v>0</v>
      </c>
      <c r="D722" s="46" t="b">
        <v>0</v>
      </c>
      <c r="E722" s="46" t="b">
        <v>0</v>
      </c>
      <c r="F722" s="46" t="b">
        <v>0</v>
      </c>
      <c r="G722" s="46" t="s">
        <v>31</v>
      </c>
      <c r="H722" s="46" t="s">
        <v>2338</v>
      </c>
      <c r="I722" s="46" t="s">
        <v>2339</v>
      </c>
      <c r="J722" s="46" t="s">
        <v>2333</v>
      </c>
      <c r="K722" s="46" t="s">
        <v>35</v>
      </c>
      <c r="L722" s="46" t="s">
        <v>35</v>
      </c>
      <c r="M722" s="46" t="s">
        <v>35</v>
      </c>
      <c r="N722" s="46" t="s">
        <v>35</v>
      </c>
      <c r="O722" s="66">
        <v>44749.500526979165</v>
      </c>
      <c r="P722" s="66">
        <v>44749.500876273145</v>
      </c>
      <c r="Q722" s="65">
        <f t="shared" si="33"/>
        <v>3.4929397952510044E-4</v>
      </c>
      <c r="R722" s="65">
        <f t="shared" si="35"/>
        <v>3.475694393273443E-4</v>
      </c>
      <c r="S722" s="46">
        <v>0</v>
      </c>
      <c r="T722" s="46" t="s">
        <v>36</v>
      </c>
      <c r="U722" s="46" t="s">
        <v>37</v>
      </c>
      <c r="V722" s="46" t="s">
        <v>38</v>
      </c>
      <c r="W722" s="46" t="s">
        <v>35</v>
      </c>
      <c r="X722" s="46" t="s">
        <v>35</v>
      </c>
      <c r="Y722" s="46" t="s">
        <v>35</v>
      </c>
      <c r="Z722" s="46" t="b">
        <v>0</v>
      </c>
      <c r="AA722" s="46" t="s">
        <v>35</v>
      </c>
      <c r="AB722" s="46" t="s">
        <v>35</v>
      </c>
      <c r="AC722" s="46">
        <v>15</v>
      </c>
      <c r="AD722" s="46">
        <v>2</v>
      </c>
      <c r="AE722" s="46" t="s">
        <v>2025</v>
      </c>
      <c r="AF722" s="66">
        <v>44749.40625</v>
      </c>
      <c r="AG722" s="67"/>
      <c r="AH722" s="53" t="b">
        <f t="shared" si="34"/>
        <v>0</v>
      </c>
      <c r="AI722" s="73" t="str" cm="1">
        <f t="array" ref="AI722">TRANSPOSE(_xlfn._xlws.FILTER(images!L:L,images!F:F=Barrierenmessung!A722, ""))</f>
        <v>https://captureandgo.cloudlab.zhaw.ch/uploads/image_369eb1e297.jpg</v>
      </c>
      <c r="AJ722" s="46"/>
      <c r="AK722" s="46"/>
      <c r="AL722" s="46"/>
      <c r="AM722" s="46"/>
      <c r="AN722" s="46"/>
    </row>
    <row r="723" spans="1:40" ht="16" x14ac:dyDescent="0.2">
      <c r="A723" s="2" t="s">
        <v>2340</v>
      </c>
      <c r="B723" s="46">
        <v>722</v>
      </c>
      <c r="C723" s="2" t="b">
        <v>0</v>
      </c>
      <c r="D723" s="2" t="b">
        <v>0</v>
      </c>
      <c r="E723" s="2" t="b">
        <v>0</v>
      </c>
      <c r="F723" s="2" t="b">
        <v>0</v>
      </c>
      <c r="G723" s="2" t="s">
        <v>31</v>
      </c>
      <c r="H723" s="2" t="s">
        <v>2341</v>
      </c>
      <c r="I723" s="2" t="s">
        <v>2342</v>
      </c>
      <c r="J723" s="2" t="s">
        <v>2267</v>
      </c>
      <c r="K723" s="2" t="s">
        <v>35</v>
      </c>
      <c r="L723" s="2" t="s">
        <v>35</v>
      </c>
      <c r="M723" s="2">
        <v>38</v>
      </c>
      <c r="N723" s="2">
        <v>13</v>
      </c>
      <c r="O723" s="11">
        <v>44749.500921481478</v>
      </c>
      <c r="P723" s="11">
        <v>44749.501724953705</v>
      </c>
      <c r="Q723" s="27">
        <f t="shared" si="33"/>
        <v>8.0347222683485597E-4</v>
      </c>
      <c r="R723" s="65">
        <f t="shared" si="35"/>
        <v>8.4868056001141667E-4</v>
      </c>
      <c r="S723" s="2">
        <v>0</v>
      </c>
      <c r="T723" s="2" t="s">
        <v>54</v>
      </c>
      <c r="U723" s="2" t="s">
        <v>55</v>
      </c>
      <c r="V723" s="2" t="s">
        <v>38</v>
      </c>
      <c r="W723" s="2" t="s">
        <v>35</v>
      </c>
      <c r="X723" s="2" t="s">
        <v>35</v>
      </c>
      <c r="Y723" s="2" t="s">
        <v>35</v>
      </c>
      <c r="Z723" s="2" t="b">
        <v>1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2" t="s">
        <v>2025</v>
      </c>
      <c r="AF723" s="11">
        <v>44749.40625</v>
      </c>
      <c r="AG723" s="53"/>
      <c r="AH723" s="53" t="b">
        <f t="shared" si="34"/>
        <v>0</v>
      </c>
      <c r="AI723" s="54" t="str" cm="1">
        <f t="array" ref="AI723">TRANSPOSE(_xlfn._xlws.FILTER(images!L:L,images!F:F=Barrierenmessung!A723, ""))</f>
        <v>https://captureandgo.cloudlab.zhaw.ch/uploads/image_91b50a128c.jpg</v>
      </c>
      <c r="AJ723" s="2"/>
      <c r="AK723" s="2"/>
      <c r="AL723" s="2"/>
      <c r="AM723" s="2"/>
      <c r="AN723" s="2"/>
    </row>
    <row r="724" spans="1:40" ht="16" x14ac:dyDescent="0.2">
      <c r="A724" s="2" t="s">
        <v>2343</v>
      </c>
      <c r="B724" s="46">
        <v>723</v>
      </c>
      <c r="C724" s="2" t="b">
        <v>0</v>
      </c>
      <c r="D724" s="2" t="b">
        <v>0</v>
      </c>
      <c r="E724" s="2" t="b">
        <v>0</v>
      </c>
      <c r="F724" s="2" t="b">
        <v>0</v>
      </c>
      <c r="G724" s="2" t="s">
        <v>31</v>
      </c>
      <c r="H724" s="2" t="s">
        <v>2344</v>
      </c>
      <c r="I724" s="2" t="s">
        <v>2345</v>
      </c>
      <c r="J724" s="2" t="s">
        <v>2246</v>
      </c>
      <c r="K724" s="2" t="s">
        <v>35</v>
      </c>
      <c r="L724" s="2" t="s">
        <v>35</v>
      </c>
      <c r="M724" s="2" t="s">
        <v>35</v>
      </c>
      <c r="N724" s="2" t="s">
        <v>35</v>
      </c>
      <c r="O724" s="11">
        <v>44749.501805324071</v>
      </c>
      <c r="P724" s="11">
        <v>44749.50236888889</v>
      </c>
      <c r="Q724" s="27">
        <f t="shared" si="33"/>
        <v>5.6356481945840642E-4</v>
      </c>
      <c r="R724" s="65">
        <f t="shared" si="35"/>
        <v>6.4393518550787121E-4</v>
      </c>
      <c r="S724" s="2">
        <v>0</v>
      </c>
      <c r="T724" s="2" t="s">
        <v>36</v>
      </c>
      <c r="U724" s="2" t="s">
        <v>37</v>
      </c>
      <c r="V724" s="2" t="s">
        <v>38</v>
      </c>
      <c r="W724" s="2" t="s">
        <v>35</v>
      </c>
      <c r="X724" s="2" t="s">
        <v>35</v>
      </c>
      <c r="Y724" s="2" t="s">
        <v>35</v>
      </c>
      <c r="Z724" s="2" t="b">
        <v>0</v>
      </c>
      <c r="AA724" s="2" t="s">
        <v>35</v>
      </c>
      <c r="AB724" s="2" t="s">
        <v>35</v>
      </c>
      <c r="AC724" s="2">
        <v>7</v>
      </c>
      <c r="AD724" s="2" t="s">
        <v>35</v>
      </c>
      <c r="AE724" s="2" t="s">
        <v>2025</v>
      </c>
      <c r="AF724" s="11">
        <v>44749.40625</v>
      </c>
      <c r="AG724" s="53"/>
      <c r="AH724" s="53" t="b">
        <f t="shared" si="34"/>
        <v>0</v>
      </c>
      <c r="AI724" s="54" t="str" cm="1">
        <f t="array" ref="AI724">TRANSPOSE(_xlfn._xlws.FILTER(images!L:L,images!F:F=Barrierenmessung!A724, ""))</f>
        <v>https://captureandgo.cloudlab.zhaw.ch/uploads/image_38a8b8c164.jpg</v>
      </c>
      <c r="AJ724" s="2"/>
      <c r="AK724" s="2"/>
      <c r="AL724" s="2"/>
      <c r="AM724" s="2"/>
      <c r="AN724" s="2"/>
    </row>
    <row r="725" spans="1:40" ht="16" x14ac:dyDescent="0.2">
      <c r="A725" s="68" t="s">
        <v>2346</v>
      </c>
      <c r="B725" s="68">
        <v>724</v>
      </c>
      <c r="C725" s="68" t="b">
        <v>0</v>
      </c>
      <c r="D725" s="68" t="b">
        <v>0</v>
      </c>
      <c r="E725" s="68" t="b">
        <v>0</v>
      </c>
      <c r="F725" s="68" t="b">
        <v>0</v>
      </c>
      <c r="G725" s="68" t="s">
        <v>31</v>
      </c>
      <c r="H725" s="68" t="s">
        <v>149</v>
      </c>
      <c r="I725" s="68" t="s">
        <v>2347</v>
      </c>
      <c r="J725" s="68" t="s">
        <v>35</v>
      </c>
      <c r="K725" s="68" t="s">
        <v>35</v>
      </c>
      <c r="L725" s="68" t="s">
        <v>35</v>
      </c>
      <c r="M725" s="68" t="s">
        <v>35</v>
      </c>
      <c r="N725" s="68" t="s">
        <v>35</v>
      </c>
      <c r="O725" s="69">
        <v>44749.503088101854</v>
      </c>
      <c r="P725" s="69">
        <v>44749.503206793983</v>
      </c>
      <c r="Q725" s="70">
        <f t="shared" si="33"/>
        <v>1.1869212903548032E-4</v>
      </c>
      <c r="R725" s="70">
        <f t="shared" si="35"/>
        <v>8.3790509233949706E-4</v>
      </c>
      <c r="S725" s="68">
        <v>0</v>
      </c>
      <c r="T725" s="68" t="s">
        <v>36</v>
      </c>
      <c r="U725" s="68" t="s">
        <v>37</v>
      </c>
      <c r="V725" s="68" t="s">
        <v>38</v>
      </c>
      <c r="W725" s="68" t="s">
        <v>35</v>
      </c>
      <c r="X725" s="68" t="s">
        <v>35</v>
      </c>
      <c r="Y725" s="68" t="s">
        <v>35</v>
      </c>
      <c r="Z725" s="68" t="b">
        <v>0</v>
      </c>
      <c r="AA725" s="68" t="s">
        <v>35</v>
      </c>
      <c r="AB725" s="68" t="s">
        <v>35</v>
      </c>
      <c r="AC725" s="68" t="s">
        <v>35</v>
      </c>
      <c r="AD725" s="68">
        <v>2</v>
      </c>
      <c r="AE725" s="68" t="s">
        <v>2025</v>
      </c>
      <c r="AF725" s="69">
        <v>44749.40625</v>
      </c>
      <c r="AG725" s="71"/>
      <c r="AH725" s="71" t="b">
        <f t="shared" si="34"/>
        <v>0</v>
      </c>
      <c r="AI725" s="56" t="str" cm="1">
        <f t="array" ref="AI725">TRANSPOSE(_xlfn._xlws.FILTER(images!L:L,images!F:F=Barrierenmessung!A725, ""))</f>
        <v/>
      </c>
      <c r="AJ725" s="68"/>
      <c r="AK725" s="68"/>
      <c r="AL725" s="68"/>
      <c r="AM725" s="68"/>
      <c r="AN725" s="68"/>
    </row>
    <row r="726" spans="1:40" ht="16" x14ac:dyDescent="0.2">
      <c r="A726" s="2" t="s">
        <v>2348</v>
      </c>
      <c r="B726" s="46">
        <v>725</v>
      </c>
      <c r="C726" s="2" t="b">
        <v>0</v>
      </c>
      <c r="D726" s="2" t="b">
        <v>0</v>
      </c>
      <c r="E726" s="2" t="b">
        <v>0</v>
      </c>
      <c r="F726" s="2" t="b">
        <v>0</v>
      </c>
      <c r="G726" s="2" t="s">
        <v>31</v>
      </c>
      <c r="H726" s="2" t="s">
        <v>2349</v>
      </c>
      <c r="I726" s="2" t="s">
        <v>2350</v>
      </c>
      <c r="J726" s="2" t="s">
        <v>35</v>
      </c>
      <c r="K726" s="2" t="s">
        <v>35</v>
      </c>
      <c r="L726" s="2" t="s">
        <v>35</v>
      </c>
      <c r="M726" s="2" t="s">
        <v>35</v>
      </c>
      <c r="N726" s="2" t="s">
        <v>35</v>
      </c>
      <c r="O726" s="11">
        <v>44749.503806157409</v>
      </c>
      <c r="P726" s="11">
        <v>44749.503949733793</v>
      </c>
      <c r="Q726" s="27">
        <f t="shared" si="33"/>
        <v>1.4357638428919017E-4</v>
      </c>
      <c r="R726" s="65">
        <f t="shared" si="35"/>
        <v>7.4293981015216559E-4</v>
      </c>
      <c r="S726" s="2">
        <v>0</v>
      </c>
      <c r="T726" s="2" t="s">
        <v>36</v>
      </c>
      <c r="U726" s="2" t="s">
        <v>37</v>
      </c>
      <c r="V726" s="2" t="s">
        <v>38</v>
      </c>
      <c r="W726" s="2" t="s">
        <v>35</v>
      </c>
      <c r="X726" s="2" t="s">
        <v>35</v>
      </c>
      <c r="Y726" s="2" t="s">
        <v>35</v>
      </c>
      <c r="Z726" s="2" t="b">
        <v>0</v>
      </c>
      <c r="AA726" s="2" t="s">
        <v>35</v>
      </c>
      <c r="AB726" s="2" t="s">
        <v>35</v>
      </c>
      <c r="AC726" s="2" t="s">
        <v>35</v>
      </c>
      <c r="AD726" s="2">
        <v>3</v>
      </c>
      <c r="AE726" s="2" t="s">
        <v>2025</v>
      </c>
      <c r="AF726" s="11">
        <v>44749.40625</v>
      </c>
      <c r="AG726" s="53"/>
      <c r="AH726" s="53" t="b">
        <f t="shared" si="34"/>
        <v>0</v>
      </c>
      <c r="AI726" s="54" t="str" cm="1">
        <f t="array" ref="AI726">TRANSPOSE(_xlfn._xlws.FILTER(images!L:L,images!F:F=Barrierenmessung!A726, ""))</f>
        <v>https://captureandgo.cloudlab.zhaw.ch/uploads/image_07be750e3e.jpg</v>
      </c>
      <c r="AJ726" s="2"/>
      <c r="AK726" s="2"/>
      <c r="AL726" s="2"/>
      <c r="AM726" s="2"/>
      <c r="AN726" s="2"/>
    </row>
    <row r="727" spans="1:40" ht="16" x14ac:dyDescent="0.2">
      <c r="A727" s="2" t="s">
        <v>2351</v>
      </c>
      <c r="B727" s="46">
        <v>726</v>
      </c>
      <c r="C727" s="2" t="b">
        <v>0</v>
      </c>
      <c r="D727" s="2" t="b">
        <v>0</v>
      </c>
      <c r="E727" s="2" t="b">
        <v>0</v>
      </c>
      <c r="F727" s="2" t="b">
        <v>0</v>
      </c>
      <c r="G727" s="2" t="s">
        <v>31</v>
      </c>
      <c r="H727" s="2" t="s">
        <v>2352</v>
      </c>
      <c r="I727" s="2" t="s">
        <v>2353</v>
      </c>
      <c r="J727" s="2" t="s">
        <v>2354</v>
      </c>
      <c r="K727" s="2" t="s">
        <v>35</v>
      </c>
      <c r="L727" s="2" t="s">
        <v>35</v>
      </c>
      <c r="M727" s="2" t="s">
        <v>35</v>
      </c>
      <c r="N727" s="2" t="s">
        <v>35</v>
      </c>
      <c r="O727" s="11">
        <v>44749.504560451387</v>
      </c>
      <c r="P727" s="11">
        <v>44749.505169131946</v>
      </c>
      <c r="Q727" s="27">
        <f t="shared" si="33"/>
        <v>6.0868055879836902E-4</v>
      </c>
      <c r="R727" s="65">
        <f t="shared" si="35"/>
        <v>1.2193981528980657E-3</v>
      </c>
      <c r="S727" s="2">
        <v>0</v>
      </c>
      <c r="T727" s="2" t="s">
        <v>36</v>
      </c>
      <c r="U727" s="2" t="s">
        <v>37</v>
      </c>
      <c r="V727" s="2" t="s">
        <v>38</v>
      </c>
      <c r="W727" s="2" t="s">
        <v>35</v>
      </c>
      <c r="X727" s="2" t="s">
        <v>35</v>
      </c>
      <c r="Y727" s="2" t="s">
        <v>35</v>
      </c>
      <c r="Z727" s="2" t="b">
        <v>0</v>
      </c>
      <c r="AA727" s="2" t="s">
        <v>35</v>
      </c>
      <c r="AB727" s="2" t="s">
        <v>35</v>
      </c>
      <c r="AC727" s="2">
        <v>9</v>
      </c>
      <c r="AD727" s="2" t="s">
        <v>35</v>
      </c>
      <c r="AE727" s="2" t="s">
        <v>2025</v>
      </c>
      <c r="AF727" s="11">
        <v>44749.40625</v>
      </c>
      <c r="AG727" s="53"/>
      <c r="AH727" s="53" t="b">
        <f t="shared" si="34"/>
        <v>0</v>
      </c>
      <c r="AI727" s="54" t="str" cm="1">
        <f t="array" ref="AI727">TRANSPOSE(_xlfn._xlws.FILTER(images!L:L,images!F:F=Barrierenmessung!A727, ""))</f>
        <v>https://captureandgo.cloudlab.zhaw.ch/uploads/image_239c11ba76.jpg</v>
      </c>
      <c r="AJ727" s="2"/>
      <c r="AK727" s="2"/>
      <c r="AL727" s="2"/>
      <c r="AM727" s="2"/>
      <c r="AN727" s="2"/>
    </row>
    <row r="728" spans="1:40" ht="16" x14ac:dyDescent="0.2">
      <c r="A728" s="68" t="s">
        <v>2355</v>
      </c>
      <c r="B728" s="68">
        <v>727</v>
      </c>
      <c r="C728" s="68" t="b">
        <v>0</v>
      </c>
      <c r="D728" s="68" t="b">
        <v>0</v>
      </c>
      <c r="E728" s="68" t="b">
        <v>0</v>
      </c>
      <c r="F728" s="68" t="b">
        <v>0</v>
      </c>
      <c r="G728" s="68" t="s">
        <v>31</v>
      </c>
      <c r="H728" s="68" t="s">
        <v>149</v>
      </c>
      <c r="I728" s="68" t="s">
        <v>2356</v>
      </c>
      <c r="J728" s="68" t="s">
        <v>662</v>
      </c>
      <c r="K728" s="68" t="s">
        <v>35</v>
      </c>
      <c r="L728" s="68" t="s">
        <v>35</v>
      </c>
      <c r="M728" s="68" t="s">
        <v>35</v>
      </c>
      <c r="N728" s="68" t="s">
        <v>35</v>
      </c>
      <c r="O728" s="69">
        <v>44749.505536215278</v>
      </c>
      <c r="P728" s="69">
        <v>44749.505833483796</v>
      </c>
      <c r="Q728" s="70">
        <f t="shared" si="33"/>
        <v>2.9726851789746433E-4</v>
      </c>
      <c r="R728" s="70">
        <f t="shared" si="35"/>
        <v>6.6435184999136254E-4</v>
      </c>
      <c r="S728" s="68">
        <v>0</v>
      </c>
      <c r="T728" s="68" t="s">
        <v>36</v>
      </c>
      <c r="U728" s="68" t="s">
        <v>37</v>
      </c>
      <c r="V728" s="68" t="s">
        <v>38</v>
      </c>
      <c r="W728" s="68" t="s">
        <v>35</v>
      </c>
      <c r="X728" s="68" t="s">
        <v>35</v>
      </c>
      <c r="Y728" s="68" t="s">
        <v>35</v>
      </c>
      <c r="Z728" s="68" t="b">
        <v>0</v>
      </c>
      <c r="AA728" s="68" t="s">
        <v>35</v>
      </c>
      <c r="AB728" s="68" t="s">
        <v>35</v>
      </c>
      <c r="AC728" s="68">
        <v>5</v>
      </c>
      <c r="AD728" s="68" t="s">
        <v>35</v>
      </c>
      <c r="AE728" s="68" t="s">
        <v>2025</v>
      </c>
      <c r="AF728" s="69">
        <v>44749.40625</v>
      </c>
      <c r="AG728" s="71"/>
      <c r="AH728" s="71" t="b">
        <f t="shared" si="34"/>
        <v>0</v>
      </c>
      <c r="AI728" s="56" t="str" cm="1">
        <f t="array" ref="AI728">TRANSPOSE(_xlfn._xlws.FILTER(images!L:L,images!F:F=Barrierenmessung!A728, ""))</f>
        <v/>
      </c>
      <c r="AJ728" s="68"/>
      <c r="AK728" s="68"/>
      <c r="AL728" s="68"/>
      <c r="AM728" s="68"/>
      <c r="AN728" s="68"/>
    </row>
    <row r="729" spans="1:40" ht="16" x14ac:dyDescent="0.2">
      <c r="A729" s="68" t="s">
        <v>2357</v>
      </c>
      <c r="B729" s="68">
        <v>728</v>
      </c>
      <c r="C729" s="68" t="b">
        <v>0</v>
      </c>
      <c r="D729" s="68" t="b">
        <v>0</v>
      </c>
      <c r="E729" s="68" t="b">
        <v>0</v>
      </c>
      <c r="F729" s="68" t="b">
        <v>0</v>
      </c>
      <c r="G729" s="68" t="s">
        <v>31</v>
      </c>
      <c r="H729" s="68" t="s">
        <v>149</v>
      </c>
      <c r="I729" s="68" t="s">
        <v>2358</v>
      </c>
      <c r="J729" s="68" t="s">
        <v>35</v>
      </c>
      <c r="K729" s="68" t="s">
        <v>35</v>
      </c>
      <c r="L729" s="68" t="s">
        <v>35</v>
      </c>
      <c r="M729" s="68">
        <v>12</v>
      </c>
      <c r="N729" s="68">
        <v>16</v>
      </c>
      <c r="O729" s="69">
        <v>44749.507838136575</v>
      </c>
      <c r="P729" s="69">
        <v>44749.507980706017</v>
      </c>
      <c r="Q729" s="70">
        <f t="shared" si="33"/>
        <v>1.4256944268709049E-4</v>
      </c>
      <c r="R729" s="70">
        <f t="shared" si="35"/>
        <v>2.1472222215379588E-3</v>
      </c>
      <c r="S729" s="68">
        <v>0</v>
      </c>
      <c r="T729" s="68" t="s">
        <v>54</v>
      </c>
      <c r="U729" s="68" t="s">
        <v>55</v>
      </c>
      <c r="V729" s="68" t="s">
        <v>38</v>
      </c>
      <c r="W729" s="68" t="s">
        <v>35</v>
      </c>
      <c r="X729" s="68" t="s">
        <v>35</v>
      </c>
      <c r="Y729" s="68" t="s">
        <v>35</v>
      </c>
      <c r="Z729" s="68" t="b">
        <v>0</v>
      </c>
      <c r="AA729" s="68" t="s">
        <v>35</v>
      </c>
      <c r="AB729" s="68" t="s">
        <v>35</v>
      </c>
      <c r="AC729" s="68" t="s">
        <v>35</v>
      </c>
      <c r="AD729" s="68" t="s">
        <v>35</v>
      </c>
      <c r="AE729" s="68" t="s">
        <v>2025</v>
      </c>
      <c r="AF729" s="69">
        <v>44749.40625</v>
      </c>
      <c r="AG729" s="71"/>
      <c r="AH729" s="71" t="b">
        <f t="shared" si="34"/>
        <v>0</v>
      </c>
      <c r="AI729" s="56" t="s">
        <v>9483</v>
      </c>
      <c r="AJ729" s="68"/>
      <c r="AK729" s="68"/>
      <c r="AL729" s="68"/>
      <c r="AM729" s="68"/>
      <c r="AN729" s="68"/>
    </row>
    <row r="730" spans="1:40" ht="16" x14ac:dyDescent="0.2">
      <c r="A730" s="2" t="s">
        <v>2359</v>
      </c>
      <c r="B730" s="46">
        <v>729</v>
      </c>
      <c r="C730" s="2" t="b">
        <v>0</v>
      </c>
      <c r="D730" s="2" t="b">
        <v>0</v>
      </c>
      <c r="E730" s="2" t="b">
        <v>0</v>
      </c>
      <c r="F730" s="2" t="b">
        <v>0</v>
      </c>
      <c r="G730" s="2" t="s">
        <v>31</v>
      </c>
      <c r="H730" s="2" t="s">
        <v>2360</v>
      </c>
      <c r="I730" s="2" t="s">
        <v>2361</v>
      </c>
      <c r="J730" s="2" t="s">
        <v>35</v>
      </c>
      <c r="K730" s="2" t="s">
        <v>35</v>
      </c>
      <c r="L730" s="2" t="s">
        <v>35</v>
      </c>
      <c r="M730" s="2" t="s">
        <v>35</v>
      </c>
      <c r="N730" s="2" t="s">
        <v>35</v>
      </c>
      <c r="O730" s="11">
        <v>44749.508286597222</v>
      </c>
      <c r="P730" s="11">
        <v>44749.508409594906</v>
      </c>
      <c r="Q730" s="27">
        <f t="shared" si="33"/>
        <v>1.2299768422963098E-4</v>
      </c>
      <c r="R730" s="65">
        <f t="shared" si="35"/>
        <v>4.2888888856396079E-4</v>
      </c>
      <c r="S730" s="2">
        <v>0</v>
      </c>
      <c r="T730" s="2" t="s">
        <v>36</v>
      </c>
      <c r="U730" s="2" t="s">
        <v>37</v>
      </c>
      <c r="V730" s="2" t="s">
        <v>38</v>
      </c>
      <c r="W730" s="2" t="s">
        <v>35</v>
      </c>
      <c r="X730" s="2" t="s">
        <v>35</v>
      </c>
      <c r="Y730" s="2" t="s">
        <v>35</v>
      </c>
      <c r="Z730" s="2" t="b">
        <v>0</v>
      </c>
      <c r="AA730" s="2" t="s">
        <v>35</v>
      </c>
      <c r="AB730" s="2" t="s">
        <v>35</v>
      </c>
      <c r="AC730" s="2" t="s">
        <v>35</v>
      </c>
      <c r="AD730" s="2">
        <v>2</v>
      </c>
      <c r="AE730" s="2" t="s">
        <v>2025</v>
      </c>
      <c r="AF730" s="11">
        <v>44749.40625</v>
      </c>
      <c r="AG730" s="53"/>
      <c r="AH730" s="53" t="b">
        <f t="shared" si="34"/>
        <v>0</v>
      </c>
      <c r="AI730" s="54" t="str" cm="1">
        <f t="array" ref="AI730">TRANSPOSE(_xlfn._xlws.FILTER(images!L:L,images!F:F=Barrierenmessung!A730, ""))</f>
        <v>https://captureandgo.cloudlab.zhaw.ch/uploads/image_00ac83cd26.jpg</v>
      </c>
      <c r="AJ730" s="2"/>
      <c r="AK730" s="2"/>
      <c r="AL730" s="2"/>
      <c r="AM730" s="2"/>
      <c r="AN730" s="2"/>
    </row>
    <row r="731" spans="1:40" ht="16" x14ac:dyDescent="0.2">
      <c r="A731" s="2" t="s">
        <v>2362</v>
      </c>
      <c r="B731" s="46">
        <v>730</v>
      </c>
      <c r="C731" s="2" t="b">
        <v>0</v>
      </c>
      <c r="D731" s="2" t="b">
        <v>0</v>
      </c>
      <c r="E731" s="2" t="b">
        <v>0</v>
      </c>
      <c r="F731" s="2" t="b">
        <v>0</v>
      </c>
      <c r="G731" s="2" t="s">
        <v>31</v>
      </c>
      <c r="H731" s="2" t="s">
        <v>2363</v>
      </c>
      <c r="I731" s="2" t="s">
        <v>2364</v>
      </c>
      <c r="J731" s="2" t="s">
        <v>2354</v>
      </c>
      <c r="K731" s="2" t="s">
        <v>35</v>
      </c>
      <c r="L731" s="2" t="s">
        <v>35</v>
      </c>
      <c r="M731" s="2" t="s">
        <v>35</v>
      </c>
      <c r="N731" s="2" t="s">
        <v>35</v>
      </c>
      <c r="O731" s="11">
        <v>44749.508897453707</v>
      </c>
      <c r="P731" s="11">
        <v>44749.509457662039</v>
      </c>
      <c r="Q731" s="27">
        <f t="shared" si="33"/>
        <v>5.6020833289949223E-4</v>
      </c>
      <c r="R731" s="65">
        <f t="shared" si="35"/>
        <v>1.0480671335244551E-3</v>
      </c>
      <c r="S731" s="2">
        <v>0</v>
      </c>
      <c r="T731" s="2" t="s">
        <v>36</v>
      </c>
      <c r="U731" s="2" t="s">
        <v>37</v>
      </c>
      <c r="V731" s="2" t="s">
        <v>38</v>
      </c>
      <c r="W731" s="2" t="s">
        <v>35</v>
      </c>
      <c r="X731" s="2" t="s">
        <v>35</v>
      </c>
      <c r="Y731" s="2" t="s">
        <v>35</v>
      </c>
      <c r="Z731" s="2" t="b">
        <v>0</v>
      </c>
      <c r="AA731" s="2" t="s">
        <v>35</v>
      </c>
      <c r="AB731" s="2" t="s">
        <v>35</v>
      </c>
      <c r="AC731" s="2">
        <v>7</v>
      </c>
      <c r="AD731" s="2" t="s">
        <v>35</v>
      </c>
      <c r="AE731" s="2" t="s">
        <v>2025</v>
      </c>
      <c r="AF731" s="11">
        <v>44749.40625</v>
      </c>
      <c r="AG731" s="53"/>
      <c r="AH731" s="53" t="b">
        <f t="shared" si="34"/>
        <v>0</v>
      </c>
      <c r="AI731" s="54" t="str" cm="1">
        <f t="array" ref="AI731">TRANSPOSE(_xlfn._xlws.FILTER(images!L:L,images!F:F=Barrierenmessung!A731, ""))</f>
        <v>https://captureandgo.cloudlab.zhaw.ch/uploads/image_aa6e70afc8.jpg</v>
      </c>
      <c r="AJ731" s="2"/>
      <c r="AK731" s="2"/>
      <c r="AL731" s="2"/>
      <c r="AM731" s="2"/>
      <c r="AN731" s="2"/>
    </row>
    <row r="732" spans="1:40" ht="16" x14ac:dyDescent="0.2">
      <c r="A732" s="2" t="s">
        <v>2365</v>
      </c>
      <c r="B732" s="46">
        <v>731</v>
      </c>
      <c r="C732" s="2" t="b">
        <v>0</v>
      </c>
      <c r="D732" s="2" t="b">
        <v>0</v>
      </c>
      <c r="E732" s="2" t="b">
        <v>0</v>
      </c>
      <c r="F732" s="2" t="b">
        <v>0</v>
      </c>
      <c r="G732" s="2" t="s">
        <v>31</v>
      </c>
      <c r="H732" s="2" t="s">
        <v>2366</v>
      </c>
      <c r="I732" s="2" t="s">
        <v>2367</v>
      </c>
      <c r="J732" s="2" t="s">
        <v>35</v>
      </c>
      <c r="K732" s="2" t="s">
        <v>35</v>
      </c>
      <c r="L732" s="2" t="s">
        <v>35</v>
      </c>
      <c r="M732" s="2" t="s">
        <v>35</v>
      </c>
      <c r="N732" s="2" t="s">
        <v>35</v>
      </c>
      <c r="O732" s="11">
        <v>44749.510166018517</v>
      </c>
      <c r="P732" s="11">
        <v>44749.510419687504</v>
      </c>
      <c r="Q732" s="27">
        <f t="shared" si="33"/>
        <v>2.5366898626089096E-4</v>
      </c>
      <c r="R732" s="65">
        <f t="shared" si="35"/>
        <v>9.6202546410495415E-4</v>
      </c>
      <c r="S732" s="2">
        <v>0</v>
      </c>
      <c r="T732" s="2" t="s">
        <v>36</v>
      </c>
      <c r="U732" s="2" t="s">
        <v>37</v>
      </c>
      <c r="V732" s="2" t="s">
        <v>38</v>
      </c>
      <c r="W732" s="2" t="s">
        <v>35</v>
      </c>
      <c r="X732" s="2" t="s">
        <v>35</v>
      </c>
      <c r="Y732" s="2" t="s">
        <v>35</v>
      </c>
      <c r="Z732" s="2" t="b">
        <v>0</v>
      </c>
      <c r="AA732" s="2" t="s">
        <v>35</v>
      </c>
      <c r="AB732" s="2" t="s">
        <v>35</v>
      </c>
      <c r="AC732" s="2" t="s">
        <v>35</v>
      </c>
      <c r="AD732" s="2">
        <v>7</v>
      </c>
      <c r="AE732" s="2" t="s">
        <v>2025</v>
      </c>
      <c r="AF732" s="11">
        <v>44749.40625</v>
      </c>
      <c r="AG732" s="53"/>
      <c r="AH732" s="53" t="b">
        <f t="shared" si="34"/>
        <v>0</v>
      </c>
      <c r="AI732" s="54" t="str" cm="1">
        <f t="array" ref="AI732">TRANSPOSE(_xlfn._xlws.FILTER(images!L:L,images!F:F=Barrierenmessung!A732, ""))</f>
        <v>https://captureandgo.cloudlab.zhaw.ch/uploads/image_5e427b1b1a.jpg</v>
      </c>
      <c r="AJ732" s="2"/>
      <c r="AK732" s="2"/>
      <c r="AL732" s="2"/>
      <c r="AM732" s="2"/>
      <c r="AN732" s="2"/>
    </row>
    <row r="733" spans="1:40" ht="16" x14ac:dyDescent="0.2">
      <c r="A733" s="2" t="s">
        <v>2368</v>
      </c>
      <c r="B733" s="46">
        <v>732</v>
      </c>
      <c r="C733" s="2" t="b">
        <v>0</v>
      </c>
      <c r="D733" s="2" t="b">
        <v>0</v>
      </c>
      <c r="E733" s="2" t="b">
        <v>0</v>
      </c>
      <c r="F733" s="2" t="b">
        <v>0</v>
      </c>
      <c r="G733" s="2" t="s">
        <v>31</v>
      </c>
      <c r="H733" s="2" t="s">
        <v>2369</v>
      </c>
      <c r="I733" s="2" t="s">
        <v>2370</v>
      </c>
      <c r="J733" s="2" t="s">
        <v>2166</v>
      </c>
      <c r="K733" s="2" t="s">
        <v>35</v>
      </c>
      <c r="L733" s="2" t="s">
        <v>35</v>
      </c>
      <c r="M733" s="2" t="s">
        <v>35</v>
      </c>
      <c r="N733" s="2" t="s">
        <v>35</v>
      </c>
      <c r="O733" s="11">
        <v>44749.510639178239</v>
      </c>
      <c r="P733" s="11">
        <v>44749.511018043981</v>
      </c>
      <c r="Q733" s="27">
        <f t="shared" si="33"/>
        <v>3.7886574136791751E-4</v>
      </c>
      <c r="R733" s="65">
        <f t="shared" si="35"/>
        <v>5.9835647698491812E-4</v>
      </c>
      <c r="S733" s="2">
        <v>0</v>
      </c>
      <c r="T733" s="2" t="s">
        <v>36</v>
      </c>
      <c r="U733" s="2" t="s">
        <v>37</v>
      </c>
      <c r="V733" s="2" t="s">
        <v>38</v>
      </c>
      <c r="W733" s="2" t="s">
        <v>35</v>
      </c>
      <c r="X733" s="2" t="s">
        <v>35</v>
      </c>
      <c r="Y733" s="2" t="s">
        <v>35</v>
      </c>
      <c r="Z733" s="2" t="b">
        <v>0</v>
      </c>
      <c r="AA733" s="2" t="s">
        <v>35</v>
      </c>
      <c r="AB733" s="2" t="s">
        <v>35</v>
      </c>
      <c r="AC733" s="2">
        <v>10</v>
      </c>
      <c r="AD733" s="2" t="s">
        <v>35</v>
      </c>
      <c r="AE733" s="2" t="s">
        <v>2025</v>
      </c>
      <c r="AF733" s="11">
        <v>44749.40625</v>
      </c>
      <c r="AG733" s="53"/>
      <c r="AH733" s="53" t="b">
        <f t="shared" si="34"/>
        <v>0</v>
      </c>
      <c r="AI733" s="54" t="str" cm="1">
        <f t="array" ref="AI733">TRANSPOSE(_xlfn._xlws.FILTER(images!L:L,images!F:F=Barrierenmessung!A733, ""))</f>
        <v>https://captureandgo.cloudlab.zhaw.ch/uploads/image_d1e661217b.jpg</v>
      </c>
      <c r="AJ733" s="2"/>
      <c r="AK733" s="2"/>
      <c r="AL733" s="2"/>
      <c r="AM733" s="2"/>
      <c r="AN733" s="2"/>
    </row>
    <row r="734" spans="1:40" ht="16" x14ac:dyDescent="0.2">
      <c r="A734" s="2" t="s">
        <v>2371</v>
      </c>
      <c r="B734" s="46">
        <v>733</v>
      </c>
      <c r="C734" s="2" t="b">
        <v>0</v>
      </c>
      <c r="D734" s="2" t="b">
        <v>0</v>
      </c>
      <c r="E734" s="2" t="b">
        <v>0</v>
      </c>
      <c r="F734" s="2" t="b">
        <v>0</v>
      </c>
      <c r="G734" s="2" t="s">
        <v>31</v>
      </c>
      <c r="H734" s="2" t="s">
        <v>2372</v>
      </c>
      <c r="I734" s="2" t="s">
        <v>2373</v>
      </c>
      <c r="J734" s="2" t="s">
        <v>35</v>
      </c>
      <c r="K734" s="2" t="s">
        <v>35</v>
      </c>
      <c r="L734" s="2" t="s">
        <v>35</v>
      </c>
      <c r="M734" s="2" t="s">
        <v>35</v>
      </c>
      <c r="N734" s="2" t="s">
        <v>35</v>
      </c>
      <c r="O734" s="11">
        <v>44749.513881446757</v>
      </c>
      <c r="P734" s="11">
        <v>44749.514226145831</v>
      </c>
      <c r="Q734" s="27">
        <f t="shared" si="33"/>
        <v>3.4469907404854894E-4</v>
      </c>
      <c r="R734" s="65">
        <f t="shared" si="35"/>
        <v>3.2081018507597037E-3</v>
      </c>
      <c r="S734" s="2">
        <v>0</v>
      </c>
      <c r="T734" s="2" t="s">
        <v>36</v>
      </c>
      <c r="U734" s="2" t="s">
        <v>37</v>
      </c>
      <c r="V734" s="2" t="s">
        <v>38</v>
      </c>
      <c r="W734" s="2" t="s">
        <v>35</v>
      </c>
      <c r="X734" s="2" t="s">
        <v>35</v>
      </c>
      <c r="Y734" s="2" t="s">
        <v>35</v>
      </c>
      <c r="Z734" s="2" t="b">
        <v>0</v>
      </c>
      <c r="AA734" s="2" t="s">
        <v>35</v>
      </c>
      <c r="AB734" s="2" t="s">
        <v>35</v>
      </c>
      <c r="AC734" s="2" t="s">
        <v>35</v>
      </c>
      <c r="AD734" s="2">
        <v>6</v>
      </c>
      <c r="AE734" s="2" t="s">
        <v>2025</v>
      </c>
      <c r="AF734" s="11">
        <v>44749.40625</v>
      </c>
      <c r="AG734" s="53"/>
      <c r="AH734" s="53" t="b">
        <f t="shared" si="34"/>
        <v>0</v>
      </c>
      <c r="AI734" s="54" t="str" cm="1">
        <f t="array" ref="AI734">TRANSPOSE(_xlfn._xlws.FILTER(images!L:L,images!F:F=Barrierenmessung!A734, ""))</f>
        <v>https://captureandgo.cloudlab.zhaw.ch/uploads/image_e722ed92a6.jpg</v>
      </c>
      <c r="AJ734" s="2"/>
      <c r="AK734" s="2"/>
      <c r="AL734" s="2"/>
      <c r="AM734" s="2"/>
      <c r="AN734" s="2"/>
    </row>
    <row r="735" spans="1:40" ht="16" x14ac:dyDescent="0.2">
      <c r="A735" s="2" t="s">
        <v>2374</v>
      </c>
      <c r="B735" s="46">
        <v>734</v>
      </c>
      <c r="C735" s="2" t="b">
        <v>0</v>
      </c>
      <c r="D735" s="2" t="b">
        <v>0</v>
      </c>
      <c r="E735" s="2" t="b">
        <v>0</v>
      </c>
      <c r="F735" s="2" t="b">
        <v>0</v>
      </c>
      <c r="G735" s="2" t="s">
        <v>31</v>
      </c>
      <c r="H735" s="2" t="s">
        <v>2375</v>
      </c>
      <c r="I735" s="2" t="s">
        <v>2376</v>
      </c>
      <c r="J735" s="2" t="s">
        <v>35</v>
      </c>
      <c r="K735" s="2" t="s">
        <v>35</v>
      </c>
      <c r="L735" s="2">
        <v>10</v>
      </c>
      <c r="M735" s="2" t="s">
        <v>35</v>
      </c>
      <c r="N735" s="2" t="s">
        <v>35</v>
      </c>
      <c r="O735" s="11">
        <v>44749.514479467594</v>
      </c>
      <c r="P735" s="11">
        <v>44749.51550652778</v>
      </c>
      <c r="Q735" s="27">
        <f t="shared" si="33"/>
        <v>1.0270601851516403E-3</v>
      </c>
      <c r="R735" s="65">
        <f t="shared" si="35"/>
        <v>1.2803819481632672E-3</v>
      </c>
      <c r="S735" s="2">
        <v>0</v>
      </c>
      <c r="T735" s="2" t="s">
        <v>265</v>
      </c>
      <c r="U735" s="2" t="s">
        <v>266</v>
      </c>
      <c r="V735" s="2" t="s">
        <v>38</v>
      </c>
      <c r="W735" s="2" t="s">
        <v>35</v>
      </c>
      <c r="X735" s="2" t="s">
        <v>35</v>
      </c>
      <c r="Y735" s="2" t="s">
        <v>35</v>
      </c>
      <c r="Z735" s="2" t="b">
        <v>0</v>
      </c>
      <c r="AA735" s="2" t="s">
        <v>35</v>
      </c>
      <c r="AB735" s="2" t="s">
        <v>35</v>
      </c>
      <c r="AC735" s="2" t="s">
        <v>35</v>
      </c>
      <c r="AD735" s="2" t="s">
        <v>35</v>
      </c>
      <c r="AE735" s="2" t="s">
        <v>2025</v>
      </c>
      <c r="AF735" s="11">
        <v>44749.40625</v>
      </c>
      <c r="AG735" s="53"/>
      <c r="AH735" s="53" t="b">
        <f t="shared" si="34"/>
        <v>0</v>
      </c>
      <c r="AI735" s="54" t="str" cm="1">
        <f t="array" ref="AI735:AK735">TRANSPOSE(_xlfn._xlws.FILTER(images!L:L,images!F:F=Barrierenmessung!A735, ""))</f>
        <v>https://captureandgo.cloudlab.zhaw.ch/uploads/image_983db9fb13.jpg</v>
      </c>
      <c r="AJ735" s="2" t="str">
        <v>https://captureandgo.cloudlab.zhaw.ch/uploads/image_2378c2b09a.jpg</v>
      </c>
      <c r="AK735" s="2" t="str">
        <v>https://captureandgo.cloudlab.zhaw.ch/uploads/image_ed818728ae.jpg</v>
      </c>
      <c r="AL735" s="2"/>
      <c r="AM735" s="2"/>
      <c r="AN735" s="2"/>
    </row>
    <row r="736" spans="1:40" ht="16" x14ac:dyDescent="0.2">
      <c r="A736" s="2" t="s">
        <v>2377</v>
      </c>
      <c r="B736" s="46">
        <v>735</v>
      </c>
      <c r="C736" s="2" t="b">
        <v>0</v>
      </c>
      <c r="D736" s="2" t="b">
        <v>0</v>
      </c>
      <c r="E736" s="2" t="b">
        <v>0</v>
      </c>
      <c r="F736" s="2" t="b">
        <v>0</v>
      </c>
      <c r="G736" s="2" t="s">
        <v>31</v>
      </c>
      <c r="H736" s="2" t="s">
        <v>2378</v>
      </c>
      <c r="I736" s="2" t="s">
        <v>2376</v>
      </c>
      <c r="J736" s="2" t="s">
        <v>2379</v>
      </c>
      <c r="K736" s="2" t="s">
        <v>35</v>
      </c>
      <c r="L736" s="2" t="s">
        <v>35</v>
      </c>
      <c r="M736" s="2" t="s">
        <v>35</v>
      </c>
      <c r="N736" s="2" t="s">
        <v>35</v>
      </c>
      <c r="O736" s="11">
        <v>44749.515555416663</v>
      </c>
      <c r="P736" s="11">
        <v>44749.516041215276</v>
      </c>
      <c r="Q736" s="27">
        <f t="shared" si="33"/>
        <v>4.8579861322650686E-4</v>
      </c>
      <c r="R736" s="65">
        <f t="shared" si="35"/>
        <v>5.3468749683815986E-4</v>
      </c>
      <c r="S736" s="2">
        <v>0</v>
      </c>
      <c r="T736" s="2" t="s">
        <v>2380</v>
      </c>
      <c r="U736" s="2" t="s">
        <v>2381</v>
      </c>
      <c r="V736" s="2" t="s">
        <v>38</v>
      </c>
      <c r="W736" s="2" t="s">
        <v>35</v>
      </c>
      <c r="X736" s="2" t="s">
        <v>35</v>
      </c>
      <c r="Y736" s="2" t="s">
        <v>35</v>
      </c>
      <c r="Z736" s="2" t="b">
        <v>0</v>
      </c>
      <c r="AA736" s="2" t="s">
        <v>35</v>
      </c>
      <c r="AB736" s="2" t="s">
        <v>35</v>
      </c>
      <c r="AC736" s="2" t="s">
        <v>35</v>
      </c>
      <c r="AD736" s="2" t="s">
        <v>35</v>
      </c>
      <c r="AE736" s="2" t="s">
        <v>2025</v>
      </c>
      <c r="AF736" s="11">
        <v>44749.40625</v>
      </c>
      <c r="AG736" s="53"/>
      <c r="AH736" s="53" t="b">
        <f t="shared" si="34"/>
        <v>0</v>
      </c>
      <c r="AI736" s="54" t="str" cm="1">
        <f t="array" ref="AI736">TRANSPOSE(_xlfn._xlws.FILTER(images!L:L,images!F:F=Barrierenmessung!A736, ""))</f>
        <v>https://captureandgo.cloudlab.zhaw.ch/uploads/image_3c93fd1d48.jpg</v>
      </c>
      <c r="AJ736" s="2"/>
      <c r="AK736" s="2"/>
      <c r="AL736" s="2"/>
      <c r="AM736" s="2"/>
      <c r="AN736" s="2"/>
    </row>
    <row r="737" spans="1:40" ht="16" x14ac:dyDescent="0.2">
      <c r="A737" s="2" t="s">
        <v>2382</v>
      </c>
      <c r="B737" s="46">
        <v>736</v>
      </c>
      <c r="C737" s="2" t="b">
        <v>0</v>
      </c>
      <c r="D737" s="2" t="b">
        <v>0</v>
      </c>
      <c r="E737" s="2" t="b">
        <v>0</v>
      </c>
      <c r="F737" s="2" t="b">
        <v>0</v>
      </c>
      <c r="G737" s="2" t="s">
        <v>31</v>
      </c>
      <c r="H737" s="2" t="s">
        <v>2383</v>
      </c>
      <c r="I737" s="2" t="s">
        <v>2384</v>
      </c>
      <c r="J737" s="2" t="s">
        <v>2385</v>
      </c>
      <c r="K737" s="2" t="s">
        <v>35</v>
      </c>
      <c r="L737" s="2" t="s">
        <v>35</v>
      </c>
      <c r="M737" s="2" t="s">
        <v>35</v>
      </c>
      <c r="N737" s="2" t="s">
        <v>35</v>
      </c>
      <c r="O737" s="11">
        <v>44749.517808773147</v>
      </c>
      <c r="P737" s="11">
        <v>44749.518043240743</v>
      </c>
      <c r="Q737" s="27">
        <f t="shared" si="33"/>
        <v>2.3446759587386623E-4</v>
      </c>
      <c r="R737" s="65">
        <f t="shared" si="35"/>
        <v>2.0020254669361748E-3</v>
      </c>
      <c r="S737" s="2">
        <v>0</v>
      </c>
      <c r="T737" s="2" t="s">
        <v>2380</v>
      </c>
      <c r="U737" s="2" t="s">
        <v>2381</v>
      </c>
      <c r="V737" s="2" t="s">
        <v>38</v>
      </c>
      <c r="W737" s="2" t="s">
        <v>35</v>
      </c>
      <c r="X737" s="2" t="s">
        <v>35</v>
      </c>
      <c r="Y737" s="2" t="s">
        <v>35</v>
      </c>
      <c r="Z737" s="2" t="b">
        <v>0</v>
      </c>
      <c r="AA737" s="2" t="s">
        <v>35</v>
      </c>
      <c r="AB737" s="2" t="s">
        <v>35</v>
      </c>
      <c r="AC737" s="2" t="s">
        <v>35</v>
      </c>
      <c r="AD737" s="2" t="s">
        <v>35</v>
      </c>
      <c r="AE737" s="2" t="s">
        <v>2025</v>
      </c>
      <c r="AF737" s="11">
        <v>44749.40625</v>
      </c>
      <c r="AG737" s="53"/>
      <c r="AH737" s="53" t="b">
        <f t="shared" si="34"/>
        <v>0</v>
      </c>
      <c r="AI737" s="54" t="str" cm="1">
        <f t="array" ref="AI737">TRANSPOSE(_xlfn._xlws.FILTER(images!L:L,images!F:F=Barrierenmessung!A737, ""))</f>
        <v>https://captureandgo.cloudlab.zhaw.ch/uploads/image_b2f7c6baaa.jpg</v>
      </c>
      <c r="AJ737" s="2"/>
      <c r="AK737" s="2"/>
      <c r="AL737" s="2"/>
      <c r="AM737" s="2"/>
      <c r="AN737" s="2"/>
    </row>
    <row r="738" spans="1:40" ht="16" x14ac:dyDescent="0.2">
      <c r="A738" s="2" t="s">
        <v>2386</v>
      </c>
      <c r="B738" s="46">
        <v>737</v>
      </c>
      <c r="C738" s="2" t="b">
        <v>0</v>
      </c>
      <c r="D738" s="2" t="b">
        <v>0</v>
      </c>
      <c r="E738" s="2" t="b">
        <v>0</v>
      </c>
      <c r="F738" s="2" t="b">
        <v>0</v>
      </c>
      <c r="G738" s="2" t="s">
        <v>31</v>
      </c>
      <c r="H738" s="2" t="s">
        <v>2387</v>
      </c>
      <c r="I738" s="2" t="s">
        <v>2388</v>
      </c>
      <c r="J738" s="2" t="s">
        <v>35</v>
      </c>
      <c r="K738" s="2" t="s">
        <v>35</v>
      </c>
      <c r="L738" s="2" t="s">
        <v>35</v>
      </c>
      <c r="M738" s="2" t="s">
        <v>35</v>
      </c>
      <c r="N738" s="2" t="s">
        <v>35</v>
      </c>
      <c r="O738" s="11">
        <v>44749.518699444445</v>
      </c>
      <c r="P738" s="11">
        <v>44749.518898680559</v>
      </c>
      <c r="Q738" s="27">
        <f t="shared" si="33"/>
        <v>1.9923611398553476E-4</v>
      </c>
      <c r="R738" s="65">
        <f t="shared" si="35"/>
        <v>8.5543981549562886E-4</v>
      </c>
      <c r="S738" s="2">
        <v>0</v>
      </c>
      <c r="T738" s="2" t="s">
        <v>36</v>
      </c>
      <c r="U738" s="2" t="s">
        <v>37</v>
      </c>
      <c r="V738" s="2" t="s">
        <v>38</v>
      </c>
      <c r="W738" s="2" t="s">
        <v>35</v>
      </c>
      <c r="X738" s="2" t="s">
        <v>35</v>
      </c>
      <c r="Y738" s="2" t="s">
        <v>35</v>
      </c>
      <c r="Z738" s="2" t="b">
        <v>0</v>
      </c>
      <c r="AA738" s="2" t="s">
        <v>35</v>
      </c>
      <c r="AB738" s="2" t="s">
        <v>35</v>
      </c>
      <c r="AC738" s="2" t="s">
        <v>35</v>
      </c>
      <c r="AD738" s="2">
        <v>4</v>
      </c>
      <c r="AE738" s="2" t="s">
        <v>2025</v>
      </c>
      <c r="AF738" s="11">
        <v>44749.40625</v>
      </c>
      <c r="AG738" s="53"/>
      <c r="AH738" s="53" t="b">
        <f t="shared" si="34"/>
        <v>0</v>
      </c>
      <c r="AI738" s="54" t="str" cm="1">
        <f t="array" ref="AI738">TRANSPOSE(_xlfn._xlws.FILTER(images!L:L,images!F:F=Barrierenmessung!A738, ""))</f>
        <v>https://captureandgo.cloudlab.zhaw.ch/uploads/image_894fc183a8.jpg</v>
      </c>
      <c r="AJ738" s="2"/>
      <c r="AK738" s="2"/>
      <c r="AL738" s="2"/>
      <c r="AM738" s="2"/>
      <c r="AN738" s="2"/>
    </row>
    <row r="739" spans="1:40" ht="16" x14ac:dyDescent="0.2">
      <c r="A739" s="2" t="s">
        <v>2389</v>
      </c>
      <c r="B739" s="46">
        <v>738</v>
      </c>
      <c r="C739" s="2" t="b">
        <v>0</v>
      </c>
      <c r="D739" s="2" t="b">
        <v>0</v>
      </c>
      <c r="E739" s="2" t="b">
        <v>0</v>
      </c>
      <c r="F739" s="2" t="b">
        <v>0</v>
      </c>
      <c r="G739" s="2" t="s">
        <v>31</v>
      </c>
      <c r="H739" s="2" t="s">
        <v>2390</v>
      </c>
      <c r="I739" s="2" t="s">
        <v>2391</v>
      </c>
      <c r="J739" s="2" t="s">
        <v>35</v>
      </c>
      <c r="K739" s="2" t="s">
        <v>35</v>
      </c>
      <c r="L739" s="2" t="s">
        <v>35</v>
      </c>
      <c r="M739" s="2">
        <v>16</v>
      </c>
      <c r="N739" s="2">
        <v>19</v>
      </c>
      <c r="O739" s="11">
        <v>44749.518986898147</v>
      </c>
      <c r="P739" s="11">
        <v>44749.519332442127</v>
      </c>
      <c r="Q739" s="27">
        <f t="shared" si="33"/>
        <v>3.4554398007458076E-4</v>
      </c>
      <c r="R739" s="65">
        <f t="shared" si="35"/>
        <v>4.3376156827434897E-4</v>
      </c>
      <c r="S739" s="2">
        <v>0</v>
      </c>
      <c r="T739" s="2" t="s">
        <v>54</v>
      </c>
      <c r="U739" s="2" t="s">
        <v>55</v>
      </c>
      <c r="V739" s="2" t="s">
        <v>38</v>
      </c>
      <c r="W739" s="2" t="s">
        <v>35</v>
      </c>
      <c r="X739" s="2" t="s">
        <v>35</v>
      </c>
      <c r="Y739" s="2" t="s">
        <v>35</v>
      </c>
      <c r="Z739" s="2" t="b">
        <v>0</v>
      </c>
      <c r="AA739" s="2" t="s">
        <v>35</v>
      </c>
      <c r="AB739" s="2" t="s">
        <v>35</v>
      </c>
      <c r="AC739" s="2" t="s">
        <v>35</v>
      </c>
      <c r="AD739" s="2" t="s">
        <v>35</v>
      </c>
      <c r="AE739" s="2" t="s">
        <v>2025</v>
      </c>
      <c r="AF739" s="11">
        <v>44749.40625</v>
      </c>
      <c r="AG739" s="53"/>
      <c r="AH739" s="53" t="b">
        <f t="shared" si="34"/>
        <v>0</v>
      </c>
      <c r="AI739" s="54" t="str" cm="1">
        <f t="array" ref="AI739">TRANSPOSE(_xlfn._xlws.FILTER(images!L:L,images!F:F=Barrierenmessung!A739, ""))</f>
        <v>https://captureandgo.cloudlab.zhaw.ch/uploads/image_5558547324.jpg</v>
      </c>
      <c r="AJ739" s="2"/>
      <c r="AK739" s="2"/>
      <c r="AL739" s="2"/>
      <c r="AM739" s="2"/>
      <c r="AN739" s="2"/>
    </row>
    <row r="740" spans="1:40" ht="16" x14ac:dyDescent="0.2">
      <c r="A740" s="2" t="s">
        <v>2392</v>
      </c>
      <c r="B740" s="46">
        <v>739</v>
      </c>
      <c r="C740" s="2" t="b">
        <v>0</v>
      </c>
      <c r="D740" s="2" t="b">
        <v>0</v>
      </c>
      <c r="E740" s="2" t="b">
        <v>0</v>
      </c>
      <c r="F740" s="2" t="b">
        <v>0</v>
      </c>
      <c r="G740" s="2" t="s">
        <v>31</v>
      </c>
      <c r="H740" s="2" t="s">
        <v>2393</v>
      </c>
      <c r="I740" s="2" t="s">
        <v>2394</v>
      </c>
      <c r="J740" s="2" t="s">
        <v>2395</v>
      </c>
      <c r="K740" s="2" t="s">
        <v>35</v>
      </c>
      <c r="L740" s="2" t="s">
        <v>35</v>
      </c>
      <c r="M740" s="2" t="s">
        <v>35</v>
      </c>
      <c r="N740" s="2" t="s">
        <v>35</v>
      </c>
      <c r="O740" s="11">
        <v>44749.521181597222</v>
      </c>
      <c r="P740" s="11">
        <v>44749.521561886577</v>
      </c>
      <c r="Q740" s="27">
        <f t="shared" si="33"/>
        <v>3.8028935523470864E-4</v>
      </c>
      <c r="R740" s="65">
        <f t="shared" si="35"/>
        <v>2.2294444497674704E-3</v>
      </c>
      <c r="S740" s="2">
        <v>0</v>
      </c>
      <c r="T740" s="2" t="s">
        <v>109</v>
      </c>
      <c r="U740" s="2" t="s">
        <v>110</v>
      </c>
      <c r="V740" s="2" t="s">
        <v>38</v>
      </c>
      <c r="W740" s="2" t="s">
        <v>35</v>
      </c>
      <c r="X740" s="2">
        <v>104</v>
      </c>
      <c r="Y740" s="2" t="s">
        <v>35</v>
      </c>
      <c r="Z740" s="2" t="b">
        <v>0</v>
      </c>
      <c r="AA740" s="2" t="s">
        <v>35</v>
      </c>
      <c r="AB740" s="2" t="s">
        <v>35</v>
      </c>
      <c r="AC740" s="2" t="s">
        <v>35</v>
      </c>
      <c r="AD740" s="2" t="s">
        <v>35</v>
      </c>
      <c r="AE740" s="2" t="s">
        <v>2025</v>
      </c>
      <c r="AF740" s="11">
        <v>44749.40625</v>
      </c>
      <c r="AG740" s="53"/>
      <c r="AH740" s="53" t="b">
        <f t="shared" si="34"/>
        <v>0</v>
      </c>
      <c r="AI740" s="54" t="str" cm="1">
        <f t="array" ref="AI740">TRANSPOSE(_xlfn._xlws.FILTER(images!L:L,images!F:F=Barrierenmessung!A740, ""))</f>
        <v>https://captureandgo.cloudlab.zhaw.ch/uploads/image_10b45aa099.jpg</v>
      </c>
      <c r="AJ740" s="2"/>
      <c r="AK740" s="2"/>
      <c r="AL740" s="2"/>
      <c r="AM740" s="2"/>
      <c r="AN740" s="2"/>
    </row>
    <row r="741" spans="1:40" ht="16" x14ac:dyDescent="0.2">
      <c r="A741" s="2" t="s">
        <v>2396</v>
      </c>
      <c r="B741" s="46">
        <v>740</v>
      </c>
      <c r="C741" s="2" t="b">
        <v>0</v>
      </c>
      <c r="D741" s="2" t="b">
        <v>0</v>
      </c>
      <c r="E741" s="2" t="b">
        <v>0</v>
      </c>
      <c r="F741" s="2" t="b">
        <v>0</v>
      </c>
      <c r="G741" s="2" t="s">
        <v>31</v>
      </c>
      <c r="H741" s="2" t="s">
        <v>2397</v>
      </c>
      <c r="I741" s="2" t="s">
        <v>2398</v>
      </c>
      <c r="J741" s="2" t="s">
        <v>2024</v>
      </c>
      <c r="K741" s="2" t="s">
        <v>35</v>
      </c>
      <c r="L741" s="2" t="s">
        <v>35</v>
      </c>
      <c r="M741" s="2" t="s">
        <v>35</v>
      </c>
      <c r="N741" s="2" t="s">
        <v>35</v>
      </c>
      <c r="O741" s="11">
        <v>44749.521837638888</v>
      </c>
      <c r="P741" s="11">
        <v>44749.522127303244</v>
      </c>
      <c r="Q741" s="27">
        <f t="shared" si="33"/>
        <v>2.8966435638722032E-4</v>
      </c>
      <c r="R741" s="65">
        <f t="shared" si="35"/>
        <v>5.6541666708653793E-4</v>
      </c>
      <c r="S741" s="2">
        <v>0</v>
      </c>
      <c r="T741" s="2" t="s">
        <v>36</v>
      </c>
      <c r="U741" s="2" t="s">
        <v>37</v>
      </c>
      <c r="V741" s="2" t="s">
        <v>38</v>
      </c>
      <c r="W741" s="2" t="s">
        <v>35</v>
      </c>
      <c r="X741" s="2" t="s">
        <v>35</v>
      </c>
      <c r="Y741" s="2" t="s">
        <v>35</v>
      </c>
      <c r="Z741" s="2" t="b">
        <v>0</v>
      </c>
      <c r="AA741" s="2" t="s">
        <v>35</v>
      </c>
      <c r="AB741" s="2" t="s">
        <v>35</v>
      </c>
      <c r="AC741" s="2">
        <v>4</v>
      </c>
      <c r="AD741" s="2">
        <v>3</v>
      </c>
      <c r="AE741" s="2" t="s">
        <v>2025</v>
      </c>
      <c r="AF741" s="11">
        <v>44749.40625</v>
      </c>
      <c r="AG741" s="53"/>
      <c r="AH741" s="53" t="b">
        <f t="shared" si="34"/>
        <v>0</v>
      </c>
      <c r="AI741" s="54" t="str" cm="1">
        <f t="array" ref="AI741">TRANSPOSE(_xlfn._xlws.FILTER(images!L:L,images!F:F=Barrierenmessung!A741, ""))</f>
        <v>https://captureandgo.cloudlab.zhaw.ch/uploads/image_1150ffa954.jpg</v>
      </c>
      <c r="AJ741" s="2"/>
      <c r="AK741" s="2"/>
      <c r="AL741" s="2"/>
      <c r="AM741" s="2"/>
      <c r="AN741" s="2"/>
    </row>
    <row r="742" spans="1:40" ht="16" x14ac:dyDescent="0.2">
      <c r="A742" s="31" t="s">
        <v>2399</v>
      </c>
      <c r="B742" s="31">
        <v>741</v>
      </c>
      <c r="C742" s="31" t="b">
        <v>0</v>
      </c>
      <c r="D742" s="31" t="b">
        <v>0</v>
      </c>
      <c r="E742" s="31" t="b">
        <v>0</v>
      </c>
      <c r="F742" s="31" t="b">
        <v>0</v>
      </c>
      <c r="G742" s="31" t="s">
        <v>31</v>
      </c>
      <c r="H742" s="68" t="s">
        <v>149</v>
      </c>
      <c r="I742" s="31" t="s">
        <v>2400</v>
      </c>
      <c r="J742" s="31" t="s">
        <v>2401</v>
      </c>
      <c r="K742" s="31" t="s">
        <v>35</v>
      </c>
      <c r="L742" s="31" t="s">
        <v>35</v>
      </c>
      <c r="M742" s="31">
        <v>87</v>
      </c>
      <c r="N742" s="31">
        <v>8</v>
      </c>
      <c r="O742" s="32">
        <v>44749.579947534723</v>
      </c>
      <c r="P742" s="32">
        <v>44749.580316736108</v>
      </c>
      <c r="Q742" s="30">
        <f t="shared" si="33"/>
        <v>3.6920138518325984E-4</v>
      </c>
      <c r="R742" s="30">
        <f t="shared" si="35"/>
        <v>5.818943286431022E-2</v>
      </c>
      <c r="S742" s="31">
        <v>0</v>
      </c>
      <c r="T742" s="31" t="s">
        <v>54</v>
      </c>
      <c r="U742" s="31" t="s">
        <v>55</v>
      </c>
      <c r="V742" s="31" t="s">
        <v>2402</v>
      </c>
      <c r="W742" s="31" t="s">
        <v>35</v>
      </c>
      <c r="X742" s="31" t="s">
        <v>35</v>
      </c>
      <c r="Y742" s="31" t="s">
        <v>35</v>
      </c>
      <c r="Z742" s="31" t="b">
        <v>0</v>
      </c>
      <c r="AA742" s="31" t="s">
        <v>35</v>
      </c>
      <c r="AB742" s="31" t="s">
        <v>35</v>
      </c>
      <c r="AC742" s="31" t="s">
        <v>35</v>
      </c>
      <c r="AD742" s="31" t="s">
        <v>35</v>
      </c>
      <c r="AE742" s="31" t="s">
        <v>2025</v>
      </c>
      <c r="AF742" s="32">
        <v>44749.40625</v>
      </c>
      <c r="AG742" s="55" t="s">
        <v>9406</v>
      </c>
      <c r="AH742" s="55" t="b">
        <f t="shared" si="34"/>
        <v>0</v>
      </c>
      <c r="AI742" s="56" t="str" cm="1">
        <f t="array" ref="AI742">TRANSPOSE(_xlfn._xlws.FILTER(images!L:L,images!F:F=Barrierenmessung!A742, ""))</f>
        <v/>
      </c>
      <c r="AJ742" s="31"/>
      <c r="AK742" s="31"/>
      <c r="AL742" s="31"/>
      <c r="AM742" s="31"/>
      <c r="AN742" s="31"/>
    </row>
    <row r="743" spans="1:40" ht="16" x14ac:dyDescent="0.2">
      <c r="A743" s="2" t="s">
        <v>2403</v>
      </c>
      <c r="B743" s="46">
        <v>742</v>
      </c>
      <c r="C743" s="2" t="b">
        <v>0</v>
      </c>
      <c r="D743" s="2" t="b">
        <v>0</v>
      </c>
      <c r="E743" s="2" t="b">
        <v>0</v>
      </c>
      <c r="F743" s="2" t="b">
        <v>0</v>
      </c>
      <c r="G743" s="2" t="s">
        <v>31</v>
      </c>
      <c r="H743" s="2" t="s">
        <v>2404</v>
      </c>
      <c r="I743" s="2" t="s">
        <v>2405</v>
      </c>
      <c r="J743" s="2" t="s">
        <v>1738</v>
      </c>
      <c r="K743" s="2" t="s">
        <v>35</v>
      </c>
      <c r="L743" s="2" t="s">
        <v>35</v>
      </c>
      <c r="M743" s="2" t="s">
        <v>35</v>
      </c>
      <c r="N743" s="2" t="s">
        <v>35</v>
      </c>
      <c r="O743" s="11">
        <v>44753.410902118056</v>
      </c>
      <c r="P743" s="11">
        <v>44753.411292534722</v>
      </c>
      <c r="Q743" s="27">
        <f t="shared" si="33"/>
        <v>3.9041666605044156E-4</v>
      </c>
      <c r="R743" s="65">
        <f t="shared" si="35"/>
        <v>1.5703125027357601E-3</v>
      </c>
      <c r="S743" s="2">
        <v>0</v>
      </c>
      <c r="T743" s="2" t="s">
        <v>36</v>
      </c>
      <c r="U743" s="2" t="s">
        <v>37</v>
      </c>
      <c r="V743" s="2" t="s">
        <v>38</v>
      </c>
      <c r="W743" s="2" t="s">
        <v>35</v>
      </c>
      <c r="X743" s="2" t="s">
        <v>35</v>
      </c>
      <c r="Y743" s="2" t="s">
        <v>35</v>
      </c>
      <c r="Z743" s="2" t="b">
        <v>0</v>
      </c>
      <c r="AA743" s="2" t="s">
        <v>35</v>
      </c>
      <c r="AB743" s="2" t="s">
        <v>35</v>
      </c>
      <c r="AC743" s="2">
        <v>12</v>
      </c>
      <c r="AD743" s="2">
        <v>5</v>
      </c>
      <c r="AE743" s="2" t="s">
        <v>2406</v>
      </c>
      <c r="AF743" s="11">
        <v>44753.409722222219</v>
      </c>
      <c r="AG743" s="53"/>
      <c r="AH743" s="53" t="b">
        <f t="shared" si="34"/>
        <v>0</v>
      </c>
      <c r="AI743" s="54" t="str" cm="1">
        <f t="array" ref="AI743">TRANSPOSE(_xlfn._xlws.FILTER(images!L:L,images!F:F=Barrierenmessung!A743, ""))</f>
        <v>https://captureandgo.cloudlab.zhaw.ch/uploads/image_f1881e7e92.jpg</v>
      </c>
      <c r="AJ743" s="2"/>
      <c r="AK743" s="2"/>
      <c r="AL743" s="2"/>
      <c r="AM743" s="2"/>
      <c r="AN743" s="2"/>
    </row>
    <row r="744" spans="1:40" ht="16" x14ac:dyDescent="0.2">
      <c r="A744" s="2" t="s">
        <v>2407</v>
      </c>
      <c r="B744" s="46">
        <v>743</v>
      </c>
      <c r="C744" s="2" t="b">
        <v>0</v>
      </c>
      <c r="D744" s="2" t="b">
        <v>0</v>
      </c>
      <c r="E744" s="2" t="b">
        <v>0</v>
      </c>
      <c r="F744" s="2" t="b">
        <v>0</v>
      </c>
      <c r="G744" s="2" t="s">
        <v>31</v>
      </c>
      <c r="H744" s="2" t="s">
        <v>2408</v>
      </c>
      <c r="I744" s="2" t="s">
        <v>2409</v>
      </c>
      <c r="J744" s="2" t="s">
        <v>35</v>
      </c>
      <c r="K744" s="2" t="s">
        <v>35</v>
      </c>
      <c r="L744" s="2">
        <v>4</v>
      </c>
      <c r="M744" s="2" t="s">
        <v>35</v>
      </c>
      <c r="N744" s="2" t="s">
        <v>35</v>
      </c>
      <c r="O744" s="11">
        <v>44753.412162546294</v>
      </c>
      <c r="P744" s="11">
        <v>44753.412435266204</v>
      </c>
      <c r="Q744" s="27">
        <f t="shared" si="33"/>
        <v>2.7271990984445438E-4</v>
      </c>
      <c r="R744" s="65">
        <f t="shared" si="35"/>
        <v>1.142731482104864E-3</v>
      </c>
      <c r="S744" s="2">
        <v>0</v>
      </c>
      <c r="T744" s="2" t="s">
        <v>265</v>
      </c>
      <c r="U744" s="2" t="s">
        <v>266</v>
      </c>
      <c r="V744" s="2" t="s">
        <v>38</v>
      </c>
      <c r="W744" s="2" t="s">
        <v>35</v>
      </c>
      <c r="X744" s="2" t="s">
        <v>35</v>
      </c>
      <c r="Y744" s="2" t="s">
        <v>35</v>
      </c>
      <c r="Z744" s="2" t="b">
        <v>0</v>
      </c>
      <c r="AA744" s="2" t="s">
        <v>35</v>
      </c>
      <c r="AB744" s="2" t="s">
        <v>35</v>
      </c>
      <c r="AC744" s="2" t="s">
        <v>35</v>
      </c>
      <c r="AD744" s="2" t="s">
        <v>35</v>
      </c>
      <c r="AE744" s="2" t="s">
        <v>2406</v>
      </c>
      <c r="AF744" s="11">
        <v>44753.409722222219</v>
      </c>
      <c r="AG744" s="53"/>
      <c r="AH744" s="53" t="b">
        <f t="shared" si="34"/>
        <v>0</v>
      </c>
      <c r="AI744" s="54" t="str" cm="1">
        <f t="array" ref="AI744">TRANSPOSE(_xlfn._xlws.FILTER(images!L:L,images!F:F=Barrierenmessung!A744, ""))</f>
        <v>https://captureandgo.cloudlab.zhaw.ch/uploads/image_5ca671f43b.jpg</v>
      </c>
      <c r="AJ744" s="2"/>
      <c r="AK744" s="2"/>
      <c r="AL744" s="2"/>
      <c r="AM744" s="2"/>
      <c r="AN744" s="2"/>
    </row>
    <row r="745" spans="1:40" ht="16" x14ac:dyDescent="0.2">
      <c r="A745" s="2" t="s">
        <v>2410</v>
      </c>
      <c r="B745" s="46">
        <v>744</v>
      </c>
      <c r="C745" s="2" t="b">
        <v>0</v>
      </c>
      <c r="D745" s="2" t="b">
        <v>0</v>
      </c>
      <c r="E745" s="2" t="b">
        <v>0</v>
      </c>
      <c r="F745" s="2" t="b">
        <v>0</v>
      </c>
      <c r="G745" s="2" t="s">
        <v>31</v>
      </c>
      <c r="H745" s="2" t="s">
        <v>2411</v>
      </c>
      <c r="I745" s="2" t="s">
        <v>2412</v>
      </c>
      <c r="J745" s="2" t="s">
        <v>35</v>
      </c>
      <c r="K745" s="2" t="s">
        <v>35</v>
      </c>
      <c r="L745" s="2">
        <v>4</v>
      </c>
      <c r="M745" s="2" t="s">
        <v>35</v>
      </c>
      <c r="N745" s="2" t="s">
        <v>35</v>
      </c>
      <c r="O745" s="11">
        <v>44753.412827939814</v>
      </c>
      <c r="P745" s="11">
        <v>44753.413004108799</v>
      </c>
      <c r="Q745" s="27">
        <f t="shared" si="33"/>
        <v>1.7616898549022153E-4</v>
      </c>
      <c r="R745" s="65">
        <f t="shared" si="35"/>
        <v>5.6884259538492188E-4</v>
      </c>
      <c r="S745" s="2">
        <v>0</v>
      </c>
      <c r="T745" s="2" t="s">
        <v>265</v>
      </c>
      <c r="U745" s="2" t="s">
        <v>266</v>
      </c>
      <c r="V745" s="2" t="s">
        <v>38</v>
      </c>
      <c r="W745" s="2" t="s">
        <v>35</v>
      </c>
      <c r="X745" s="2" t="s">
        <v>35</v>
      </c>
      <c r="Y745" s="2" t="s">
        <v>35</v>
      </c>
      <c r="Z745" s="2" t="b">
        <v>0</v>
      </c>
      <c r="AA745" s="2" t="s">
        <v>35</v>
      </c>
      <c r="AB745" s="2" t="s">
        <v>35</v>
      </c>
      <c r="AC745" s="2" t="s">
        <v>35</v>
      </c>
      <c r="AD745" s="2" t="s">
        <v>35</v>
      </c>
      <c r="AE745" s="2" t="s">
        <v>2406</v>
      </c>
      <c r="AF745" s="11">
        <v>44753.409722164353</v>
      </c>
      <c r="AG745" s="53"/>
      <c r="AH745" s="53" t="b">
        <f t="shared" si="34"/>
        <v>0</v>
      </c>
      <c r="AI745" s="54" t="str" cm="1">
        <f t="array" ref="AI745">TRANSPOSE(_xlfn._xlws.FILTER(images!L:L,images!F:F=Barrierenmessung!A745, ""))</f>
        <v>https://captureandgo.cloudlab.zhaw.ch/uploads/image_e77dab452e.jpg</v>
      </c>
      <c r="AJ745" s="2"/>
      <c r="AK745" s="2"/>
      <c r="AL745" s="2"/>
      <c r="AM745" s="2"/>
      <c r="AN745" s="2"/>
    </row>
    <row r="746" spans="1:40" ht="16" x14ac:dyDescent="0.2">
      <c r="A746" s="2" t="s">
        <v>2413</v>
      </c>
      <c r="B746" s="46">
        <v>745</v>
      </c>
      <c r="C746" s="2" t="b">
        <v>0</v>
      </c>
      <c r="D746" s="2" t="b">
        <v>0</v>
      </c>
      <c r="E746" s="2" t="b">
        <v>0</v>
      </c>
      <c r="F746" s="2" t="b">
        <v>0</v>
      </c>
      <c r="G746" s="2" t="s">
        <v>31</v>
      </c>
      <c r="H746" s="2" t="s">
        <v>2414</v>
      </c>
      <c r="I746" s="2" t="s">
        <v>2415</v>
      </c>
      <c r="J746" s="2" t="s">
        <v>35</v>
      </c>
      <c r="K746" s="2" t="s">
        <v>35</v>
      </c>
      <c r="L746" s="2" t="s">
        <v>35</v>
      </c>
      <c r="M746" s="2" t="s">
        <v>35</v>
      </c>
      <c r="N746" s="2" t="s">
        <v>35</v>
      </c>
      <c r="O746" s="11">
        <v>44753.413970983798</v>
      </c>
      <c r="P746" s="11">
        <v>44753.418486504626</v>
      </c>
      <c r="Q746" s="27">
        <f t="shared" si="33"/>
        <v>4.5155208281357773E-3</v>
      </c>
      <c r="R746" s="65">
        <f t="shared" si="35"/>
        <v>5.4823958271299489E-3</v>
      </c>
      <c r="S746" s="2">
        <v>0</v>
      </c>
      <c r="T746" s="2" t="s">
        <v>36</v>
      </c>
      <c r="U746" s="2" t="s">
        <v>37</v>
      </c>
      <c r="V746" s="2" t="s">
        <v>38</v>
      </c>
      <c r="W746" s="2" t="s">
        <v>35</v>
      </c>
      <c r="X746" s="2" t="s">
        <v>35</v>
      </c>
      <c r="Y746" s="2" t="s">
        <v>35</v>
      </c>
      <c r="Z746" s="2" t="b">
        <v>0</v>
      </c>
      <c r="AA746" s="2" t="s">
        <v>35</v>
      </c>
      <c r="AB746" s="2" t="s">
        <v>35</v>
      </c>
      <c r="AC746" s="2" t="s">
        <v>35</v>
      </c>
      <c r="AD746" s="2">
        <v>5</v>
      </c>
      <c r="AE746" s="2" t="s">
        <v>2406</v>
      </c>
      <c r="AF746" s="11">
        <v>44753.409722164353</v>
      </c>
      <c r="AG746" s="53"/>
      <c r="AH746" s="53" t="b">
        <f t="shared" si="34"/>
        <v>0</v>
      </c>
      <c r="AI746" s="54" t="str" cm="1">
        <f t="array" ref="AI746">TRANSPOSE(_xlfn._xlws.FILTER(images!L:L,images!F:F=Barrierenmessung!A746, ""))</f>
        <v>https://captureandgo.cloudlab.zhaw.ch/uploads/image_9b0696a237.jpg</v>
      </c>
      <c r="AJ746" s="2"/>
      <c r="AK746" s="2"/>
      <c r="AL746" s="2"/>
      <c r="AM746" s="2"/>
      <c r="AN746" s="2"/>
    </row>
    <row r="747" spans="1:40" ht="16" x14ac:dyDescent="0.2">
      <c r="A747" s="2" t="s">
        <v>2416</v>
      </c>
      <c r="B747" s="46">
        <v>746</v>
      </c>
      <c r="C747" s="2" t="b">
        <v>0</v>
      </c>
      <c r="D747" s="2" t="b">
        <v>0</v>
      </c>
      <c r="E747" s="2" t="b">
        <v>0</v>
      </c>
      <c r="F747" s="2" t="b">
        <v>0</v>
      </c>
      <c r="G747" s="2" t="s">
        <v>31</v>
      </c>
      <c r="H747" s="2" t="s">
        <v>2417</v>
      </c>
      <c r="I747" s="2" t="s">
        <v>2418</v>
      </c>
      <c r="J747" s="2" t="s">
        <v>2419</v>
      </c>
      <c r="K747" s="2" t="s">
        <v>35</v>
      </c>
      <c r="L747" s="2" t="s">
        <v>35</v>
      </c>
      <c r="M747" s="2" t="s">
        <v>35</v>
      </c>
      <c r="N747" s="2" t="s">
        <v>35</v>
      </c>
      <c r="O747" s="11">
        <v>44753.418807210648</v>
      </c>
      <c r="P747" s="11">
        <v>44753.419225810183</v>
      </c>
      <c r="Q747" s="27">
        <f t="shared" si="33"/>
        <v>4.1859953489620239E-4</v>
      </c>
      <c r="R747" s="65">
        <f t="shared" si="35"/>
        <v>7.3930555663537234E-4</v>
      </c>
      <c r="S747" s="2">
        <v>0</v>
      </c>
      <c r="T747" s="2" t="s">
        <v>36</v>
      </c>
      <c r="U747" s="2" t="s">
        <v>37</v>
      </c>
      <c r="V747" s="2" t="s">
        <v>38</v>
      </c>
      <c r="W747" s="2" t="s">
        <v>35</v>
      </c>
      <c r="X747" s="2" t="s">
        <v>35</v>
      </c>
      <c r="Y747" s="2" t="s">
        <v>35</v>
      </c>
      <c r="Z747" s="2" t="b">
        <v>0</v>
      </c>
      <c r="AA747" s="2" t="s">
        <v>35</v>
      </c>
      <c r="AB747" s="2" t="s">
        <v>35</v>
      </c>
      <c r="AC747" s="2">
        <v>5</v>
      </c>
      <c r="AD747" s="2" t="s">
        <v>35</v>
      </c>
      <c r="AE747" s="2" t="s">
        <v>2406</v>
      </c>
      <c r="AF747" s="11">
        <v>44753.409722164353</v>
      </c>
      <c r="AG747" s="53"/>
      <c r="AH747" s="53" t="b">
        <f t="shared" si="34"/>
        <v>0</v>
      </c>
      <c r="AI747" s="54" t="str" cm="1">
        <f t="array" ref="AI747">TRANSPOSE(_xlfn._xlws.FILTER(images!L:L,images!F:F=Barrierenmessung!A747, ""))</f>
        <v>https://captureandgo.cloudlab.zhaw.ch/uploads/image_c439cc9d3a.jpg</v>
      </c>
      <c r="AJ747" s="2"/>
      <c r="AK747" s="2"/>
      <c r="AL747" s="2"/>
      <c r="AM747" s="2"/>
      <c r="AN747" s="2"/>
    </row>
    <row r="748" spans="1:40" ht="16" x14ac:dyDescent="0.2">
      <c r="A748" s="2" t="s">
        <v>2420</v>
      </c>
      <c r="B748" s="46">
        <v>747</v>
      </c>
      <c r="C748" s="2" t="b">
        <v>0</v>
      </c>
      <c r="D748" s="2" t="b">
        <v>0</v>
      </c>
      <c r="E748" s="2" t="b">
        <v>0</v>
      </c>
      <c r="F748" s="2" t="b">
        <v>0</v>
      </c>
      <c r="G748" s="2" t="s">
        <v>31</v>
      </c>
      <c r="H748" s="2" t="s">
        <v>2421</v>
      </c>
      <c r="I748" s="2" t="s">
        <v>2422</v>
      </c>
      <c r="J748" s="2" t="s">
        <v>2423</v>
      </c>
      <c r="K748" s="2" t="s">
        <v>35</v>
      </c>
      <c r="L748" s="2" t="s">
        <v>35</v>
      </c>
      <c r="M748" s="2">
        <v>5</v>
      </c>
      <c r="N748" s="2">
        <v>14</v>
      </c>
      <c r="O748" s="11">
        <v>44753.419725706015</v>
      </c>
      <c r="P748" s="11">
        <v>44753.420253483797</v>
      </c>
      <c r="Q748" s="27">
        <f t="shared" si="33"/>
        <v>5.2777778182644397E-4</v>
      </c>
      <c r="R748" s="65">
        <f t="shared" si="35"/>
        <v>1.0276736138621345E-3</v>
      </c>
      <c r="S748" s="2">
        <v>0</v>
      </c>
      <c r="T748" s="2" t="s">
        <v>54</v>
      </c>
      <c r="U748" s="2" t="s">
        <v>55</v>
      </c>
      <c r="V748" s="2" t="s">
        <v>38</v>
      </c>
      <c r="W748" s="2" t="s">
        <v>35</v>
      </c>
      <c r="X748" s="2" t="s">
        <v>35</v>
      </c>
      <c r="Y748" s="2" t="s">
        <v>35</v>
      </c>
      <c r="Z748" s="2" t="b">
        <v>1</v>
      </c>
      <c r="AA748" s="2" t="s">
        <v>35</v>
      </c>
      <c r="AB748" s="2" t="s">
        <v>35</v>
      </c>
      <c r="AC748" s="2" t="s">
        <v>35</v>
      </c>
      <c r="AD748" s="2" t="s">
        <v>35</v>
      </c>
      <c r="AE748" s="2" t="s">
        <v>2406</v>
      </c>
      <c r="AF748" s="11">
        <v>44753.409722164353</v>
      </c>
      <c r="AG748" s="53"/>
      <c r="AH748" s="53" t="b">
        <f t="shared" si="34"/>
        <v>0</v>
      </c>
      <c r="AI748" s="54" t="str" cm="1">
        <f t="array" ref="AI748">TRANSPOSE(_xlfn._xlws.FILTER(images!L:L,images!F:F=Barrierenmessung!A748, ""))</f>
        <v>https://captureandgo.cloudlab.zhaw.ch/uploads/image_5f5eba2ce2.jpg</v>
      </c>
      <c r="AJ748" s="2"/>
      <c r="AK748" s="2"/>
      <c r="AL748" s="2"/>
      <c r="AM748" s="2"/>
      <c r="AN748" s="2"/>
    </row>
    <row r="749" spans="1:40" ht="16" x14ac:dyDescent="0.2">
      <c r="A749" s="2" t="s">
        <v>2424</v>
      </c>
      <c r="B749" s="46">
        <v>748</v>
      </c>
      <c r="C749" s="2" t="b">
        <v>0</v>
      </c>
      <c r="D749" s="2" t="b">
        <v>0</v>
      </c>
      <c r="E749" s="2" t="b">
        <v>0</v>
      </c>
      <c r="F749" s="2" t="b">
        <v>0</v>
      </c>
      <c r="G749" s="2" t="s">
        <v>31</v>
      </c>
      <c r="H749" s="2" t="s">
        <v>2425</v>
      </c>
      <c r="I749" s="2" t="s">
        <v>2426</v>
      </c>
      <c r="J749" s="2" t="s">
        <v>35</v>
      </c>
      <c r="K749" s="2" t="s">
        <v>35</v>
      </c>
      <c r="L749" s="2" t="s">
        <v>35</v>
      </c>
      <c r="M749" s="2" t="s">
        <v>35</v>
      </c>
      <c r="N749" s="2" t="s">
        <v>35</v>
      </c>
      <c r="O749" s="11">
        <v>44753.420917060183</v>
      </c>
      <c r="P749" s="11">
        <v>44753.421082175926</v>
      </c>
      <c r="Q749" s="27">
        <f t="shared" si="33"/>
        <v>1.6511574358446524E-4</v>
      </c>
      <c r="R749" s="65">
        <f t="shared" si="35"/>
        <v>8.2869212928926572E-4</v>
      </c>
      <c r="S749" s="2">
        <v>0</v>
      </c>
      <c r="T749" s="2" t="s">
        <v>36</v>
      </c>
      <c r="U749" s="2" t="s">
        <v>37</v>
      </c>
      <c r="V749" s="2" t="s">
        <v>38</v>
      </c>
      <c r="W749" s="2" t="s">
        <v>35</v>
      </c>
      <c r="X749" s="2" t="s">
        <v>35</v>
      </c>
      <c r="Y749" s="2" t="s">
        <v>35</v>
      </c>
      <c r="Z749" s="2" t="b">
        <v>0</v>
      </c>
      <c r="AA749" s="2" t="s">
        <v>35</v>
      </c>
      <c r="AB749" s="2" t="s">
        <v>35</v>
      </c>
      <c r="AC749" s="2" t="s">
        <v>35</v>
      </c>
      <c r="AD749" s="2">
        <v>2</v>
      </c>
      <c r="AE749" s="2" t="s">
        <v>2406</v>
      </c>
      <c r="AF749" s="11">
        <v>44753.409722164353</v>
      </c>
      <c r="AG749" s="53"/>
      <c r="AH749" s="53" t="b">
        <f t="shared" si="34"/>
        <v>0</v>
      </c>
      <c r="AI749" s="54" t="str" cm="1">
        <f t="array" ref="AI749">TRANSPOSE(_xlfn._xlws.FILTER(images!L:L,images!F:F=Barrierenmessung!A749, ""))</f>
        <v>https://captureandgo.cloudlab.zhaw.ch/uploads/image_0046d9d7fe.jpg</v>
      </c>
      <c r="AJ749" s="2"/>
      <c r="AK749" s="2"/>
      <c r="AL749" s="2"/>
      <c r="AM749" s="2"/>
      <c r="AN749" s="2"/>
    </row>
    <row r="750" spans="1:40" ht="16" x14ac:dyDescent="0.2">
      <c r="A750" s="2" t="s">
        <v>2427</v>
      </c>
      <c r="B750" s="46">
        <v>749</v>
      </c>
      <c r="C750" s="2" t="b">
        <v>0</v>
      </c>
      <c r="D750" s="2" t="b">
        <v>0</v>
      </c>
      <c r="E750" s="2" t="b">
        <v>0</v>
      </c>
      <c r="F750" s="2" t="b">
        <v>0</v>
      </c>
      <c r="G750" s="2" t="s">
        <v>31</v>
      </c>
      <c r="H750" s="2" t="s">
        <v>2428</v>
      </c>
      <c r="I750" s="2" t="s">
        <v>2429</v>
      </c>
      <c r="J750" s="2" t="s">
        <v>35</v>
      </c>
      <c r="K750" s="2" t="s">
        <v>35</v>
      </c>
      <c r="L750" s="2" t="s">
        <v>35</v>
      </c>
      <c r="M750" s="2" t="s">
        <v>35</v>
      </c>
      <c r="N750" s="2" t="s">
        <v>35</v>
      </c>
      <c r="O750" s="11">
        <v>44753.423413819444</v>
      </c>
      <c r="P750" s="11">
        <v>44753.423986747686</v>
      </c>
      <c r="Q750" s="27">
        <f t="shared" si="33"/>
        <v>5.7292824203614146E-4</v>
      </c>
      <c r="R750" s="65">
        <f t="shared" si="35"/>
        <v>2.9045717601547949E-3</v>
      </c>
      <c r="S750" s="2">
        <v>0</v>
      </c>
      <c r="T750" s="2" t="s">
        <v>36</v>
      </c>
      <c r="U750" s="2" t="s">
        <v>37</v>
      </c>
      <c r="V750" s="2" t="s">
        <v>38</v>
      </c>
      <c r="W750" s="2" t="s">
        <v>35</v>
      </c>
      <c r="X750" s="2" t="s">
        <v>35</v>
      </c>
      <c r="Y750" s="2" t="s">
        <v>35</v>
      </c>
      <c r="Z750" s="2" t="b">
        <v>0</v>
      </c>
      <c r="AA750" s="2" t="s">
        <v>35</v>
      </c>
      <c r="AB750" s="2" t="s">
        <v>35</v>
      </c>
      <c r="AC750" s="2" t="s">
        <v>35</v>
      </c>
      <c r="AD750" s="2">
        <v>3</v>
      </c>
      <c r="AE750" s="2" t="s">
        <v>2406</v>
      </c>
      <c r="AF750" s="11">
        <v>44753.409722164353</v>
      </c>
      <c r="AG750" s="53"/>
      <c r="AH750" s="53" t="b">
        <f t="shared" si="34"/>
        <v>0</v>
      </c>
      <c r="AI750" s="54" t="str" cm="1">
        <f t="array" ref="AI750:AK750">TRANSPOSE(_xlfn._xlws.FILTER(images!L:L,images!F:F=Barrierenmessung!A750, ""))</f>
        <v>https://captureandgo.cloudlab.zhaw.ch/uploads/image_b02f65c31b.jpg</v>
      </c>
      <c r="AJ750" s="2" t="str">
        <v>https://captureandgo.cloudlab.zhaw.ch/uploads/image_b14d351e31.jpg</v>
      </c>
      <c r="AK750" s="2" t="str">
        <v>https://captureandgo.cloudlab.zhaw.ch/uploads/image_cf2ab2f06b.jpg</v>
      </c>
      <c r="AL750" s="2"/>
      <c r="AM750" s="2"/>
      <c r="AN750" s="2"/>
    </row>
    <row r="751" spans="1:40" ht="16" x14ac:dyDescent="0.2">
      <c r="A751" s="2" t="s">
        <v>2430</v>
      </c>
      <c r="B751" s="46">
        <v>750</v>
      </c>
      <c r="C751" s="2" t="b">
        <v>0</v>
      </c>
      <c r="D751" s="2" t="b">
        <v>0</v>
      </c>
      <c r="E751" s="2" t="b">
        <v>0</v>
      </c>
      <c r="F751" s="2" t="b">
        <v>0</v>
      </c>
      <c r="G751" s="2" t="s">
        <v>31</v>
      </c>
      <c r="H751" s="2" t="s">
        <v>2431</v>
      </c>
      <c r="I751" s="2" t="s">
        <v>2432</v>
      </c>
      <c r="J751" s="2" t="s">
        <v>35</v>
      </c>
      <c r="K751" s="2" t="s">
        <v>35</v>
      </c>
      <c r="L751" s="2" t="s">
        <v>35</v>
      </c>
      <c r="M751" s="2" t="s">
        <v>35</v>
      </c>
      <c r="N751" s="2" t="s">
        <v>35</v>
      </c>
      <c r="O751" s="11">
        <v>44753.42450724537</v>
      </c>
      <c r="P751" s="11">
        <v>44753.424681828707</v>
      </c>
      <c r="Q751" s="27">
        <f t="shared" si="33"/>
        <v>1.7458333604736254E-4</v>
      </c>
      <c r="R751" s="65">
        <f t="shared" si="35"/>
        <v>6.9508102023974061E-4</v>
      </c>
      <c r="S751" s="2">
        <v>0</v>
      </c>
      <c r="T751" s="2" t="s">
        <v>36</v>
      </c>
      <c r="U751" s="2" t="s">
        <v>37</v>
      </c>
      <c r="V751" s="2" t="s">
        <v>38</v>
      </c>
      <c r="W751" s="2" t="s">
        <v>35</v>
      </c>
      <c r="X751" s="2" t="s">
        <v>35</v>
      </c>
      <c r="Y751" s="2" t="s">
        <v>35</v>
      </c>
      <c r="Z751" s="2" t="b">
        <v>0</v>
      </c>
      <c r="AA751" s="2" t="s">
        <v>35</v>
      </c>
      <c r="AB751" s="2" t="s">
        <v>35</v>
      </c>
      <c r="AC751" s="2" t="s">
        <v>35</v>
      </c>
      <c r="AD751" s="2">
        <v>4</v>
      </c>
      <c r="AE751" s="2" t="s">
        <v>2406</v>
      </c>
      <c r="AF751" s="11">
        <v>44753.409722164353</v>
      </c>
      <c r="AG751" s="53"/>
      <c r="AH751" s="53" t="b">
        <f t="shared" si="34"/>
        <v>0</v>
      </c>
      <c r="AI751" s="54" t="str" cm="1">
        <f t="array" ref="AI751">TRANSPOSE(_xlfn._xlws.FILTER(images!L:L,images!F:F=Barrierenmessung!A751, ""))</f>
        <v>https://captureandgo.cloudlab.zhaw.ch/uploads/image_4296321fbd.jpg</v>
      </c>
      <c r="AJ751" s="2"/>
      <c r="AK751" s="2"/>
      <c r="AL751" s="2"/>
      <c r="AM751" s="2"/>
      <c r="AN751" s="2"/>
    </row>
    <row r="752" spans="1:40" ht="16" x14ac:dyDescent="0.2">
      <c r="A752" s="2" t="s">
        <v>2433</v>
      </c>
      <c r="B752" s="46">
        <v>751</v>
      </c>
      <c r="C752" s="2" t="b">
        <v>0</v>
      </c>
      <c r="D752" s="2" t="b">
        <v>0</v>
      </c>
      <c r="E752" s="2" t="b">
        <v>0</v>
      </c>
      <c r="F752" s="2" t="b">
        <v>0</v>
      </c>
      <c r="G752" s="2" t="s">
        <v>31</v>
      </c>
      <c r="H752" s="2" t="s">
        <v>2434</v>
      </c>
      <c r="I752" s="2" t="s">
        <v>2435</v>
      </c>
      <c r="J752" s="2" t="s">
        <v>35</v>
      </c>
      <c r="K752" s="2" t="s">
        <v>35</v>
      </c>
      <c r="L752" s="2" t="s">
        <v>35</v>
      </c>
      <c r="M752" s="2" t="s">
        <v>35</v>
      </c>
      <c r="N752" s="2" t="s">
        <v>35</v>
      </c>
      <c r="O752" s="11">
        <v>44753.426873715274</v>
      </c>
      <c r="P752" s="11">
        <v>44753.427114664351</v>
      </c>
      <c r="Q752" s="27">
        <f t="shared" si="33"/>
        <v>2.4094907712424174E-4</v>
      </c>
      <c r="R752" s="65">
        <f t="shared" si="35"/>
        <v>2.4328356448677368E-3</v>
      </c>
      <c r="S752" s="2">
        <v>0</v>
      </c>
      <c r="T752" s="2" t="s">
        <v>36</v>
      </c>
      <c r="U752" s="2" t="s">
        <v>37</v>
      </c>
      <c r="V752" s="2" t="s">
        <v>38</v>
      </c>
      <c r="W752" s="2" t="s">
        <v>35</v>
      </c>
      <c r="X752" s="2" t="s">
        <v>35</v>
      </c>
      <c r="Y752" s="2" t="s">
        <v>35</v>
      </c>
      <c r="Z752" s="2" t="b">
        <v>0</v>
      </c>
      <c r="AA752" s="2" t="s">
        <v>35</v>
      </c>
      <c r="AB752" s="2" t="s">
        <v>35</v>
      </c>
      <c r="AC752" s="2" t="s">
        <v>35</v>
      </c>
      <c r="AD752" s="2">
        <v>5</v>
      </c>
      <c r="AE752" s="2" t="s">
        <v>2406</v>
      </c>
      <c r="AF752" s="11">
        <v>44753.409722164353</v>
      </c>
      <c r="AG752" s="53"/>
      <c r="AH752" s="53" t="b">
        <f t="shared" si="34"/>
        <v>0</v>
      </c>
      <c r="AI752" s="54" t="str" cm="1">
        <f t="array" ref="AI752:AK752">TRANSPOSE(_xlfn._xlws.FILTER(images!L:L,images!F:F=Barrierenmessung!A752, ""))</f>
        <v>https://captureandgo.cloudlab.zhaw.ch/uploads/image_753ff242d1.jpg</v>
      </c>
      <c r="AJ752" s="2" t="str">
        <v>https://captureandgo.cloudlab.zhaw.ch/uploads/image_835d2e1578.jpg</v>
      </c>
      <c r="AK752" s="2" t="str">
        <v>https://captureandgo.cloudlab.zhaw.ch/uploads/image_4513292328.jpg</v>
      </c>
      <c r="AL752" s="2"/>
      <c r="AM752" s="2"/>
      <c r="AN752" s="2"/>
    </row>
    <row r="753" spans="1:40" ht="16" x14ac:dyDescent="0.2">
      <c r="A753" s="2" t="s">
        <v>2436</v>
      </c>
      <c r="B753" s="46">
        <v>752</v>
      </c>
      <c r="C753" s="2" t="b">
        <v>0</v>
      </c>
      <c r="D753" s="2" t="b">
        <v>0</v>
      </c>
      <c r="E753" s="2" t="b">
        <v>0</v>
      </c>
      <c r="F753" s="2" t="b">
        <v>0</v>
      </c>
      <c r="G753" s="2" t="s">
        <v>31</v>
      </c>
      <c r="H753" s="2" t="s">
        <v>2437</v>
      </c>
      <c r="I753" s="2" t="s">
        <v>2438</v>
      </c>
      <c r="J753" s="2" t="s">
        <v>1594</v>
      </c>
      <c r="K753" s="2" t="s">
        <v>35</v>
      </c>
      <c r="L753" s="2" t="s">
        <v>35</v>
      </c>
      <c r="M753" s="2" t="s">
        <v>35</v>
      </c>
      <c r="N753" s="2" t="s">
        <v>35</v>
      </c>
      <c r="O753" s="11">
        <v>44753.427796064818</v>
      </c>
      <c r="P753" s="11">
        <v>44753.428029641203</v>
      </c>
      <c r="Q753" s="27">
        <f t="shared" si="33"/>
        <v>2.3357638565357774E-4</v>
      </c>
      <c r="R753" s="65">
        <f t="shared" si="35"/>
        <v>9.149768520728685E-4</v>
      </c>
      <c r="S753" s="2">
        <v>0</v>
      </c>
      <c r="T753" s="2" t="s">
        <v>36</v>
      </c>
      <c r="U753" s="2" t="s">
        <v>37</v>
      </c>
      <c r="V753" s="2" t="s">
        <v>38</v>
      </c>
      <c r="W753" s="2" t="s">
        <v>35</v>
      </c>
      <c r="X753" s="2" t="s">
        <v>35</v>
      </c>
      <c r="Y753" s="2" t="s">
        <v>35</v>
      </c>
      <c r="Z753" s="2" t="b">
        <v>0</v>
      </c>
      <c r="AA753" s="2" t="s">
        <v>35</v>
      </c>
      <c r="AB753" s="2" t="s">
        <v>35</v>
      </c>
      <c r="AC753" s="2">
        <v>6</v>
      </c>
      <c r="AD753" s="2" t="s">
        <v>35</v>
      </c>
      <c r="AE753" s="2" t="s">
        <v>2406</v>
      </c>
      <c r="AF753" s="11">
        <v>44753.409722164353</v>
      </c>
      <c r="AG753" s="53"/>
      <c r="AH753" s="53" t="b">
        <f t="shared" si="34"/>
        <v>0</v>
      </c>
      <c r="AI753" s="54" t="str" cm="1">
        <f t="array" ref="AI753">TRANSPOSE(_xlfn._xlws.FILTER(images!L:L,images!F:F=Barrierenmessung!A753, ""))</f>
        <v>https://captureandgo.cloudlab.zhaw.ch/uploads/image_bced0466a6.jpg</v>
      </c>
      <c r="AJ753" s="2"/>
      <c r="AK753" s="2"/>
      <c r="AL753" s="2"/>
      <c r="AM753" s="2"/>
      <c r="AN753" s="2"/>
    </row>
    <row r="754" spans="1:40" ht="16" x14ac:dyDescent="0.2">
      <c r="A754" s="2" t="s">
        <v>2439</v>
      </c>
      <c r="B754" s="46">
        <v>753</v>
      </c>
      <c r="C754" s="2" t="b">
        <v>0</v>
      </c>
      <c r="D754" s="2" t="b">
        <v>0</v>
      </c>
      <c r="E754" s="2" t="b">
        <v>0</v>
      </c>
      <c r="F754" s="2" t="b">
        <v>0</v>
      </c>
      <c r="G754" s="2" t="s">
        <v>31</v>
      </c>
      <c r="H754" s="2" t="s">
        <v>2440</v>
      </c>
      <c r="I754" s="2" t="s">
        <v>2441</v>
      </c>
      <c r="J754" s="2" t="s">
        <v>1594</v>
      </c>
      <c r="K754" s="2" t="s">
        <v>35</v>
      </c>
      <c r="L754" s="2" t="s">
        <v>35</v>
      </c>
      <c r="M754" s="2" t="s">
        <v>35</v>
      </c>
      <c r="N754" s="2" t="s">
        <v>35</v>
      </c>
      <c r="O754" s="11">
        <v>44753.428577986109</v>
      </c>
      <c r="P754" s="11">
        <v>44753.428968657405</v>
      </c>
      <c r="Q754" s="27">
        <f t="shared" si="33"/>
        <v>3.9067129546310753E-4</v>
      </c>
      <c r="R754" s="65">
        <f t="shared" si="35"/>
        <v>9.3901620130054653E-4</v>
      </c>
      <c r="S754" s="2">
        <v>0</v>
      </c>
      <c r="T754" s="2" t="s">
        <v>36</v>
      </c>
      <c r="U754" s="2" t="s">
        <v>37</v>
      </c>
      <c r="V754" s="2" t="s">
        <v>38</v>
      </c>
      <c r="W754" s="2" t="s">
        <v>35</v>
      </c>
      <c r="X754" s="2" t="s">
        <v>35</v>
      </c>
      <c r="Y754" s="2" t="s">
        <v>35</v>
      </c>
      <c r="Z754" s="2" t="b">
        <v>0</v>
      </c>
      <c r="AA754" s="2" t="s">
        <v>35</v>
      </c>
      <c r="AB754" s="2" t="s">
        <v>35</v>
      </c>
      <c r="AC754" s="2">
        <v>7</v>
      </c>
      <c r="AD754" s="2">
        <v>2</v>
      </c>
      <c r="AE754" s="2" t="s">
        <v>2406</v>
      </c>
      <c r="AF754" s="11">
        <v>44753.409722164353</v>
      </c>
      <c r="AG754" s="53"/>
      <c r="AH754" s="53" t="b">
        <f t="shared" si="34"/>
        <v>0</v>
      </c>
      <c r="AI754" s="54" t="str" cm="1">
        <f t="array" ref="AI754">TRANSPOSE(_xlfn._xlws.FILTER(images!L:L,images!F:F=Barrierenmessung!A754, ""))</f>
        <v>https://captureandgo.cloudlab.zhaw.ch/uploads/image_57568a03ba.jpg</v>
      </c>
      <c r="AJ754" s="2"/>
      <c r="AK754" s="2"/>
      <c r="AL754" s="2"/>
      <c r="AM754" s="2"/>
      <c r="AN754" s="2"/>
    </row>
    <row r="755" spans="1:40" ht="16" x14ac:dyDescent="0.2">
      <c r="A755" s="2" t="s">
        <v>2442</v>
      </c>
      <c r="B755" s="46">
        <v>754</v>
      </c>
      <c r="C755" s="2" t="b">
        <v>0</v>
      </c>
      <c r="D755" s="2" t="b">
        <v>0</v>
      </c>
      <c r="E755" s="2" t="b">
        <v>0</v>
      </c>
      <c r="F755" s="2" t="b">
        <v>0</v>
      </c>
      <c r="G755" s="2" t="s">
        <v>31</v>
      </c>
      <c r="H755" s="2" t="s">
        <v>2443</v>
      </c>
      <c r="I755" s="2" t="s">
        <v>2444</v>
      </c>
      <c r="J755" s="2" t="s">
        <v>1701</v>
      </c>
      <c r="K755" s="2" t="s">
        <v>35</v>
      </c>
      <c r="L755" s="2" t="s">
        <v>35</v>
      </c>
      <c r="M755" s="2" t="s">
        <v>35</v>
      </c>
      <c r="N755" s="2" t="s">
        <v>35</v>
      </c>
      <c r="O755" s="11">
        <v>44753.429131759258</v>
      </c>
      <c r="P755" s="11">
        <v>44753.429391550926</v>
      </c>
      <c r="Q755" s="27">
        <f t="shared" si="33"/>
        <v>2.5979166821343824E-4</v>
      </c>
      <c r="R755" s="65">
        <f t="shared" si="35"/>
        <v>4.2289352131774649E-4</v>
      </c>
      <c r="S755" s="2">
        <v>0</v>
      </c>
      <c r="T755" s="2" t="s">
        <v>54</v>
      </c>
      <c r="U755" s="2" t="s">
        <v>55</v>
      </c>
      <c r="V755" s="2" t="s">
        <v>38</v>
      </c>
      <c r="W755" s="2" t="s">
        <v>35</v>
      </c>
      <c r="X755" s="2" t="s">
        <v>35</v>
      </c>
      <c r="Y755" s="2" t="s">
        <v>35</v>
      </c>
      <c r="Z755" s="2" t="b">
        <v>0</v>
      </c>
      <c r="AA755" s="2" t="s">
        <v>35</v>
      </c>
      <c r="AB755" s="2" t="s">
        <v>35</v>
      </c>
      <c r="AC755" s="2" t="s">
        <v>35</v>
      </c>
      <c r="AD755" s="2" t="s">
        <v>35</v>
      </c>
      <c r="AE755" s="2" t="s">
        <v>2406</v>
      </c>
      <c r="AF755" s="11">
        <v>44753.409722164353</v>
      </c>
      <c r="AG755" s="53"/>
      <c r="AH755" s="53" t="b">
        <f t="shared" si="34"/>
        <v>0</v>
      </c>
      <c r="AI755" s="54" t="str" cm="1">
        <f t="array" ref="AI755">TRANSPOSE(_xlfn._xlws.FILTER(images!L:L,images!F:F=Barrierenmessung!A755, ""))</f>
        <v>https://captureandgo.cloudlab.zhaw.ch/uploads/image_9c8c30357c.jpg</v>
      </c>
      <c r="AJ755" s="2"/>
      <c r="AK755" s="2"/>
      <c r="AL755" s="2"/>
      <c r="AM755" s="2"/>
      <c r="AN755" s="2"/>
    </row>
    <row r="756" spans="1:40" ht="16" x14ac:dyDescent="0.2">
      <c r="A756" s="2" t="s">
        <v>2445</v>
      </c>
      <c r="B756" s="46">
        <v>755</v>
      </c>
      <c r="C756" s="2" t="b">
        <v>0</v>
      </c>
      <c r="D756" s="2" t="b">
        <v>0</v>
      </c>
      <c r="E756" s="2" t="b">
        <v>0</v>
      </c>
      <c r="F756" s="2" t="b">
        <v>0</v>
      </c>
      <c r="G756" s="2" t="s">
        <v>31</v>
      </c>
      <c r="H756" s="2" t="s">
        <v>2446</v>
      </c>
      <c r="I756" s="2" t="s">
        <v>2447</v>
      </c>
      <c r="J756" s="2" t="s">
        <v>2448</v>
      </c>
      <c r="K756" s="2" t="s">
        <v>35</v>
      </c>
      <c r="L756" s="2" t="s">
        <v>35</v>
      </c>
      <c r="M756" s="2">
        <v>5</v>
      </c>
      <c r="N756" s="2">
        <v>15</v>
      </c>
      <c r="O756" s="11">
        <v>44753.430289502314</v>
      </c>
      <c r="P756" s="11">
        <v>44753.431036608796</v>
      </c>
      <c r="Q756" s="27">
        <f t="shared" si="33"/>
        <v>7.4710648186737671E-4</v>
      </c>
      <c r="R756" s="65">
        <f t="shared" si="35"/>
        <v>1.6450578696094453E-3</v>
      </c>
      <c r="S756" s="2">
        <v>0</v>
      </c>
      <c r="T756" s="2" t="s">
        <v>54</v>
      </c>
      <c r="U756" s="2" t="s">
        <v>55</v>
      </c>
      <c r="V756" s="2" t="s">
        <v>38</v>
      </c>
      <c r="W756" s="2" t="s">
        <v>35</v>
      </c>
      <c r="X756" s="2" t="s">
        <v>35</v>
      </c>
      <c r="Y756" s="2" t="s">
        <v>35</v>
      </c>
      <c r="Z756" s="2" t="b">
        <v>1</v>
      </c>
      <c r="AA756" s="2" t="s">
        <v>35</v>
      </c>
      <c r="AB756" s="2" t="s">
        <v>35</v>
      </c>
      <c r="AC756" s="2" t="s">
        <v>35</v>
      </c>
      <c r="AD756" s="2" t="s">
        <v>35</v>
      </c>
      <c r="AE756" s="2" t="s">
        <v>2406</v>
      </c>
      <c r="AF756" s="11">
        <v>44753.409722164353</v>
      </c>
      <c r="AG756" s="53"/>
      <c r="AH756" s="53" t="b">
        <f t="shared" si="34"/>
        <v>0</v>
      </c>
      <c r="AI756" s="54" t="str" cm="1">
        <f t="array" ref="AI756:AK756">TRANSPOSE(_xlfn._xlws.FILTER(images!L:L,images!F:F=Barrierenmessung!A756, ""))</f>
        <v>https://captureandgo.cloudlab.zhaw.ch/uploads/image_ae54dd822c.jpg</v>
      </c>
      <c r="AJ756" s="2" t="str">
        <v>https://captureandgo.cloudlab.zhaw.ch/uploads/image_024fc9efe1.jpg</v>
      </c>
      <c r="AK756" s="2" t="str">
        <v>https://captureandgo.cloudlab.zhaw.ch/uploads/image_0821b6979f.jpg</v>
      </c>
      <c r="AL756" s="2"/>
      <c r="AM756" s="2"/>
      <c r="AN756" s="2"/>
    </row>
    <row r="757" spans="1:40" ht="16" x14ac:dyDescent="0.2">
      <c r="A757" s="2" t="s">
        <v>2449</v>
      </c>
      <c r="B757" s="46">
        <v>756</v>
      </c>
      <c r="C757" s="2" t="b">
        <v>0</v>
      </c>
      <c r="D757" s="2" t="b">
        <v>0</v>
      </c>
      <c r="E757" s="2" t="b">
        <v>0</v>
      </c>
      <c r="F757" s="2" t="b">
        <v>0</v>
      </c>
      <c r="G757" s="2" t="s">
        <v>31</v>
      </c>
      <c r="H757" s="2" t="s">
        <v>2450</v>
      </c>
      <c r="I757" s="2" t="s">
        <v>2451</v>
      </c>
      <c r="J757" s="2" t="s">
        <v>35</v>
      </c>
      <c r="K757" s="2" t="s">
        <v>35</v>
      </c>
      <c r="L757" s="2" t="s">
        <v>35</v>
      </c>
      <c r="M757" s="2" t="s">
        <v>35</v>
      </c>
      <c r="N757" s="2" t="s">
        <v>35</v>
      </c>
      <c r="O757" s="11">
        <v>44753.432420150464</v>
      </c>
      <c r="P757" s="11">
        <v>44753.432606076392</v>
      </c>
      <c r="Q757" s="27">
        <f t="shared" si="33"/>
        <v>1.8592592823551968E-4</v>
      </c>
      <c r="R757" s="65">
        <f t="shared" si="35"/>
        <v>1.5694675967097282E-3</v>
      </c>
      <c r="S757" s="2">
        <v>0</v>
      </c>
      <c r="T757" s="2" t="s">
        <v>36</v>
      </c>
      <c r="U757" s="2" t="s">
        <v>37</v>
      </c>
      <c r="V757" s="2" t="s">
        <v>38</v>
      </c>
      <c r="W757" s="2" t="s">
        <v>35</v>
      </c>
      <c r="X757" s="2" t="s">
        <v>35</v>
      </c>
      <c r="Y757" s="2" t="s">
        <v>35</v>
      </c>
      <c r="Z757" s="2" t="b">
        <v>0</v>
      </c>
      <c r="AA757" s="2" t="s">
        <v>35</v>
      </c>
      <c r="AB757" s="2" t="s">
        <v>35</v>
      </c>
      <c r="AC757" s="2" t="s">
        <v>35</v>
      </c>
      <c r="AD757" s="2">
        <v>3</v>
      </c>
      <c r="AE757" s="2" t="s">
        <v>2406</v>
      </c>
      <c r="AF757" s="11">
        <v>44753.409722164353</v>
      </c>
      <c r="AG757" s="53"/>
      <c r="AH757" s="53" t="b">
        <f t="shared" si="34"/>
        <v>0</v>
      </c>
      <c r="AI757" s="54" t="str" cm="1">
        <f t="array" ref="AI757">TRANSPOSE(_xlfn._xlws.FILTER(images!L:L,images!F:F=Barrierenmessung!A757, ""))</f>
        <v>https://captureandgo.cloudlab.zhaw.ch/uploads/image_6e8fc72a9b.jpg</v>
      </c>
      <c r="AJ757" s="2"/>
      <c r="AK757" s="2"/>
      <c r="AL757" s="2"/>
      <c r="AM757" s="2"/>
      <c r="AN757" s="2"/>
    </row>
    <row r="758" spans="1:40" ht="16" x14ac:dyDescent="0.2">
      <c r="A758" s="2" t="s">
        <v>2452</v>
      </c>
      <c r="B758" s="46">
        <v>757</v>
      </c>
      <c r="C758" s="2" t="b">
        <v>0</v>
      </c>
      <c r="D758" s="2" t="b">
        <v>0</v>
      </c>
      <c r="E758" s="2" t="b">
        <v>0</v>
      </c>
      <c r="F758" s="2" t="b">
        <v>0</v>
      </c>
      <c r="G758" s="2" t="s">
        <v>31</v>
      </c>
      <c r="H758" s="2" t="s">
        <v>2453</v>
      </c>
      <c r="I758" s="2" t="s">
        <v>2454</v>
      </c>
      <c r="J758" s="2" t="s">
        <v>2455</v>
      </c>
      <c r="K758" s="2" t="s">
        <v>35</v>
      </c>
      <c r="L758" s="2" t="s">
        <v>35</v>
      </c>
      <c r="M758" s="2" t="s">
        <v>35</v>
      </c>
      <c r="N758" s="2" t="s">
        <v>35</v>
      </c>
      <c r="O758" s="11">
        <v>44753.432864699076</v>
      </c>
      <c r="P758" s="11">
        <v>44753.433653194443</v>
      </c>
      <c r="Q758" s="27">
        <f t="shared" si="33"/>
        <v>7.8849536657799035E-4</v>
      </c>
      <c r="R758" s="65">
        <f t="shared" si="35"/>
        <v>1.0471180503373034E-3</v>
      </c>
      <c r="S758" s="2">
        <v>0</v>
      </c>
      <c r="T758" s="2" t="s">
        <v>109</v>
      </c>
      <c r="U758" s="2" t="s">
        <v>110</v>
      </c>
      <c r="V758" s="2" t="s">
        <v>38</v>
      </c>
      <c r="W758" s="2" t="s">
        <v>35</v>
      </c>
      <c r="X758" s="2">
        <v>0</v>
      </c>
      <c r="Y758" s="2" t="s">
        <v>2456</v>
      </c>
      <c r="Z758" s="2" t="b">
        <v>0</v>
      </c>
      <c r="AA758" s="2" t="s">
        <v>35</v>
      </c>
      <c r="AB758" s="2" t="s">
        <v>35</v>
      </c>
      <c r="AC758" s="2" t="s">
        <v>35</v>
      </c>
      <c r="AD758" s="2" t="s">
        <v>35</v>
      </c>
      <c r="AE758" s="2" t="s">
        <v>2406</v>
      </c>
      <c r="AF758" s="11">
        <v>44753.409722164353</v>
      </c>
      <c r="AG758" s="53"/>
      <c r="AH758" s="53" t="b">
        <f t="shared" si="34"/>
        <v>0</v>
      </c>
      <c r="AI758" s="54" t="str" cm="1">
        <f t="array" ref="AI758">TRANSPOSE(_xlfn._xlws.FILTER(images!L:L,images!F:F=Barrierenmessung!A758, ""))</f>
        <v>https://captureandgo.cloudlab.zhaw.ch/uploads/image_ec9cc6fab4.jpg</v>
      </c>
      <c r="AJ758" s="2"/>
      <c r="AK758" s="2"/>
      <c r="AL758" s="2"/>
      <c r="AM758" s="2"/>
      <c r="AN758" s="2"/>
    </row>
    <row r="759" spans="1:40" ht="16" x14ac:dyDescent="0.2">
      <c r="A759" s="68" t="s">
        <v>2457</v>
      </c>
      <c r="B759" s="68">
        <v>758</v>
      </c>
      <c r="C759" s="68" t="b">
        <v>0</v>
      </c>
      <c r="D759" s="68" t="b">
        <v>0</v>
      </c>
      <c r="E759" s="68" t="b">
        <v>0</v>
      </c>
      <c r="F759" s="68" t="b">
        <v>0</v>
      </c>
      <c r="G759" s="68" t="s">
        <v>31</v>
      </c>
      <c r="H759" s="68" t="s">
        <v>149</v>
      </c>
      <c r="I759" s="68" t="s">
        <v>2458</v>
      </c>
      <c r="J759" s="68" t="s">
        <v>675</v>
      </c>
      <c r="K759" s="68" t="s">
        <v>35</v>
      </c>
      <c r="L759" s="68" t="s">
        <v>35</v>
      </c>
      <c r="M759" s="68" t="s">
        <v>35</v>
      </c>
      <c r="N759" s="68" t="s">
        <v>35</v>
      </c>
      <c r="O759" s="69">
        <v>44753.434061550928</v>
      </c>
      <c r="P759" s="69">
        <v>44753.434260335649</v>
      </c>
      <c r="Q759" s="70">
        <f t="shared" si="33"/>
        <v>1.9878472085110843E-4</v>
      </c>
      <c r="R759" s="70">
        <f t="shared" si="35"/>
        <v>6.0714120627380908E-4</v>
      </c>
      <c r="S759" s="68">
        <v>0</v>
      </c>
      <c r="T759" s="68" t="s">
        <v>124</v>
      </c>
      <c r="U759" s="68" t="s">
        <v>125</v>
      </c>
      <c r="V759" s="68" t="s">
        <v>38</v>
      </c>
      <c r="W759" s="68" t="s">
        <v>35</v>
      </c>
      <c r="X759" s="68" t="s">
        <v>35</v>
      </c>
      <c r="Y759" s="68" t="s">
        <v>35</v>
      </c>
      <c r="Z759" s="68" t="b">
        <v>0</v>
      </c>
      <c r="AA759" s="68" t="s">
        <v>35</v>
      </c>
      <c r="AB759" s="68">
        <v>4</v>
      </c>
      <c r="AC759" s="68" t="s">
        <v>35</v>
      </c>
      <c r="AD759" s="68" t="s">
        <v>35</v>
      </c>
      <c r="AE759" s="68" t="s">
        <v>2406</v>
      </c>
      <c r="AF759" s="69">
        <v>44753.409722164353</v>
      </c>
      <c r="AG759" s="71"/>
      <c r="AH759" s="71" t="b">
        <f t="shared" si="34"/>
        <v>0</v>
      </c>
      <c r="AI759" s="56" t="str" cm="1">
        <f t="array" ref="AI759">TRANSPOSE(_xlfn._xlws.FILTER(images!L:L,images!F:F=Barrierenmessung!A759, ""))</f>
        <v/>
      </c>
      <c r="AJ759" s="68"/>
      <c r="AK759" s="68"/>
      <c r="AL759" s="68"/>
      <c r="AM759" s="68"/>
      <c r="AN759" s="68"/>
    </row>
    <row r="760" spans="1:40" ht="16" x14ac:dyDescent="0.2">
      <c r="A760" s="2" t="s">
        <v>2459</v>
      </c>
      <c r="B760" s="46">
        <v>759</v>
      </c>
      <c r="C760" s="2" t="b">
        <v>0</v>
      </c>
      <c r="D760" s="2" t="b">
        <v>0</v>
      </c>
      <c r="E760" s="2" t="b">
        <v>0</v>
      </c>
      <c r="F760" s="2" t="b">
        <v>0</v>
      </c>
      <c r="G760" s="2" t="s">
        <v>31</v>
      </c>
      <c r="H760" s="2" t="s">
        <v>2460</v>
      </c>
      <c r="I760" s="2" t="s">
        <v>2461</v>
      </c>
      <c r="J760" s="2" t="s">
        <v>675</v>
      </c>
      <c r="K760" s="2" t="s">
        <v>35</v>
      </c>
      <c r="L760" s="2" t="s">
        <v>35</v>
      </c>
      <c r="M760" s="2" t="s">
        <v>35</v>
      </c>
      <c r="N760" s="2" t="s">
        <v>35</v>
      </c>
      <c r="O760" s="11">
        <v>44753.437176319443</v>
      </c>
      <c r="P760" s="11">
        <v>44753.437353993053</v>
      </c>
      <c r="Q760" s="27">
        <f t="shared" si="33"/>
        <v>1.7767360986908898E-4</v>
      </c>
      <c r="R760" s="65">
        <f t="shared" si="35"/>
        <v>3.0936574039515108E-3</v>
      </c>
      <c r="S760" s="2">
        <v>0</v>
      </c>
      <c r="T760" s="2" t="s">
        <v>124</v>
      </c>
      <c r="U760" s="2" t="s">
        <v>125</v>
      </c>
      <c r="V760" s="2" t="s">
        <v>38</v>
      </c>
      <c r="W760" s="2" t="s">
        <v>35</v>
      </c>
      <c r="X760" s="2" t="s">
        <v>35</v>
      </c>
      <c r="Y760" s="2" t="s">
        <v>35</v>
      </c>
      <c r="Z760" s="2" t="b">
        <v>0</v>
      </c>
      <c r="AA760" s="2" t="s">
        <v>35</v>
      </c>
      <c r="AB760" s="2">
        <v>4</v>
      </c>
      <c r="AC760" s="2" t="s">
        <v>35</v>
      </c>
      <c r="AD760" s="2" t="s">
        <v>35</v>
      </c>
      <c r="AE760" s="2" t="s">
        <v>2406</v>
      </c>
      <c r="AF760" s="11">
        <v>44753.409722164353</v>
      </c>
      <c r="AG760" s="53"/>
      <c r="AH760" s="53" t="b">
        <f t="shared" si="34"/>
        <v>0</v>
      </c>
      <c r="AI760" s="54" t="str" cm="1">
        <f t="array" ref="AI760">TRANSPOSE(_xlfn._xlws.FILTER(images!L:L,images!F:F=Barrierenmessung!A760, ""))</f>
        <v>https://captureandgo.cloudlab.zhaw.ch/uploads/image_e7ae573fa5.jpg</v>
      </c>
      <c r="AJ760" s="2"/>
      <c r="AK760" s="2"/>
      <c r="AL760" s="2"/>
      <c r="AM760" s="2"/>
      <c r="AN760" s="2"/>
    </row>
    <row r="761" spans="1:40" ht="16" x14ac:dyDescent="0.2">
      <c r="A761" s="2" t="s">
        <v>2462</v>
      </c>
      <c r="B761" s="46">
        <v>760</v>
      </c>
      <c r="C761" s="2" t="b">
        <v>0</v>
      </c>
      <c r="D761" s="2" t="b">
        <v>0</v>
      </c>
      <c r="E761" s="2" t="b">
        <v>0</v>
      </c>
      <c r="F761" s="2" t="b">
        <v>0</v>
      </c>
      <c r="G761" s="2" t="s">
        <v>31</v>
      </c>
      <c r="H761" s="2" t="s">
        <v>2463</v>
      </c>
      <c r="I761" s="2" t="s">
        <v>2464</v>
      </c>
      <c r="J761" s="2" t="s">
        <v>675</v>
      </c>
      <c r="K761" s="2" t="s">
        <v>35</v>
      </c>
      <c r="L761" s="2" t="s">
        <v>35</v>
      </c>
      <c r="M761" s="2" t="s">
        <v>35</v>
      </c>
      <c r="N761" s="2" t="s">
        <v>35</v>
      </c>
      <c r="O761" s="11">
        <v>44753.438078634259</v>
      </c>
      <c r="P761" s="11">
        <v>44753.438282754629</v>
      </c>
      <c r="Q761" s="27">
        <f t="shared" si="33"/>
        <v>2.0412036974448711E-4</v>
      </c>
      <c r="R761" s="65">
        <f t="shared" si="35"/>
        <v>9.2876157577848062E-4</v>
      </c>
      <c r="S761" s="2">
        <v>0</v>
      </c>
      <c r="T761" s="2" t="s">
        <v>124</v>
      </c>
      <c r="U761" s="2" t="s">
        <v>125</v>
      </c>
      <c r="V761" s="2" t="s">
        <v>38</v>
      </c>
      <c r="W761" s="2" t="s">
        <v>35</v>
      </c>
      <c r="X761" s="2" t="s">
        <v>35</v>
      </c>
      <c r="Y761" s="2" t="s">
        <v>35</v>
      </c>
      <c r="Z761" s="2" t="b">
        <v>0</v>
      </c>
      <c r="AA761" s="2" t="s">
        <v>35</v>
      </c>
      <c r="AB761" s="2">
        <v>4</v>
      </c>
      <c r="AC761" s="2" t="s">
        <v>35</v>
      </c>
      <c r="AD761" s="2" t="s">
        <v>35</v>
      </c>
      <c r="AE761" s="2" t="s">
        <v>2406</v>
      </c>
      <c r="AF761" s="11">
        <v>44753.409722164353</v>
      </c>
      <c r="AG761" s="53"/>
      <c r="AH761" s="53" t="b">
        <f t="shared" si="34"/>
        <v>0</v>
      </c>
      <c r="AI761" s="54" t="str" cm="1">
        <f t="array" ref="AI761">TRANSPOSE(_xlfn._xlws.FILTER(images!L:L,images!F:F=Barrierenmessung!A761, ""))</f>
        <v>https://captureandgo.cloudlab.zhaw.ch/uploads/image_bd6c726a9f.jpg</v>
      </c>
      <c r="AJ761" s="2"/>
      <c r="AK761" s="2"/>
      <c r="AL761" s="2"/>
      <c r="AM761" s="2"/>
      <c r="AN761" s="2"/>
    </row>
    <row r="762" spans="1:40" ht="16" x14ac:dyDescent="0.2">
      <c r="A762" s="2" t="s">
        <v>2465</v>
      </c>
      <c r="B762" s="46">
        <v>761</v>
      </c>
      <c r="C762" s="2" t="b">
        <v>0</v>
      </c>
      <c r="D762" s="2" t="b">
        <v>0</v>
      </c>
      <c r="E762" s="2" t="b">
        <v>0</v>
      </c>
      <c r="F762" s="2" t="b">
        <v>0</v>
      </c>
      <c r="G762" s="2" t="s">
        <v>31</v>
      </c>
      <c r="H762" s="2" t="s">
        <v>2466</v>
      </c>
      <c r="I762" s="2" t="s">
        <v>2467</v>
      </c>
      <c r="J762" s="2" t="s">
        <v>675</v>
      </c>
      <c r="K762" s="2" t="s">
        <v>35</v>
      </c>
      <c r="L762" s="2" t="s">
        <v>35</v>
      </c>
      <c r="M762" s="2" t="s">
        <v>35</v>
      </c>
      <c r="N762" s="2" t="s">
        <v>35</v>
      </c>
      <c r="O762" s="11">
        <v>44753.438426122688</v>
      </c>
      <c r="P762" s="11">
        <v>44753.43866540509</v>
      </c>
      <c r="Q762" s="27">
        <f t="shared" si="33"/>
        <v>2.392824026173912E-4</v>
      </c>
      <c r="R762" s="65">
        <f t="shared" si="35"/>
        <v>3.8265046168817207E-4</v>
      </c>
      <c r="S762" s="2">
        <v>0</v>
      </c>
      <c r="T762" s="2" t="s">
        <v>124</v>
      </c>
      <c r="U762" s="2" t="s">
        <v>125</v>
      </c>
      <c r="V762" s="2" t="s">
        <v>38</v>
      </c>
      <c r="W762" s="2" t="s">
        <v>35</v>
      </c>
      <c r="X762" s="2" t="s">
        <v>35</v>
      </c>
      <c r="Y762" s="2" t="s">
        <v>35</v>
      </c>
      <c r="Z762" s="2" t="b">
        <v>0</v>
      </c>
      <c r="AA762" s="2" t="s">
        <v>35</v>
      </c>
      <c r="AB762" s="2">
        <v>4</v>
      </c>
      <c r="AC762" s="2" t="s">
        <v>35</v>
      </c>
      <c r="AD762" s="2" t="s">
        <v>35</v>
      </c>
      <c r="AE762" s="2" t="s">
        <v>2406</v>
      </c>
      <c r="AF762" s="11">
        <v>44753.409722164353</v>
      </c>
      <c r="AG762" s="53"/>
      <c r="AH762" s="53" t="b">
        <f t="shared" si="34"/>
        <v>0</v>
      </c>
      <c r="AI762" s="54" t="str" cm="1">
        <f t="array" ref="AI762">TRANSPOSE(_xlfn._xlws.FILTER(images!L:L,images!F:F=Barrierenmessung!A762, ""))</f>
        <v>https://captureandgo.cloudlab.zhaw.ch/uploads/image_5091d18f89.jpg</v>
      </c>
      <c r="AJ762" s="2"/>
      <c r="AK762" s="2"/>
      <c r="AL762" s="2"/>
      <c r="AM762" s="2"/>
      <c r="AN762" s="2"/>
    </row>
    <row r="763" spans="1:40" ht="16" x14ac:dyDescent="0.2">
      <c r="A763" s="2" t="s">
        <v>2468</v>
      </c>
      <c r="B763" s="46">
        <v>762</v>
      </c>
      <c r="C763" s="2" t="b">
        <v>0</v>
      </c>
      <c r="D763" s="2" t="b">
        <v>0</v>
      </c>
      <c r="E763" s="2" t="b">
        <v>0</v>
      </c>
      <c r="F763" s="2" t="b">
        <v>0</v>
      </c>
      <c r="G763" s="2" t="s">
        <v>31</v>
      </c>
      <c r="H763" s="2" t="s">
        <v>2469</v>
      </c>
      <c r="I763" s="2" t="s">
        <v>2470</v>
      </c>
      <c r="J763" s="2" t="s">
        <v>675</v>
      </c>
      <c r="K763" s="2" t="s">
        <v>35</v>
      </c>
      <c r="L763" s="2" t="s">
        <v>35</v>
      </c>
      <c r="M763" s="2" t="s">
        <v>35</v>
      </c>
      <c r="N763" s="2" t="s">
        <v>35</v>
      </c>
      <c r="O763" s="11">
        <v>44753.439603784725</v>
      </c>
      <c r="P763" s="11">
        <v>44753.439764409719</v>
      </c>
      <c r="Q763" s="27">
        <f t="shared" si="33"/>
        <v>1.6062499344116077E-4</v>
      </c>
      <c r="R763" s="65">
        <f t="shared" si="35"/>
        <v>1.099004628486E-3</v>
      </c>
      <c r="S763" s="2">
        <v>0</v>
      </c>
      <c r="T763" s="2" t="s">
        <v>124</v>
      </c>
      <c r="U763" s="2" t="s">
        <v>125</v>
      </c>
      <c r="V763" s="2" t="s">
        <v>38</v>
      </c>
      <c r="W763" s="2" t="s">
        <v>35</v>
      </c>
      <c r="X763" s="2" t="s">
        <v>35</v>
      </c>
      <c r="Y763" s="2" t="s">
        <v>35</v>
      </c>
      <c r="Z763" s="2" t="b">
        <v>0</v>
      </c>
      <c r="AA763" s="2" t="s">
        <v>35</v>
      </c>
      <c r="AB763" s="2">
        <v>4</v>
      </c>
      <c r="AC763" s="2" t="s">
        <v>35</v>
      </c>
      <c r="AD763" s="2" t="s">
        <v>35</v>
      </c>
      <c r="AE763" s="2" t="s">
        <v>2406</v>
      </c>
      <c r="AF763" s="11">
        <v>44753.409722164353</v>
      </c>
      <c r="AG763" s="53"/>
      <c r="AH763" s="53" t="b">
        <f t="shared" si="34"/>
        <v>0</v>
      </c>
      <c r="AI763" s="54" t="str" cm="1">
        <f t="array" ref="AI763">TRANSPOSE(_xlfn._xlws.FILTER(images!L:L,images!F:F=Barrierenmessung!A763, ""))</f>
        <v>https://captureandgo.cloudlab.zhaw.ch/uploads/image_8b2bad4219.jpg</v>
      </c>
      <c r="AJ763" s="2"/>
      <c r="AK763" s="2"/>
      <c r="AL763" s="2"/>
      <c r="AM763" s="2"/>
      <c r="AN763" s="2"/>
    </row>
    <row r="764" spans="1:40" ht="16" x14ac:dyDescent="0.2">
      <c r="A764" s="2" t="s">
        <v>2471</v>
      </c>
      <c r="B764" s="46">
        <v>763</v>
      </c>
      <c r="C764" s="2" t="b">
        <v>0</v>
      </c>
      <c r="D764" s="2" t="b">
        <v>0</v>
      </c>
      <c r="E764" s="2" t="b">
        <v>0</v>
      </c>
      <c r="F764" s="2" t="b">
        <v>0</v>
      </c>
      <c r="G764" s="2" t="s">
        <v>31</v>
      </c>
      <c r="H764" s="2" t="s">
        <v>2472</v>
      </c>
      <c r="I764" s="2" t="s">
        <v>2473</v>
      </c>
      <c r="J764" s="2" t="s">
        <v>35</v>
      </c>
      <c r="K764" s="2" t="s">
        <v>35</v>
      </c>
      <c r="L764" s="2">
        <v>9</v>
      </c>
      <c r="M764" s="2" t="s">
        <v>35</v>
      </c>
      <c r="N764" s="2" t="s">
        <v>35</v>
      </c>
      <c r="O764" s="11">
        <v>44753.440089629628</v>
      </c>
      <c r="P764" s="11">
        <v>44753.440329398145</v>
      </c>
      <c r="Q764" s="27">
        <f t="shared" si="33"/>
        <v>2.3976851662155241E-4</v>
      </c>
      <c r="R764" s="65">
        <f t="shared" si="35"/>
        <v>5.6498842604923993E-4</v>
      </c>
      <c r="S764" s="2">
        <v>0</v>
      </c>
      <c r="T764" s="2" t="s">
        <v>265</v>
      </c>
      <c r="U764" s="2" t="s">
        <v>266</v>
      </c>
      <c r="V764" s="2" t="s">
        <v>38</v>
      </c>
      <c r="W764" s="2" t="s">
        <v>35</v>
      </c>
      <c r="X764" s="2" t="s">
        <v>35</v>
      </c>
      <c r="Y764" s="2" t="s">
        <v>35</v>
      </c>
      <c r="Z764" s="2" t="b">
        <v>0</v>
      </c>
      <c r="AA764" s="2" t="s">
        <v>35</v>
      </c>
      <c r="AB764" s="2" t="s">
        <v>35</v>
      </c>
      <c r="AC764" s="2" t="s">
        <v>35</v>
      </c>
      <c r="AD764" s="2" t="s">
        <v>35</v>
      </c>
      <c r="AE764" s="2" t="s">
        <v>2406</v>
      </c>
      <c r="AF764" s="11">
        <v>44753.409722164353</v>
      </c>
      <c r="AG764" s="53"/>
      <c r="AH764" s="53" t="b">
        <f t="shared" si="34"/>
        <v>0</v>
      </c>
      <c r="AI764" s="54" t="str" cm="1">
        <f t="array" ref="AI764">TRANSPOSE(_xlfn._xlws.FILTER(images!L:L,images!F:F=Barrierenmessung!A764, ""))</f>
        <v>https://captureandgo.cloudlab.zhaw.ch/uploads/image_c24e86929c.jpg</v>
      </c>
      <c r="AJ764" s="2"/>
      <c r="AK764" s="2"/>
      <c r="AL764" s="2"/>
      <c r="AM764" s="2"/>
      <c r="AN764" s="2"/>
    </row>
    <row r="765" spans="1:40" ht="16" x14ac:dyDescent="0.2">
      <c r="A765" s="2" t="s">
        <v>2474</v>
      </c>
      <c r="B765" s="46">
        <v>764</v>
      </c>
      <c r="C765" s="2" t="b">
        <v>0</v>
      </c>
      <c r="D765" s="2" t="b">
        <v>0</v>
      </c>
      <c r="E765" s="2" t="b">
        <v>0</v>
      </c>
      <c r="F765" s="2" t="b">
        <v>0</v>
      </c>
      <c r="G765" s="2" t="s">
        <v>31</v>
      </c>
      <c r="H765" s="2" t="s">
        <v>2475</v>
      </c>
      <c r="I765" s="2" t="s">
        <v>2476</v>
      </c>
      <c r="J765" s="2" t="s">
        <v>35</v>
      </c>
      <c r="K765" s="2" t="s">
        <v>35</v>
      </c>
      <c r="L765" s="2">
        <v>5</v>
      </c>
      <c r="M765" s="2" t="s">
        <v>35</v>
      </c>
      <c r="N765" s="2" t="s">
        <v>35</v>
      </c>
      <c r="O765" s="11">
        <v>44753.440454328702</v>
      </c>
      <c r="P765" s="11">
        <v>44753.440632418984</v>
      </c>
      <c r="Q765" s="27">
        <f t="shared" si="33"/>
        <v>1.7809028213378042E-4</v>
      </c>
      <c r="R765" s="65">
        <f t="shared" si="35"/>
        <v>3.0302083905553445E-4</v>
      </c>
      <c r="S765" s="2">
        <v>0</v>
      </c>
      <c r="T765" s="2" t="s">
        <v>265</v>
      </c>
      <c r="U765" s="2" t="s">
        <v>266</v>
      </c>
      <c r="V765" s="2" t="s">
        <v>38</v>
      </c>
      <c r="W765" s="2" t="s">
        <v>35</v>
      </c>
      <c r="X765" s="2" t="s">
        <v>35</v>
      </c>
      <c r="Y765" s="2" t="s">
        <v>35</v>
      </c>
      <c r="Z765" s="2" t="b">
        <v>0</v>
      </c>
      <c r="AA765" s="2" t="s">
        <v>35</v>
      </c>
      <c r="AB765" s="2" t="s">
        <v>35</v>
      </c>
      <c r="AC765" s="2" t="s">
        <v>35</v>
      </c>
      <c r="AD765" s="2" t="s">
        <v>35</v>
      </c>
      <c r="AE765" s="2" t="s">
        <v>2406</v>
      </c>
      <c r="AF765" s="11">
        <v>44753.409722164353</v>
      </c>
      <c r="AG765" s="53"/>
      <c r="AH765" s="53" t="b">
        <f t="shared" si="34"/>
        <v>0</v>
      </c>
      <c r="AI765" s="54" t="str" cm="1">
        <f t="array" ref="AI765">TRANSPOSE(_xlfn._xlws.FILTER(images!L:L,images!F:F=Barrierenmessung!A765, ""))</f>
        <v>https://captureandgo.cloudlab.zhaw.ch/uploads/image_cef39f89e3.jpg</v>
      </c>
      <c r="AJ765" s="2"/>
      <c r="AK765" s="2"/>
      <c r="AL765" s="2"/>
      <c r="AM765" s="2"/>
      <c r="AN765" s="2"/>
    </row>
    <row r="766" spans="1:40" ht="16" x14ac:dyDescent="0.2">
      <c r="A766" s="2" t="s">
        <v>2477</v>
      </c>
      <c r="B766" s="46">
        <v>765</v>
      </c>
      <c r="C766" s="2" t="b">
        <v>0</v>
      </c>
      <c r="D766" s="2" t="b">
        <v>0</v>
      </c>
      <c r="E766" s="2" t="b">
        <v>0</v>
      </c>
      <c r="F766" s="2" t="b">
        <v>0</v>
      </c>
      <c r="G766" s="2" t="s">
        <v>31</v>
      </c>
      <c r="H766" s="2" t="s">
        <v>2478</v>
      </c>
      <c r="I766" s="2" t="s">
        <v>2479</v>
      </c>
      <c r="J766" s="2" t="s">
        <v>35</v>
      </c>
      <c r="K766" s="2" t="s">
        <v>35</v>
      </c>
      <c r="L766" s="2" t="s">
        <v>35</v>
      </c>
      <c r="M766" s="2" t="s">
        <v>35</v>
      </c>
      <c r="N766" s="2" t="s">
        <v>35</v>
      </c>
      <c r="O766" s="11">
        <v>44753.440681631946</v>
      </c>
      <c r="P766" s="11">
        <v>44753.440861724535</v>
      </c>
      <c r="Q766" s="27">
        <f t="shared" si="33"/>
        <v>1.8009258928941563E-4</v>
      </c>
      <c r="R766" s="65">
        <f t="shared" si="35"/>
        <v>2.2930555132916197E-4</v>
      </c>
      <c r="S766" s="2">
        <v>0</v>
      </c>
      <c r="T766" s="2" t="s">
        <v>36</v>
      </c>
      <c r="U766" s="2" t="s">
        <v>37</v>
      </c>
      <c r="V766" s="2" t="s">
        <v>38</v>
      </c>
      <c r="W766" s="2" t="s">
        <v>35</v>
      </c>
      <c r="X766" s="2" t="s">
        <v>35</v>
      </c>
      <c r="Y766" s="2" t="s">
        <v>35</v>
      </c>
      <c r="Z766" s="2" t="b">
        <v>0</v>
      </c>
      <c r="AA766" s="2" t="s">
        <v>2284</v>
      </c>
      <c r="AB766" s="2" t="s">
        <v>35</v>
      </c>
      <c r="AC766" s="2" t="s">
        <v>35</v>
      </c>
      <c r="AD766" s="2" t="s">
        <v>35</v>
      </c>
      <c r="AE766" s="2" t="s">
        <v>2406</v>
      </c>
      <c r="AF766" s="11">
        <v>44753.409722164353</v>
      </c>
      <c r="AG766" s="53"/>
      <c r="AH766" s="53" t="b">
        <f t="shared" si="34"/>
        <v>0</v>
      </c>
      <c r="AI766" s="54" t="str" cm="1">
        <f t="array" ref="AI766">TRANSPOSE(_xlfn._xlws.FILTER(images!L:L,images!F:F=Barrierenmessung!A766, ""))</f>
        <v>https://captureandgo.cloudlab.zhaw.ch/uploads/image_cb76b51b5a.jpg</v>
      </c>
      <c r="AJ766" s="2"/>
      <c r="AK766" s="2"/>
      <c r="AL766" s="2"/>
      <c r="AM766" s="2"/>
      <c r="AN766" s="2"/>
    </row>
    <row r="767" spans="1:40" ht="16" x14ac:dyDescent="0.2">
      <c r="A767" s="31" t="s">
        <v>2480</v>
      </c>
      <c r="B767" s="31">
        <v>766</v>
      </c>
      <c r="C767" s="31" t="b">
        <v>0</v>
      </c>
      <c r="D767" s="31" t="b">
        <v>0</v>
      </c>
      <c r="E767" s="31" t="b">
        <v>0</v>
      </c>
      <c r="F767" s="31" t="b">
        <v>0</v>
      </c>
      <c r="G767" s="31" t="s">
        <v>31</v>
      </c>
      <c r="H767" s="68" t="s">
        <v>149</v>
      </c>
      <c r="I767" s="31" t="s">
        <v>2481</v>
      </c>
      <c r="J767" s="31" t="s">
        <v>675</v>
      </c>
      <c r="K767" s="31" t="s">
        <v>35</v>
      </c>
      <c r="L767" s="31" t="s">
        <v>35</v>
      </c>
      <c r="M767" s="31" t="s">
        <v>35</v>
      </c>
      <c r="N767" s="31" t="s">
        <v>35</v>
      </c>
      <c r="O767" s="32">
        <v>44753.450270949077</v>
      </c>
      <c r="P767" s="32">
        <v>44753.450399456022</v>
      </c>
      <c r="Q767" s="30">
        <f t="shared" si="33"/>
        <v>1.2850694474764168E-4</v>
      </c>
      <c r="R767" s="30">
        <f t="shared" si="35"/>
        <v>9.537731486489065E-3</v>
      </c>
      <c r="S767" s="31">
        <v>0</v>
      </c>
      <c r="T767" s="31" t="s">
        <v>124</v>
      </c>
      <c r="U767" s="31" t="s">
        <v>125</v>
      </c>
      <c r="V767" s="31" t="s">
        <v>38</v>
      </c>
      <c r="W767" s="31" t="s">
        <v>35</v>
      </c>
      <c r="X767" s="31" t="s">
        <v>35</v>
      </c>
      <c r="Y767" s="31" t="s">
        <v>35</v>
      </c>
      <c r="Z767" s="31" t="b">
        <v>0</v>
      </c>
      <c r="AA767" s="31" t="s">
        <v>35</v>
      </c>
      <c r="AB767" s="31">
        <v>4</v>
      </c>
      <c r="AC767" s="31" t="s">
        <v>35</v>
      </c>
      <c r="AD767" s="31" t="s">
        <v>35</v>
      </c>
      <c r="AE767" s="31" t="s">
        <v>2406</v>
      </c>
      <c r="AF767" s="32">
        <v>44753.409722164353</v>
      </c>
      <c r="AG767" s="55" t="s">
        <v>9408</v>
      </c>
      <c r="AH767" s="55" t="b">
        <f t="shared" si="34"/>
        <v>0</v>
      </c>
      <c r="AI767" s="56" t="str" cm="1">
        <f t="array" ref="AI767">TRANSPOSE(_xlfn._xlws.FILTER(images!L:L,images!F:F=Barrierenmessung!A767, ""))</f>
        <v/>
      </c>
      <c r="AJ767" s="31"/>
      <c r="AK767" s="31"/>
      <c r="AL767" s="31"/>
      <c r="AM767" s="31"/>
      <c r="AN767" s="31"/>
    </row>
    <row r="768" spans="1:40" ht="16" x14ac:dyDescent="0.2">
      <c r="A768" s="2" t="s">
        <v>2482</v>
      </c>
      <c r="B768" s="46">
        <v>767</v>
      </c>
      <c r="C768" s="2" t="b">
        <v>0</v>
      </c>
      <c r="D768" s="2" t="b">
        <v>0</v>
      </c>
      <c r="E768" s="2" t="b">
        <v>0</v>
      </c>
      <c r="F768" s="2" t="b">
        <v>0</v>
      </c>
      <c r="G768" s="2" t="s">
        <v>31</v>
      </c>
      <c r="H768" s="2" t="s">
        <v>2483</v>
      </c>
      <c r="I768" s="2" t="s">
        <v>2484</v>
      </c>
      <c r="J768" s="2" t="s">
        <v>35</v>
      </c>
      <c r="K768" s="2" t="s">
        <v>35</v>
      </c>
      <c r="L768" s="2">
        <v>9</v>
      </c>
      <c r="M768" s="2" t="s">
        <v>35</v>
      </c>
      <c r="N768" s="2" t="s">
        <v>35</v>
      </c>
      <c r="O768" s="11">
        <v>44753.450437650463</v>
      </c>
      <c r="P768" s="11">
        <v>44753.450802604166</v>
      </c>
      <c r="Q768" s="27">
        <f t="shared" si="33"/>
        <v>3.649537029559724E-4</v>
      </c>
      <c r="R768" s="65">
        <f t="shared" si="35"/>
        <v>4.0314814395969734E-4</v>
      </c>
      <c r="S768" s="2">
        <v>0</v>
      </c>
      <c r="T768" s="2" t="s">
        <v>265</v>
      </c>
      <c r="U768" s="2" t="s">
        <v>266</v>
      </c>
      <c r="V768" s="2" t="s">
        <v>38</v>
      </c>
      <c r="W768" s="2" t="s">
        <v>35</v>
      </c>
      <c r="X768" s="2" t="s">
        <v>35</v>
      </c>
      <c r="Y768" s="2" t="s">
        <v>35</v>
      </c>
      <c r="Z768" s="2" t="b">
        <v>0</v>
      </c>
      <c r="AA768" s="2" t="s">
        <v>35</v>
      </c>
      <c r="AB768" s="2" t="s">
        <v>35</v>
      </c>
      <c r="AC768" s="2" t="s">
        <v>35</v>
      </c>
      <c r="AD768" s="2" t="s">
        <v>35</v>
      </c>
      <c r="AE768" s="2" t="s">
        <v>2406</v>
      </c>
      <c r="AF768" s="11">
        <v>44753.409722164353</v>
      </c>
      <c r="AG768" s="53"/>
      <c r="AH768" s="53" t="b">
        <f t="shared" si="34"/>
        <v>0</v>
      </c>
      <c r="AI768" s="54" t="str" cm="1">
        <f t="array" ref="AI768">TRANSPOSE(_xlfn._xlws.FILTER(images!L:L,images!F:F=Barrierenmessung!A768, ""))</f>
        <v>https://captureandgo.cloudlab.zhaw.ch/uploads/image_5078131aaf.jpg</v>
      </c>
      <c r="AJ768" s="2"/>
      <c r="AK768" s="2"/>
      <c r="AL768" s="2"/>
      <c r="AM768" s="2"/>
      <c r="AN768" s="2"/>
    </row>
    <row r="769" spans="1:40" ht="16" x14ac:dyDescent="0.2">
      <c r="A769" s="2" t="s">
        <v>2485</v>
      </c>
      <c r="B769" s="46">
        <v>768</v>
      </c>
      <c r="C769" s="2" t="b">
        <v>0</v>
      </c>
      <c r="D769" s="2" t="b">
        <v>0</v>
      </c>
      <c r="E769" s="2" t="b">
        <v>0</v>
      </c>
      <c r="F769" s="2" t="b">
        <v>0</v>
      </c>
      <c r="G769" s="2" t="s">
        <v>31</v>
      </c>
      <c r="H769" s="2" t="s">
        <v>2486</v>
      </c>
      <c r="I769" s="2" t="s">
        <v>2487</v>
      </c>
      <c r="J769" s="2" t="s">
        <v>35</v>
      </c>
      <c r="K769" s="2" t="s">
        <v>35</v>
      </c>
      <c r="L769" s="2">
        <v>9</v>
      </c>
      <c r="M769" s="2" t="s">
        <v>35</v>
      </c>
      <c r="N769" s="2" t="s">
        <v>35</v>
      </c>
      <c r="O769" s="11">
        <v>44753.450864687497</v>
      </c>
      <c r="P769" s="11">
        <v>44753.451260405091</v>
      </c>
      <c r="Q769" s="27">
        <f t="shared" si="33"/>
        <v>3.9571759407408535E-4</v>
      </c>
      <c r="R769" s="65">
        <f t="shared" si="35"/>
        <v>4.5780092477798462E-4</v>
      </c>
      <c r="S769" s="2">
        <v>0</v>
      </c>
      <c r="T769" s="2" t="s">
        <v>265</v>
      </c>
      <c r="U769" s="2" t="s">
        <v>266</v>
      </c>
      <c r="V769" s="2" t="s">
        <v>38</v>
      </c>
      <c r="W769" s="2" t="s">
        <v>35</v>
      </c>
      <c r="X769" s="2" t="s">
        <v>35</v>
      </c>
      <c r="Y769" s="2" t="s">
        <v>35</v>
      </c>
      <c r="Z769" s="2" t="b">
        <v>0</v>
      </c>
      <c r="AA769" s="2" t="s">
        <v>35</v>
      </c>
      <c r="AB769" s="2" t="s">
        <v>35</v>
      </c>
      <c r="AC769" s="2" t="s">
        <v>35</v>
      </c>
      <c r="AD769" s="2" t="s">
        <v>35</v>
      </c>
      <c r="AE769" s="2" t="s">
        <v>2406</v>
      </c>
      <c r="AF769" s="11">
        <v>44753.409722164353</v>
      </c>
      <c r="AG769" s="53"/>
      <c r="AH769" s="53" t="b">
        <f t="shared" si="34"/>
        <v>0</v>
      </c>
      <c r="AI769" s="54" t="str" cm="1">
        <f t="array" ref="AI769">TRANSPOSE(_xlfn._xlws.FILTER(images!L:L,images!F:F=Barrierenmessung!A769, ""))</f>
        <v>https://captureandgo.cloudlab.zhaw.ch/uploads/image_ad866e7626.jpg</v>
      </c>
      <c r="AJ769" s="2"/>
      <c r="AK769" s="2"/>
      <c r="AL769" s="2"/>
      <c r="AM769" s="2"/>
      <c r="AN769" s="2"/>
    </row>
    <row r="770" spans="1:40" ht="16" x14ac:dyDescent="0.2">
      <c r="A770" s="2" t="s">
        <v>2488</v>
      </c>
      <c r="B770" s="46">
        <v>769</v>
      </c>
      <c r="C770" s="2" t="b">
        <v>0</v>
      </c>
      <c r="D770" s="2" t="b">
        <v>0</v>
      </c>
      <c r="E770" s="2" t="b">
        <v>0</v>
      </c>
      <c r="F770" s="2" t="b">
        <v>0</v>
      </c>
      <c r="G770" s="2" t="s">
        <v>31</v>
      </c>
      <c r="H770" s="2" t="s">
        <v>2489</v>
      </c>
      <c r="I770" s="2" t="s">
        <v>2490</v>
      </c>
      <c r="J770" s="2" t="s">
        <v>675</v>
      </c>
      <c r="K770" s="2" t="s">
        <v>35</v>
      </c>
      <c r="L770" s="2" t="s">
        <v>35</v>
      </c>
      <c r="M770" s="2" t="s">
        <v>35</v>
      </c>
      <c r="N770" s="2" t="s">
        <v>35</v>
      </c>
      <c r="O770" s="11">
        <v>44753.451982592589</v>
      </c>
      <c r="P770" s="11">
        <v>44753.452129062498</v>
      </c>
      <c r="Q770" s="27">
        <f t="shared" ref="Q770:Q833" si="36">P770-O770</f>
        <v>1.4646990894107148E-4</v>
      </c>
      <c r="R770" s="65">
        <f t="shared" si="35"/>
        <v>8.6865740740904585E-4</v>
      </c>
      <c r="S770" s="2">
        <v>0</v>
      </c>
      <c r="T770" s="2" t="s">
        <v>124</v>
      </c>
      <c r="U770" s="2" t="s">
        <v>125</v>
      </c>
      <c r="V770" s="2" t="s">
        <v>38</v>
      </c>
      <c r="W770" s="2" t="s">
        <v>35</v>
      </c>
      <c r="X770" s="2" t="s">
        <v>35</v>
      </c>
      <c r="Y770" s="2" t="s">
        <v>35</v>
      </c>
      <c r="Z770" s="2" t="b">
        <v>0</v>
      </c>
      <c r="AA770" s="2" t="s">
        <v>35</v>
      </c>
      <c r="AB770" s="2">
        <v>4</v>
      </c>
      <c r="AC770" s="2" t="s">
        <v>35</v>
      </c>
      <c r="AD770" s="2" t="s">
        <v>35</v>
      </c>
      <c r="AE770" s="2" t="s">
        <v>2406</v>
      </c>
      <c r="AF770" s="11">
        <v>44753.409722164353</v>
      </c>
      <c r="AG770" s="53"/>
      <c r="AH770" s="53" t="b">
        <f t="shared" si="34"/>
        <v>0</v>
      </c>
      <c r="AI770" s="54" t="str" cm="1">
        <f t="array" ref="AI770">TRANSPOSE(_xlfn._xlws.FILTER(images!L:L,images!F:F=Barrierenmessung!A770, ""))</f>
        <v>https://captureandgo.cloudlab.zhaw.ch/uploads/image_eb9643d26e.jpg</v>
      </c>
      <c r="AJ770" s="2"/>
      <c r="AK770" s="2"/>
      <c r="AL770" s="2"/>
      <c r="AM770" s="2"/>
      <c r="AN770" s="2"/>
    </row>
    <row r="771" spans="1:40" ht="16" x14ac:dyDescent="0.2">
      <c r="A771" s="2" t="s">
        <v>2491</v>
      </c>
      <c r="B771" s="46">
        <v>770</v>
      </c>
      <c r="C771" s="2" t="b">
        <v>0</v>
      </c>
      <c r="D771" s="2" t="b">
        <v>0</v>
      </c>
      <c r="E771" s="2" t="b">
        <v>0</v>
      </c>
      <c r="F771" s="2" t="b">
        <v>0</v>
      </c>
      <c r="G771" s="2" t="s">
        <v>31</v>
      </c>
      <c r="H771" s="2" t="s">
        <v>2492</v>
      </c>
      <c r="I771" s="2" t="s">
        <v>2493</v>
      </c>
      <c r="J771" s="2" t="s">
        <v>1647</v>
      </c>
      <c r="K771" s="2" t="s">
        <v>35</v>
      </c>
      <c r="L771" s="2" t="s">
        <v>35</v>
      </c>
      <c r="M771" s="2" t="s">
        <v>35</v>
      </c>
      <c r="N771" s="2" t="s">
        <v>35</v>
      </c>
      <c r="O771" s="11">
        <v>44753.453767326391</v>
      </c>
      <c r="P771" s="11">
        <v>44753.454161643516</v>
      </c>
      <c r="Q771" s="27">
        <f t="shared" si="36"/>
        <v>3.9431712502846494E-4</v>
      </c>
      <c r="R771" s="65">
        <f t="shared" si="35"/>
        <v>2.0325810182839632E-3</v>
      </c>
      <c r="S771" s="2">
        <v>0</v>
      </c>
      <c r="T771" s="2" t="s">
        <v>36</v>
      </c>
      <c r="U771" s="2" t="s">
        <v>37</v>
      </c>
      <c r="V771" s="2" t="s">
        <v>38</v>
      </c>
      <c r="W771" s="2" t="s">
        <v>35</v>
      </c>
      <c r="X771" s="2" t="s">
        <v>35</v>
      </c>
      <c r="Y771" s="2" t="s">
        <v>35</v>
      </c>
      <c r="Z771" s="2" t="b">
        <v>0</v>
      </c>
      <c r="AA771" s="2" t="s">
        <v>35</v>
      </c>
      <c r="AB771" s="2" t="s">
        <v>35</v>
      </c>
      <c r="AC771" s="2">
        <v>4</v>
      </c>
      <c r="AD771" s="2" t="s">
        <v>35</v>
      </c>
      <c r="AE771" s="2" t="s">
        <v>2406</v>
      </c>
      <c r="AF771" s="11">
        <v>44753.409722164353</v>
      </c>
      <c r="AG771" s="53"/>
      <c r="AH771" s="53" t="b">
        <f t="shared" ref="AH771:AH834" si="37">IF(Q771&lt;TIME(0,0,1),"TRUE")</f>
        <v>0</v>
      </c>
      <c r="AI771" s="54" t="str" cm="1">
        <f t="array" ref="AI771">TRANSPOSE(_xlfn._xlws.FILTER(images!L:L,images!F:F=Barrierenmessung!A771, ""))</f>
        <v>https://captureandgo.cloudlab.zhaw.ch/uploads/image_18cc1e94f7.jpg</v>
      </c>
      <c r="AJ771" s="2"/>
      <c r="AK771" s="2"/>
      <c r="AL771" s="2"/>
      <c r="AM771" s="2"/>
      <c r="AN771" s="2"/>
    </row>
    <row r="772" spans="1:40" ht="16" x14ac:dyDescent="0.2">
      <c r="A772" s="2" t="s">
        <v>2494</v>
      </c>
      <c r="B772" s="46">
        <v>771</v>
      </c>
      <c r="C772" s="2" t="b">
        <v>0</v>
      </c>
      <c r="D772" s="2" t="b">
        <v>0</v>
      </c>
      <c r="E772" s="2" t="b">
        <v>0</v>
      </c>
      <c r="F772" s="2" t="b">
        <v>0</v>
      </c>
      <c r="G772" s="2" t="s">
        <v>31</v>
      </c>
      <c r="H772" s="2" t="s">
        <v>2495</v>
      </c>
      <c r="I772" s="2" t="s">
        <v>2496</v>
      </c>
      <c r="J772" s="2" t="s">
        <v>2497</v>
      </c>
      <c r="K772" s="2" t="s">
        <v>35</v>
      </c>
      <c r="L772" s="2" t="s">
        <v>35</v>
      </c>
      <c r="M772" s="2" t="s">
        <v>35</v>
      </c>
      <c r="N772" s="2" t="s">
        <v>35</v>
      </c>
      <c r="O772" s="11">
        <v>44753.455829016202</v>
      </c>
      <c r="P772" s="11">
        <v>44753.456030787034</v>
      </c>
      <c r="Q772" s="27">
        <f t="shared" si="36"/>
        <v>2.0177083206363022E-4</v>
      </c>
      <c r="R772" s="65">
        <f t="shared" si="35"/>
        <v>1.8691435179789551E-3</v>
      </c>
      <c r="S772" s="2">
        <v>0</v>
      </c>
      <c r="T772" s="2" t="s">
        <v>36</v>
      </c>
      <c r="U772" s="2" t="s">
        <v>37</v>
      </c>
      <c r="V772" s="2" t="s">
        <v>38</v>
      </c>
      <c r="W772" s="2" t="s">
        <v>35</v>
      </c>
      <c r="X772" s="2" t="s">
        <v>35</v>
      </c>
      <c r="Y772" s="2" t="s">
        <v>35</v>
      </c>
      <c r="Z772" s="2" t="b">
        <v>0</v>
      </c>
      <c r="AA772" s="2" t="s">
        <v>35</v>
      </c>
      <c r="AB772" s="2" t="s">
        <v>35</v>
      </c>
      <c r="AC772" s="2" t="s">
        <v>35</v>
      </c>
      <c r="AD772" s="2" t="s">
        <v>35</v>
      </c>
      <c r="AE772" s="2" t="s">
        <v>2406</v>
      </c>
      <c r="AF772" s="11">
        <v>44753.409722164353</v>
      </c>
      <c r="AG772" s="53"/>
      <c r="AH772" s="53" t="b">
        <f t="shared" si="37"/>
        <v>0</v>
      </c>
      <c r="AI772" s="54" t="str" cm="1">
        <f t="array" ref="AI772">TRANSPOSE(_xlfn._xlws.FILTER(images!L:L,images!F:F=Barrierenmessung!A772, ""))</f>
        <v>https://captureandgo.cloudlab.zhaw.ch/uploads/image_dd7990f93e.jpg</v>
      </c>
      <c r="AJ772" s="2"/>
      <c r="AK772" s="2"/>
      <c r="AL772" s="2"/>
      <c r="AM772" s="2"/>
      <c r="AN772" s="2"/>
    </row>
    <row r="773" spans="1:40" ht="16" x14ac:dyDescent="0.2">
      <c r="A773" s="2" t="s">
        <v>2498</v>
      </c>
      <c r="B773" s="46">
        <v>772</v>
      </c>
      <c r="C773" s="2" t="b">
        <v>0</v>
      </c>
      <c r="D773" s="2" t="b">
        <v>0</v>
      </c>
      <c r="E773" s="2" t="b">
        <v>0</v>
      </c>
      <c r="F773" s="2" t="b">
        <v>0</v>
      </c>
      <c r="G773" s="2" t="s">
        <v>31</v>
      </c>
      <c r="H773" s="2" t="s">
        <v>2499</v>
      </c>
      <c r="I773" s="2" t="s">
        <v>2500</v>
      </c>
      <c r="J773" s="2" t="s">
        <v>35</v>
      </c>
      <c r="K773" s="2" t="s">
        <v>35</v>
      </c>
      <c r="L773" s="2" t="s">
        <v>35</v>
      </c>
      <c r="M773" s="2" t="s">
        <v>35</v>
      </c>
      <c r="N773" s="2" t="s">
        <v>35</v>
      </c>
      <c r="O773" s="11">
        <v>44753.458490960649</v>
      </c>
      <c r="P773" s="11">
        <v>44753.458685810183</v>
      </c>
      <c r="Q773" s="27">
        <f t="shared" si="36"/>
        <v>1.9484953372739255E-4</v>
      </c>
      <c r="R773" s="65">
        <f t="shared" ref="R773:R836" si="38">MIN(P773-P772, P773-AF773)</f>
        <v>2.655023148690816E-3</v>
      </c>
      <c r="S773" s="2">
        <v>0</v>
      </c>
      <c r="T773" s="2" t="s">
        <v>36</v>
      </c>
      <c r="U773" s="2" t="s">
        <v>37</v>
      </c>
      <c r="V773" s="2" t="s">
        <v>38</v>
      </c>
      <c r="W773" s="2" t="s">
        <v>35</v>
      </c>
      <c r="X773" s="2" t="s">
        <v>35</v>
      </c>
      <c r="Y773" s="2" t="s">
        <v>35</v>
      </c>
      <c r="Z773" s="2" t="b">
        <v>0</v>
      </c>
      <c r="AA773" s="2" t="s">
        <v>35</v>
      </c>
      <c r="AB773" s="2" t="s">
        <v>35</v>
      </c>
      <c r="AC773" s="2" t="s">
        <v>35</v>
      </c>
      <c r="AD773" s="2">
        <v>2</v>
      </c>
      <c r="AE773" s="2" t="s">
        <v>2406</v>
      </c>
      <c r="AF773" s="11">
        <v>44753.409722164353</v>
      </c>
      <c r="AG773" s="53"/>
      <c r="AH773" s="53" t="b">
        <f t="shared" si="37"/>
        <v>0</v>
      </c>
      <c r="AI773" s="54" t="str" cm="1">
        <f t="array" ref="AI773">TRANSPOSE(_xlfn._xlws.FILTER(images!L:L,images!F:F=Barrierenmessung!A773, ""))</f>
        <v>https://captureandgo.cloudlab.zhaw.ch/uploads/image_8ae8a56067.jpg</v>
      </c>
      <c r="AJ773" s="2"/>
      <c r="AK773" s="2"/>
      <c r="AL773" s="2"/>
      <c r="AM773" s="2"/>
      <c r="AN773" s="2"/>
    </row>
    <row r="774" spans="1:40" ht="16" x14ac:dyDescent="0.2">
      <c r="A774" s="2" t="s">
        <v>2501</v>
      </c>
      <c r="B774" s="46">
        <v>773</v>
      </c>
      <c r="C774" s="2" t="b">
        <v>0</v>
      </c>
      <c r="D774" s="2" t="b">
        <v>0</v>
      </c>
      <c r="E774" s="2" t="b">
        <v>0</v>
      </c>
      <c r="F774" s="2" t="b">
        <v>0</v>
      </c>
      <c r="G774" s="2" t="s">
        <v>31</v>
      </c>
      <c r="H774" s="2" t="s">
        <v>2502</v>
      </c>
      <c r="I774" s="2" t="s">
        <v>2503</v>
      </c>
      <c r="J774" s="2" t="s">
        <v>1647</v>
      </c>
      <c r="K774" s="2" t="s">
        <v>35</v>
      </c>
      <c r="L774" s="2" t="s">
        <v>35</v>
      </c>
      <c r="M774" s="2" t="s">
        <v>35</v>
      </c>
      <c r="N774" s="2" t="s">
        <v>35</v>
      </c>
      <c r="O774" s="11">
        <v>44753.459483923609</v>
      </c>
      <c r="P774" s="11">
        <v>44753.459821631943</v>
      </c>
      <c r="Q774" s="27">
        <f t="shared" si="36"/>
        <v>3.377083339728415E-4</v>
      </c>
      <c r="R774" s="65">
        <f t="shared" si="38"/>
        <v>1.1358217598171905E-3</v>
      </c>
      <c r="S774" s="2">
        <v>0</v>
      </c>
      <c r="T774" s="2" t="s">
        <v>36</v>
      </c>
      <c r="U774" s="2" t="s">
        <v>37</v>
      </c>
      <c r="V774" s="2" t="s">
        <v>38</v>
      </c>
      <c r="W774" s="2" t="s">
        <v>35</v>
      </c>
      <c r="X774" s="2" t="s">
        <v>35</v>
      </c>
      <c r="Y774" s="2" t="s">
        <v>35</v>
      </c>
      <c r="Z774" s="2" t="b">
        <v>0</v>
      </c>
      <c r="AA774" s="2" t="s">
        <v>35</v>
      </c>
      <c r="AB774" s="2" t="s">
        <v>35</v>
      </c>
      <c r="AC774" s="2">
        <v>4</v>
      </c>
      <c r="AD774" s="2" t="s">
        <v>35</v>
      </c>
      <c r="AE774" s="2" t="s">
        <v>2406</v>
      </c>
      <c r="AF774" s="11">
        <v>44753.409722164353</v>
      </c>
      <c r="AG774" s="53"/>
      <c r="AH774" s="53" t="b">
        <f t="shared" si="37"/>
        <v>0</v>
      </c>
      <c r="AI774" s="54" t="str" cm="1">
        <f t="array" ref="AI774">TRANSPOSE(_xlfn._xlws.FILTER(images!L:L,images!F:F=Barrierenmessung!A774, ""))</f>
        <v>https://captureandgo.cloudlab.zhaw.ch/uploads/image_1b9c5d8082.jpg</v>
      </c>
      <c r="AJ774" s="2"/>
      <c r="AK774" s="2"/>
      <c r="AL774" s="2"/>
      <c r="AM774" s="2"/>
      <c r="AN774" s="2"/>
    </row>
    <row r="775" spans="1:40" ht="16" x14ac:dyDescent="0.2">
      <c r="A775" s="2" t="s">
        <v>2504</v>
      </c>
      <c r="B775" s="46">
        <v>774</v>
      </c>
      <c r="C775" s="2" t="b">
        <v>0</v>
      </c>
      <c r="D775" s="2" t="b">
        <v>0</v>
      </c>
      <c r="E775" s="2" t="b">
        <v>0</v>
      </c>
      <c r="F775" s="2" t="b">
        <v>0</v>
      </c>
      <c r="G775" s="2" t="s">
        <v>31</v>
      </c>
      <c r="H775" s="2" t="s">
        <v>2505</v>
      </c>
      <c r="I775" s="2" t="s">
        <v>2506</v>
      </c>
      <c r="J775" s="2" t="s">
        <v>35</v>
      </c>
      <c r="K775" s="2" t="s">
        <v>35</v>
      </c>
      <c r="L775" s="2" t="s">
        <v>35</v>
      </c>
      <c r="M775" s="2" t="s">
        <v>35</v>
      </c>
      <c r="N775" s="2" t="s">
        <v>35</v>
      </c>
      <c r="O775" s="11">
        <v>44753.461329224534</v>
      </c>
      <c r="P775" s="11">
        <v>44753.461434687502</v>
      </c>
      <c r="Q775" s="27">
        <f t="shared" si="36"/>
        <v>1.0546296834945679E-4</v>
      </c>
      <c r="R775" s="65">
        <f t="shared" si="38"/>
        <v>1.6130555595736951E-3</v>
      </c>
      <c r="S775" s="2">
        <v>0</v>
      </c>
      <c r="T775" s="2" t="s">
        <v>36</v>
      </c>
      <c r="U775" s="2" t="s">
        <v>37</v>
      </c>
      <c r="V775" s="2" t="s">
        <v>38</v>
      </c>
      <c r="W775" s="2" t="s">
        <v>35</v>
      </c>
      <c r="X775" s="2" t="s">
        <v>35</v>
      </c>
      <c r="Y775" s="2" t="s">
        <v>35</v>
      </c>
      <c r="Z775" s="2" t="b">
        <v>0</v>
      </c>
      <c r="AA775" s="2" t="s">
        <v>35</v>
      </c>
      <c r="AB775" s="2" t="s">
        <v>35</v>
      </c>
      <c r="AC775" s="2" t="s">
        <v>35</v>
      </c>
      <c r="AD775" s="2">
        <v>2</v>
      </c>
      <c r="AE775" s="2" t="s">
        <v>2406</v>
      </c>
      <c r="AF775" s="11">
        <v>44753.409722164353</v>
      </c>
      <c r="AG775" s="53"/>
      <c r="AH775" s="53" t="b">
        <f t="shared" si="37"/>
        <v>0</v>
      </c>
      <c r="AI775" s="54" t="str" cm="1">
        <f t="array" ref="AI775">TRANSPOSE(_xlfn._xlws.FILTER(images!L:L,images!F:F=Barrierenmessung!A775, ""))</f>
        <v>https://captureandgo.cloudlab.zhaw.ch/uploads/image_967e089da9.jpg</v>
      </c>
      <c r="AJ775" s="2"/>
      <c r="AK775" s="2"/>
      <c r="AL775" s="2"/>
      <c r="AM775" s="2"/>
      <c r="AN775" s="2"/>
    </row>
    <row r="776" spans="1:40" ht="16" x14ac:dyDescent="0.2">
      <c r="A776" s="2" t="s">
        <v>2507</v>
      </c>
      <c r="B776" s="46">
        <v>775</v>
      </c>
      <c r="C776" s="2" t="b">
        <v>0</v>
      </c>
      <c r="D776" s="2" t="b">
        <v>0</v>
      </c>
      <c r="E776" s="2" t="b">
        <v>0</v>
      </c>
      <c r="F776" s="2" t="b">
        <v>0</v>
      </c>
      <c r="G776" s="2" t="s">
        <v>31</v>
      </c>
      <c r="H776" s="2" t="s">
        <v>2508</v>
      </c>
      <c r="I776" s="2" t="s">
        <v>2509</v>
      </c>
      <c r="J776" s="2" t="s">
        <v>35</v>
      </c>
      <c r="K776" s="2" t="s">
        <v>35</v>
      </c>
      <c r="L776" s="2" t="s">
        <v>35</v>
      </c>
      <c r="M776" s="2" t="s">
        <v>35</v>
      </c>
      <c r="N776" s="2" t="s">
        <v>35</v>
      </c>
      <c r="O776" s="11">
        <v>44753.464535208332</v>
      </c>
      <c r="P776" s="11">
        <v>44753.464778113426</v>
      </c>
      <c r="Q776" s="27">
        <f t="shared" si="36"/>
        <v>2.4290509463753551E-4</v>
      </c>
      <c r="R776" s="65">
        <f t="shared" si="38"/>
        <v>3.3434259239584208E-3</v>
      </c>
      <c r="S776" s="2">
        <v>0</v>
      </c>
      <c r="T776" s="2" t="s">
        <v>36</v>
      </c>
      <c r="U776" s="2" t="s">
        <v>37</v>
      </c>
      <c r="V776" s="2" t="s">
        <v>38</v>
      </c>
      <c r="W776" s="2" t="s">
        <v>35</v>
      </c>
      <c r="X776" s="2" t="s">
        <v>35</v>
      </c>
      <c r="Y776" s="2" t="s">
        <v>35</v>
      </c>
      <c r="Z776" s="2" t="b">
        <v>0</v>
      </c>
      <c r="AA776" s="2" t="s">
        <v>35</v>
      </c>
      <c r="AB776" s="2" t="s">
        <v>35</v>
      </c>
      <c r="AC776" s="2" t="s">
        <v>35</v>
      </c>
      <c r="AD776" s="2">
        <v>3</v>
      </c>
      <c r="AE776" s="2" t="s">
        <v>2406</v>
      </c>
      <c r="AF776" s="11">
        <v>44753.409722164353</v>
      </c>
      <c r="AG776" s="53"/>
      <c r="AH776" s="53" t="b">
        <f t="shared" si="37"/>
        <v>0</v>
      </c>
      <c r="AI776" s="54" t="str" cm="1">
        <f t="array" ref="AI776">TRANSPOSE(_xlfn._xlws.FILTER(images!L:L,images!F:F=Barrierenmessung!A776, ""))</f>
        <v>https://captureandgo.cloudlab.zhaw.ch/uploads/image_eafbd616fa.jpg</v>
      </c>
      <c r="AJ776" s="2"/>
      <c r="AK776" s="2"/>
      <c r="AL776" s="2"/>
      <c r="AM776" s="2"/>
      <c r="AN776" s="2"/>
    </row>
    <row r="777" spans="1:40" ht="16" x14ac:dyDescent="0.2">
      <c r="A777" s="2" t="s">
        <v>2510</v>
      </c>
      <c r="B777" s="46">
        <v>776</v>
      </c>
      <c r="C777" s="2" t="b">
        <v>0</v>
      </c>
      <c r="D777" s="2" t="b">
        <v>0</v>
      </c>
      <c r="E777" s="2" t="b">
        <v>0</v>
      </c>
      <c r="F777" s="2" t="b">
        <v>0</v>
      </c>
      <c r="G777" s="2" t="s">
        <v>31</v>
      </c>
      <c r="H777" s="2" t="s">
        <v>2511</v>
      </c>
      <c r="I777" s="2" t="s">
        <v>2512</v>
      </c>
      <c r="J777" s="2" t="s">
        <v>35</v>
      </c>
      <c r="K777" s="2" t="s">
        <v>35</v>
      </c>
      <c r="L777" s="2" t="s">
        <v>35</v>
      </c>
      <c r="M777" s="2" t="s">
        <v>35</v>
      </c>
      <c r="N777" s="2" t="s">
        <v>35</v>
      </c>
      <c r="O777" s="11">
        <v>44753.468514444445</v>
      </c>
      <c r="P777" s="11">
        <v>44753.469404583331</v>
      </c>
      <c r="Q777" s="27">
        <f t="shared" si="36"/>
        <v>8.9013888646150008E-4</v>
      </c>
      <c r="R777" s="65">
        <f t="shared" si="38"/>
        <v>4.6264699049061164E-3</v>
      </c>
      <c r="S777" s="2">
        <v>0</v>
      </c>
      <c r="T777" s="2" t="s">
        <v>36</v>
      </c>
      <c r="U777" s="2" t="s">
        <v>37</v>
      </c>
      <c r="V777" s="2" t="s">
        <v>38</v>
      </c>
      <c r="W777" s="2" t="s">
        <v>35</v>
      </c>
      <c r="X777" s="2" t="s">
        <v>35</v>
      </c>
      <c r="Y777" s="2" t="s">
        <v>35</v>
      </c>
      <c r="Z777" s="2" t="b">
        <v>0</v>
      </c>
      <c r="AA777" s="2" t="s">
        <v>35</v>
      </c>
      <c r="AB777" s="2" t="s">
        <v>35</v>
      </c>
      <c r="AC777" s="2" t="s">
        <v>35</v>
      </c>
      <c r="AD777" s="2">
        <v>2</v>
      </c>
      <c r="AE777" s="2" t="s">
        <v>2406</v>
      </c>
      <c r="AF777" s="11">
        <v>44753.409722164353</v>
      </c>
      <c r="AG777" s="53"/>
      <c r="AH777" s="53" t="b">
        <f t="shared" si="37"/>
        <v>0</v>
      </c>
      <c r="AI777" s="54" t="str" cm="1">
        <f t="array" ref="AI777">TRANSPOSE(_xlfn._xlws.FILTER(images!L:L,images!F:F=Barrierenmessung!A777, ""))</f>
        <v>https://captureandgo.cloudlab.zhaw.ch/uploads/image_dd7ea34263.jpg</v>
      </c>
      <c r="AJ777" s="2"/>
      <c r="AK777" s="2"/>
      <c r="AL777" s="2"/>
      <c r="AM777" s="2"/>
      <c r="AN777" s="2"/>
    </row>
    <row r="778" spans="1:40" ht="16" x14ac:dyDescent="0.2">
      <c r="A778" s="2" t="s">
        <v>2513</v>
      </c>
      <c r="B778" s="46">
        <v>777</v>
      </c>
      <c r="C778" s="2" t="b">
        <v>0</v>
      </c>
      <c r="D778" s="2" t="b">
        <v>0</v>
      </c>
      <c r="E778" s="2" t="b">
        <v>0</v>
      </c>
      <c r="F778" s="2" t="b">
        <v>0</v>
      </c>
      <c r="G778" s="2" t="s">
        <v>31</v>
      </c>
      <c r="H778" s="2" t="s">
        <v>2514</v>
      </c>
      <c r="I778" s="2" t="s">
        <v>2515</v>
      </c>
      <c r="J778" s="2" t="s">
        <v>35</v>
      </c>
      <c r="K778" s="2" t="s">
        <v>35</v>
      </c>
      <c r="L778" s="2" t="s">
        <v>35</v>
      </c>
      <c r="M778" s="2" t="s">
        <v>35</v>
      </c>
      <c r="N778" s="2" t="s">
        <v>35</v>
      </c>
      <c r="O778" s="11">
        <v>44753.470408611109</v>
      </c>
      <c r="P778" s="11">
        <v>44753.470503680554</v>
      </c>
      <c r="Q778" s="27">
        <f t="shared" si="36"/>
        <v>9.5069444796536118E-5</v>
      </c>
      <c r="R778" s="65">
        <f t="shared" si="38"/>
        <v>1.0990972223225981E-3</v>
      </c>
      <c r="S778" s="2">
        <v>0</v>
      </c>
      <c r="T778" s="2" t="s">
        <v>36</v>
      </c>
      <c r="U778" s="2" t="s">
        <v>37</v>
      </c>
      <c r="V778" s="2" t="s">
        <v>38</v>
      </c>
      <c r="W778" s="2" t="s">
        <v>35</v>
      </c>
      <c r="X778" s="2" t="s">
        <v>35</v>
      </c>
      <c r="Y778" s="2" t="s">
        <v>35</v>
      </c>
      <c r="Z778" s="2" t="b">
        <v>0</v>
      </c>
      <c r="AA778" s="2" t="s">
        <v>35</v>
      </c>
      <c r="AB778" s="2" t="s">
        <v>35</v>
      </c>
      <c r="AC778" s="2" t="s">
        <v>35</v>
      </c>
      <c r="AD778" s="2">
        <v>4</v>
      </c>
      <c r="AE778" s="2" t="s">
        <v>2406</v>
      </c>
      <c r="AF778" s="11">
        <v>44753.409722164353</v>
      </c>
      <c r="AG778" s="53"/>
      <c r="AH778" s="53" t="b">
        <f t="shared" si="37"/>
        <v>0</v>
      </c>
      <c r="AI778" s="54" t="str" cm="1">
        <f t="array" ref="AI778">TRANSPOSE(_xlfn._xlws.FILTER(images!L:L,images!F:F=Barrierenmessung!A778, ""))</f>
        <v>https://captureandgo.cloudlab.zhaw.ch/uploads/image_a1e777f3b0.jpg</v>
      </c>
      <c r="AJ778" s="2"/>
      <c r="AK778" s="2"/>
      <c r="AL778" s="2"/>
      <c r="AM778" s="2"/>
      <c r="AN778" s="2"/>
    </row>
    <row r="779" spans="1:40" ht="16" x14ac:dyDescent="0.2">
      <c r="A779" s="2" t="s">
        <v>2516</v>
      </c>
      <c r="B779" s="46">
        <v>778</v>
      </c>
      <c r="C779" s="2" t="b">
        <v>0</v>
      </c>
      <c r="D779" s="2" t="b">
        <v>0</v>
      </c>
      <c r="E779" s="2" t="b">
        <v>0</v>
      </c>
      <c r="F779" s="2" t="b">
        <v>0</v>
      </c>
      <c r="G779" s="2" t="s">
        <v>31</v>
      </c>
      <c r="H779" s="2" t="s">
        <v>2517</v>
      </c>
      <c r="I779" s="2" t="s">
        <v>2518</v>
      </c>
      <c r="J779" s="2" t="s">
        <v>35</v>
      </c>
      <c r="K779" s="2" t="s">
        <v>35</v>
      </c>
      <c r="L779" s="2" t="s">
        <v>35</v>
      </c>
      <c r="M779" s="2" t="s">
        <v>35</v>
      </c>
      <c r="N779" s="2" t="s">
        <v>35</v>
      </c>
      <c r="O779" s="11">
        <v>44753.471518506944</v>
      </c>
      <c r="P779" s="11">
        <v>44753.471624594909</v>
      </c>
      <c r="Q779" s="27">
        <f t="shared" si="36"/>
        <v>1.0608796583255753E-4</v>
      </c>
      <c r="R779" s="65">
        <f t="shared" si="38"/>
        <v>1.1209143558517098E-3</v>
      </c>
      <c r="S779" s="2">
        <v>0</v>
      </c>
      <c r="T779" s="2" t="s">
        <v>36</v>
      </c>
      <c r="U779" s="2" t="s">
        <v>37</v>
      </c>
      <c r="V779" s="2" t="s">
        <v>38</v>
      </c>
      <c r="W779" s="2" t="s">
        <v>35</v>
      </c>
      <c r="X779" s="2" t="s">
        <v>35</v>
      </c>
      <c r="Y779" s="2" t="s">
        <v>35</v>
      </c>
      <c r="Z779" s="2" t="b">
        <v>0</v>
      </c>
      <c r="AA779" s="2" t="s">
        <v>35</v>
      </c>
      <c r="AB779" s="2" t="s">
        <v>35</v>
      </c>
      <c r="AC779" s="2" t="s">
        <v>35</v>
      </c>
      <c r="AD779" s="2">
        <v>3</v>
      </c>
      <c r="AE779" s="2" t="s">
        <v>2406</v>
      </c>
      <c r="AF779" s="11">
        <v>44753.409722164353</v>
      </c>
      <c r="AG779" s="53"/>
      <c r="AH779" s="53" t="b">
        <f t="shared" si="37"/>
        <v>0</v>
      </c>
      <c r="AI779" s="54" t="str" cm="1">
        <f t="array" ref="AI779">TRANSPOSE(_xlfn._xlws.FILTER(images!L:L,images!F:F=Barrierenmessung!A779, ""))</f>
        <v>https://captureandgo.cloudlab.zhaw.ch/uploads/image_1c23c98843.jpg</v>
      </c>
      <c r="AJ779" s="2"/>
      <c r="AK779" s="2"/>
      <c r="AL779" s="2"/>
      <c r="AM779" s="2"/>
      <c r="AN779" s="2"/>
    </row>
    <row r="780" spans="1:40" ht="16" x14ac:dyDescent="0.2">
      <c r="A780" s="2" t="s">
        <v>2519</v>
      </c>
      <c r="B780" s="46">
        <v>779</v>
      </c>
      <c r="C780" s="2" t="b">
        <v>0</v>
      </c>
      <c r="D780" s="2" t="b">
        <v>0</v>
      </c>
      <c r="E780" s="2" t="b">
        <v>0</v>
      </c>
      <c r="F780" s="2" t="b">
        <v>0</v>
      </c>
      <c r="G780" s="2" t="s">
        <v>31</v>
      </c>
      <c r="H780" s="2" t="s">
        <v>2520</v>
      </c>
      <c r="I780" s="2" t="s">
        <v>2521</v>
      </c>
      <c r="J780" s="2" t="s">
        <v>35</v>
      </c>
      <c r="K780" s="2" t="s">
        <v>35</v>
      </c>
      <c r="L780" s="2" t="s">
        <v>35</v>
      </c>
      <c r="M780" s="2">
        <v>6</v>
      </c>
      <c r="N780" s="2">
        <v>14</v>
      </c>
      <c r="O780" s="11">
        <v>44753.473779687498</v>
      </c>
      <c r="P780" s="11">
        <v>44753.474067407406</v>
      </c>
      <c r="Q780" s="27">
        <f t="shared" si="36"/>
        <v>2.877199076465331E-4</v>
      </c>
      <c r="R780" s="65">
        <f t="shared" si="38"/>
        <v>2.4428124961559661E-3</v>
      </c>
      <c r="S780" s="2">
        <v>0</v>
      </c>
      <c r="T780" s="2" t="s">
        <v>54</v>
      </c>
      <c r="U780" s="2" t="s">
        <v>55</v>
      </c>
      <c r="V780" s="2" t="s">
        <v>38</v>
      </c>
      <c r="W780" s="2" t="s">
        <v>35</v>
      </c>
      <c r="X780" s="2" t="s">
        <v>35</v>
      </c>
      <c r="Y780" s="2" t="s">
        <v>35</v>
      </c>
      <c r="Z780" s="2" t="b">
        <v>0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2406</v>
      </c>
      <c r="AF780" s="11">
        <v>44753.409722164353</v>
      </c>
      <c r="AG780" s="53"/>
      <c r="AH780" s="53" t="b">
        <f t="shared" si="37"/>
        <v>0</v>
      </c>
      <c r="AI780" s="54" t="str" cm="1">
        <f t="array" ref="AI780">TRANSPOSE(_xlfn._xlws.FILTER(images!L:L,images!F:F=Barrierenmessung!A780, ""))</f>
        <v>https://captureandgo.cloudlab.zhaw.ch/uploads/image_b7e0fcd34f.jpg</v>
      </c>
      <c r="AJ780" s="2"/>
      <c r="AK780" s="2"/>
      <c r="AL780" s="2"/>
      <c r="AM780" s="2"/>
      <c r="AN780" s="2"/>
    </row>
    <row r="781" spans="1:40" ht="16" x14ac:dyDescent="0.2">
      <c r="A781" s="2" t="s">
        <v>2522</v>
      </c>
      <c r="B781" s="46">
        <v>780</v>
      </c>
      <c r="C781" s="2" t="b">
        <v>0</v>
      </c>
      <c r="D781" s="2" t="b">
        <v>0</v>
      </c>
      <c r="E781" s="2" t="b">
        <v>0</v>
      </c>
      <c r="F781" s="2" t="b">
        <v>0</v>
      </c>
      <c r="G781" s="2" t="s">
        <v>31</v>
      </c>
      <c r="H781" s="2" t="s">
        <v>2523</v>
      </c>
      <c r="I781" s="2" t="s">
        <v>2524</v>
      </c>
      <c r="J781" s="2" t="s">
        <v>35</v>
      </c>
      <c r="K781" s="2" t="s">
        <v>35</v>
      </c>
      <c r="L781" s="2" t="s">
        <v>35</v>
      </c>
      <c r="M781" s="2" t="s">
        <v>35</v>
      </c>
      <c r="N781" s="2" t="s">
        <v>35</v>
      </c>
      <c r="O781" s="11">
        <v>44753.474259155089</v>
      </c>
      <c r="P781" s="11">
        <v>44753.475287013891</v>
      </c>
      <c r="Q781" s="27">
        <f t="shared" si="36"/>
        <v>1.0278588015353307E-3</v>
      </c>
      <c r="R781" s="65">
        <f t="shared" si="38"/>
        <v>1.2196064853924327E-3</v>
      </c>
      <c r="S781" s="2">
        <v>0</v>
      </c>
      <c r="T781" s="2" t="s">
        <v>36</v>
      </c>
      <c r="U781" s="2" t="s">
        <v>37</v>
      </c>
      <c r="V781" s="2" t="s">
        <v>38</v>
      </c>
      <c r="W781" s="2" t="s">
        <v>35</v>
      </c>
      <c r="X781" s="2" t="s">
        <v>35</v>
      </c>
      <c r="Y781" s="2" t="s">
        <v>35</v>
      </c>
      <c r="Z781" s="2" t="b">
        <v>0</v>
      </c>
      <c r="AA781" s="2" t="s">
        <v>2525</v>
      </c>
      <c r="AB781" s="2" t="s">
        <v>35</v>
      </c>
      <c r="AC781" s="2" t="s">
        <v>35</v>
      </c>
      <c r="AD781" s="2" t="s">
        <v>35</v>
      </c>
      <c r="AE781" s="2" t="s">
        <v>2406</v>
      </c>
      <c r="AF781" s="11">
        <v>44753.409722164353</v>
      </c>
      <c r="AG781" s="53"/>
      <c r="AH781" s="53" t="b">
        <f t="shared" si="37"/>
        <v>0</v>
      </c>
      <c r="AI781" s="54" t="str" cm="1">
        <f t="array" ref="AI781">TRANSPOSE(_xlfn._xlws.FILTER(images!L:L,images!F:F=Barrierenmessung!A781, ""))</f>
        <v>https://captureandgo.cloudlab.zhaw.ch/uploads/image_e1108e3256.jpg</v>
      </c>
      <c r="AJ781" s="2"/>
      <c r="AK781" s="2"/>
      <c r="AL781" s="2"/>
      <c r="AM781" s="2"/>
      <c r="AN781" s="2"/>
    </row>
    <row r="782" spans="1:40" ht="16" x14ac:dyDescent="0.2">
      <c r="A782" s="2" t="s">
        <v>2526</v>
      </c>
      <c r="B782" s="46">
        <v>781</v>
      </c>
      <c r="C782" s="2" t="b">
        <v>0</v>
      </c>
      <c r="D782" s="2" t="b">
        <v>0</v>
      </c>
      <c r="E782" s="2" t="b">
        <v>0</v>
      </c>
      <c r="F782" s="2" t="b">
        <v>0</v>
      </c>
      <c r="G782" s="2" t="s">
        <v>31</v>
      </c>
      <c r="H782" s="2" t="s">
        <v>2527</v>
      </c>
      <c r="I782" s="2" t="s">
        <v>2528</v>
      </c>
      <c r="J782" s="2" t="s">
        <v>35</v>
      </c>
      <c r="K782" s="2" t="s">
        <v>35</v>
      </c>
      <c r="L782" s="2" t="s">
        <v>35</v>
      </c>
      <c r="M782" s="2">
        <v>6</v>
      </c>
      <c r="N782" s="2">
        <v>14</v>
      </c>
      <c r="O782" s="11">
        <v>44753.476617002314</v>
      </c>
      <c r="P782" s="11">
        <v>44753.476777627315</v>
      </c>
      <c r="Q782" s="27">
        <f t="shared" si="36"/>
        <v>1.6062500071711838E-4</v>
      </c>
      <c r="R782" s="65">
        <f t="shared" si="38"/>
        <v>1.4906134238117374E-3</v>
      </c>
      <c r="S782" s="2">
        <v>0</v>
      </c>
      <c r="T782" s="2" t="s">
        <v>54</v>
      </c>
      <c r="U782" s="2" t="s">
        <v>55</v>
      </c>
      <c r="V782" s="2" t="s">
        <v>38</v>
      </c>
      <c r="W782" s="2" t="s">
        <v>35</v>
      </c>
      <c r="X782" s="2" t="s">
        <v>35</v>
      </c>
      <c r="Y782" s="2" t="s">
        <v>35</v>
      </c>
      <c r="Z782" s="2" t="b">
        <v>0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2406</v>
      </c>
      <c r="AF782" s="11">
        <v>44753.409722164353</v>
      </c>
      <c r="AG782" s="53"/>
      <c r="AH782" s="53" t="b">
        <f t="shared" si="37"/>
        <v>0</v>
      </c>
      <c r="AI782" s="54" t="str" cm="1">
        <f t="array" ref="AI782">TRANSPOSE(_xlfn._xlws.FILTER(images!L:L,images!F:F=Barrierenmessung!A782, ""))</f>
        <v>https://captureandgo.cloudlab.zhaw.ch/uploads/image_c64e5e7909.jpg</v>
      </c>
      <c r="AJ782" s="2"/>
      <c r="AK782" s="2"/>
      <c r="AL782" s="2"/>
      <c r="AM782" s="2"/>
      <c r="AN782" s="2"/>
    </row>
    <row r="783" spans="1:40" ht="16" x14ac:dyDescent="0.2">
      <c r="A783" s="2" t="s">
        <v>2529</v>
      </c>
      <c r="B783" s="46">
        <v>782</v>
      </c>
      <c r="C783" s="2" t="b">
        <v>0</v>
      </c>
      <c r="D783" s="2" t="b">
        <v>0</v>
      </c>
      <c r="E783" s="2" t="b">
        <v>0</v>
      </c>
      <c r="F783" s="2" t="b">
        <v>0</v>
      </c>
      <c r="G783" s="2" t="s">
        <v>31</v>
      </c>
      <c r="H783" s="2" t="s">
        <v>2530</v>
      </c>
      <c r="I783" s="2" t="s">
        <v>2531</v>
      </c>
      <c r="J783" s="2" t="s">
        <v>35</v>
      </c>
      <c r="K783" s="2" t="s">
        <v>35</v>
      </c>
      <c r="L783" s="2" t="s">
        <v>35</v>
      </c>
      <c r="M783" s="2">
        <v>6</v>
      </c>
      <c r="N783" s="2">
        <v>14</v>
      </c>
      <c r="O783" s="11">
        <v>44753.477094004629</v>
      </c>
      <c r="P783" s="11">
        <v>44753.477235324077</v>
      </c>
      <c r="Q783" s="27">
        <f t="shared" si="36"/>
        <v>1.41319447720889E-4</v>
      </c>
      <c r="R783" s="65">
        <f t="shared" si="38"/>
        <v>4.5769676216877997E-4</v>
      </c>
      <c r="S783" s="2">
        <v>0</v>
      </c>
      <c r="T783" s="2" t="s">
        <v>54</v>
      </c>
      <c r="U783" s="2" t="s">
        <v>55</v>
      </c>
      <c r="V783" s="2" t="s">
        <v>38</v>
      </c>
      <c r="W783" s="2" t="s">
        <v>35</v>
      </c>
      <c r="X783" s="2" t="s">
        <v>35</v>
      </c>
      <c r="Y783" s="2" t="s">
        <v>35</v>
      </c>
      <c r="Z783" s="2" t="b">
        <v>0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2" t="s">
        <v>2406</v>
      </c>
      <c r="AF783" s="11">
        <v>44753.409722164353</v>
      </c>
      <c r="AG783" s="53"/>
      <c r="AH783" s="53" t="b">
        <f t="shared" si="37"/>
        <v>0</v>
      </c>
      <c r="AI783" s="54" t="str" cm="1">
        <f t="array" ref="AI783">TRANSPOSE(_xlfn._xlws.FILTER(images!L:L,images!F:F=Barrierenmessung!A783, ""))</f>
        <v>https://captureandgo.cloudlab.zhaw.ch/uploads/image_96ba30c85d.jpg</v>
      </c>
      <c r="AJ783" s="2"/>
      <c r="AK783" s="2"/>
      <c r="AL783" s="2"/>
      <c r="AM783" s="2"/>
      <c r="AN783" s="2"/>
    </row>
    <row r="784" spans="1:40" ht="16" x14ac:dyDescent="0.2">
      <c r="A784" s="2" t="s">
        <v>2532</v>
      </c>
      <c r="B784" s="46">
        <v>783</v>
      </c>
      <c r="C784" s="2" t="b">
        <v>0</v>
      </c>
      <c r="D784" s="2" t="b">
        <v>0</v>
      </c>
      <c r="E784" s="2" t="b">
        <v>0</v>
      </c>
      <c r="F784" s="2" t="b">
        <v>0</v>
      </c>
      <c r="G784" s="2" t="s">
        <v>31</v>
      </c>
      <c r="H784" s="2" t="s">
        <v>2533</v>
      </c>
      <c r="I784" s="2" t="s">
        <v>2534</v>
      </c>
      <c r="J784" s="2" t="s">
        <v>35</v>
      </c>
      <c r="K784" s="2" t="s">
        <v>35</v>
      </c>
      <c r="L784" s="2" t="s">
        <v>35</v>
      </c>
      <c r="M784" s="2" t="s">
        <v>35</v>
      </c>
      <c r="N784" s="2" t="s">
        <v>35</v>
      </c>
      <c r="O784" s="11">
        <v>44753.477337824072</v>
      </c>
      <c r="P784" s="11">
        <v>44753.477637673612</v>
      </c>
      <c r="Q784" s="27">
        <f t="shared" si="36"/>
        <v>2.9984954016981646E-4</v>
      </c>
      <c r="R784" s="65">
        <f t="shared" si="38"/>
        <v>4.0234953485196456E-4</v>
      </c>
      <c r="S784" s="2">
        <v>0</v>
      </c>
      <c r="T784" s="2" t="s">
        <v>36</v>
      </c>
      <c r="U784" s="2" t="s">
        <v>37</v>
      </c>
      <c r="V784" s="2" t="s">
        <v>38</v>
      </c>
      <c r="W784" s="2" t="s">
        <v>35</v>
      </c>
      <c r="X784" s="2" t="s">
        <v>35</v>
      </c>
      <c r="Y784" s="2" t="s">
        <v>35</v>
      </c>
      <c r="Z784" s="2" t="b">
        <v>0</v>
      </c>
      <c r="AA784" s="2" t="s">
        <v>2535</v>
      </c>
      <c r="AB784" s="2" t="s">
        <v>35</v>
      </c>
      <c r="AC784" s="2" t="s">
        <v>35</v>
      </c>
      <c r="AD784" s="2" t="s">
        <v>35</v>
      </c>
      <c r="AE784" s="2" t="s">
        <v>2406</v>
      </c>
      <c r="AF784" s="11">
        <v>44753.409722164353</v>
      </c>
      <c r="AG784" s="53"/>
      <c r="AH784" s="53" t="b">
        <f t="shared" si="37"/>
        <v>0</v>
      </c>
      <c r="AI784" s="54" t="str" cm="1">
        <f t="array" ref="AI784">TRANSPOSE(_xlfn._xlws.FILTER(images!L:L,images!F:F=Barrierenmessung!A784, ""))</f>
        <v>https://captureandgo.cloudlab.zhaw.ch/uploads/image_bcbf709d88.jpg</v>
      </c>
      <c r="AJ784" s="2"/>
      <c r="AK784" s="2"/>
      <c r="AL784" s="2"/>
      <c r="AM784" s="2"/>
      <c r="AN784" s="2"/>
    </row>
    <row r="785" spans="1:40" ht="16" x14ac:dyDescent="0.2">
      <c r="A785" s="2" t="s">
        <v>2536</v>
      </c>
      <c r="B785" s="46">
        <v>784</v>
      </c>
      <c r="C785" s="2" t="b">
        <v>0</v>
      </c>
      <c r="D785" s="2" t="b">
        <v>0</v>
      </c>
      <c r="E785" s="2" t="b">
        <v>0</v>
      </c>
      <c r="F785" s="2" t="b">
        <v>0</v>
      </c>
      <c r="G785" s="2" t="s">
        <v>31</v>
      </c>
      <c r="H785" s="2" t="s">
        <v>2537</v>
      </c>
      <c r="I785" s="2" t="s">
        <v>2538</v>
      </c>
      <c r="J785" s="2" t="s">
        <v>35</v>
      </c>
      <c r="K785" s="2" t="s">
        <v>35</v>
      </c>
      <c r="L785" s="2" t="s">
        <v>35</v>
      </c>
      <c r="M785" s="2">
        <v>6</v>
      </c>
      <c r="N785" s="2">
        <v>14</v>
      </c>
      <c r="O785" s="11">
        <v>44753.477733564818</v>
      </c>
      <c r="P785" s="11">
        <v>44753.477910173613</v>
      </c>
      <c r="Q785" s="27">
        <f t="shared" si="36"/>
        <v>1.7660879530012608E-4</v>
      </c>
      <c r="R785" s="65">
        <f t="shared" si="38"/>
        <v>2.725000013015233E-4</v>
      </c>
      <c r="S785" s="2">
        <v>0</v>
      </c>
      <c r="T785" s="2" t="s">
        <v>54</v>
      </c>
      <c r="U785" s="2" t="s">
        <v>55</v>
      </c>
      <c r="V785" s="2" t="s">
        <v>38</v>
      </c>
      <c r="W785" s="2" t="s">
        <v>35</v>
      </c>
      <c r="X785" s="2" t="s">
        <v>35</v>
      </c>
      <c r="Y785" s="2" t="s">
        <v>35</v>
      </c>
      <c r="Z785" s="2" t="b">
        <v>0</v>
      </c>
      <c r="AA785" s="2" t="s">
        <v>35</v>
      </c>
      <c r="AB785" s="2" t="s">
        <v>35</v>
      </c>
      <c r="AC785" s="2" t="s">
        <v>35</v>
      </c>
      <c r="AD785" s="2" t="s">
        <v>35</v>
      </c>
      <c r="AE785" s="2" t="s">
        <v>2406</v>
      </c>
      <c r="AF785" s="11">
        <v>44753.409722164353</v>
      </c>
      <c r="AG785" s="53"/>
      <c r="AH785" s="53" t="b">
        <f t="shared" si="37"/>
        <v>0</v>
      </c>
      <c r="AI785" s="54" t="str" cm="1">
        <f t="array" ref="AI785">TRANSPOSE(_xlfn._xlws.FILTER(images!L:L,images!F:F=Barrierenmessung!A785, ""))</f>
        <v>https://captureandgo.cloudlab.zhaw.ch/uploads/image_7c6c0ddf3a.jpg</v>
      </c>
      <c r="AJ785" s="2"/>
      <c r="AK785" s="2"/>
      <c r="AL785" s="2"/>
      <c r="AM785" s="2"/>
      <c r="AN785" s="2"/>
    </row>
    <row r="786" spans="1:40" ht="16" x14ac:dyDescent="0.2">
      <c r="A786" s="68" t="s">
        <v>2539</v>
      </c>
      <c r="B786" s="68">
        <v>785</v>
      </c>
      <c r="C786" s="68" t="b">
        <v>0</v>
      </c>
      <c r="D786" s="68" t="b">
        <v>0</v>
      </c>
      <c r="E786" s="68" t="b">
        <v>0</v>
      </c>
      <c r="F786" s="68" t="b">
        <v>0</v>
      </c>
      <c r="G786" s="68" t="s">
        <v>31</v>
      </c>
      <c r="H786" s="68" t="s">
        <v>149</v>
      </c>
      <c r="I786" s="68" t="s">
        <v>2540</v>
      </c>
      <c r="J786" s="68" t="s">
        <v>35</v>
      </c>
      <c r="K786" s="68" t="s">
        <v>35</v>
      </c>
      <c r="L786" s="68" t="s">
        <v>35</v>
      </c>
      <c r="M786" s="68" t="s">
        <v>35</v>
      </c>
      <c r="N786" s="68" t="s">
        <v>35</v>
      </c>
      <c r="O786" s="69">
        <v>44753.478037650464</v>
      </c>
      <c r="P786" s="69">
        <v>44753.478309409722</v>
      </c>
      <c r="Q786" s="70">
        <f t="shared" si="36"/>
        <v>2.7175925788469613E-4</v>
      </c>
      <c r="R786" s="70">
        <f t="shared" si="38"/>
        <v>3.9923610893310979E-4</v>
      </c>
      <c r="S786" s="68">
        <v>0</v>
      </c>
      <c r="T786" s="68" t="s">
        <v>36</v>
      </c>
      <c r="U786" s="68" t="s">
        <v>37</v>
      </c>
      <c r="V786" s="68" t="s">
        <v>38</v>
      </c>
      <c r="W786" s="68" t="s">
        <v>35</v>
      </c>
      <c r="X786" s="68" t="s">
        <v>35</v>
      </c>
      <c r="Y786" s="68" t="s">
        <v>35</v>
      </c>
      <c r="Z786" s="68" t="b">
        <v>0</v>
      </c>
      <c r="AA786" s="68" t="s">
        <v>2541</v>
      </c>
      <c r="AB786" s="68" t="s">
        <v>35</v>
      </c>
      <c r="AC786" s="68" t="s">
        <v>35</v>
      </c>
      <c r="AD786" s="68" t="s">
        <v>35</v>
      </c>
      <c r="AE786" s="68" t="s">
        <v>2406</v>
      </c>
      <c r="AF786" s="69">
        <v>44753.409722164353</v>
      </c>
      <c r="AG786" s="71"/>
      <c r="AH786" s="71" t="b">
        <f t="shared" si="37"/>
        <v>0</v>
      </c>
      <c r="AI786" s="56" t="str" cm="1">
        <f t="array" ref="AI786">TRANSPOSE(_xlfn._xlws.FILTER(images!L:L,images!F:F=Barrierenmessung!A786, ""))</f>
        <v/>
      </c>
      <c r="AJ786" s="68"/>
      <c r="AK786" s="68"/>
      <c r="AL786" s="68"/>
      <c r="AM786" s="68"/>
      <c r="AN786" s="68"/>
    </row>
    <row r="787" spans="1:40" ht="16" x14ac:dyDescent="0.2">
      <c r="A787" s="2" t="s">
        <v>2542</v>
      </c>
      <c r="B787" s="46">
        <v>786</v>
      </c>
      <c r="C787" s="2" t="b">
        <v>0</v>
      </c>
      <c r="D787" s="2" t="b">
        <v>0</v>
      </c>
      <c r="E787" s="2" t="b">
        <v>0</v>
      </c>
      <c r="F787" s="2" t="b">
        <v>0</v>
      </c>
      <c r="G787" s="2" t="s">
        <v>31</v>
      </c>
      <c r="H787" s="2" t="s">
        <v>2543</v>
      </c>
      <c r="I787" s="2" t="s">
        <v>2544</v>
      </c>
      <c r="J787" s="2" t="s">
        <v>2545</v>
      </c>
      <c r="K787" s="2" t="s">
        <v>35</v>
      </c>
      <c r="L787" s="2" t="s">
        <v>35</v>
      </c>
      <c r="M787" s="2" t="s">
        <v>35</v>
      </c>
      <c r="N787" s="2" t="s">
        <v>35</v>
      </c>
      <c r="O787" s="11">
        <v>44753.478768472225</v>
      </c>
      <c r="P787" s="11">
        <v>44753.478985937501</v>
      </c>
      <c r="Q787" s="27">
        <f t="shared" si="36"/>
        <v>2.1746527636423707E-4</v>
      </c>
      <c r="R787" s="65">
        <f t="shared" si="38"/>
        <v>6.7652777943294495E-4</v>
      </c>
      <c r="S787" s="2">
        <v>0</v>
      </c>
      <c r="T787" s="2" t="s">
        <v>36</v>
      </c>
      <c r="U787" s="2" t="s">
        <v>37</v>
      </c>
      <c r="V787" s="2" t="s">
        <v>38</v>
      </c>
      <c r="W787" s="2" t="s">
        <v>35</v>
      </c>
      <c r="X787" s="2" t="s">
        <v>35</v>
      </c>
      <c r="Y787" s="2" t="s">
        <v>35</v>
      </c>
      <c r="Z787" s="2" t="b">
        <v>0</v>
      </c>
      <c r="AA787" s="2" t="s">
        <v>35</v>
      </c>
      <c r="AB787" s="2" t="s">
        <v>35</v>
      </c>
      <c r="AC787" s="2">
        <v>4</v>
      </c>
      <c r="AD787" s="2" t="s">
        <v>35</v>
      </c>
      <c r="AE787" s="2" t="s">
        <v>2406</v>
      </c>
      <c r="AF787" s="11">
        <v>44753.409722164353</v>
      </c>
      <c r="AG787" s="53"/>
      <c r="AH787" s="53" t="b">
        <f t="shared" si="37"/>
        <v>0</v>
      </c>
      <c r="AI787" s="54" t="str" cm="1">
        <f t="array" ref="AI787">TRANSPOSE(_xlfn._xlws.FILTER(images!L:L,images!F:F=Barrierenmessung!A787, ""))</f>
        <v>https://captureandgo.cloudlab.zhaw.ch/uploads/image_d606293a41.jpg</v>
      </c>
      <c r="AJ787" s="2"/>
      <c r="AK787" s="2"/>
      <c r="AL787" s="2"/>
      <c r="AM787" s="2"/>
      <c r="AN787" s="2"/>
    </row>
    <row r="788" spans="1:40" ht="16" x14ac:dyDescent="0.2">
      <c r="A788" s="2" t="s">
        <v>2546</v>
      </c>
      <c r="B788" s="46">
        <v>787</v>
      </c>
      <c r="C788" s="2" t="b">
        <v>0</v>
      </c>
      <c r="D788" s="2" t="b">
        <v>0</v>
      </c>
      <c r="E788" s="2" t="b">
        <v>0</v>
      </c>
      <c r="F788" s="2" t="b">
        <v>0</v>
      </c>
      <c r="G788" s="2" t="s">
        <v>31</v>
      </c>
      <c r="H788" s="2" t="s">
        <v>2547</v>
      </c>
      <c r="I788" s="2" t="s">
        <v>2548</v>
      </c>
      <c r="J788" s="2" t="s">
        <v>35</v>
      </c>
      <c r="K788" s="2" t="s">
        <v>35</v>
      </c>
      <c r="L788" s="2" t="s">
        <v>35</v>
      </c>
      <c r="M788" s="2">
        <v>7</v>
      </c>
      <c r="N788" s="2">
        <v>15</v>
      </c>
      <c r="O788" s="11">
        <v>44753.479567997689</v>
      </c>
      <c r="P788" s="11">
        <v>44753.479842025466</v>
      </c>
      <c r="Q788" s="27">
        <f t="shared" si="36"/>
        <v>2.7402777777751908E-4</v>
      </c>
      <c r="R788" s="65">
        <f t="shared" si="38"/>
        <v>8.5608796507585794E-4</v>
      </c>
      <c r="S788" s="2">
        <v>0</v>
      </c>
      <c r="T788" s="2" t="s">
        <v>54</v>
      </c>
      <c r="U788" s="2" t="s">
        <v>55</v>
      </c>
      <c r="V788" s="2" t="s">
        <v>38</v>
      </c>
      <c r="W788" s="2" t="s">
        <v>35</v>
      </c>
      <c r="X788" s="2" t="s">
        <v>35</v>
      </c>
      <c r="Y788" s="2" t="s">
        <v>35</v>
      </c>
      <c r="Z788" s="2" t="b">
        <v>0</v>
      </c>
      <c r="AA788" s="2" t="s">
        <v>35</v>
      </c>
      <c r="AB788" s="2" t="s">
        <v>35</v>
      </c>
      <c r="AC788" s="2" t="s">
        <v>35</v>
      </c>
      <c r="AD788" s="2" t="s">
        <v>35</v>
      </c>
      <c r="AE788" s="2" t="s">
        <v>2406</v>
      </c>
      <c r="AF788" s="11">
        <v>44753.409722164353</v>
      </c>
      <c r="AG788" s="53"/>
      <c r="AH788" s="53" t="b">
        <f t="shared" si="37"/>
        <v>0</v>
      </c>
      <c r="AI788" s="54" t="str" cm="1">
        <f t="array" ref="AI788">TRANSPOSE(_xlfn._xlws.FILTER(images!L:L,images!F:F=Barrierenmessung!A788, ""))</f>
        <v>https://captureandgo.cloudlab.zhaw.ch/uploads/image_2db820d888.jpg</v>
      </c>
      <c r="AJ788" s="2"/>
      <c r="AK788" s="2"/>
      <c r="AL788" s="2"/>
      <c r="AM788" s="2"/>
      <c r="AN788" s="2"/>
    </row>
    <row r="789" spans="1:40" ht="16" x14ac:dyDescent="0.2">
      <c r="A789" s="2" t="s">
        <v>2549</v>
      </c>
      <c r="B789" s="46">
        <v>788</v>
      </c>
      <c r="C789" s="2" t="b">
        <v>0</v>
      </c>
      <c r="D789" s="2" t="b">
        <v>0</v>
      </c>
      <c r="E789" s="2" t="b">
        <v>0</v>
      </c>
      <c r="F789" s="2" t="b">
        <v>0</v>
      </c>
      <c r="G789" s="2" t="s">
        <v>31</v>
      </c>
      <c r="H789" s="2" t="s">
        <v>2550</v>
      </c>
      <c r="I789" s="2" t="s">
        <v>2551</v>
      </c>
      <c r="J789" s="2" t="s">
        <v>35</v>
      </c>
      <c r="K789" s="2" t="s">
        <v>35</v>
      </c>
      <c r="L789" s="2" t="s">
        <v>35</v>
      </c>
      <c r="M789" s="2">
        <v>7</v>
      </c>
      <c r="N789" s="2">
        <v>14</v>
      </c>
      <c r="O789" s="11">
        <v>44753.479894606484</v>
      </c>
      <c r="P789" s="11">
        <v>44753.480094236111</v>
      </c>
      <c r="Q789" s="27">
        <f t="shared" si="36"/>
        <v>1.9962962687714025E-4</v>
      </c>
      <c r="R789" s="65">
        <f t="shared" si="38"/>
        <v>2.5221064424840733E-4</v>
      </c>
      <c r="S789" s="2">
        <v>0</v>
      </c>
      <c r="T789" s="2" t="s">
        <v>54</v>
      </c>
      <c r="U789" s="2" t="s">
        <v>55</v>
      </c>
      <c r="V789" s="2" t="s">
        <v>38</v>
      </c>
      <c r="W789" s="2" t="s">
        <v>35</v>
      </c>
      <c r="X789" s="2" t="s">
        <v>35</v>
      </c>
      <c r="Y789" s="2" t="s">
        <v>35</v>
      </c>
      <c r="Z789" s="2" t="b">
        <v>0</v>
      </c>
      <c r="AA789" s="2" t="s">
        <v>35</v>
      </c>
      <c r="AB789" s="2" t="s">
        <v>35</v>
      </c>
      <c r="AC789" s="2" t="s">
        <v>35</v>
      </c>
      <c r="AD789" s="2" t="s">
        <v>35</v>
      </c>
      <c r="AE789" s="2" t="s">
        <v>2406</v>
      </c>
      <c r="AF789" s="11">
        <v>44753.409722164353</v>
      </c>
      <c r="AG789" s="53"/>
      <c r="AH789" s="53" t="b">
        <f t="shared" si="37"/>
        <v>0</v>
      </c>
      <c r="AI789" s="54" t="str" cm="1">
        <f t="array" ref="AI789">TRANSPOSE(_xlfn._xlws.FILTER(images!L:L,images!F:F=Barrierenmessung!A789, ""))</f>
        <v>https://captureandgo.cloudlab.zhaw.ch/uploads/image_6805e1f7c3.jpg</v>
      </c>
      <c r="AJ789" s="2"/>
      <c r="AK789" s="2"/>
      <c r="AL789" s="2"/>
      <c r="AM789" s="2"/>
      <c r="AN789" s="2"/>
    </row>
    <row r="790" spans="1:40" ht="16" x14ac:dyDescent="0.2">
      <c r="A790" s="2" t="s">
        <v>2552</v>
      </c>
      <c r="B790" s="46">
        <v>789</v>
      </c>
      <c r="C790" s="2" t="b">
        <v>0</v>
      </c>
      <c r="D790" s="2" t="b">
        <v>0</v>
      </c>
      <c r="E790" s="2" t="b">
        <v>0</v>
      </c>
      <c r="F790" s="2" t="b">
        <v>0</v>
      </c>
      <c r="G790" s="2" t="s">
        <v>31</v>
      </c>
      <c r="H790" s="2" t="s">
        <v>2553</v>
      </c>
      <c r="I790" s="2" t="s">
        <v>2554</v>
      </c>
      <c r="J790" s="2" t="s">
        <v>35</v>
      </c>
      <c r="K790" s="2" t="s">
        <v>35</v>
      </c>
      <c r="L790" s="2" t="s">
        <v>35</v>
      </c>
      <c r="M790" s="2">
        <v>7</v>
      </c>
      <c r="N790" s="2">
        <v>14</v>
      </c>
      <c r="O790" s="11">
        <v>44753.480512615744</v>
      </c>
      <c r="P790" s="11">
        <v>44753.480623321761</v>
      </c>
      <c r="Q790" s="27">
        <f t="shared" si="36"/>
        <v>1.1070601613027975E-4</v>
      </c>
      <c r="R790" s="65">
        <f t="shared" si="38"/>
        <v>5.2908564975950867E-4</v>
      </c>
      <c r="S790" s="2">
        <v>0</v>
      </c>
      <c r="T790" s="2" t="s">
        <v>54</v>
      </c>
      <c r="U790" s="2" t="s">
        <v>55</v>
      </c>
      <c r="V790" s="2" t="s">
        <v>38</v>
      </c>
      <c r="W790" s="2" t="s">
        <v>35</v>
      </c>
      <c r="X790" s="2" t="s">
        <v>35</v>
      </c>
      <c r="Y790" s="2" t="s">
        <v>35</v>
      </c>
      <c r="Z790" s="2" t="b">
        <v>0</v>
      </c>
      <c r="AA790" s="2" t="s">
        <v>35</v>
      </c>
      <c r="AB790" s="2" t="s">
        <v>35</v>
      </c>
      <c r="AC790" s="2" t="s">
        <v>35</v>
      </c>
      <c r="AD790" s="2" t="s">
        <v>35</v>
      </c>
      <c r="AE790" s="2" t="s">
        <v>2406</v>
      </c>
      <c r="AF790" s="11">
        <v>44753.409722164353</v>
      </c>
      <c r="AG790" s="53"/>
      <c r="AH790" s="53" t="b">
        <f t="shared" si="37"/>
        <v>0</v>
      </c>
      <c r="AI790" s="54" t="str" cm="1">
        <f t="array" ref="AI790">TRANSPOSE(_xlfn._xlws.FILTER(images!L:L,images!F:F=Barrierenmessung!A790, ""))</f>
        <v>https://captureandgo.cloudlab.zhaw.ch/uploads/image_552d55933e.jpg</v>
      </c>
      <c r="AJ790" s="2"/>
      <c r="AK790" s="2"/>
      <c r="AL790" s="2"/>
      <c r="AM790" s="2"/>
      <c r="AN790" s="2"/>
    </row>
    <row r="791" spans="1:40" ht="16" x14ac:dyDescent="0.2">
      <c r="A791" s="2" t="s">
        <v>2555</v>
      </c>
      <c r="B791" s="46">
        <v>790</v>
      </c>
      <c r="C791" s="2" t="b">
        <v>0</v>
      </c>
      <c r="D791" s="2" t="b">
        <v>0</v>
      </c>
      <c r="E791" s="2" t="b">
        <v>0</v>
      </c>
      <c r="F791" s="2" t="b">
        <v>0</v>
      </c>
      <c r="G791" s="2" t="s">
        <v>31</v>
      </c>
      <c r="H791" s="2" t="s">
        <v>2556</v>
      </c>
      <c r="I791" s="2" t="s">
        <v>2557</v>
      </c>
      <c r="J791" s="2" t="s">
        <v>35</v>
      </c>
      <c r="K791" s="2" t="s">
        <v>35</v>
      </c>
      <c r="L791" s="2" t="s">
        <v>35</v>
      </c>
      <c r="M791" s="2">
        <v>7</v>
      </c>
      <c r="N791" s="2">
        <v>14</v>
      </c>
      <c r="O791" s="11">
        <v>44753.480659108798</v>
      </c>
      <c r="P791" s="11">
        <v>44753.480802303238</v>
      </c>
      <c r="Q791" s="27">
        <f t="shared" si="36"/>
        <v>1.4319444017019123E-4</v>
      </c>
      <c r="R791" s="65">
        <f t="shared" si="38"/>
        <v>1.7898147780215368E-4</v>
      </c>
      <c r="S791" s="2">
        <v>0</v>
      </c>
      <c r="T791" s="2" t="s">
        <v>54</v>
      </c>
      <c r="U791" s="2" t="s">
        <v>55</v>
      </c>
      <c r="V791" s="2" t="s">
        <v>38</v>
      </c>
      <c r="W791" s="2" t="s">
        <v>35</v>
      </c>
      <c r="X791" s="2" t="s">
        <v>35</v>
      </c>
      <c r="Y791" s="2" t="s">
        <v>35</v>
      </c>
      <c r="Z791" s="2" t="b">
        <v>0</v>
      </c>
      <c r="AA791" s="2" t="s">
        <v>35</v>
      </c>
      <c r="AB791" s="2" t="s">
        <v>35</v>
      </c>
      <c r="AC791" s="2" t="s">
        <v>35</v>
      </c>
      <c r="AD791" s="2" t="s">
        <v>35</v>
      </c>
      <c r="AE791" s="2" t="s">
        <v>2406</v>
      </c>
      <c r="AF791" s="11">
        <v>44753.409722164353</v>
      </c>
      <c r="AG791" s="53"/>
      <c r="AH791" s="53" t="b">
        <f t="shared" si="37"/>
        <v>0</v>
      </c>
      <c r="AI791" s="54" t="str" cm="1">
        <f t="array" ref="AI791">TRANSPOSE(_xlfn._xlws.FILTER(images!L:L,images!F:F=Barrierenmessung!A791, ""))</f>
        <v>https://captureandgo.cloudlab.zhaw.ch/uploads/image_4cc4432a33.jpg</v>
      </c>
      <c r="AJ791" s="2"/>
      <c r="AK791" s="2"/>
      <c r="AL791" s="2"/>
      <c r="AM791" s="2"/>
      <c r="AN791" s="2"/>
    </row>
    <row r="792" spans="1:40" ht="16" x14ac:dyDescent="0.2">
      <c r="A792" s="2" t="s">
        <v>2558</v>
      </c>
      <c r="B792" s="46">
        <v>791</v>
      </c>
      <c r="C792" s="2" t="b">
        <v>0</v>
      </c>
      <c r="D792" s="2" t="b">
        <v>0</v>
      </c>
      <c r="E792" s="2" t="b">
        <v>0</v>
      </c>
      <c r="F792" s="2" t="b">
        <v>0</v>
      </c>
      <c r="G792" s="2" t="s">
        <v>31</v>
      </c>
      <c r="H792" s="2" t="s">
        <v>2559</v>
      </c>
      <c r="I792" s="2" t="s">
        <v>2560</v>
      </c>
      <c r="J792" s="2" t="s">
        <v>35</v>
      </c>
      <c r="K792" s="2" t="s">
        <v>35</v>
      </c>
      <c r="L792" s="2" t="s">
        <v>35</v>
      </c>
      <c r="M792" s="2">
        <v>6</v>
      </c>
      <c r="N792" s="2">
        <v>13</v>
      </c>
      <c r="O792" s="11">
        <v>44753.480853321758</v>
      </c>
      <c r="P792" s="11">
        <v>44753.481138750001</v>
      </c>
      <c r="Q792" s="27">
        <f t="shared" si="36"/>
        <v>2.8542824293253943E-4</v>
      </c>
      <c r="R792" s="65">
        <f t="shared" si="38"/>
        <v>3.3644676295807585E-4</v>
      </c>
      <c r="S792" s="2">
        <v>0</v>
      </c>
      <c r="T792" s="2" t="s">
        <v>54</v>
      </c>
      <c r="U792" s="2" t="s">
        <v>55</v>
      </c>
      <c r="V792" s="2" t="s">
        <v>38</v>
      </c>
      <c r="W792" s="2" t="s">
        <v>35</v>
      </c>
      <c r="X792" s="2" t="s">
        <v>35</v>
      </c>
      <c r="Y792" s="2" t="s">
        <v>35</v>
      </c>
      <c r="Z792" s="2" t="b">
        <v>0</v>
      </c>
      <c r="AA792" s="2" t="s">
        <v>35</v>
      </c>
      <c r="AB792" s="2" t="s">
        <v>35</v>
      </c>
      <c r="AC792" s="2" t="s">
        <v>35</v>
      </c>
      <c r="AD792" s="2" t="s">
        <v>35</v>
      </c>
      <c r="AE792" s="2" t="s">
        <v>2406</v>
      </c>
      <c r="AF792" s="11">
        <v>44753.409722164353</v>
      </c>
      <c r="AG792" s="53"/>
      <c r="AH792" s="53" t="b">
        <f t="shared" si="37"/>
        <v>0</v>
      </c>
      <c r="AI792" s="54" t="str" cm="1">
        <f t="array" ref="AI792">TRANSPOSE(_xlfn._xlws.FILTER(images!L:L,images!F:F=Barrierenmessung!A792, ""))</f>
        <v>https://captureandgo.cloudlab.zhaw.ch/uploads/image_300e484c67.jpg</v>
      </c>
      <c r="AJ792" s="2"/>
      <c r="AK792" s="2"/>
      <c r="AL792" s="2"/>
      <c r="AM792" s="2"/>
      <c r="AN792" s="2"/>
    </row>
    <row r="793" spans="1:40" ht="16" x14ac:dyDescent="0.2">
      <c r="A793" s="2" t="s">
        <v>2561</v>
      </c>
      <c r="B793" s="46">
        <v>792</v>
      </c>
      <c r="C793" s="2" t="b">
        <v>0</v>
      </c>
      <c r="D793" s="2" t="b">
        <v>0</v>
      </c>
      <c r="E793" s="2" t="b">
        <v>0</v>
      </c>
      <c r="F793" s="2" t="b">
        <v>0</v>
      </c>
      <c r="G793" s="2" t="s">
        <v>31</v>
      </c>
      <c r="H793" s="2" t="s">
        <v>2562</v>
      </c>
      <c r="I793" s="2" t="s">
        <v>2563</v>
      </c>
      <c r="J793" s="2" t="s">
        <v>2564</v>
      </c>
      <c r="K793" s="2" t="s">
        <v>35</v>
      </c>
      <c r="L793" s="2" t="s">
        <v>35</v>
      </c>
      <c r="M793" s="2">
        <v>3</v>
      </c>
      <c r="N793" s="2">
        <v>13</v>
      </c>
      <c r="O793" s="11">
        <v>44753.48119622685</v>
      </c>
      <c r="P793" s="11">
        <v>44753.481500231479</v>
      </c>
      <c r="Q793" s="27">
        <f t="shared" si="36"/>
        <v>3.0400462856050581E-4</v>
      </c>
      <c r="R793" s="65">
        <f t="shared" si="38"/>
        <v>3.614814777392894E-4</v>
      </c>
      <c r="S793" s="2">
        <v>0</v>
      </c>
      <c r="T793" s="2" t="s">
        <v>54</v>
      </c>
      <c r="U793" s="2" t="s">
        <v>55</v>
      </c>
      <c r="V793" s="2" t="s">
        <v>38</v>
      </c>
      <c r="W793" s="2" t="s">
        <v>35</v>
      </c>
      <c r="X793" s="2" t="s">
        <v>35</v>
      </c>
      <c r="Y793" s="2" t="s">
        <v>35</v>
      </c>
      <c r="Z793" s="2" t="b">
        <v>1</v>
      </c>
      <c r="AA793" s="2" t="s">
        <v>35</v>
      </c>
      <c r="AB793" s="2" t="s">
        <v>35</v>
      </c>
      <c r="AC793" s="2" t="s">
        <v>35</v>
      </c>
      <c r="AD793" s="2" t="s">
        <v>35</v>
      </c>
      <c r="AE793" s="2" t="s">
        <v>2406</v>
      </c>
      <c r="AF793" s="11">
        <v>44753.409722164353</v>
      </c>
      <c r="AG793" s="53"/>
      <c r="AH793" s="53" t="b">
        <f t="shared" si="37"/>
        <v>0</v>
      </c>
      <c r="AI793" s="54" t="str" cm="1">
        <f t="array" ref="AI793">TRANSPOSE(_xlfn._xlws.FILTER(images!L:L,images!F:F=Barrierenmessung!A793, ""))</f>
        <v>https://captureandgo.cloudlab.zhaw.ch/uploads/image_da0a625696.jpg</v>
      </c>
      <c r="AJ793" s="2"/>
      <c r="AK793" s="2"/>
      <c r="AL793" s="2"/>
      <c r="AM793" s="2"/>
      <c r="AN793" s="2"/>
    </row>
    <row r="794" spans="1:40" ht="16" x14ac:dyDescent="0.2">
      <c r="A794" s="2" t="s">
        <v>2565</v>
      </c>
      <c r="B794" s="46">
        <v>793</v>
      </c>
      <c r="C794" s="2" t="b">
        <v>0</v>
      </c>
      <c r="D794" s="2" t="b">
        <v>0</v>
      </c>
      <c r="E794" s="2" t="b">
        <v>0</v>
      </c>
      <c r="F794" s="2" t="b">
        <v>0</v>
      </c>
      <c r="G794" s="2" t="s">
        <v>31</v>
      </c>
      <c r="H794" s="2" t="s">
        <v>2566</v>
      </c>
      <c r="I794" s="2" t="s">
        <v>2567</v>
      </c>
      <c r="J794" s="2" t="s">
        <v>35</v>
      </c>
      <c r="K794" s="2" t="s">
        <v>35</v>
      </c>
      <c r="L794" s="2" t="s">
        <v>35</v>
      </c>
      <c r="M794" s="2">
        <v>14</v>
      </c>
      <c r="N794" s="2">
        <v>15</v>
      </c>
      <c r="O794" s="11">
        <v>44753.482499571757</v>
      </c>
      <c r="P794" s="11">
        <v>44753.482958321758</v>
      </c>
      <c r="Q794" s="27">
        <f t="shared" si="36"/>
        <v>4.5875000068917871E-4</v>
      </c>
      <c r="R794" s="65">
        <f t="shared" si="38"/>
        <v>1.4580902789020911E-3</v>
      </c>
      <c r="S794" s="2">
        <v>0</v>
      </c>
      <c r="T794" s="2" t="s">
        <v>54</v>
      </c>
      <c r="U794" s="2" t="s">
        <v>55</v>
      </c>
      <c r="V794" s="2" t="s">
        <v>38</v>
      </c>
      <c r="W794" s="2" t="s">
        <v>35</v>
      </c>
      <c r="X794" s="2" t="s">
        <v>35</v>
      </c>
      <c r="Y794" s="2" t="s">
        <v>35</v>
      </c>
      <c r="Z794" s="2" t="b">
        <v>0</v>
      </c>
      <c r="AA794" s="2" t="s">
        <v>35</v>
      </c>
      <c r="AB794" s="2" t="s">
        <v>35</v>
      </c>
      <c r="AC794" s="2" t="s">
        <v>35</v>
      </c>
      <c r="AD794" s="2" t="s">
        <v>35</v>
      </c>
      <c r="AE794" s="2" t="s">
        <v>2406</v>
      </c>
      <c r="AF794" s="11">
        <v>44753.409722164353</v>
      </c>
      <c r="AG794" s="53"/>
      <c r="AH794" s="53" t="b">
        <f t="shared" si="37"/>
        <v>0</v>
      </c>
      <c r="AI794" s="54" t="str" cm="1">
        <f t="array" ref="AI794">TRANSPOSE(_xlfn._xlws.FILTER(images!L:L,images!F:F=Barrierenmessung!A794, ""))</f>
        <v>https://captureandgo.cloudlab.zhaw.ch/uploads/image_5f7953f0a4.jpg</v>
      </c>
      <c r="AJ794" s="2"/>
      <c r="AK794" s="2"/>
      <c r="AL794" s="2"/>
      <c r="AM794" s="2"/>
      <c r="AN794" s="2"/>
    </row>
    <row r="795" spans="1:40" ht="16" x14ac:dyDescent="0.2">
      <c r="A795" s="2" t="s">
        <v>2568</v>
      </c>
      <c r="B795" s="46">
        <v>794</v>
      </c>
      <c r="C795" s="2" t="b">
        <v>0</v>
      </c>
      <c r="D795" s="2" t="b">
        <v>0</v>
      </c>
      <c r="E795" s="2" t="b">
        <v>0</v>
      </c>
      <c r="F795" s="2" t="b">
        <v>0</v>
      </c>
      <c r="G795" s="2" t="s">
        <v>31</v>
      </c>
      <c r="H795" s="2" t="s">
        <v>2569</v>
      </c>
      <c r="I795" s="2" t="s">
        <v>2570</v>
      </c>
      <c r="J795" s="2" t="s">
        <v>2571</v>
      </c>
      <c r="K795" s="2" t="s">
        <v>35</v>
      </c>
      <c r="L795" s="2" t="s">
        <v>35</v>
      </c>
      <c r="M795" s="2" t="s">
        <v>35</v>
      </c>
      <c r="N795" s="2" t="s">
        <v>35</v>
      </c>
      <c r="O795" s="11">
        <v>44753.48356872685</v>
      </c>
      <c r="P795" s="11">
        <v>44753.484092870371</v>
      </c>
      <c r="Q795" s="27">
        <f t="shared" si="36"/>
        <v>5.241435210336931E-4</v>
      </c>
      <c r="R795" s="65">
        <f t="shared" si="38"/>
        <v>1.1345486127538607E-3</v>
      </c>
      <c r="S795" s="2">
        <v>0</v>
      </c>
      <c r="T795" s="2" t="s">
        <v>36</v>
      </c>
      <c r="U795" s="2" t="s">
        <v>37</v>
      </c>
      <c r="V795" s="2" t="s">
        <v>38</v>
      </c>
      <c r="W795" s="2" t="s">
        <v>35</v>
      </c>
      <c r="X795" s="2" t="s">
        <v>35</v>
      </c>
      <c r="Y795" s="2" t="s">
        <v>35</v>
      </c>
      <c r="Z795" s="2" t="b">
        <v>0</v>
      </c>
      <c r="AA795" s="2" t="s">
        <v>35</v>
      </c>
      <c r="AB795" s="2" t="s">
        <v>35</v>
      </c>
      <c r="AC795" s="2">
        <v>5</v>
      </c>
      <c r="AD795" s="2" t="s">
        <v>35</v>
      </c>
      <c r="AE795" s="2" t="s">
        <v>2406</v>
      </c>
      <c r="AF795" s="11">
        <v>44753.409722164353</v>
      </c>
      <c r="AG795" s="53"/>
      <c r="AH795" s="53" t="b">
        <f t="shared" si="37"/>
        <v>0</v>
      </c>
      <c r="AI795" s="54" t="str" cm="1">
        <f t="array" ref="AI795">TRANSPOSE(_xlfn._xlws.FILTER(images!L:L,images!F:F=Barrierenmessung!A795, ""))</f>
        <v>https://captureandgo.cloudlab.zhaw.ch/uploads/image_0c1a64ccbb.jpg</v>
      </c>
      <c r="AJ795" s="2"/>
      <c r="AK795" s="2"/>
      <c r="AL795" s="2"/>
      <c r="AM795" s="2"/>
      <c r="AN795" s="2"/>
    </row>
    <row r="796" spans="1:40" ht="16" x14ac:dyDescent="0.2">
      <c r="A796" s="2" t="s">
        <v>2572</v>
      </c>
      <c r="B796" s="46">
        <v>795</v>
      </c>
      <c r="C796" s="2" t="b">
        <v>0</v>
      </c>
      <c r="D796" s="2" t="b">
        <v>0</v>
      </c>
      <c r="E796" s="2" t="b">
        <v>0</v>
      </c>
      <c r="F796" s="2" t="b">
        <v>0</v>
      </c>
      <c r="G796" s="2" t="s">
        <v>31</v>
      </c>
      <c r="H796" s="2" t="s">
        <v>2573</v>
      </c>
      <c r="I796" s="2" t="s">
        <v>2574</v>
      </c>
      <c r="J796" s="2" t="s">
        <v>675</v>
      </c>
      <c r="K796" s="2" t="s">
        <v>35</v>
      </c>
      <c r="L796" s="2" t="s">
        <v>35</v>
      </c>
      <c r="M796" s="2" t="s">
        <v>35</v>
      </c>
      <c r="N796" s="2" t="s">
        <v>35</v>
      </c>
      <c r="O796" s="11">
        <v>44753.484712627316</v>
      </c>
      <c r="P796" s="11">
        <v>44753.48566337963</v>
      </c>
      <c r="Q796" s="27">
        <f t="shared" si="36"/>
        <v>9.5075231365626678E-4</v>
      </c>
      <c r="R796" s="65">
        <f t="shared" si="38"/>
        <v>1.5705092591815628E-3</v>
      </c>
      <c r="S796" s="2">
        <v>0</v>
      </c>
      <c r="T796" s="2" t="s">
        <v>124</v>
      </c>
      <c r="U796" s="2" t="s">
        <v>125</v>
      </c>
      <c r="V796" s="2" t="s">
        <v>38</v>
      </c>
      <c r="W796" s="2" t="s">
        <v>35</v>
      </c>
      <c r="X796" s="2" t="s">
        <v>35</v>
      </c>
      <c r="Y796" s="2" t="s">
        <v>35</v>
      </c>
      <c r="Z796" s="2" t="b">
        <v>0</v>
      </c>
      <c r="AA796" s="2" t="s">
        <v>35</v>
      </c>
      <c r="AB796" s="2">
        <v>4</v>
      </c>
      <c r="AC796" s="2" t="s">
        <v>35</v>
      </c>
      <c r="AD796" s="2" t="s">
        <v>35</v>
      </c>
      <c r="AE796" s="2" t="s">
        <v>2406</v>
      </c>
      <c r="AF796" s="11">
        <v>44753.409722164353</v>
      </c>
      <c r="AG796" s="53"/>
      <c r="AH796" s="53" t="b">
        <f t="shared" si="37"/>
        <v>0</v>
      </c>
      <c r="AI796" s="54" t="str" cm="1">
        <f t="array" ref="AI796">TRANSPOSE(_xlfn._xlws.FILTER(images!L:L,images!F:F=Barrierenmessung!A796, ""))</f>
        <v>https://captureandgo.cloudlab.zhaw.ch/uploads/image_c5b7473f92.jpg</v>
      </c>
      <c r="AJ796" s="2"/>
      <c r="AK796" s="2"/>
      <c r="AL796" s="2"/>
      <c r="AM796" s="2"/>
      <c r="AN796" s="2"/>
    </row>
    <row r="797" spans="1:40" ht="16" x14ac:dyDescent="0.2">
      <c r="A797" s="2" t="s">
        <v>2575</v>
      </c>
      <c r="B797" s="46">
        <v>796</v>
      </c>
      <c r="C797" s="2" t="b">
        <v>0</v>
      </c>
      <c r="D797" s="2" t="b">
        <v>0</v>
      </c>
      <c r="E797" s="2" t="b">
        <v>0</v>
      </c>
      <c r="F797" s="2" t="b">
        <v>0</v>
      </c>
      <c r="G797" s="2" t="s">
        <v>31</v>
      </c>
      <c r="H797" s="2" t="s">
        <v>2576</v>
      </c>
      <c r="I797" s="2" t="s">
        <v>2577</v>
      </c>
      <c r="J797" s="2" t="s">
        <v>35</v>
      </c>
      <c r="K797" s="2" t="s">
        <v>35</v>
      </c>
      <c r="L797" s="2" t="s">
        <v>35</v>
      </c>
      <c r="M797" s="2" t="s">
        <v>35</v>
      </c>
      <c r="N797" s="2" t="s">
        <v>35</v>
      </c>
      <c r="O797" s="11">
        <v>44753.486021064811</v>
      </c>
      <c r="P797" s="11">
        <v>44753.486604571757</v>
      </c>
      <c r="Q797" s="27">
        <f t="shared" si="36"/>
        <v>5.8350694598630071E-4</v>
      </c>
      <c r="R797" s="65">
        <f t="shared" si="38"/>
        <v>9.4119212735677138E-4</v>
      </c>
      <c r="S797" s="2">
        <v>0</v>
      </c>
      <c r="T797" s="2" t="s">
        <v>36</v>
      </c>
      <c r="U797" s="2" t="s">
        <v>37</v>
      </c>
      <c r="V797" s="2" t="s">
        <v>38</v>
      </c>
      <c r="W797" s="2" t="s">
        <v>35</v>
      </c>
      <c r="X797" s="2" t="s">
        <v>35</v>
      </c>
      <c r="Y797" s="2" t="s">
        <v>35</v>
      </c>
      <c r="Z797" s="2" t="b">
        <v>0</v>
      </c>
      <c r="AA797" s="2" t="s">
        <v>35</v>
      </c>
      <c r="AB797" s="2" t="s">
        <v>35</v>
      </c>
      <c r="AC797" s="2" t="s">
        <v>35</v>
      </c>
      <c r="AD797" s="2">
        <v>2</v>
      </c>
      <c r="AE797" s="2" t="s">
        <v>2406</v>
      </c>
      <c r="AF797" s="11">
        <v>44753.409722164353</v>
      </c>
      <c r="AG797" s="53"/>
      <c r="AH797" s="53" t="b">
        <f t="shared" si="37"/>
        <v>0</v>
      </c>
      <c r="AI797" s="54" t="str" cm="1">
        <f t="array" ref="AI797">TRANSPOSE(_xlfn._xlws.FILTER(images!L:L,images!F:F=Barrierenmessung!A797, ""))</f>
        <v>https://captureandgo.cloudlab.zhaw.ch/uploads/image_5bd7ff22ab.jpg</v>
      </c>
      <c r="AJ797" s="2"/>
      <c r="AK797" s="2"/>
      <c r="AL797" s="2"/>
      <c r="AM797" s="2"/>
      <c r="AN797" s="2"/>
    </row>
    <row r="798" spans="1:40" ht="16" x14ac:dyDescent="0.2">
      <c r="A798" s="2" t="s">
        <v>2578</v>
      </c>
      <c r="B798" s="46">
        <v>797</v>
      </c>
      <c r="C798" s="2" t="b">
        <v>0</v>
      </c>
      <c r="D798" s="2" t="b">
        <v>0</v>
      </c>
      <c r="E798" s="2" t="b">
        <v>0</v>
      </c>
      <c r="F798" s="2" t="b">
        <v>0</v>
      </c>
      <c r="G798" s="2" t="s">
        <v>31</v>
      </c>
      <c r="H798" s="2" t="s">
        <v>2579</v>
      </c>
      <c r="I798" s="2" t="s">
        <v>2580</v>
      </c>
      <c r="J798" s="2" t="s">
        <v>35</v>
      </c>
      <c r="K798" s="2" t="s">
        <v>35</v>
      </c>
      <c r="L798" s="2" t="s">
        <v>35</v>
      </c>
      <c r="M798" s="2" t="s">
        <v>35</v>
      </c>
      <c r="N798" s="2" t="s">
        <v>35</v>
      </c>
      <c r="O798" s="11">
        <v>44753.487937349535</v>
      </c>
      <c r="P798" s="11">
        <v>44753.488110590275</v>
      </c>
      <c r="Q798" s="27">
        <f t="shared" si="36"/>
        <v>1.7324073996860534E-4</v>
      </c>
      <c r="R798" s="65">
        <f t="shared" si="38"/>
        <v>1.5060185178299434E-3</v>
      </c>
      <c r="S798" s="2">
        <v>0</v>
      </c>
      <c r="T798" s="2" t="s">
        <v>36</v>
      </c>
      <c r="U798" s="2" t="s">
        <v>37</v>
      </c>
      <c r="V798" s="2" t="s">
        <v>38</v>
      </c>
      <c r="W798" s="2" t="s">
        <v>35</v>
      </c>
      <c r="X798" s="2" t="s">
        <v>35</v>
      </c>
      <c r="Y798" s="2" t="s">
        <v>35</v>
      </c>
      <c r="Z798" s="2" t="b">
        <v>0</v>
      </c>
      <c r="AA798" s="2" t="s">
        <v>35</v>
      </c>
      <c r="AB798" s="2" t="s">
        <v>35</v>
      </c>
      <c r="AC798" s="2" t="s">
        <v>35</v>
      </c>
      <c r="AD798" s="2">
        <v>2</v>
      </c>
      <c r="AE798" s="2" t="s">
        <v>2406</v>
      </c>
      <c r="AF798" s="11">
        <v>44753.409722164353</v>
      </c>
      <c r="AG798" s="53"/>
      <c r="AH798" s="53" t="b">
        <f t="shared" si="37"/>
        <v>0</v>
      </c>
      <c r="AI798" s="54" t="str" cm="1">
        <f t="array" ref="AI798">TRANSPOSE(_xlfn._xlws.FILTER(images!L:L,images!F:F=Barrierenmessung!A798, ""))</f>
        <v>https://captureandgo.cloudlab.zhaw.ch/uploads/image_ecf0ce945b.jpg</v>
      </c>
      <c r="AJ798" s="2"/>
      <c r="AK798" s="2"/>
      <c r="AL798" s="2"/>
      <c r="AM798" s="2"/>
      <c r="AN798" s="2"/>
    </row>
    <row r="799" spans="1:40" ht="16" x14ac:dyDescent="0.2">
      <c r="A799" s="2" t="s">
        <v>2581</v>
      </c>
      <c r="B799" s="46">
        <v>798</v>
      </c>
      <c r="C799" s="2" t="b">
        <v>0</v>
      </c>
      <c r="D799" s="2" t="b">
        <v>0</v>
      </c>
      <c r="E799" s="2" t="b">
        <v>0</v>
      </c>
      <c r="F799" s="2" t="b">
        <v>0</v>
      </c>
      <c r="G799" s="2" t="s">
        <v>31</v>
      </c>
      <c r="H799" s="2" t="s">
        <v>2582</v>
      </c>
      <c r="I799" s="2" t="s">
        <v>2583</v>
      </c>
      <c r="J799" s="2" t="s">
        <v>35</v>
      </c>
      <c r="K799" s="2" t="s">
        <v>35</v>
      </c>
      <c r="L799" s="2" t="s">
        <v>35</v>
      </c>
      <c r="M799" s="2" t="s">
        <v>35</v>
      </c>
      <c r="N799" s="2" t="s">
        <v>35</v>
      </c>
      <c r="O799" s="11">
        <v>44753.489563356481</v>
      </c>
      <c r="P799" s="11">
        <v>44753.489736620373</v>
      </c>
      <c r="Q799" s="27">
        <f t="shared" si="36"/>
        <v>1.7326389206573367E-4</v>
      </c>
      <c r="R799" s="65">
        <f t="shared" si="38"/>
        <v>1.6260300981230102E-3</v>
      </c>
      <c r="S799" s="2">
        <v>0</v>
      </c>
      <c r="T799" s="2" t="s">
        <v>36</v>
      </c>
      <c r="U799" s="2" t="s">
        <v>37</v>
      </c>
      <c r="V799" s="2" t="s">
        <v>38</v>
      </c>
      <c r="W799" s="2" t="s">
        <v>35</v>
      </c>
      <c r="X799" s="2" t="s">
        <v>35</v>
      </c>
      <c r="Y799" s="2" t="s">
        <v>35</v>
      </c>
      <c r="Z799" s="2" t="b">
        <v>0</v>
      </c>
      <c r="AA799" s="2" t="s">
        <v>35</v>
      </c>
      <c r="AB799" s="2" t="s">
        <v>35</v>
      </c>
      <c r="AC799" s="2" t="s">
        <v>35</v>
      </c>
      <c r="AD799" s="2">
        <v>4</v>
      </c>
      <c r="AE799" s="2" t="s">
        <v>2406</v>
      </c>
      <c r="AF799" s="11">
        <v>44753.409722164353</v>
      </c>
      <c r="AG799" s="53"/>
      <c r="AH799" s="53" t="b">
        <f t="shared" si="37"/>
        <v>0</v>
      </c>
      <c r="AI799" s="54" t="str" cm="1">
        <f t="array" ref="AI799">TRANSPOSE(_xlfn._xlws.FILTER(images!L:L,images!F:F=Barrierenmessung!A799, ""))</f>
        <v>https://captureandgo.cloudlab.zhaw.ch/uploads/image_b879d427fe.jpg</v>
      </c>
      <c r="AJ799" s="2"/>
      <c r="AK799" s="2"/>
      <c r="AL799" s="2"/>
      <c r="AM799" s="2"/>
      <c r="AN799" s="2"/>
    </row>
    <row r="800" spans="1:40" ht="16" x14ac:dyDescent="0.2">
      <c r="A800" s="2" t="s">
        <v>2584</v>
      </c>
      <c r="B800" s="46">
        <v>799</v>
      </c>
      <c r="C800" s="2" t="b">
        <v>0</v>
      </c>
      <c r="D800" s="2" t="b">
        <v>0</v>
      </c>
      <c r="E800" s="2" t="b">
        <v>0</v>
      </c>
      <c r="F800" s="2" t="b">
        <v>0</v>
      </c>
      <c r="G800" s="2" t="s">
        <v>31</v>
      </c>
      <c r="H800" s="2" t="s">
        <v>2585</v>
      </c>
      <c r="I800" s="2" t="s">
        <v>2586</v>
      </c>
      <c r="J800" s="2" t="s">
        <v>35</v>
      </c>
      <c r="K800" s="2" t="s">
        <v>35</v>
      </c>
      <c r="L800" s="2" t="s">
        <v>35</v>
      </c>
      <c r="M800" s="2" t="s">
        <v>35</v>
      </c>
      <c r="N800" s="2" t="s">
        <v>35</v>
      </c>
      <c r="O800" s="11">
        <v>44753.495011851854</v>
      </c>
      <c r="P800" s="11">
        <v>44753.495194710646</v>
      </c>
      <c r="Q800" s="27">
        <f t="shared" si="36"/>
        <v>1.8285879195900634E-4</v>
      </c>
      <c r="R800" s="65">
        <f t="shared" si="38"/>
        <v>5.4580902724410407E-3</v>
      </c>
      <c r="S800" s="2">
        <v>0</v>
      </c>
      <c r="T800" s="2" t="s">
        <v>36</v>
      </c>
      <c r="U800" s="2" t="s">
        <v>37</v>
      </c>
      <c r="V800" s="2" t="s">
        <v>38</v>
      </c>
      <c r="W800" s="2" t="s">
        <v>35</v>
      </c>
      <c r="X800" s="2" t="s">
        <v>35</v>
      </c>
      <c r="Y800" s="2" t="s">
        <v>35</v>
      </c>
      <c r="Z800" s="2" t="b">
        <v>0</v>
      </c>
      <c r="AA800" s="2" t="s">
        <v>35</v>
      </c>
      <c r="AB800" s="2" t="s">
        <v>35</v>
      </c>
      <c r="AC800" s="2" t="s">
        <v>35</v>
      </c>
      <c r="AD800" s="2">
        <v>4</v>
      </c>
      <c r="AE800" s="2" t="s">
        <v>2406</v>
      </c>
      <c r="AF800" s="11">
        <v>44753.409722164353</v>
      </c>
      <c r="AG800" s="53"/>
      <c r="AH800" s="53" t="b">
        <f t="shared" si="37"/>
        <v>0</v>
      </c>
      <c r="AI800" s="54" t="str" cm="1">
        <f t="array" ref="AI800">TRANSPOSE(_xlfn._xlws.FILTER(images!L:L,images!F:F=Barrierenmessung!A800, ""))</f>
        <v>https://captureandgo.cloudlab.zhaw.ch/uploads/image_690bbaae1c.jpg</v>
      </c>
      <c r="AJ800" s="2"/>
      <c r="AK800" s="2"/>
      <c r="AL800" s="2"/>
      <c r="AM800" s="2"/>
      <c r="AN800" s="2"/>
    </row>
    <row r="801" spans="1:40" ht="16" x14ac:dyDescent="0.2">
      <c r="A801" s="2" t="s">
        <v>2587</v>
      </c>
      <c r="B801" s="46">
        <v>800</v>
      </c>
      <c r="C801" s="2" t="b">
        <v>0</v>
      </c>
      <c r="D801" s="2" t="b">
        <v>0</v>
      </c>
      <c r="E801" s="2" t="b">
        <v>0</v>
      </c>
      <c r="F801" s="2" t="b">
        <v>0</v>
      </c>
      <c r="G801" s="2" t="s">
        <v>31</v>
      </c>
      <c r="H801" s="2" t="s">
        <v>2588</v>
      </c>
      <c r="I801" s="2" t="s">
        <v>2589</v>
      </c>
      <c r="J801" s="2" t="s">
        <v>35</v>
      </c>
      <c r="K801" s="2" t="s">
        <v>35</v>
      </c>
      <c r="L801" s="2" t="s">
        <v>35</v>
      </c>
      <c r="M801" s="2" t="s">
        <v>35</v>
      </c>
      <c r="N801" s="2" t="s">
        <v>35</v>
      </c>
      <c r="O801" s="11">
        <v>44753.49653178241</v>
      </c>
      <c r="P801" s="11">
        <v>44753.496631030095</v>
      </c>
      <c r="Q801" s="27">
        <f t="shared" si="36"/>
        <v>9.9247685284353793E-5</v>
      </c>
      <c r="R801" s="65">
        <f t="shared" si="38"/>
        <v>1.436319449567236E-3</v>
      </c>
      <c r="S801" s="2">
        <v>0</v>
      </c>
      <c r="T801" s="2" t="s">
        <v>36</v>
      </c>
      <c r="U801" s="2" t="s">
        <v>37</v>
      </c>
      <c r="V801" s="2" t="s">
        <v>38</v>
      </c>
      <c r="W801" s="2" t="s">
        <v>35</v>
      </c>
      <c r="X801" s="2" t="s">
        <v>35</v>
      </c>
      <c r="Y801" s="2" t="s">
        <v>35</v>
      </c>
      <c r="Z801" s="2" t="b">
        <v>0</v>
      </c>
      <c r="AA801" s="2" t="s">
        <v>35</v>
      </c>
      <c r="AB801" s="2" t="s">
        <v>35</v>
      </c>
      <c r="AC801" s="2" t="s">
        <v>35</v>
      </c>
      <c r="AD801" s="2">
        <v>2</v>
      </c>
      <c r="AE801" s="2" t="s">
        <v>2406</v>
      </c>
      <c r="AF801" s="11">
        <v>44753.409722164353</v>
      </c>
      <c r="AG801" s="53"/>
      <c r="AH801" s="53" t="b">
        <f t="shared" si="37"/>
        <v>0</v>
      </c>
      <c r="AI801" s="54" t="str" cm="1">
        <f t="array" ref="AI801">TRANSPOSE(_xlfn._xlws.FILTER(images!L:L,images!F:F=Barrierenmessung!A801, ""))</f>
        <v>https://captureandgo.cloudlab.zhaw.ch/uploads/image_8683d00517.jpg</v>
      </c>
      <c r="AJ801" s="2"/>
      <c r="AK801" s="2"/>
      <c r="AL801" s="2"/>
      <c r="AM801" s="2"/>
      <c r="AN801" s="2"/>
    </row>
    <row r="802" spans="1:40" ht="16" x14ac:dyDescent="0.2">
      <c r="A802" s="2" t="s">
        <v>2590</v>
      </c>
      <c r="B802" s="46">
        <v>801</v>
      </c>
      <c r="C802" s="2" t="b">
        <v>0</v>
      </c>
      <c r="D802" s="2" t="b">
        <v>0</v>
      </c>
      <c r="E802" s="2" t="b">
        <v>0</v>
      </c>
      <c r="F802" s="2" t="b">
        <v>0</v>
      </c>
      <c r="G802" s="2" t="s">
        <v>31</v>
      </c>
      <c r="H802" s="2" t="s">
        <v>2591</v>
      </c>
      <c r="I802" s="2" t="s">
        <v>2592</v>
      </c>
      <c r="J802" s="2" t="s">
        <v>35</v>
      </c>
      <c r="K802" s="2" t="s">
        <v>35</v>
      </c>
      <c r="L802" s="2" t="s">
        <v>35</v>
      </c>
      <c r="M802" s="2" t="s">
        <v>35</v>
      </c>
      <c r="N802" s="2" t="s">
        <v>35</v>
      </c>
      <c r="O802" s="11">
        <v>44753.498843842593</v>
      </c>
      <c r="P802" s="11">
        <v>44753.499113194448</v>
      </c>
      <c r="Q802" s="27">
        <f t="shared" si="36"/>
        <v>2.6935185451293364E-4</v>
      </c>
      <c r="R802" s="65">
        <f t="shared" si="38"/>
        <v>2.4821643528412096E-3</v>
      </c>
      <c r="S802" s="2">
        <v>0</v>
      </c>
      <c r="T802" s="2" t="s">
        <v>36</v>
      </c>
      <c r="U802" s="2" t="s">
        <v>37</v>
      </c>
      <c r="V802" s="2" t="s">
        <v>38</v>
      </c>
      <c r="W802" s="2" t="s">
        <v>35</v>
      </c>
      <c r="X802" s="2" t="s">
        <v>35</v>
      </c>
      <c r="Y802" s="2" t="s">
        <v>35</v>
      </c>
      <c r="Z802" s="2" t="b">
        <v>0</v>
      </c>
      <c r="AA802" s="2" t="s">
        <v>35</v>
      </c>
      <c r="AB802" s="2" t="s">
        <v>35</v>
      </c>
      <c r="AC802" s="2" t="s">
        <v>35</v>
      </c>
      <c r="AD802" s="2">
        <v>2</v>
      </c>
      <c r="AE802" s="2" t="s">
        <v>2406</v>
      </c>
      <c r="AF802" s="11">
        <v>44753.409722164353</v>
      </c>
      <c r="AG802" s="53"/>
      <c r="AH802" s="53" t="b">
        <f t="shared" si="37"/>
        <v>0</v>
      </c>
      <c r="AI802" s="54" t="str" cm="1">
        <f t="array" ref="AI802:AK802">TRANSPOSE(_xlfn._xlws.FILTER(images!L:L,images!F:F=Barrierenmessung!A802, ""))</f>
        <v>https://captureandgo.cloudlab.zhaw.ch/uploads/image_5ee2f21502.jpg</v>
      </c>
      <c r="AJ802" s="2" t="str">
        <v>https://captureandgo.cloudlab.zhaw.ch/uploads/image_c277f1fbdf.jpg</v>
      </c>
      <c r="AK802" s="2" t="str">
        <v>https://captureandgo.cloudlab.zhaw.ch/uploads/image_1c84883525.jpg</v>
      </c>
      <c r="AL802" s="2"/>
      <c r="AM802" s="2"/>
      <c r="AN802" s="2"/>
    </row>
    <row r="803" spans="1:40" ht="16" x14ac:dyDescent="0.2">
      <c r="A803" s="2" t="s">
        <v>2593</v>
      </c>
      <c r="B803" s="46">
        <v>802</v>
      </c>
      <c r="C803" s="2" t="b">
        <v>0</v>
      </c>
      <c r="D803" s="2" t="b">
        <v>0</v>
      </c>
      <c r="E803" s="2" t="b">
        <v>0</v>
      </c>
      <c r="F803" s="2" t="b">
        <v>0</v>
      </c>
      <c r="G803" s="2" t="s">
        <v>31</v>
      </c>
      <c r="H803" s="2" t="s">
        <v>2594</v>
      </c>
      <c r="I803" s="2" t="s">
        <v>2595</v>
      </c>
      <c r="J803" s="2" t="s">
        <v>35</v>
      </c>
      <c r="K803" s="2" t="s">
        <v>35</v>
      </c>
      <c r="L803" s="2" t="s">
        <v>35</v>
      </c>
      <c r="M803" s="2">
        <v>5</v>
      </c>
      <c r="N803" s="2">
        <v>16</v>
      </c>
      <c r="O803" s="11">
        <v>44753.499867395833</v>
      </c>
      <c r="P803" s="11">
        <v>44753.500138750001</v>
      </c>
      <c r="Q803" s="27">
        <f t="shared" si="36"/>
        <v>2.7135416894452646E-4</v>
      </c>
      <c r="R803" s="65">
        <f t="shared" si="38"/>
        <v>1.0255555534968153E-3</v>
      </c>
      <c r="S803" s="2">
        <v>0</v>
      </c>
      <c r="T803" s="2" t="s">
        <v>54</v>
      </c>
      <c r="U803" s="2" t="s">
        <v>55</v>
      </c>
      <c r="V803" s="2" t="s">
        <v>38</v>
      </c>
      <c r="W803" s="2" t="s">
        <v>35</v>
      </c>
      <c r="X803" s="2" t="s">
        <v>35</v>
      </c>
      <c r="Y803" s="2" t="s">
        <v>35</v>
      </c>
      <c r="Z803" s="2" t="b">
        <v>0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2406</v>
      </c>
      <c r="AF803" s="11">
        <v>44753.409722164353</v>
      </c>
      <c r="AG803" s="53"/>
      <c r="AH803" s="53" t="b">
        <f t="shared" si="37"/>
        <v>0</v>
      </c>
      <c r="AI803" s="54" t="str" cm="1">
        <f t="array" ref="AI803">TRANSPOSE(_xlfn._xlws.FILTER(images!L:L,images!F:F=Barrierenmessung!A803, ""))</f>
        <v>https://captureandgo.cloudlab.zhaw.ch/uploads/image_2e56f866bd.jpg</v>
      </c>
      <c r="AJ803" s="2"/>
      <c r="AK803" s="2"/>
      <c r="AL803" s="2"/>
      <c r="AM803" s="2"/>
      <c r="AN803" s="2"/>
    </row>
    <row r="804" spans="1:40" ht="16" x14ac:dyDescent="0.2">
      <c r="A804" s="2" t="s">
        <v>2596</v>
      </c>
      <c r="B804" s="46">
        <v>803</v>
      </c>
      <c r="C804" s="2" t="b">
        <v>0</v>
      </c>
      <c r="D804" s="2" t="b">
        <v>0</v>
      </c>
      <c r="E804" s="2" t="b">
        <v>0</v>
      </c>
      <c r="F804" s="2" t="b">
        <v>0</v>
      </c>
      <c r="G804" s="2" t="s">
        <v>31</v>
      </c>
      <c r="H804" s="2" t="s">
        <v>2597</v>
      </c>
      <c r="I804" s="2" t="s">
        <v>2598</v>
      </c>
      <c r="J804" s="2" t="s">
        <v>35</v>
      </c>
      <c r="K804" s="2" t="s">
        <v>35</v>
      </c>
      <c r="L804" s="2" t="s">
        <v>35</v>
      </c>
      <c r="M804" s="2">
        <v>9</v>
      </c>
      <c r="N804" s="2">
        <v>15</v>
      </c>
      <c r="O804" s="11">
        <v>44753.501161979169</v>
      </c>
      <c r="P804" s="11">
        <v>44753.501462534725</v>
      </c>
      <c r="Q804" s="27">
        <f t="shared" si="36"/>
        <v>3.0055555544095114E-4</v>
      </c>
      <c r="R804" s="65">
        <f t="shared" si="38"/>
        <v>1.3237847233540379E-3</v>
      </c>
      <c r="S804" s="2">
        <v>0</v>
      </c>
      <c r="T804" s="2" t="s">
        <v>54</v>
      </c>
      <c r="U804" s="2" t="s">
        <v>55</v>
      </c>
      <c r="V804" s="2" t="s">
        <v>38</v>
      </c>
      <c r="W804" s="2" t="s">
        <v>35</v>
      </c>
      <c r="X804" s="2" t="s">
        <v>35</v>
      </c>
      <c r="Y804" s="2" t="s">
        <v>35</v>
      </c>
      <c r="Z804" s="2" t="b">
        <v>0</v>
      </c>
      <c r="AA804" s="2" t="s">
        <v>35</v>
      </c>
      <c r="AB804" s="2" t="s">
        <v>35</v>
      </c>
      <c r="AC804" s="2" t="s">
        <v>35</v>
      </c>
      <c r="AD804" s="2" t="s">
        <v>35</v>
      </c>
      <c r="AE804" s="2" t="s">
        <v>2406</v>
      </c>
      <c r="AF804" s="11">
        <v>44753.409722164353</v>
      </c>
      <c r="AG804" s="53"/>
      <c r="AH804" s="53" t="b">
        <f t="shared" si="37"/>
        <v>0</v>
      </c>
      <c r="AI804" s="54" t="str" cm="1">
        <f t="array" ref="AI804">TRANSPOSE(_xlfn._xlws.FILTER(images!L:L,images!F:F=Barrierenmessung!A804, ""))</f>
        <v>https://captureandgo.cloudlab.zhaw.ch/uploads/image_aa04b1e8ed.jpg</v>
      </c>
      <c r="AJ804" s="2"/>
      <c r="AK804" s="2"/>
      <c r="AL804" s="2"/>
      <c r="AM804" s="2"/>
      <c r="AN804" s="2"/>
    </row>
    <row r="805" spans="1:40" ht="16" x14ac:dyDescent="0.2">
      <c r="A805" s="2" t="s">
        <v>2599</v>
      </c>
      <c r="B805" s="46">
        <v>804</v>
      </c>
      <c r="C805" s="2" t="b">
        <v>0</v>
      </c>
      <c r="D805" s="2" t="b">
        <v>0</v>
      </c>
      <c r="E805" s="2" t="b">
        <v>0</v>
      </c>
      <c r="F805" s="2" t="b">
        <v>0</v>
      </c>
      <c r="G805" s="2" t="s">
        <v>31</v>
      </c>
      <c r="H805" s="2" t="s">
        <v>2600</v>
      </c>
      <c r="I805" s="2" t="s">
        <v>2601</v>
      </c>
      <c r="J805" s="2" t="s">
        <v>35</v>
      </c>
      <c r="K805" s="2" t="s">
        <v>35</v>
      </c>
      <c r="L805" s="2" t="s">
        <v>35</v>
      </c>
      <c r="M805" s="2">
        <v>12</v>
      </c>
      <c r="N805" s="2">
        <v>15</v>
      </c>
      <c r="O805" s="11">
        <v>44753.501949201389</v>
      </c>
      <c r="P805" s="11">
        <v>44753.502292569443</v>
      </c>
      <c r="Q805" s="27">
        <f t="shared" si="36"/>
        <v>3.4336805401835591E-4</v>
      </c>
      <c r="R805" s="65">
        <f t="shared" si="38"/>
        <v>8.300347180920653E-4</v>
      </c>
      <c r="S805" s="2">
        <v>0</v>
      </c>
      <c r="T805" s="2" t="s">
        <v>54</v>
      </c>
      <c r="U805" s="2" t="s">
        <v>55</v>
      </c>
      <c r="V805" s="2" t="s">
        <v>38</v>
      </c>
      <c r="W805" s="2" t="s">
        <v>35</v>
      </c>
      <c r="X805" s="2" t="s">
        <v>35</v>
      </c>
      <c r="Y805" s="2" t="s">
        <v>35</v>
      </c>
      <c r="Z805" s="2" t="b">
        <v>0</v>
      </c>
      <c r="AA805" s="2" t="s">
        <v>35</v>
      </c>
      <c r="AB805" s="2" t="s">
        <v>35</v>
      </c>
      <c r="AC805" s="2" t="s">
        <v>35</v>
      </c>
      <c r="AD805" s="2" t="s">
        <v>35</v>
      </c>
      <c r="AE805" s="2" t="s">
        <v>2406</v>
      </c>
      <c r="AF805" s="11">
        <v>44753.409722164353</v>
      </c>
      <c r="AG805" s="53"/>
      <c r="AH805" s="53" t="b">
        <f t="shared" si="37"/>
        <v>0</v>
      </c>
      <c r="AI805" s="54" t="str" cm="1">
        <f t="array" ref="AI805">TRANSPOSE(_xlfn._xlws.FILTER(images!L:L,images!F:F=Barrierenmessung!A805, ""))</f>
        <v>https://captureandgo.cloudlab.zhaw.ch/uploads/image_b8d9dfccf9.jpg</v>
      </c>
      <c r="AJ805" s="2"/>
      <c r="AK805" s="2"/>
      <c r="AL805" s="2"/>
      <c r="AM805" s="2"/>
      <c r="AN805" s="2"/>
    </row>
    <row r="806" spans="1:40" ht="16" x14ac:dyDescent="0.2">
      <c r="A806" s="2" t="s">
        <v>2602</v>
      </c>
      <c r="B806" s="46">
        <v>805</v>
      </c>
      <c r="C806" s="2" t="b">
        <v>0</v>
      </c>
      <c r="D806" s="2" t="b">
        <v>0</v>
      </c>
      <c r="E806" s="2" t="b">
        <v>0</v>
      </c>
      <c r="F806" s="2" t="b">
        <v>0</v>
      </c>
      <c r="G806" s="2" t="s">
        <v>31</v>
      </c>
      <c r="H806" s="2" t="s">
        <v>2603</v>
      </c>
      <c r="I806" s="2" t="s">
        <v>2604</v>
      </c>
      <c r="J806" s="2" t="s">
        <v>35</v>
      </c>
      <c r="K806" s="2" t="s">
        <v>35</v>
      </c>
      <c r="L806" s="2" t="s">
        <v>35</v>
      </c>
      <c r="M806" s="2" t="s">
        <v>35</v>
      </c>
      <c r="N806" s="2" t="s">
        <v>35</v>
      </c>
      <c r="O806" s="11">
        <v>44753.503136331019</v>
      </c>
      <c r="P806" s="11">
        <v>44753.503293368056</v>
      </c>
      <c r="Q806" s="27">
        <f t="shared" si="36"/>
        <v>1.5703703684266657E-4</v>
      </c>
      <c r="R806" s="65">
        <f t="shared" si="38"/>
        <v>1.0007986129494384E-3</v>
      </c>
      <c r="S806" s="2">
        <v>0</v>
      </c>
      <c r="T806" s="2" t="s">
        <v>36</v>
      </c>
      <c r="U806" s="2" t="s">
        <v>37</v>
      </c>
      <c r="V806" s="2" t="s">
        <v>38</v>
      </c>
      <c r="W806" s="2" t="s">
        <v>35</v>
      </c>
      <c r="X806" s="2" t="s">
        <v>35</v>
      </c>
      <c r="Y806" s="2" t="s">
        <v>35</v>
      </c>
      <c r="Z806" s="2" t="b">
        <v>0</v>
      </c>
      <c r="AA806" s="2" t="s">
        <v>35</v>
      </c>
      <c r="AB806" s="2" t="s">
        <v>35</v>
      </c>
      <c r="AC806" s="2" t="s">
        <v>35</v>
      </c>
      <c r="AD806" s="2">
        <v>3</v>
      </c>
      <c r="AE806" s="2" t="s">
        <v>2406</v>
      </c>
      <c r="AF806" s="11">
        <v>44753.409722164353</v>
      </c>
      <c r="AG806" s="53"/>
      <c r="AH806" s="53" t="b">
        <f t="shared" si="37"/>
        <v>0</v>
      </c>
      <c r="AI806" s="54" t="str" cm="1">
        <f t="array" ref="AI806:AJ806">TRANSPOSE(_xlfn._xlws.FILTER(images!L:L,images!F:F=Barrierenmessung!A806, ""))</f>
        <v>https://captureandgo.cloudlab.zhaw.ch/uploads/image_7ded56bf66.jpg</v>
      </c>
      <c r="AJ806" s="2" t="str">
        <v>https://captureandgo.cloudlab.zhaw.ch/uploads/image_2842c84097.jpg</v>
      </c>
      <c r="AK806" s="2"/>
      <c r="AL806" s="2"/>
      <c r="AM806" s="2"/>
      <c r="AN806" s="2"/>
    </row>
    <row r="807" spans="1:40" ht="16" x14ac:dyDescent="0.2">
      <c r="A807" s="2" t="s">
        <v>2605</v>
      </c>
      <c r="B807" s="46">
        <v>806</v>
      </c>
      <c r="C807" s="2" t="b">
        <v>0</v>
      </c>
      <c r="D807" s="2" t="b">
        <v>0</v>
      </c>
      <c r="E807" s="2" t="b">
        <v>0</v>
      </c>
      <c r="F807" s="2" t="b">
        <v>0</v>
      </c>
      <c r="G807" s="2" t="s">
        <v>31</v>
      </c>
      <c r="H807" s="2" t="s">
        <v>2606</v>
      </c>
      <c r="I807" s="2" t="s">
        <v>2607</v>
      </c>
      <c r="J807" s="2" t="s">
        <v>35</v>
      </c>
      <c r="K807" s="2" t="s">
        <v>35</v>
      </c>
      <c r="L807" s="2" t="s">
        <v>35</v>
      </c>
      <c r="M807" s="2" t="s">
        <v>35</v>
      </c>
      <c r="N807" s="2" t="s">
        <v>35</v>
      </c>
      <c r="O807" s="11">
        <v>44753.504998773147</v>
      </c>
      <c r="P807" s="11">
        <v>44753.50531792824</v>
      </c>
      <c r="Q807" s="27">
        <f t="shared" si="36"/>
        <v>3.1915509316604584E-4</v>
      </c>
      <c r="R807" s="65">
        <f t="shared" si="38"/>
        <v>2.0245601845090277E-3</v>
      </c>
      <c r="S807" s="2">
        <v>0</v>
      </c>
      <c r="T807" s="2" t="s">
        <v>36</v>
      </c>
      <c r="U807" s="2" t="s">
        <v>37</v>
      </c>
      <c r="V807" s="2" t="s">
        <v>38</v>
      </c>
      <c r="W807" s="2" t="s">
        <v>35</v>
      </c>
      <c r="X807" s="2" t="s">
        <v>35</v>
      </c>
      <c r="Y807" s="2" t="s">
        <v>35</v>
      </c>
      <c r="Z807" s="2" t="b">
        <v>0</v>
      </c>
      <c r="AA807" s="2" t="s">
        <v>35</v>
      </c>
      <c r="AB807" s="2" t="s">
        <v>35</v>
      </c>
      <c r="AC807" s="2" t="s">
        <v>35</v>
      </c>
      <c r="AD807" s="2">
        <v>5</v>
      </c>
      <c r="AE807" s="2" t="s">
        <v>2406</v>
      </c>
      <c r="AF807" s="11">
        <v>44753.409722164353</v>
      </c>
      <c r="AG807" s="53"/>
      <c r="AH807" s="53" t="b">
        <f t="shared" si="37"/>
        <v>0</v>
      </c>
      <c r="AI807" s="54" t="str" cm="1">
        <f t="array" ref="AI807">TRANSPOSE(_xlfn._xlws.FILTER(images!L:L,images!F:F=Barrierenmessung!A807, ""))</f>
        <v>https://captureandgo.cloudlab.zhaw.ch/uploads/image_f73d1879f2.jpg</v>
      </c>
      <c r="AJ807" s="2"/>
      <c r="AK807" s="2"/>
      <c r="AL807" s="2"/>
      <c r="AM807" s="2"/>
      <c r="AN807" s="2"/>
    </row>
    <row r="808" spans="1:40" ht="16" x14ac:dyDescent="0.2">
      <c r="A808" s="2" t="s">
        <v>2608</v>
      </c>
      <c r="B808" s="46">
        <v>807</v>
      </c>
      <c r="C808" s="2" t="b">
        <v>0</v>
      </c>
      <c r="D808" s="2" t="b">
        <v>0</v>
      </c>
      <c r="E808" s="2" t="b">
        <v>0</v>
      </c>
      <c r="F808" s="2" t="b">
        <v>0</v>
      </c>
      <c r="G808" s="2" t="s">
        <v>31</v>
      </c>
      <c r="H808" s="2" t="s">
        <v>2609</v>
      </c>
      <c r="I808" s="2" t="s">
        <v>2610</v>
      </c>
      <c r="J808" s="2" t="s">
        <v>675</v>
      </c>
      <c r="K808" s="2" t="s">
        <v>35</v>
      </c>
      <c r="L808" s="2" t="s">
        <v>35</v>
      </c>
      <c r="M808" s="2" t="s">
        <v>35</v>
      </c>
      <c r="N808" s="2" t="s">
        <v>35</v>
      </c>
      <c r="O808" s="11">
        <v>44753.506539895832</v>
      </c>
      <c r="P808" s="11">
        <v>44753.506754826391</v>
      </c>
      <c r="Q808" s="27">
        <f t="shared" si="36"/>
        <v>2.149305582861416E-4</v>
      </c>
      <c r="R808" s="65">
        <f t="shared" si="38"/>
        <v>1.4368981501320377E-3</v>
      </c>
      <c r="S808" s="2">
        <v>0</v>
      </c>
      <c r="T808" s="2" t="s">
        <v>124</v>
      </c>
      <c r="U808" s="2" t="s">
        <v>125</v>
      </c>
      <c r="V808" s="2" t="s">
        <v>38</v>
      </c>
      <c r="W808" s="2" t="s">
        <v>35</v>
      </c>
      <c r="X808" s="2" t="s">
        <v>35</v>
      </c>
      <c r="Y808" s="2" t="s">
        <v>35</v>
      </c>
      <c r="Z808" s="2" t="b">
        <v>0</v>
      </c>
      <c r="AA808" s="2" t="s">
        <v>35</v>
      </c>
      <c r="AB808" s="2">
        <v>4</v>
      </c>
      <c r="AC808" s="2" t="s">
        <v>35</v>
      </c>
      <c r="AD808" s="2" t="s">
        <v>35</v>
      </c>
      <c r="AE808" s="2" t="s">
        <v>2406</v>
      </c>
      <c r="AF808" s="11">
        <v>44753.409722164353</v>
      </c>
      <c r="AG808" s="53"/>
      <c r="AH808" s="53" t="b">
        <f t="shared" si="37"/>
        <v>0</v>
      </c>
      <c r="AI808" s="54" t="str" cm="1">
        <f t="array" ref="AI808">TRANSPOSE(_xlfn._xlws.FILTER(images!L:L,images!F:F=Barrierenmessung!A808, ""))</f>
        <v>https://captureandgo.cloudlab.zhaw.ch/uploads/image_9eca94974b.jpg</v>
      </c>
      <c r="AJ808" s="2"/>
      <c r="AK808" s="2"/>
      <c r="AL808" s="2"/>
      <c r="AM808" s="2"/>
      <c r="AN808" s="2"/>
    </row>
    <row r="809" spans="1:40" ht="16" x14ac:dyDescent="0.2">
      <c r="A809" s="2" t="s">
        <v>2611</v>
      </c>
      <c r="B809" s="46">
        <v>808</v>
      </c>
      <c r="C809" s="2" t="b">
        <v>0</v>
      </c>
      <c r="D809" s="2" t="b">
        <v>0</v>
      </c>
      <c r="E809" s="2" t="b">
        <v>0</v>
      </c>
      <c r="F809" s="2" t="b">
        <v>0</v>
      </c>
      <c r="G809" s="2" t="s">
        <v>31</v>
      </c>
      <c r="H809" s="2" t="s">
        <v>2612</v>
      </c>
      <c r="I809" s="2" t="s">
        <v>2613</v>
      </c>
      <c r="J809" s="2" t="s">
        <v>675</v>
      </c>
      <c r="K809" s="2" t="s">
        <v>35</v>
      </c>
      <c r="L809" s="2" t="s">
        <v>35</v>
      </c>
      <c r="M809" s="2" t="s">
        <v>35</v>
      </c>
      <c r="N809" s="2" t="s">
        <v>35</v>
      </c>
      <c r="O809" s="11">
        <v>44753.508019421293</v>
      </c>
      <c r="P809" s="11">
        <v>44753.508245104167</v>
      </c>
      <c r="Q809" s="27">
        <f t="shared" si="36"/>
        <v>2.2568287386093289E-4</v>
      </c>
      <c r="R809" s="65">
        <f t="shared" si="38"/>
        <v>1.4902777766110376E-3</v>
      </c>
      <c r="S809" s="2">
        <v>0</v>
      </c>
      <c r="T809" s="2" t="s">
        <v>124</v>
      </c>
      <c r="U809" s="2" t="s">
        <v>125</v>
      </c>
      <c r="V809" s="2" t="s">
        <v>38</v>
      </c>
      <c r="W809" s="2" t="s">
        <v>35</v>
      </c>
      <c r="X809" s="2" t="s">
        <v>35</v>
      </c>
      <c r="Y809" s="2" t="s">
        <v>35</v>
      </c>
      <c r="Z809" s="2" t="b">
        <v>0</v>
      </c>
      <c r="AA809" s="2" t="s">
        <v>35</v>
      </c>
      <c r="AB809" s="2">
        <v>4</v>
      </c>
      <c r="AC809" s="2" t="s">
        <v>35</v>
      </c>
      <c r="AD809" s="2" t="s">
        <v>35</v>
      </c>
      <c r="AE809" s="2" t="s">
        <v>2406</v>
      </c>
      <c r="AF809" s="11">
        <v>44753.409722164353</v>
      </c>
      <c r="AG809" s="53"/>
      <c r="AH809" s="53" t="b">
        <f t="shared" si="37"/>
        <v>0</v>
      </c>
      <c r="AI809" s="54" t="str" cm="1">
        <f t="array" ref="AI809">TRANSPOSE(_xlfn._xlws.FILTER(images!L:L,images!F:F=Barrierenmessung!A809, ""))</f>
        <v>https://captureandgo.cloudlab.zhaw.ch/uploads/image_764d93a35b.jpg</v>
      </c>
      <c r="AJ809" s="2"/>
      <c r="AK809" s="2"/>
      <c r="AL809" s="2"/>
      <c r="AM809" s="2"/>
      <c r="AN809" s="2"/>
    </row>
    <row r="810" spans="1:40" ht="16" x14ac:dyDescent="0.2">
      <c r="A810" s="2" t="s">
        <v>2614</v>
      </c>
      <c r="B810" s="46">
        <v>809</v>
      </c>
      <c r="C810" s="2" t="b">
        <v>0</v>
      </c>
      <c r="D810" s="2" t="b">
        <v>0</v>
      </c>
      <c r="E810" s="2" t="b">
        <v>0</v>
      </c>
      <c r="F810" s="2" t="b">
        <v>0</v>
      </c>
      <c r="G810" s="2" t="s">
        <v>31</v>
      </c>
      <c r="H810" s="2" t="s">
        <v>2615</v>
      </c>
      <c r="I810" s="2" t="s">
        <v>2616</v>
      </c>
      <c r="J810" s="2" t="s">
        <v>675</v>
      </c>
      <c r="K810" s="2" t="s">
        <v>35</v>
      </c>
      <c r="L810" s="2" t="s">
        <v>35</v>
      </c>
      <c r="M810" s="2" t="s">
        <v>35</v>
      </c>
      <c r="N810" s="2" t="s">
        <v>35</v>
      </c>
      <c r="O810" s="11">
        <v>44753.509149097219</v>
      </c>
      <c r="P810" s="11">
        <v>44753.509339953707</v>
      </c>
      <c r="Q810" s="27">
        <f t="shared" si="36"/>
        <v>1.9085648818872869E-4</v>
      </c>
      <c r="R810" s="65">
        <f t="shared" si="38"/>
        <v>1.0948495400953107E-3</v>
      </c>
      <c r="S810" s="2">
        <v>0</v>
      </c>
      <c r="T810" s="2" t="s">
        <v>124</v>
      </c>
      <c r="U810" s="2" t="s">
        <v>125</v>
      </c>
      <c r="V810" s="2" t="s">
        <v>38</v>
      </c>
      <c r="W810" s="2" t="s">
        <v>35</v>
      </c>
      <c r="X810" s="2" t="s">
        <v>35</v>
      </c>
      <c r="Y810" s="2" t="s">
        <v>35</v>
      </c>
      <c r="Z810" s="2" t="b">
        <v>0</v>
      </c>
      <c r="AA810" s="2" t="s">
        <v>35</v>
      </c>
      <c r="AB810" s="2">
        <v>4</v>
      </c>
      <c r="AC810" s="2" t="s">
        <v>35</v>
      </c>
      <c r="AD810" s="2" t="s">
        <v>35</v>
      </c>
      <c r="AE810" s="2" t="s">
        <v>2406</v>
      </c>
      <c r="AF810" s="11">
        <v>44753.409722164353</v>
      </c>
      <c r="AG810" s="53"/>
      <c r="AH810" s="53" t="b">
        <f t="shared" si="37"/>
        <v>0</v>
      </c>
      <c r="AI810" s="54" t="str" cm="1">
        <f t="array" ref="AI810">TRANSPOSE(_xlfn._xlws.FILTER(images!L:L,images!F:F=Barrierenmessung!A810, ""))</f>
        <v>https://captureandgo.cloudlab.zhaw.ch/uploads/image_b5f2ce2c26.jpg</v>
      </c>
      <c r="AJ810" s="2"/>
      <c r="AK810" s="2"/>
      <c r="AL810" s="2"/>
      <c r="AM810" s="2"/>
      <c r="AN810" s="2"/>
    </row>
    <row r="811" spans="1:40" ht="16" x14ac:dyDescent="0.2">
      <c r="A811" s="2" t="s">
        <v>2617</v>
      </c>
      <c r="B811" s="46">
        <v>810</v>
      </c>
      <c r="C811" s="2" t="b">
        <v>0</v>
      </c>
      <c r="D811" s="2" t="b">
        <v>0</v>
      </c>
      <c r="E811" s="2" t="b">
        <v>0</v>
      </c>
      <c r="F811" s="2" t="b">
        <v>0</v>
      </c>
      <c r="G811" s="2" t="s">
        <v>31</v>
      </c>
      <c r="H811" s="2" t="s">
        <v>2618</v>
      </c>
      <c r="I811" s="2" t="s">
        <v>2619</v>
      </c>
      <c r="J811" s="2" t="s">
        <v>675</v>
      </c>
      <c r="K811" s="2" t="s">
        <v>35</v>
      </c>
      <c r="L811" s="2" t="s">
        <v>35</v>
      </c>
      <c r="M811" s="2" t="s">
        <v>35</v>
      </c>
      <c r="N811" s="2" t="s">
        <v>35</v>
      </c>
      <c r="O811" s="11">
        <v>44753.509904444443</v>
      </c>
      <c r="P811" s="11">
        <v>44753.510201296296</v>
      </c>
      <c r="Q811" s="27">
        <f t="shared" si="36"/>
        <v>2.9685185290873051E-4</v>
      </c>
      <c r="R811" s="65">
        <f t="shared" si="38"/>
        <v>8.6134258890524507E-4</v>
      </c>
      <c r="S811" s="2">
        <v>0</v>
      </c>
      <c r="T811" s="2" t="s">
        <v>124</v>
      </c>
      <c r="U811" s="2" t="s">
        <v>125</v>
      </c>
      <c r="V811" s="2" t="s">
        <v>38</v>
      </c>
      <c r="W811" s="2" t="s">
        <v>35</v>
      </c>
      <c r="X811" s="2" t="s">
        <v>35</v>
      </c>
      <c r="Y811" s="2" t="s">
        <v>35</v>
      </c>
      <c r="Z811" s="2" t="b">
        <v>0</v>
      </c>
      <c r="AA811" s="2" t="s">
        <v>35</v>
      </c>
      <c r="AB811" s="2">
        <v>4</v>
      </c>
      <c r="AC811" s="2" t="s">
        <v>35</v>
      </c>
      <c r="AD811" s="2" t="s">
        <v>35</v>
      </c>
      <c r="AE811" s="2" t="s">
        <v>2406</v>
      </c>
      <c r="AF811" s="11">
        <v>44753.409722164353</v>
      </c>
      <c r="AG811" s="53"/>
      <c r="AH811" s="53" t="b">
        <f t="shared" si="37"/>
        <v>0</v>
      </c>
      <c r="AI811" s="54" t="str" cm="1">
        <f t="array" ref="AI811:AJ811">TRANSPOSE(_xlfn._xlws.FILTER(images!L:L,images!F:F=Barrierenmessung!A811, ""))</f>
        <v>https://captureandgo.cloudlab.zhaw.ch/uploads/image_83712987bf.jpg</v>
      </c>
      <c r="AJ811" s="2" t="str">
        <v>https://captureandgo.cloudlab.zhaw.ch/uploads/image_6fa3e9555b.jpg</v>
      </c>
      <c r="AK811" s="2"/>
      <c r="AL811" s="2"/>
      <c r="AM811" s="2"/>
      <c r="AN811" s="2"/>
    </row>
    <row r="812" spans="1:40" ht="16" x14ac:dyDescent="0.2">
      <c r="A812" s="2" t="s">
        <v>2620</v>
      </c>
      <c r="B812" s="46">
        <v>811</v>
      </c>
      <c r="C812" s="2" t="b">
        <v>0</v>
      </c>
      <c r="D812" s="2" t="b">
        <v>0</v>
      </c>
      <c r="E812" s="2" t="b">
        <v>0</v>
      </c>
      <c r="F812" s="2" t="b">
        <v>0</v>
      </c>
      <c r="G812" s="2" t="s">
        <v>31</v>
      </c>
      <c r="H812" s="2" t="s">
        <v>2621</v>
      </c>
      <c r="I812" s="2" t="s">
        <v>2622</v>
      </c>
      <c r="J812" s="2" t="s">
        <v>675</v>
      </c>
      <c r="K812" s="2" t="s">
        <v>35</v>
      </c>
      <c r="L812" s="2" t="s">
        <v>35</v>
      </c>
      <c r="M812" s="2" t="s">
        <v>35</v>
      </c>
      <c r="N812" s="2" t="s">
        <v>35</v>
      </c>
      <c r="O812" s="11">
        <v>44753.510268726852</v>
      </c>
      <c r="P812" s="11">
        <v>44753.510569999999</v>
      </c>
      <c r="Q812" s="27">
        <f t="shared" si="36"/>
        <v>3.0127314676064998E-4</v>
      </c>
      <c r="R812" s="65">
        <f t="shared" si="38"/>
        <v>3.6870370240649208E-4</v>
      </c>
      <c r="S812" s="2">
        <v>0</v>
      </c>
      <c r="T812" s="2" t="s">
        <v>124</v>
      </c>
      <c r="U812" s="2" t="s">
        <v>125</v>
      </c>
      <c r="V812" s="2" t="s">
        <v>38</v>
      </c>
      <c r="W812" s="2" t="s">
        <v>35</v>
      </c>
      <c r="X812" s="2" t="s">
        <v>35</v>
      </c>
      <c r="Y812" s="2" t="s">
        <v>35</v>
      </c>
      <c r="Z812" s="2" t="b">
        <v>0</v>
      </c>
      <c r="AA812" s="2" t="s">
        <v>35</v>
      </c>
      <c r="AB812" s="2">
        <v>4</v>
      </c>
      <c r="AC812" s="2" t="s">
        <v>35</v>
      </c>
      <c r="AD812" s="2" t="s">
        <v>35</v>
      </c>
      <c r="AE812" s="2" t="s">
        <v>2406</v>
      </c>
      <c r="AF812" s="11">
        <v>44753.409722164353</v>
      </c>
      <c r="AG812" s="53"/>
      <c r="AH812" s="53" t="b">
        <f t="shared" si="37"/>
        <v>0</v>
      </c>
      <c r="AI812" s="54" t="str" cm="1">
        <f t="array" ref="AI812">TRANSPOSE(_xlfn._xlws.FILTER(images!L:L,images!F:F=Barrierenmessung!A812, ""))</f>
        <v>https://captureandgo.cloudlab.zhaw.ch/uploads/image_50d35549e4.jpg</v>
      </c>
      <c r="AJ812" s="2"/>
      <c r="AK812" s="2"/>
      <c r="AL812" s="2"/>
      <c r="AM812" s="2"/>
      <c r="AN812" s="2"/>
    </row>
    <row r="813" spans="1:40" ht="16" x14ac:dyDescent="0.2">
      <c r="A813" s="2" t="s">
        <v>2623</v>
      </c>
      <c r="B813" s="46">
        <v>812</v>
      </c>
      <c r="C813" s="2" t="b">
        <v>0</v>
      </c>
      <c r="D813" s="2" t="b">
        <v>0</v>
      </c>
      <c r="E813" s="2" t="b">
        <v>0</v>
      </c>
      <c r="F813" s="2" t="b">
        <v>0</v>
      </c>
      <c r="G813" s="2" t="s">
        <v>31</v>
      </c>
      <c r="H813" s="2" t="s">
        <v>2624</v>
      </c>
      <c r="I813" s="2" t="s">
        <v>2625</v>
      </c>
      <c r="J813" s="2" t="s">
        <v>675</v>
      </c>
      <c r="K813" s="2" t="s">
        <v>35</v>
      </c>
      <c r="L813" s="2" t="s">
        <v>35</v>
      </c>
      <c r="M813" s="2" t="s">
        <v>35</v>
      </c>
      <c r="N813" s="2" t="s">
        <v>35</v>
      </c>
      <c r="O813" s="11">
        <v>44753.510754305556</v>
      </c>
      <c r="P813" s="11">
        <v>44753.510954930556</v>
      </c>
      <c r="Q813" s="27">
        <f t="shared" si="36"/>
        <v>2.0062499970663339E-4</v>
      </c>
      <c r="R813" s="65">
        <f t="shared" si="38"/>
        <v>3.8493055762955919E-4</v>
      </c>
      <c r="S813" s="2">
        <v>0</v>
      </c>
      <c r="T813" s="2" t="s">
        <v>124</v>
      </c>
      <c r="U813" s="2" t="s">
        <v>125</v>
      </c>
      <c r="V813" s="2" t="s">
        <v>38</v>
      </c>
      <c r="W813" s="2" t="s">
        <v>35</v>
      </c>
      <c r="X813" s="2" t="s">
        <v>35</v>
      </c>
      <c r="Y813" s="2" t="s">
        <v>35</v>
      </c>
      <c r="Z813" s="2" t="b">
        <v>0</v>
      </c>
      <c r="AA813" s="2" t="s">
        <v>35</v>
      </c>
      <c r="AB813" s="2">
        <v>4</v>
      </c>
      <c r="AC813" s="2" t="s">
        <v>35</v>
      </c>
      <c r="AD813" s="2" t="s">
        <v>35</v>
      </c>
      <c r="AE813" s="2" t="s">
        <v>2406</v>
      </c>
      <c r="AF813" s="11">
        <v>44753.409722164353</v>
      </c>
      <c r="AG813" s="53"/>
      <c r="AH813" s="53" t="b">
        <f t="shared" si="37"/>
        <v>0</v>
      </c>
      <c r="AI813" s="54" t="str" cm="1">
        <f t="array" ref="AI813">TRANSPOSE(_xlfn._xlws.FILTER(images!L:L,images!F:F=Barrierenmessung!A813, ""))</f>
        <v>https://captureandgo.cloudlab.zhaw.ch/uploads/image_a562e54252.jpg</v>
      </c>
      <c r="AJ813" s="2"/>
      <c r="AK813" s="2"/>
      <c r="AL813" s="2"/>
      <c r="AM813" s="2"/>
      <c r="AN813" s="2"/>
    </row>
    <row r="814" spans="1:40" ht="16" x14ac:dyDescent="0.2">
      <c r="A814" s="2" t="s">
        <v>2626</v>
      </c>
      <c r="B814" s="46">
        <v>813</v>
      </c>
      <c r="C814" s="2" t="b">
        <v>0</v>
      </c>
      <c r="D814" s="2" t="b">
        <v>0</v>
      </c>
      <c r="E814" s="2" t="b">
        <v>0</v>
      </c>
      <c r="F814" s="2" t="b">
        <v>0</v>
      </c>
      <c r="G814" s="2" t="s">
        <v>31</v>
      </c>
      <c r="H814" s="2" t="s">
        <v>2627</v>
      </c>
      <c r="I814" s="2" t="s">
        <v>2628</v>
      </c>
      <c r="J814" s="2" t="s">
        <v>35</v>
      </c>
      <c r="K814" s="2" t="s">
        <v>35</v>
      </c>
      <c r="L814" s="2" t="s">
        <v>35</v>
      </c>
      <c r="M814" s="2" t="s">
        <v>35</v>
      </c>
      <c r="N814" s="2" t="s">
        <v>35</v>
      </c>
      <c r="O814" s="11">
        <v>44753.511767731485</v>
      </c>
      <c r="P814" s="11">
        <v>44753.511902013888</v>
      </c>
      <c r="Q814" s="27">
        <f t="shared" si="36"/>
        <v>1.342824034509249E-4</v>
      </c>
      <c r="R814" s="65">
        <f t="shared" si="38"/>
        <v>9.4708333199378103E-4</v>
      </c>
      <c r="S814" s="2">
        <v>0</v>
      </c>
      <c r="T814" s="2" t="s">
        <v>36</v>
      </c>
      <c r="U814" s="2" t="s">
        <v>37</v>
      </c>
      <c r="V814" s="2" t="s">
        <v>38</v>
      </c>
      <c r="W814" s="2" t="s">
        <v>35</v>
      </c>
      <c r="X814" s="2" t="s">
        <v>35</v>
      </c>
      <c r="Y814" s="2" t="s">
        <v>35</v>
      </c>
      <c r="Z814" s="2" t="b">
        <v>0</v>
      </c>
      <c r="AA814" s="2" t="s">
        <v>35</v>
      </c>
      <c r="AB814" s="2" t="s">
        <v>35</v>
      </c>
      <c r="AC814" s="2" t="s">
        <v>35</v>
      </c>
      <c r="AD814" s="2">
        <v>2</v>
      </c>
      <c r="AE814" s="2" t="s">
        <v>2406</v>
      </c>
      <c r="AF814" s="11">
        <v>44753.409722164353</v>
      </c>
      <c r="AG814" s="53"/>
      <c r="AH814" s="53" t="b">
        <f t="shared" si="37"/>
        <v>0</v>
      </c>
      <c r="AI814" s="54" t="str" cm="1">
        <f t="array" ref="AI814">TRANSPOSE(_xlfn._xlws.FILTER(images!L:L,images!F:F=Barrierenmessung!A814, ""))</f>
        <v>https://captureandgo.cloudlab.zhaw.ch/uploads/image_49e4977de8.jpg</v>
      </c>
      <c r="AJ814" s="2"/>
      <c r="AK814" s="2"/>
      <c r="AL814" s="2"/>
      <c r="AM814" s="2"/>
      <c r="AN814" s="2"/>
    </row>
    <row r="815" spans="1:40" ht="16" x14ac:dyDescent="0.2">
      <c r="A815" s="2" t="s">
        <v>2629</v>
      </c>
      <c r="B815" s="46">
        <v>814</v>
      </c>
      <c r="C815" s="2" t="b">
        <v>0</v>
      </c>
      <c r="D815" s="2" t="b">
        <v>0</v>
      </c>
      <c r="E815" s="2" t="b">
        <v>0</v>
      </c>
      <c r="F815" s="2" t="b">
        <v>0</v>
      </c>
      <c r="G815" s="2" t="s">
        <v>31</v>
      </c>
      <c r="H815" s="2" t="s">
        <v>2630</v>
      </c>
      <c r="I815" s="2" t="s">
        <v>2631</v>
      </c>
      <c r="J815" s="2" t="s">
        <v>675</v>
      </c>
      <c r="K815" s="2" t="s">
        <v>35</v>
      </c>
      <c r="L815" s="2" t="s">
        <v>35</v>
      </c>
      <c r="M815" s="2" t="s">
        <v>35</v>
      </c>
      <c r="N815" s="2" t="s">
        <v>35</v>
      </c>
      <c r="O815" s="11">
        <v>44753.512634965278</v>
      </c>
      <c r="P815" s="11">
        <v>44753.51289824074</v>
      </c>
      <c r="Q815" s="27">
        <f t="shared" si="36"/>
        <v>2.6327546220272779E-4</v>
      </c>
      <c r="R815" s="65">
        <f t="shared" si="38"/>
        <v>9.9622685229405761E-4</v>
      </c>
      <c r="S815" s="2">
        <v>0</v>
      </c>
      <c r="T815" s="2" t="s">
        <v>124</v>
      </c>
      <c r="U815" s="2" t="s">
        <v>125</v>
      </c>
      <c r="V815" s="2" t="s">
        <v>38</v>
      </c>
      <c r="W815" s="2" t="s">
        <v>35</v>
      </c>
      <c r="X815" s="2" t="s">
        <v>35</v>
      </c>
      <c r="Y815" s="2" t="s">
        <v>35</v>
      </c>
      <c r="Z815" s="2" t="b">
        <v>0</v>
      </c>
      <c r="AA815" s="2" t="s">
        <v>35</v>
      </c>
      <c r="AB815" s="2">
        <v>4</v>
      </c>
      <c r="AC815" s="2" t="s">
        <v>35</v>
      </c>
      <c r="AD815" s="2" t="s">
        <v>35</v>
      </c>
      <c r="AE815" s="2" t="s">
        <v>2406</v>
      </c>
      <c r="AF815" s="11">
        <v>44753.409722164353</v>
      </c>
      <c r="AG815" s="53"/>
      <c r="AH815" s="53" t="b">
        <f t="shared" si="37"/>
        <v>0</v>
      </c>
      <c r="AI815" s="54" t="str" cm="1">
        <f t="array" ref="AI815">TRANSPOSE(_xlfn._xlws.FILTER(images!L:L,images!F:F=Barrierenmessung!A815, ""))</f>
        <v>https://captureandgo.cloudlab.zhaw.ch/uploads/image_53e8fc0e98.jpg</v>
      </c>
      <c r="AJ815" s="2"/>
      <c r="AK815" s="2"/>
      <c r="AL815" s="2"/>
      <c r="AM815" s="2"/>
      <c r="AN815" s="2"/>
    </row>
    <row r="816" spans="1:40" ht="16" x14ac:dyDescent="0.2">
      <c r="A816" s="2" t="s">
        <v>2632</v>
      </c>
      <c r="B816" s="46">
        <v>815</v>
      </c>
      <c r="C816" s="2" t="b">
        <v>0</v>
      </c>
      <c r="D816" s="2" t="b">
        <v>0</v>
      </c>
      <c r="E816" s="2" t="b">
        <v>0</v>
      </c>
      <c r="F816" s="2" t="b">
        <v>0</v>
      </c>
      <c r="G816" s="2" t="s">
        <v>31</v>
      </c>
      <c r="H816" s="2" t="s">
        <v>2633</v>
      </c>
      <c r="I816" s="2" t="s">
        <v>2634</v>
      </c>
      <c r="J816" s="2" t="s">
        <v>675</v>
      </c>
      <c r="K816" s="2" t="s">
        <v>35</v>
      </c>
      <c r="L816" s="2" t="s">
        <v>35</v>
      </c>
      <c r="M816" s="2" t="s">
        <v>35</v>
      </c>
      <c r="N816" s="2" t="s">
        <v>35</v>
      </c>
      <c r="O816" s="11">
        <v>44753.513595069446</v>
      </c>
      <c r="P816" s="11">
        <v>44753.513811319448</v>
      </c>
      <c r="Q816" s="27">
        <f t="shared" si="36"/>
        <v>2.1625000226777047E-4</v>
      </c>
      <c r="R816" s="65">
        <f t="shared" si="38"/>
        <v>9.1307870752643794E-4</v>
      </c>
      <c r="S816" s="2">
        <v>0</v>
      </c>
      <c r="T816" s="2" t="s">
        <v>124</v>
      </c>
      <c r="U816" s="2" t="s">
        <v>125</v>
      </c>
      <c r="V816" s="2" t="s">
        <v>38</v>
      </c>
      <c r="W816" s="2" t="s">
        <v>35</v>
      </c>
      <c r="X816" s="2" t="s">
        <v>35</v>
      </c>
      <c r="Y816" s="2" t="s">
        <v>35</v>
      </c>
      <c r="Z816" s="2" t="b">
        <v>0</v>
      </c>
      <c r="AA816" s="2" t="s">
        <v>35</v>
      </c>
      <c r="AB816" s="2">
        <v>4</v>
      </c>
      <c r="AC816" s="2" t="s">
        <v>35</v>
      </c>
      <c r="AD816" s="2" t="s">
        <v>35</v>
      </c>
      <c r="AE816" s="2" t="s">
        <v>2406</v>
      </c>
      <c r="AF816" s="11">
        <v>44753.409722164353</v>
      </c>
      <c r="AG816" s="53"/>
      <c r="AH816" s="53" t="b">
        <f t="shared" si="37"/>
        <v>0</v>
      </c>
      <c r="AI816" s="54" t="str" cm="1">
        <f t="array" ref="AI816">TRANSPOSE(_xlfn._xlws.FILTER(images!L:L,images!F:F=Barrierenmessung!A816, ""))</f>
        <v>https://captureandgo.cloudlab.zhaw.ch/uploads/image_e9cea09bb7.jpg</v>
      </c>
      <c r="AJ816" s="2"/>
      <c r="AK816" s="2"/>
      <c r="AL816" s="2"/>
      <c r="AM816" s="2"/>
      <c r="AN816" s="2"/>
    </row>
    <row r="817" spans="1:40" ht="16" x14ac:dyDescent="0.2">
      <c r="A817" s="2" t="s">
        <v>2635</v>
      </c>
      <c r="B817" s="46">
        <v>816</v>
      </c>
      <c r="C817" s="2" t="b">
        <v>0</v>
      </c>
      <c r="D817" s="2" t="b">
        <v>0</v>
      </c>
      <c r="E817" s="2" t="b">
        <v>0</v>
      </c>
      <c r="F817" s="2" t="b">
        <v>0</v>
      </c>
      <c r="G817" s="2" t="s">
        <v>31</v>
      </c>
      <c r="H817" s="2" t="s">
        <v>2636</v>
      </c>
      <c r="I817" s="2" t="s">
        <v>2637</v>
      </c>
      <c r="J817" s="2" t="s">
        <v>675</v>
      </c>
      <c r="K817" s="2" t="s">
        <v>35</v>
      </c>
      <c r="L817" s="2" t="s">
        <v>35</v>
      </c>
      <c r="M817" s="2" t="s">
        <v>35</v>
      </c>
      <c r="N817" s="2" t="s">
        <v>35</v>
      </c>
      <c r="O817" s="11">
        <v>44753.514623877316</v>
      </c>
      <c r="P817" s="11">
        <v>44753.514790381945</v>
      </c>
      <c r="Q817" s="27">
        <f t="shared" si="36"/>
        <v>1.6650462930556387E-4</v>
      </c>
      <c r="R817" s="65">
        <f t="shared" si="38"/>
        <v>9.7906249720836058E-4</v>
      </c>
      <c r="S817" s="2">
        <v>0</v>
      </c>
      <c r="T817" s="2" t="s">
        <v>124</v>
      </c>
      <c r="U817" s="2" t="s">
        <v>125</v>
      </c>
      <c r="V817" s="2" t="s">
        <v>38</v>
      </c>
      <c r="W817" s="2" t="s">
        <v>35</v>
      </c>
      <c r="X817" s="2" t="s">
        <v>35</v>
      </c>
      <c r="Y817" s="2" t="s">
        <v>35</v>
      </c>
      <c r="Z817" s="2" t="b">
        <v>0</v>
      </c>
      <c r="AA817" s="2" t="s">
        <v>35</v>
      </c>
      <c r="AB817" s="2">
        <v>4</v>
      </c>
      <c r="AC817" s="2" t="s">
        <v>35</v>
      </c>
      <c r="AD817" s="2" t="s">
        <v>35</v>
      </c>
      <c r="AE817" s="2" t="s">
        <v>2406</v>
      </c>
      <c r="AF817" s="11">
        <v>44753.409722164353</v>
      </c>
      <c r="AG817" s="53"/>
      <c r="AH817" s="53" t="b">
        <f t="shared" si="37"/>
        <v>0</v>
      </c>
      <c r="AI817" s="54" t="str" cm="1">
        <f t="array" ref="AI817">TRANSPOSE(_xlfn._xlws.FILTER(images!L:L,images!F:F=Barrierenmessung!A817, ""))</f>
        <v>https://captureandgo.cloudlab.zhaw.ch/uploads/image_2594ca2b29.jpg</v>
      </c>
      <c r="AJ817" s="2"/>
      <c r="AK817" s="2"/>
      <c r="AL817" s="2"/>
      <c r="AM817" s="2"/>
      <c r="AN817" s="2"/>
    </row>
    <row r="818" spans="1:40" ht="16" x14ac:dyDescent="0.2">
      <c r="A818" s="2" t="s">
        <v>2638</v>
      </c>
      <c r="B818" s="46">
        <v>817</v>
      </c>
      <c r="C818" s="2" t="b">
        <v>0</v>
      </c>
      <c r="D818" s="2" t="b">
        <v>0</v>
      </c>
      <c r="E818" s="2" t="b">
        <v>0</v>
      </c>
      <c r="F818" s="2" t="b">
        <v>0</v>
      </c>
      <c r="G818" s="2" t="s">
        <v>31</v>
      </c>
      <c r="H818" s="2" t="s">
        <v>2639</v>
      </c>
      <c r="I818" s="2" t="s">
        <v>2640</v>
      </c>
      <c r="J818" s="2" t="s">
        <v>675</v>
      </c>
      <c r="K818" s="2" t="s">
        <v>35</v>
      </c>
      <c r="L818" s="2" t="s">
        <v>35</v>
      </c>
      <c r="M818" s="2" t="s">
        <v>35</v>
      </c>
      <c r="N818" s="2" t="s">
        <v>35</v>
      </c>
      <c r="O818" s="11">
        <v>44753.515315775461</v>
      </c>
      <c r="P818" s="11">
        <v>44753.515590937503</v>
      </c>
      <c r="Q818" s="27">
        <f t="shared" si="36"/>
        <v>2.7516204136190936E-4</v>
      </c>
      <c r="R818" s="65">
        <f t="shared" si="38"/>
        <v>8.0055555736180395E-4</v>
      </c>
      <c r="S818" s="2">
        <v>0</v>
      </c>
      <c r="T818" s="2" t="s">
        <v>124</v>
      </c>
      <c r="U818" s="2" t="s">
        <v>125</v>
      </c>
      <c r="V818" s="2" t="s">
        <v>38</v>
      </c>
      <c r="W818" s="2" t="s">
        <v>35</v>
      </c>
      <c r="X818" s="2" t="s">
        <v>35</v>
      </c>
      <c r="Y818" s="2" t="s">
        <v>35</v>
      </c>
      <c r="Z818" s="2" t="b">
        <v>0</v>
      </c>
      <c r="AA818" s="2" t="s">
        <v>35</v>
      </c>
      <c r="AB818" s="2">
        <v>4</v>
      </c>
      <c r="AC818" s="2" t="s">
        <v>35</v>
      </c>
      <c r="AD818" s="2" t="s">
        <v>35</v>
      </c>
      <c r="AE818" s="2" t="s">
        <v>2406</v>
      </c>
      <c r="AF818" s="11">
        <v>44753.409722164353</v>
      </c>
      <c r="AG818" s="53"/>
      <c r="AH818" s="53" t="b">
        <f t="shared" si="37"/>
        <v>0</v>
      </c>
      <c r="AI818" s="54" t="str" cm="1">
        <f t="array" ref="AI818">TRANSPOSE(_xlfn._xlws.FILTER(images!L:L,images!F:F=Barrierenmessung!A818, ""))</f>
        <v>https://captureandgo.cloudlab.zhaw.ch/uploads/image_e90a038388.jpg</v>
      </c>
      <c r="AJ818" s="2"/>
      <c r="AK818" s="2"/>
      <c r="AL818" s="2"/>
      <c r="AM818" s="2"/>
      <c r="AN818" s="2"/>
    </row>
    <row r="819" spans="1:40" ht="16" x14ac:dyDescent="0.2">
      <c r="A819" s="2" t="s">
        <v>2641</v>
      </c>
      <c r="B819" s="46">
        <v>818</v>
      </c>
      <c r="C819" s="2" t="b">
        <v>0</v>
      </c>
      <c r="D819" s="2" t="b">
        <v>0</v>
      </c>
      <c r="E819" s="2" t="b">
        <v>0</v>
      </c>
      <c r="F819" s="2" t="b">
        <v>0</v>
      </c>
      <c r="G819" s="2" t="s">
        <v>31</v>
      </c>
      <c r="H819" s="2" t="s">
        <v>2642</v>
      </c>
      <c r="I819" s="2" t="s">
        <v>2643</v>
      </c>
      <c r="J819" s="2" t="s">
        <v>675</v>
      </c>
      <c r="K819" s="2" t="s">
        <v>35</v>
      </c>
      <c r="L819" s="2" t="s">
        <v>35</v>
      </c>
      <c r="M819" s="2" t="s">
        <v>35</v>
      </c>
      <c r="N819" s="2" t="s">
        <v>35</v>
      </c>
      <c r="O819" s="11">
        <v>44753.515709039355</v>
      </c>
      <c r="P819" s="11">
        <v>44753.51592740741</v>
      </c>
      <c r="Q819" s="27">
        <f t="shared" si="36"/>
        <v>2.1836805535713211E-4</v>
      </c>
      <c r="R819" s="65">
        <f t="shared" si="38"/>
        <v>3.3646990777924657E-4</v>
      </c>
      <c r="S819" s="2">
        <v>0</v>
      </c>
      <c r="T819" s="2" t="s">
        <v>124</v>
      </c>
      <c r="U819" s="2" t="s">
        <v>125</v>
      </c>
      <c r="V819" s="2" t="s">
        <v>38</v>
      </c>
      <c r="W819" s="2" t="s">
        <v>35</v>
      </c>
      <c r="X819" s="2" t="s">
        <v>35</v>
      </c>
      <c r="Y819" s="2" t="s">
        <v>35</v>
      </c>
      <c r="Z819" s="2" t="b">
        <v>0</v>
      </c>
      <c r="AA819" s="2" t="s">
        <v>35</v>
      </c>
      <c r="AB819" s="2">
        <v>4</v>
      </c>
      <c r="AC819" s="2" t="s">
        <v>35</v>
      </c>
      <c r="AD819" s="2" t="s">
        <v>35</v>
      </c>
      <c r="AE819" s="2" t="s">
        <v>2406</v>
      </c>
      <c r="AF819" s="11">
        <v>44753.409722164353</v>
      </c>
      <c r="AG819" s="53"/>
      <c r="AH819" s="53" t="b">
        <f t="shared" si="37"/>
        <v>0</v>
      </c>
      <c r="AI819" s="54" t="str" cm="1">
        <f t="array" ref="AI819">TRANSPOSE(_xlfn._xlws.FILTER(images!L:L,images!F:F=Barrierenmessung!A819, ""))</f>
        <v>https://captureandgo.cloudlab.zhaw.ch/uploads/image_bfd8492c0e.jpg</v>
      </c>
      <c r="AJ819" s="2"/>
      <c r="AK819" s="2"/>
      <c r="AL819" s="2"/>
      <c r="AM819" s="2"/>
      <c r="AN819" s="2"/>
    </row>
    <row r="820" spans="1:40" ht="16" x14ac:dyDescent="0.2">
      <c r="A820" s="2" t="s">
        <v>2644</v>
      </c>
      <c r="B820" s="46">
        <v>819</v>
      </c>
      <c r="C820" s="2" t="b">
        <v>0</v>
      </c>
      <c r="D820" s="2" t="b">
        <v>0</v>
      </c>
      <c r="E820" s="2" t="b">
        <v>0</v>
      </c>
      <c r="F820" s="2" t="b">
        <v>0</v>
      </c>
      <c r="G820" s="2" t="s">
        <v>31</v>
      </c>
      <c r="H820" s="2" t="s">
        <v>2645</v>
      </c>
      <c r="I820" s="2" t="s">
        <v>2646</v>
      </c>
      <c r="J820" s="2" t="s">
        <v>675</v>
      </c>
      <c r="K820" s="2" t="s">
        <v>35</v>
      </c>
      <c r="L820" s="2" t="s">
        <v>35</v>
      </c>
      <c r="M820" s="2" t="s">
        <v>35</v>
      </c>
      <c r="N820" s="2" t="s">
        <v>35</v>
      </c>
      <c r="O820" s="11">
        <v>44753.516129953707</v>
      </c>
      <c r="P820" s="11">
        <v>44753.516320671297</v>
      </c>
      <c r="Q820" s="27">
        <f t="shared" si="36"/>
        <v>1.9071759015787393E-4</v>
      </c>
      <c r="R820" s="65">
        <f t="shared" si="38"/>
        <v>3.9326388650806621E-4</v>
      </c>
      <c r="S820" s="2">
        <v>0</v>
      </c>
      <c r="T820" s="2" t="s">
        <v>124</v>
      </c>
      <c r="U820" s="2" t="s">
        <v>125</v>
      </c>
      <c r="V820" s="2" t="s">
        <v>38</v>
      </c>
      <c r="W820" s="2" t="s">
        <v>35</v>
      </c>
      <c r="X820" s="2" t="s">
        <v>35</v>
      </c>
      <c r="Y820" s="2" t="s">
        <v>35</v>
      </c>
      <c r="Z820" s="2" t="b">
        <v>0</v>
      </c>
      <c r="AA820" s="2" t="s">
        <v>35</v>
      </c>
      <c r="AB820" s="2">
        <v>4</v>
      </c>
      <c r="AC820" s="2" t="s">
        <v>35</v>
      </c>
      <c r="AD820" s="2" t="s">
        <v>35</v>
      </c>
      <c r="AE820" s="2" t="s">
        <v>2406</v>
      </c>
      <c r="AF820" s="11">
        <v>44753.409722164353</v>
      </c>
      <c r="AG820" s="53"/>
      <c r="AH820" s="53" t="b">
        <f t="shared" si="37"/>
        <v>0</v>
      </c>
      <c r="AI820" s="54" t="str" cm="1">
        <f t="array" ref="AI820">TRANSPOSE(_xlfn._xlws.FILTER(images!L:L,images!F:F=Barrierenmessung!A820, ""))</f>
        <v>https://captureandgo.cloudlab.zhaw.ch/uploads/image_6041a76518.jpg</v>
      </c>
      <c r="AJ820" s="2"/>
      <c r="AK820" s="2"/>
      <c r="AL820" s="2"/>
      <c r="AM820" s="2"/>
      <c r="AN820" s="2"/>
    </row>
    <row r="821" spans="1:40" ht="16" x14ac:dyDescent="0.2">
      <c r="A821" s="2" t="s">
        <v>2647</v>
      </c>
      <c r="B821" s="46">
        <v>820</v>
      </c>
      <c r="C821" s="2" t="b">
        <v>0</v>
      </c>
      <c r="D821" s="2" t="b">
        <v>0</v>
      </c>
      <c r="E821" s="2" t="b">
        <v>0</v>
      </c>
      <c r="F821" s="2" t="b">
        <v>0</v>
      </c>
      <c r="G821" s="2" t="s">
        <v>31</v>
      </c>
      <c r="H821" s="2" t="s">
        <v>2648</v>
      </c>
      <c r="I821" s="2" t="s">
        <v>2649</v>
      </c>
      <c r="J821" s="2" t="s">
        <v>35</v>
      </c>
      <c r="K821" s="2" t="s">
        <v>35</v>
      </c>
      <c r="L821" s="2" t="s">
        <v>35</v>
      </c>
      <c r="M821" s="2" t="s">
        <v>35</v>
      </c>
      <c r="N821" s="2" t="s">
        <v>35</v>
      </c>
      <c r="O821" s="11">
        <v>44755.387852800923</v>
      </c>
      <c r="P821" s="11">
        <v>44755.387983182867</v>
      </c>
      <c r="Q821" s="27">
        <f t="shared" si="36"/>
        <v>1.3038194447290152E-4</v>
      </c>
      <c r="R821" s="65">
        <f t="shared" si="38"/>
        <v>1.1776273095165379E-3</v>
      </c>
      <c r="S821" s="2">
        <v>0</v>
      </c>
      <c r="T821" s="2" t="s">
        <v>36</v>
      </c>
      <c r="U821" s="2" t="s">
        <v>37</v>
      </c>
      <c r="V821" s="2" t="s">
        <v>38</v>
      </c>
      <c r="W821" s="2" t="s">
        <v>35</v>
      </c>
      <c r="X821" s="2" t="s">
        <v>35</v>
      </c>
      <c r="Y821" s="2" t="s">
        <v>35</v>
      </c>
      <c r="Z821" s="2" t="b">
        <v>0</v>
      </c>
      <c r="AA821" s="2" t="s">
        <v>35</v>
      </c>
      <c r="AB821" s="2" t="s">
        <v>35</v>
      </c>
      <c r="AC821" s="2" t="s">
        <v>35</v>
      </c>
      <c r="AD821" s="2">
        <v>2</v>
      </c>
      <c r="AE821" s="2" t="s">
        <v>2650</v>
      </c>
      <c r="AF821" s="11">
        <v>44755.386805555558</v>
      </c>
      <c r="AG821" s="53"/>
      <c r="AH821" s="53" t="b">
        <f t="shared" si="37"/>
        <v>0</v>
      </c>
      <c r="AI821" s="54" t="str" cm="1">
        <f t="array" ref="AI821">TRANSPOSE(_xlfn._xlws.FILTER(images!L:L,images!F:F=Barrierenmessung!A821, ""))</f>
        <v>https://captureandgo.cloudlab.zhaw.ch/uploads/image_995278cffd.jpg</v>
      </c>
      <c r="AJ821" s="2"/>
      <c r="AK821" s="2"/>
      <c r="AL821" s="2"/>
      <c r="AM821" s="2"/>
      <c r="AN821" s="2"/>
    </row>
    <row r="822" spans="1:40" ht="16" x14ac:dyDescent="0.2">
      <c r="A822" s="2" t="s">
        <v>2651</v>
      </c>
      <c r="B822" s="46">
        <v>821</v>
      </c>
      <c r="C822" s="2" t="b">
        <v>0</v>
      </c>
      <c r="D822" s="2" t="b">
        <v>0</v>
      </c>
      <c r="E822" s="2" t="b">
        <v>0</v>
      </c>
      <c r="F822" s="2" t="b">
        <v>0</v>
      </c>
      <c r="G822" s="2" t="s">
        <v>31</v>
      </c>
      <c r="H822" s="2" t="s">
        <v>2652</v>
      </c>
      <c r="I822" s="2" t="s">
        <v>2653</v>
      </c>
      <c r="J822" s="2" t="s">
        <v>2654</v>
      </c>
      <c r="K822" s="2" t="s">
        <v>35</v>
      </c>
      <c r="L822" s="2" t="s">
        <v>35</v>
      </c>
      <c r="M822" s="2">
        <v>28</v>
      </c>
      <c r="N822" s="2">
        <v>15</v>
      </c>
      <c r="O822" s="11">
        <v>44755.388897569443</v>
      </c>
      <c r="P822" s="11">
        <v>44755.389350914353</v>
      </c>
      <c r="Q822" s="27">
        <f t="shared" si="36"/>
        <v>4.5334491005633026E-4</v>
      </c>
      <c r="R822" s="65">
        <f t="shared" si="38"/>
        <v>1.3677314855158329E-3</v>
      </c>
      <c r="S822" s="2">
        <v>0</v>
      </c>
      <c r="T822" s="2" t="s">
        <v>54</v>
      </c>
      <c r="U822" s="2" t="s">
        <v>55</v>
      </c>
      <c r="V822" s="2" t="s">
        <v>38</v>
      </c>
      <c r="W822" s="2" t="s">
        <v>35</v>
      </c>
      <c r="X822" s="2" t="s">
        <v>35</v>
      </c>
      <c r="Y822" s="2" t="s">
        <v>35</v>
      </c>
      <c r="Z822" s="2" t="b">
        <v>0</v>
      </c>
      <c r="AA822" s="2" t="s">
        <v>35</v>
      </c>
      <c r="AB822" s="2" t="s">
        <v>35</v>
      </c>
      <c r="AC822" s="2" t="s">
        <v>35</v>
      </c>
      <c r="AD822" s="2" t="s">
        <v>35</v>
      </c>
      <c r="AE822" s="2" t="s">
        <v>2650</v>
      </c>
      <c r="AF822" s="11">
        <v>44755.386805555558</v>
      </c>
      <c r="AG822" s="53"/>
      <c r="AH822" s="53" t="b">
        <f t="shared" si="37"/>
        <v>0</v>
      </c>
      <c r="AI822" s="54" t="str" cm="1">
        <f t="array" ref="AI822">TRANSPOSE(_xlfn._xlws.FILTER(images!L:L,images!F:F=Barrierenmessung!A822, ""))</f>
        <v>https://captureandgo.cloudlab.zhaw.ch/uploads/image_a0f9f7a92e.jpg</v>
      </c>
      <c r="AJ822" s="2"/>
      <c r="AK822" s="2"/>
      <c r="AL822" s="2"/>
      <c r="AM822" s="2"/>
      <c r="AN822" s="2"/>
    </row>
    <row r="823" spans="1:40" ht="16" x14ac:dyDescent="0.2">
      <c r="A823" s="2" t="s">
        <v>2655</v>
      </c>
      <c r="B823" s="46">
        <v>822</v>
      </c>
      <c r="C823" s="2" t="b">
        <v>0</v>
      </c>
      <c r="D823" s="2" t="b">
        <v>0</v>
      </c>
      <c r="E823" s="2" t="b">
        <v>0</v>
      </c>
      <c r="F823" s="2" t="b">
        <v>0</v>
      </c>
      <c r="G823" s="2" t="s">
        <v>31</v>
      </c>
      <c r="H823" s="2" t="s">
        <v>2656</v>
      </c>
      <c r="I823" s="2" t="s">
        <v>2657</v>
      </c>
      <c r="J823" s="2" t="s">
        <v>2658</v>
      </c>
      <c r="K823" s="2" t="s">
        <v>35</v>
      </c>
      <c r="L823" s="2" t="s">
        <v>35</v>
      </c>
      <c r="M823" s="2" t="s">
        <v>35</v>
      </c>
      <c r="N823" s="2" t="s">
        <v>35</v>
      </c>
      <c r="O823" s="11">
        <v>44755.390615428238</v>
      </c>
      <c r="P823" s="11">
        <v>44755.39117884259</v>
      </c>
      <c r="Q823" s="27">
        <f t="shared" si="36"/>
        <v>5.6341435265494511E-4</v>
      </c>
      <c r="R823" s="65">
        <f t="shared" si="38"/>
        <v>1.8279282376170158E-3</v>
      </c>
      <c r="S823" s="2">
        <v>0</v>
      </c>
      <c r="T823" s="2" t="s">
        <v>54</v>
      </c>
      <c r="U823" s="2" t="s">
        <v>55</v>
      </c>
      <c r="V823" s="2" t="s">
        <v>38</v>
      </c>
      <c r="W823" s="2" t="s">
        <v>35</v>
      </c>
      <c r="X823" s="2" t="s">
        <v>35</v>
      </c>
      <c r="Y823" s="2" t="s">
        <v>35</v>
      </c>
      <c r="Z823" s="2" t="b">
        <v>0</v>
      </c>
      <c r="AA823" s="2" t="s">
        <v>35</v>
      </c>
      <c r="AB823" s="2" t="s">
        <v>35</v>
      </c>
      <c r="AC823" s="2" t="s">
        <v>35</v>
      </c>
      <c r="AD823" s="2" t="s">
        <v>35</v>
      </c>
      <c r="AE823" s="2" t="s">
        <v>2650</v>
      </c>
      <c r="AF823" s="11">
        <v>44755.386805555558</v>
      </c>
      <c r="AG823" s="53"/>
      <c r="AH823" s="53" t="b">
        <f t="shared" si="37"/>
        <v>0</v>
      </c>
      <c r="AI823" s="54" t="str" cm="1">
        <f t="array" ref="AI823">TRANSPOSE(_xlfn._xlws.FILTER(images!L:L,images!F:F=Barrierenmessung!A823, ""))</f>
        <v>https://captureandgo.cloudlab.zhaw.ch/uploads/image_2d224ecedc.jpg</v>
      </c>
      <c r="AJ823" s="2"/>
      <c r="AK823" s="2"/>
      <c r="AL823" s="2"/>
      <c r="AM823" s="2"/>
      <c r="AN823" s="2"/>
    </row>
    <row r="824" spans="1:40" ht="16" x14ac:dyDescent="0.2">
      <c r="A824" s="2" t="s">
        <v>2659</v>
      </c>
      <c r="B824" s="46">
        <v>823</v>
      </c>
      <c r="C824" s="2" t="b">
        <v>0</v>
      </c>
      <c r="D824" s="2" t="b">
        <v>0</v>
      </c>
      <c r="E824" s="2" t="b">
        <v>0</v>
      </c>
      <c r="F824" s="2" t="b">
        <v>0</v>
      </c>
      <c r="G824" s="2" t="s">
        <v>31</v>
      </c>
      <c r="H824" s="2" t="s">
        <v>2660</v>
      </c>
      <c r="I824" s="2" t="s">
        <v>2661</v>
      </c>
      <c r="J824" s="2" t="s">
        <v>2662</v>
      </c>
      <c r="K824" s="2" t="s">
        <v>35</v>
      </c>
      <c r="L824" s="2" t="s">
        <v>35</v>
      </c>
      <c r="M824" s="2" t="s">
        <v>35</v>
      </c>
      <c r="N824" s="2" t="s">
        <v>35</v>
      </c>
      <c r="O824" s="11">
        <v>44755.391227870372</v>
      </c>
      <c r="P824" s="11">
        <v>44755.391420983797</v>
      </c>
      <c r="Q824" s="27">
        <f t="shared" si="36"/>
        <v>1.9311342475702986E-4</v>
      </c>
      <c r="R824" s="65">
        <f t="shared" si="38"/>
        <v>2.4214120639953762E-4</v>
      </c>
      <c r="S824" s="2">
        <v>0</v>
      </c>
      <c r="T824" s="2" t="s">
        <v>54</v>
      </c>
      <c r="U824" s="2" t="s">
        <v>55</v>
      </c>
      <c r="V824" s="2" t="s">
        <v>38</v>
      </c>
      <c r="W824" s="2" t="s">
        <v>35</v>
      </c>
      <c r="X824" s="2" t="s">
        <v>35</v>
      </c>
      <c r="Y824" s="2" t="s">
        <v>35</v>
      </c>
      <c r="Z824" s="2" t="b">
        <v>0</v>
      </c>
      <c r="AA824" s="2" t="s">
        <v>35</v>
      </c>
      <c r="AB824" s="2" t="s">
        <v>35</v>
      </c>
      <c r="AC824" s="2" t="s">
        <v>35</v>
      </c>
      <c r="AD824" s="2" t="s">
        <v>35</v>
      </c>
      <c r="AE824" s="2" t="s">
        <v>2650</v>
      </c>
      <c r="AF824" s="11">
        <v>44755.386805555558</v>
      </c>
      <c r="AG824" s="53"/>
      <c r="AH824" s="53" t="b">
        <f t="shared" si="37"/>
        <v>0</v>
      </c>
      <c r="AI824" s="54" t="str" cm="1">
        <f t="array" ref="AI824">TRANSPOSE(_xlfn._xlws.FILTER(images!L:L,images!F:F=Barrierenmessung!A824, ""))</f>
        <v>https://captureandgo.cloudlab.zhaw.ch/uploads/image_afd7380c4c.jpg</v>
      </c>
      <c r="AJ824" s="2"/>
      <c r="AK824" s="2"/>
      <c r="AL824" s="2"/>
      <c r="AM824" s="2"/>
      <c r="AN824" s="2"/>
    </row>
    <row r="825" spans="1:40" ht="16" x14ac:dyDescent="0.2">
      <c r="A825" s="2" t="s">
        <v>2663</v>
      </c>
      <c r="B825" s="46">
        <v>824</v>
      </c>
      <c r="C825" s="2" t="b">
        <v>0</v>
      </c>
      <c r="D825" s="2" t="b">
        <v>0</v>
      </c>
      <c r="E825" s="2" t="b">
        <v>0</v>
      </c>
      <c r="F825" s="2" t="b">
        <v>0</v>
      </c>
      <c r="G825" s="2" t="s">
        <v>31</v>
      </c>
      <c r="H825" s="2" t="s">
        <v>2664</v>
      </c>
      <c r="I825" s="2" t="s">
        <v>2665</v>
      </c>
      <c r="J825" s="2" t="s">
        <v>35</v>
      </c>
      <c r="K825" s="2" t="s">
        <v>35</v>
      </c>
      <c r="L825" s="2" t="s">
        <v>35</v>
      </c>
      <c r="M825" s="2">
        <v>28</v>
      </c>
      <c r="N825" s="2">
        <v>15</v>
      </c>
      <c r="O825" s="11">
        <v>44755.391467118054</v>
      </c>
      <c r="P825" s="11">
        <v>44755.391877372684</v>
      </c>
      <c r="Q825" s="27">
        <f t="shared" si="36"/>
        <v>4.102546299691312E-4</v>
      </c>
      <c r="R825" s="65">
        <f t="shared" si="38"/>
        <v>4.5638888695975766E-4</v>
      </c>
      <c r="S825" s="2">
        <v>0</v>
      </c>
      <c r="T825" s="2" t="s">
        <v>54</v>
      </c>
      <c r="U825" s="2" t="s">
        <v>55</v>
      </c>
      <c r="V825" s="2" t="s">
        <v>38</v>
      </c>
      <c r="W825" s="2" t="s">
        <v>35</v>
      </c>
      <c r="X825" s="2" t="s">
        <v>35</v>
      </c>
      <c r="Y825" s="2" t="s">
        <v>35</v>
      </c>
      <c r="Z825" s="2" t="b">
        <v>0</v>
      </c>
      <c r="AA825" s="2" t="s">
        <v>35</v>
      </c>
      <c r="AB825" s="2" t="s">
        <v>35</v>
      </c>
      <c r="AC825" s="2" t="s">
        <v>35</v>
      </c>
      <c r="AD825" s="2" t="s">
        <v>35</v>
      </c>
      <c r="AE825" s="2" t="s">
        <v>2650</v>
      </c>
      <c r="AF825" s="11">
        <v>44755.386805555558</v>
      </c>
      <c r="AG825" s="53"/>
      <c r="AH825" s="53" t="b">
        <f t="shared" si="37"/>
        <v>0</v>
      </c>
      <c r="AI825" s="54" t="str" cm="1">
        <f t="array" ref="AI825">TRANSPOSE(_xlfn._xlws.FILTER(images!L:L,images!F:F=Barrierenmessung!A825, ""))</f>
        <v>https://captureandgo.cloudlab.zhaw.ch/uploads/image_85632f4ff6.jpg</v>
      </c>
      <c r="AJ825" s="2"/>
      <c r="AK825" s="2"/>
      <c r="AL825" s="2"/>
      <c r="AM825" s="2"/>
      <c r="AN825" s="2"/>
    </row>
    <row r="826" spans="1:40" ht="16" x14ac:dyDescent="0.2">
      <c r="A826" s="2" t="s">
        <v>2666</v>
      </c>
      <c r="B826" s="46">
        <v>825</v>
      </c>
      <c r="C826" s="2" t="b">
        <v>0</v>
      </c>
      <c r="D826" s="2" t="b">
        <v>0</v>
      </c>
      <c r="E826" s="2" t="b">
        <v>0</v>
      </c>
      <c r="F826" s="2" t="b">
        <v>0</v>
      </c>
      <c r="G826" s="2" t="s">
        <v>31</v>
      </c>
      <c r="H826" s="2" t="s">
        <v>2667</v>
      </c>
      <c r="I826" s="2" t="s">
        <v>2668</v>
      </c>
      <c r="J826" s="2" t="s">
        <v>35</v>
      </c>
      <c r="K826" s="2" t="s">
        <v>35</v>
      </c>
      <c r="L826" s="2" t="s">
        <v>35</v>
      </c>
      <c r="M826" s="2" t="s">
        <v>35</v>
      </c>
      <c r="N826" s="2" t="s">
        <v>35</v>
      </c>
      <c r="O826" s="11">
        <v>44755.392425416663</v>
      </c>
      <c r="P826" s="11">
        <v>44755.392552187499</v>
      </c>
      <c r="Q826" s="27">
        <f t="shared" si="36"/>
        <v>1.2677083577727899E-4</v>
      </c>
      <c r="R826" s="65">
        <f t="shared" si="38"/>
        <v>6.7481481528375298E-4</v>
      </c>
      <c r="S826" s="2">
        <v>0</v>
      </c>
      <c r="T826" s="2" t="s">
        <v>36</v>
      </c>
      <c r="U826" s="2" t="s">
        <v>37</v>
      </c>
      <c r="V826" s="2" t="s">
        <v>38</v>
      </c>
      <c r="W826" s="2" t="s">
        <v>35</v>
      </c>
      <c r="X826" s="2" t="s">
        <v>35</v>
      </c>
      <c r="Y826" s="2" t="s">
        <v>35</v>
      </c>
      <c r="Z826" s="2" t="b">
        <v>0</v>
      </c>
      <c r="AA826" s="2" t="s">
        <v>35</v>
      </c>
      <c r="AB826" s="2" t="s">
        <v>35</v>
      </c>
      <c r="AC826" s="2" t="s">
        <v>35</v>
      </c>
      <c r="AD826" s="2">
        <v>3</v>
      </c>
      <c r="AE826" s="2" t="s">
        <v>2650</v>
      </c>
      <c r="AF826" s="11">
        <v>44755.386805555558</v>
      </c>
      <c r="AG826" s="53"/>
      <c r="AH826" s="53" t="b">
        <f t="shared" si="37"/>
        <v>0</v>
      </c>
      <c r="AI826" s="54" t="str" cm="1">
        <f t="array" ref="AI826">TRANSPOSE(_xlfn._xlws.FILTER(images!L:L,images!F:F=Barrierenmessung!A826, ""))</f>
        <v>https://captureandgo.cloudlab.zhaw.ch/uploads/image_fee73f44fc.jpg</v>
      </c>
      <c r="AJ826" s="2"/>
      <c r="AK826" s="2"/>
      <c r="AL826" s="2"/>
      <c r="AM826" s="2"/>
      <c r="AN826" s="2"/>
    </row>
    <row r="827" spans="1:40" ht="16" x14ac:dyDescent="0.2">
      <c r="A827" s="2" t="s">
        <v>2669</v>
      </c>
      <c r="B827" s="46">
        <v>826</v>
      </c>
      <c r="C827" s="2" t="b">
        <v>0</v>
      </c>
      <c r="D827" s="2" t="b">
        <v>0</v>
      </c>
      <c r="E827" s="2" t="b">
        <v>0</v>
      </c>
      <c r="F827" s="2" t="b">
        <v>0</v>
      </c>
      <c r="G827" s="2" t="s">
        <v>31</v>
      </c>
      <c r="H827" s="2" t="s">
        <v>2670</v>
      </c>
      <c r="I827" s="2" t="s">
        <v>2671</v>
      </c>
      <c r="J827" s="2" t="s">
        <v>35</v>
      </c>
      <c r="K827" s="2" t="s">
        <v>35</v>
      </c>
      <c r="L827" s="2" t="s">
        <v>35</v>
      </c>
      <c r="M827" s="2" t="s">
        <v>35</v>
      </c>
      <c r="N827" s="2" t="s">
        <v>35</v>
      </c>
      <c r="O827" s="11">
        <v>44755.395541608799</v>
      </c>
      <c r="P827" s="11">
        <v>44755.395671828701</v>
      </c>
      <c r="Q827" s="27">
        <f t="shared" si="36"/>
        <v>1.3021990162087604E-4</v>
      </c>
      <c r="R827" s="65">
        <f t="shared" si="38"/>
        <v>3.119641201919876E-3</v>
      </c>
      <c r="S827" s="2">
        <v>0</v>
      </c>
      <c r="T827" s="2" t="s">
        <v>36</v>
      </c>
      <c r="U827" s="2" t="s">
        <v>37</v>
      </c>
      <c r="V827" s="2" t="s">
        <v>38</v>
      </c>
      <c r="W827" s="2" t="s">
        <v>35</v>
      </c>
      <c r="X827" s="2" t="s">
        <v>35</v>
      </c>
      <c r="Y827" s="2" t="s">
        <v>35</v>
      </c>
      <c r="Z827" s="2" t="b">
        <v>0</v>
      </c>
      <c r="AA827" s="2" t="s">
        <v>35</v>
      </c>
      <c r="AB827" s="2" t="s">
        <v>35</v>
      </c>
      <c r="AC827" s="2" t="s">
        <v>35</v>
      </c>
      <c r="AD827" s="2">
        <v>3</v>
      </c>
      <c r="AE827" s="2" t="s">
        <v>2650</v>
      </c>
      <c r="AF827" s="11">
        <v>44755.386805555558</v>
      </c>
      <c r="AG827" s="53"/>
      <c r="AH827" s="53" t="b">
        <f t="shared" si="37"/>
        <v>0</v>
      </c>
      <c r="AI827" s="54" t="str" cm="1">
        <f t="array" ref="AI827">TRANSPOSE(_xlfn._xlws.FILTER(images!L:L,images!F:F=Barrierenmessung!A827, ""))</f>
        <v>https://captureandgo.cloudlab.zhaw.ch/uploads/image_734ff1bd79.jpg</v>
      </c>
      <c r="AJ827" s="2"/>
      <c r="AK827" s="2"/>
      <c r="AL827" s="2"/>
      <c r="AM827" s="2"/>
      <c r="AN827" s="2"/>
    </row>
    <row r="828" spans="1:40" ht="16" x14ac:dyDescent="0.2">
      <c r="A828" s="2" t="s">
        <v>2672</v>
      </c>
      <c r="B828" s="46">
        <v>827</v>
      </c>
      <c r="C828" s="2" t="b">
        <v>0</v>
      </c>
      <c r="D828" s="2" t="b">
        <v>0</v>
      </c>
      <c r="E828" s="2" t="b">
        <v>0</v>
      </c>
      <c r="F828" s="2" t="b">
        <v>0</v>
      </c>
      <c r="G828" s="2" t="s">
        <v>31</v>
      </c>
      <c r="H828" s="2" t="s">
        <v>2673</v>
      </c>
      <c r="I828" s="2" t="s">
        <v>2674</v>
      </c>
      <c r="J828" s="2" t="s">
        <v>35</v>
      </c>
      <c r="K828" s="2" t="s">
        <v>35</v>
      </c>
      <c r="L828" s="2" t="s">
        <v>35</v>
      </c>
      <c r="M828" s="2" t="s">
        <v>35</v>
      </c>
      <c r="N828" s="2" t="s">
        <v>35</v>
      </c>
      <c r="O828" s="11">
        <v>44755.397703888892</v>
      </c>
      <c r="P828" s="11">
        <v>44755.397823854168</v>
      </c>
      <c r="Q828" s="27">
        <f t="shared" si="36"/>
        <v>1.1996527609881014E-4</v>
      </c>
      <c r="R828" s="65">
        <f t="shared" si="38"/>
        <v>2.1520254667848349E-3</v>
      </c>
      <c r="S828" s="2">
        <v>0</v>
      </c>
      <c r="T828" s="2" t="s">
        <v>36</v>
      </c>
      <c r="U828" s="2" t="s">
        <v>37</v>
      </c>
      <c r="V828" s="2" t="s">
        <v>38</v>
      </c>
      <c r="W828" s="2" t="s">
        <v>35</v>
      </c>
      <c r="X828" s="2" t="s">
        <v>35</v>
      </c>
      <c r="Y828" s="2" t="s">
        <v>35</v>
      </c>
      <c r="Z828" s="2" t="b">
        <v>0</v>
      </c>
      <c r="AA828" s="2" t="s">
        <v>35</v>
      </c>
      <c r="AB828" s="2" t="s">
        <v>35</v>
      </c>
      <c r="AC828" s="2" t="s">
        <v>35</v>
      </c>
      <c r="AD828" s="2">
        <v>3</v>
      </c>
      <c r="AE828" s="2" t="s">
        <v>2650</v>
      </c>
      <c r="AF828" s="11">
        <v>44755.386805555558</v>
      </c>
      <c r="AG828" s="53"/>
      <c r="AH828" s="53" t="b">
        <f t="shared" si="37"/>
        <v>0</v>
      </c>
      <c r="AI828" s="54" t="str" cm="1">
        <f t="array" ref="AI828">TRANSPOSE(_xlfn._xlws.FILTER(images!L:L,images!F:F=Barrierenmessung!A828, ""))</f>
        <v>https://captureandgo.cloudlab.zhaw.ch/uploads/image_55e0a36830.jpg</v>
      </c>
      <c r="AJ828" s="2"/>
      <c r="AK828" s="2"/>
      <c r="AL828" s="2"/>
      <c r="AM828" s="2"/>
      <c r="AN828" s="2"/>
    </row>
    <row r="829" spans="1:40" ht="16" x14ac:dyDescent="0.2">
      <c r="A829" s="2" t="s">
        <v>2675</v>
      </c>
      <c r="B829" s="46">
        <v>828</v>
      </c>
      <c r="C829" s="2" t="b">
        <v>0</v>
      </c>
      <c r="D829" s="2" t="b">
        <v>0</v>
      </c>
      <c r="E829" s="2" t="b">
        <v>0</v>
      </c>
      <c r="F829" s="2" t="b">
        <v>0</v>
      </c>
      <c r="G829" s="2" t="s">
        <v>31</v>
      </c>
      <c r="H829" s="2" t="s">
        <v>2676</v>
      </c>
      <c r="I829" s="2" t="s">
        <v>2677</v>
      </c>
      <c r="J829" s="2" t="s">
        <v>35</v>
      </c>
      <c r="K829" s="2" t="s">
        <v>35</v>
      </c>
      <c r="L829" s="2" t="s">
        <v>35</v>
      </c>
      <c r="M829" s="2" t="s">
        <v>35</v>
      </c>
      <c r="N829" s="2" t="s">
        <v>35</v>
      </c>
      <c r="O829" s="11">
        <v>44755.399064849538</v>
      </c>
      <c r="P829" s="11">
        <v>44755.399173148151</v>
      </c>
      <c r="Q829" s="27">
        <f t="shared" si="36"/>
        <v>1.0829861275851727E-4</v>
      </c>
      <c r="R829" s="65">
        <f t="shared" si="38"/>
        <v>1.3492939833668061E-3</v>
      </c>
      <c r="S829" s="2">
        <v>0</v>
      </c>
      <c r="T829" s="2" t="s">
        <v>36</v>
      </c>
      <c r="U829" s="2" t="s">
        <v>37</v>
      </c>
      <c r="V829" s="2" t="s">
        <v>38</v>
      </c>
      <c r="W829" s="2" t="s">
        <v>35</v>
      </c>
      <c r="X829" s="2" t="s">
        <v>35</v>
      </c>
      <c r="Y829" s="2" t="s">
        <v>35</v>
      </c>
      <c r="Z829" s="2" t="b">
        <v>0</v>
      </c>
      <c r="AA829" s="2" t="s">
        <v>35</v>
      </c>
      <c r="AB829" s="2" t="s">
        <v>35</v>
      </c>
      <c r="AC829" s="2" t="s">
        <v>35</v>
      </c>
      <c r="AD829" s="2">
        <v>4</v>
      </c>
      <c r="AE829" s="2" t="s">
        <v>2650</v>
      </c>
      <c r="AF829" s="11">
        <v>44755.386805555558</v>
      </c>
      <c r="AG829" s="53"/>
      <c r="AH829" s="53" t="b">
        <f t="shared" si="37"/>
        <v>0</v>
      </c>
      <c r="AI829" s="54" t="str" cm="1">
        <f t="array" ref="AI829">TRANSPOSE(_xlfn._xlws.FILTER(images!L:L,images!F:F=Barrierenmessung!A829, ""))</f>
        <v>https://captureandgo.cloudlab.zhaw.ch/uploads/image_834d90c07b.jpg</v>
      </c>
      <c r="AJ829" s="2"/>
      <c r="AK829" s="2"/>
      <c r="AL829" s="2"/>
      <c r="AM829" s="2"/>
      <c r="AN829" s="2"/>
    </row>
    <row r="830" spans="1:40" ht="16" x14ac:dyDescent="0.2">
      <c r="A830" s="2" t="s">
        <v>2678</v>
      </c>
      <c r="B830" s="46">
        <v>829</v>
      </c>
      <c r="C830" s="2" t="b">
        <v>0</v>
      </c>
      <c r="D830" s="2" t="b">
        <v>0</v>
      </c>
      <c r="E830" s="2" t="b">
        <v>0</v>
      </c>
      <c r="F830" s="2" t="b">
        <v>0</v>
      </c>
      <c r="G830" s="2" t="s">
        <v>31</v>
      </c>
      <c r="H830" s="2" t="s">
        <v>2679</v>
      </c>
      <c r="I830" s="2" t="s">
        <v>2680</v>
      </c>
      <c r="J830" s="2" t="s">
        <v>35</v>
      </c>
      <c r="K830" s="2" t="s">
        <v>35</v>
      </c>
      <c r="L830" s="2" t="s">
        <v>35</v>
      </c>
      <c r="M830" s="2" t="s">
        <v>35</v>
      </c>
      <c r="N830" s="2" t="s">
        <v>35</v>
      </c>
      <c r="O830" s="11">
        <v>44755.400241620373</v>
      </c>
      <c r="P830" s="11">
        <v>44755.400386921297</v>
      </c>
      <c r="Q830" s="27">
        <f t="shared" si="36"/>
        <v>1.4530092448694631E-4</v>
      </c>
      <c r="R830" s="65">
        <f t="shared" si="38"/>
        <v>1.2137731464463286E-3</v>
      </c>
      <c r="S830" s="2">
        <v>0</v>
      </c>
      <c r="T830" s="2" t="s">
        <v>36</v>
      </c>
      <c r="U830" s="2" t="s">
        <v>37</v>
      </c>
      <c r="V830" s="2" t="s">
        <v>38</v>
      </c>
      <c r="W830" s="2" t="s">
        <v>35</v>
      </c>
      <c r="X830" s="2" t="s">
        <v>35</v>
      </c>
      <c r="Y830" s="2" t="s">
        <v>35</v>
      </c>
      <c r="Z830" s="2" t="b">
        <v>0</v>
      </c>
      <c r="AA830" s="2" t="s">
        <v>35</v>
      </c>
      <c r="AB830" s="2" t="s">
        <v>35</v>
      </c>
      <c r="AC830" s="2" t="s">
        <v>35</v>
      </c>
      <c r="AD830" s="2">
        <v>2</v>
      </c>
      <c r="AE830" s="2" t="s">
        <v>2650</v>
      </c>
      <c r="AF830" s="11">
        <v>44755.386805555558</v>
      </c>
      <c r="AG830" s="53"/>
      <c r="AH830" s="53" t="b">
        <f t="shared" si="37"/>
        <v>0</v>
      </c>
      <c r="AI830" s="54" t="str" cm="1">
        <f t="array" ref="AI830">TRANSPOSE(_xlfn._xlws.FILTER(images!L:L,images!F:F=Barrierenmessung!A830, ""))</f>
        <v>https://captureandgo.cloudlab.zhaw.ch/uploads/image_76bd7561df.jpg</v>
      </c>
      <c r="AJ830" s="2"/>
      <c r="AK830" s="2"/>
      <c r="AL830" s="2"/>
      <c r="AM830" s="2"/>
      <c r="AN830" s="2"/>
    </row>
    <row r="831" spans="1:40" ht="16" x14ac:dyDescent="0.2">
      <c r="A831" s="2" t="s">
        <v>2681</v>
      </c>
      <c r="B831" s="46">
        <v>830</v>
      </c>
      <c r="C831" s="2" t="b">
        <v>0</v>
      </c>
      <c r="D831" s="2" t="b">
        <v>0</v>
      </c>
      <c r="E831" s="2" t="b">
        <v>0</v>
      </c>
      <c r="F831" s="2" t="b">
        <v>1</v>
      </c>
      <c r="G831" s="2" t="s">
        <v>31</v>
      </c>
      <c r="H831" s="2" t="s">
        <v>2682</v>
      </c>
      <c r="I831" s="2" t="s">
        <v>2683</v>
      </c>
      <c r="J831" s="2" t="s">
        <v>2684</v>
      </c>
      <c r="K831" s="2" t="s">
        <v>35</v>
      </c>
      <c r="L831" s="2">
        <v>4</v>
      </c>
      <c r="M831" s="2" t="s">
        <v>35</v>
      </c>
      <c r="N831" s="2" t="s">
        <v>35</v>
      </c>
      <c r="O831" s="11">
        <v>44755.401713032406</v>
      </c>
      <c r="P831" s="11">
        <v>44755.40224452546</v>
      </c>
      <c r="Q831" s="27">
        <f t="shared" si="36"/>
        <v>5.3149305313127115E-4</v>
      </c>
      <c r="R831" s="65">
        <f t="shared" si="38"/>
        <v>1.8576041620690376E-3</v>
      </c>
      <c r="S831" s="2">
        <v>0</v>
      </c>
      <c r="T831" s="2" t="s">
        <v>265</v>
      </c>
      <c r="U831" s="2" t="s">
        <v>266</v>
      </c>
      <c r="V831" s="2" t="s">
        <v>38</v>
      </c>
      <c r="W831" s="2" t="s">
        <v>35</v>
      </c>
      <c r="X831" s="2" t="s">
        <v>35</v>
      </c>
      <c r="Y831" s="2" t="s">
        <v>35</v>
      </c>
      <c r="Z831" s="2" t="b">
        <v>0</v>
      </c>
      <c r="AA831" s="2" t="s">
        <v>35</v>
      </c>
      <c r="AB831" s="2" t="s">
        <v>35</v>
      </c>
      <c r="AC831" s="2" t="s">
        <v>35</v>
      </c>
      <c r="AD831" s="2" t="s">
        <v>35</v>
      </c>
      <c r="AE831" s="2" t="s">
        <v>2650</v>
      </c>
      <c r="AF831" s="11">
        <v>44755.386805555558</v>
      </c>
      <c r="AG831" s="53"/>
      <c r="AH831" s="53" t="b">
        <f t="shared" si="37"/>
        <v>0</v>
      </c>
      <c r="AI831" s="54" t="str" cm="1">
        <f t="array" ref="AI831">TRANSPOSE(_xlfn._xlws.FILTER(images!L:L,images!F:F=Barrierenmessung!A831, ""))</f>
        <v>https://captureandgo.cloudlab.zhaw.ch/uploads/image_c98feed872.jpg</v>
      </c>
      <c r="AJ831" s="2"/>
      <c r="AK831" s="2"/>
      <c r="AL831" s="2"/>
      <c r="AM831" s="2"/>
      <c r="AN831" s="2"/>
    </row>
    <row r="832" spans="1:40" ht="16" x14ac:dyDescent="0.2">
      <c r="A832" s="2" t="s">
        <v>2685</v>
      </c>
      <c r="B832" s="46">
        <v>831</v>
      </c>
      <c r="C832" s="2" t="b">
        <v>0</v>
      </c>
      <c r="D832" s="2" t="b">
        <v>0</v>
      </c>
      <c r="E832" s="2" t="b">
        <v>0</v>
      </c>
      <c r="F832" s="2" t="b">
        <v>0</v>
      </c>
      <c r="G832" s="2" t="s">
        <v>31</v>
      </c>
      <c r="H832" s="2" t="s">
        <v>2686</v>
      </c>
      <c r="I832" s="2" t="s">
        <v>2687</v>
      </c>
      <c r="J832" s="2" t="s">
        <v>35</v>
      </c>
      <c r="K832" s="2" t="s">
        <v>35</v>
      </c>
      <c r="L832" s="2" t="s">
        <v>35</v>
      </c>
      <c r="M832" s="2" t="s">
        <v>35</v>
      </c>
      <c r="N832" s="2" t="s">
        <v>35</v>
      </c>
      <c r="O832" s="11">
        <v>44755.403110671294</v>
      </c>
      <c r="P832" s="11">
        <v>44755.403249305557</v>
      </c>
      <c r="Q832" s="27">
        <f t="shared" si="36"/>
        <v>1.3863426283933222E-4</v>
      </c>
      <c r="R832" s="65">
        <f t="shared" si="38"/>
        <v>1.0047800969914533E-3</v>
      </c>
      <c r="S832" s="2">
        <v>0</v>
      </c>
      <c r="T832" s="2" t="s">
        <v>36</v>
      </c>
      <c r="U832" s="2" t="s">
        <v>37</v>
      </c>
      <c r="V832" s="2" t="s">
        <v>38</v>
      </c>
      <c r="W832" s="2" t="s">
        <v>35</v>
      </c>
      <c r="X832" s="2" t="s">
        <v>35</v>
      </c>
      <c r="Y832" s="2" t="s">
        <v>35</v>
      </c>
      <c r="Z832" s="2" t="b">
        <v>0</v>
      </c>
      <c r="AA832" s="2" t="s">
        <v>35</v>
      </c>
      <c r="AB832" s="2" t="s">
        <v>35</v>
      </c>
      <c r="AC832" s="2" t="s">
        <v>35</v>
      </c>
      <c r="AD832" s="2">
        <v>3</v>
      </c>
      <c r="AE832" s="2" t="s">
        <v>2650</v>
      </c>
      <c r="AF832" s="11">
        <v>44755.386805555558</v>
      </c>
      <c r="AG832" s="53"/>
      <c r="AH832" s="53" t="b">
        <f t="shared" si="37"/>
        <v>0</v>
      </c>
      <c r="AI832" s="54" t="str" cm="1">
        <f t="array" ref="AI832">TRANSPOSE(_xlfn._xlws.FILTER(images!L:L,images!F:F=Barrierenmessung!A832, ""))</f>
        <v>https://captureandgo.cloudlab.zhaw.ch/uploads/image_b3e7bb27a7.jpg</v>
      </c>
      <c r="AJ832" s="2"/>
      <c r="AK832" s="2"/>
      <c r="AL832" s="2"/>
      <c r="AM832" s="2"/>
      <c r="AN832" s="2"/>
    </row>
    <row r="833" spans="1:40" ht="16" x14ac:dyDescent="0.2">
      <c r="A833" s="2" t="s">
        <v>2688</v>
      </c>
      <c r="B833" s="46">
        <v>832</v>
      </c>
      <c r="C833" s="2" t="b">
        <v>0</v>
      </c>
      <c r="D833" s="2" t="b">
        <v>0</v>
      </c>
      <c r="E833" s="2" t="b">
        <v>0</v>
      </c>
      <c r="F833" s="2" t="b">
        <v>0</v>
      </c>
      <c r="G833" s="2" t="s">
        <v>31</v>
      </c>
      <c r="H833" s="2" t="s">
        <v>2689</v>
      </c>
      <c r="I833" s="2" t="s">
        <v>2690</v>
      </c>
      <c r="J833" s="2" t="s">
        <v>35</v>
      </c>
      <c r="K833" s="2" t="s">
        <v>35</v>
      </c>
      <c r="L833" s="2" t="s">
        <v>35</v>
      </c>
      <c r="M833" s="2" t="s">
        <v>35</v>
      </c>
      <c r="N833" s="2" t="s">
        <v>35</v>
      </c>
      <c r="O833" s="11">
        <v>44755.403754687497</v>
      </c>
      <c r="P833" s="11">
        <v>44755.403884699073</v>
      </c>
      <c r="Q833" s="27">
        <f t="shared" si="36"/>
        <v>1.3001157640246674E-4</v>
      </c>
      <c r="R833" s="65">
        <f t="shared" si="38"/>
        <v>6.3539351685903966E-4</v>
      </c>
      <c r="S833" s="2">
        <v>0</v>
      </c>
      <c r="T833" s="2" t="s">
        <v>36</v>
      </c>
      <c r="U833" s="2" t="s">
        <v>37</v>
      </c>
      <c r="V833" s="2" t="s">
        <v>38</v>
      </c>
      <c r="W833" s="2" t="s">
        <v>35</v>
      </c>
      <c r="X833" s="2" t="s">
        <v>35</v>
      </c>
      <c r="Y833" s="2" t="s">
        <v>35</v>
      </c>
      <c r="Z833" s="2" t="b">
        <v>0</v>
      </c>
      <c r="AA833" s="2" t="s">
        <v>35</v>
      </c>
      <c r="AB833" s="2" t="s">
        <v>35</v>
      </c>
      <c r="AC833" s="2" t="s">
        <v>35</v>
      </c>
      <c r="AD833" s="2">
        <v>3</v>
      </c>
      <c r="AE833" s="2" t="s">
        <v>2650</v>
      </c>
      <c r="AF833" s="11">
        <v>44755.386805555558</v>
      </c>
      <c r="AG833" s="53"/>
      <c r="AH833" s="53" t="b">
        <f t="shared" si="37"/>
        <v>0</v>
      </c>
      <c r="AI833" s="54" t="str" cm="1">
        <f t="array" ref="AI833">TRANSPOSE(_xlfn._xlws.FILTER(images!L:L,images!F:F=Barrierenmessung!A833, ""))</f>
        <v>https://captureandgo.cloudlab.zhaw.ch/uploads/image_3b5f11a044.jpg</v>
      </c>
      <c r="AJ833" s="2"/>
      <c r="AK833" s="2"/>
      <c r="AL833" s="2"/>
      <c r="AM833" s="2"/>
      <c r="AN833" s="2"/>
    </row>
    <row r="834" spans="1:40" ht="16" x14ac:dyDescent="0.2">
      <c r="A834" s="2" t="s">
        <v>2691</v>
      </c>
      <c r="B834" s="46">
        <v>833</v>
      </c>
      <c r="C834" s="2" t="b">
        <v>0</v>
      </c>
      <c r="D834" s="2" t="b">
        <v>0</v>
      </c>
      <c r="E834" s="2" t="b">
        <v>0</v>
      </c>
      <c r="F834" s="2" t="b">
        <v>0</v>
      </c>
      <c r="G834" s="2" t="s">
        <v>31</v>
      </c>
      <c r="H834" s="2" t="s">
        <v>2692</v>
      </c>
      <c r="I834" s="2" t="s">
        <v>2693</v>
      </c>
      <c r="J834" s="2" t="s">
        <v>35</v>
      </c>
      <c r="K834" s="2" t="s">
        <v>35</v>
      </c>
      <c r="L834" s="2" t="s">
        <v>35</v>
      </c>
      <c r="M834" s="2" t="s">
        <v>35</v>
      </c>
      <c r="N834" s="2" t="s">
        <v>35</v>
      </c>
      <c r="O834" s="11">
        <v>44755.404645439812</v>
      </c>
      <c r="P834" s="11">
        <v>44755.404744398147</v>
      </c>
      <c r="Q834" s="27">
        <f t="shared" ref="Q834:Q897" si="39">P834-O834</f>
        <v>9.8958335001952946E-5</v>
      </c>
      <c r="R834" s="65">
        <f t="shared" si="38"/>
        <v>8.5969907377148047E-4</v>
      </c>
      <c r="S834" s="2">
        <v>0</v>
      </c>
      <c r="T834" s="2" t="s">
        <v>36</v>
      </c>
      <c r="U834" s="2" t="s">
        <v>37</v>
      </c>
      <c r="V834" s="2" t="s">
        <v>38</v>
      </c>
      <c r="W834" s="2" t="s">
        <v>35</v>
      </c>
      <c r="X834" s="2" t="s">
        <v>35</v>
      </c>
      <c r="Y834" s="2" t="s">
        <v>35</v>
      </c>
      <c r="Z834" s="2" t="b">
        <v>0</v>
      </c>
      <c r="AA834" s="2" t="s">
        <v>35</v>
      </c>
      <c r="AB834" s="2" t="s">
        <v>35</v>
      </c>
      <c r="AC834" s="2" t="s">
        <v>35</v>
      </c>
      <c r="AD834" s="2">
        <v>2</v>
      </c>
      <c r="AE834" s="2" t="s">
        <v>2650</v>
      </c>
      <c r="AF834" s="11">
        <v>44755.386805555558</v>
      </c>
      <c r="AG834" s="53"/>
      <c r="AH834" s="53" t="b">
        <f t="shared" si="37"/>
        <v>0</v>
      </c>
      <c r="AI834" s="54" t="str" cm="1">
        <f t="array" ref="AI834">TRANSPOSE(_xlfn._xlws.FILTER(images!L:L,images!F:F=Barrierenmessung!A834, ""))</f>
        <v>https://captureandgo.cloudlab.zhaw.ch/uploads/image_6f22069a00.jpg</v>
      </c>
      <c r="AJ834" s="2"/>
      <c r="AK834" s="2"/>
      <c r="AL834" s="2"/>
      <c r="AM834" s="2"/>
      <c r="AN834" s="2"/>
    </row>
    <row r="835" spans="1:40" ht="16" x14ac:dyDescent="0.2">
      <c r="A835" s="2" t="s">
        <v>2694</v>
      </c>
      <c r="B835" s="46">
        <v>834</v>
      </c>
      <c r="C835" s="2" t="b">
        <v>0</v>
      </c>
      <c r="D835" s="2" t="b">
        <v>0</v>
      </c>
      <c r="E835" s="2" t="b">
        <v>0</v>
      </c>
      <c r="F835" s="2" t="b">
        <v>0</v>
      </c>
      <c r="G835" s="2" t="s">
        <v>31</v>
      </c>
      <c r="H835" s="2" t="s">
        <v>2695</v>
      </c>
      <c r="I835" s="2" t="s">
        <v>2696</v>
      </c>
      <c r="J835" s="2" t="s">
        <v>35</v>
      </c>
      <c r="K835" s="2" t="s">
        <v>35</v>
      </c>
      <c r="L835" s="2" t="s">
        <v>35</v>
      </c>
      <c r="M835" s="2" t="s">
        <v>35</v>
      </c>
      <c r="N835" s="2" t="s">
        <v>35</v>
      </c>
      <c r="O835" s="11">
        <v>44755.404959907406</v>
      </c>
      <c r="P835" s="11">
        <v>44755.405214560182</v>
      </c>
      <c r="Q835" s="27">
        <f t="shared" si="39"/>
        <v>2.5465277576586232E-4</v>
      </c>
      <c r="R835" s="65">
        <f t="shared" si="38"/>
        <v>4.7016203461680561E-4</v>
      </c>
      <c r="S835" s="2">
        <v>0</v>
      </c>
      <c r="T835" s="2" t="s">
        <v>36</v>
      </c>
      <c r="U835" s="2" t="s">
        <v>37</v>
      </c>
      <c r="V835" s="2" t="s">
        <v>38</v>
      </c>
      <c r="W835" s="2" t="s">
        <v>35</v>
      </c>
      <c r="X835" s="2" t="s">
        <v>35</v>
      </c>
      <c r="Y835" s="2" t="s">
        <v>35</v>
      </c>
      <c r="Z835" s="2" t="b">
        <v>0</v>
      </c>
      <c r="AA835" s="2" t="s">
        <v>2697</v>
      </c>
      <c r="AB835" s="2" t="s">
        <v>35</v>
      </c>
      <c r="AC835" s="2" t="s">
        <v>35</v>
      </c>
      <c r="AD835" s="2" t="s">
        <v>35</v>
      </c>
      <c r="AE835" s="2" t="s">
        <v>2650</v>
      </c>
      <c r="AF835" s="11">
        <v>44755.386805555558</v>
      </c>
      <c r="AG835" s="53"/>
      <c r="AH835" s="53" t="b">
        <f t="shared" ref="AH835:AH898" si="40">IF(Q835&lt;TIME(0,0,1),"TRUE")</f>
        <v>0</v>
      </c>
      <c r="AI835" s="54" t="str" cm="1">
        <f t="array" ref="AI835">TRANSPOSE(_xlfn._xlws.FILTER(images!L:L,images!F:F=Barrierenmessung!A835, ""))</f>
        <v>https://captureandgo.cloudlab.zhaw.ch/uploads/image_8e7b027c22.jpg</v>
      </c>
      <c r="AJ835" s="2"/>
      <c r="AK835" s="2"/>
      <c r="AL835" s="2"/>
      <c r="AM835" s="2"/>
      <c r="AN835" s="2"/>
    </row>
    <row r="836" spans="1:40" ht="16" x14ac:dyDescent="0.2">
      <c r="A836" s="2" t="s">
        <v>2698</v>
      </c>
      <c r="B836" s="46">
        <v>835</v>
      </c>
      <c r="C836" s="2" t="b">
        <v>0</v>
      </c>
      <c r="D836" s="2" t="b">
        <v>0</v>
      </c>
      <c r="E836" s="2" t="b">
        <v>0</v>
      </c>
      <c r="F836" s="2" t="b">
        <v>0</v>
      </c>
      <c r="G836" s="2" t="s">
        <v>31</v>
      </c>
      <c r="H836" s="2" t="s">
        <v>2699</v>
      </c>
      <c r="I836" s="2" t="s">
        <v>2700</v>
      </c>
      <c r="J836" s="2" t="s">
        <v>35</v>
      </c>
      <c r="K836" s="2" t="s">
        <v>35</v>
      </c>
      <c r="L836" s="2" t="s">
        <v>35</v>
      </c>
      <c r="M836" s="2" t="s">
        <v>35</v>
      </c>
      <c r="N836" s="2" t="s">
        <v>35</v>
      </c>
      <c r="O836" s="11">
        <v>44755.407912939816</v>
      </c>
      <c r="P836" s="11">
        <v>44755.408019756942</v>
      </c>
      <c r="Q836" s="27">
        <f t="shared" si="39"/>
        <v>1.0681712592486292E-4</v>
      </c>
      <c r="R836" s="65">
        <f t="shared" si="38"/>
        <v>2.8051967601641081E-3</v>
      </c>
      <c r="S836" s="2">
        <v>0</v>
      </c>
      <c r="T836" s="2" t="s">
        <v>36</v>
      </c>
      <c r="U836" s="2" t="s">
        <v>37</v>
      </c>
      <c r="V836" s="2" t="s">
        <v>38</v>
      </c>
      <c r="W836" s="2" t="s">
        <v>35</v>
      </c>
      <c r="X836" s="2" t="s">
        <v>35</v>
      </c>
      <c r="Y836" s="2" t="s">
        <v>35</v>
      </c>
      <c r="Z836" s="2" t="b">
        <v>0</v>
      </c>
      <c r="AA836" s="2" t="s">
        <v>35</v>
      </c>
      <c r="AB836" s="2" t="s">
        <v>35</v>
      </c>
      <c r="AC836" s="2" t="s">
        <v>35</v>
      </c>
      <c r="AD836" s="2">
        <v>2</v>
      </c>
      <c r="AE836" s="2" t="s">
        <v>2650</v>
      </c>
      <c r="AF836" s="11">
        <v>44755.386805555558</v>
      </c>
      <c r="AG836" s="53"/>
      <c r="AH836" s="53" t="b">
        <f t="shared" si="40"/>
        <v>0</v>
      </c>
      <c r="AI836" s="54" t="str" cm="1">
        <f t="array" ref="AI836">TRANSPOSE(_xlfn._xlws.FILTER(images!L:L,images!F:F=Barrierenmessung!A836, ""))</f>
        <v>https://captureandgo.cloudlab.zhaw.ch/uploads/image_caae17a719.jpg</v>
      </c>
      <c r="AJ836" s="2"/>
      <c r="AK836" s="2"/>
      <c r="AL836" s="2"/>
      <c r="AM836" s="2"/>
      <c r="AN836" s="2"/>
    </row>
    <row r="837" spans="1:40" ht="16" x14ac:dyDescent="0.2">
      <c r="A837" s="2" t="s">
        <v>2701</v>
      </c>
      <c r="B837" s="46">
        <v>836</v>
      </c>
      <c r="C837" s="2" t="b">
        <v>0</v>
      </c>
      <c r="D837" s="2" t="b">
        <v>0</v>
      </c>
      <c r="E837" s="2" t="b">
        <v>0</v>
      </c>
      <c r="F837" s="2" t="b">
        <v>0</v>
      </c>
      <c r="G837" s="2" t="s">
        <v>31</v>
      </c>
      <c r="H837" s="2" t="s">
        <v>2702</v>
      </c>
      <c r="I837" s="2" t="s">
        <v>2703</v>
      </c>
      <c r="J837" s="2" t="s">
        <v>2704</v>
      </c>
      <c r="K837" s="2" t="s">
        <v>35</v>
      </c>
      <c r="L837" s="2" t="s">
        <v>35</v>
      </c>
      <c r="M837" s="2" t="s">
        <v>35</v>
      </c>
      <c r="N837" s="2" t="s">
        <v>35</v>
      </c>
      <c r="O837" s="11">
        <v>44755.409920995371</v>
      </c>
      <c r="P837" s="11">
        <v>44755.410915046297</v>
      </c>
      <c r="Q837" s="27">
        <f t="shared" si="39"/>
        <v>9.9405092623783275E-4</v>
      </c>
      <c r="R837" s="65">
        <f t="shared" ref="R837:R900" si="41">MIN(P837-P836, P837-AF837)</f>
        <v>2.8952893553650938E-3</v>
      </c>
      <c r="S837" s="2">
        <v>0</v>
      </c>
      <c r="T837" s="2" t="s">
        <v>109</v>
      </c>
      <c r="U837" s="2" t="s">
        <v>110</v>
      </c>
      <c r="V837" s="2" t="s">
        <v>38</v>
      </c>
      <c r="W837" s="2" t="s">
        <v>35</v>
      </c>
      <c r="X837" s="2">
        <v>0</v>
      </c>
      <c r="Y837" s="2" t="s">
        <v>35</v>
      </c>
      <c r="Z837" s="2" t="b">
        <v>0</v>
      </c>
      <c r="AA837" s="2" t="s">
        <v>35</v>
      </c>
      <c r="AB837" s="2" t="s">
        <v>35</v>
      </c>
      <c r="AC837" s="2" t="s">
        <v>35</v>
      </c>
      <c r="AD837" s="2" t="s">
        <v>35</v>
      </c>
      <c r="AE837" s="2" t="s">
        <v>2650</v>
      </c>
      <c r="AF837" s="11">
        <v>44755.386805555558</v>
      </c>
      <c r="AG837" s="53"/>
      <c r="AH837" s="53" t="b">
        <f t="shared" si="40"/>
        <v>0</v>
      </c>
      <c r="AI837" s="54" t="str" cm="1">
        <f t="array" ref="AI837:AK837">TRANSPOSE(_xlfn._xlws.FILTER(images!L:L,images!F:F=Barrierenmessung!A837, ""))</f>
        <v>https://captureandgo.cloudlab.zhaw.ch/uploads/image_658d70a275.jpg</v>
      </c>
      <c r="AJ837" s="2" t="str">
        <v>https://captureandgo.cloudlab.zhaw.ch/uploads/image_9e3600b87f.jpg</v>
      </c>
      <c r="AK837" s="2" t="str">
        <v>https://captureandgo.cloudlab.zhaw.ch/uploads/image_98684b06f1.jpg</v>
      </c>
      <c r="AL837" s="2"/>
      <c r="AM837" s="2"/>
      <c r="AN837" s="2"/>
    </row>
    <row r="838" spans="1:40" ht="16" x14ac:dyDescent="0.2">
      <c r="A838" s="2" t="s">
        <v>2705</v>
      </c>
      <c r="B838" s="46">
        <v>837</v>
      </c>
      <c r="C838" s="2" t="b">
        <v>0</v>
      </c>
      <c r="D838" s="2" t="b">
        <v>0</v>
      </c>
      <c r="E838" s="2" t="b">
        <v>0</v>
      </c>
      <c r="F838" s="2" t="b">
        <v>0</v>
      </c>
      <c r="G838" s="2" t="s">
        <v>31</v>
      </c>
      <c r="H838" s="2" t="s">
        <v>2706</v>
      </c>
      <c r="I838" s="2" t="s">
        <v>2707</v>
      </c>
      <c r="J838" s="2" t="s">
        <v>35</v>
      </c>
      <c r="K838" s="2" t="s">
        <v>35</v>
      </c>
      <c r="L838" s="2" t="s">
        <v>35</v>
      </c>
      <c r="M838" s="2" t="s">
        <v>35</v>
      </c>
      <c r="N838" s="2" t="s">
        <v>35</v>
      </c>
      <c r="O838" s="11">
        <v>44755.411267743053</v>
      </c>
      <c r="P838" s="11">
        <v>44755.411387245367</v>
      </c>
      <c r="Q838" s="27">
        <f t="shared" si="39"/>
        <v>1.1950231419177726E-4</v>
      </c>
      <c r="R838" s="65">
        <f t="shared" si="41"/>
        <v>4.7219906991813332E-4</v>
      </c>
      <c r="S838" s="2">
        <v>0</v>
      </c>
      <c r="T838" s="2" t="s">
        <v>36</v>
      </c>
      <c r="U838" s="2" t="s">
        <v>37</v>
      </c>
      <c r="V838" s="2" t="s">
        <v>38</v>
      </c>
      <c r="W838" s="2" t="s">
        <v>35</v>
      </c>
      <c r="X838" s="2" t="s">
        <v>35</v>
      </c>
      <c r="Y838" s="2" t="s">
        <v>35</v>
      </c>
      <c r="Z838" s="2" t="b">
        <v>0</v>
      </c>
      <c r="AA838" s="2" t="s">
        <v>35</v>
      </c>
      <c r="AB838" s="2" t="s">
        <v>35</v>
      </c>
      <c r="AC838" s="2" t="s">
        <v>35</v>
      </c>
      <c r="AD838" s="2">
        <v>3</v>
      </c>
      <c r="AE838" s="2" t="s">
        <v>2650</v>
      </c>
      <c r="AF838" s="11">
        <v>44755.386805555558</v>
      </c>
      <c r="AG838" s="53"/>
      <c r="AH838" s="53" t="b">
        <f t="shared" si="40"/>
        <v>0</v>
      </c>
      <c r="AI838" s="54" t="str" cm="1">
        <f t="array" ref="AI838">TRANSPOSE(_xlfn._xlws.FILTER(images!L:L,images!F:F=Barrierenmessung!A838, ""))</f>
        <v>https://captureandgo.cloudlab.zhaw.ch/uploads/image_956b0f3ece.jpg</v>
      </c>
      <c r="AJ838" s="2"/>
      <c r="AK838" s="2"/>
      <c r="AL838" s="2"/>
      <c r="AM838" s="2"/>
      <c r="AN838" s="2"/>
    </row>
    <row r="839" spans="1:40" ht="16" x14ac:dyDescent="0.2">
      <c r="A839" s="2" t="s">
        <v>2708</v>
      </c>
      <c r="B839" s="46">
        <v>838</v>
      </c>
      <c r="C839" s="2" t="b">
        <v>0</v>
      </c>
      <c r="D839" s="2" t="b">
        <v>0</v>
      </c>
      <c r="E839" s="2" t="b">
        <v>0</v>
      </c>
      <c r="F839" s="2" t="b">
        <v>0</v>
      </c>
      <c r="G839" s="2" t="s">
        <v>31</v>
      </c>
      <c r="H839" s="2" t="s">
        <v>2709</v>
      </c>
      <c r="I839" s="2" t="s">
        <v>2710</v>
      </c>
      <c r="J839" s="2" t="s">
        <v>35</v>
      </c>
      <c r="K839" s="2" t="s">
        <v>35</v>
      </c>
      <c r="L839" s="2" t="s">
        <v>35</v>
      </c>
      <c r="M839" s="2" t="s">
        <v>35</v>
      </c>
      <c r="N839" s="2" t="s">
        <v>35</v>
      </c>
      <c r="O839" s="11">
        <v>44755.411922407409</v>
      </c>
      <c r="P839" s="11">
        <v>44755.412060648145</v>
      </c>
      <c r="Q839" s="27">
        <f t="shared" si="39"/>
        <v>1.382407353958115E-4</v>
      </c>
      <c r="R839" s="65">
        <f t="shared" si="41"/>
        <v>6.7340277746552601E-4</v>
      </c>
      <c r="S839" s="2">
        <v>0</v>
      </c>
      <c r="T839" s="2" t="s">
        <v>36</v>
      </c>
      <c r="U839" s="2" t="s">
        <v>37</v>
      </c>
      <c r="V839" s="2" t="s">
        <v>38</v>
      </c>
      <c r="W839" s="2" t="s">
        <v>35</v>
      </c>
      <c r="X839" s="2" t="s">
        <v>35</v>
      </c>
      <c r="Y839" s="2" t="s">
        <v>35</v>
      </c>
      <c r="Z839" s="2" t="b">
        <v>0</v>
      </c>
      <c r="AA839" s="2" t="s">
        <v>35</v>
      </c>
      <c r="AB839" s="2" t="s">
        <v>35</v>
      </c>
      <c r="AC839" s="2" t="s">
        <v>35</v>
      </c>
      <c r="AD839" s="2">
        <v>4</v>
      </c>
      <c r="AE839" s="2" t="s">
        <v>2650</v>
      </c>
      <c r="AF839" s="11">
        <v>44755.386805555558</v>
      </c>
      <c r="AG839" s="53"/>
      <c r="AH839" s="53" t="b">
        <f t="shared" si="40"/>
        <v>0</v>
      </c>
      <c r="AI839" s="54" t="str" cm="1">
        <f t="array" ref="AI839">TRANSPOSE(_xlfn._xlws.FILTER(images!L:L,images!F:F=Barrierenmessung!A839, ""))</f>
        <v>https://captureandgo.cloudlab.zhaw.ch/uploads/image_fc7a8af438.jpg</v>
      </c>
      <c r="AJ839" s="2"/>
      <c r="AK839" s="2"/>
      <c r="AL839" s="2"/>
      <c r="AM839" s="2"/>
      <c r="AN839" s="2"/>
    </row>
    <row r="840" spans="1:40" ht="16" x14ac:dyDescent="0.2">
      <c r="A840" s="2" t="s">
        <v>2711</v>
      </c>
      <c r="B840" s="46">
        <v>839</v>
      </c>
      <c r="C840" s="2" t="b">
        <v>0</v>
      </c>
      <c r="D840" s="2" t="b">
        <v>0</v>
      </c>
      <c r="E840" s="2" t="b">
        <v>0</v>
      </c>
      <c r="F840" s="2" t="b">
        <v>0</v>
      </c>
      <c r="G840" s="2" t="s">
        <v>31</v>
      </c>
      <c r="H840" s="2" t="s">
        <v>2712</v>
      </c>
      <c r="I840" s="2" t="s">
        <v>2713</v>
      </c>
      <c r="J840" s="2" t="s">
        <v>35</v>
      </c>
      <c r="K840" s="2" t="s">
        <v>35</v>
      </c>
      <c r="L840" s="2" t="s">
        <v>35</v>
      </c>
      <c r="M840" s="2" t="s">
        <v>35</v>
      </c>
      <c r="N840" s="2" t="s">
        <v>35</v>
      </c>
      <c r="O840" s="11">
        <v>44755.412116805557</v>
      </c>
      <c r="P840" s="11">
        <v>44755.41235712963</v>
      </c>
      <c r="Q840" s="27">
        <f t="shared" si="39"/>
        <v>2.4032407236518338E-4</v>
      </c>
      <c r="R840" s="65">
        <f t="shared" si="41"/>
        <v>2.9648148483829573E-4</v>
      </c>
      <c r="S840" s="2">
        <v>0</v>
      </c>
      <c r="T840" s="2" t="s">
        <v>36</v>
      </c>
      <c r="U840" s="2" t="s">
        <v>37</v>
      </c>
      <c r="V840" s="2" t="s">
        <v>38</v>
      </c>
      <c r="W840" s="2" t="s">
        <v>35</v>
      </c>
      <c r="X840" s="2" t="s">
        <v>35</v>
      </c>
      <c r="Y840" s="2" t="s">
        <v>35</v>
      </c>
      <c r="Z840" s="2" t="b">
        <v>0</v>
      </c>
      <c r="AA840" s="2" t="s">
        <v>2714</v>
      </c>
      <c r="AB840" s="2" t="s">
        <v>35</v>
      </c>
      <c r="AC840" s="2" t="s">
        <v>35</v>
      </c>
      <c r="AD840" s="2" t="s">
        <v>35</v>
      </c>
      <c r="AE840" s="2" t="s">
        <v>2650</v>
      </c>
      <c r="AF840" s="11">
        <v>44755.386805555558</v>
      </c>
      <c r="AG840" s="53"/>
      <c r="AH840" s="53" t="b">
        <f t="shared" si="40"/>
        <v>0</v>
      </c>
      <c r="AI840" s="54" t="str" cm="1">
        <f t="array" ref="AI840">TRANSPOSE(_xlfn._xlws.FILTER(images!L:L,images!F:F=Barrierenmessung!A840, ""))</f>
        <v>https://captureandgo.cloudlab.zhaw.ch/uploads/image_2d584922c1.jpg</v>
      </c>
      <c r="AJ840" s="2"/>
      <c r="AK840" s="2"/>
      <c r="AL840" s="2"/>
      <c r="AM840" s="2"/>
      <c r="AN840" s="2"/>
    </row>
    <row r="841" spans="1:40" ht="16" x14ac:dyDescent="0.2">
      <c r="A841" s="2" t="s">
        <v>2715</v>
      </c>
      <c r="B841" s="46">
        <v>840</v>
      </c>
      <c r="C841" s="2" t="b">
        <v>0</v>
      </c>
      <c r="D841" s="2" t="b">
        <v>0</v>
      </c>
      <c r="E841" s="2" t="b">
        <v>0</v>
      </c>
      <c r="F841" s="2" t="b">
        <v>0</v>
      </c>
      <c r="G841" s="2" t="s">
        <v>31</v>
      </c>
      <c r="H841" s="2" t="s">
        <v>2716</v>
      </c>
      <c r="I841" s="2" t="s">
        <v>2717</v>
      </c>
      <c r="J841" s="2" t="s">
        <v>2718</v>
      </c>
      <c r="K841" s="2" t="s">
        <v>35</v>
      </c>
      <c r="L841" s="2" t="s">
        <v>35</v>
      </c>
      <c r="M841" s="2" t="s">
        <v>35</v>
      </c>
      <c r="N841" s="2" t="s">
        <v>35</v>
      </c>
      <c r="O841" s="11">
        <v>44755.412470960648</v>
      </c>
      <c r="P841" s="11">
        <v>44755.41301802083</v>
      </c>
      <c r="Q841" s="27">
        <f t="shared" si="39"/>
        <v>5.4706018272554502E-4</v>
      </c>
      <c r="R841" s="65">
        <f t="shared" si="41"/>
        <v>6.6089120082324371E-4</v>
      </c>
      <c r="S841" s="2">
        <v>0</v>
      </c>
      <c r="T841" s="2" t="s">
        <v>109</v>
      </c>
      <c r="U841" s="2" t="s">
        <v>110</v>
      </c>
      <c r="V841" s="2" t="s">
        <v>38</v>
      </c>
      <c r="W841" s="2" t="s">
        <v>35</v>
      </c>
      <c r="X841" s="2" t="s">
        <v>35</v>
      </c>
      <c r="Y841" s="2" t="s">
        <v>839</v>
      </c>
      <c r="Z841" s="2" t="b">
        <v>0</v>
      </c>
      <c r="AA841" s="2" t="s">
        <v>35</v>
      </c>
      <c r="AB841" s="2" t="s">
        <v>35</v>
      </c>
      <c r="AC841" s="2" t="s">
        <v>35</v>
      </c>
      <c r="AD841" s="2" t="s">
        <v>35</v>
      </c>
      <c r="AE841" s="2" t="s">
        <v>2650</v>
      </c>
      <c r="AF841" s="11">
        <v>44755.386805555558</v>
      </c>
      <c r="AG841" s="53"/>
      <c r="AH841" s="53" t="b">
        <f t="shared" si="40"/>
        <v>0</v>
      </c>
      <c r="AI841" s="54" t="str" cm="1">
        <f t="array" ref="AI841">TRANSPOSE(_xlfn._xlws.FILTER(images!L:L,images!F:F=Barrierenmessung!A841, ""))</f>
        <v>https://captureandgo.cloudlab.zhaw.ch/uploads/image_5978296977.jpg</v>
      </c>
      <c r="AJ841" s="2"/>
      <c r="AK841" s="2"/>
      <c r="AL841" s="2"/>
      <c r="AM841" s="2"/>
      <c r="AN841" s="2"/>
    </row>
    <row r="842" spans="1:40" ht="16" x14ac:dyDescent="0.2">
      <c r="A842" s="2" t="s">
        <v>2719</v>
      </c>
      <c r="B842" s="46">
        <v>841</v>
      </c>
      <c r="C842" s="2" t="b">
        <v>0</v>
      </c>
      <c r="D842" s="2" t="b">
        <v>0</v>
      </c>
      <c r="E842" s="2" t="b">
        <v>0</v>
      </c>
      <c r="F842" s="2" t="b">
        <v>0</v>
      </c>
      <c r="G842" s="2" t="s">
        <v>31</v>
      </c>
      <c r="H842" s="2" t="s">
        <v>2720</v>
      </c>
      <c r="I842" s="2" t="s">
        <v>2721</v>
      </c>
      <c r="J842" s="2" t="s">
        <v>35</v>
      </c>
      <c r="K842" s="2" t="s">
        <v>35</v>
      </c>
      <c r="L842" s="2" t="s">
        <v>35</v>
      </c>
      <c r="M842" s="2" t="s">
        <v>35</v>
      </c>
      <c r="N842" s="2" t="s">
        <v>35</v>
      </c>
      <c r="O842" s="11">
        <v>44755.41442025463</v>
      </c>
      <c r="P842" s="11">
        <v>44755.414587465275</v>
      </c>
      <c r="Q842" s="27">
        <f t="shared" si="39"/>
        <v>1.6721064457669854E-4</v>
      </c>
      <c r="R842" s="65">
        <f t="shared" si="41"/>
        <v>1.5694444446125999E-3</v>
      </c>
      <c r="S842" s="2">
        <v>0</v>
      </c>
      <c r="T842" s="2" t="s">
        <v>36</v>
      </c>
      <c r="U842" s="2" t="s">
        <v>37</v>
      </c>
      <c r="V842" s="2" t="s">
        <v>38</v>
      </c>
      <c r="W842" s="2" t="s">
        <v>35</v>
      </c>
      <c r="X842" s="2" t="s">
        <v>35</v>
      </c>
      <c r="Y842" s="2" t="s">
        <v>35</v>
      </c>
      <c r="Z842" s="2" t="b">
        <v>0</v>
      </c>
      <c r="AA842" s="2" t="s">
        <v>35</v>
      </c>
      <c r="AB842" s="2" t="s">
        <v>35</v>
      </c>
      <c r="AC842" s="2" t="s">
        <v>35</v>
      </c>
      <c r="AD842" s="2">
        <v>4</v>
      </c>
      <c r="AE842" s="2" t="s">
        <v>2650</v>
      </c>
      <c r="AF842" s="11">
        <v>44755.386805555558</v>
      </c>
      <c r="AG842" s="53"/>
      <c r="AH842" s="53" t="b">
        <f t="shared" si="40"/>
        <v>0</v>
      </c>
      <c r="AI842" s="54" t="str" cm="1">
        <f t="array" ref="AI842">TRANSPOSE(_xlfn._xlws.FILTER(images!L:L,images!F:F=Barrierenmessung!A842, ""))</f>
        <v>https://captureandgo.cloudlab.zhaw.ch/uploads/image_c4a8f7b56d.jpg</v>
      </c>
      <c r="AJ842" s="2"/>
      <c r="AK842" s="2"/>
      <c r="AL842" s="2"/>
      <c r="AM842" s="2"/>
      <c r="AN842" s="2"/>
    </row>
    <row r="843" spans="1:40" ht="16" x14ac:dyDescent="0.2">
      <c r="A843" s="2" t="s">
        <v>2722</v>
      </c>
      <c r="B843" s="46">
        <v>842</v>
      </c>
      <c r="C843" s="2" t="b">
        <v>0</v>
      </c>
      <c r="D843" s="2" t="b">
        <v>0</v>
      </c>
      <c r="E843" s="2" t="b">
        <v>0</v>
      </c>
      <c r="F843" s="2" t="b">
        <v>0</v>
      </c>
      <c r="G843" s="2" t="s">
        <v>31</v>
      </c>
      <c r="H843" s="2" t="s">
        <v>2723</v>
      </c>
      <c r="I843" s="2" t="s">
        <v>2724</v>
      </c>
      <c r="J843" s="2" t="s">
        <v>35</v>
      </c>
      <c r="K843" s="2" t="s">
        <v>35</v>
      </c>
      <c r="L843" s="2" t="s">
        <v>35</v>
      </c>
      <c r="M843" s="2" t="s">
        <v>35</v>
      </c>
      <c r="N843" s="2" t="s">
        <v>35</v>
      </c>
      <c r="O843" s="11">
        <v>44755.41558173611</v>
      </c>
      <c r="P843" s="11">
        <v>44755.416014247683</v>
      </c>
      <c r="Q843" s="27">
        <f t="shared" si="39"/>
        <v>4.3251157330814749E-4</v>
      </c>
      <c r="R843" s="65">
        <f t="shared" si="41"/>
        <v>1.4267824080889113E-3</v>
      </c>
      <c r="S843" s="2">
        <v>0</v>
      </c>
      <c r="T843" s="2" t="s">
        <v>36</v>
      </c>
      <c r="U843" s="2" t="s">
        <v>37</v>
      </c>
      <c r="V843" s="2" t="s">
        <v>38</v>
      </c>
      <c r="W843" s="2" t="s">
        <v>35</v>
      </c>
      <c r="X843" s="2" t="s">
        <v>35</v>
      </c>
      <c r="Y843" s="2" t="s">
        <v>35</v>
      </c>
      <c r="Z843" s="2" t="b">
        <v>0</v>
      </c>
      <c r="AA843" s="2" t="s">
        <v>35</v>
      </c>
      <c r="AB843" s="2" t="s">
        <v>35</v>
      </c>
      <c r="AC843" s="2" t="s">
        <v>35</v>
      </c>
      <c r="AD843" s="2">
        <v>5</v>
      </c>
      <c r="AE843" s="2" t="s">
        <v>2650</v>
      </c>
      <c r="AF843" s="11">
        <v>44755.386805555558</v>
      </c>
      <c r="AG843" s="53"/>
      <c r="AH843" s="53" t="b">
        <f t="shared" si="40"/>
        <v>0</v>
      </c>
      <c r="AI843" s="54" t="str" cm="1">
        <f t="array" ref="AI843">TRANSPOSE(_xlfn._xlws.FILTER(images!L:L,images!F:F=Barrierenmessung!A843, ""))</f>
        <v>https://captureandgo.cloudlab.zhaw.ch/uploads/image_9e41785778.jpg</v>
      </c>
      <c r="AJ843" s="2"/>
      <c r="AK843" s="2"/>
      <c r="AL843" s="2"/>
      <c r="AM843" s="2"/>
      <c r="AN843" s="2"/>
    </row>
    <row r="844" spans="1:40" ht="16" x14ac:dyDescent="0.2">
      <c r="A844" s="2" t="s">
        <v>2725</v>
      </c>
      <c r="B844" s="46">
        <v>843</v>
      </c>
      <c r="C844" s="2" t="b">
        <v>0</v>
      </c>
      <c r="D844" s="2" t="b">
        <v>0</v>
      </c>
      <c r="E844" s="2" t="b">
        <v>0</v>
      </c>
      <c r="F844" s="2" t="b">
        <v>0</v>
      </c>
      <c r="G844" s="2" t="s">
        <v>31</v>
      </c>
      <c r="H844" s="2" t="s">
        <v>2726</v>
      </c>
      <c r="I844" s="2" t="s">
        <v>2727</v>
      </c>
      <c r="J844" s="2" t="s">
        <v>35</v>
      </c>
      <c r="K844" s="2" t="s">
        <v>35</v>
      </c>
      <c r="L844" s="2" t="s">
        <v>35</v>
      </c>
      <c r="M844" s="2">
        <v>7</v>
      </c>
      <c r="N844" s="2">
        <v>15</v>
      </c>
      <c r="O844" s="11">
        <v>44755.416144270836</v>
      </c>
      <c r="P844" s="11">
        <v>44755.416528807873</v>
      </c>
      <c r="Q844" s="27">
        <f t="shared" si="39"/>
        <v>3.8453703746199608E-4</v>
      </c>
      <c r="R844" s="65">
        <f t="shared" si="41"/>
        <v>5.1456018991302699E-4</v>
      </c>
      <c r="S844" s="2">
        <v>0</v>
      </c>
      <c r="T844" s="2" t="s">
        <v>54</v>
      </c>
      <c r="U844" s="2" t="s">
        <v>55</v>
      </c>
      <c r="V844" s="2" t="s">
        <v>38</v>
      </c>
      <c r="W844" s="2" t="s">
        <v>35</v>
      </c>
      <c r="X844" s="2" t="s">
        <v>35</v>
      </c>
      <c r="Y844" s="2" t="s">
        <v>35</v>
      </c>
      <c r="Z844" s="2" t="b">
        <v>0</v>
      </c>
      <c r="AA844" s="2" t="s">
        <v>35</v>
      </c>
      <c r="AB844" s="2" t="s">
        <v>35</v>
      </c>
      <c r="AC844" s="2" t="s">
        <v>35</v>
      </c>
      <c r="AD844" s="2" t="s">
        <v>35</v>
      </c>
      <c r="AE844" s="2" t="s">
        <v>2650</v>
      </c>
      <c r="AF844" s="11">
        <v>44755.386805555558</v>
      </c>
      <c r="AG844" s="53"/>
      <c r="AH844" s="53" t="b">
        <f t="shared" si="40"/>
        <v>0</v>
      </c>
      <c r="AI844" s="54" t="str" cm="1">
        <f t="array" ref="AI844">TRANSPOSE(_xlfn._xlws.FILTER(images!L:L,images!F:F=Barrierenmessung!A844, ""))</f>
        <v>https://captureandgo.cloudlab.zhaw.ch/uploads/image_e6ad64810d.jpg</v>
      </c>
      <c r="AJ844" s="2"/>
      <c r="AK844" s="2"/>
      <c r="AL844" s="2"/>
      <c r="AM844" s="2"/>
      <c r="AN844" s="2"/>
    </row>
    <row r="845" spans="1:40" ht="16" x14ac:dyDescent="0.2">
      <c r="A845" s="2" t="s">
        <v>2728</v>
      </c>
      <c r="B845" s="46">
        <v>844</v>
      </c>
      <c r="C845" s="2" t="b">
        <v>0</v>
      </c>
      <c r="D845" s="2" t="b">
        <v>0</v>
      </c>
      <c r="E845" s="2" t="b">
        <v>0</v>
      </c>
      <c r="F845" s="2" t="b">
        <v>0</v>
      </c>
      <c r="G845" s="2" t="s">
        <v>31</v>
      </c>
      <c r="H845" s="2" t="s">
        <v>2729</v>
      </c>
      <c r="I845" s="2" t="s">
        <v>2730</v>
      </c>
      <c r="J845" s="2" t="s">
        <v>2731</v>
      </c>
      <c r="K845" s="2" t="s">
        <v>35</v>
      </c>
      <c r="L845" s="2" t="s">
        <v>35</v>
      </c>
      <c r="M845" s="2" t="s">
        <v>35</v>
      </c>
      <c r="N845" s="2" t="s">
        <v>35</v>
      </c>
      <c r="O845" s="11">
        <v>44755.416595937502</v>
      </c>
      <c r="P845" s="11">
        <v>44755.417260231479</v>
      </c>
      <c r="Q845" s="27">
        <f t="shared" si="39"/>
        <v>6.6429397702449933E-4</v>
      </c>
      <c r="R845" s="65">
        <f t="shared" si="41"/>
        <v>7.3142360633937642E-4</v>
      </c>
      <c r="S845" s="2">
        <v>0</v>
      </c>
      <c r="T845" s="2" t="s">
        <v>416</v>
      </c>
      <c r="U845" s="2" t="s">
        <v>417</v>
      </c>
      <c r="V845" s="2" t="s">
        <v>38</v>
      </c>
      <c r="W845" s="2" t="s">
        <v>35</v>
      </c>
      <c r="X845" s="2">
        <v>0</v>
      </c>
      <c r="Y845" s="2" t="s">
        <v>35</v>
      </c>
      <c r="Z845" s="2" t="b">
        <v>0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2650</v>
      </c>
      <c r="AF845" s="11">
        <v>44755.386805555558</v>
      </c>
      <c r="AG845" s="53"/>
      <c r="AH845" s="53" t="b">
        <f t="shared" si="40"/>
        <v>0</v>
      </c>
      <c r="AI845" s="54" t="str" cm="1">
        <f t="array" ref="AI845">TRANSPOSE(_xlfn._xlws.FILTER(images!L:L,images!F:F=Barrierenmessung!A845, ""))</f>
        <v>https://captureandgo.cloudlab.zhaw.ch/uploads/image_10fe386e9a.jpg</v>
      </c>
      <c r="AJ845" s="2"/>
      <c r="AK845" s="2"/>
      <c r="AL845" s="2"/>
      <c r="AM845" s="2"/>
      <c r="AN845" s="2"/>
    </row>
    <row r="846" spans="1:40" ht="16" x14ac:dyDescent="0.2">
      <c r="A846" s="2" t="s">
        <v>2732</v>
      </c>
      <c r="B846" s="46">
        <v>845</v>
      </c>
      <c r="C846" s="2" t="b">
        <v>0</v>
      </c>
      <c r="D846" s="2" t="b">
        <v>0</v>
      </c>
      <c r="E846" s="2" t="b">
        <v>0</v>
      </c>
      <c r="F846" s="2" t="b">
        <v>0</v>
      </c>
      <c r="G846" s="2" t="s">
        <v>31</v>
      </c>
      <c r="H846" s="2" t="s">
        <v>2733</v>
      </c>
      <c r="I846" s="2" t="s">
        <v>2734</v>
      </c>
      <c r="J846" s="2" t="s">
        <v>35</v>
      </c>
      <c r="K846" s="2" t="s">
        <v>35</v>
      </c>
      <c r="L846" s="2" t="s">
        <v>35</v>
      </c>
      <c r="M846" s="2" t="s">
        <v>35</v>
      </c>
      <c r="N846" s="2" t="s">
        <v>35</v>
      </c>
      <c r="O846" s="11">
        <v>44755.417792523149</v>
      </c>
      <c r="P846" s="11">
        <v>44755.417900902779</v>
      </c>
      <c r="Q846" s="27">
        <f t="shared" si="39"/>
        <v>1.083796305465512E-4</v>
      </c>
      <c r="R846" s="65">
        <f t="shared" si="41"/>
        <v>6.4067130006151274E-4</v>
      </c>
      <c r="S846" s="2">
        <v>0</v>
      </c>
      <c r="T846" s="2" t="s">
        <v>36</v>
      </c>
      <c r="U846" s="2" t="s">
        <v>37</v>
      </c>
      <c r="V846" s="2" t="s">
        <v>38</v>
      </c>
      <c r="W846" s="2" t="s">
        <v>35</v>
      </c>
      <c r="X846" s="2" t="s">
        <v>35</v>
      </c>
      <c r="Y846" s="2" t="s">
        <v>35</v>
      </c>
      <c r="Z846" s="2" t="b">
        <v>0</v>
      </c>
      <c r="AA846" s="2" t="s">
        <v>35</v>
      </c>
      <c r="AB846" s="2" t="s">
        <v>35</v>
      </c>
      <c r="AC846" s="2" t="s">
        <v>35</v>
      </c>
      <c r="AD846" s="2">
        <v>3</v>
      </c>
      <c r="AE846" s="2" t="s">
        <v>2650</v>
      </c>
      <c r="AF846" s="11">
        <v>44755.386805555558</v>
      </c>
      <c r="AG846" s="53"/>
      <c r="AH846" s="53" t="b">
        <f t="shared" si="40"/>
        <v>0</v>
      </c>
      <c r="AI846" s="54" t="str" cm="1">
        <f t="array" ref="AI846">TRANSPOSE(_xlfn._xlws.FILTER(images!L:L,images!F:F=Barrierenmessung!A846, ""))</f>
        <v>https://captureandgo.cloudlab.zhaw.ch/uploads/image_6ee71d4303.jpg</v>
      </c>
      <c r="AJ846" s="2"/>
      <c r="AK846" s="2"/>
      <c r="AL846" s="2"/>
      <c r="AM846" s="2"/>
      <c r="AN846" s="2"/>
    </row>
    <row r="847" spans="1:40" ht="16" x14ac:dyDescent="0.2">
      <c r="A847" s="2" t="s">
        <v>2735</v>
      </c>
      <c r="B847" s="46">
        <v>846</v>
      </c>
      <c r="C847" s="2" t="b">
        <v>0</v>
      </c>
      <c r="D847" s="2" t="b">
        <v>0</v>
      </c>
      <c r="E847" s="2" t="b">
        <v>0</v>
      </c>
      <c r="F847" s="2" t="b">
        <v>0</v>
      </c>
      <c r="G847" s="2" t="s">
        <v>31</v>
      </c>
      <c r="H847" s="2" t="s">
        <v>2736</v>
      </c>
      <c r="I847" s="2" t="s">
        <v>2737</v>
      </c>
      <c r="J847" s="2" t="s">
        <v>35</v>
      </c>
      <c r="K847" s="2" t="s">
        <v>35</v>
      </c>
      <c r="L847" s="2" t="s">
        <v>35</v>
      </c>
      <c r="M847" s="2" t="s">
        <v>35</v>
      </c>
      <c r="N847" s="2" t="s">
        <v>35</v>
      </c>
      <c r="O847" s="11">
        <v>44755.418657662034</v>
      </c>
      <c r="P847" s="11">
        <v>44755.418754826387</v>
      </c>
      <c r="Q847" s="27">
        <f t="shared" si="39"/>
        <v>9.7164353064727038E-5</v>
      </c>
      <c r="R847" s="65">
        <f t="shared" si="41"/>
        <v>8.5392360779223964E-4</v>
      </c>
      <c r="S847" s="2">
        <v>0</v>
      </c>
      <c r="T847" s="2" t="s">
        <v>36</v>
      </c>
      <c r="U847" s="2" t="s">
        <v>37</v>
      </c>
      <c r="V847" s="2" t="s">
        <v>38</v>
      </c>
      <c r="W847" s="2" t="s">
        <v>35</v>
      </c>
      <c r="X847" s="2" t="s">
        <v>35</v>
      </c>
      <c r="Y847" s="2" t="s">
        <v>35</v>
      </c>
      <c r="Z847" s="2" t="b">
        <v>0</v>
      </c>
      <c r="AA847" s="2" t="s">
        <v>35</v>
      </c>
      <c r="AB847" s="2" t="s">
        <v>35</v>
      </c>
      <c r="AC847" s="2" t="s">
        <v>35</v>
      </c>
      <c r="AD847" s="2">
        <v>3</v>
      </c>
      <c r="AE847" s="2" t="s">
        <v>2650</v>
      </c>
      <c r="AF847" s="11">
        <v>44755.386805555558</v>
      </c>
      <c r="AG847" s="53"/>
      <c r="AH847" s="53" t="b">
        <f t="shared" si="40"/>
        <v>0</v>
      </c>
      <c r="AI847" s="54" t="str" cm="1">
        <f t="array" ref="AI847">TRANSPOSE(_xlfn._xlws.FILTER(images!L:L,images!F:F=Barrierenmessung!A847, ""))</f>
        <v>https://captureandgo.cloudlab.zhaw.ch/uploads/image_19a321580c.jpg</v>
      </c>
      <c r="AJ847" s="2"/>
      <c r="AK847" s="2"/>
      <c r="AL847" s="2"/>
      <c r="AM847" s="2"/>
      <c r="AN847" s="2"/>
    </row>
    <row r="848" spans="1:40" ht="16" x14ac:dyDescent="0.2">
      <c r="A848" s="2" t="s">
        <v>2738</v>
      </c>
      <c r="B848" s="46">
        <v>847</v>
      </c>
      <c r="C848" s="2" t="b">
        <v>0</v>
      </c>
      <c r="D848" s="2" t="b">
        <v>0</v>
      </c>
      <c r="E848" s="2" t="b">
        <v>0</v>
      </c>
      <c r="F848" s="2" t="b">
        <v>0</v>
      </c>
      <c r="G848" s="2" t="s">
        <v>31</v>
      </c>
      <c r="H848" s="2" t="s">
        <v>2739</v>
      </c>
      <c r="I848" s="2" t="s">
        <v>2740</v>
      </c>
      <c r="J848" s="2" t="s">
        <v>35</v>
      </c>
      <c r="K848" s="2" t="s">
        <v>35</v>
      </c>
      <c r="L848" s="2">
        <v>5</v>
      </c>
      <c r="M848" s="2" t="s">
        <v>35</v>
      </c>
      <c r="N848" s="2" t="s">
        <v>35</v>
      </c>
      <c r="O848" s="11">
        <v>44755.418940648146</v>
      </c>
      <c r="P848" s="11">
        <v>44755.419152754628</v>
      </c>
      <c r="Q848" s="27">
        <f t="shared" si="39"/>
        <v>2.1210648264968768E-4</v>
      </c>
      <c r="R848" s="65">
        <f t="shared" si="41"/>
        <v>3.9792824100004509E-4</v>
      </c>
      <c r="S848" s="2">
        <v>0</v>
      </c>
      <c r="T848" s="2" t="s">
        <v>265</v>
      </c>
      <c r="U848" s="2" t="s">
        <v>266</v>
      </c>
      <c r="V848" s="2" t="s">
        <v>38</v>
      </c>
      <c r="W848" s="2" t="s">
        <v>35</v>
      </c>
      <c r="X848" s="2" t="s">
        <v>35</v>
      </c>
      <c r="Y848" s="2" t="s">
        <v>35</v>
      </c>
      <c r="Z848" s="2" t="b">
        <v>0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2650</v>
      </c>
      <c r="AF848" s="11">
        <v>44755.386805555558</v>
      </c>
      <c r="AG848" s="53"/>
      <c r="AH848" s="53" t="b">
        <f t="shared" si="40"/>
        <v>0</v>
      </c>
      <c r="AI848" s="54" t="str" cm="1">
        <f t="array" ref="AI848">TRANSPOSE(_xlfn._xlws.FILTER(images!L:L,images!F:F=Barrierenmessung!A848, ""))</f>
        <v>https://captureandgo.cloudlab.zhaw.ch/uploads/image_9d91473e26.jpg</v>
      </c>
      <c r="AJ848" s="2"/>
      <c r="AK848" s="2"/>
      <c r="AL848" s="2"/>
      <c r="AM848" s="2"/>
      <c r="AN848" s="2"/>
    </row>
    <row r="849" spans="1:40" ht="16" x14ac:dyDescent="0.2">
      <c r="A849" s="2" t="s">
        <v>2741</v>
      </c>
      <c r="B849" s="46">
        <v>848</v>
      </c>
      <c r="C849" s="2" t="b">
        <v>0</v>
      </c>
      <c r="D849" s="2" t="b">
        <v>0</v>
      </c>
      <c r="E849" s="2" t="b">
        <v>0</v>
      </c>
      <c r="F849" s="2" t="b">
        <v>0</v>
      </c>
      <c r="G849" s="2" t="s">
        <v>31</v>
      </c>
      <c r="H849" s="2" t="s">
        <v>2742</v>
      </c>
      <c r="I849" s="2" t="s">
        <v>2743</v>
      </c>
      <c r="J849" s="2" t="s">
        <v>2744</v>
      </c>
      <c r="K849" s="2" t="s">
        <v>35</v>
      </c>
      <c r="L849" s="2" t="s">
        <v>35</v>
      </c>
      <c r="M849" s="2">
        <v>42</v>
      </c>
      <c r="N849" s="2">
        <v>15</v>
      </c>
      <c r="O849" s="11">
        <v>44755.419190694447</v>
      </c>
      <c r="P849" s="11">
        <v>44755.421055011575</v>
      </c>
      <c r="Q849" s="27">
        <f t="shared" si="39"/>
        <v>1.8643171279109083E-3</v>
      </c>
      <c r="R849" s="65">
        <f t="shared" si="41"/>
        <v>1.9022569467779249E-3</v>
      </c>
      <c r="S849" s="2">
        <v>0</v>
      </c>
      <c r="T849" s="2" t="s">
        <v>54</v>
      </c>
      <c r="U849" s="2" t="s">
        <v>55</v>
      </c>
      <c r="V849" s="2" t="s">
        <v>38</v>
      </c>
      <c r="W849" s="2" t="s">
        <v>35</v>
      </c>
      <c r="X849" s="2" t="s">
        <v>35</v>
      </c>
      <c r="Y849" s="2" t="s">
        <v>35</v>
      </c>
      <c r="Z849" s="2" t="b">
        <v>0</v>
      </c>
      <c r="AA849" s="2" t="s">
        <v>35</v>
      </c>
      <c r="AB849" s="2" t="s">
        <v>35</v>
      </c>
      <c r="AC849" s="2" t="s">
        <v>35</v>
      </c>
      <c r="AD849" s="2" t="s">
        <v>35</v>
      </c>
      <c r="AE849" s="2" t="s">
        <v>2650</v>
      </c>
      <c r="AF849" s="11">
        <v>44755.386805555558</v>
      </c>
      <c r="AG849" s="53"/>
      <c r="AH849" s="53" t="b">
        <f t="shared" si="40"/>
        <v>0</v>
      </c>
      <c r="AI849" s="54" t="str" cm="1">
        <f t="array" ref="AI849">TRANSPOSE(_xlfn._xlws.FILTER(images!L:L,images!F:F=Barrierenmessung!A849, ""))</f>
        <v>https://captureandgo.cloudlab.zhaw.ch/uploads/image_636a3f92e8.jpg</v>
      </c>
      <c r="AJ849" s="2"/>
      <c r="AK849" s="2"/>
      <c r="AL849" s="2"/>
      <c r="AM849" s="2"/>
      <c r="AN849" s="2"/>
    </row>
    <row r="850" spans="1:40" ht="16" x14ac:dyDescent="0.2">
      <c r="A850" s="2" t="s">
        <v>2745</v>
      </c>
      <c r="B850" s="46">
        <v>849</v>
      </c>
      <c r="C850" s="2" t="b">
        <v>0</v>
      </c>
      <c r="D850" s="2" t="b">
        <v>0</v>
      </c>
      <c r="E850" s="2" t="b">
        <v>0</v>
      </c>
      <c r="F850" s="2" t="b">
        <v>0</v>
      </c>
      <c r="G850" s="2" t="s">
        <v>31</v>
      </c>
      <c r="H850" s="2" t="s">
        <v>2746</v>
      </c>
      <c r="I850" s="2" t="s">
        <v>2747</v>
      </c>
      <c r="J850" s="2" t="s">
        <v>2748</v>
      </c>
      <c r="K850" s="2" t="s">
        <v>35</v>
      </c>
      <c r="L850" s="2" t="s">
        <v>35</v>
      </c>
      <c r="M850" s="2">
        <v>48</v>
      </c>
      <c r="N850" s="2">
        <v>15</v>
      </c>
      <c r="O850" s="11">
        <v>44755.421779328703</v>
      </c>
      <c r="P850" s="11">
        <v>44755.422931157409</v>
      </c>
      <c r="Q850" s="27">
        <f t="shared" si="39"/>
        <v>1.1518287064973265E-3</v>
      </c>
      <c r="R850" s="65">
        <f t="shared" si="41"/>
        <v>1.8761458341032267E-3</v>
      </c>
      <c r="S850" s="2">
        <v>0</v>
      </c>
      <c r="T850" s="2" t="s">
        <v>54</v>
      </c>
      <c r="U850" s="2" t="s">
        <v>55</v>
      </c>
      <c r="V850" s="2" t="s">
        <v>38</v>
      </c>
      <c r="W850" s="2" t="s">
        <v>35</v>
      </c>
      <c r="X850" s="2" t="s">
        <v>35</v>
      </c>
      <c r="Y850" s="2" t="s">
        <v>35</v>
      </c>
      <c r="Z850" s="2" t="b">
        <v>0</v>
      </c>
      <c r="AA850" s="2" t="s">
        <v>35</v>
      </c>
      <c r="AB850" s="2" t="s">
        <v>35</v>
      </c>
      <c r="AC850" s="2" t="s">
        <v>35</v>
      </c>
      <c r="AD850" s="2" t="s">
        <v>35</v>
      </c>
      <c r="AE850" s="2" t="s">
        <v>2650</v>
      </c>
      <c r="AF850" s="11">
        <v>44755.386805555558</v>
      </c>
      <c r="AG850" s="53"/>
      <c r="AH850" s="53" t="b">
        <f t="shared" si="40"/>
        <v>0</v>
      </c>
      <c r="AI850" s="54" t="str" cm="1">
        <f t="array" ref="AI850">TRANSPOSE(_xlfn._xlws.FILTER(images!L:L,images!F:F=Barrierenmessung!A850, ""))</f>
        <v>https://captureandgo.cloudlab.zhaw.ch/uploads/image_70fcd55385.jpg</v>
      </c>
      <c r="AJ850" s="2"/>
      <c r="AK850" s="2"/>
      <c r="AL850" s="2"/>
      <c r="AM850" s="2"/>
      <c r="AN850" s="2"/>
    </row>
    <row r="851" spans="1:40" ht="16" x14ac:dyDescent="0.2">
      <c r="A851" s="2" t="s">
        <v>2749</v>
      </c>
      <c r="B851" s="46">
        <v>850</v>
      </c>
      <c r="C851" s="2" t="b">
        <v>0</v>
      </c>
      <c r="D851" s="2" t="b">
        <v>0</v>
      </c>
      <c r="E851" s="2" t="b">
        <v>0</v>
      </c>
      <c r="F851" s="2" t="b">
        <v>0</v>
      </c>
      <c r="G851" s="2" t="s">
        <v>31</v>
      </c>
      <c r="H851" s="2" t="s">
        <v>2750</v>
      </c>
      <c r="I851" s="2" t="s">
        <v>2751</v>
      </c>
      <c r="J851" s="2" t="s">
        <v>35</v>
      </c>
      <c r="K851" s="2" t="s">
        <v>35</v>
      </c>
      <c r="L851" s="2" t="s">
        <v>35</v>
      </c>
      <c r="M851" s="2" t="s">
        <v>35</v>
      </c>
      <c r="N851" s="2" t="s">
        <v>35</v>
      </c>
      <c r="O851" s="11">
        <v>44755.425990983793</v>
      </c>
      <c r="P851" s="11">
        <v>44755.426112245368</v>
      </c>
      <c r="Q851" s="27">
        <f t="shared" si="39"/>
        <v>1.2126157525926828E-4</v>
      </c>
      <c r="R851" s="65">
        <f t="shared" si="41"/>
        <v>3.1810879590921104E-3</v>
      </c>
      <c r="S851" s="2">
        <v>0</v>
      </c>
      <c r="T851" s="2" t="s">
        <v>36</v>
      </c>
      <c r="U851" s="2" t="s">
        <v>37</v>
      </c>
      <c r="V851" s="2" t="s">
        <v>38</v>
      </c>
      <c r="W851" s="2" t="s">
        <v>35</v>
      </c>
      <c r="X851" s="2" t="s">
        <v>35</v>
      </c>
      <c r="Y851" s="2" t="s">
        <v>35</v>
      </c>
      <c r="Z851" s="2" t="b">
        <v>0</v>
      </c>
      <c r="AA851" s="2" t="s">
        <v>35</v>
      </c>
      <c r="AB851" s="2" t="s">
        <v>35</v>
      </c>
      <c r="AC851" s="2" t="s">
        <v>35</v>
      </c>
      <c r="AD851" s="2">
        <v>2</v>
      </c>
      <c r="AE851" s="2" t="s">
        <v>2650</v>
      </c>
      <c r="AF851" s="11">
        <v>44755.386805555558</v>
      </c>
      <c r="AG851" s="53"/>
      <c r="AH851" s="53" t="b">
        <f t="shared" si="40"/>
        <v>0</v>
      </c>
      <c r="AI851" s="54" t="str" cm="1">
        <f t="array" ref="AI851">TRANSPOSE(_xlfn._xlws.FILTER(images!L:L,images!F:F=Barrierenmessung!A851, ""))</f>
        <v>https://captureandgo.cloudlab.zhaw.ch/uploads/image_5591b37f25.jpg</v>
      </c>
      <c r="AJ851" s="2"/>
      <c r="AK851" s="2"/>
      <c r="AL851" s="2"/>
      <c r="AM851" s="2"/>
      <c r="AN851" s="2"/>
    </row>
    <row r="852" spans="1:40" ht="16" x14ac:dyDescent="0.2">
      <c r="A852" s="2" t="s">
        <v>2752</v>
      </c>
      <c r="B852" s="46">
        <v>851</v>
      </c>
      <c r="C852" s="2" t="b">
        <v>0</v>
      </c>
      <c r="D852" s="2" t="b">
        <v>0</v>
      </c>
      <c r="E852" s="2" t="b">
        <v>0</v>
      </c>
      <c r="F852" s="2" t="b">
        <v>0</v>
      </c>
      <c r="G852" s="2" t="s">
        <v>31</v>
      </c>
      <c r="H852" s="2" t="s">
        <v>2753</v>
      </c>
      <c r="I852" s="2" t="s">
        <v>2754</v>
      </c>
      <c r="J852" s="2" t="s">
        <v>35</v>
      </c>
      <c r="K852" s="2" t="s">
        <v>35</v>
      </c>
      <c r="L852" s="2" t="s">
        <v>35</v>
      </c>
      <c r="M852" s="2" t="s">
        <v>35</v>
      </c>
      <c r="N852" s="2" t="s">
        <v>35</v>
      </c>
      <c r="O852" s="11">
        <v>44755.427994722224</v>
      </c>
      <c r="P852" s="11">
        <v>44755.428227303244</v>
      </c>
      <c r="Q852" s="27">
        <f t="shared" si="39"/>
        <v>2.3258102010004222E-4</v>
      </c>
      <c r="R852" s="65">
        <f t="shared" si="41"/>
        <v>2.1150578759261407E-3</v>
      </c>
      <c r="S852" s="2">
        <v>0</v>
      </c>
      <c r="T852" s="2" t="s">
        <v>36</v>
      </c>
      <c r="U852" s="2" t="s">
        <v>37</v>
      </c>
      <c r="V852" s="2" t="s">
        <v>38</v>
      </c>
      <c r="W852" s="2" t="s">
        <v>35</v>
      </c>
      <c r="X852" s="2" t="s">
        <v>35</v>
      </c>
      <c r="Y852" s="2" t="s">
        <v>35</v>
      </c>
      <c r="Z852" s="2" t="b">
        <v>0</v>
      </c>
      <c r="AA852" s="2" t="s">
        <v>35</v>
      </c>
      <c r="AB852" s="2" t="s">
        <v>35</v>
      </c>
      <c r="AC852" s="2" t="s">
        <v>35</v>
      </c>
      <c r="AD852" s="2">
        <v>4</v>
      </c>
      <c r="AE852" s="2" t="s">
        <v>2650</v>
      </c>
      <c r="AF852" s="11">
        <v>44755.386805555558</v>
      </c>
      <c r="AG852" s="53"/>
      <c r="AH852" s="53" t="b">
        <f t="shared" si="40"/>
        <v>0</v>
      </c>
      <c r="AI852" s="54" t="str" cm="1">
        <f t="array" ref="AI852">TRANSPOSE(_xlfn._xlws.FILTER(images!L:L,images!F:F=Barrierenmessung!A852, ""))</f>
        <v>https://captureandgo.cloudlab.zhaw.ch/uploads/image_0b4399c025.jpg</v>
      </c>
      <c r="AJ852" s="2"/>
      <c r="AK852" s="2"/>
      <c r="AL852" s="2"/>
      <c r="AM852" s="2"/>
      <c r="AN852" s="2"/>
    </row>
    <row r="853" spans="1:40" ht="16" x14ac:dyDescent="0.2">
      <c r="A853" s="2" t="s">
        <v>2755</v>
      </c>
      <c r="B853" s="46">
        <v>852</v>
      </c>
      <c r="C853" s="2" t="b">
        <v>0</v>
      </c>
      <c r="D853" s="2" t="b">
        <v>0</v>
      </c>
      <c r="E853" s="2" t="b">
        <v>0</v>
      </c>
      <c r="F853" s="2" t="b">
        <v>0</v>
      </c>
      <c r="G853" s="2" t="s">
        <v>31</v>
      </c>
      <c r="H853" s="2" t="s">
        <v>2756</v>
      </c>
      <c r="I853" s="2" t="s">
        <v>2757</v>
      </c>
      <c r="J853" s="2" t="s">
        <v>2048</v>
      </c>
      <c r="K853" s="2" t="s">
        <v>35</v>
      </c>
      <c r="L853" s="2" t="s">
        <v>35</v>
      </c>
      <c r="M853" s="2" t="s">
        <v>35</v>
      </c>
      <c r="N853" s="2" t="s">
        <v>35</v>
      </c>
      <c r="O853" s="11">
        <v>44755.42884458333</v>
      </c>
      <c r="P853" s="11">
        <v>44755.429195810182</v>
      </c>
      <c r="Q853" s="27">
        <f t="shared" si="39"/>
        <v>3.512268522172235E-4</v>
      </c>
      <c r="R853" s="65">
        <f t="shared" si="41"/>
        <v>9.6850693807937205E-4</v>
      </c>
      <c r="S853" s="2">
        <v>0</v>
      </c>
      <c r="T853" s="2" t="s">
        <v>36</v>
      </c>
      <c r="U853" s="2" t="s">
        <v>37</v>
      </c>
      <c r="V853" s="2" t="s">
        <v>38</v>
      </c>
      <c r="W853" s="2" t="s">
        <v>35</v>
      </c>
      <c r="X853" s="2" t="s">
        <v>35</v>
      </c>
      <c r="Y853" s="2" t="s">
        <v>35</v>
      </c>
      <c r="Z853" s="2" t="b">
        <v>0</v>
      </c>
      <c r="AA853" s="2" t="s">
        <v>35</v>
      </c>
      <c r="AB853" s="2" t="s">
        <v>35</v>
      </c>
      <c r="AC853" s="2">
        <v>4</v>
      </c>
      <c r="AD853" s="2" t="s">
        <v>35</v>
      </c>
      <c r="AE853" s="2" t="s">
        <v>2650</v>
      </c>
      <c r="AF853" s="11">
        <v>44755.386805555558</v>
      </c>
      <c r="AG853" s="53"/>
      <c r="AH853" s="53" t="b">
        <f t="shared" si="40"/>
        <v>0</v>
      </c>
      <c r="AI853" s="54" t="str" cm="1">
        <f t="array" ref="AI853">TRANSPOSE(_xlfn._xlws.FILTER(images!L:L,images!F:F=Barrierenmessung!A853, ""))</f>
        <v>https://captureandgo.cloudlab.zhaw.ch/uploads/image_f0ed631745.jpg</v>
      </c>
      <c r="AJ853" s="2"/>
      <c r="AK853" s="2"/>
      <c r="AL853" s="2"/>
      <c r="AM853" s="2"/>
      <c r="AN853" s="2"/>
    </row>
    <row r="854" spans="1:40" ht="16" x14ac:dyDescent="0.2">
      <c r="A854" s="2" t="s">
        <v>2758</v>
      </c>
      <c r="B854" s="46">
        <v>853</v>
      </c>
      <c r="C854" s="2" t="b">
        <v>0</v>
      </c>
      <c r="D854" s="2" t="b">
        <v>0</v>
      </c>
      <c r="E854" s="2" t="b">
        <v>0</v>
      </c>
      <c r="F854" s="2" t="b">
        <v>0</v>
      </c>
      <c r="G854" s="2" t="s">
        <v>31</v>
      </c>
      <c r="H854" s="2" t="s">
        <v>2759</v>
      </c>
      <c r="I854" s="2" t="s">
        <v>2760</v>
      </c>
      <c r="J854" s="2" t="s">
        <v>2306</v>
      </c>
      <c r="K854" s="2" t="s">
        <v>35</v>
      </c>
      <c r="L854" s="2" t="s">
        <v>35</v>
      </c>
      <c r="M854" s="2" t="s">
        <v>35</v>
      </c>
      <c r="N854" s="2" t="s">
        <v>35</v>
      </c>
      <c r="O854" s="11">
        <v>44755.429812187504</v>
      </c>
      <c r="P854" s="11">
        <v>44755.430057361111</v>
      </c>
      <c r="Q854" s="27">
        <f t="shared" si="39"/>
        <v>2.4517360725440085E-4</v>
      </c>
      <c r="R854" s="65">
        <f t="shared" si="41"/>
        <v>8.6155092867556959E-4</v>
      </c>
      <c r="S854" s="2">
        <v>0</v>
      </c>
      <c r="T854" s="2" t="s">
        <v>36</v>
      </c>
      <c r="U854" s="2" t="s">
        <v>37</v>
      </c>
      <c r="V854" s="2" t="s">
        <v>38</v>
      </c>
      <c r="W854" s="2" t="s">
        <v>35</v>
      </c>
      <c r="X854" s="2" t="s">
        <v>35</v>
      </c>
      <c r="Y854" s="2" t="s">
        <v>35</v>
      </c>
      <c r="Z854" s="2" t="b">
        <v>0</v>
      </c>
      <c r="AA854" s="2" t="s">
        <v>35</v>
      </c>
      <c r="AB854" s="2" t="s">
        <v>35</v>
      </c>
      <c r="AC854" s="2">
        <v>5</v>
      </c>
      <c r="AD854" s="2" t="s">
        <v>35</v>
      </c>
      <c r="AE854" s="2" t="s">
        <v>2650</v>
      </c>
      <c r="AF854" s="11">
        <v>44755.386805555558</v>
      </c>
      <c r="AG854" s="53"/>
      <c r="AH854" s="53" t="b">
        <f t="shared" si="40"/>
        <v>0</v>
      </c>
      <c r="AI854" s="54" t="str" cm="1">
        <f t="array" ref="AI854">TRANSPOSE(_xlfn._xlws.FILTER(images!L:L,images!F:F=Barrierenmessung!A854, ""))</f>
        <v>https://captureandgo.cloudlab.zhaw.ch/uploads/image_c4a9eada32.jpg</v>
      </c>
      <c r="AJ854" s="2"/>
      <c r="AK854" s="2"/>
      <c r="AL854" s="2"/>
      <c r="AM854" s="2"/>
      <c r="AN854" s="2"/>
    </row>
    <row r="855" spans="1:40" ht="16" x14ac:dyDescent="0.2">
      <c r="A855" s="2" t="s">
        <v>2761</v>
      </c>
      <c r="B855" s="46">
        <v>854</v>
      </c>
      <c r="C855" s="2" t="b">
        <v>0</v>
      </c>
      <c r="D855" s="2" t="b">
        <v>0</v>
      </c>
      <c r="E855" s="2" t="b">
        <v>0</v>
      </c>
      <c r="F855" s="2" t="b">
        <v>0</v>
      </c>
      <c r="G855" s="2" t="s">
        <v>31</v>
      </c>
      <c r="H855" s="2" t="s">
        <v>2762</v>
      </c>
      <c r="I855" s="2" t="s">
        <v>2763</v>
      </c>
      <c r="J855" s="2" t="s">
        <v>35</v>
      </c>
      <c r="K855" s="2" t="s">
        <v>35</v>
      </c>
      <c r="L855" s="2">
        <v>6</v>
      </c>
      <c r="M855" s="2" t="s">
        <v>35</v>
      </c>
      <c r="N855" s="2" t="s">
        <v>35</v>
      </c>
      <c r="O855" s="11">
        <v>44755.430949641202</v>
      </c>
      <c r="P855" s="11">
        <v>44755.431193495373</v>
      </c>
      <c r="Q855" s="27">
        <f t="shared" si="39"/>
        <v>2.438541705487296E-4</v>
      </c>
      <c r="R855" s="65">
        <f t="shared" si="41"/>
        <v>1.1361342621967196E-3</v>
      </c>
      <c r="S855" s="2">
        <v>0</v>
      </c>
      <c r="T855" s="2" t="s">
        <v>265</v>
      </c>
      <c r="U855" s="2" t="s">
        <v>266</v>
      </c>
      <c r="V855" s="2" t="s">
        <v>38</v>
      </c>
      <c r="W855" s="2" t="s">
        <v>35</v>
      </c>
      <c r="X855" s="2" t="s">
        <v>35</v>
      </c>
      <c r="Y855" s="2" t="s">
        <v>35</v>
      </c>
      <c r="Z855" s="2" t="b">
        <v>0</v>
      </c>
      <c r="AA855" s="2" t="s">
        <v>35</v>
      </c>
      <c r="AB855" s="2" t="s">
        <v>35</v>
      </c>
      <c r="AC855" s="2" t="s">
        <v>35</v>
      </c>
      <c r="AD855" s="2" t="s">
        <v>35</v>
      </c>
      <c r="AE855" s="2" t="s">
        <v>2650</v>
      </c>
      <c r="AF855" s="11">
        <v>44755.386805555558</v>
      </c>
      <c r="AG855" s="53"/>
      <c r="AH855" s="53" t="b">
        <f t="shared" si="40"/>
        <v>0</v>
      </c>
      <c r="AI855" s="54" t="str" cm="1">
        <f t="array" ref="AI855">TRANSPOSE(_xlfn._xlws.FILTER(images!L:L,images!F:F=Barrierenmessung!A855, ""))</f>
        <v>https://captureandgo.cloudlab.zhaw.ch/uploads/image_b8ac19d063.jpg</v>
      </c>
      <c r="AJ855" s="2"/>
      <c r="AK855" s="2"/>
      <c r="AL855" s="2"/>
      <c r="AM855" s="2"/>
      <c r="AN855" s="2"/>
    </row>
    <row r="856" spans="1:40" ht="16" x14ac:dyDescent="0.2">
      <c r="A856" s="2" t="s">
        <v>2764</v>
      </c>
      <c r="B856" s="46">
        <v>855</v>
      </c>
      <c r="C856" s="2" t="b">
        <v>0</v>
      </c>
      <c r="D856" s="2" t="b">
        <v>0</v>
      </c>
      <c r="E856" s="2" t="b">
        <v>0</v>
      </c>
      <c r="F856" s="2" t="b">
        <v>0</v>
      </c>
      <c r="G856" s="2" t="s">
        <v>31</v>
      </c>
      <c r="H856" s="2" t="s">
        <v>2765</v>
      </c>
      <c r="I856" s="2" t="s">
        <v>2766</v>
      </c>
      <c r="J856" s="2" t="s">
        <v>2767</v>
      </c>
      <c r="K856" s="2" t="s">
        <v>35</v>
      </c>
      <c r="L856" s="2">
        <v>7</v>
      </c>
      <c r="M856" s="2" t="s">
        <v>35</v>
      </c>
      <c r="N856" s="2" t="s">
        <v>35</v>
      </c>
      <c r="O856" s="11">
        <v>44755.432382604165</v>
      </c>
      <c r="P856" s="11">
        <v>44755.432831076389</v>
      </c>
      <c r="Q856" s="27">
        <f t="shared" si="39"/>
        <v>4.4847222306998447E-4</v>
      </c>
      <c r="R856" s="65">
        <f t="shared" si="41"/>
        <v>1.6375810155295767E-3</v>
      </c>
      <c r="S856" s="2">
        <v>0</v>
      </c>
      <c r="T856" s="2" t="s">
        <v>265</v>
      </c>
      <c r="U856" s="2" t="s">
        <v>266</v>
      </c>
      <c r="V856" s="2" t="s">
        <v>38</v>
      </c>
      <c r="W856" s="2" t="s">
        <v>35</v>
      </c>
      <c r="X856" s="2" t="s">
        <v>35</v>
      </c>
      <c r="Y856" s="2" t="s">
        <v>35</v>
      </c>
      <c r="Z856" s="2" t="b">
        <v>0</v>
      </c>
      <c r="AA856" s="2" t="s">
        <v>35</v>
      </c>
      <c r="AB856" s="2" t="s">
        <v>35</v>
      </c>
      <c r="AC856" s="2" t="s">
        <v>35</v>
      </c>
      <c r="AD856" s="2" t="s">
        <v>35</v>
      </c>
      <c r="AE856" s="2" t="s">
        <v>2650</v>
      </c>
      <c r="AF856" s="11">
        <v>44755.386805555558</v>
      </c>
      <c r="AG856" s="53"/>
      <c r="AH856" s="53" t="b">
        <f t="shared" si="40"/>
        <v>0</v>
      </c>
      <c r="AI856" s="54" t="str" cm="1">
        <f t="array" ref="AI856">TRANSPOSE(_xlfn._xlws.FILTER(images!L:L,images!F:F=Barrierenmessung!A856, ""))</f>
        <v>https://captureandgo.cloudlab.zhaw.ch/uploads/image_a719467579.jpg</v>
      </c>
      <c r="AJ856" s="2"/>
      <c r="AK856" s="2"/>
      <c r="AL856" s="2"/>
      <c r="AM856" s="2"/>
      <c r="AN856" s="2"/>
    </row>
    <row r="857" spans="1:40" ht="16" x14ac:dyDescent="0.2">
      <c r="A857" s="2" t="s">
        <v>2768</v>
      </c>
      <c r="B857" s="46">
        <v>856</v>
      </c>
      <c r="C857" s="2" t="b">
        <v>0</v>
      </c>
      <c r="D857" s="2" t="b">
        <v>0</v>
      </c>
      <c r="E857" s="2" t="b">
        <v>0</v>
      </c>
      <c r="F857" s="2" t="b">
        <v>0</v>
      </c>
      <c r="G857" s="2" t="s">
        <v>31</v>
      </c>
      <c r="H857" s="2" t="s">
        <v>2769</v>
      </c>
      <c r="I857" s="2" t="s">
        <v>2770</v>
      </c>
      <c r="J857" s="2" t="s">
        <v>2771</v>
      </c>
      <c r="K857" s="2" t="s">
        <v>35</v>
      </c>
      <c r="L857" s="2" t="s">
        <v>35</v>
      </c>
      <c r="M857" s="2" t="s">
        <v>35</v>
      </c>
      <c r="N857" s="2" t="s">
        <v>35</v>
      </c>
      <c r="O857" s="11">
        <v>44755.433913055553</v>
      </c>
      <c r="P857" s="11">
        <v>44755.434320810185</v>
      </c>
      <c r="Q857" s="27">
        <f t="shared" si="39"/>
        <v>4.0775463276077062E-4</v>
      </c>
      <c r="R857" s="65">
        <f t="shared" si="41"/>
        <v>1.4897337969159707E-3</v>
      </c>
      <c r="S857" s="2">
        <v>0</v>
      </c>
      <c r="T857" s="2" t="s">
        <v>36</v>
      </c>
      <c r="U857" s="2" t="s">
        <v>37</v>
      </c>
      <c r="V857" s="2" t="s">
        <v>38</v>
      </c>
      <c r="W857" s="2" t="s">
        <v>35</v>
      </c>
      <c r="X857" s="2" t="s">
        <v>35</v>
      </c>
      <c r="Y857" s="2" t="s">
        <v>35</v>
      </c>
      <c r="Z857" s="2" t="b">
        <v>0</v>
      </c>
      <c r="AA857" s="2" t="s">
        <v>35</v>
      </c>
      <c r="AB857" s="2" t="s">
        <v>35</v>
      </c>
      <c r="AC857" s="2">
        <v>5</v>
      </c>
      <c r="AD857" s="2" t="s">
        <v>35</v>
      </c>
      <c r="AE857" s="2" t="s">
        <v>2650</v>
      </c>
      <c r="AF857" s="11">
        <v>44755.386805555558</v>
      </c>
      <c r="AG857" s="53"/>
      <c r="AH857" s="53" t="b">
        <f t="shared" si="40"/>
        <v>0</v>
      </c>
      <c r="AI857" s="54" t="str" cm="1">
        <f t="array" ref="AI857:AJ857">TRANSPOSE(_xlfn._xlws.FILTER(images!L:L,images!F:F=Barrierenmessung!A857, ""))</f>
        <v>https://captureandgo.cloudlab.zhaw.ch/uploads/image_f7468e480e.jpg</v>
      </c>
      <c r="AJ857" s="2" t="str">
        <v>https://captureandgo.cloudlab.zhaw.ch/uploads/image_24326accba.jpg</v>
      </c>
      <c r="AK857" s="2"/>
      <c r="AL857" s="2"/>
      <c r="AM857" s="2"/>
      <c r="AN857" s="2"/>
    </row>
    <row r="858" spans="1:40" ht="16" x14ac:dyDescent="0.2">
      <c r="A858" s="2" t="s">
        <v>2772</v>
      </c>
      <c r="B858" s="46">
        <v>857</v>
      </c>
      <c r="C858" s="2" t="b">
        <v>0</v>
      </c>
      <c r="D858" s="2" t="b">
        <v>0</v>
      </c>
      <c r="E858" s="2" t="b">
        <v>0</v>
      </c>
      <c r="F858" s="2" t="b">
        <v>0</v>
      </c>
      <c r="G858" s="2" t="s">
        <v>31</v>
      </c>
      <c r="H858" s="2" t="s">
        <v>2773</v>
      </c>
      <c r="I858" s="2" t="s">
        <v>2774</v>
      </c>
      <c r="J858" s="2" t="s">
        <v>2306</v>
      </c>
      <c r="K858" s="2" t="s">
        <v>35</v>
      </c>
      <c r="L858" s="2" t="s">
        <v>35</v>
      </c>
      <c r="M858" s="2" t="s">
        <v>35</v>
      </c>
      <c r="N858" s="2" t="s">
        <v>35</v>
      </c>
      <c r="O858" s="11">
        <v>44755.434932511576</v>
      </c>
      <c r="P858" s="11">
        <v>44755.435171331017</v>
      </c>
      <c r="Q858" s="27">
        <f t="shared" si="39"/>
        <v>2.3881944071035832E-4</v>
      </c>
      <c r="R858" s="65">
        <f t="shared" si="41"/>
        <v>8.5052083159098402E-4</v>
      </c>
      <c r="S858" s="2">
        <v>0</v>
      </c>
      <c r="T858" s="2" t="s">
        <v>36</v>
      </c>
      <c r="U858" s="2" t="s">
        <v>37</v>
      </c>
      <c r="V858" s="2" t="s">
        <v>38</v>
      </c>
      <c r="W858" s="2" t="s">
        <v>35</v>
      </c>
      <c r="X858" s="2" t="s">
        <v>35</v>
      </c>
      <c r="Y858" s="2" t="s">
        <v>35</v>
      </c>
      <c r="Z858" s="2" t="b">
        <v>0</v>
      </c>
      <c r="AA858" s="2" t="s">
        <v>35</v>
      </c>
      <c r="AB858" s="2" t="s">
        <v>35</v>
      </c>
      <c r="AC858" s="2">
        <v>5</v>
      </c>
      <c r="AD858" s="2" t="s">
        <v>35</v>
      </c>
      <c r="AE858" s="2" t="s">
        <v>2650</v>
      </c>
      <c r="AF858" s="11">
        <v>44755.386805555558</v>
      </c>
      <c r="AG858" s="53"/>
      <c r="AH858" s="53" t="b">
        <f t="shared" si="40"/>
        <v>0</v>
      </c>
      <c r="AI858" s="54" t="str" cm="1">
        <f t="array" ref="AI858">TRANSPOSE(_xlfn._xlws.FILTER(images!L:L,images!F:F=Barrierenmessung!A858, ""))</f>
        <v>https://captureandgo.cloudlab.zhaw.ch/uploads/image_b427aa0acb.jpg</v>
      </c>
      <c r="AJ858" s="2"/>
      <c r="AK858" s="2"/>
      <c r="AL858" s="2"/>
      <c r="AM858" s="2"/>
      <c r="AN858" s="2"/>
    </row>
    <row r="859" spans="1:40" ht="16" x14ac:dyDescent="0.2">
      <c r="A859" s="2" t="s">
        <v>2775</v>
      </c>
      <c r="B859" s="46">
        <v>858</v>
      </c>
      <c r="C859" s="2" t="b">
        <v>0</v>
      </c>
      <c r="D859" s="2" t="b">
        <v>0</v>
      </c>
      <c r="E859" s="2" t="b">
        <v>0</v>
      </c>
      <c r="F859" s="2" t="b">
        <v>0</v>
      </c>
      <c r="G859" s="2" t="s">
        <v>31</v>
      </c>
      <c r="H859" s="2" t="s">
        <v>2776</v>
      </c>
      <c r="I859" s="2" t="s">
        <v>2777</v>
      </c>
      <c r="J859" s="2" t="s">
        <v>35</v>
      </c>
      <c r="K859" s="2" t="s">
        <v>35</v>
      </c>
      <c r="L859" s="2" t="s">
        <v>35</v>
      </c>
      <c r="M859" s="2" t="s">
        <v>35</v>
      </c>
      <c r="N859" s="2" t="s">
        <v>35</v>
      </c>
      <c r="O859" s="11">
        <v>44755.435566481479</v>
      </c>
      <c r="P859" s="11">
        <v>44755.435798553241</v>
      </c>
      <c r="Q859" s="27">
        <f t="shared" si="39"/>
        <v>2.320717612747103E-4</v>
      </c>
      <c r="R859" s="65">
        <f t="shared" si="41"/>
        <v>6.2722222355660051E-4</v>
      </c>
      <c r="S859" s="2">
        <v>0</v>
      </c>
      <c r="T859" s="2" t="s">
        <v>36</v>
      </c>
      <c r="U859" s="2" t="s">
        <v>37</v>
      </c>
      <c r="V859" s="2" t="s">
        <v>38</v>
      </c>
      <c r="W859" s="2" t="s">
        <v>35</v>
      </c>
      <c r="X859" s="2" t="s">
        <v>35</v>
      </c>
      <c r="Y859" s="2" t="s">
        <v>35</v>
      </c>
      <c r="Z859" s="2" t="b">
        <v>0</v>
      </c>
      <c r="AA859" s="2" t="s">
        <v>35</v>
      </c>
      <c r="AB859" s="2" t="s">
        <v>35</v>
      </c>
      <c r="AC859" s="2" t="s">
        <v>35</v>
      </c>
      <c r="AD859" s="2">
        <v>2</v>
      </c>
      <c r="AE859" s="2" t="s">
        <v>2650</v>
      </c>
      <c r="AF859" s="11">
        <v>44755.386805555558</v>
      </c>
      <c r="AG859" s="53"/>
      <c r="AH859" s="53" t="b">
        <f t="shared" si="40"/>
        <v>0</v>
      </c>
      <c r="AI859" s="54" t="str" cm="1">
        <f t="array" ref="AI859">TRANSPOSE(_xlfn._xlws.FILTER(images!L:L,images!F:F=Barrierenmessung!A859, ""))</f>
        <v>https://captureandgo.cloudlab.zhaw.ch/uploads/image_a75683b473.jpg</v>
      </c>
      <c r="AJ859" s="2"/>
      <c r="AK859" s="2"/>
      <c r="AL859" s="2"/>
      <c r="AM859" s="2"/>
      <c r="AN859" s="2"/>
    </row>
    <row r="860" spans="1:40" ht="16" x14ac:dyDescent="0.2">
      <c r="A860" s="2" t="s">
        <v>2778</v>
      </c>
      <c r="B860" s="46">
        <v>859</v>
      </c>
      <c r="C860" s="2" t="b">
        <v>0</v>
      </c>
      <c r="D860" s="2" t="b">
        <v>0</v>
      </c>
      <c r="E860" s="2" t="b">
        <v>0</v>
      </c>
      <c r="F860" s="2" t="b">
        <v>0</v>
      </c>
      <c r="G860" s="2" t="s">
        <v>31</v>
      </c>
      <c r="H860" s="2" t="s">
        <v>2779</v>
      </c>
      <c r="I860" s="2" t="s">
        <v>2780</v>
      </c>
      <c r="J860" s="2" t="s">
        <v>35</v>
      </c>
      <c r="K860" s="2" t="s">
        <v>35</v>
      </c>
      <c r="L860" s="2">
        <v>5</v>
      </c>
      <c r="M860" s="2" t="s">
        <v>35</v>
      </c>
      <c r="N860" s="2" t="s">
        <v>35</v>
      </c>
      <c r="O860" s="11">
        <v>44755.436243020835</v>
      </c>
      <c r="P860" s="11">
        <v>44755.436537442132</v>
      </c>
      <c r="Q860" s="27">
        <f t="shared" si="39"/>
        <v>2.9442129743983969E-4</v>
      </c>
      <c r="R860" s="65">
        <f t="shared" si="41"/>
        <v>7.3888889164663851E-4</v>
      </c>
      <c r="S860" s="2">
        <v>0</v>
      </c>
      <c r="T860" s="2" t="s">
        <v>265</v>
      </c>
      <c r="U860" s="2" t="s">
        <v>266</v>
      </c>
      <c r="V860" s="2" t="s">
        <v>38</v>
      </c>
      <c r="W860" s="2" t="s">
        <v>35</v>
      </c>
      <c r="X860" s="2" t="s">
        <v>35</v>
      </c>
      <c r="Y860" s="2" t="s">
        <v>35</v>
      </c>
      <c r="Z860" s="2" t="b">
        <v>0</v>
      </c>
      <c r="AA860" s="2" t="s">
        <v>35</v>
      </c>
      <c r="AB860" s="2" t="s">
        <v>35</v>
      </c>
      <c r="AC860" s="2" t="s">
        <v>35</v>
      </c>
      <c r="AD860" s="2" t="s">
        <v>35</v>
      </c>
      <c r="AE860" s="2" t="s">
        <v>2650</v>
      </c>
      <c r="AF860" s="11">
        <v>44755.386805555558</v>
      </c>
      <c r="AG860" s="53"/>
      <c r="AH860" s="53" t="b">
        <f t="shared" si="40"/>
        <v>0</v>
      </c>
      <c r="AI860" s="54" t="str" cm="1">
        <f t="array" ref="AI860">TRANSPOSE(_xlfn._xlws.FILTER(images!L:L,images!F:F=Barrierenmessung!A860, ""))</f>
        <v>https://captureandgo.cloudlab.zhaw.ch/uploads/image_dff3099ff7.jpg</v>
      </c>
      <c r="AJ860" s="2"/>
      <c r="AK860" s="2"/>
      <c r="AL860" s="2"/>
      <c r="AM860" s="2"/>
      <c r="AN860" s="2"/>
    </row>
    <row r="861" spans="1:40" ht="16" x14ac:dyDescent="0.2">
      <c r="A861" s="2" t="s">
        <v>2781</v>
      </c>
      <c r="B861" s="46">
        <v>860</v>
      </c>
      <c r="C861" s="2" t="b">
        <v>0</v>
      </c>
      <c r="D861" s="2" t="b">
        <v>0</v>
      </c>
      <c r="E861" s="2" t="b">
        <v>0</v>
      </c>
      <c r="F861" s="2" t="b">
        <v>0</v>
      </c>
      <c r="G861" s="2" t="s">
        <v>31</v>
      </c>
      <c r="H861" s="2" t="s">
        <v>2782</v>
      </c>
      <c r="I861" s="2" t="s">
        <v>2783</v>
      </c>
      <c r="J861" s="2" t="s">
        <v>35</v>
      </c>
      <c r="K861" s="2" t="s">
        <v>35</v>
      </c>
      <c r="L861" s="2" t="s">
        <v>35</v>
      </c>
      <c r="M861" s="2" t="s">
        <v>35</v>
      </c>
      <c r="N861" s="2" t="s">
        <v>35</v>
      </c>
      <c r="O861" s="11">
        <v>44755.437532777774</v>
      </c>
      <c r="P861" s="11">
        <v>44755.438223020836</v>
      </c>
      <c r="Q861" s="27">
        <f t="shared" si="39"/>
        <v>6.9024306139908731E-4</v>
      </c>
      <c r="R861" s="65">
        <f t="shared" si="41"/>
        <v>1.6855787034728564E-3</v>
      </c>
      <c r="S861" s="2">
        <v>0</v>
      </c>
      <c r="T861" s="2" t="s">
        <v>36</v>
      </c>
      <c r="U861" s="2" t="s">
        <v>37</v>
      </c>
      <c r="V861" s="2" t="s">
        <v>38</v>
      </c>
      <c r="W861" s="2" t="s">
        <v>35</v>
      </c>
      <c r="X861" s="2" t="s">
        <v>35</v>
      </c>
      <c r="Y861" s="2" t="s">
        <v>35</v>
      </c>
      <c r="Z861" s="2" t="b">
        <v>0</v>
      </c>
      <c r="AA861" s="2" t="s">
        <v>35</v>
      </c>
      <c r="AB861" s="2" t="s">
        <v>35</v>
      </c>
      <c r="AC861" s="2" t="s">
        <v>35</v>
      </c>
      <c r="AD861" s="2">
        <v>4</v>
      </c>
      <c r="AE861" s="2" t="s">
        <v>2650</v>
      </c>
      <c r="AF861" s="11">
        <v>44755.386805555558</v>
      </c>
      <c r="AG861" s="53"/>
      <c r="AH861" s="53" t="b">
        <f t="shared" si="40"/>
        <v>0</v>
      </c>
      <c r="AI861" s="54" t="str" cm="1">
        <f t="array" ref="AI861">TRANSPOSE(_xlfn._xlws.FILTER(images!L:L,images!F:F=Barrierenmessung!A861, ""))</f>
        <v>https://captureandgo.cloudlab.zhaw.ch/uploads/image_3a9fedec44.jpg</v>
      </c>
      <c r="AJ861" s="2"/>
      <c r="AK861" s="2"/>
      <c r="AL861" s="2"/>
      <c r="AM861" s="2"/>
      <c r="AN861" s="2"/>
    </row>
    <row r="862" spans="1:40" ht="16" x14ac:dyDescent="0.2">
      <c r="A862" s="2" t="s">
        <v>2784</v>
      </c>
      <c r="B862" s="46">
        <v>861</v>
      </c>
      <c r="C862" s="2" t="b">
        <v>0</v>
      </c>
      <c r="D862" s="2" t="b">
        <v>0</v>
      </c>
      <c r="E862" s="2" t="b">
        <v>0</v>
      </c>
      <c r="F862" s="2" t="b">
        <v>0</v>
      </c>
      <c r="G862" s="2" t="s">
        <v>31</v>
      </c>
      <c r="H862" s="2" t="s">
        <v>2785</v>
      </c>
      <c r="I862" s="2" t="s">
        <v>2786</v>
      </c>
      <c r="J862" s="2" t="s">
        <v>2354</v>
      </c>
      <c r="K862" s="2" t="s">
        <v>35</v>
      </c>
      <c r="L862" s="2" t="s">
        <v>35</v>
      </c>
      <c r="M862" s="2" t="s">
        <v>35</v>
      </c>
      <c r="N862" s="2" t="s">
        <v>35</v>
      </c>
      <c r="O862" s="11">
        <v>44755.438643900467</v>
      </c>
      <c r="P862" s="11">
        <v>44755.438959872685</v>
      </c>
      <c r="Q862" s="27">
        <f t="shared" si="39"/>
        <v>3.1597221823176369E-4</v>
      </c>
      <c r="R862" s="65">
        <f t="shared" si="41"/>
        <v>7.3685184906935319E-4</v>
      </c>
      <c r="S862" s="2">
        <v>0</v>
      </c>
      <c r="T862" s="2" t="s">
        <v>36</v>
      </c>
      <c r="U862" s="2" t="s">
        <v>37</v>
      </c>
      <c r="V862" s="2" t="s">
        <v>38</v>
      </c>
      <c r="W862" s="2" t="s">
        <v>35</v>
      </c>
      <c r="X862" s="2" t="s">
        <v>35</v>
      </c>
      <c r="Y862" s="2" t="s">
        <v>35</v>
      </c>
      <c r="Z862" s="2" t="b">
        <v>0</v>
      </c>
      <c r="AA862" s="2" t="s">
        <v>35</v>
      </c>
      <c r="AB862" s="2" t="s">
        <v>35</v>
      </c>
      <c r="AC862" s="2">
        <v>5</v>
      </c>
      <c r="AD862" s="2">
        <v>2</v>
      </c>
      <c r="AE862" s="2" t="s">
        <v>2650</v>
      </c>
      <c r="AF862" s="11">
        <v>44755.386805555558</v>
      </c>
      <c r="AG862" s="53"/>
      <c r="AH862" s="53" t="b">
        <f t="shared" si="40"/>
        <v>0</v>
      </c>
      <c r="AI862" s="54" t="str" cm="1">
        <f t="array" ref="AI862">TRANSPOSE(_xlfn._xlws.FILTER(images!L:L,images!F:F=Barrierenmessung!A862, ""))</f>
        <v>https://captureandgo.cloudlab.zhaw.ch/uploads/image_84b6e6ca79.jpg</v>
      </c>
      <c r="AJ862" s="2"/>
      <c r="AK862" s="2"/>
      <c r="AL862" s="2"/>
      <c r="AM862" s="2"/>
      <c r="AN862" s="2"/>
    </row>
    <row r="863" spans="1:40" ht="16" x14ac:dyDescent="0.2">
      <c r="A863" s="2" t="s">
        <v>2787</v>
      </c>
      <c r="B863" s="46">
        <v>862</v>
      </c>
      <c r="C863" s="2" t="b">
        <v>0</v>
      </c>
      <c r="D863" s="2" t="b">
        <v>0</v>
      </c>
      <c r="E863" s="2" t="b">
        <v>0</v>
      </c>
      <c r="F863" s="2" t="b">
        <v>0</v>
      </c>
      <c r="G863" s="2" t="s">
        <v>31</v>
      </c>
      <c r="H863" s="2" t="s">
        <v>2788</v>
      </c>
      <c r="I863" s="2" t="s">
        <v>2789</v>
      </c>
      <c r="J863" s="2" t="s">
        <v>2354</v>
      </c>
      <c r="K863" s="2" t="s">
        <v>35</v>
      </c>
      <c r="L863" s="2" t="s">
        <v>35</v>
      </c>
      <c r="M863" s="2" t="s">
        <v>35</v>
      </c>
      <c r="N863" s="2" t="s">
        <v>35</v>
      </c>
      <c r="O863" s="11">
        <v>44755.439575717595</v>
      </c>
      <c r="P863" s="11">
        <v>44755.439779016204</v>
      </c>
      <c r="Q863" s="27">
        <f t="shared" si="39"/>
        <v>2.03298608539626E-4</v>
      </c>
      <c r="R863" s="65">
        <f t="shared" si="41"/>
        <v>8.1914351903833449E-4</v>
      </c>
      <c r="S863" s="2">
        <v>0</v>
      </c>
      <c r="T863" s="2" t="s">
        <v>36</v>
      </c>
      <c r="U863" s="2" t="s">
        <v>37</v>
      </c>
      <c r="V863" s="2" t="s">
        <v>38</v>
      </c>
      <c r="W863" s="2" t="s">
        <v>35</v>
      </c>
      <c r="X863" s="2" t="s">
        <v>35</v>
      </c>
      <c r="Y863" s="2" t="s">
        <v>35</v>
      </c>
      <c r="Z863" s="2" t="b">
        <v>0</v>
      </c>
      <c r="AA863" s="2" t="s">
        <v>35</v>
      </c>
      <c r="AB863" s="2" t="s">
        <v>35</v>
      </c>
      <c r="AC863" s="2">
        <v>5</v>
      </c>
      <c r="AD863" s="2" t="s">
        <v>35</v>
      </c>
      <c r="AE863" s="2" t="s">
        <v>2650</v>
      </c>
      <c r="AF863" s="11">
        <v>44755.386805555558</v>
      </c>
      <c r="AG863" s="53"/>
      <c r="AH863" s="53" t="b">
        <f t="shared" si="40"/>
        <v>0</v>
      </c>
      <c r="AI863" s="54" t="str" cm="1">
        <f t="array" ref="AI863">TRANSPOSE(_xlfn._xlws.FILTER(images!L:L,images!F:F=Barrierenmessung!A863, ""))</f>
        <v>https://captureandgo.cloudlab.zhaw.ch/uploads/image_3e1343efe2.jpg</v>
      </c>
      <c r="AJ863" s="2"/>
      <c r="AK863" s="2"/>
      <c r="AL863" s="2"/>
      <c r="AM863" s="2"/>
      <c r="AN863" s="2"/>
    </row>
    <row r="864" spans="1:40" ht="16" x14ac:dyDescent="0.2">
      <c r="A864" s="2" t="s">
        <v>2790</v>
      </c>
      <c r="B864" s="46">
        <v>863</v>
      </c>
      <c r="C864" s="2" t="b">
        <v>0</v>
      </c>
      <c r="D864" s="2" t="b">
        <v>0</v>
      </c>
      <c r="E864" s="2" t="b">
        <v>0</v>
      </c>
      <c r="F864" s="2" t="b">
        <v>0</v>
      </c>
      <c r="G864" s="2" t="s">
        <v>31</v>
      </c>
      <c r="H864" s="2" t="s">
        <v>2791</v>
      </c>
      <c r="I864" s="2" t="s">
        <v>2792</v>
      </c>
      <c r="J864" s="2" t="s">
        <v>35</v>
      </c>
      <c r="K864" s="2" t="s">
        <v>35</v>
      </c>
      <c r="L864" s="2" t="s">
        <v>35</v>
      </c>
      <c r="M864" s="2">
        <v>37</v>
      </c>
      <c r="N864" s="2">
        <v>18</v>
      </c>
      <c r="O864" s="11">
        <v>44755.440609131947</v>
      </c>
      <c r="P864" s="11">
        <v>44755.44212861111</v>
      </c>
      <c r="Q864" s="27">
        <f t="shared" si="39"/>
        <v>1.5194791631074622E-3</v>
      </c>
      <c r="R864" s="65">
        <f t="shared" si="41"/>
        <v>2.3495949062635191E-3</v>
      </c>
      <c r="S864" s="2">
        <v>0</v>
      </c>
      <c r="T864" s="2" t="s">
        <v>54</v>
      </c>
      <c r="U864" s="2" t="s">
        <v>55</v>
      </c>
      <c r="V864" s="2" t="s">
        <v>38</v>
      </c>
      <c r="W864" s="2" t="s">
        <v>35</v>
      </c>
      <c r="X864" s="2" t="s">
        <v>35</v>
      </c>
      <c r="Y864" s="2" t="s">
        <v>35</v>
      </c>
      <c r="Z864" s="2" t="b">
        <v>0</v>
      </c>
      <c r="AA864" s="2" t="s">
        <v>35</v>
      </c>
      <c r="AB864" s="2" t="s">
        <v>35</v>
      </c>
      <c r="AC864" s="2" t="s">
        <v>35</v>
      </c>
      <c r="AD864" s="2" t="s">
        <v>35</v>
      </c>
      <c r="AE864" s="2" t="s">
        <v>2650</v>
      </c>
      <c r="AF864" s="11">
        <v>44755.386805555558</v>
      </c>
      <c r="AG864" s="53"/>
      <c r="AH864" s="53" t="b">
        <f t="shared" si="40"/>
        <v>0</v>
      </c>
      <c r="AI864" s="54" t="str" cm="1">
        <f t="array" ref="AI864:AJ864">TRANSPOSE(_xlfn._xlws.FILTER(images!L:L,images!F:F=Barrierenmessung!A864, ""))</f>
        <v>https://captureandgo.cloudlab.zhaw.ch/uploads/image_795ad7330a.jpg</v>
      </c>
      <c r="AJ864" s="2" t="str">
        <v>https://captureandgo.cloudlab.zhaw.ch/uploads/image_b11d8719bd.jpg</v>
      </c>
      <c r="AK864" s="2"/>
      <c r="AL864" s="2"/>
      <c r="AM864" s="2"/>
      <c r="AN864" s="2"/>
    </row>
    <row r="865" spans="1:40" ht="16" x14ac:dyDescent="0.2">
      <c r="A865" s="2" t="s">
        <v>2793</v>
      </c>
      <c r="B865" s="46">
        <v>864</v>
      </c>
      <c r="C865" s="2" t="b">
        <v>0</v>
      </c>
      <c r="D865" s="2" t="b">
        <v>0</v>
      </c>
      <c r="E865" s="2" t="b">
        <v>0</v>
      </c>
      <c r="F865" s="2" t="b">
        <v>0</v>
      </c>
      <c r="G865" s="2" t="s">
        <v>31</v>
      </c>
      <c r="H865" s="2" t="s">
        <v>2794</v>
      </c>
      <c r="I865" s="2" t="s">
        <v>2795</v>
      </c>
      <c r="J865" s="2" t="s">
        <v>2354</v>
      </c>
      <c r="K865" s="2" t="s">
        <v>35</v>
      </c>
      <c r="L865" s="2" t="s">
        <v>35</v>
      </c>
      <c r="M865" s="2" t="s">
        <v>35</v>
      </c>
      <c r="N865" s="2" t="s">
        <v>35</v>
      </c>
      <c r="O865" s="11">
        <v>44755.442244537036</v>
      </c>
      <c r="P865" s="11">
        <v>44755.443011805553</v>
      </c>
      <c r="Q865" s="27">
        <f t="shared" si="39"/>
        <v>7.6726851693820208E-4</v>
      </c>
      <c r="R865" s="65">
        <f t="shared" si="41"/>
        <v>8.8319444330409169E-4</v>
      </c>
      <c r="S865" s="2">
        <v>0</v>
      </c>
      <c r="T865" s="2" t="s">
        <v>36</v>
      </c>
      <c r="U865" s="2" t="s">
        <v>37</v>
      </c>
      <c r="V865" s="2" t="s">
        <v>38</v>
      </c>
      <c r="W865" s="2" t="s">
        <v>35</v>
      </c>
      <c r="X865" s="2" t="s">
        <v>35</v>
      </c>
      <c r="Y865" s="2" t="s">
        <v>35</v>
      </c>
      <c r="Z865" s="2" t="b">
        <v>0</v>
      </c>
      <c r="AA865" s="2" t="s">
        <v>35</v>
      </c>
      <c r="AB865" s="2" t="s">
        <v>35</v>
      </c>
      <c r="AC865" s="2">
        <v>5</v>
      </c>
      <c r="AD865" s="2">
        <v>3</v>
      </c>
      <c r="AE865" s="2" t="s">
        <v>2650</v>
      </c>
      <c r="AF865" s="11">
        <v>44755.386805555558</v>
      </c>
      <c r="AG865" s="53"/>
      <c r="AH865" s="53" t="b">
        <f t="shared" si="40"/>
        <v>0</v>
      </c>
      <c r="AI865" s="54" t="str" cm="1">
        <f t="array" ref="AI865">TRANSPOSE(_xlfn._xlws.FILTER(images!L:L,images!F:F=Barrierenmessung!A865, ""))</f>
        <v>https://captureandgo.cloudlab.zhaw.ch/uploads/image_24a693f625.jpg</v>
      </c>
      <c r="AJ865" s="2"/>
      <c r="AK865" s="2"/>
      <c r="AL865" s="2"/>
      <c r="AM865" s="2"/>
      <c r="AN865" s="2"/>
    </row>
    <row r="866" spans="1:40" ht="16" x14ac:dyDescent="0.2">
      <c r="A866" s="2" t="s">
        <v>2796</v>
      </c>
      <c r="B866" s="46">
        <v>865</v>
      </c>
      <c r="C866" s="2" t="b">
        <v>0</v>
      </c>
      <c r="D866" s="2" t="b">
        <v>0</v>
      </c>
      <c r="E866" s="2" t="b">
        <v>0</v>
      </c>
      <c r="F866" s="2" t="b">
        <v>0</v>
      </c>
      <c r="G866" s="2" t="s">
        <v>31</v>
      </c>
      <c r="H866" s="2" t="s">
        <v>2797</v>
      </c>
      <c r="I866" s="2" t="s">
        <v>2798</v>
      </c>
      <c r="J866" s="2" t="s">
        <v>1574</v>
      </c>
      <c r="K866" s="2" t="s">
        <v>35</v>
      </c>
      <c r="L866" s="2" t="s">
        <v>35</v>
      </c>
      <c r="M866" s="2">
        <v>7</v>
      </c>
      <c r="N866" s="2">
        <v>11</v>
      </c>
      <c r="O866" s="11">
        <v>44755.443054699077</v>
      </c>
      <c r="P866" s="11">
        <v>44755.443518252316</v>
      </c>
      <c r="Q866" s="27">
        <f t="shared" si="39"/>
        <v>4.6355323866009712E-4</v>
      </c>
      <c r="R866" s="65">
        <f t="shared" si="41"/>
        <v>5.0644676230149344E-4</v>
      </c>
      <c r="S866" s="2">
        <v>0</v>
      </c>
      <c r="T866" s="2" t="s">
        <v>54</v>
      </c>
      <c r="U866" s="2" t="s">
        <v>55</v>
      </c>
      <c r="V866" s="2" t="s">
        <v>38</v>
      </c>
      <c r="W866" s="2" t="s">
        <v>35</v>
      </c>
      <c r="X866" s="2" t="s">
        <v>35</v>
      </c>
      <c r="Y866" s="2" t="s">
        <v>35</v>
      </c>
      <c r="Z866" s="2" t="b">
        <v>1</v>
      </c>
      <c r="AA866" s="2" t="s">
        <v>35</v>
      </c>
      <c r="AB866" s="2" t="s">
        <v>35</v>
      </c>
      <c r="AC866" s="2" t="s">
        <v>35</v>
      </c>
      <c r="AD866" s="2" t="s">
        <v>35</v>
      </c>
      <c r="AE866" s="2" t="s">
        <v>2650</v>
      </c>
      <c r="AF866" s="11">
        <v>44755.386805555558</v>
      </c>
      <c r="AG866" s="53"/>
      <c r="AH866" s="53" t="b">
        <f t="shared" si="40"/>
        <v>0</v>
      </c>
      <c r="AI866" s="54" t="str" cm="1">
        <f t="array" ref="AI866">TRANSPOSE(_xlfn._xlws.FILTER(images!L:L,images!F:F=Barrierenmessung!A866, ""))</f>
        <v>https://captureandgo.cloudlab.zhaw.ch/uploads/image_655a656cdf.jpg</v>
      </c>
      <c r="AJ866" s="2"/>
      <c r="AK866" s="2"/>
      <c r="AL866" s="2"/>
      <c r="AM866" s="2"/>
      <c r="AN866" s="2"/>
    </row>
    <row r="867" spans="1:40" ht="16" x14ac:dyDescent="0.2">
      <c r="A867" s="2" t="s">
        <v>2799</v>
      </c>
      <c r="B867" s="46">
        <v>866</v>
      </c>
      <c r="C867" s="2" t="b">
        <v>0</v>
      </c>
      <c r="D867" s="2" t="b">
        <v>0</v>
      </c>
      <c r="E867" s="2" t="b">
        <v>0</v>
      </c>
      <c r="F867" s="2" t="b">
        <v>0</v>
      </c>
      <c r="G867" s="2" t="s">
        <v>31</v>
      </c>
      <c r="H867" s="2" t="s">
        <v>2800</v>
      </c>
      <c r="I867" s="2" t="s">
        <v>2801</v>
      </c>
      <c r="J867" s="2" t="s">
        <v>35</v>
      </c>
      <c r="K867" s="2" t="s">
        <v>35</v>
      </c>
      <c r="L867" s="2" t="s">
        <v>35</v>
      </c>
      <c r="M867" s="2" t="s">
        <v>35</v>
      </c>
      <c r="N867" s="2" t="s">
        <v>35</v>
      </c>
      <c r="O867" s="11">
        <v>44755.444081585651</v>
      </c>
      <c r="P867" s="11">
        <v>44755.444185081018</v>
      </c>
      <c r="Q867" s="27">
        <f t="shared" si="39"/>
        <v>1.0349536751164123E-4</v>
      </c>
      <c r="R867" s="65">
        <f t="shared" si="41"/>
        <v>6.6682870237855241E-4</v>
      </c>
      <c r="S867" s="2">
        <v>0</v>
      </c>
      <c r="T867" s="2" t="s">
        <v>36</v>
      </c>
      <c r="U867" s="2" t="s">
        <v>37</v>
      </c>
      <c r="V867" s="2" t="s">
        <v>38</v>
      </c>
      <c r="W867" s="2" t="s">
        <v>35</v>
      </c>
      <c r="X867" s="2" t="s">
        <v>35</v>
      </c>
      <c r="Y867" s="2" t="s">
        <v>35</v>
      </c>
      <c r="Z867" s="2" t="b">
        <v>0</v>
      </c>
      <c r="AA867" s="2" t="s">
        <v>35</v>
      </c>
      <c r="AB867" s="2" t="s">
        <v>35</v>
      </c>
      <c r="AC867" s="2" t="s">
        <v>35</v>
      </c>
      <c r="AD867" s="2">
        <v>2</v>
      </c>
      <c r="AE867" s="2" t="s">
        <v>2650</v>
      </c>
      <c r="AF867" s="11">
        <v>44755.386805555558</v>
      </c>
      <c r="AG867" s="53"/>
      <c r="AH867" s="53" t="b">
        <f t="shared" si="40"/>
        <v>0</v>
      </c>
      <c r="AI867" s="54" t="str" cm="1">
        <f t="array" ref="AI867">TRANSPOSE(_xlfn._xlws.FILTER(images!L:L,images!F:F=Barrierenmessung!A867, ""))</f>
        <v>https://captureandgo.cloudlab.zhaw.ch/uploads/image_8876b10918.jpg</v>
      </c>
      <c r="AJ867" s="2"/>
      <c r="AK867" s="2"/>
      <c r="AL867" s="2"/>
      <c r="AM867" s="2"/>
      <c r="AN867" s="2"/>
    </row>
    <row r="868" spans="1:40" ht="16" x14ac:dyDescent="0.2">
      <c r="A868" s="68" t="s">
        <v>2802</v>
      </c>
      <c r="B868" s="68">
        <v>867</v>
      </c>
      <c r="C868" s="68" t="b">
        <v>0</v>
      </c>
      <c r="D868" s="68" t="b">
        <v>0</v>
      </c>
      <c r="E868" s="68" t="b">
        <v>0</v>
      </c>
      <c r="F868" s="68" t="b">
        <v>0</v>
      </c>
      <c r="G868" s="68" t="s">
        <v>31</v>
      </c>
      <c r="H868" s="68" t="s">
        <v>149</v>
      </c>
      <c r="I868" s="68" t="s">
        <v>2803</v>
      </c>
      <c r="J868" s="68" t="s">
        <v>2354</v>
      </c>
      <c r="K868" s="68" t="s">
        <v>35</v>
      </c>
      <c r="L868" s="68" t="s">
        <v>35</v>
      </c>
      <c r="M868" s="68" t="s">
        <v>35</v>
      </c>
      <c r="N868" s="68" t="s">
        <v>35</v>
      </c>
      <c r="O868" s="69">
        <v>44755.444699629632</v>
      </c>
      <c r="P868" s="69">
        <v>44755.444972847225</v>
      </c>
      <c r="Q868" s="70">
        <f t="shared" si="39"/>
        <v>2.7321759262122214E-4</v>
      </c>
      <c r="R868" s="70">
        <f t="shared" si="41"/>
        <v>7.8776620648568496E-4</v>
      </c>
      <c r="S868" s="68">
        <v>0</v>
      </c>
      <c r="T868" s="68" t="s">
        <v>36</v>
      </c>
      <c r="U868" s="68" t="s">
        <v>37</v>
      </c>
      <c r="V868" s="68" t="s">
        <v>38</v>
      </c>
      <c r="W868" s="68" t="s">
        <v>35</v>
      </c>
      <c r="X868" s="68" t="s">
        <v>35</v>
      </c>
      <c r="Y868" s="68" t="s">
        <v>35</v>
      </c>
      <c r="Z868" s="68" t="b">
        <v>0</v>
      </c>
      <c r="AA868" s="68" t="s">
        <v>35</v>
      </c>
      <c r="AB868" s="68" t="s">
        <v>35</v>
      </c>
      <c r="AC868" s="68">
        <v>4</v>
      </c>
      <c r="AD868" s="68">
        <v>3</v>
      </c>
      <c r="AE868" s="68" t="s">
        <v>2650</v>
      </c>
      <c r="AF868" s="69">
        <v>44755.386805555558</v>
      </c>
      <c r="AG868" s="71"/>
      <c r="AH868" s="71" t="b">
        <f t="shared" si="40"/>
        <v>0</v>
      </c>
      <c r="AI868" s="56" t="str" cm="1">
        <f t="array" ref="AI868">TRANSPOSE(_xlfn._xlws.FILTER(images!L:L,images!F:F=Barrierenmessung!A868, ""))</f>
        <v/>
      </c>
      <c r="AJ868" s="68"/>
      <c r="AK868" s="68"/>
      <c r="AL868" s="68"/>
      <c r="AM868" s="68"/>
      <c r="AN868" s="68"/>
    </row>
    <row r="869" spans="1:40" ht="16" x14ac:dyDescent="0.2">
      <c r="A869" s="2" t="s">
        <v>2804</v>
      </c>
      <c r="B869" s="46">
        <v>868</v>
      </c>
      <c r="C869" s="2" t="b">
        <v>0</v>
      </c>
      <c r="D869" s="2" t="b">
        <v>0</v>
      </c>
      <c r="E869" s="2" t="b">
        <v>0</v>
      </c>
      <c r="F869" s="2" t="b">
        <v>0</v>
      </c>
      <c r="G869" s="2" t="s">
        <v>31</v>
      </c>
      <c r="H869" s="2" t="s">
        <v>2805</v>
      </c>
      <c r="I869" s="2" t="s">
        <v>2806</v>
      </c>
      <c r="J869" s="2" t="s">
        <v>2807</v>
      </c>
      <c r="K869" s="2" t="s">
        <v>35</v>
      </c>
      <c r="L869" s="2" t="s">
        <v>35</v>
      </c>
      <c r="M869" s="2" t="s">
        <v>35</v>
      </c>
      <c r="N869" s="2" t="s">
        <v>35</v>
      </c>
      <c r="O869" s="11">
        <v>44755.445882997687</v>
      </c>
      <c r="P869" s="11">
        <v>44755.446166076392</v>
      </c>
      <c r="Q869" s="27">
        <f t="shared" si="39"/>
        <v>2.8307870525168255E-4</v>
      </c>
      <c r="R869" s="65">
        <f t="shared" si="41"/>
        <v>1.1932291672565043E-3</v>
      </c>
      <c r="S869" s="2">
        <v>0</v>
      </c>
      <c r="T869" s="2" t="s">
        <v>36</v>
      </c>
      <c r="U869" s="2" t="s">
        <v>37</v>
      </c>
      <c r="V869" s="2" t="s">
        <v>38</v>
      </c>
      <c r="W869" s="2" t="s">
        <v>35</v>
      </c>
      <c r="X869" s="2" t="s">
        <v>35</v>
      </c>
      <c r="Y869" s="2" t="s">
        <v>35</v>
      </c>
      <c r="Z869" s="2" t="b">
        <v>0</v>
      </c>
      <c r="AA869" s="2" t="s">
        <v>35</v>
      </c>
      <c r="AB869" s="2" t="s">
        <v>35</v>
      </c>
      <c r="AC869" s="2">
        <v>6</v>
      </c>
      <c r="AD869" s="2" t="s">
        <v>35</v>
      </c>
      <c r="AE869" s="2" t="s">
        <v>2650</v>
      </c>
      <c r="AF869" s="11">
        <v>44755.386805555558</v>
      </c>
      <c r="AG869" s="53"/>
      <c r="AH869" s="53" t="b">
        <f t="shared" si="40"/>
        <v>0</v>
      </c>
      <c r="AI869" s="54" t="str" cm="1">
        <f t="array" ref="AI869">TRANSPOSE(_xlfn._xlws.FILTER(images!L:L,images!F:F=Barrierenmessung!A869, ""))</f>
        <v>https://captureandgo.cloudlab.zhaw.ch/uploads/image_ded05a5af4.jpg</v>
      </c>
      <c r="AJ869" s="2"/>
      <c r="AK869" s="2"/>
      <c r="AL869" s="2"/>
      <c r="AM869" s="2"/>
      <c r="AN869" s="2"/>
    </row>
    <row r="870" spans="1:40" ht="16" x14ac:dyDescent="0.2">
      <c r="A870" s="2" t="s">
        <v>2808</v>
      </c>
      <c r="B870" s="46">
        <v>869</v>
      </c>
      <c r="C870" s="2" t="b">
        <v>0</v>
      </c>
      <c r="D870" s="2" t="b">
        <v>0</v>
      </c>
      <c r="E870" s="2" t="b">
        <v>0</v>
      </c>
      <c r="F870" s="2" t="b">
        <v>0</v>
      </c>
      <c r="G870" s="2" t="s">
        <v>31</v>
      </c>
      <c r="H870" s="2" t="s">
        <v>2809</v>
      </c>
      <c r="I870" s="2" t="s">
        <v>2810</v>
      </c>
      <c r="J870" s="2" t="s">
        <v>35</v>
      </c>
      <c r="K870" s="2" t="s">
        <v>35</v>
      </c>
      <c r="L870" s="2" t="s">
        <v>35</v>
      </c>
      <c r="M870" s="2">
        <v>11</v>
      </c>
      <c r="N870" s="2">
        <v>15</v>
      </c>
      <c r="O870" s="11">
        <v>44755.446423576388</v>
      </c>
      <c r="P870" s="11">
        <v>44755.446643715281</v>
      </c>
      <c r="Q870" s="27">
        <f t="shared" si="39"/>
        <v>2.201388924731873E-4</v>
      </c>
      <c r="R870" s="65">
        <f t="shared" si="41"/>
        <v>4.7763888869667426E-4</v>
      </c>
      <c r="S870" s="2">
        <v>0</v>
      </c>
      <c r="T870" s="2" t="s">
        <v>54</v>
      </c>
      <c r="U870" s="2" t="s">
        <v>55</v>
      </c>
      <c r="V870" s="2" t="s">
        <v>38</v>
      </c>
      <c r="W870" s="2" t="s">
        <v>35</v>
      </c>
      <c r="X870" s="2" t="s">
        <v>35</v>
      </c>
      <c r="Y870" s="2" t="s">
        <v>35</v>
      </c>
      <c r="Z870" s="2" t="b">
        <v>0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2650</v>
      </c>
      <c r="AF870" s="11">
        <v>44755.386805555558</v>
      </c>
      <c r="AG870" s="53"/>
      <c r="AH870" s="53" t="b">
        <f t="shared" si="40"/>
        <v>0</v>
      </c>
      <c r="AI870" s="54" t="str" cm="1">
        <f t="array" ref="AI870">TRANSPOSE(_xlfn._xlws.FILTER(images!L:L,images!F:F=Barrierenmessung!A870, ""))</f>
        <v>https://captureandgo.cloudlab.zhaw.ch/uploads/image_a55722d39d.jpg</v>
      </c>
      <c r="AJ870" s="2"/>
      <c r="AK870" s="2"/>
      <c r="AL870" s="2"/>
      <c r="AM870" s="2"/>
      <c r="AN870" s="2"/>
    </row>
    <row r="871" spans="1:40" ht="16" x14ac:dyDescent="0.2">
      <c r="A871" s="2" t="s">
        <v>2811</v>
      </c>
      <c r="B871" s="46">
        <v>870</v>
      </c>
      <c r="C871" s="2" t="b">
        <v>0</v>
      </c>
      <c r="D871" s="2" t="b">
        <v>0</v>
      </c>
      <c r="E871" s="2" t="b">
        <v>0</v>
      </c>
      <c r="F871" s="2" t="b">
        <v>0</v>
      </c>
      <c r="G871" s="2" t="s">
        <v>31</v>
      </c>
      <c r="H871" s="2" t="s">
        <v>2812</v>
      </c>
      <c r="I871" s="2" t="s">
        <v>2813</v>
      </c>
      <c r="J871" s="2" t="s">
        <v>35</v>
      </c>
      <c r="K871" s="2" t="s">
        <v>35</v>
      </c>
      <c r="L871" s="2" t="s">
        <v>35</v>
      </c>
      <c r="M871" s="2">
        <v>10</v>
      </c>
      <c r="N871" s="2">
        <v>15</v>
      </c>
      <c r="O871" s="11">
        <v>44755.449301666667</v>
      </c>
      <c r="P871" s="11">
        <v>44755.44957203704</v>
      </c>
      <c r="Q871" s="27">
        <f t="shared" si="39"/>
        <v>2.7037037216359749E-4</v>
      </c>
      <c r="R871" s="65">
        <f t="shared" si="41"/>
        <v>2.9283217591000721E-3</v>
      </c>
      <c r="S871" s="2">
        <v>0</v>
      </c>
      <c r="T871" s="2" t="s">
        <v>54</v>
      </c>
      <c r="U871" s="2" t="s">
        <v>55</v>
      </c>
      <c r="V871" s="2" t="s">
        <v>38</v>
      </c>
      <c r="W871" s="2" t="s">
        <v>35</v>
      </c>
      <c r="X871" s="2" t="s">
        <v>35</v>
      </c>
      <c r="Y871" s="2" t="s">
        <v>35</v>
      </c>
      <c r="Z871" s="2" t="b">
        <v>0</v>
      </c>
      <c r="AA871" s="2" t="s">
        <v>35</v>
      </c>
      <c r="AB871" s="2" t="s">
        <v>35</v>
      </c>
      <c r="AC871" s="2" t="s">
        <v>35</v>
      </c>
      <c r="AD871" s="2" t="s">
        <v>35</v>
      </c>
      <c r="AE871" s="2" t="s">
        <v>2650</v>
      </c>
      <c r="AF871" s="11">
        <v>44755.386805555558</v>
      </c>
      <c r="AG871" s="53"/>
      <c r="AH871" s="53" t="b">
        <f t="shared" si="40"/>
        <v>0</v>
      </c>
      <c r="AI871" s="54" t="str" cm="1">
        <f t="array" ref="AI871">TRANSPOSE(_xlfn._xlws.FILTER(images!L:L,images!F:F=Barrierenmessung!A871, ""))</f>
        <v>https://captureandgo.cloudlab.zhaw.ch/uploads/image_cf786a664d.jpg</v>
      </c>
      <c r="AJ871" s="2"/>
      <c r="AK871" s="2"/>
      <c r="AL871" s="2"/>
      <c r="AM871" s="2"/>
      <c r="AN871" s="2"/>
    </row>
    <row r="872" spans="1:40" ht="16" x14ac:dyDescent="0.2">
      <c r="A872" s="2" t="s">
        <v>2814</v>
      </c>
      <c r="B872" s="46">
        <v>871</v>
      </c>
      <c r="C872" s="2" t="b">
        <v>0</v>
      </c>
      <c r="D872" s="2" t="b">
        <v>0</v>
      </c>
      <c r="E872" s="2" t="b">
        <v>0</v>
      </c>
      <c r="F872" s="2" t="b">
        <v>0</v>
      </c>
      <c r="G872" s="2" t="s">
        <v>31</v>
      </c>
      <c r="H872" s="2" t="s">
        <v>2815</v>
      </c>
      <c r="I872" s="2" t="s">
        <v>2816</v>
      </c>
      <c r="J872" s="2" t="s">
        <v>35</v>
      </c>
      <c r="K872" s="2" t="s">
        <v>35</v>
      </c>
      <c r="L872" s="2" t="s">
        <v>35</v>
      </c>
      <c r="M872" s="2" t="s">
        <v>35</v>
      </c>
      <c r="N872" s="2" t="s">
        <v>35</v>
      </c>
      <c r="O872" s="11">
        <v>44755.449651111114</v>
      </c>
      <c r="P872" s="11">
        <v>44755.449812638886</v>
      </c>
      <c r="Q872" s="27">
        <f t="shared" si="39"/>
        <v>1.6152777243405581E-4</v>
      </c>
      <c r="R872" s="65">
        <f t="shared" si="41"/>
        <v>2.4060184659902006E-4</v>
      </c>
      <c r="S872" s="2">
        <v>0</v>
      </c>
      <c r="T872" s="2" t="s">
        <v>36</v>
      </c>
      <c r="U872" s="2" t="s">
        <v>37</v>
      </c>
      <c r="V872" s="2" t="s">
        <v>38</v>
      </c>
      <c r="W872" s="2" t="s">
        <v>35</v>
      </c>
      <c r="X872" s="2" t="s">
        <v>35</v>
      </c>
      <c r="Y872" s="2" t="s">
        <v>35</v>
      </c>
      <c r="Z872" s="2" t="b">
        <v>0</v>
      </c>
      <c r="AA872" s="2" t="s">
        <v>2284</v>
      </c>
      <c r="AB872" s="2" t="s">
        <v>35</v>
      </c>
      <c r="AC872" s="2" t="s">
        <v>35</v>
      </c>
      <c r="AD872" s="2" t="s">
        <v>35</v>
      </c>
      <c r="AE872" s="2" t="s">
        <v>2650</v>
      </c>
      <c r="AF872" s="11">
        <v>44755.386805555558</v>
      </c>
      <c r="AG872" s="53"/>
      <c r="AH872" s="53" t="b">
        <f t="shared" si="40"/>
        <v>0</v>
      </c>
      <c r="AI872" s="54" t="str" cm="1">
        <f t="array" ref="AI872">TRANSPOSE(_xlfn._xlws.FILTER(images!L:L,images!F:F=Barrierenmessung!A872, ""))</f>
        <v>https://captureandgo.cloudlab.zhaw.ch/uploads/image_7322a66c8e.jpg</v>
      </c>
      <c r="AJ872" s="2"/>
      <c r="AK872" s="2"/>
      <c r="AL872" s="2"/>
      <c r="AM872" s="2"/>
      <c r="AN872" s="2"/>
    </row>
    <row r="873" spans="1:40" ht="16" x14ac:dyDescent="0.2">
      <c r="A873" s="2" t="s">
        <v>2817</v>
      </c>
      <c r="B873" s="46">
        <v>872</v>
      </c>
      <c r="C873" s="2" t="b">
        <v>0</v>
      </c>
      <c r="D873" s="2" t="b">
        <v>0</v>
      </c>
      <c r="E873" s="2" t="b">
        <v>0</v>
      </c>
      <c r="F873" s="2" t="b">
        <v>0</v>
      </c>
      <c r="G873" s="2" t="s">
        <v>31</v>
      </c>
      <c r="H873" s="2" t="s">
        <v>2818</v>
      </c>
      <c r="I873" s="2" t="s">
        <v>2819</v>
      </c>
      <c r="J873" s="2" t="s">
        <v>35</v>
      </c>
      <c r="K873" s="2" t="s">
        <v>35</v>
      </c>
      <c r="L873" s="2">
        <v>7</v>
      </c>
      <c r="M873" s="2" t="s">
        <v>35</v>
      </c>
      <c r="N873" s="2" t="s">
        <v>35</v>
      </c>
      <c r="O873" s="11">
        <v>44755.450192662036</v>
      </c>
      <c r="P873" s="11">
        <v>44755.450399259258</v>
      </c>
      <c r="Q873" s="27">
        <f t="shared" si="39"/>
        <v>2.0659722213167697E-4</v>
      </c>
      <c r="R873" s="65">
        <f t="shared" si="41"/>
        <v>5.8662037190515548E-4</v>
      </c>
      <c r="S873" s="2">
        <v>0</v>
      </c>
      <c r="T873" s="2" t="s">
        <v>265</v>
      </c>
      <c r="U873" s="2" t="s">
        <v>266</v>
      </c>
      <c r="V873" s="2" t="s">
        <v>38</v>
      </c>
      <c r="W873" s="2" t="s">
        <v>35</v>
      </c>
      <c r="X873" s="2" t="s">
        <v>35</v>
      </c>
      <c r="Y873" s="2" t="s">
        <v>35</v>
      </c>
      <c r="Z873" s="2" t="b">
        <v>0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2650</v>
      </c>
      <c r="AF873" s="11">
        <v>44755.386805555558</v>
      </c>
      <c r="AG873" s="53"/>
      <c r="AH873" s="53" t="b">
        <f t="shared" si="40"/>
        <v>0</v>
      </c>
      <c r="AI873" s="54" t="str" cm="1">
        <f t="array" ref="AI873">TRANSPOSE(_xlfn._xlws.FILTER(images!L:L,images!F:F=Barrierenmessung!A873, ""))</f>
        <v>https://captureandgo.cloudlab.zhaw.ch/uploads/image_3597fee036.jpg</v>
      </c>
      <c r="AJ873" s="2"/>
      <c r="AK873" s="2"/>
      <c r="AL873" s="2"/>
      <c r="AM873" s="2"/>
      <c r="AN873" s="2"/>
    </row>
    <row r="874" spans="1:40" ht="16" x14ac:dyDescent="0.2">
      <c r="A874" s="2" t="s">
        <v>2820</v>
      </c>
      <c r="B874" s="46">
        <v>873</v>
      </c>
      <c r="C874" s="2" t="b">
        <v>0</v>
      </c>
      <c r="D874" s="2" t="b">
        <v>0</v>
      </c>
      <c r="E874" s="2" t="b">
        <v>0</v>
      </c>
      <c r="F874" s="2" t="b">
        <v>0</v>
      </c>
      <c r="G874" s="2" t="s">
        <v>31</v>
      </c>
      <c r="H874" s="2" t="s">
        <v>2821</v>
      </c>
      <c r="I874" s="2" t="s">
        <v>2822</v>
      </c>
      <c r="J874" s="2" t="s">
        <v>2823</v>
      </c>
      <c r="K874" s="2" t="s">
        <v>35</v>
      </c>
      <c r="L874" s="2" t="s">
        <v>35</v>
      </c>
      <c r="M874" s="2" t="s">
        <v>35</v>
      </c>
      <c r="N874" s="2" t="s">
        <v>35</v>
      </c>
      <c r="O874" s="11">
        <v>44755.450755775462</v>
      </c>
      <c r="P874" s="11">
        <v>44755.451058692131</v>
      </c>
      <c r="Q874" s="27">
        <f t="shared" si="39"/>
        <v>3.0291666917037219E-4</v>
      </c>
      <c r="R874" s="65">
        <f t="shared" si="41"/>
        <v>6.5943287336267531E-4</v>
      </c>
      <c r="S874" s="2">
        <v>0</v>
      </c>
      <c r="T874" s="2" t="s">
        <v>36</v>
      </c>
      <c r="U874" s="2" t="s">
        <v>37</v>
      </c>
      <c r="V874" s="2" t="s">
        <v>38</v>
      </c>
      <c r="W874" s="2" t="s">
        <v>35</v>
      </c>
      <c r="X874" s="2" t="s">
        <v>35</v>
      </c>
      <c r="Y874" s="2" t="s">
        <v>35</v>
      </c>
      <c r="Z874" s="2" t="b">
        <v>0</v>
      </c>
      <c r="AA874" s="2" t="s">
        <v>35</v>
      </c>
      <c r="AB874" s="2" t="s">
        <v>35</v>
      </c>
      <c r="AC874" s="2">
        <v>7</v>
      </c>
      <c r="AD874" s="2" t="s">
        <v>35</v>
      </c>
      <c r="AE874" s="2" t="s">
        <v>2650</v>
      </c>
      <c r="AF874" s="11">
        <v>44755.386805555558</v>
      </c>
      <c r="AG874" s="53"/>
      <c r="AH874" s="53" t="b">
        <f t="shared" si="40"/>
        <v>0</v>
      </c>
      <c r="AI874" s="54" t="str" cm="1">
        <f t="array" ref="AI874">TRANSPOSE(_xlfn._xlws.FILTER(images!L:L,images!F:F=Barrierenmessung!A874, ""))</f>
        <v>https://captureandgo.cloudlab.zhaw.ch/uploads/image_f7507b3116.jpg</v>
      </c>
      <c r="AJ874" s="2"/>
      <c r="AK874" s="2"/>
      <c r="AL874" s="2"/>
      <c r="AM874" s="2"/>
      <c r="AN874" s="2"/>
    </row>
    <row r="875" spans="1:40" ht="16" x14ac:dyDescent="0.2">
      <c r="A875" s="2" t="s">
        <v>2824</v>
      </c>
      <c r="B875" s="46">
        <v>874</v>
      </c>
      <c r="C875" s="2" t="b">
        <v>0</v>
      </c>
      <c r="D875" s="2" t="b">
        <v>0</v>
      </c>
      <c r="E875" s="2" t="b">
        <v>0</v>
      </c>
      <c r="F875" s="2" t="b">
        <v>0</v>
      </c>
      <c r="G875" s="2" t="s">
        <v>31</v>
      </c>
      <c r="H875" s="2" t="s">
        <v>2825</v>
      </c>
      <c r="I875" s="2" t="s">
        <v>2826</v>
      </c>
      <c r="J875" s="2" t="s">
        <v>2827</v>
      </c>
      <c r="K875" s="2" t="s">
        <v>35</v>
      </c>
      <c r="L875" s="2" t="s">
        <v>35</v>
      </c>
      <c r="M875" s="2" t="s">
        <v>35</v>
      </c>
      <c r="N875" s="2" t="s">
        <v>35</v>
      </c>
      <c r="O875" s="11">
        <v>44755.451495150461</v>
      </c>
      <c r="P875" s="11">
        <v>44755.451693090276</v>
      </c>
      <c r="Q875" s="27">
        <f t="shared" si="39"/>
        <v>1.9793981482507661E-4</v>
      </c>
      <c r="R875" s="65">
        <f t="shared" si="41"/>
        <v>6.3439814402954653E-4</v>
      </c>
      <c r="S875" s="2">
        <v>0</v>
      </c>
      <c r="T875" s="2" t="s">
        <v>36</v>
      </c>
      <c r="U875" s="2" t="s">
        <v>37</v>
      </c>
      <c r="V875" s="2" t="s">
        <v>38</v>
      </c>
      <c r="W875" s="2" t="s">
        <v>35</v>
      </c>
      <c r="X875" s="2" t="s">
        <v>35</v>
      </c>
      <c r="Y875" s="2" t="s">
        <v>35</v>
      </c>
      <c r="Z875" s="2" t="b">
        <v>0</v>
      </c>
      <c r="AA875" s="2" t="s">
        <v>35</v>
      </c>
      <c r="AB875" s="2" t="s">
        <v>35</v>
      </c>
      <c r="AC875" s="2">
        <v>4</v>
      </c>
      <c r="AD875" s="2" t="s">
        <v>35</v>
      </c>
      <c r="AE875" s="2" t="s">
        <v>2650</v>
      </c>
      <c r="AF875" s="11">
        <v>44755.386805555558</v>
      </c>
      <c r="AG875" s="53"/>
      <c r="AH875" s="53" t="b">
        <f t="shared" si="40"/>
        <v>0</v>
      </c>
      <c r="AI875" s="54" t="str" cm="1">
        <f t="array" ref="AI875">TRANSPOSE(_xlfn._xlws.FILTER(images!L:L,images!F:F=Barrierenmessung!A875, ""))</f>
        <v>https://captureandgo.cloudlab.zhaw.ch/uploads/image_013d8309a8.jpg</v>
      </c>
      <c r="AJ875" s="2"/>
      <c r="AK875" s="2"/>
      <c r="AL875" s="2"/>
      <c r="AM875" s="2"/>
      <c r="AN875" s="2"/>
    </row>
    <row r="876" spans="1:40" ht="16" x14ac:dyDescent="0.2">
      <c r="A876" s="2" t="s">
        <v>2828</v>
      </c>
      <c r="B876" s="46">
        <v>875</v>
      </c>
      <c r="C876" s="2" t="b">
        <v>0</v>
      </c>
      <c r="D876" s="2" t="b">
        <v>0</v>
      </c>
      <c r="E876" s="2" t="b">
        <v>0</v>
      </c>
      <c r="F876" s="2" t="b">
        <v>0</v>
      </c>
      <c r="G876" s="2" t="s">
        <v>31</v>
      </c>
      <c r="H876" s="2" t="s">
        <v>2829</v>
      </c>
      <c r="I876" s="2" t="s">
        <v>2830</v>
      </c>
      <c r="J876" s="2" t="s">
        <v>35</v>
      </c>
      <c r="K876" s="2" t="s">
        <v>35</v>
      </c>
      <c r="L876" s="2" t="s">
        <v>35</v>
      </c>
      <c r="M876" s="2" t="s">
        <v>35</v>
      </c>
      <c r="N876" s="2" t="s">
        <v>35</v>
      </c>
      <c r="O876" s="11">
        <v>44755.453830358798</v>
      </c>
      <c r="P876" s="11">
        <v>44755.453923229165</v>
      </c>
      <c r="Q876" s="27">
        <f t="shared" si="39"/>
        <v>9.2870366643182933E-5</v>
      </c>
      <c r="R876" s="65">
        <f t="shared" si="41"/>
        <v>2.2301388889900409E-3</v>
      </c>
      <c r="S876" s="2">
        <v>0</v>
      </c>
      <c r="T876" s="2" t="s">
        <v>36</v>
      </c>
      <c r="U876" s="2" t="s">
        <v>37</v>
      </c>
      <c r="V876" s="2" t="s">
        <v>38</v>
      </c>
      <c r="W876" s="2" t="s">
        <v>35</v>
      </c>
      <c r="X876" s="2" t="s">
        <v>35</v>
      </c>
      <c r="Y876" s="2" t="s">
        <v>35</v>
      </c>
      <c r="Z876" s="2" t="b">
        <v>0</v>
      </c>
      <c r="AA876" s="2" t="s">
        <v>35</v>
      </c>
      <c r="AB876" s="2" t="s">
        <v>35</v>
      </c>
      <c r="AC876" s="2" t="s">
        <v>35</v>
      </c>
      <c r="AD876" s="2">
        <v>3</v>
      </c>
      <c r="AE876" s="2" t="s">
        <v>2650</v>
      </c>
      <c r="AF876" s="11">
        <v>44755.386805555558</v>
      </c>
      <c r="AG876" s="53"/>
      <c r="AH876" s="53" t="b">
        <f t="shared" si="40"/>
        <v>0</v>
      </c>
      <c r="AI876" s="54" t="str" cm="1">
        <f t="array" ref="AI876">TRANSPOSE(_xlfn._xlws.FILTER(images!L:L,images!F:F=Barrierenmessung!A876, ""))</f>
        <v>https://captureandgo.cloudlab.zhaw.ch/uploads/image_e997d73104.jpg</v>
      </c>
      <c r="AJ876" s="2"/>
      <c r="AK876" s="2"/>
      <c r="AL876" s="2"/>
      <c r="AM876" s="2"/>
      <c r="AN876" s="2"/>
    </row>
    <row r="877" spans="1:40" ht="16" x14ac:dyDescent="0.2">
      <c r="A877" s="2" t="s">
        <v>2831</v>
      </c>
      <c r="B877" s="46">
        <v>876</v>
      </c>
      <c r="C877" s="2" t="b">
        <v>0</v>
      </c>
      <c r="D877" s="2" t="b">
        <v>0</v>
      </c>
      <c r="E877" s="2" t="b">
        <v>0</v>
      </c>
      <c r="F877" s="2" t="b">
        <v>0</v>
      </c>
      <c r="G877" s="2" t="s">
        <v>31</v>
      </c>
      <c r="H877" s="2" t="s">
        <v>2832</v>
      </c>
      <c r="I877" s="2" t="s">
        <v>2833</v>
      </c>
      <c r="J877" s="2" t="s">
        <v>35</v>
      </c>
      <c r="K877" s="2" t="s">
        <v>35</v>
      </c>
      <c r="L877" s="2" t="s">
        <v>35</v>
      </c>
      <c r="M877" s="2" t="s">
        <v>35</v>
      </c>
      <c r="N877" s="2" t="s">
        <v>35</v>
      </c>
      <c r="O877" s="11">
        <v>44755.458083090278</v>
      </c>
      <c r="P877" s="11">
        <v>44755.458172025465</v>
      </c>
      <c r="Q877" s="27">
        <f t="shared" si="39"/>
        <v>8.893518679542467E-5</v>
      </c>
      <c r="R877" s="65">
        <f t="shared" si="41"/>
        <v>4.2487963000894524E-3</v>
      </c>
      <c r="S877" s="2">
        <v>0</v>
      </c>
      <c r="T877" s="2" t="s">
        <v>36</v>
      </c>
      <c r="U877" s="2" t="s">
        <v>37</v>
      </c>
      <c r="V877" s="2" t="s">
        <v>38</v>
      </c>
      <c r="W877" s="2" t="s">
        <v>35</v>
      </c>
      <c r="X877" s="2" t="s">
        <v>35</v>
      </c>
      <c r="Y877" s="2" t="s">
        <v>35</v>
      </c>
      <c r="Z877" s="2" t="b">
        <v>0</v>
      </c>
      <c r="AA877" s="2" t="s">
        <v>35</v>
      </c>
      <c r="AB877" s="2" t="s">
        <v>35</v>
      </c>
      <c r="AC877" s="2" t="s">
        <v>35</v>
      </c>
      <c r="AD877" s="2">
        <v>3</v>
      </c>
      <c r="AE877" s="2" t="s">
        <v>2650</v>
      </c>
      <c r="AF877" s="11">
        <v>44755.386805555558</v>
      </c>
      <c r="AG877" s="53"/>
      <c r="AH877" s="53" t="b">
        <f t="shared" si="40"/>
        <v>0</v>
      </c>
      <c r="AI877" s="54" t="str" cm="1">
        <f t="array" ref="AI877">TRANSPOSE(_xlfn._xlws.FILTER(images!L:L,images!F:F=Barrierenmessung!A877, ""))</f>
        <v>https://captureandgo.cloudlab.zhaw.ch/uploads/image_d83939e561.jpg</v>
      </c>
      <c r="AJ877" s="2"/>
      <c r="AK877" s="2"/>
      <c r="AL877" s="2"/>
      <c r="AM877" s="2"/>
      <c r="AN877" s="2"/>
    </row>
    <row r="878" spans="1:40" ht="16" x14ac:dyDescent="0.2">
      <c r="A878" s="2" t="s">
        <v>2834</v>
      </c>
      <c r="B878" s="46">
        <v>877</v>
      </c>
      <c r="C878" s="2" t="b">
        <v>0</v>
      </c>
      <c r="D878" s="2" t="b">
        <v>0</v>
      </c>
      <c r="E878" s="2" t="b">
        <v>0</v>
      </c>
      <c r="F878" s="2" t="b">
        <v>0</v>
      </c>
      <c r="G878" s="2" t="s">
        <v>31</v>
      </c>
      <c r="H878" s="2" t="s">
        <v>2835</v>
      </c>
      <c r="I878" s="2" t="s">
        <v>2836</v>
      </c>
      <c r="J878" s="2" t="s">
        <v>35</v>
      </c>
      <c r="K878" s="2" t="s">
        <v>35</v>
      </c>
      <c r="L878" s="2" t="s">
        <v>35</v>
      </c>
      <c r="M878" s="2">
        <v>12</v>
      </c>
      <c r="N878" s="2">
        <v>13</v>
      </c>
      <c r="O878" s="11">
        <v>44755.458208784723</v>
      </c>
      <c r="P878" s="11">
        <v>44755.458530601849</v>
      </c>
      <c r="Q878" s="27">
        <f t="shared" si="39"/>
        <v>3.2181712595047429E-4</v>
      </c>
      <c r="R878" s="65">
        <f t="shared" si="41"/>
        <v>3.5857638431480154E-4</v>
      </c>
      <c r="S878" s="2">
        <v>0</v>
      </c>
      <c r="T878" s="2" t="s">
        <v>54</v>
      </c>
      <c r="U878" s="2" t="s">
        <v>55</v>
      </c>
      <c r="V878" s="2" t="s">
        <v>38</v>
      </c>
      <c r="W878" s="2" t="s">
        <v>35</v>
      </c>
      <c r="X878" s="2" t="s">
        <v>35</v>
      </c>
      <c r="Y878" s="2" t="s">
        <v>35</v>
      </c>
      <c r="Z878" s="2" t="b">
        <v>0</v>
      </c>
      <c r="AA878" s="2" t="s">
        <v>35</v>
      </c>
      <c r="AB878" s="2" t="s">
        <v>35</v>
      </c>
      <c r="AC878" s="2" t="s">
        <v>35</v>
      </c>
      <c r="AD878" s="2" t="s">
        <v>35</v>
      </c>
      <c r="AE878" s="2" t="s">
        <v>2650</v>
      </c>
      <c r="AF878" s="11">
        <v>44755.386805555558</v>
      </c>
      <c r="AG878" s="53"/>
      <c r="AH878" s="53" t="b">
        <f t="shared" si="40"/>
        <v>0</v>
      </c>
      <c r="AI878" s="54" t="str" cm="1">
        <f t="array" ref="AI878">TRANSPOSE(_xlfn._xlws.FILTER(images!L:L,images!F:F=Barrierenmessung!A878, ""))</f>
        <v>https://captureandgo.cloudlab.zhaw.ch/uploads/image_e372e0fca7.jpg</v>
      </c>
      <c r="AJ878" s="2"/>
      <c r="AK878" s="2"/>
      <c r="AL878" s="2"/>
      <c r="AM878" s="2"/>
      <c r="AN878" s="2"/>
    </row>
    <row r="879" spans="1:40" ht="16" x14ac:dyDescent="0.2">
      <c r="A879" s="2" t="s">
        <v>2837</v>
      </c>
      <c r="B879" s="46">
        <v>878</v>
      </c>
      <c r="C879" s="2" t="b">
        <v>0</v>
      </c>
      <c r="D879" s="2" t="b">
        <v>0</v>
      </c>
      <c r="E879" s="2" t="b">
        <v>0</v>
      </c>
      <c r="F879" s="2" t="b">
        <v>0</v>
      </c>
      <c r="G879" s="2" t="s">
        <v>31</v>
      </c>
      <c r="H879" s="2" t="s">
        <v>2838</v>
      </c>
      <c r="I879" s="2" t="s">
        <v>2839</v>
      </c>
      <c r="J879" s="2" t="s">
        <v>35</v>
      </c>
      <c r="K879" s="2" t="s">
        <v>35</v>
      </c>
      <c r="L879" s="2" t="s">
        <v>35</v>
      </c>
      <c r="M879" s="2" t="s">
        <v>35</v>
      </c>
      <c r="N879" s="2" t="s">
        <v>35</v>
      </c>
      <c r="O879" s="11">
        <v>44762.351698969906</v>
      </c>
      <c r="P879" s="11">
        <v>44762.351894618056</v>
      </c>
      <c r="Q879" s="27">
        <f t="shared" si="39"/>
        <v>1.9564815011108294E-4</v>
      </c>
      <c r="R879" s="65">
        <f t="shared" si="41"/>
        <v>1.2001736104139127E-3</v>
      </c>
      <c r="S879" s="2">
        <v>0</v>
      </c>
      <c r="T879" s="2" t="s">
        <v>36</v>
      </c>
      <c r="U879" s="2" t="s">
        <v>37</v>
      </c>
      <c r="V879" s="2" t="s">
        <v>38</v>
      </c>
      <c r="W879" s="2" t="s">
        <v>35</v>
      </c>
      <c r="X879" s="2" t="s">
        <v>35</v>
      </c>
      <c r="Y879" s="2" t="s">
        <v>35</v>
      </c>
      <c r="Z879" s="2" t="b">
        <v>0</v>
      </c>
      <c r="AA879" s="2" t="s">
        <v>35</v>
      </c>
      <c r="AB879" s="2" t="s">
        <v>35</v>
      </c>
      <c r="AC879" s="2" t="s">
        <v>35</v>
      </c>
      <c r="AD879" s="2">
        <v>3</v>
      </c>
      <c r="AE879" s="2" t="s">
        <v>2840</v>
      </c>
      <c r="AF879" s="11">
        <v>44762.350694444445</v>
      </c>
      <c r="AG879" s="53"/>
      <c r="AH879" s="53" t="b">
        <f t="shared" si="40"/>
        <v>0</v>
      </c>
      <c r="AI879" s="54" t="str" cm="1">
        <f t="array" ref="AI879">TRANSPOSE(_xlfn._xlws.FILTER(images!L:L,images!F:F=Barrierenmessung!A879, ""))</f>
        <v>https://captureandgo.cloudlab.zhaw.ch/uploads/image_d74e9b6cf5.jpg</v>
      </c>
      <c r="AJ879" s="2"/>
      <c r="AK879" s="2"/>
      <c r="AL879" s="2"/>
      <c r="AM879" s="2"/>
      <c r="AN879" s="2"/>
    </row>
    <row r="880" spans="1:40" ht="16" x14ac:dyDescent="0.2">
      <c r="A880" s="2" t="s">
        <v>2841</v>
      </c>
      <c r="B880" s="46">
        <v>879</v>
      </c>
      <c r="C880" s="2" t="b">
        <v>0</v>
      </c>
      <c r="D880" s="2" t="b">
        <v>0</v>
      </c>
      <c r="E880" s="2" t="b">
        <v>0</v>
      </c>
      <c r="F880" s="2" t="b">
        <v>0</v>
      </c>
      <c r="G880" s="2" t="s">
        <v>31</v>
      </c>
      <c r="H880" s="2" t="s">
        <v>2842</v>
      </c>
      <c r="I880" s="2" t="s">
        <v>2843</v>
      </c>
      <c r="J880" s="2" t="s">
        <v>35</v>
      </c>
      <c r="K880" s="2" t="s">
        <v>35</v>
      </c>
      <c r="L880" s="2">
        <v>16</v>
      </c>
      <c r="M880" s="2" t="s">
        <v>35</v>
      </c>
      <c r="N880" s="2" t="s">
        <v>35</v>
      </c>
      <c r="O880" s="11">
        <v>44762.352912627313</v>
      </c>
      <c r="P880" s="11">
        <v>44762.353275960646</v>
      </c>
      <c r="Q880" s="27">
        <f t="shared" si="39"/>
        <v>3.6333333264337853E-4</v>
      </c>
      <c r="R880" s="65">
        <f t="shared" si="41"/>
        <v>1.3813425903208554E-3</v>
      </c>
      <c r="S880" s="2">
        <v>0</v>
      </c>
      <c r="T880" s="2" t="s">
        <v>265</v>
      </c>
      <c r="U880" s="2" t="s">
        <v>266</v>
      </c>
      <c r="V880" s="2" t="s">
        <v>38</v>
      </c>
      <c r="W880" s="2" t="s">
        <v>35</v>
      </c>
      <c r="X880" s="2" t="s">
        <v>35</v>
      </c>
      <c r="Y880" s="2" t="s">
        <v>35</v>
      </c>
      <c r="Z880" s="2" t="b">
        <v>0</v>
      </c>
      <c r="AA880" s="2" t="s">
        <v>35</v>
      </c>
      <c r="AB880" s="2" t="s">
        <v>35</v>
      </c>
      <c r="AC880" s="2" t="s">
        <v>35</v>
      </c>
      <c r="AD880" s="2" t="s">
        <v>35</v>
      </c>
      <c r="AE880" s="2" t="s">
        <v>2840</v>
      </c>
      <c r="AF880" s="11">
        <v>44762.350694444445</v>
      </c>
      <c r="AG880" s="53"/>
      <c r="AH880" s="53" t="b">
        <f t="shared" si="40"/>
        <v>0</v>
      </c>
      <c r="AI880" s="54" t="str" cm="1">
        <f t="array" ref="AI880">TRANSPOSE(_xlfn._xlws.FILTER(images!L:L,images!F:F=Barrierenmessung!A880, ""))</f>
        <v>https://captureandgo.cloudlab.zhaw.ch/uploads/image_41b5ba1280.jpg</v>
      </c>
      <c r="AJ880" s="2"/>
      <c r="AK880" s="2"/>
      <c r="AL880" s="2"/>
      <c r="AM880" s="2"/>
      <c r="AN880" s="2"/>
    </row>
    <row r="881" spans="1:40" ht="16" x14ac:dyDescent="0.2">
      <c r="A881" s="2" t="s">
        <v>2844</v>
      </c>
      <c r="B881" s="46">
        <v>880</v>
      </c>
      <c r="C881" s="2" t="b">
        <v>0</v>
      </c>
      <c r="D881" s="2" t="b">
        <v>0</v>
      </c>
      <c r="E881" s="2" t="b">
        <v>0</v>
      </c>
      <c r="F881" s="2" t="b">
        <v>0</v>
      </c>
      <c r="G881" s="2" t="s">
        <v>31</v>
      </c>
      <c r="H881" s="2" t="s">
        <v>2845</v>
      </c>
      <c r="I881" s="2" t="s">
        <v>2846</v>
      </c>
      <c r="J881" s="2" t="s">
        <v>35</v>
      </c>
      <c r="K881" s="2" t="s">
        <v>35</v>
      </c>
      <c r="L881" s="2" t="s">
        <v>35</v>
      </c>
      <c r="M881" s="2">
        <v>12</v>
      </c>
      <c r="N881" s="2">
        <v>17</v>
      </c>
      <c r="O881" s="11">
        <v>44762.35333445602</v>
      </c>
      <c r="P881" s="11">
        <v>44762.353851678243</v>
      </c>
      <c r="Q881" s="27">
        <f t="shared" si="39"/>
        <v>5.1722222269745544E-4</v>
      </c>
      <c r="R881" s="65">
        <f t="shared" si="41"/>
        <v>5.757175968028605E-4</v>
      </c>
      <c r="S881" s="2">
        <v>0</v>
      </c>
      <c r="T881" s="2" t="s">
        <v>54</v>
      </c>
      <c r="U881" s="2" t="s">
        <v>55</v>
      </c>
      <c r="V881" s="2" t="s">
        <v>38</v>
      </c>
      <c r="W881" s="2" t="s">
        <v>35</v>
      </c>
      <c r="X881" s="2" t="s">
        <v>35</v>
      </c>
      <c r="Y881" s="2" t="s">
        <v>35</v>
      </c>
      <c r="Z881" s="2" t="b">
        <v>0</v>
      </c>
      <c r="AA881" s="2" t="s">
        <v>35</v>
      </c>
      <c r="AB881" s="2" t="s">
        <v>35</v>
      </c>
      <c r="AC881" s="2" t="s">
        <v>35</v>
      </c>
      <c r="AD881" s="2" t="s">
        <v>35</v>
      </c>
      <c r="AE881" s="2" t="s">
        <v>2840</v>
      </c>
      <c r="AF881" s="11">
        <v>44762.350694444445</v>
      </c>
      <c r="AG881" s="53"/>
      <c r="AH881" s="53" t="b">
        <f t="shared" si="40"/>
        <v>0</v>
      </c>
      <c r="AI881" s="54" t="str" cm="1">
        <f t="array" ref="AI881">TRANSPOSE(_xlfn._xlws.FILTER(images!L:L,images!F:F=Barrierenmessung!A881, ""))</f>
        <v>https://captureandgo.cloudlab.zhaw.ch/uploads/image_79ce8afbff.jpg</v>
      </c>
      <c r="AJ881" s="2"/>
      <c r="AK881" s="2"/>
      <c r="AL881" s="2"/>
      <c r="AM881" s="2"/>
      <c r="AN881" s="2"/>
    </row>
    <row r="882" spans="1:40" ht="16" x14ac:dyDescent="0.2">
      <c r="A882" s="2" t="s">
        <v>2847</v>
      </c>
      <c r="B882" s="46">
        <v>881</v>
      </c>
      <c r="C882" s="2" t="b">
        <v>0</v>
      </c>
      <c r="D882" s="2" t="b">
        <v>0</v>
      </c>
      <c r="E882" s="2" t="b">
        <v>0</v>
      </c>
      <c r="F882" s="2" t="b">
        <v>0</v>
      </c>
      <c r="G882" s="2" t="s">
        <v>31</v>
      </c>
      <c r="H882" s="2" t="s">
        <v>2848</v>
      </c>
      <c r="I882" s="2" t="s">
        <v>2849</v>
      </c>
      <c r="J882" s="2" t="s">
        <v>35</v>
      </c>
      <c r="K882" s="2" t="s">
        <v>35</v>
      </c>
      <c r="L882" s="2" t="s">
        <v>35</v>
      </c>
      <c r="M882" s="2">
        <v>12</v>
      </c>
      <c r="N882" s="2">
        <v>17</v>
      </c>
      <c r="O882" s="11">
        <v>44762.35408420139</v>
      </c>
      <c r="P882" s="11">
        <v>44762.354546122682</v>
      </c>
      <c r="Q882" s="27">
        <f t="shared" si="39"/>
        <v>4.6192129229893908E-4</v>
      </c>
      <c r="R882" s="65">
        <f t="shared" si="41"/>
        <v>6.9444443943211809E-4</v>
      </c>
      <c r="S882" s="2">
        <v>0</v>
      </c>
      <c r="T882" s="2" t="s">
        <v>54</v>
      </c>
      <c r="U882" s="2" t="s">
        <v>55</v>
      </c>
      <c r="V882" s="2" t="s">
        <v>38</v>
      </c>
      <c r="W882" s="2" t="s">
        <v>35</v>
      </c>
      <c r="X882" s="2" t="s">
        <v>35</v>
      </c>
      <c r="Y882" s="2" t="s">
        <v>35</v>
      </c>
      <c r="Z882" s="2" t="b">
        <v>0</v>
      </c>
      <c r="AA882" s="2" t="s">
        <v>35</v>
      </c>
      <c r="AB882" s="2" t="s">
        <v>35</v>
      </c>
      <c r="AC882" s="2" t="s">
        <v>35</v>
      </c>
      <c r="AD882" s="2" t="s">
        <v>35</v>
      </c>
      <c r="AE882" s="2" t="s">
        <v>2840</v>
      </c>
      <c r="AF882" s="11">
        <v>44762.350694444445</v>
      </c>
      <c r="AG882" s="53"/>
      <c r="AH882" s="53" t="b">
        <f t="shared" si="40"/>
        <v>0</v>
      </c>
      <c r="AI882" s="54" t="str" cm="1">
        <f t="array" ref="AI882">TRANSPOSE(_xlfn._xlws.FILTER(images!L:L,images!F:F=Barrierenmessung!A882, ""))</f>
        <v>https://captureandgo.cloudlab.zhaw.ch/uploads/image_0a71de0d41.jpg</v>
      </c>
      <c r="AJ882" s="2"/>
      <c r="AK882" s="2"/>
      <c r="AL882" s="2"/>
      <c r="AM882" s="2"/>
      <c r="AN882" s="2"/>
    </row>
    <row r="883" spans="1:40" ht="16" x14ac:dyDescent="0.2">
      <c r="A883" s="2" t="s">
        <v>2850</v>
      </c>
      <c r="B883" s="46">
        <v>882</v>
      </c>
      <c r="C883" s="2" t="b">
        <v>0</v>
      </c>
      <c r="D883" s="2" t="b">
        <v>0</v>
      </c>
      <c r="E883" s="2" t="b">
        <v>0</v>
      </c>
      <c r="F883" s="2" t="b">
        <v>0</v>
      </c>
      <c r="G883" s="2" t="s">
        <v>31</v>
      </c>
      <c r="H883" s="2" t="s">
        <v>2851</v>
      </c>
      <c r="I883" s="2" t="s">
        <v>2852</v>
      </c>
      <c r="J883" s="2" t="s">
        <v>35</v>
      </c>
      <c r="K883" s="2" t="s">
        <v>35</v>
      </c>
      <c r="L883" s="2">
        <v>20</v>
      </c>
      <c r="M883" s="2" t="s">
        <v>35</v>
      </c>
      <c r="N883" s="2" t="s">
        <v>35</v>
      </c>
      <c r="O883" s="11">
        <v>44762.355308287035</v>
      </c>
      <c r="P883" s="11">
        <v>44762.355536886571</v>
      </c>
      <c r="Q883" s="27">
        <f t="shared" si="39"/>
        <v>2.285995360580273E-4</v>
      </c>
      <c r="R883" s="65">
        <f t="shared" si="41"/>
        <v>9.9076388869434595E-4</v>
      </c>
      <c r="S883" s="2">
        <v>0</v>
      </c>
      <c r="T883" s="2" t="s">
        <v>265</v>
      </c>
      <c r="U883" s="2" t="s">
        <v>266</v>
      </c>
      <c r="V883" s="2" t="s">
        <v>38</v>
      </c>
      <c r="W883" s="2" t="s">
        <v>35</v>
      </c>
      <c r="X883" s="2" t="s">
        <v>35</v>
      </c>
      <c r="Y883" s="2" t="s">
        <v>35</v>
      </c>
      <c r="Z883" s="2" t="b">
        <v>0</v>
      </c>
      <c r="AA883" s="2" t="s">
        <v>35</v>
      </c>
      <c r="AB883" s="2" t="s">
        <v>35</v>
      </c>
      <c r="AC883" s="2" t="s">
        <v>35</v>
      </c>
      <c r="AD883" s="2" t="s">
        <v>35</v>
      </c>
      <c r="AE883" s="2" t="s">
        <v>2840</v>
      </c>
      <c r="AF883" s="11">
        <v>44762.350694444445</v>
      </c>
      <c r="AG883" s="53"/>
      <c r="AH883" s="53" t="b">
        <f t="shared" si="40"/>
        <v>0</v>
      </c>
      <c r="AI883" s="54" t="str" cm="1">
        <f t="array" ref="AI883">TRANSPOSE(_xlfn._xlws.FILTER(images!L:L,images!F:F=Barrierenmessung!A883, ""))</f>
        <v>https://captureandgo.cloudlab.zhaw.ch/uploads/image_70d90058a2.jpg</v>
      </c>
      <c r="AJ883" s="2"/>
      <c r="AK883" s="2"/>
      <c r="AL883" s="2"/>
      <c r="AM883" s="2"/>
      <c r="AN883" s="2"/>
    </row>
    <row r="884" spans="1:40" ht="16" x14ac:dyDescent="0.2">
      <c r="A884" s="2" t="s">
        <v>2853</v>
      </c>
      <c r="B884" s="46">
        <v>883</v>
      </c>
      <c r="C884" s="2" t="b">
        <v>0</v>
      </c>
      <c r="D884" s="2" t="b">
        <v>0</v>
      </c>
      <c r="E884" s="2" t="b">
        <v>0</v>
      </c>
      <c r="F884" s="2" t="b">
        <v>0</v>
      </c>
      <c r="G884" s="2" t="s">
        <v>31</v>
      </c>
      <c r="H884" s="2" t="s">
        <v>2854</v>
      </c>
      <c r="I884" s="2" t="s">
        <v>2855</v>
      </c>
      <c r="J884" s="2" t="s">
        <v>35</v>
      </c>
      <c r="K884" s="2" t="s">
        <v>35</v>
      </c>
      <c r="L884" s="2" t="s">
        <v>35</v>
      </c>
      <c r="M884" s="2">
        <v>12</v>
      </c>
      <c r="N884" s="2">
        <v>17</v>
      </c>
      <c r="O884" s="11">
        <v>44762.355622106479</v>
      </c>
      <c r="P884" s="11">
        <v>44762.355790208334</v>
      </c>
      <c r="Q884" s="27">
        <f t="shared" si="39"/>
        <v>1.6810185479698703E-4</v>
      </c>
      <c r="R884" s="65">
        <f t="shared" si="41"/>
        <v>2.533217630116269E-4</v>
      </c>
      <c r="S884" s="2">
        <v>0</v>
      </c>
      <c r="T884" s="2" t="s">
        <v>54</v>
      </c>
      <c r="U884" s="2" t="s">
        <v>55</v>
      </c>
      <c r="V884" s="2" t="s">
        <v>38</v>
      </c>
      <c r="W884" s="2" t="s">
        <v>35</v>
      </c>
      <c r="X884" s="2" t="s">
        <v>35</v>
      </c>
      <c r="Y884" s="2" t="s">
        <v>35</v>
      </c>
      <c r="Z884" s="2" t="b">
        <v>0</v>
      </c>
      <c r="AA884" s="2" t="s">
        <v>35</v>
      </c>
      <c r="AB884" s="2" t="s">
        <v>35</v>
      </c>
      <c r="AC884" s="2" t="s">
        <v>35</v>
      </c>
      <c r="AD884" s="2" t="s">
        <v>35</v>
      </c>
      <c r="AE884" s="2" t="s">
        <v>2840</v>
      </c>
      <c r="AF884" s="11">
        <v>44762.350694444445</v>
      </c>
      <c r="AG884" s="53"/>
      <c r="AH884" s="53" t="b">
        <f t="shared" si="40"/>
        <v>0</v>
      </c>
      <c r="AI884" s="54" t="str" cm="1">
        <f t="array" ref="AI884">TRANSPOSE(_xlfn._xlws.FILTER(images!L:L,images!F:F=Barrierenmessung!A884, ""))</f>
        <v>https://captureandgo.cloudlab.zhaw.ch/uploads/image_51df2e3143.jpg</v>
      </c>
      <c r="AJ884" s="2"/>
      <c r="AK884" s="2"/>
      <c r="AL884" s="2"/>
      <c r="AM884" s="2"/>
      <c r="AN884" s="2"/>
    </row>
    <row r="885" spans="1:40" ht="16" x14ac:dyDescent="0.2">
      <c r="A885" s="2" t="s">
        <v>2856</v>
      </c>
      <c r="B885" s="46">
        <v>884</v>
      </c>
      <c r="C885" s="2" t="b">
        <v>0</v>
      </c>
      <c r="D885" s="2" t="b">
        <v>0</v>
      </c>
      <c r="E885" s="2" t="b">
        <v>0</v>
      </c>
      <c r="F885" s="2" t="b">
        <v>0</v>
      </c>
      <c r="G885" s="2" t="s">
        <v>31</v>
      </c>
      <c r="H885" s="2" t="s">
        <v>2857</v>
      </c>
      <c r="I885" s="2" t="s">
        <v>2858</v>
      </c>
      <c r="J885" s="2" t="s">
        <v>35</v>
      </c>
      <c r="K885" s="2" t="s">
        <v>35</v>
      </c>
      <c r="L885" s="2" t="s">
        <v>35</v>
      </c>
      <c r="M885" s="2">
        <v>12</v>
      </c>
      <c r="N885" s="2">
        <v>17</v>
      </c>
      <c r="O885" s="11">
        <v>44762.355863854165</v>
      </c>
      <c r="P885" s="11">
        <v>44762.355998981482</v>
      </c>
      <c r="Q885" s="27">
        <f t="shared" si="39"/>
        <v>1.3512731675291434E-4</v>
      </c>
      <c r="R885" s="65">
        <f t="shared" si="41"/>
        <v>2.0877314818790182E-4</v>
      </c>
      <c r="S885" s="2">
        <v>0</v>
      </c>
      <c r="T885" s="2" t="s">
        <v>54</v>
      </c>
      <c r="U885" s="2" t="s">
        <v>55</v>
      </c>
      <c r="V885" s="2" t="s">
        <v>38</v>
      </c>
      <c r="W885" s="2" t="s">
        <v>35</v>
      </c>
      <c r="X885" s="2" t="s">
        <v>35</v>
      </c>
      <c r="Y885" s="2" t="s">
        <v>35</v>
      </c>
      <c r="Z885" s="2" t="b">
        <v>0</v>
      </c>
      <c r="AA885" s="2" t="s">
        <v>35</v>
      </c>
      <c r="AB885" s="2" t="s">
        <v>35</v>
      </c>
      <c r="AC885" s="2" t="s">
        <v>35</v>
      </c>
      <c r="AD885" s="2" t="s">
        <v>35</v>
      </c>
      <c r="AE885" s="2" t="s">
        <v>2840</v>
      </c>
      <c r="AF885" s="11">
        <v>44762.350694444445</v>
      </c>
      <c r="AG885" s="53"/>
      <c r="AH885" s="53" t="b">
        <f t="shared" si="40"/>
        <v>0</v>
      </c>
      <c r="AI885" s="54" t="str" cm="1">
        <f t="array" ref="AI885">TRANSPOSE(_xlfn._xlws.FILTER(images!L:L,images!F:F=Barrierenmessung!A885, ""))</f>
        <v>https://captureandgo.cloudlab.zhaw.ch/uploads/image_6bcd5c74fb.jpg</v>
      </c>
      <c r="AJ885" s="2"/>
      <c r="AK885" s="2"/>
      <c r="AL885" s="2"/>
      <c r="AM885" s="2"/>
      <c r="AN885" s="2"/>
    </row>
    <row r="886" spans="1:40" ht="16" x14ac:dyDescent="0.2">
      <c r="A886" s="2" t="s">
        <v>2859</v>
      </c>
      <c r="B886" s="46">
        <v>885</v>
      </c>
      <c r="C886" s="2" t="b">
        <v>0</v>
      </c>
      <c r="D886" s="2" t="b">
        <v>0</v>
      </c>
      <c r="E886" s="2" t="b">
        <v>0</v>
      </c>
      <c r="F886" s="2" t="b">
        <v>0</v>
      </c>
      <c r="G886" s="2" t="s">
        <v>31</v>
      </c>
      <c r="H886" s="2" t="s">
        <v>2860</v>
      </c>
      <c r="I886" s="2" t="s">
        <v>2861</v>
      </c>
      <c r="J886" s="2" t="s">
        <v>35</v>
      </c>
      <c r="K886" s="2" t="s">
        <v>35</v>
      </c>
      <c r="L886" s="2" t="s">
        <v>35</v>
      </c>
      <c r="M886" s="2" t="s">
        <v>35</v>
      </c>
      <c r="N886" s="2" t="s">
        <v>35</v>
      </c>
      <c r="O886" s="11">
        <v>44762.356313506942</v>
      </c>
      <c r="P886" s="11">
        <v>44762.356478715279</v>
      </c>
      <c r="Q886" s="27">
        <f t="shared" si="39"/>
        <v>1.6520833742106333E-4</v>
      </c>
      <c r="R886" s="65">
        <f t="shared" si="41"/>
        <v>4.7973379696486518E-4</v>
      </c>
      <c r="S886" s="2">
        <v>0</v>
      </c>
      <c r="T886" s="2" t="s">
        <v>36</v>
      </c>
      <c r="U886" s="2" t="s">
        <v>37</v>
      </c>
      <c r="V886" s="2" t="s">
        <v>38</v>
      </c>
      <c r="W886" s="2" t="s">
        <v>35</v>
      </c>
      <c r="X886" s="2" t="s">
        <v>35</v>
      </c>
      <c r="Y886" s="2" t="s">
        <v>35</v>
      </c>
      <c r="Z886" s="2" t="b">
        <v>0</v>
      </c>
      <c r="AA886" s="2" t="s">
        <v>35</v>
      </c>
      <c r="AB886" s="2" t="s">
        <v>35</v>
      </c>
      <c r="AC886" s="2" t="s">
        <v>35</v>
      </c>
      <c r="AD886" s="2">
        <v>3</v>
      </c>
      <c r="AE886" s="2" t="s">
        <v>2840</v>
      </c>
      <c r="AF886" s="11">
        <v>44762.350694444445</v>
      </c>
      <c r="AG886" s="53"/>
      <c r="AH886" s="53" t="b">
        <f t="shared" si="40"/>
        <v>0</v>
      </c>
      <c r="AI886" s="54" t="str" cm="1">
        <f t="array" ref="AI886">TRANSPOSE(_xlfn._xlws.FILTER(images!L:L,images!F:F=Barrierenmessung!A886, ""))</f>
        <v>https://captureandgo.cloudlab.zhaw.ch/uploads/image_42b9d1892e.jpg</v>
      </c>
      <c r="AJ886" s="2"/>
      <c r="AK886" s="2"/>
      <c r="AL886" s="2"/>
      <c r="AM886" s="2"/>
      <c r="AN886" s="2"/>
    </row>
    <row r="887" spans="1:40" ht="16" x14ac:dyDescent="0.2">
      <c r="A887" s="2" t="s">
        <v>2862</v>
      </c>
      <c r="B887" s="46">
        <v>886</v>
      </c>
      <c r="C887" s="2" t="b">
        <v>0</v>
      </c>
      <c r="D887" s="2" t="b">
        <v>0</v>
      </c>
      <c r="E887" s="2" t="b">
        <v>0</v>
      </c>
      <c r="F887" s="2" t="b">
        <v>0</v>
      </c>
      <c r="G887" s="2" t="s">
        <v>31</v>
      </c>
      <c r="H887" s="2" t="s">
        <v>2863</v>
      </c>
      <c r="I887" s="2" t="s">
        <v>2864</v>
      </c>
      <c r="J887" s="2" t="s">
        <v>675</v>
      </c>
      <c r="K887" s="2" t="s">
        <v>35</v>
      </c>
      <c r="L887" s="2" t="s">
        <v>35</v>
      </c>
      <c r="M887" s="2" t="s">
        <v>35</v>
      </c>
      <c r="N887" s="2" t="s">
        <v>35</v>
      </c>
      <c r="O887" s="11">
        <v>44762.356832685182</v>
      </c>
      <c r="P887" s="11">
        <v>44762.357148530093</v>
      </c>
      <c r="Q887" s="27">
        <f t="shared" si="39"/>
        <v>3.1584491080138832E-4</v>
      </c>
      <c r="R887" s="65">
        <f t="shared" si="41"/>
        <v>6.698148135910742E-4</v>
      </c>
      <c r="S887" s="2">
        <v>0</v>
      </c>
      <c r="T887" s="2" t="s">
        <v>124</v>
      </c>
      <c r="U887" s="2" t="s">
        <v>125</v>
      </c>
      <c r="V887" s="2" t="s">
        <v>38</v>
      </c>
      <c r="W887" s="2" t="s">
        <v>35</v>
      </c>
      <c r="X887" s="2" t="s">
        <v>35</v>
      </c>
      <c r="Y887" s="2" t="s">
        <v>35</v>
      </c>
      <c r="Z887" s="2" t="b">
        <v>0</v>
      </c>
      <c r="AA887" s="2" t="s">
        <v>35</v>
      </c>
      <c r="AB887" s="2">
        <v>4</v>
      </c>
      <c r="AC887" s="2" t="s">
        <v>35</v>
      </c>
      <c r="AD887" s="2" t="s">
        <v>35</v>
      </c>
      <c r="AE887" s="2" t="s">
        <v>2840</v>
      </c>
      <c r="AF887" s="11">
        <v>44762.350694444445</v>
      </c>
      <c r="AG887" s="53"/>
      <c r="AH887" s="53" t="b">
        <f t="shared" si="40"/>
        <v>0</v>
      </c>
      <c r="AI887" s="54" t="str" cm="1">
        <f t="array" ref="AI887">TRANSPOSE(_xlfn._xlws.FILTER(images!L:L,images!F:F=Barrierenmessung!A887, ""))</f>
        <v>https://captureandgo.cloudlab.zhaw.ch/uploads/image_a03e3db693.jpg</v>
      </c>
      <c r="AJ887" s="2"/>
      <c r="AK887" s="2"/>
      <c r="AL887" s="2"/>
      <c r="AM887" s="2"/>
      <c r="AN887" s="2"/>
    </row>
    <row r="888" spans="1:40" ht="16" x14ac:dyDescent="0.2">
      <c r="A888" s="2" t="s">
        <v>2865</v>
      </c>
      <c r="B888" s="46">
        <v>887</v>
      </c>
      <c r="C888" s="2" t="b">
        <v>0</v>
      </c>
      <c r="D888" s="2" t="b">
        <v>0</v>
      </c>
      <c r="E888" s="2" t="b">
        <v>0</v>
      </c>
      <c r="F888" s="2" t="b">
        <v>0</v>
      </c>
      <c r="G888" s="2" t="s">
        <v>31</v>
      </c>
      <c r="H888" s="2" t="s">
        <v>2866</v>
      </c>
      <c r="I888" s="2" t="s">
        <v>2867</v>
      </c>
      <c r="J888" s="2" t="s">
        <v>35</v>
      </c>
      <c r="K888" s="2" t="s">
        <v>35</v>
      </c>
      <c r="L888" s="2" t="s">
        <v>35</v>
      </c>
      <c r="M888" s="2" t="s">
        <v>35</v>
      </c>
      <c r="N888" s="2" t="s">
        <v>35</v>
      </c>
      <c r="O888" s="11">
        <v>44762.358703576392</v>
      </c>
      <c r="P888" s="11">
        <v>44762.358811030092</v>
      </c>
      <c r="Q888" s="27">
        <f t="shared" si="39"/>
        <v>1.0745369945652783E-4</v>
      </c>
      <c r="R888" s="65">
        <f t="shared" si="41"/>
        <v>1.662499998928979E-3</v>
      </c>
      <c r="S888" s="2">
        <v>0</v>
      </c>
      <c r="T888" s="2" t="s">
        <v>36</v>
      </c>
      <c r="U888" s="2" t="s">
        <v>37</v>
      </c>
      <c r="V888" s="2" t="s">
        <v>38</v>
      </c>
      <c r="W888" s="2" t="s">
        <v>35</v>
      </c>
      <c r="X888" s="2" t="s">
        <v>35</v>
      </c>
      <c r="Y888" s="2" t="s">
        <v>35</v>
      </c>
      <c r="Z888" s="2" t="b">
        <v>0</v>
      </c>
      <c r="AA888" s="2" t="s">
        <v>35</v>
      </c>
      <c r="AB888" s="2" t="s">
        <v>35</v>
      </c>
      <c r="AC888" s="2" t="s">
        <v>35</v>
      </c>
      <c r="AD888" s="2">
        <v>3</v>
      </c>
      <c r="AE888" s="2" t="s">
        <v>2840</v>
      </c>
      <c r="AF888" s="11">
        <v>44762.350694444445</v>
      </c>
      <c r="AG888" s="53"/>
      <c r="AH888" s="53" t="b">
        <f t="shared" si="40"/>
        <v>0</v>
      </c>
      <c r="AI888" s="54" t="str" cm="1">
        <f t="array" ref="AI888">TRANSPOSE(_xlfn._xlws.FILTER(images!L:L,images!F:F=Barrierenmessung!A888, ""))</f>
        <v>https://captureandgo.cloudlab.zhaw.ch/uploads/image_c077099354.jpg</v>
      </c>
      <c r="AJ888" s="2"/>
      <c r="AK888" s="2"/>
      <c r="AL888" s="2"/>
      <c r="AM888" s="2"/>
      <c r="AN888" s="2"/>
    </row>
    <row r="889" spans="1:40" ht="16" x14ac:dyDescent="0.2">
      <c r="A889" s="2" t="s">
        <v>2868</v>
      </c>
      <c r="B889" s="46">
        <v>888</v>
      </c>
      <c r="C889" s="2" t="b">
        <v>0</v>
      </c>
      <c r="D889" s="2" t="b">
        <v>0</v>
      </c>
      <c r="E889" s="2" t="b">
        <v>0</v>
      </c>
      <c r="F889" s="2" t="b">
        <v>0</v>
      </c>
      <c r="G889" s="2" t="s">
        <v>31</v>
      </c>
      <c r="H889" s="2" t="s">
        <v>2869</v>
      </c>
      <c r="I889" s="2" t="s">
        <v>2870</v>
      </c>
      <c r="J889" s="2" t="s">
        <v>35</v>
      </c>
      <c r="K889" s="2" t="s">
        <v>35</v>
      </c>
      <c r="L889" s="2" t="s">
        <v>35</v>
      </c>
      <c r="M889" s="2" t="s">
        <v>35</v>
      </c>
      <c r="N889" s="2" t="s">
        <v>35</v>
      </c>
      <c r="O889" s="11">
        <v>44762.359009259257</v>
      </c>
      <c r="P889" s="11">
        <v>44762.359150289354</v>
      </c>
      <c r="Q889" s="27">
        <f t="shared" si="39"/>
        <v>1.4103009743848816E-4</v>
      </c>
      <c r="R889" s="65">
        <f t="shared" si="41"/>
        <v>3.3925926254596561E-4</v>
      </c>
      <c r="S889" s="2">
        <v>0</v>
      </c>
      <c r="T889" s="2" t="s">
        <v>36</v>
      </c>
      <c r="U889" s="2" t="s">
        <v>37</v>
      </c>
      <c r="V889" s="2" t="s">
        <v>38</v>
      </c>
      <c r="W889" s="2" t="s">
        <v>35</v>
      </c>
      <c r="X889" s="2" t="s">
        <v>35</v>
      </c>
      <c r="Y889" s="2" t="s">
        <v>35</v>
      </c>
      <c r="Z889" s="2" t="b">
        <v>0</v>
      </c>
      <c r="AA889" s="2" t="s">
        <v>35</v>
      </c>
      <c r="AB889" s="2" t="s">
        <v>35</v>
      </c>
      <c r="AC889" s="2" t="s">
        <v>35</v>
      </c>
      <c r="AD889" s="2">
        <v>3</v>
      </c>
      <c r="AE889" s="2" t="s">
        <v>2840</v>
      </c>
      <c r="AF889" s="11">
        <v>44762.350694444445</v>
      </c>
      <c r="AG889" s="53"/>
      <c r="AH889" s="53" t="b">
        <f t="shared" si="40"/>
        <v>0</v>
      </c>
      <c r="AI889" s="54" t="str" cm="1">
        <f t="array" ref="AI889">TRANSPOSE(_xlfn._xlws.FILTER(images!L:L,images!F:F=Barrierenmessung!A889, ""))</f>
        <v>https://captureandgo.cloudlab.zhaw.ch/uploads/image_d59a4d5f32.jpg</v>
      </c>
      <c r="AJ889" s="2"/>
      <c r="AK889" s="2"/>
      <c r="AL889" s="2"/>
      <c r="AM889" s="2"/>
      <c r="AN889" s="2"/>
    </row>
    <row r="890" spans="1:40" ht="16" x14ac:dyDescent="0.2">
      <c r="A890" s="2" t="s">
        <v>2871</v>
      </c>
      <c r="B890" s="46">
        <v>889</v>
      </c>
      <c r="C890" s="2" t="b">
        <v>0</v>
      </c>
      <c r="D890" s="2" t="b">
        <v>0</v>
      </c>
      <c r="E890" s="2" t="b">
        <v>0</v>
      </c>
      <c r="F890" s="2" t="b">
        <v>0</v>
      </c>
      <c r="G890" s="2" t="s">
        <v>31</v>
      </c>
      <c r="H890" s="2" t="s">
        <v>2872</v>
      </c>
      <c r="I890" s="2" t="s">
        <v>2873</v>
      </c>
      <c r="J890" s="2" t="s">
        <v>35</v>
      </c>
      <c r="K890" s="2" t="s">
        <v>35</v>
      </c>
      <c r="L890" s="2" t="s">
        <v>35</v>
      </c>
      <c r="M890" s="2" t="s">
        <v>35</v>
      </c>
      <c r="N890" s="2" t="s">
        <v>35</v>
      </c>
      <c r="O890" s="11">
        <v>44762.359519143516</v>
      </c>
      <c r="P890" s="11">
        <v>44762.359689861114</v>
      </c>
      <c r="Q890" s="27">
        <f t="shared" si="39"/>
        <v>1.7071759793907404E-4</v>
      </c>
      <c r="R890" s="65">
        <f t="shared" si="41"/>
        <v>5.3957175987306982E-4</v>
      </c>
      <c r="S890" s="2">
        <v>0</v>
      </c>
      <c r="T890" s="2" t="s">
        <v>36</v>
      </c>
      <c r="U890" s="2" t="s">
        <v>37</v>
      </c>
      <c r="V890" s="2" t="s">
        <v>38</v>
      </c>
      <c r="W890" s="2" t="s">
        <v>35</v>
      </c>
      <c r="X890" s="2" t="s">
        <v>35</v>
      </c>
      <c r="Y890" s="2" t="s">
        <v>35</v>
      </c>
      <c r="Z890" s="2" t="b">
        <v>0</v>
      </c>
      <c r="AA890" s="2" t="s">
        <v>35</v>
      </c>
      <c r="AB890" s="2" t="s">
        <v>35</v>
      </c>
      <c r="AC890" s="2" t="s">
        <v>35</v>
      </c>
      <c r="AD890" s="2">
        <v>3</v>
      </c>
      <c r="AE890" s="2" t="s">
        <v>2840</v>
      </c>
      <c r="AF890" s="11">
        <v>44762.350694444445</v>
      </c>
      <c r="AG890" s="53"/>
      <c r="AH890" s="53" t="b">
        <f t="shared" si="40"/>
        <v>0</v>
      </c>
      <c r="AI890" s="54" t="str" cm="1">
        <f t="array" ref="AI890">TRANSPOSE(_xlfn._xlws.FILTER(images!L:L,images!F:F=Barrierenmessung!A890, ""))</f>
        <v>https://captureandgo.cloudlab.zhaw.ch/uploads/image_6d9e95231d.jpg</v>
      </c>
      <c r="AJ890" s="2"/>
      <c r="AK890" s="2"/>
      <c r="AL890" s="2"/>
      <c r="AM890" s="2"/>
      <c r="AN890" s="2"/>
    </row>
    <row r="891" spans="1:40" ht="16" x14ac:dyDescent="0.2">
      <c r="A891" s="2" t="s">
        <v>2874</v>
      </c>
      <c r="B891" s="46">
        <v>890</v>
      </c>
      <c r="C891" s="2" t="b">
        <v>0</v>
      </c>
      <c r="D891" s="2" t="b">
        <v>0</v>
      </c>
      <c r="E891" s="2" t="b">
        <v>0</v>
      </c>
      <c r="F891" s="2" t="b">
        <v>0</v>
      </c>
      <c r="G891" s="2" t="s">
        <v>31</v>
      </c>
      <c r="H891" s="2" t="s">
        <v>2875</v>
      </c>
      <c r="I891" s="2" t="s">
        <v>2876</v>
      </c>
      <c r="J891" s="2" t="s">
        <v>2877</v>
      </c>
      <c r="K891" s="2" t="s">
        <v>35</v>
      </c>
      <c r="L891" s="2" t="s">
        <v>35</v>
      </c>
      <c r="M891" s="2">
        <v>3</v>
      </c>
      <c r="N891" s="2">
        <v>13</v>
      </c>
      <c r="O891" s="11">
        <v>44762.360608587966</v>
      </c>
      <c r="P891" s="11">
        <v>44762.361050347223</v>
      </c>
      <c r="Q891" s="27">
        <f t="shared" si="39"/>
        <v>4.4175925722811371E-4</v>
      </c>
      <c r="R891" s="65">
        <f t="shared" si="41"/>
        <v>1.3604861087515019E-3</v>
      </c>
      <c r="S891" s="2">
        <v>0</v>
      </c>
      <c r="T891" s="2" t="s">
        <v>54</v>
      </c>
      <c r="U891" s="2" t="s">
        <v>55</v>
      </c>
      <c r="V891" s="2" t="s">
        <v>38</v>
      </c>
      <c r="W891" s="2" t="s">
        <v>35</v>
      </c>
      <c r="X891" s="2" t="s">
        <v>35</v>
      </c>
      <c r="Y891" s="2" t="s">
        <v>35</v>
      </c>
      <c r="Z891" s="2" t="b">
        <v>1</v>
      </c>
      <c r="AA891" s="2" t="s">
        <v>35</v>
      </c>
      <c r="AB891" s="2" t="s">
        <v>35</v>
      </c>
      <c r="AC891" s="2" t="s">
        <v>35</v>
      </c>
      <c r="AD891" s="2" t="s">
        <v>35</v>
      </c>
      <c r="AE891" s="2" t="s">
        <v>2840</v>
      </c>
      <c r="AF891" s="11">
        <v>44762.350694444445</v>
      </c>
      <c r="AG891" s="53"/>
      <c r="AH891" s="53" t="b">
        <f t="shared" si="40"/>
        <v>0</v>
      </c>
      <c r="AI891" s="54" t="str" cm="1">
        <f t="array" ref="AI891">TRANSPOSE(_xlfn._xlws.FILTER(images!L:L,images!F:F=Barrierenmessung!A891, ""))</f>
        <v>https://captureandgo.cloudlab.zhaw.ch/uploads/image_d27383cc3e.jpg</v>
      </c>
      <c r="AJ891" s="2"/>
      <c r="AK891" s="2"/>
      <c r="AL891" s="2"/>
      <c r="AM891" s="2"/>
      <c r="AN891" s="2"/>
    </row>
    <row r="892" spans="1:40" ht="16" x14ac:dyDescent="0.2">
      <c r="A892" s="2" t="s">
        <v>2878</v>
      </c>
      <c r="B892" s="46">
        <v>891</v>
      </c>
      <c r="C892" s="2" t="b">
        <v>0</v>
      </c>
      <c r="D892" s="2" t="b">
        <v>0</v>
      </c>
      <c r="E892" s="2" t="b">
        <v>0</v>
      </c>
      <c r="F892" s="2" t="b">
        <v>0</v>
      </c>
      <c r="G892" s="2" t="s">
        <v>31</v>
      </c>
      <c r="H892" s="2" t="s">
        <v>2879</v>
      </c>
      <c r="I892" s="2" t="s">
        <v>2880</v>
      </c>
      <c r="J892" s="2" t="s">
        <v>2881</v>
      </c>
      <c r="K892" s="2" t="s">
        <v>35</v>
      </c>
      <c r="L892" s="2" t="s">
        <v>35</v>
      </c>
      <c r="M892" s="2">
        <v>3</v>
      </c>
      <c r="N892" s="2">
        <v>14</v>
      </c>
      <c r="O892" s="11">
        <v>44762.361407280092</v>
      </c>
      <c r="P892" s="11">
        <v>44762.361780567131</v>
      </c>
      <c r="Q892" s="27">
        <f t="shared" si="39"/>
        <v>3.7328703911043704E-4</v>
      </c>
      <c r="R892" s="65">
        <f t="shared" si="41"/>
        <v>7.3021990829147398E-4</v>
      </c>
      <c r="S892" s="2">
        <v>0</v>
      </c>
      <c r="T892" s="2" t="s">
        <v>54</v>
      </c>
      <c r="U892" s="2" t="s">
        <v>55</v>
      </c>
      <c r="V892" s="2" t="s">
        <v>38</v>
      </c>
      <c r="W892" s="2" t="s">
        <v>35</v>
      </c>
      <c r="X892" s="2" t="s">
        <v>35</v>
      </c>
      <c r="Y892" s="2" t="s">
        <v>35</v>
      </c>
      <c r="Z892" s="2" t="b">
        <v>1</v>
      </c>
      <c r="AA892" s="2" t="s">
        <v>35</v>
      </c>
      <c r="AB892" s="2" t="s">
        <v>35</v>
      </c>
      <c r="AC892" s="2" t="s">
        <v>35</v>
      </c>
      <c r="AD892" s="2" t="s">
        <v>35</v>
      </c>
      <c r="AE892" s="2" t="s">
        <v>2840</v>
      </c>
      <c r="AF892" s="11">
        <v>44762.350694444445</v>
      </c>
      <c r="AG892" s="53"/>
      <c r="AH892" s="53" t="b">
        <f t="shared" si="40"/>
        <v>0</v>
      </c>
      <c r="AI892" s="54" t="str" cm="1">
        <f t="array" ref="AI892">TRANSPOSE(_xlfn._xlws.FILTER(images!L:L,images!F:F=Barrierenmessung!A892, ""))</f>
        <v>https://captureandgo.cloudlab.zhaw.ch/uploads/image_79bb357e43.jpg</v>
      </c>
      <c r="AJ892" s="2"/>
      <c r="AK892" s="2"/>
      <c r="AL892" s="2"/>
      <c r="AM892" s="2"/>
      <c r="AN892" s="2"/>
    </row>
    <row r="893" spans="1:40" ht="16" x14ac:dyDescent="0.2">
      <c r="A893" s="2" t="s">
        <v>2882</v>
      </c>
      <c r="B893" s="46">
        <v>892</v>
      </c>
      <c r="C893" s="2" t="b">
        <v>0</v>
      </c>
      <c r="D893" s="2" t="b">
        <v>0</v>
      </c>
      <c r="E893" s="2" t="b">
        <v>0</v>
      </c>
      <c r="F893" s="2" t="b">
        <v>0</v>
      </c>
      <c r="G893" s="2" t="s">
        <v>31</v>
      </c>
      <c r="H893" s="2" t="s">
        <v>2883</v>
      </c>
      <c r="I893" s="2" t="s">
        <v>2884</v>
      </c>
      <c r="J893" s="2" t="s">
        <v>35</v>
      </c>
      <c r="K893" s="2" t="s">
        <v>35</v>
      </c>
      <c r="L893" s="2" t="s">
        <v>35</v>
      </c>
      <c r="M893" s="2" t="s">
        <v>35</v>
      </c>
      <c r="N893" s="2" t="s">
        <v>35</v>
      </c>
      <c r="O893" s="11">
        <v>44762.361862291669</v>
      </c>
      <c r="P893" s="11">
        <v>44762.362192581022</v>
      </c>
      <c r="Q893" s="27">
        <f t="shared" si="39"/>
        <v>3.3028935285983607E-4</v>
      </c>
      <c r="R893" s="65">
        <f t="shared" si="41"/>
        <v>4.1201389103662223E-4</v>
      </c>
      <c r="S893" s="2">
        <v>0</v>
      </c>
      <c r="T893" s="2" t="s">
        <v>36</v>
      </c>
      <c r="U893" s="2" t="s">
        <v>37</v>
      </c>
      <c r="V893" s="2" t="s">
        <v>38</v>
      </c>
      <c r="W893" s="2" t="s">
        <v>35</v>
      </c>
      <c r="X893" s="2" t="s">
        <v>35</v>
      </c>
      <c r="Y893" s="2" t="s">
        <v>35</v>
      </c>
      <c r="Z893" s="2" t="b">
        <v>0</v>
      </c>
      <c r="AA893" s="2" t="s">
        <v>35</v>
      </c>
      <c r="AB893" s="2" t="s">
        <v>35</v>
      </c>
      <c r="AC893" s="2" t="s">
        <v>35</v>
      </c>
      <c r="AD893" s="2">
        <v>3</v>
      </c>
      <c r="AE893" s="2" t="s">
        <v>2840</v>
      </c>
      <c r="AF893" s="11">
        <v>44762.350694444445</v>
      </c>
      <c r="AG893" s="53"/>
      <c r="AH893" s="53" t="b">
        <f t="shared" si="40"/>
        <v>0</v>
      </c>
      <c r="AI893" s="54" t="str" cm="1">
        <f t="array" ref="AI893">TRANSPOSE(_xlfn._xlws.FILTER(images!L:L,images!F:F=Barrierenmessung!A893, ""))</f>
        <v>https://captureandgo.cloudlab.zhaw.ch/uploads/image_4f0cfc6621.jpg</v>
      </c>
      <c r="AJ893" s="2"/>
      <c r="AK893" s="2"/>
      <c r="AL893" s="2"/>
      <c r="AM893" s="2"/>
      <c r="AN893" s="2"/>
    </row>
    <row r="894" spans="1:40" ht="16" x14ac:dyDescent="0.2">
      <c r="A894" s="2" t="s">
        <v>2885</v>
      </c>
      <c r="B894" s="46">
        <v>893</v>
      </c>
      <c r="C894" s="2" t="b">
        <v>0</v>
      </c>
      <c r="D894" s="2" t="b">
        <v>0</v>
      </c>
      <c r="E894" s="2" t="b">
        <v>0</v>
      </c>
      <c r="F894" s="2" t="b">
        <v>0</v>
      </c>
      <c r="G894" s="2" t="s">
        <v>31</v>
      </c>
      <c r="H894" s="2" t="s">
        <v>2886</v>
      </c>
      <c r="I894" s="2" t="s">
        <v>2887</v>
      </c>
      <c r="J894" s="2" t="s">
        <v>675</v>
      </c>
      <c r="K894" s="2" t="s">
        <v>35</v>
      </c>
      <c r="L894" s="2" t="s">
        <v>35</v>
      </c>
      <c r="M894" s="2" t="s">
        <v>35</v>
      </c>
      <c r="N894" s="2" t="s">
        <v>35</v>
      </c>
      <c r="O894" s="11">
        <v>44762.36224318287</v>
      </c>
      <c r="P894" s="11">
        <v>44762.362649756942</v>
      </c>
      <c r="Q894" s="27">
        <f t="shared" si="39"/>
        <v>4.0657407225808129E-4</v>
      </c>
      <c r="R894" s="65">
        <f t="shared" si="41"/>
        <v>4.5717592001892626E-4</v>
      </c>
      <c r="S894" s="2">
        <v>0</v>
      </c>
      <c r="T894" s="2" t="s">
        <v>124</v>
      </c>
      <c r="U894" s="2" t="s">
        <v>125</v>
      </c>
      <c r="V894" s="2" t="s">
        <v>38</v>
      </c>
      <c r="W894" s="2" t="s">
        <v>35</v>
      </c>
      <c r="X894" s="2" t="s">
        <v>35</v>
      </c>
      <c r="Y894" s="2" t="s">
        <v>35</v>
      </c>
      <c r="Z894" s="2" t="b">
        <v>0</v>
      </c>
      <c r="AA894" s="2" t="s">
        <v>35</v>
      </c>
      <c r="AB894" s="2">
        <v>4</v>
      </c>
      <c r="AC894" s="2" t="s">
        <v>35</v>
      </c>
      <c r="AD894" s="2" t="s">
        <v>35</v>
      </c>
      <c r="AE894" s="2" t="s">
        <v>2840</v>
      </c>
      <c r="AF894" s="11">
        <v>44762.350694444445</v>
      </c>
      <c r="AG894" s="53"/>
      <c r="AH894" s="53" t="b">
        <f t="shared" si="40"/>
        <v>0</v>
      </c>
      <c r="AI894" s="54" t="str" cm="1">
        <f t="array" ref="AI894">TRANSPOSE(_xlfn._xlws.FILTER(images!L:L,images!F:F=Barrierenmessung!A894, ""))</f>
        <v>https://captureandgo.cloudlab.zhaw.ch/uploads/image_004cbe811c.jpg</v>
      </c>
      <c r="AJ894" s="2"/>
      <c r="AK894" s="2"/>
      <c r="AL894" s="2"/>
      <c r="AM894" s="2"/>
      <c r="AN894" s="2"/>
    </row>
    <row r="895" spans="1:40" ht="16" x14ac:dyDescent="0.2">
      <c r="A895" s="2" t="s">
        <v>2888</v>
      </c>
      <c r="B895" s="46">
        <v>894</v>
      </c>
      <c r="C895" s="2" t="b">
        <v>0</v>
      </c>
      <c r="D895" s="2" t="b">
        <v>0</v>
      </c>
      <c r="E895" s="2" t="b">
        <v>0</v>
      </c>
      <c r="F895" s="2" t="b">
        <v>0</v>
      </c>
      <c r="G895" s="2" t="s">
        <v>31</v>
      </c>
      <c r="H895" s="2" t="s">
        <v>2889</v>
      </c>
      <c r="I895" s="2" t="s">
        <v>2890</v>
      </c>
      <c r="J895" s="2" t="s">
        <v>35</v>
      </c>
      <c r="K895" s="2" t="s">
        <v>35</v>
      </c>
      <c r="L895" s="2" t="s">
        <v>35</v>
      </c>
      <c r="M895" s="2">
        <v>4</v>
      </c>
      <c r="N895" s="2">
        <v>14</v>
      </c>
      <c r="O895" s="11">
        <v>44762.362798680559</v>
      </c>
      <c r="P895" s="11">
        <v>44762.362937175923</v>
      </c>
      <c r="Q895" s="27">
        <f t="shared" si="39"/>
        <v>1.3849536480847746E-4</v>
      </c>
      <c r="R895" s="65">
        <f t="shared" si="41"/>
        <v>2.8741898131556809E-4</v>
      </c>
      <c r="S895" s="2">
        <v>0</v>
      </c>
      <c r="T895" s="2" t="s">
        <v>54</v>
      </c>
      <c r="U895" s="2" t="s">
        <v>55</v>
      </c>
      <c r="V895" s="2" t="s">
        <v>38</v>
      </c>
      <c r="W895" s="2" t="s">
        <v>35</v>
      </c>
      <c r="X895" s="2" t="s">
        <v>35</v>
      </c>
      <c r="Y895" s="2" t="s">
        <v>35</v>
      </c>
      <c r="Z895" s="2" t="b">
        <v>0</v>
      </c>
      <c r="AA895" s="2" t="s">
        <v>35</v>
      </c>
      <c r="AB895" s="2" t="s">
        <v>35</v>
      </c>
      <c r="AC895" s="2" t="s">
        <v>35</v>
      </c>
      <c r="AD895" s="2" t="s">
        <v>35</v>
      </c>
      <c r="AE895" s="2" t="s">
        <v>2840</v>
      </c>
      <c r="AF895" s="11">
        <v>44762.350694444445</v>
      </c>
      <c r="AG895" s="53"/>
      <c r="AH895" s="53" t="b">
        <f t="shared" si="40"/>
        <v>0</v>
      </c>
      <c r="AI895" s="54" t="str" cm="1">
        <f t="array" ref="AI895">TRANSPOSE(_xlfn._xlws.FILTER(images!L:L,images!F:F=Barrierenmessung!A895, ""))</f>
        <v>https://captureandgo.cloudlab.zhaw.ch/uploads/image_2038c21de3.jpg</v>
      </c>
      <c r="AJ895" s="2"/>
      <c r="AK895" s="2"/>
      <c r="AL895" s="2"/>
      <c r="AM895" s="2"/>
      <c r="AN895" s="2"/>
    </row>
    <row r="896" spans="1:40" ht="16" x14ac:dyDescent="0.2">
      <c r="A896" s="2" t="s">
        <v>2891</v>
      </c>
      <c r="B896" s="46">
        <v>895</v>
      </c>
      <c r="C896" s="2" t="b">
        <v>0</v>
      </c>
      <c r="D896" s="2" t="b">
        <v>0</v>
      </c>
      <c r="E896" s="2" t="b">
        <v>0</v>
      </c>
      <c r="F896" s="2" t="b">
        <v>0</v>
      </c>
      <c r="G896" s="2" t="s">
        <v>31</v>
      </c>
      <c r="H896" s="2" t="s">
        <v>2892</v>
      </c>
      <c r="I896" s="2" t="s">
        <v>2893</v>
      </c>
      <c r="J896" s="2" t="s">
        <v>2894</v>
      </c>
      <c r="K896" s="2" t="s">
        <v>35</v>
      </c>
      <c r="L896" s="2" t="s">
        <v>35</v>
      </c>
      <c r="M896" s="2">
        <v>2</v>
      </c>
      <c r="N896" s="2">
        <v>15</v>
      </c>
      <c r="O896" s="11">
        <v>44762.36304355324</v>
      </c>
      <c r="P896" s="11">
        <v>44762.363417986111</v>
      </c>
      <c r="Q896" s="27">
        <f t="shared" si="39"/>
        <v>3.7443287146743387E-4</v>
      </c>
      <c r="R896" s="65">
        <f t="shared" si="41"/>
        <v>4.8081018758239225E-4</v>
      </c>
      <c r="S896" s="2">
        <v>0</v>
      </c>
      <c r="T896" s="2" t="s">
        <v>54</v>
      </c>
      <c r="U896" s="2" t="s">
        <v>55</v>
      </c>
      <c r="V896" s="2" t="s">
        <v>38</v>
      </c>
      <c r="W896" s="2" t="s">
        <v>35</v>
      </c>
      <c r="X896" s="2" t="s">
        <v>35</v>
      </c>
      <c r="Y896" s="2" t="s">
        <v>35</v>
      </c>
      <c r="Z896" s="2" t="b">
        <v>1</v>
      </c>
      <c r="AA896" s="2" t="s">
        <v>35</v>
      </c>
      <c r="AB896" s="2" t="s">
        <v>35</v>
      </c>
      <c r="AC896" s="2" t="s">
        <v>35</v>
      </c>
      <c r="AD896" s="2" t="s">
        <v>35</v>
      </c>
      <c r="AE896" s="2" t="s">
        <v>2840</v>
      </c>
      <c r="AF896" s="11">
        <v>44762.350694444445</v>
      </c>
      <c r="AG896" s="53"/>
      <c r="AH896" s="53" t="b">
        <f t="shared" si="40"/>
        <v>0</v>
      </c>
      <c r="AI896" s="54" t="str" cm="1">
        <f t="array" ref="AI896">TRANSPOSE(_xlfn._xlws.FILTER(images!L:L,images!F:F=Barrierenmessung!A896, ""))</f>
        <v>https://captureandgo.cloudlab.zhaw.ch/uploads/image_8d21339ac7.jpg</v>
      </c>
      <c r="AJ896" s="2"/>
      <c r="AK896" s="2"/>
      <c r="AL896" s="2"/>
      <c r="AM896" s="2"/>
      <c r="AN896" s="2"/>
    </row>
    <row r="897" spans="1:40" ht="16" x14ac:dyDescent="0.2">
      <c r="A897" s="2" t="s">
        <v>2895</v>
      </c>
      <c r="B897" s="46">
        <v>896</v>
      </c>
      <c r="C897" s="2" t="b">
        <v>0</v>
      </c>
      <c r="D897" s="2" t="b">
        <v>0</v>
      </c>
      <c r="E897" s="2" t="b">
        <v>0</v>
      </c>
      <c r="F897" s="2" t="b">
        <v>0</v>
      </c>
      <c r="G897" s="2" t="s">
        <v>31</v>
      </c>
      <c r="H897" s="2" t="s">
        <v>2896</v>
      </c>
      <c r="I897" s="2" t="s">
        <v>2897</v>
      </c>
      <c r="J897" s="2" t="s">
        <v>35</v>
      </c>
      <c r="K897" s="2" t="s">
        <v>35</v>
      </c>
      <c r="L897" s="2" t="s">
        <v>35</v>
      </c>
      <c r="M897" s="2">
        <v>4</v>
      </c>
      <c r="N897" s="2">
        <v>12</v>
      </c>
      <c r="O897" s="11">
        <v>44762.364196932867</v>
      </c>
      <c r="P897" s="11">
        <v>44762.36471829861</v>
      </c>
      <c r="Q897" s="27">
        <f t="shared" si="39"/>
        <v>5.2136574231553823E-4</v>
      </c>
      <c r="R897" s="65">
        <f t="shared" si="41"/>
        <v>1.3003124986425973E-3</v>
      </c>
      <c r="S897" s="2">
        <v>0</v>
      </c>
      <c r="T897" s="2" t="s">
        <v>54</v>
      </c>
      <c r="U897" s="2" t="s">
        <v>55</v>
      </c>
      <c r="V897" s="2" t="s">
        <v>38</v>
      </c>
      <c r="W897" s="2" t="s">
        <v>35</v>
      </c>
      <c r="X897" s="2" t="s">
        <v>35</v>
      </c>
      <c r="Y897" s="2" t="s">
        <v>35</v>
      </c>
      <c r="Z897" s="2" t="b">
        <v>0</v>
      </c>
      <c r="AA897" s="2" t="s">
        <v>35</v>
      </c>
      <c r="AB897" s="2" t="s">
        <v>35</v>
      </c>
      <c r="AC897" s="2" t="s">
        <v>35</v>
      </c>
      <c r="AD897" s="2" t="s">
        <v>35</v>
      </c>
      <c r="AE897" s="2" t="s">
        <v>2840</v>
      </c>
      <c r="AF897" s="11">
        <v>44762.350694444445</v>
      </c>
      <c r="AG897" s="53"/>
      <c r="AH897" s="53" t="b">
        <f t="shared" si="40"/>
        <v>0</v>
      </c>
      <c r="AI897" s="54" t="str" cm="1">
        <f t="array" ref="AI897">TRANSPOSE(_xlfn._xlws.FILTER(images!L:L,images!F:F=Barrierenmessung!A897, ""))</f>
        <v>https://captureandgo.cloudlab.zhaw.ch/uploads/image_badccb2845.jpg</v>
      </c>
      <c r="AJ897" s="2"/>
      <c r="AK897" s="2"/>
      <c r="AL897" s="2"/>
      <c r="AM897" s="2"/>
      <c r="AN897" s="2"/>
    </row>
    <row r="898" spans="1:40" ht="16" x14ac:dyDescent="0.2">
      <c r="A898" s="2" t="s">
        <v>2898</v>
      </c>
      <c r="B898" s="46">
        <v>897</v>
      </c>
      <c r="C898" s="2" t="b">
        <v>0</v>
      </c>
      <c r="D898" s="2" t="b">
        <v>0</v>
      </c>
      <c r="E898" s="2" t="b">
        <v>0</v>
      </c>
      <c r="F898" s="2" t="b">
        <v>0</v>
      </c>
      <c r="G898" s="2" t="s">
        <v>31</v>
      </c>
      <c r="H898" s="2" t="s">
        <v>2899</v>
      </c>
      <c r="I898" s="2" t="s">
        <v>2900</v>
      </c>
      <c r="J898" s="2" t="s">
        <v>675</v>
      </c>
      <c r="K898" s="2" t="s">
        <v>35</v>
      </c>
      <c r="L898" s="2" t="s">
        <v>35</v>
      </c>
      <c r="M898" s="2" t="s">
        <v>35</v>
      </c>
      <c r="N898" s="2" t="s">
        <v>35</v>
      </c>
      <c r="O898" s="11">
        <v>44762.364838414353</v>
      </c>
      <c r="P898" s="11">
        <v>44762.364976249999</v>
      </c>
      <c r="Q898" s="27">
        <f t="shared" ref="Q898:Q961" si="42">P898-O898</f>
        <v>1.3783564645564184E-4</v>
      </c>
      <c r="R898" s="65">
        <f t="shared" si="41"/>
        <v>2.5795138935791329E-4</v>
      </c>
      <c r="S898" s="2">
        <v>0</v>
      </c>
      <c r="T898" s="2" t="s">
        <v>124</v>
      </c>
      <c r="U898" s="2" t="s">
        <v>125</v>
      </c>
      <c r="V898" s="2" t="s">
        <v>38</v>
      </c>
      <c r="W898" s="2" t="s">
        <v>35</v>
      </c>
      <c r="X898" s="2" t="s">
        <v>35</v>
      </c>
      <c r="Y898" s="2" t="s">
        <v>35</v>
      </c>
      <c r="Z898" s="2" t="b">
        <v>0</v>
      </c>
      <c r="AA898" s="2" t="s">
        <v>35</v>
      </c>
      <c r="AB898" s="2">
        <v>4</v>
      </c>
      <c r="AC898" s="2" t="s">
        <v>35</v>
      </c>
      <c r="AD898" s="2" t="s">
        <v>35</v>
      </c>
      <c r="AE898" s="2" t="s">
        <v>2840</v>
      </c>
      <c r="AF898" s="11">
        <v>44762.350694444445</v>
      </c>
      <c r="AG898" s="53"/>
      <c r="AH898" s="53" t="b">
        <f t="shared" si="40"/>
        <v>0</v>
      </c>
      <c r="AI898" s="54" t="str" cm="1">
        <f t="array" ref="AI898">TRANSPOSE(_xlfn._xlws.FILTER(images!L:L,images!F:F=Barrierenmessung!A898, ""))</f>
        <v>https://captureandgo.cloudlab.zhaw.ch/uploads/image_05c795017b.jpg</v>
      </c>
      <c r="AJ898" s="2"/>
      <c r="AK898" s="2"/>
      <c r="AL898" s="2"/>
      <c r="AM898" s="2"/>
      <c r="AN898" s="2"/>
    </row>
    <row r="899" spans="1:40" ht="16" x14ac:dyDescent="0.2">
      <c r="A899" s="2" t="s">
        <v>2901</v>
      </c>
      <c r="B899" s="46">
        <v>898</v>
      </c>
      <c r="C899" s="2" t="b">
        <v>0</v>
      </c>
      <c r="D899" s="2" t="b">
        <v>0</v>
      </c>
      <c r="E899" s="2" t="b">
        <v>0</v>
      </c>
      <c r="F899" s="2" t="b">
        <v>0</v>
      </c>
      <c r="G899" s="2" t="s">
        <v>31</v>
      </c>
      <c r="H899" s="2" t="s">
        <v>2902</v>
      </c>
      <c r="I899" s="2" t="s">
        <v>2903</v>
      </c>
      <c r="J899" s="2" t="s">
        <v>35</v>
      </c>
      <c r="K899" s="2" t="s">
        <v>35</v>
      </c>
      <c r="L899" s="2" t="s">
        <v>35</v>
      </c>
      <c r="M899" s="2" t="s">
        <v>35</v>
      </c>
      <c r="N899" s="2" t="s">
        <v>35</v>
      </c>
      <c r="O899" s="11">
        <v>44762.365970810184</v>
      </c>
      <c r="P899" s="11">
        <v>44762.366069849537</v>
      </c>
      <c r="Q899" s="27">
        <f t="shared" si="42"/>
        <v>9.9039352789986879E-5</v>
      </c>
      <c r="R899" s="65">
        <f t="shared" si="41"/>
        <v>1.0935995378531516E-3</v>
      </c>
      <c r="S899" s="2">
        <v>0</v>
      </c>
      <c r="T899" s="2" t="s">
        <v>36</v>
      </c>
      <c r="U899" s="2" t="s">
        <v>37</v>
      </c>
      <c r="V899" s="2" t="s">
        <v>38</v>
      </c>
      <c r="W899" s="2" t="s">
        <v>35</v>
      </c>
      <c r="X899" s="2" t="s">
        <v>35</v>
      </c>
      <c r="Y899" s="2" t="s">
        <v>35</v>
      </c>
      <c r="Z899" s="2" t="b">
        <v>0</v>
      </c>
      <c r="AA899" s="2" t="s">
        <v>35</v>
      </c>
      <c r="AB899" s="2" t="s">
        <v>35</v>
      </c>
      <c r="AC899" s="2" t="s">
        <v>35</v>
      </c>
      <c r="AD899" s="2">
        <v>2</v>
      </c>
      <c r="AE899" s="2" t="s">
        <v>2840</v>
      </c>
      <c r="AF899" s="11">
        <v>44762.350694444445</v>
      </c>
      <c r="AG899" s="53"/>
      <c r="AH899" s="53" t="b">
        <f t="shared" ref="AH899:AH962" si="43">IF(Q899&lt;TIME(0,0,1),"TRUE")</f>
        <v>0</v>
      </c>
      <c r="AI899" s="54" t="str" cm="1">
        <f t="array" ref="AI899">TRANSPOSE(_xlfn._xlws.FILTER(images!L:L,images!F:F=Barrierenmessung!A899, ""))</f>
        <v>https://captureandgo.cloudlab.zhaw.ch/uploads/image_8b80498c5d.jpg</v>
      </c>
      <c r="AJ899" s="2"/>
      <c r="AK899" s="2"/>
      <c r="AL899" s="2"/>
      <c r="AM899" s="2"/>
      <c r="AN899" s="2"/>
    </row>
    <row r="900" spans="1:40" ht="16" x14ac:dyDescent="0.2">
      <c r="A900" s="2" t="s">
        <v>2904</v>
      </c>
      <c r="B900" s="46">
        <v>899</v>
      </c>
      <c r="C900" s="2" t="b">
        <v>0</v>
      </c>
      <c r="D900" s="2" t="b">
        <v>0</v>
      </c>
      <c r="E900" s="2" t="b">
        <v>0</v>
      </c>
      <c r="F900" s="2" t="b">
        <v>0</v>
      </c>
      <c r="G900" s="2" t="s">
        <v>31</v>
      </c>
      <c r="H900" s="2" t="s">
        <v>2905</v>
      </c>
      <c r="I900" s="2" t="s">
        <v>2906</v>
      </c>
      <c r="J900" s="2" t="s">
        <v>2907</v>
      </c>
      <c r="K900" s="2" t="s">
        <v>35</v>
      </c>
      <c r="L900" s="2" t="s">
        <v>35</v>
      </c>
      <c r="M900" s="2" t="s">
        <v>35</v>
      </c>
      <c r="N900" s="2" t="s">
        <v>35</v>
      </c>
      <c r="O900" s="11">
        <v>44762.366962835651</v>
      </c>
      <c r="P900" s="11">
        <v>44762.367895370371</v>
      </c>
      <c r="Q900" s="27">
        <f t="shared" si="42"/>
        <v>9.3253472005017102E-4</v>
      </c>
      <c r="R900" s="65">
        <f t="shared" si="41"/>
        <v>1.8255208342452534E-3</v>
      </c>
      <c r="S900" s="2">
        <v>0</v>
      </c>
      <c r="T900" s="2" t="s">
        <v>109</v>
      </c>
      <c r="U900" s="2" t="s">
        <v>110</v>
      </c>
      <c r="V900" s="2" t="s">
        <v>38</v>
      </c>
      <c r="W900" s="2" t="s">
        <v>35</v>
      </c>
      <c r="X900" s="2">
        <v>96</v>
      </c>
      <c r="Y900" s="2" t="s">
        <v>35</v>
      </c>
      <c r="Z900" s="2" t="b">
        <v>0</v>
      </c>
      <c r="AA900" s="2" t="s">
        <v>35</v>
      </c>
      <c r="AB900" s="2" t="s">
        <v>35</v>
      </c>
      <c r="AC900" s="2" t="s">
        <v>35</v>
      </c>
      <c r="AD900" s="2" t="s">
        <v>35</v>
      </c>
      <c r="AE900" s="2" t="s">
        <v>2840</v>
      </c>
      <c r="AF900" s="11">
        <v>44762.350694444445</v>
      </c>
      <c r="AG900" s="53"/>
      <c r="AH900" s="53" t="b">
        <f t="shared" si="43"/>
        <v>0</v>
      </c>
      <c r="AI900" s="54" t="str" cm="1">
        <f t="array" ref="AI900">TRANSPOSE(_xlfn._xlws.FILTER(images!L:L,images!F:F=Barrierenmessung!A900, ""))</f>
        <v>https://captureandgo.cloudlab.zhaw.ch/uploads/image_10b591ef61.jpg</v>
      </c>
      <c r="AJ900" s="2"/>
      <c r="AK900" s="2"/>
      <c r="AL900" s="2"/>
      <c r="AM900" s="2"/>
      <c r="AN900" s="2"/>
    </row>
    <row r="901" spans="1:40" ht="16" x14ac:dyDescent="0.2">
      <c r="A901" s="2" t="s">
        <v>2908</v>
      </c>
      <c r="B901" s="46">
        <v>900</v>
      </c>
      <c r="C901" s="2" t="b">
        <v>0</v>
      </c>
      <c r="D901" s="2" t="b">
        <v>0</v>
      </c>
      <c r="E901" s="2" t="b">
        <v>0</v>
      </c>
      <c r="F901" s="2" t="b">
        <v>0</v>
      </c>
      <c r="G901" s="2" t="s">
        <v>31</v>
      </c>
      <c r="H901" s="2" t="s">
        <v>2909</v>
      </c>
      <c r="I901" s="2" t="s">
        <v>2910</v>
      </c>
      <c r="J901" s="2" t="s">
        <v>2911</v>
      </c>
      <c r="K901" s="2" t="s">
        <v>35</v>
      </c>
      <c r="L901" s="2" t="s">
        <v>35</v>
      </c>
      <c r="M901" s="2" t="s">
        <v>35</v>
      </c>
      <c r="N901" s="2" t="s">
        <v>35</v>
      </c>
      <c r="O901" s="11">
        <v>44762.36793403935</v>
      </c>
      <c r="P901" s="11">
        <v>44762.368969131945</v>
      </c>
      <c r="Q901" s="27">
        <f t="shared" si="42"/>
        <v>1.0350925949751399E-3</v>
      </c>
      <c r="R901" s="65">
        <f t="shared" ref="R901:R964" si="44">MIN(P901-P900, P901-AF901)</f>
        <v>1.0737615739344619E-3</v>
      </c>
      <c r="S901" s="2">
        <v>0</v>
      </c>
      <c r="T901" s="2" t="s">
        <v>36</v>
      </c>
      <c r="U901" s="2" t="s">
        <v>37</v>
      </c>
      <c r="V901" s="2" t="s">
        <v>38</v>
      </c>
      <c r="W901" s="2" t="s">
        <v>35</v>
      </c>
      <c r="X901" s="2" t="s">
        <v>35</v>
      </c>
      <c r="Y901" s="2" t="s">
        <v>35</v>
      </c>
      <c r="Z901" s="2" t="b">
        <v>0</v>
      </c>
      <c r="AA901" s="2" t="s">
        <v>35</v>
      </c>
      <c r="AB901" s="2" t="s">
        <v>35</v>
      </c>
      <c r="AC901" s="2">
        <v>4</v>
      </c>
      <c r="AD901" s="2" t="s">
        <v>35</v>
      </c>
      <c r="AE901" s="2" t="s">
        <v>2840</v>
      </c>
      <c r="AF901" s="11">
        <v>44762.350694444445</v>
      </c>
      <c r="AG901" s="53"/>
      <c r="AH901" s="53" t="b">
        <f t="shared" si="43"/>
        <v>0</v>
      </c>
      <c r="AI901" s="54" t="str" cm="1">
        <f t="array" ref="AI901">TRANSPOSE(_xlfn._xlws.FILTER(images!L:L,images!F:F=Barrierenmessung!A901, ""))</f>
        <v>https://captureandgo.cloudlab.zhaw.ch/uploads/image_0efc586d0b.jpg</v>
      </c>
      <c r="AJ901" s="2"/>
      <c r="AK901" s="2"/>
      <c r="AL901" s="2"/>
      <c r="AM901" s="2"/>
      <c r="AN901" s="2"/>
    </row>
    <row r="902" spans="1:40" ht="16" x14ac:dyDescent="0.2">
      <c r="A902" s="2" t="s">
        <v>2912</v>
      </c>
      <c r="B902" s="46">
        <v>901</v>
      </c>
      <c r="C902" s="2" t="b">
        <v>0</v>
      </c>
      <c r="D902" s="2" t="b">
        <v>0</v>
      </c>
      <c r="E902" s="2" t="b">
        <v>0</v>
      </c>
      <c r="F902" s="2" t="b">
        <v>0</v>
      </c>
      <c r="G902" s="2" t="s">
        <v>31</v>
      </c>
      <c r="H902" s="2" t="s">
        <v>2913</v>
      </c>
      <c r="I902" s="2" t="s">
        <v>2914</v>
      </c>
      <c r="J902" s="2" t="s">
        <v>35</v>
      </c>
      <c r="K902" s="2" t="s">
        <v>35</v>
      </c>
      <c r="L902" s="2" t="s">
        <v>35</v>
      </c>
      <c r="M902" s="2">
        <v>6</v>
      </c>
      <c r="N902" s="2">
        <v>14</v>
      </c>
      <c r="O902" s="11">
        <v>44762.369935092589</v>
      </c>
      <c r="P902" s="11">
        <v>44762.37028761574</v>
      </c>
      <c r="Q902" s="27">
        <f t="shared" si="42"/>
        <v>3.5252315137768164E-4</v>
      </c>
      <c r="R902" s="65">
        <f t="shared" si="44"/>
        <v>1.3184837953303941E-3</v>
      </c>
      <c r="S902" s="2">
        <v>0</v>
      </c>
      <c r="T902" s="2" t="s">
        <v>54</v>
      </c>
      <c r="U902" s="2" t="s">
        <v>55</v>
      </c>
      <c r="V902" s="2" t="s">
        <v>38</v>
      </c>
      <c r="W902" s="2" t="s">
        <v>35</v>
      </c>
      <c r="X902" s="2" t="s">
        <v>35</v>
      </c>
      <c r="Y902" s="2" t="s">
        <v>35</v>
      </c>
      <c r="Z902" s="2" t="b">
        <v>0</v>
      </c>
      <c r="AA902" s="2" t="s">
        <v>35</v>
      </c>
      <c r="AB902" s="2" t="s">
        <v>35</v>
      </c>
      <c r="AC902" s="2" t="s">
        <v>35</v>
      </c>
      <c r="AD902" s="2" t="s">
        <v>35</v>
      </c>
      <c r="AE902" s="2" t="s">
        <v>2840</v>
      </c>
      <c r="AF902" s="11">
        <v>44762.350694444445</v>
      </c>
      <c r="AG902" s="53"/>
      <c r="AH902" s="53" t="b">
        <f t="shared" si="43"/>
        <v>0</v>
      </c>
      <c r="AI902" s="54" t="str" cm="1">
        <f t="array" ref="AI902:AK902">TRANSPOSE(_xlfn._xlws.FILTER(images!L:L,images!F:F=Barrierenmessung!A902, ""))</f>
        <v>https://captureandgo.cloudlab.zhaw.ch/uploads/image_e8aa624bb6.jpg</v>
      </c>
      <c r="AJ902" s="2" t="str">
        <v>https://captureandgo.cloudlab.zhaw.ch/uploads/image_fba7a480b2.jpg</v>
      </c>
      <c r="AK902" s="2" t="str">
        <v>https://captureandgo.cloudlab.zhaw.ch/uploads/image_30024d99c0.jpg</v>
      </c>
      <c r="AL902" s="2"/>
      <c r="AM902" s="2"/>
      <c r="AN902" s="2"/>
    </row>
    <row r="903" spans="1:40" ht="16" x14ac:dyDescent="0.2">
      <c r="A903" s="2" t="s">
        <v>2915</v>
      </c>
      <c r="B903" s="46">
        <v>902</v>
      </c>
      <c r="C903" s="2" t="b">
        <v>0</v>
      </c>
      <c r="D903" s="2" t="b">
        <v>0</v>
      </c>
      <c r="E903" s="2" t="b">
        <v>0</v>
      </c>
      <c r="F903" s="2" t="b">
        <v>0</v>
      </c>
      <c r="G903" s="2" t="s">
        <v>31</v>
      </c>
      <c r="H903" s="2" t="s">
        <v>2916</v>
      </c>
      <c r="I903" s="2" t="s">
        <v>2917</v>
      </c>
      <c r="J903" s="2" t="s">
        <v>2214</v>
      </c>
      <c r="K903" s="2" t="s">
        <v>35</v>
      </c>
      <c r="L903" s="2" t="s">
        <v>35</v>
      </c>
      <c r="M903" s="2" t="s">
        <v>35</v>
      </c>
      <c r="N903" s="2" t="s">
        <v>35</v>
      </c>
      <c r="O903" s="11">
        <v>44762.370814074071</v>
      </c>
      <c r="P903" s="11">
        <v>44762.37114275463</v>
      </c>
      <c r="Q903" s="27">
        <f t="shared" si="42"/>
        <v>3.2868055859580636E-4</v>
      </c>
      <c r="R903" s="65">
        <f t="shared" si="44"/>
        <v>8.5513888916466385E-4</v>
      </c>
      <c r="S903" s="2">
        <v>0</v>
      </c>
      <c r="T903" s="2" t="s">
        <v>36</v>
      </c>
      <c r="U903" s="2" t="s">
        <v>37</v>
      </c>
      <c r="V903" s="2" t="s">
        <v>38</v>
      </c>
      <c r="W903" s="2" t="s">
        <v>35</v>
      </c>
      <c r="X903" s="2" t="s">
        <v>35</v>
      </c>
      <c r="Y903" s="2" t="s">
        <v>35</v>
      </c>
      <c r="Z903" s="2" t="b">
        <v>0</v>
      </c>
      <c r="AA903" s="2" t="s">
        <v>35</v>
      </c>
      <c r="AB903" s="2" t="s">
        <v>35</v>
      </c>
      <c r="AC903" s="2">
        <v>7</v>
      </c>
      <c r="AD903" s="2" t="s">
        <v>35</v>
      </c>
      <c r="AE903" s="2" t="s">
        <v>2840</v>
      </c>
      <c r="AF903" s="11">
        <v>44762.350694444445</v>
      </c>
      <c r="AG903" s="53"/>
      <c r="AH903" s="53" t="b">
        <f t="shared" si="43"/>
        <v>0</v>
      </c>
      <c r="AI903" s="54" t="str" cm="1">
        <f t="array" ref="AI903">TRANSPOSE(_xlfn._xlws.FILTER(images!L:L,images!F:F=Barrierenmessung!A903, ""))</f>
        <v>https://captureandgo.cloudlab.zhaw.ch/uploads/image_677a9f2b9e.jpg</v>
      </c>
      <c r="AJ903" s="2"/>
      <c r="AK903" s="2"/>
      <c r="AL903" s="2"/>
      <c r="AM903" s="2"/>
      <c r="AN903" s="2"/>
    </row>
    <row r="904" spans="1:40" ht="16" x14ac:dyDescent="0.2">
      <c r="A904" s="2" t="s">
        <v>2918</v>
      </c>
      <c r="B904" s="46">
        <v>903</v>
      </c>
      <c r="C904" s="2" t="b">
        <v>0</v>
      </c>
      <c r="D904" s="2" t="b">
        <v>0</v>
      </c>
      <c r="E904" s="2" t="b">
        <v>0</v>
      </c>
      <c r="F904" s="2" t="b">
        <v>0</v>
      </c>
      <c r="G904" s="2" t="s">
        <v>121</v>
      </c>
      <c r="H904" s="2" t="s">
        <v>2919</v>
      </c>
      <c r="I904" s="2" t="s">
        <v>2920</v>
      </c>
      <c r="J904" s="2" t="s">
        <v>35</v>
      </c>
      <c r="K904" s="2" t="s">
        <v>35</v>
      </c>
      <c r="L904" s="2" t="s">
        <v>35</v>
      </c>
      <c r="M904" s="2" t="s">
        <v>35</v>
      </c>
      <c r="N904" s="2" t="s">
        <v>35</v>
      </c>
      <c r="O904" s="11">
        <v>44762.371571724536</v>
      </c>
      <c r="P904" s="11">
        <v>44762.371746736113</v>
      </c>
      <c r="Q904" s="27">
        <f t="shared" si="42"/>
        <v>1.7501157708466053E-4</v>
      </c>
      <c r="R904" s="65">
        <f t="shared" si="44"/>
        <v>6.0398148343665525E-4</v>
      </c>
      <c r="S904" s="2">
        <v>0</v>
      </c>
      <c r="T904" s="2" t="s">
        <v>124</v>
      </c>
      <c r="U904" s="2" t="s">
        <v>125</v>
      </c>
      <c r="V904" s="2" t="s">
        <v>38</v>
      </c>
      <c r="W904" s="2" t="s">
        <v>35</v>
      </c>
      <c r="X904" s="2" t="s">
        <v>35</v>
      </c>
      <c r="Y904" s="2" t="s">
        <v>35</v>
      </c>
      <c r="Z904" s="2" t="b">
        <v>0</v>
      </c>
      <c r="AA904" s="2" t="s">
        <v>35</v>
      </c>
      <c r="AB904" s="2" t="s">
        <v>35</v>
      </c>
      <c r="AC904" s="2" t="s">
        <v>35</v>
      </c>
      <c r="AD904" s="2" t="s">
        <v>35</v>
      </c>
      <c r="AE904" s="2" t="s">
        <v>2840</v>
      </c>
      <c r="AF904" s="11">
        <v>44762.350694444445</v>
      </c>
      <c r="AG904" s="53"/>
      <c r="AH904" s="53" t="b">
        <f t="shared" si="43"/>
        <v>0</v>
      </c>
      <c r="AI904" s="54" t="str" cm="1">
        <f t="array" ref="AI904">TRANSPOSE(_xlfn._xlws.FILTER(images!L:L,images!F:F=Barrierenmessung!A904, ""))</f>
        <v>https://captureandgo.cloudlab.zhaw.ch/uploads/image_7f7592d84e.jpg</v>
      </c>
      <c r="AJ904" s="2"/>
      <c r="AK904" s="2"/>
      <c r="AL904" s="2"/>
      <c r="AM904" s="2"/>
      <c r="AN904" s="2"/>
    </row>
    <row r="905" spans="1:40" ht="16" x14ac:dyDescent="0.2">
      <c r="A905" s="2" t="s">
        <v>2921</v>
      </c>
      <c r="B905" s="46">
        <v>904</v>
      </c>
      <c r="C905" s="2" t="b">
        <v>0</v>
      </c>
      <c r="D905" s="2" t="b">
        <v>0</v>
      </c>
      <c r="E905" s="2" t="b">
        <v>0</v>
      </c>
      <c r="F905" s="2" t="b">
        <v>0</v>
      </c>
      <c r="G905" s="2" t="s">
        <v>31</v>
      </c>
      <c r="H905" s="2" t="s">
        <v>2922</v>
      </c>
      <c r="I905" s="2" t="s">
        <v>2923</v>
      </c>
      <c r="J905" s="2" t="s">
        <v>35</v>
      </c>
      <c r="K905" s="2" t="s">
        <v>35</v>
      </c>
      <c r="L905" s="2" t="s">
        <v>35</v>
      </c>
      <c r="M905" s="2">
        <v>14</v>
      </c>
      <c r="N905" s="2">
        <v>15</v>
      </c>
      <c r="O905" s="11">
        <v>44762.373587546295</v>
      </c>
      <c r="P905" s="11">
        <v>44762.373815787039</v>
      </c>
      <c r="Q905" s="27">
        <f t="shared" si="42"/>
        <v>2.2824074403615668E-4</v>
      </c>
      <c r="R905" s="65">
        <f t="shared" si="44"/>
        <v>2.0690509263658896E-3</v>
      </c>
      <c r="S905" s="2">
        <v>0</v>
      </c>
      <c r="T905" s="2" t="s">
        <v>54</v>
      </c>
      <c r="U905" s="2" t="s">
        <v>55</v>
      </c>
      <c r="V905" s="2" t="s">
        <v>38</v>
      </c>
      <c r="W905" s="2" t="s">
        <v>35</v>
      </c>
      <c r="X905" s="2" t="s">
        <v>35</v>
      </c>
      <c r="Y905" s="2" t="s">
        <v>35</v>
      </c>
      <c r="Z905" s="2" t="b">
        <v>0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2" t="s">
        <v>2840</v>
      </c>
      <c r="AF905" s="11">
        <v>44762.350694444445</v>
      </c>
      <c r="AG905" s="53"/>
      <c r="AH905" s="53" t="b">
        <f t="shared" si="43"/>
        <v>0</v>
      </c>
      <c r="AI905" s="54" t="str" cm="1">
        <f t="array" ref="AI905">TRANSPOSE(_xlfn._xlws.FILTER(images!L:L,images!F:F=Barrierenmessung!A905, ""))</f>
        <v>https://captureandgo.cloudlab.zhaw.ch/uploads/image_5bd0152067.jpg</v>
      </c>
      <c r="AJ905" s="2"/>
      <c r="AK905" s="2"/>
      <c r="AL905" s="2"/>
      <c r="AM905" s="2"/>
      <c r="AN905" s="2"/>
    </row>
    <row r="906" spans="1:40" ht="16" x14ac:dyDescent="0.2">
      <c r="A906" s="2" t="s">
        <v>2924</v>
      </c>
      <c r="B906" s="46">
        <v>905</v>
      </c>
      <c r="C906" s="2" t="b">
        <v>0</v>
      </c>
      <c r="D906" s="2" t="b">
        <v>0</v>
      </c>
      <c r="E906" s="2" t="b">
        <v>0</v>
      </c>
      <c r="F906" s="2" t="b">
        <v>0</v>
      </c>
      <c r="G906" s="2" t="s">
        <v>31</v>
      </c>
      <c r="H906" s="2" t="s">
        <v>2925</v>
      </c>
      <c r="I906" s="2" t="s">
        <v>2926</v>
      </c>
      <c r="J906" s="2" t="s">
        <v>2214</v>
      </c>
      <c r="K906" s="2" t="s">
        <v>35</v>
      </c>
      <c r="L906" s="2" t="s">
        <v>35</v>
      </c>
      <c r="M906" s="2" t="s">
        <v>35</v>
      </c>
      <c r="N906" s="2" t="s">
        <v>35</v>
      </c>
      <c r="O906" s="11">
        <v>44762.37396070602</v>
      </c>
      <c r="P906" s="11">
        <v>44762.374158287035</v>
      </c>
      <c r="Q906" s="27">
        <f t="shared" si="42"/>
        <v>1.9758101552724838E-4</v>
      </c>
      <c r="R906" s="65">
        <f t="shared" si="44"/>
        <v>3.4249999589519575E-4</v>
      </c>
      <c r="S906" s="2">
        <v>0</v>
      </c>
      <c r="T906" s="2" t="s">
        <v>36</v>
      </c>
      <c r="U906" s="2" t="s">
        <v>37</v>
      </c>
      <c r="V906" s="2" t="s">
        <v>38</v>
      </c>
      <c r="W906" s="2" t="s">
        <v>35</v>
      </c>
      <c r="X906" s="2" t="s">
        <v>35</v>
      </c>
      <c r="Y906" s="2" t="s">
        <v>35</v>
      </c>
      <c r="Z906" s="2" t="b">
        <v>0</v>
      </c>
      <c r="AA906" s="2" t="s">
        <v>35</v>
      </c>
      <c r="AB906" s="2" t="s">
        <v>35</v>
      </c>
      <c r="AC906" s="2">
        <v>5</v>
      </c>
      <c r="AD906" s="2" t="s">
        <v>35</v>
      </c>
      <c r="AE906" s="2" t="s">
        <v>2840</v>
      </c>
      <c r="AF906" s="11">
        <v>44762.350694444445</v>
      </c>
      <c r="AG906" s="53"/>
      <c r="AH906" s="53" t="b">
        <f t="shared" si="43"/>
        <v>0</v>
      </c>
      <c r="AI906" s="54" t="str" cm="1">
        <f t="array" ref="AI906">TRANSPOSE(_xlfn._xlws.FILTER(images!L:L,images!F:F=Barrierenmessung!A906, ""))</f>
        <v>https://captureandgo.cloudlab.zhaw.ch/uploads/image_06e1731d02.jpg</v>
      </c>
      <c r="AJ906" s="2"/>
      <c r="AK906" s="2"/>
      <c r="AL906" s="2"/>
      <c r="AM906" s="2"/>
      <c r="AN906" s="2"/>
    </row>
    <row r="907" spans="1:40" ht="16" x14ac:dyDescent="0.2">
      <c r="A907" s="2" t="s">
        <v>2927</v>
      </c>
      <c r="B907" s="46">
        <v>906</v>
      </c>
      <c r="C907" s="2" t="b">
        <v>0</v>
      </c>
      <c r="D907" s="2" t="b">
        <v>0</v>
      </c>
      <c r="E907" s="2" t="b">
        <v>0</v>
      </c>
      <c r="F907" s="2" t="b">
        <v>0</v>
      </c>
      <c r="G907" s="2" t="s">
        <v>31</v>
      </c>
      <c r="H907" s="2" t="s">
        <v>2928</v>
      </c>
      <c r="I907" s="2" t="s">
        <v>2929</v>
      </c>
      <c r="J907" s="2" t="s">
        <v>35</v>
      </c>
      <c r="K907" s="2" t="s">
        <v>35</v>
      </c>
      <c r="L907" s="2" t="s">
        <v>35</v>
      </c>
      <c r="M907" s="2" t="s">
        <v>35</v>
      </c>
      <c r="N907" s="2" t="s">
        <v>35</v>
      </c>
      <c r="O907" s="11">
        <v>44762.374608020837</v>
      </c>
      <c r="P907" s="11">
        <v>44762.374838761571</v>
      </c>
      <c r="Q907" s="27">
        <f t="shared" si="42"/>
        <v>2.3074073396855965E-4</v>
      </c>
      <c r="R907" s="65">
        <f t="shared" si="44"/>
        <v>6.8047453532926738E-4</v>
      </c>
      <c r="S907" s="2">
        <v>0</v>
      </c>
      <c r="T907" s="2" t="s">
        <v>36</v>
      </c>
      <c r="U907" s="2" t="s">
        <v>37</v>
      </c>
      <c r="V907" s="2" t="s">
        <v>38</v>
      </c>
      <c r="W907" s="2" t="s">
        <v>35</v>
      </c>
      <c r="X907" s="2" t="s">
        <v>35</v>
      </c>
      <c r="Y907" s="2" t="s">
        <v>35</v>
      </c>
      <c r="Z907" s="2" t="b">
        <v>0</v>
      </c>
      <c r="AA907" s="2" t="s">
        <v>35</v>
      </c>
      <c r="AB907" s="2" t="s">
        <v>35</v>
      </c>
      <c r="AC907" s="2" t="s">
        <v>35</v>
      </c>
      <c r="AD907" s="2">
        <v>2</v>
      </c>
      <c r="AE907" s="2" t="s">
        <v>2840</v>
      </c>
      <c r="AF907" s="11">
        <v>44762.350694444445</v>
      </c>
      <c r="AG907" s="53"/>
      <c r="AH907" s="53" t="b">
        <f t="shared" si="43"/>
        <v>0</v>
      </c>
      <c r="AI907" s="54" t="str" cm="1">
        <f t="array" ref="AI907">TRANSPOSE(_xlfn._xlws.FILTER(images!L:L,images!F:F=Barrierenmessung!A907, ""))</f>
        <v>https://captureandgo.cloudlab.zhaw.ch/uploads/image_2f12426689.jpg</v>
      </c>
      <c r="AJ907" s="2"/>
      <c r="AK907" s="2"/>
      <c r="AL907" s="2"/>
      <c r="AM907" s="2"/>
      <c r="AN907" s="2"/>
    </row>
    <row r="908" spans="1:40" ht="16" x14ac:dyDescent="0.2">
      <c r="A908" s="2" t="s">
        <v>2930</v>
      </c>
      <c r="B908" s="46">
        <v>907</v>
      </c>
      <c r="C908" s="2" t="b">
        <v>0</v>
      </c>
      <c r="D908" s="2" t="b">
        <v>0</v>
      </c>
      <c r="E908" s="2" t="b">
        <v>0</v>
      </c>
      <c r="F908" s="2" t="b">
        <v>0</v>
      </c>
      <c r="G908" s="2" t="s">
        <v>31</v>
      </c>
      <c r="H908" s="2" t="s">
        <v>2931</v>
      </c>
      <c r="I908" s="2" t="s">
        <v>2932</v>
      </c>
      <c r="J908" s="2" t="s">
        <v>35</v>
      </c>
      <c r="K908" s="2" t="s">
        <v>35</v>
      </c>
      <c r="L908" s="2" t="s">
        <v>35</v>
      </c>
      <c r="M908" s="2" t="s">
        <v>35</v>
      </c>
      <c r="N908" s="2" t="s">
        <v>35</v>
      </c>
      <c r="O908" s="11">
        <v>44762.375641944447</v>
      </c>
      <c r="P908" s="11">
        <v>44762.37615708333</v>
      </c>
      <c r="Q908" s="27">
        <f t="shared" si="42"/>
        <v>5.1513888320187107E-4</v>
      </c>
      <c r="R908" s="65">
        <f t="shared" si="44"/>
        <v>1.3183217597543262E-3</v>
      </c>
      <c r="S908" s="2">
        <v>0</v>
      </c>
      <c r="T908" s="2" t="s">
        <v>36</v>
      </c>
      <c r="U908" s="2" t="s">
        <v>37</v>
      </c>
      <c r="V908" s="2" t="s">
        <v>38</v>
      </c>
      <c r="W908" s="2" t="s">
        <v>35</v>
      </c>
      <c r="X908" s="2" t="s">
        <v>35</v>
      </c>
      <c r="Y908" s="2" t="s">
        <v>35</v>
      </c>
      <c r="Z908" s="2" t="b">
        <v>0</v>
      </c>
      <c r="AA908" s="2" t="s">
        <v>2933</v>
      </c>
      <c r="AB908" s="2" t="s">
        <v>35</v>
      </c>
      <c r="AC908" s="2" t="s">
        <v>35</v>
      </c>
      <c r="AD908" s="2" t="s">
        <v>35</v>
      </c>
      <c r="AE908" s="2" t="s">
        <v>2840</v>
      </c>
      <c r="AF908" s="11">
        <v>44762.350694444445</v>
      </c>
      <c r="AG908" s="53"/>
      <c r="AH908" s="53" t="b">
        <f t="shared" si="43"/>
        <v>0</v>
      </c>
      <c r="AI908" s="54" t="str" cm="1">
        <f t="array" ref="AI908">TRANSPOSE(_xlfn._xlws.FILTER(images!L:L,images!F:F=Barrierenmessung!A908, ""))</f>
        <v>https://captureandgo.cloudlab.zhaw.ch/uploads/image_b88ad7bba1.jpg</v>
      </c>
      <c r="AJ908" s="2"/>
      <c r="AK908" s="2"/>
      <c r="AL908" s="2"/>
      <c r="AM908" s="2"/>
      <c r="AN908" s="2"/>
    </row>
    <row r="909" spans="1:40" ht="16" x14ac:dyDescent="0.2">
      <c r="A909" s="2" t="s">
        <v>2934</v>
      </c>
      <c r="B909" s="46">
        <v>908</v>
      </c>
      <c r="C909" s="2" t="b">
        <v>0</v>
      </c>
      <c r="D909" s="2" t="b">
        <v>0</v>
      </c>
      <c r="E909" s="2" t="b">
        <v>0</v>
      </c>
      <c r="F909" s="2" t="b">
        <v>0</v>
      </c>
      <c r="G909" s="2" t="s">
        <v>31</v>
      </c>
      <c r="H909" s="2" t="s">
        <v>2935</v>
      </c>
      <c r="I909" s="2" t="s">
        <v>2936</v>
      </c>
      <c r="J909" s="2" t="s">
        <v>35</v>
      </c>
      <c r="K909" s="2" t="s">
        <v>35</v>
      </c>
      <c r="L909" s="2" t="s">
        <v>35</v>
      </c>
      <c r="M909" s="2" t="s">
        <v>35</v>
      </c>
      <c r="N909" s="2" t="s">
        <v>35</v>
      </c>
      <c r="O909" s="11">
        <v>44762.376797013887</v>
      </c>
      <c r="P909" s="11">
        <v>44762.377138773147</v>
      </c>
      <c r="Q909" s="27">
        <f t="shared" si="42"/>
        <v>3.4175925975432619E-4</v>
      </c>
      <c r="R909" s="65">
        <f t="shared" si="44"/>
        <v>9.8168981639901176E-4</v>
      </c>
      <c r="S909" s="2">
        <v>0</v>
      </c>
      <c r="T909" s="2" t="s">
        <v>36</v>
      </c>
      <c r="U909" s="2" t="s">
        <v>37</v>
      </c>
      <c r="V909" s="2" t="s">
        <v>38</v>
      </c>
      <c r="W909" s="2" t="s">
        <v>35</v>
      </c>
      <c r="X909" s="2" t="s">
        <v>35</v>
      </c>
      <c r="Y909" s="2" t="s">
        <v>35</v>
      </c>
      <c r="Z909" s="2" t="b">
        <v>0</v>
      </c>
      <c r="AA909" s="2" t="s">
        <v>35</v>
      </c>
      <c r="AB909" s="2" t="s">
        <v>35</v>
      </c>
      <c r="AC909" s="2" t="s">
        <v>35</v>
      </c>
      <c r="AD909" s="2">
        <v>2</v>
      </c>
      <c r="AE909" s="2" t="s">
        <v>2840</v>
      </c>
      <c r="AF909" s="11">
        <v>44762.350694444445</v>
      </c>
      <c r="AG909" s="53"/>
      <c r="AH909" s="53" t="b">
        <f t="shared" si="43"/>
        <v>0</v>
      </c>
      <c r="AI909" s="54" t="str" cm="1">
        <f t="array" ref="AI909:AL909">TRANSPOSE(_xlfn._xlws.FILTER(images!L:L,images!F:F=Barrierenmessung!A909, ""))</f>
        <v>https://captureandgo.cloudlab.zhaw.ch/uploads/image_6f71883ac6.jpg</v>
      </c>
      <c r="AJ909" s="2" t="str">
        <v>https://captureandgo.cloudlab.zhaw.ch/uploads/image_670cdb7f21.jpg</v>
      </c>
      <c r="AK909" s="2" t="str">
        <v>https://captureandgo.cloudlab.zhaw.ch/uploads/image_09415f0ad3.jpg</v>
      </c>
      <c r="AL909" s="2" t="str">
        <v>https://captureandgo.cloudlab.zhaw.ch/uploads/image_52ec0d7b08.jpg</v>
      </c>
      <c r="AM909" s="2"/>
      <c r="AN909" s="2"/>
    </row>
    <row r="910" spans="1:40" ht="16" x14ac:dyDescent="0.2">
      <c r="A910" s="2" t="s">
        <v>2937</v>
      </c>
      <c r="B910" s="46">
        <v>909</v>
      </c>
      <c r="C910" s="2" t="b">
        <v>0</v>
      </c>
      <c r="D910" s="2" t="b">
        <v>0</v>
      </c>
      <c r="E910" s="2" t="b">
        <v>0</v>
      </c>
      <c r="F910" s="2" t="b">
        <v>0</v>
      </c>
      <c r="G910" s="2" t="s">
        <v>31</v>
      </c>
      <c r="H910" s="2" t="s">
        <v>2938</v>
      </c>
      <c r="I910" s="2" t="s">
        <v>2939</v>
      </c>
      <c r="J910" s="2" t="s">
        <v>35</v>
      </c>
      <c r="K910" s="2" t="s">
        <v>35</v>
      </c>
      <c r="L910" s="2" t="s">
        <v>35</v>
      </c>
      <c r="M910" s="2" t="s">
        <v>35</v>
      </c>
      <c r="N910" s="2" t="s">
        <v>35</v>
      </c>
      <c r="O910" s="11">
        <v>44762.377307546296</v>
      </c>
      <c r="P910" s="11">
        <v>44762.377501354167</v>
      </c>
      <c r="Q910" s="27">
        <f t="shared" si="42"/>
        <v>1.9380787125555798E-4</v>
      </c>
      <c r="R910" s="65">
        <f t="shared" si="44"/>
        <v>3.625810204539448E-4</v>
      </c>
      <c r="S910" s="2">
        <v>0</v>
      </c>
      <c r="T910" s="2" t="s">
        <v>36</v>
      </c>
      <c r="U910" s="2" t="s">
        <v>37</v>
      </c>
      <c r="V910" s="2" t="s">
        <v>38</v>
      </c>
      <c r="W910" s="2" t="s">
        <v>35</v>
      </c>
      <c r="X910" s="2" t="s">
        <v>35</v>
      </c>
      <c r="Y910" s="2" t="s">
        <v>35</v>
      </c>
      <c r="Z910" s="2" t="b">
        <v>0</v>
      </c>
      <c r="AA910" s="2" t="s">
        <v>35</v>
      </c>
      <c r="AB910" s="2" t="s">
        <v>35</v>
      </c>
      <c r="AC910" s="2" t="s">
        <v>35</v>
      </c>
      <c r="AD910" s="2">
        <v>2</v>
      </c>
      <c r="AE910" s="2" t="s">
        <v>2840</v>
      </c>
      <c r="AF910" s="11">
        <v>44762.350694444445</v>
      </c>
      <c r="AG910" s="53"/>
      <c r="AH910" s="53" t="b">
        <f t="shared" si="43"/>
        <v>0</v>
      </c>
      <c r="AI910" s="54" t="str" cm="1">
        <f t="array" ref="AI910">TRANSPOSE(_xlfn._xlws.FILTER(images!L:L,images!F:F=Barrierenmessung!A910, ""))</f>
        <v>https://captureandgo.cloudlab.zhaw.ch/uploads/image_24906163fb.jpg</v>
      </c>
      <c r="AJ910" s="2"/>
      <c r="AK910" s="2"/>
      <c r="AL910" s="2"/>
      <c r="AM910" s="2"/>
      <c r="AN910" s="2"/>
    </row>
    <row r="911" spans="1:40" ht="16" x14ac:dyDescent="0.2">
      <c r="A911" s="2" t="s">
        <v>2940</v>
      </c>
      <c r="B911" s="46">
        <v>910</v>
      </c>
      <c r="C911" s="2" t="b">
        <v>0</v>
      </c>
      <c r="D911" s="2" t="b">
        <v>0</v>
      </c>
      <c r="E911" s="2" t="b">
        <v>0</v>
      </c>
      <c r="F911" s="2" t="b">
        <v>0</v>
      </c>
      <c r="G911" s="2" t="s">
        <v>31</v>
      </c>
      <c r="H911" s="2" t="s">
        <v>2941</v>
      </c>
      <c r="I911" s="2" t="s">
        <v>2942</v>
      </c>
      <c r="J911" s="2" t="s">
        <v>35</v>
      </c>
      <c r="K911" s="2" t="s">
        <v>35</v>
      </c>
      <c r="L911" s="2" t="s">
        <v>35</v>
      </c>
      <c r="M911" s="2" t="s">
        <v>35</v>
      </c>
      <c r="N911" s="2" t="s">
        <v>35</v>
      </c>
      <c r="O911" s="11">
        <v>44762.378564872684</v>
      </c>
      <c r="P911" s="11">
        <v>44762.37869056713</v>
      </c>
      <c r="Q911" s="27">
        <f t="shared" si="42"/>
        <v>1.2569444515975192E-4</v>
      </c>
      <c r="R911" s="65">
        <f t="shared" si="44"/>
        <v>1.1892129623447545E-3</v>
      </c>
      <c r="S911" s="2">
        <v>0</v>
      </c>
      <c r="T911" s="2" t="s">
        <v>36</v>
      </c>
      <c r="U911" s="2" t="s">
        <v>37</v>
      </c>
      <c r="V911" s="2" t="s">
        <v>38</v>
      </c>
      <c r="W911" s="2" t="s">
        <v>35</v>
      </c>
      <c r="X911" s="2" t="s">
        <v>35</v>
      </c>
      <c r="Y911" s="2" t="s">
        <v>35</v>
      </c>
      <c r="Z911" s="2" t="b">
        <v>0</v>
      </c>
      <c r="AA911" s="2" t="s">
        <v>35</v>
      </c>
      <c r="AB911" s="2" t="s">
        <v>35</v>
      </c>
      <c r="AC911" s="2" t="s">
        <v>35</v>
      </c>
      <c r="AD911" s="2">
        <v>3</v>
      </c>
      <c r="AE911" s="2" t="s">
        <v>2840</v>
      </c>
      <c r="AF911" s="11">
        <v>44762.350694444445</v>
      </c>
      <c r="AG911" s="53"/>
      <c r="AH911" s="53" t="b">
        <f t="shared" si="43"/>
        <v>0</v>
      </c>
      <c r="AI911" s="54" t="str" cm="1">
        <f t="array" ref="AI911">TRANSPOSE(_xlfn._xlws.FILTER(images!L:L,images!F:F=Barrierenmessung!A911, ""))</f>
        <v>https://captureandgo.cloudlab.zhaw.ch/uploads/image_460847880a.jpg</v>
      </c>
      <c r="AJ911" s="2"/>
      <c r="AK911" s="2"/>
      <c r="AL911" s="2"/>
      <c r="AM911" s="2"/>
      <c r="AN911" s="2"/>
    </row>
    <row r="912" spans="1:40" ht="16" x14ac:dyDescent="0.2">
      <c r="A912" s="4" t="s">
        <v>2943</v>
      </c>
      <c r="B912" s="4">
        <v>911</v>
      </c>
      <c r="C912" s="4" t="b">
        <v>0</v>
      </c>
      <c r="D912" s="4" t="b">
        <v>0</v>
      </c>
      <c r="E912" s="4" t="b">
        <v>0</v>
      </c>
      <c r="F912" s="4" t="b">
        <v>0</v>
      </c>
      <c r="G912" s="4" t="s">
        <v>121</v>
      </c>
      <c r="H912" s="68" t="s">
        <v>149</v>
      </c>
      <c r="I912" s="4" t="s">
        <v>2944</v>
      </c>
      <c r="J912" s="4" t="s">
        <v>35</v>
      </c>
      <c r="K912" s="4" t="s">
        <v>35</v>
      </c>
      <c r="L912" s="4" t="s">
        <v>35</v>
      </c>
      <c r="M912" s="4" t="s">
        <v>35</v>
      </c>
      <c r="N912" s="4" t="s">
        <v>35</v>
      </c>
      <c r="O912" s="13">
        <v>44762.380661388888</v>
      </c>
      <c r="P912" s="13">
        <v>44762.380661747688</v>
      </c>
      <c r="Q912" s="15">
        <f t="shared" si="42"/>
        <v>3.5879929782822728E-7</v>
      </c>
      <c r="R912" s="15">
        <f t="shared" si="44"/>
        <v>1.9711805580300279E-3</v>
      </c>
      <c r="S912" s="4">
        <v>0</v>
      </c>
      <c r="T912" s="4" t="s">
        <v>36</v>
      </c>
      <c r="U912" s="4" t="s">
        <v>37</v>
      </c>
      <c r="V912" s="4" t="s">
        <v>38</v>
      </c>
      <c r="W912" s="4" t="s">
        <v>35</v>
      </c>
      <c r="X912" s="4" t="s">
        <v>35</v>
      </c>
      <c r="Y912" s="4" t="s">
        <v>35</v>
      </c>
      <c r="Z912" s="4" t="b">
        <v>0</v>
      </c>
      <c r="AA912" s="4" t="s">
        <v>35</v>
      </c>
      <c r="AB912" s="4" t="s">
        <v>35</v>
      </c>
      <c r="AC912" s="4" t="s">
        <v>35</v>
      </c>
      <c r="AD912" s="4">
        <v>2</v>
      </c>
      <c r="AE912" s="4" t="s">
        <v>2840</v>
      </c>
      <c r="AF912" s="13">
        <v>44762.350694444445</v>
      </c>
      <c r="AG912" s="58"/>
      <c r="AH912" s="58" t="str">
        <f t="shared" si="43"/>
        <v>TRUE</v>
      </c>
      <c r="AI912" s="56" t="s">
        <v>9484</v>
      </c>
      <c r="AJ912" s="4"/>
      <c r="AK912" s="4"/>
      <c r="AL912" s="4"/>
      <c r="AM912" s="4"/>
      <c r="AN912" s="4"/>
    </row>
    <row r="913" spans="1:40" ht="16" x14ac:dyDescent="0.2">
      <c r="A913" s="46" t="s">
        <v>2945</v>
      </c>
      <c r="B913" s="46">
        <v>912</v>
      </c>
      <c r="C913" s="46" t="b">
        <v>0</v>
      </c>
      <c r="D913" s="46" t="b">
        <v>0</v>
      </c>
      <c r="E913" s="46" t="b">
        <v>0</v>
      </c>
      <c r="F913" s="46" t="b">
        <v>0</v>
      </c>
      <c r="G913" s="46" t="s">
        <v>31</v>
      </c>
      <c r="H913" s="46" t="s">
        <v>2946</v>
      </c>
      <c r="I913" s="46" t="s">
        <v>2947</v>
      </c>
      <c r="J913" s="46" t="s">
        <v>675</v>
      </c>
      <c r="K913" s="46" t="s">
        <v>35</v>
      </c>
      <c r="L913" s="46" t="s">
        <v>35</v>
      </c>
      <c r="M913" s="46" t="s">
        <v>35</v>
      </c>
      <c r="N913" s="46" t="s">
        <v>35</v>
      </c>
      <c r="O913" s="66">
        <v>44762.380661597221</v>
      </c>
      <c r="P913" s="66">
        <v>44762.382099756942</v>
      </c>
      <c r="Q913" s="65">
        <f t="shared" si="42"/>
        <v>1.4381597211468033E-3</v>
      </c>
      <c r="R913" s="65">
        <f t="shared" si="44"/>
        <v>1.438009254343342E-3</v>
      </c>
      <c r="S913" s="46">
        <v>0</v>
      </c>
      <c r="T913" s="46" t="s">
        <v>124</v>
      </c>
      <c r="U913" s="46" t="s">
        <v>125</v>
      </c>
      <c r="V913" s="46" t="s">
        <v>38</v>
      </c>
      <c r="W913" s="46" t="s">
        <v>35</v>
      </c>
      <c r="X913" s="46" t="s">
        <v>35</v>
      </c>
      <c r="Y913" s="46" t="s">
        <v>35</v>
      </c>
      <c r="Z913" s="46" t="b">
        <v>0</v>
      </c>
      <c r="AA913" s="46" t="s">
        <v>35</v>
      </c>
      <c r="AB913" s="46">
        <v>4</v>
      </c>
      <c r="AC913" s="46" t="s">
        <v>35</v>
      </c>
      <c r="AD913" s="46">
        <v>2</v>
      </c>
      <c r="AE913" s="46" t="s">
        <v>2840</v>
      </c>
      <c r="AF913" s="66">
        <v>44762.350694444445</v>
      </c>
      <c r="AG913" s="67"/>
      <c r="AH913" s="53" t="b">
        <f t="shared" si="43"/>
        <v>0</v>
      </c>
      <c r="AI913" s="73" t="str" cm="1">
        <f t="array" ref="AI913">TRANSPOSE(_xlfn._xlws.FILTER(images!L:L,images!F:F=Barrierenmessung!A913, ""))</f>
        <v>https://captureandgo.cloudlab.zhaw.ch/uploads/image_ba30abf8e8.jpg</v>
      </c>
      <c r="AJ913" s="46"/>
      <c r="AK913" s="46"/>
      <c r="AL913" s="46"/>
      <c r="AM913" s="46"/>
      <c r="AN913" s="46"/>
    </row>
    <row r="914" spans="1:40" ht="16" x14ac:dyDescent="0.2">
      <c r="A914" s="2" t="s">
        <v>2948</v>
      </c>
      <c r="B914" s="46">
        <v>913</v>
      </c>
      <c r="C914" s="2" t="b">
        <v>0</v>
      </c>
      <c r="D914" s="2" t="b">
        <v>0</v>
      </c>
      <c r="E914" s="2" t="b">
        <v>0</v>
      </c>
      <c r="F914" s="2" t="b">
        <v>0</v>
      </c>
      <c r="G914" s="2" t="s">
        <v>31</v>
      </c>
      <c r="H914" s="2" t="s">
        <v>2949</v>
      </c>
      <c r="I914" s="2" t="s">
        <v>2950</v>
      </c>
      <c r="J914" s="2" t="s">
        <v>2951</v>
      </c>
      <c r="K914" s="2" t="s">
        <v>35</v>
      </c>
      <c r="L914" s="2" t="s">
        <v>35</v>
      </c>
      <c r="M914" s="2" t="s">
        <v>35</v>
      </c>
      <c r="N914" s="2" t="s">
        <v>35</v>
      </c>
      <c r="O914" s="11">
        <v>44762.382815787038</v>
      </c>
      <c r="P914" s="11">
        <v>44762.38347940972</v>
      </c>
      <c r="Q914" s="27">
        <f t="shared" si="42"/>
        <v>6.6362268262309954E-4</v>
      </c>
      <c r="R914" s="65">
        <f t="shared" si="44"/>
        <v>1.3796527782687917E-3</v>
      </c>
      <c r="S914" s="2">
        <v>0</v>
      </c>
      <c r="T914" s="2" t="s">
        <v>416</v>
      </c>
      <c r="U914" s="2" t="s">
        <v>417</v>
      </c>
      <c r="V914" s="2" t="s">
        <v>38</v>
      </c>
      <c r="W914" s="2" t="s">
        <v>35</v>
      </c>
      <c r="X914" s="2">
        <v>120</v>
      </c>
      <c r="Y914" s="2" t="s">
        <v>2952</v>
      </c>
      <c r="Z914" s="2" t="b">
        <v>0</v>
      </c>
      <c r="AA914" s="2" t="s">
        <v>35</v>
      </c>
      <c r="AB914" s="2" t="s">
        <v>35</v>
      </c>
      <c r="AC914" s="2" t="s">
        <v>35</v>
      </c>
      <c r="AD914" s="2" t="s">
        <v>35</v>
      </c>
      <c r="AE914" s="2" t="s">
        <v>2840</v>
      </c>
      <c r="AF914" s="11">
        <v>44762.350694444445</v>
      </c>
      <c r="AG914" s="53"/>
      <c r="AH914" s="53" t="b">
        <f t="shared" si="43"/>
        <v>0</v>
      </c>
      <c r="AI914" s="54" t="str" cm="1">
        <f t="array" ref="AI914">TRANSPOSE(_xlfn._xlws.FILTER(images!L:L,images!F:F=Barrierenmessung!A914, ""))</f>
        <v>https://captureandgo.cloudlab.zhaw.ch/uploads/image_88bcb614a2.jpg</v>
      </c>
      <c r="AJ914" s="2"/>
      <c r="AK914" s="2"/>
      <c r="AL914" s="2"/>
      <c r="AM914" s="2"/>
      <c r="AN914" s="2"/>
    </row>
    <row r="915" spans="1:40" ht="16" x14ac:dyDescent="0.2">
      <c r="A915" s="2" t="s">
        <v>2953</v>
      </c>
      <c r="B915" s="46">
        <v>914</v>
      </c>
      <c r="C915" s="2" t="b">
        <v>0</v>
      </c>
      <c r="D915" s="2" t="b">
        <v>0</v>
      </c>
      <c r="E915" s="2" t="b">
        <v>0</v>
      </c>
      <c r="F915" s="2" t="b">
        <v>0</v>
      </c>
      <c r="G915" s="2" t="s">
        <v>31</v>
      </c>
      <c r="H915" s="2" t="s">
        <v>2954</v>
      </c>
      <c r="I915" s="2" t="s">
        <v>2955</v>
      </c>
      <c r="J915" s="2" t="s">
        <v>2951</v>
      </c>
      <c r="K915" s="2" t="s">
        <v>35</v>
      </c>
      <c r="L915" s="2" t="s">
        <v>35</v>
      </c>
      <c r="M915" s="2" t="s">
        <v>35</v>
      </c>
      <c r="N915" s="2" t="s">
        <v>35</v>
      </c>
      <c r="O915" s="11">
        <v>44762.383944386573</v>
      </c>
      <c r="P915" s="11">
        <v>44762.384164340277</v>
      </c>
      <c r="Q915" s="27">
        <f t="shared" si="42"/>
        <v>2.199537047999911E-4</v>
      </c>
      <c r="R915" s="65">
        <f t="shared" si="44"/>
        <v>6.8493055732687935E-4</v>
      </c>
      <c r="S915" s="2">
        <v>0</v>
      </c>
      <c r="T915" s="2" t="s">
        <v>416</v>
      </c>
      <c r="U915" s="2" t="s">
        <v>417</v>
      </c>
      <c r="V915" s="2" t="s">
        <v>38</v>
      </c>
      <c r="W915" s="2" t="s">
        <v>35</v>
      </c>
      <c r="X915" s="2">
        <v>120</v>
      </c>
      <c r="Y915" s="2" t="s">
        <v>35</v>
      </c>
      <c r="Z915" s="2" t="b">
        <v>0</v>
      </c>
      <c r="AA915" s="2" t="s">
        <v>35</v>
      </c>
      <c r="AB915" s="2" t="s">
        <v>35</v>
      </c>
      <c r="AC915" s="2" t="s">
        <v>35</v>
      </c>
      <c r="AD915" s="2" t="s">
        <v>35</v>
      </c>
      <c r="AE915" s="2" t="s">
        <v>2840</v>
      </c>
      <c r="AF915" s="11">
        <v>44762.350694444445</v>
      </c>
      <c r="AG915" s="53"/>
      <c r="AH915" s="53" t="b">
        <f t="shared" si="43"/>
        <v>0</v>
      </c>
      <c r="AI915" s="54" t="str" cm="1">
        <f t="array" ref="AI915">TRANSPOSE(_xlfn._xlws.FILTER(images!L:L,images!F:F=Barrierenmessung!A915, ""))</f>
        <v>https://captureandgo.cloudlab.zhaw.ch/uploads/image_121b19a0d5.jpg</v>
      </c>
      <c r="AJ915" s="2"/>
      <c r="AK915" s="2"/>
      <c r="AL915" s="2"/>
      <c r="AM915" s="2"/>
      <c r="AN915" s="2"/>
    </row>
    <row r="916" spans="1:40" ht="16" x14ac:dyDescent="0.2">
      <c r="A916" s="2" t="s">
        <v>2956</v>
      </c>
      <c r="B916" s="46">
        <v>915</v>
      </c>
      <c r="C916" s="2" t="b">
        <v>0</v>
      </c>
      <c r="D916" s="2" t="b">
        <v>0</v>
      </c>
      <c r="E916" s="2" t="b">
        <v>0</v>
      </c>
      <c r="F916" s="2" t="b">
        <v>0</v>
      </c>
      <c r="G916" s="2" t="s">
        <v>31</v>
      </c>
      <c r="H916" s="2" t="s">
        <v>2957</v>
      </c>
      <c r="I916" s="2" t="s">
        <v>2958</v>
      </c>
      <c r="J916" s="2" t="s">
        <v>35</v>
      </c>
      <c r="K916" s="2" t="s">
        <v>35</v>
      </c>
      <c r="L916" s="2" t="s">
        <v>35</v>
      </c>
      <c r="M916" s="2" t="s">
        <v>35</v>
      </c>
      <c r="N916" s="2" t="s">
        <v>35</v>
      </c>
      <c r="O916" s="11">
        <v>44762.38516810185</v>
      </c>
      <c r="P916" s="11">
        <v>44762.385326782409</v>
      </c>
      <c r="Q916" s="27">
        <f t="shared" si="42"/>
        <v>1.5868055925238878E-4</v>
      </c>
      <c r="R916" s="65">
        <f t="shared" si="44"/>
        <v>1.1624421313172206E-3</v>
      </c>
      <c r="S916" s="2">
        <v>0</v>
      </c>
      <c r="T916" s="2" t="s">
        <v>36</v>
      </c>
      <c r="U916" s="2" t="s">
        <v>37</v>
      </c>
      <c r="V916" s="2" t="s">
        <v>38</v>
      </c>
      <c r="W916" s="2" t="s">
        <v>35</v>
      </c>
      <c r="X916" s="2" t="s">
        <v>35</v>
      </c>
      <c r="Y916" s="2" t="s">
        <v>35</v>
      </c>
      <c r="Z916" s="2" t="b">
        <v>0</v>
      </c>
      <c r="AA916" s="2" t="s">
        <v>35</v>
      </c>
      <c r="AB916" s="2" t="s">
        <v>35</v>
      </c>
      <c r="AC916" s="2" t="s">
        <v>35</v>
      </c>
      <c r="AD916" s="2">
        <v>3</v>
      </c>
      <c r="AE916" s="2" t="s">
        <v>2840</v>
      </c>
      <c r="AF916" s="11">
        <v>44762.350694444445</v>
      </c>
      <c r="AG916" s="53"/>
      <c r="AH916" s="53" t="b">
        <f t="shared" si="43"/>
        <v>0</v>
      </c>
      <c r="AI916" s="54" t="str" cm="1">
        <f t="array" ref="AI916">TRANSPOSE(_xlfn._xlws.FILTER(images!L:L,images!F:F=Barrierenmessung!A916, ""))</f>
        <v>https://captureandgo.cloudlab.zhaw.ch/uploads/image_eb234a88d0.jpg</v>
      </c>
      <c r="AJ916" s="2"/>
      <c r="AK916" s="2"/>
      <c r="AL916" s="2"/>
      <c r="AM916" s="2"/>
      <c r="AN916" s="2"/>
    </row>
    <row r="917" spans="1:40" ht="16" x14ac:dyDescent="0.2">
      <c r="A917" s="2" t="s">
        <v>2959</v>
      </c>
      <c r="B917" s="46">
        <v>916</v>
      </c>
      <c r="C917" s="2" t="b">
        <v>0</v>
      </c>
      <c r="D917" s="2" t="b">
        <v>0</v>
      </c>
      <c r="E917" s="2" t="b">
        <v>0</v>
      </c>
      <c r="F917" s="2" t="b">
        <v>0</v>
      </c>
      <c r="G917" s="2" t="s">
        <v>31</v>
      </c>
      <c r="H917" s="2" t="s">
        <v>2960</v>
      </c>
      <c r="I917" s="2" t="s">
        <v>2961</v>
      </c>
      <c r="J917" s="2" t="s">
        <v>675</v>
      </c>
      <c r="K917" s="2" t="s">
        <v>35</v>
      </c>
      <c r="L917" s="2" t="s">
        <v>35</v>
      </c>
      <c r="M917" s="2" t="s">
        <v>35</v>
      </c>
      <c r="N917" s="2" t="s">
        <v>35</v>
      </c>
      <c r="O917" s="11">
        <v>44762.385607824071</v>
      </c>
      <c r="P917" s="11">
        <v>44762.385839178241</v>
      </c>
      <c r="Q917" s="27">
        <f t="shared" si="42"/>
        <v>2.3135416995501146E-4</v>
      </c>
      <c r="R917" s="65">
        <f t="shared" si="44"/>
        <v>5.1239583262940869E-4</v>
      </c>
      <c r="S917" s="2">
        <v>0</v>
      </c>
      <c r="T917" s="2" t="s">
        <v>124</v>
      </c>
      <c r="U917" s="2" t="s">
        <v>125</v>
      </c>
      <c r="V917" s="2" t="s">
        <v>38</v>
      </c>
      <c r="W917" s="2" t="s">
        <v>35</v>
      </c>
      <c r="X917" s="2" t="s">
        <v>35</v>
      </c>
      <c r="Y917" s="2" t="s">
        <v>35</v>
      </c>
      <c r="Z917" s="2" t="b">
        <v>0</v>
      </c>
      <c r="AA917" s="2" t="s">
        <v>35</v>
      </c>
      <c r="AB917" s="2">
        <v>4</v>
      </c>
      <c r="AC917" s="2" t="s">
        <v>35</v>
      </c>
      <c r="AD917" s="2" t="s">
        <v>35</v>
      </c>
      <c r="AE917" s="2" t="s">
        <v>2840</v>
      </c>
      <c r="AF917" s="11">
        <v>44762.350694444445</v>
      </c>
      <c r="AG917" s="53"/>
      <c r="AH917" s="53" t="b">
        <f t="shared" si="43"/>
        <v>0</v>
      </c>
      <c r="AI917" s="54" t="str" cm="1">
        <f t="array" ref="AI917">TRANSPOSE(_xlfn._xlws.FILTER(images!L:L,images!F:F=Barrierenmessung!A917, ""))</f>
        <v>https://captureandgo.cloudlab.zhaw.ch/uploads/image_37e7bc08e5.jpg</v>
      </c>
      <c r="AJ917" s="2"/>
      <c r="AK917" s="2"/>
      <c r="AL917" s="2"/>
      <c r="AM917" s="2"/>
      <c r="AN917" s="2"/>
    </row>
    <row r="918" spans="1:40" ht="16" x14ac:dyDescent="0.2">
      <c r="A918" s="2" t="s">
        <v>2962</v>
      </c>
      <c r="B918" s="46">
        <v>917</v>
      </c>
      <c r="C918" s="2" t="b">
        <v>0</v>
      </c>
      <c r="D918" s="2" t="b">
        <v>0</v>
      </c>
      <c r="E918" s="2" t="b">
        <v>0</v>
      </c>
      <c r="F918" s="2" t="b">
        <v>0</v>
      </c>
      <c r="G918" s="2" t="s">
        <v>121</v>
      </c>
      <c r="H918" s="2" t="s">
        <v>2963</v>
      </c>
      <c r="I918" s="2" t="s">
        <v>2964</v>
      </c>
      <c r="J918" s="2" t="s">
        <v>35</v>
      </c>
      <c r="K918" s="2" t="s">
        <v>35</v>
      </c>
      <c r="L918" s="2" t="s">
        <v>35</v>
      </c>
      <c r="M918" s="2" t="s">
        <v>35</v>
      </c>
      <c r="N918" s="2" t="s">
        <v>35</v>
      </c>
      <c r="O918" s="11">
        <v>44762.385913449078</v>
      </c>
      <c r="P918" s="11">
        <v>44762.386015671298</v>
      </c>
      <c r="Q918" s="27">
        <f t="shared" si="42"/>
        <v>1.0222222044831142E-4</v>
      </c>
      <c r="R918" s="65">
        <f t="shared" si="44"/>
        <v>1.7649305664235726E-4</v>
      </c>
      <c r="S918" s="2">
        <v>0</v>
      </c>
      <c r="T918" s="2" t="s">
        <v>265</v>
      </c>
      <c r="U918" s="2" t="s">
        <v>266</v>
      </c>
      <c r="V918" s="2" t="s">
        <v>38</v>
      </c>
      <c r="W918" s="2" t="s">
        <v>35</v>
      </c>
      <c r="X918" s="2" t="s">
        <v>35</v>
      </c>
      <c r="Y918" s="2" t="s">
        <v>35</v>
      </c>
      <c r="Z918" s="2" t="b">
        <v>0</v>
      </c>
      <c r="AA918" s="2" t="s">
        <v>35</v>
      </c>
      <c r="AB918" s="2" t="s">
        <v>35</v>
      </c>
      <c r="AC918" s="2" t="s">
        <v>35</v>
      </c>
      <c r="AD918" s="2" t="s">
        <v>35</v>
      </c>
      <c r="AE918" s="2" t="s">
        <v>2840</v>
      </c>
      <c r="AF918" s="11">
        <v>44762.350694444445</v>
      </c>
      <c r="AG918" s="53"/>
      <c r="AH918" s="53" t="b">
        <f t="shared" si="43"/>
        <v>0</v>
      </c>
      <c r="AI918" s="54" t="str" cm="1">
        <f t="array" ref="AI918">TRANSPOSE(_xlfn._xlws.FILTER(images!L:L,images!F:F=Barrierenmessung!A918, ""))</f>
        <v>https://captureandgo.cloudlab.zhaw.ch/uploads/image_611a83d717.jpg</v>
      </c>
      <c r="AJ918" s="2"/>
      <c r="AK918" s="2"/>
      <c r="AL918" s="2"/>
      <c r="AM918" s="2"/>
      <c r="AN918" s="2"/>
    </row>
    <row r="919" spans="1:40" ht="16" x14ac:dyDescent="0.2">
      <c r="A919" s="2" t="s">
        <v>2965</v>
      </c>
      <c r="B919" s="46">
        <v>918</v>
      </c>
      <c r="C919" s="2" t="b">
        <v>0</v>
      </c>
      <c r="D919" s="2" t="b">
        <v>0</v>
      </c>
      <c r="E919" s="2" t="b">
        <v>0</v>
      </c>
      <c r="F919" s="2" t="b">
        <v>0</v>
      </c>
      <c r="G919" s="2" t="s">
        <v>31</v>
      </c>
      <c r="H919" s="2" t="s">
        <v>2966</v>
      </c>
      <c r="I919" s="2" t="s">
        <v>2967</v>
      </c>
      <c r="J919" s="2" t="s">
        <v>35</v>
      </c>
      <c r="K919" s="2" t="s">
        <v>35</v>
      </c>
      <c r="L919" s="2" t="s">
        <v>35</v>
      </c>
      <c r="M919" s="2" t="s">
        <v>35</v>
      </c>
      <c r="N919" s="2" t="s">
        <v>35</v>
      </c>
      <c r="O919" s="11">
        <v>44762.386823738423</v>
      </c>
      <c r="P919" s="11">
        <v>44762.386937129631</v>
      </c>
      <c r="Q919" s="27">
        <f t="shared" si="42"/>
        <v>1.1339120828779414E-4</v>
      </c>
      <c r="R919" s="65">
        <f t="shared" si="44"/>
        <v>9.2145833332324401E-4</v>
      </c>
      <c r="S919" s="2">
        <v>0</v>
      </c>
      <c r="T919" s="2" t="s">
        <v>36</v>
      </c>
      <c r="U919" s="2" t="s">
        <v>37</v>
      </c>
      <c r="V919" s="2" t="s">
        <v>38</v>
      </c>
      <c r="W919" s="2" t="s">
        <v>35</v>
      </c>
      <c r="X919" s="2" t="s">
        <v>35</v>
      </c>
      <c r="Y919" s="2" t="s">
        <v>35</v>
      </c>
      <c r="Z919" s="2" t="b">
        <v>0</v>
      </c>
      <c r="AA919" s="2" t="s">
        <v>35</v>
      </c>
      <c r="AB919" s="2" t="s">
        <v>35</v>
      </c>
      <c r="AC919" s="2" t="s">
        <v>35</v>
      </c>
      <c r="AD919" s="2">
        <v>2</v>
      </c>
      <c r="AE919" s="2" t="s">
        <v>2840</v>
      </c>
      <c r="AF919" s="11">
        <v>44762.350694444445</v>
      </c>
      <c r="AG919" s="53"/>
      <c r="AH919" s="53" t="b">
        <f t="shared" si="43"/>
        <v>0</v>
      </c>
      <c r="AI919" s="54" t="str" cm="1">
        <f t="array" ref="AI919">TRANSPOSE(_xlfn._xlws.FILTER(images!L:L,images!F:F=Barrierenmessung!A919, ""))</f>
        <v>https://captureandgo.cloudlab.zhaw.ch/uploads/image_540c31de9c.jpg</v>
      </c>
      <c r="AJ919" s="2"/>
      <c r="AK919" s="2"/>
      <c r="AL919" s="2"/>
      <c r="AM919" s="2"/>
      <c r="AN919" s="2"/>
    </row>
    <row r="920" spans="1:40" ht="16" x14ac:dyDescent="0.2">
      <c r="A920" s="2" t="s">
        <v>2968</v>
      </c>
      <c r="B920" s="46">
        <v>919</v>
      </c>
      <c r="C920" s="2" t="b">
        <v>0</v>
      </c>
      <c r="D920" s="2" t="b">
        <v>0</v>
      </c>
      <c r="E920" s="2" t="b">
        <v>0</v>
      </c>
      <c r="F920" s="2" t="b">
        <v>0</v>
      </c>
      <c r="G920" s="2" t="s">
        <v>31</v>
      </c>
      <c r="H920" s="2" t="s">
        <v>2969</v>
      </c>
      <c r="I920" s="2" t="s">
        <v>2970</v>
      </c>
      <c r="J920" s="2" t="s">
        <v>35</v>
      </c>
      <c r="K920" s="2" t="s">
        <v>35</v>
      </c>
      <c r="L920" s="2" t="s">
        <v>35</v>
      </c>
      <c r="M920" s="2" t="s">
        <v>35</v>
      </c>
      <c r="N920" s="2" t="s">
        <v>35</v>
      </c>
      <c r="O920" s="11">
        <v>44762.387792569447</v>
      </c>
      <c r="P920" s="11">
        <v>44762.387955150465</v>
      </c>
      <c r="Q920" s="27">
        <f t="shared" si="42"/>
        <v>1.6258101823041216E-4</v>
      </c>
      <c r="R920" s="65">
        <f t="shared" si="44"/>
        <v>1.018020833726041E-3</v>
      </c>
      <c r="S920" s="2">
        <v>0</v>
      </c>
      <c r="T920" s="2" t="s">
        <v>36</v>
      </c>
      <c r="U920" s="2" t="s">
        <v>37</v>
      </c>
      <c r="V920" s="2" t="s">
        <v>38</v>
      </c>
      <c r="W920" s="2" t="s">
        <v>35</v>
      </c>
      <c r="X920" s="2" t="s">
        <v>35</v>
      </c>
      <c r="Y920" s="2" t="s">
        <v>35</v>
      </c>
      <c r="Z920" s="2" t="b">
        <v>0</v>
      </c>
      <c r="AA920" s="2" t="s">
        <v>35</v>
      </c>
      <c r="AB920" s="2" t="s">
        <v>35</v>
      </c>
      <c r="AC920" s="2" t="s">
        <v>35</v>
      </c>
      <c r="AD920" s="2">
        <v>5</v>
      </c>
      <c r="AE920" s="2" t="s">
        <v>2840</v>
      </c>
      <c r="AF920" s="11">
        <v>44762.350694444445</v>
      </c>
      <c r="AG920" s="53"/>
      <c r="AH920" s="53" t="b">
        <f t="shared" si="43"/>
        <v>0</v>
      </c>
      <c r="AI920" s="54" t="str" cm="1">
        <f t="array" ref="AI920">TRANSPOSE(_xlfn._xlws.FILTER(images!L:L,images!F:F=Barrierenmessung!A920, ""))</f>
        <v>https://captureandgo.cloudlab.zhaw.ch/uploads/image_465878ac99.jpg</v>
      </c>
      <c r="AJ920" s="2"/>
      <c r="AK920" s="2"/>
      <c r="AL920" s="2"/>
      <c r="AM920" s="2"/>
      <c r="AN920" s="2"/>
    </row>
    <row r="921" spans="1:40" ht="16" x14ac:dyDescent="0.2">
      <c r="A921" s="2" t="s">
        <v>2971</v>
      </c>
      <c r="B921" s="46">
        <v>920</v>
      </c>
      <c r="C921" s="2" t="b">
        <v>0</v>
      </c>
      <c r="D921" s="2" t="b">
        <v>0</v>
      </c>
      <c r="E921" s="2" t="b">
        <v>0</v>
      </c>
      <c r="F921" s="2" t="b">
        <v>0</v>
      </c>
      <c r="G921" s="2" t="s">
        <v>31</v>
      </c>
      <c r="H921" s="2" t="s">
        <v>2972</v>
      </c>
      <c r="I921" s="2" t="s">
        <v>2973</v>
      </c>
      <c r="J921" s="2" t="s">
        <v>35</v>
      </c>
      <c r="K921" s="2" t="s">
        <v>35</v>
      </c>
      <c r="L921" s="2" t="s">
        <v>35</v>
      </c>
      <c r="M921" s="2" t="s">
        <v>35</v>
      </c>
      <c r="N921" s="2" t="s">
        <v>35</v>
      </c>
      <c r="O921" s="11">
        <v>44762.388884745371</v>
      </c>
      <c r="P921" s="11">
        <v>44762.389045856478</v>
      </c>
      <c r="Q921" s="27">
        <f t="shared" si="42"/>
        <v>1.6111110744532198E-4</v>
      </c>
      <c r="R921" s="65">
        <f t="shared" si="44"/>
        <v>1.0907060132012703E-3</v>
      </c>
      <c r="S921" s="2">
        <v>0</v>
      </c>
      <c r="T921" s="2" t="s">
        <v>36</v>
      </c>
      <c r="U921" s="2" t="s">
        <v>37</v>
      </c>
      <c r="V921" s="2" t="s">
        <v>38</v>
      </c>
      <c r="W921" s="2" t="s">
        <v>35</v>
      </c>
      <c r="X921" s="2" t="s">
        <v>35</v>
      </c>
      <c r="Y921" s="2" t="s">
        <v>35</v>
      </c>
      <c r="Z921" s="2" t="b">
        <v>0</v>
      </c>
      <c r="AA921" s="2" t="s">
        <v>35</v>
      </c>
      <c r="AB921" s="2" t="s">
        <v>35</v>
      </c>
      <c r="AC921" s="2" t="s">
        <v>35</v>
      </c>
      <c r="AD921" s="2">
        <v>4</v>
      </c>
      <c r="AE921" s="2" t="s">
        <v>2840</v>
      </c>
      <c r="AF921" s="11">
        <v>44762.350694444445</v>
      </c>
      <c r="AG921" s="53"/>
      <c r="AH921" s="53" t="b">
        <f t="shared" si="43"/>
        <v>0</v>
      </c>
      <c r="AI921" s="54" t="str" cm="1">
        <f t="array" ref="AI921">TRANSPOSE(_xlfn._xlws.FILTER(images!L:L,images!F:F=Barrierenmessung!A921, ""))</f>
        <v>https://captureandgo.cloudlab.zhaw.ch/uploads/image_80e4e67242.jpg</v>
      </c>
      <c r="AJ921" s="2"/>
      <c r="AK921" s="2"/>
      <c r="AL921" s="2"/>
      <c r="AM921" s="2"/>
      <c r="AN921" s="2"/>
    </row>
    <row r="922" spans="1:40" ht="16" x14ac:dyDescent="0.2">
      <c r="A922" s="2" t="s">
        <v>2974</v>
      </c>
      <c r="B922" s="46">
        <v>921</v>
      </c>
      <c r="C922" s="2" t="b">
        <v>0</v>
      </c>
      <c r="D922" s="2" t="b">
        <v>0</v>
      </c>
      <c r="E922" s="2" t="b">
        <v>0</v>
      </c>
      <c r="F922" s="2" t="b">
        <v>0</v>
      </c>
      <c r="G922" s="2" t="s">
        <v>31</v>
      </c>
      <c r="H922" s="2" t="s">
        <v>2975</v>
      </c>
      <c r="I922" s="2" t="s">
        <v>2976</v>
      </c>
      <c r="J922" s="2" t="s">
        <v>35</v>
      </c>
      <c r="K922" s="2" t="s">
        <v>35</v>
      </c>
      <c r="L922" s="2" t="s">
        <v>35</v>
      </c>
      <c r="M922" s="2" t="s">
        <v>35</v>
      </c>
      <c r="N922" s="2" t="s">
        <v>35</v>
      </c>
      <c r="O922" s="11">
        <v>44762.390527685187</v>
      </c>
      <c r="P922" s="11">
        <v>44762.390716145834</v>
      </c>
      <c r="Q922" s="27">
        <f t="shared" si="42"/>
        <v>1.8846064631361514E-4</v>
      </c>
      <c r="R922" s="65">
        <f t="shared" si="44"/>
        <v>1.6702893553883769E-3</v>
      </c>
      <c r="S922" s="2">
        <v>0</v>
      </c>
      <c r="T922" s="2" t="s">
        <v>36</v>
      </c>
      <c r="U922" s="2" t="s">
        <v>37</v>
      </c>
      <c r="V922" s="2" t="s">
        <v>38</v>
      </c>
      <c r="W922" s="2" t="s">
        <v>35</v>
      </c>
      <c r="X922" s="2" t="s">
        <v>35</v>
      </c>
      <c r="Y922" s="2" t="s">
        <v>35</v>
      </c>
      <c r="Z922" s="2" t="b">
        <v>0</v>
      </c>
      <c r="AA922" s="2" t="s">
        <v>35</v>
      </c>
      <c r="AB922" s="2" t="s">
        <v>35</v>
      </c>
      <c r="AC922" s="2" t="s">
        <v>35</v>
      </c>
      <c r="AD922" s="2">
        <v>3</v>
      </c>
      <c r="AE922" s="2" t="s">
        <v>2840</v>
      </c>
      <c r="AF922" s="11">
        <v>44762.350694444445</v>
      </c>
      <c r="AG922" s="53"/>
      <c r="AH922" s="53" t="b">
        <f t="shared" si="43"/>
        <v>0</v>
      </c>
      <c r="AI922" s="54" t="str" cm="1">
        <f t="array" ref="AI922">TRANSPOSE(_xlfn._xlws.FILTER(images!L:L,images!F:F=Barrierenmessung!A922, ""))</f>
        <v>https://captureandgo.cloudlab.zhaw.ch/uploads/image_614fdb3fa0.jpg</v>
      </c>
      <c r="AJ922" s="2"/>
      <c r="AK922" s="2"/>
      <c r="AL922" s="2"/>
      <c r="AM922" s="2"/>
      <c r="AN922" s="2"/>
    </row>
    <row r="923" spans="1:40" ht="16" x14ac:dyDescent="0.2">
      <c r="A923" s="2" t="s">
        <v>2977</v>
      </c>
      <c r="B923" s="46">
        <v>922</v>
      </c>
      <c r="C923" s="2" t="b">
        <v>0</v>
      </c>
      <c r="D923" s="2" t="b">
        <v>0</v>
      </c>
      <c r="E923" s="2" t="b">
        <v>0</v>
      </c>
      <c r="F923" s="2" t="b">
        <v>0</v>
      </c>
      <c r="G923" s="2" t="s">
        <v>31</v>
      </c>
      <c r="H923" s="2" t="s">
        <v>2978</v>
      </c>
      <c r="I923" s="2" t="s">
        <v>2979</v>
      </c>
      <c r="J923" s="2" t="s">
        <v>675</v>
      </c>
      <c r="K923" s="2" t="s">
        <v>35</v>
      </c>
      <c r="L923" s="2" t="s">
        <v>35</v>
      </c>
      <c r="M923" s="2" t="s">
        <v>35</v>
      </c>
      <c r="N923" s="2" t="s">
        <v>35</v>
      </c>
      <c r="O923" s="11">
        <v>44762.390844618058</v>
      </c>
      <c r="P923" s="11">
        <v>44762.391048055557</v>
      </c>
      <c r="Q923" s="27">
        <f t="shared" si="42"/>
        <v>2.0343749929452315E-4</v>
      </c>
      <c r="R923" s="65">
        <f t="shared" si="44"/>
        <v>3.3190972317242995E-4</v>
      </c>
      <c r="S923" s="2">
        <v>0</v>
      </c>
      <c r="T923" s="2" t="s">
        <v>124</v>
      </c>
      <c r="U923" s="2" t="s">
        <v>125</v>
      </c>
      <c r="V923" s="2" t="s">
        <v>38</v>
      </c>
      <c r="W923" s="2" t="s">
        <v>35</v>
      </c>
      <c r="X923" s="2" t="s">
        <v>35</v>
      </c>
      <c r="Y923" s="2" t="s">
        <v>35</v>
      </c>
      <c r="Z923" s="2" t="b">
        <v>0</v>
      </c>
      <c r="AA923" s="2" t="s">
        <v>35</v>
      </c>
      <c r="AB923" s="2">
        <v>4</v>
      </c>
      <c r="AC923" s="2" t="s">
        <v>35</v>
      </c>
      <c r="AD923" s="2" t="s">
        <v>35</v>
      </c>
      <c r="AE923" s="2" t="s">
        <v>2840</v>
      </c>
      <c r="AF923" s="11">
        <v>44762.350694444445</v>
      </c>
      <c r="AG923" s="53"/>
      <c r="AH923" s="53" t="b">
        <f t="shared" si="43"/>
        <v>0</v>
      </c>
      <c r="AI923" s="54" t="str" cm="1">
        <f t="array" ref="AI923">TRANSPOSE(_xlfn._xlws.FILTER(images!L:L,images!F:F=Barrierenmessung!A923, ""))</f>
        <v>https://captureandgo.cloudlab.zhaw.ch/uploads/image_59bf4d4620.jpg</v>
      </c>
      <c r="AJ923" s="2"/>
      <c r="AK923" s="2"/>
      <c r="AL923" s="2"/>
      <c r="AM923" s="2"/>
      <c r="AN923" s="2"/>
    </row>
    <row r="924" spans="1:40" ht="16" x14ac:dyDescent="0.2">
      <c r="A924" s="2" t="s">
        <v>2980</v>
      </c>
      <c r="B924" s="46">
        <v>923</v>
      </c>
      <c r="C924" s="2" t="b">
        <v>0</v>
      </c>
      <c r="D924" s="2" t="b">
        <v>0</v>
      </c>
      <c r="E924" s="2" t="b">
        <v>0</v>
      </c>
      <c r="F924" s="2" t="b">
        <v>0</v>
      </c>
      <c r="G924" s="2" t="s">
        <v>31</v>
      </c>
      <c r="H924" s="2" t="s">
        <v>2981</v>
      </c>
      <c r="I924" s="2" t="s">
        <v>2982</v>
      </c>
      <c r="J924" s="2" t="s">
        <v>35</v>
      </c>
      <c r="K924" s="2" t="s">
        <v>35</v>
      </c>
      <c r="L924" s="2" t="s">
        <v>35</v>
      </c>
      <c r="M924" s="2" t="s">
        <v>35</v>
      </c>
      <c r="N924" s="2" t="s">
        <v>35</v>
      </c>
      <c r="O924" s="11">
        <v>44762.391522696758</v>
      </c>
      <c r="P924" s="11">
        <v>44762.391678854168</v>
      </c>
      <c r="Q924" s="27">
        <f t="shared" si="42"/>
        <v>1.5615740994689986E-4</v>
      </c>
      <c r="R924" s="65">
        <f t="shared" si="44"/>
        <v>6.3079861138248816E-4</v>
      </c>
      <c r="S924" s="2">
        <v>0</v>
      </c>
      <c r="T924" s="2" t="s">
        <v>36</v>
      </c>
      <c r="U924" s="2" t="s">
        <v>37</v>
      </c>
      <c r="V924" s="2" t="s">
        <v>38</v>
      </c>
      <c r="W924" s="2" t="s">
        <v>35</v>
      </c>
      <c r="X924" s="2" t="s">
        <v>35</v>
      </c>
      <c r="Y924" s="2" t="s">
        <v>35</v>
      </c>
      <c r="Z924" s="2" t="b">
        <v>0</v>
      </c>
      <c r="AA924" s="2" t="s">
        <v>35</v>
      </c>
      <c r="AB924" s="2" t="s">
        <v>35</v>
      </c>
      <c r="AC924" s="2" t="s">
        <v>35</v>
      </c>
      <c r="AD924" s="2">
        <v>3</v>
      </c>
      <c r="AE924" s="2" t="s">
        <v>2840</v>
      </c>
      <c r="AF924" s="11">
        <v>44762.350694444445</v>
      </c>
      <c r="AG924" s="53"/>
      <c r="AH924" s="53" t="b">
        <f t="shared" si="43"/>
        <v>0</v>
      </c>
      <c r="AI924" s="54" t="str" cm="1">
        <f t="array" ref="AI924">TRANSPOSE(_xlfn._xlws.FILTER(images!L:L,images!F:F=Barrierenmessung!A924, ""))</f>
        <v>https://captureandgo.cloudlab.zhaw.ch/uploads/image_0ccedfc53e.jpg</v>
      </c>
      <c r="AJ924" s="2"/>
      <c r="AK924" s="2"/>
      <c r="AL924" s="2"/>
      <c r="AM924" s="2"/>
      <c r="AN924" s="2"/>
    </row>
    <row r="925" spans="1:40" ht="16" x14ac:dyDescent="0.2">
      <c r="A925" s="2" t="s">
        <v>2983</v>
      </c>
      <c r="B925" s="46">
        <v>924</v>
      </c>
      <c r="C925" s="2" t="b">
        <v>0</v>
      </c>
      <c r="D925" s="2" t="b">
        <v>0</v>
      </c>
      <c r="E925" s="2" t="b">
        <v>0</v>
      </c>
      <c r="F925" s="2" t="b">
        <v>0</v>
      </c>
      <c r="G925" s="2" t="s">
        <v>31</v>
      </c>
      <c r="H925" s="2" t="s">
        <v>2984</v>
      </c>
      <c r="I925" s="2" t="s">
        <v>2985</v>
      </c>
      <c r="J925" s="2" t="s">
        <v>35</v>
      </c>
      <c r="K925" s="2" t="s">
        <v>35</v>
      </c>
      <c r="L925" s="2" t="s">
        <v>35</v>
      </c>
      <c r="M925" s="2" t="s">
        <v>35</v>
      </c>
      <c r="N925" s="2" t="s">
        <v>35</v>
      </c>
      <c r="O925" s="11">
        <v>44762.393498310186</v>
      </c>
      <c r="P925" s="11">
        <v>44762.393708310185</v>
      </c>
      <c r="Q925" s="27">
        <f t="shared" si="42"/>
        <v>2.0999999833293259E-4</v>
      </c>
      <c r="R925" s="65">
        <f t="shared" si="44"/>
        <v>2.0294560163165443E-3</v>
      </c>
      <c r="S925" s="2">
        <v>0</v>
      </c>
      <c r="T925" s="2" t="s">
        <v>36</v>
      </c>
      <c r="U925" s="2" t="s">
        <v>37</v>
      </c>
      <c r="V925" s="2" t="s">
        <v>38</v>
      </c>
      <c r="W925" s="2" t="s">
        <v>35</v>
      </c>
      <c r="X925" s="2" t="s">
        <v>35</v>
      </c>
      <c r="Y925" s="2" t="s">
        <v>35</v>
      </c>
      <c r="Z925" s="2" t="b">
        <v>0</v>
      </c>
      <c r="AA925" s="2" t="s">
        <v>35</v>
      </c>
      <c r="AB925" s="2" t="s">
        <v>35</v>
      </c>
      <c r="AC925" s="2" t="s">
        <v>35</v>
      </c>
      <c r="AD925" s="2">
        <v>3</v>
      </c>
      <c r="AE925" s="2" t="s">
        <v>2840</v>
      </c>
      <c r="AF925" s="11">
        <v>44762.350694444445</v>
      </c>
      <c r="AG925" s="53"/>
      <c r="AH925" s="53" t="b">
        <f t="shared" si="43"/>
        <v>0</v>
      </c>
      <c r="AI925" s="54" t="str" cm="1">
        <f t="array" ref="AI925">TRANSPOSE(_xlfn._xlws.FILTER(images!L:L,images!F:F=Barrierenmessung!A925, ""))</f>
        <v>https://captureandgo.cloudlab.zhaw.ch/uploads/image_c9afd8e37e.jpg</v>
      </c>
      <c r="AJ925" s="2"/>
      <c r="AK925" s="2"/>
      <c r="AL925" s="2"/>
      <c r="AM925" s="2"/>
      <c r="AN925" s="2"/>
    </row>
    <row r="926" spans="1:40" ht="16" x14ac:dyDescent="0.2">
      <c r="A926" s="2" t="s">
        <v>2986</v>
      </c>
      <c r="B926" s="46">
        <v>925</v>
      </c>
      <c r="C926" s="2" t="b">
        <v>0</v>
      </c>
      <c r="D926" s="2" t="b">
        <v>0</v>
      </c>
      <c r="E926" s="2" t="b">
        <v>0</v>
      </c>
      <c r="F926" s="2" t="b">
        <v>0</v>
      </c>
      <c r="G926" s="2" t="s">
        <v>31</v>
      </c>
      <c r="H926" s="2" t="s">
        <v>2987</v>
      </c>
      <c r="I926" s="2" t="s">
        <v>2988</v>
      </c>
      <c r="J926" s="2" t="s">
        <v>662</v>
      </c>
      <c r="K926" s="2" t="s">
        <v>35</v>
      </c>
      <c r="L926" s="2" t="s">
        <v>35</v>
      </c>
      <c r="M926" s="2" t="s">
        <v>35</v>
      </c>
      <c r="N926" s="2" t="s">
        <v>35</v>
      </c>
      <c r="O926" s="11">
        <v>44762.39394814815</v>
      </c>
      <c r="P926" s="11">
        <v>44762.394409270833</v>
      </c>
      <c r="Q926" s="27">
        <f t="shared" si="42"/>
        <v>4.6112268319120631E-4</v>
      </c>
      <c r="R926" s="65">
        <f t="shared" si="44"/>
        <v>7.0096064882818609E-4</v>
      </c>
      <c r="S926" s="2">
        <v>0</v>
      </c>
      <c r="T926" s="2" t="s">
        <v>36</v>
      </c>
      <c r="U926" s="2" t="s">
        <v>37</v>
      </c>
      <c r="V926" s="2" t="s">
        <v>38</v>
      </c>
      <c r="W926" s="2" t="s">
        <v>35</v>
      </c>
      <c r="X926" s="2" t="s">
        <v>35</v>
      </c>
      <c r="Y926" s="2" t="s">
        <v>35</v>
      </c>
      <c r="Z926" s="2" t="b">
        <v>0</v>
      </c>
      <c r="AA926" s="2" t="s">
        <v>35</v>
      </c>
      <c r="AB926" s="2" t="s">
        <v>35</v>
      </c>
      <c r="AC926" s="2">
        <v>10</v>
      </c>
      <c r="AD926" s="2" t="s">
        <v>35</v>
      </c>
      <c r="AE926" s="2" t="s">
        <v>2840</v>
      </c>
      <c r="AF926" s="11">
        <v>44762.350694444445</v>
      </c>
      <c r="AG926" s="53"/>
      <c r="AH926" s="53" t="b">
        <f t="shared" si="43"/>
        <v>0</v>
      </c>
      <c r="AI926" s="54" t="str" cm="1">
        <f t="array" ref="AI926">TRANSPOSE(_xlfn._xlws.FILTER(images!L:L,images!F:F=Barrierenmessung!A926, ""))</f>
        <v>https://captureandgo.cloudlab.zhaw.ch/uploads/image_037ee7a62d.jpg</v>
      </c>
      <c r="AJ926" s="2"/>
      <c r="AK926" s="2"/>
      <c r="AL926" s="2"/>
      <c r="AM926" s="2"/>
      <c r="AN926" s="2"/>
    </row>
    <row r="927" spans="1:40" ht="16" x14ac:dyDescent="0.2">
      <c r="A927" s="2" t="s">
        <v>2989</v>
      </c>
      <c r="B927" s="46">
        <v>926</v>
      </c>
      <c r="C927" s="2" t="b">
        <v>0</v>
      </c>
      <c r="D927" s="2" t="b">
        <v>0</v>
      </c>
      <c r="E927" s="2" t="b">
        <v>0</v>
      </c>
      <c r="F927" s="2" t="b">
        <v>0</v>
      </c>
      <c r="G927" s="2" t="s">
        <v>31</v>
      </c>
      <c r="H927" s="2" t="s">
        <v>2990</v>
      </c>
      <c r="I927" s="2" t="s">
        <v>2991</v>
      </c>
      <c r="J927" s="2" t="s">
        <v>2992</v>
      </c>
      <c r="K927" s="2" t="s">
        <v>35</v>
      </c>
      <c r="L927" s="2" t="s">
        <v>35</v>
      </c>
      <c r="M927" s="2" t="s">
        <v>35</v>
      </c>
      <c r="N927" s="2" t="s">
        <v>35</v>
      </c>
      <c r="O927" s="11">
        <v>44762.396003888891</v>
      </c>
      <c r="P927" s="11">
        <v>44762.396347743059</v>
      </c>
      <c r="Q927" s="27">
        <f t="shared" si="42"/>
        <v>3.4385416802251711E-4</v>
      </c>
      <c r="R927" s="65">
        <f t="shared" si="44"/>
        <v>1.9384722254471853E-3</v>
      </c>
      <c r="S927" s="2">
        <v>0</v>
      </c>
      <c r="T927" s="2" t="s">
        <v>36</v>
      </c>
      <c r="U927" s="2" t="s">
        <v>37</v>
      </c>
      <c r="V927" s="2" t="s">
        <v>38</v>
      </c>
      <c r="W927" s="2" t="s">
        <v>35</v>
      </c>
      <c r="X927" s="2" t="s">
        <v>35</v>
      </c>
      <c r="Y927" s="2" t="s">
        <v>35</v>
      </c>
      <c r="Z927" s="2" t="b">
        <v>0</v>
      </c>
      <c r="AA927" s="2" t="s">
        <v>35</v>
      </c>
      <c r="AB927" s="2" t="s">
        <v>35</v>
      </c>
      <c r="AC927" s="2">
        <v>4</v>
      </c>
      <c r="AD927" s="2" t="s">
        <v>35</v>
      </c>
      <c r="AE927" s="2" t="s">
        <v>2840</v>
      </c>
      <c r="AF927" s="11">
        <v>44762.350694444445</v>
      </c>
      <c r="AG927" s="53"/>
      <c r="AH927" s="53" t="b">
        <f t="shared" si="43"/>
        <v>0</v>
      </c>
      <c r="AI927" s="54" t="str" cm="1">
        <f t="array" ref="AI927">TRANSPOSE(_xlfn._xlws.FILTER(images!L:L,images!F:F=Barrierenmessung!A927, ""))</f>
        <v>https://captureandgo.cloudlab.zhaw.ch/uploads/image_8209e4bbce.jpg</v>
      </c>
      <c r="AJ927" s="2"/>
      <c r="AK927" s="2"/>
      <c r="AL927" s="2"/>
      <c r="AM927" s="2"/>
      <c r="AN927" s="2"/>
    </row>
    <row r="928" spans="1:40" ht="16" x14ac:dyDescent="0.2">
      <c r="A928" s="2" t="s">
        <v>2993</v>
      </c>
      <c r="B928" s="46">
        <v>927</v>
      </c>
      <c r="C928" s="2" t="b">
        <v>0</v>
      </c>
      <c r="D928" s="2" t="b">
        <v>0</v>
      </c>
      <c r="E928" s="2" t="b">
        <v>0</v>
      </c>
      <c r="F928" s="2" t="b">
        <v>0</v>
      </c>
      <c r="G928" s="2" t="s">
        <v>31</v>
      </c>
      <c r="H928" s="2" t="s">
        <v>2994</v>
      </c>
      <c r="I928" s="2" t="s">
        <v>2995</v>
      </c>
      <c r="J928" s="2" t="s">
        <v>2992</v>
      </c>
      <c r="K928" s="2" t="s">
        <v>35</v>
      </c>
      <c r="L928" s="2" t="s">
        <v>35</v>
      </c>
      <c r="M928" s="2" t="s">
        <v>35</v>
      </c>
      <c r="N928" s="2" t="s">
        <v>35</v>
      </c>
      <c r="O928" s="11">
        <v>44762.39653810185</v>
      </c>
      <c r="P928" s="11">
        <v>44762.39697681713</v>
      </c>
      <c r="Q928" s="27">
        <f t="shared" si="42"/>
        <v>4.3871528032468632E-4</v>
      </c>
      <c r="R928" s="65">
        <f t="shared" si="44"/>
        <v>6.2907407118473202E-4</v>
      </c>
      <c r="S928" s="2">
        <v>0</v>
      </c>
      <c r="T928" s="2" t="s">
        <v>36</v>
      </c>
      <c r="U928" s="2" t="s">
        <v>37</v>
      </c>
      <c r="V928" s="2" t="s">
        <v>38</v>
      </c>
      <c r="W928" s="2" t="s">
        <v>35</v>
      </c>
      <c r="X928" s="2" t="s">
        <v>35</v>
      </c>
      <c r="Y928" s="2" t="s">
        <v>35</v>
      </c>
      <c r="Z928" s="2" t="b">
        <v>0</v>
      </c>
      <c r="AA928" s="2" t="s">
        <v>35</v>
      </c>
      <c r="AB928" s="2" t="s">
        <v>35</v>
      </c>
      <c r="AC928" s="2">
        <v>4</v>
      </c>
      <c r="AD928" s="2" t="s">
        <v>35</v>
      </c>
      <c r="AE928" s="2" t="s">
        <v>2840</v>
      </c>
      <c r="AF928" s="11">
        <v>44762.350694444445</v>
      </c>
      <c r="AG928" s="53"/>
      <c r="AH928" s="53" t="b">
        <f t="shared" si="43"/>
        <v>0</v>
      </c>
      <c r="AI928" s="54" t="str" cm="1">
        <f t="array" ref="AI928">TRANSPOSE(_xlfn._xlws.FILTER(images!L:L,images!F:F=Barrierenmessung!A928, ""))</f>
        <v>https://captureandgo.cloudlab.zhaw.ch/uploads/image_d6c54e1b8d.jpg</v>
      </c>
      <c r="AJ928" s="2"/>
      <c r="AK928" s="2"/>
      <c r="AL928" s="2"/>
      <c r="AM928" s="2"/>
      <c r="AN928" s="2"/>
    </row>
    <row r="929" spans="1:40" ht="16" x14ac:dyDescent="0.2">
      <c r="A929" s="2" t="s">
        <v>2996</v>
      </c>
      <c r="B929" s="46">
        <v>928</v>
      </c>
      <c r="C929" s="2" t="b">
        <v>0</v>
      </c>
      <c r="D929" s="2" t="b">
        <v>0</v>
      </c>
      <c r="E929" s="2" t="b">
        <v>0</v>
      </c>
      <c r="F929" s="2" t="b">
        <v>0</v>
      </c>
      <c r="G929" s="2" t="s">
        <v>31</v>
      </c>
      <c r="H929" s="2" t="s">
        <v>2997</v>
      </c>
      <c r="I929" s="2" t="s">
        <v>2998</v>
      </c>
      <c r="J929" s="2" t="s">
        <v>1275</v>
      </c>
      <c r="K929" s="2" t="s">
        <v>35</v>
      </c>
      <c r="L929" s="2" t="s">
        <v>35</v>
      </c>
      <c r="M929" s="2" t="s">
        <v>35</v>
      </c>
      <c r="N929" s="2" t="s">
        <v>35</v>
      </c>
      <c r="O929" s="11">
        <v>44762.397553263887</v>
      </c>
      <c r="P929" s="11">
        <v>44762.397891284723</v>
      </c>
      <c r="Q929" s="27">
        <f t="shared" si="42"/>
        <v>3.3802083635237068E-4</v>
      </c>
      <c r="R929" s="65">
        <f t="shared" si="44"/>
        <v>9.1446759324753657E-4</v>
      </c>
      <c r="S929" s="2">
        <v>0</v>
      </c>
      <c r="T929" s="2" t="s">
        <v>36</v>
      </c>
      <c r="U929" s="2" t="s">
        <v>37</v>
      </c>
      <c r="V929" s="2" t="s">
        <v>38</v>
      </c>
      <c r="W929" s="2" t="s">
        <v>35</v>
      </c>
      <c r="X929" s="2" t="s">
        <v>35</v>
      </c>
      <c r="Y929" s="2" t="s">
        <v>35</v>
      </c>
      <c r="Z929" s="2" t="b">
        <v>0</v>
      </c>
      <c r="AA929" s="2" t="s">
        <v>35</v>
      </c>
      <c r="AB929" s="2" t="s">
        <v>35</v>
      </c>
      <c r="AC929" s="2">
        <v>10</v>
      </c>
      <c r="AD929" s="2" t="s">
        <v>35</v>
      </c>
      <c r="AE929" s="2" t="s">
        <v>2840</v>
      </c>
      <c r="AF929" s="11">
        <v>44762.350694444445</v>
      </c>
      <c r="AG929" s="53"/>
      <c r="AH929" s="53" t="b">
        <f t="shared" si="43"/>
        <v>0</v>
      </c>
      <c r="AI929" s="54" t="str" cm="1">
        <f t="array" ref="AI929">TRANSPOSE(_xlfn._xlws.FILTER(images!L:L,images!F:F=Barrierenmessung!A929, ""))</f>
        <v>https://captureandgo.cloudlab.zhaw.ch/uploads/image_1ed36d104e.jpg</v>
      </c>
      <c r="AJ929" s="2"/>
      <c r="AK929" s="2"/>
      <c r="AL929" s="2"/>
      <c r="AM929" s="2"/>
      <c r="AN929" s="2"/>
    </row>
    <row r="930" spans="1:40" ht="16" x14ac:dyDescent="0.2">
      <c r="A930" s="2" t="s">
        <v>2999</v>
      </c>
      <c r="B930" s="46">
        <v>929</v>
      </c>
      <c r="C930" s="2" t="b">
        <v>0</v>
      </c>
      <c r="D930" s="2" t="b">
        <v>0</v>
      </c>
      <c r="E930" s="2" t="b">
        <v>0</v>
      </c>
      <c r="F930" s="2" t="b">
        <v>0</v>
      </c>
      <c r="G930" s="2" t="s">
        <v>31</v>
      </c>
      <c r="H930" s="2" t="s">
        <v>3000</v>
      </c>
      <c r="I930" s="2" t="s">
        <v>3001</v>
      </c>
      <c r="J930" s="2" t="s">
        <v>35</v>
      </c>
      <c r="K930" s="2" t="s">
        <v>35</v>
      </c>
      <c r="L930" s="2">
        <v>9</v>
      </c>
      <c r="M930" s="2" t="s">
        <v>35</v>
      </c>
      <c r="N930" s="2" t="s">
        <v>35</v>
      </c>
      <c r="O930" s="11">
        <v>44762.397977858796</v>
      </c>
      <c r="P930" s="11">
        <v>44762.39830591435</v>
      </c>
      <c r="Q930" s="27">
        <f t="shared" si="42"/>
        <v>3.28055553836748E-4</v>
      </c>
      <c r="R930" s="65">
        <f t="shared" si="44"/>
        <v>4.1462962690275162E-4</v>
      </c>
      <c r="S930" s="2">
        <v>0</v>
      </c>
      <c r="T930" s="2" t="s">
        <v>265</v>
      </c>
      <c r="U930" s="2" t="s">
        <v>266</v>
      </c>
      <c r="V930" s="2" t="s">
        <v>38</v>
      </c>
      <c r="W930" s="2" t="s">
        <v>35</v>
      </c>
      <c r="X930" s="2" t="s">
        <v>35</v>
      </c>
      <c r="Y930" s="2" t="s">
        <v>35</v>
      </c>
      <c r="Z930" s="2" t="b">
        <v>0</v>
      </c>
      <c r="AA930" s="2" t="s">
        <v>35</v>
      </c>
      <c r="AB930" s="2" t="s">
        <v>35</v>
      </c>
      <c r="AC930" s="2" t="s">
        <v>35</v>
      </c>
      <c r="AD930" s="2" t="s">
        <v>35</v>
      </c>
      <c r="AE930" s="2" t="s">
        <v>2840</v>
      </c>
      <c r="AF930" s="11">
        <v>44762.350694444445</v>
      </c>
      <c r="AG930" s="53"/>
      <c r="AH930" s="53" t="b">
        <f t="shared" si="43"/>
        <v>0</v>
      </c>
      <c r="AI930" s="54" t="str" cm="1">
        <f t="array" ref="AI930">TRANSPOSE(_xlfn._xlws.FILTER(images!L:L,images!F:F=Barrierenmessung!A930, ""))</f>
        <v>https://captureandgo.cloudlab.zhaw.ch/uploads/image_5d954aaeda.jpg</v>
      </c>
      <c r="AJ930" s="2"/>
      <c r="AK930" s="2"/>
      <c r="AL930" s="2"/>
      <c r="AM930" s="2"/>
      <c r="AN930" s="2"/>
    </row>
    <row r="931" spans="1:40" ht="16" x14ac:dyDescent="0.2">
      <c r="A931" s="2" t="s">
        <v>3002</v>
      </c>
      <c r="B931" s="46">
        <v>930</v>
      </c>
      <c r="C931" s="2" t="b">
        <v>0</v>
      </c>
      <c r="D931" s="2" t="b">
        <v>0</v>
      </c>
      <c r="E931" s="2" t="b">
        <v>0</v>
      </c>
      <c r="F931" s="2" t="b">
        <v>0</v>
      </c>
      <c r="G931" s="2" t="s">
        <v>31</v>
      </c>
      <c r="H931" s="2" t="s">
        <v>3003</v>
      </c>
      <c r="I931" s="2" t="s">
        <v>3004</v>
      </c>
      <c r="J931" s="2" t="s">
        <v>1574</v>
      </c>
      <c r="K931" s="2" t="s">
        <v>35</v>
      </c>
      <c r="L931" s="2" t="s">
        <v>35</v>
      </c>
      <c r="M931" s="2">
        <v>63</v>
      </c>
      <c r="N931" s="2">
        <v>9</v>
      </c>
      <c r="O931" s="11">
        <v>44762.398453032409</v>
      </c>
      <c r="P931" s="11">
        <v>44762.399341412034</v>
      </c>
      <c r="Q931" s="27">
        <f t="shared" si="42"/>
        <v>8.8837962539400905E-4</v>
      </c>
      <c r="R931" s="65">
        <f t="shared" si="44"/>
        <v>1.0354976839153096E-3</v>
      </c>
      <c r="S931" s="2">
        <v>0</v>
      </c>
      <c r="T931" s="2" t="s">
        <v>54</v>
      </c>
      <c r="U931" s="2" t="s">
        <v>55</v>
      </c>
      <c r="V931" s="2" t="s">
        <v>38</v>
      </c>
      <c r="W931" s="2" t="s">
        <v>35</v>
      </c>
      <c r="X931" s="2" t="s">
        <v>35</v>
      </c>
      <c r="Y931" s="2" t="s">
        <v>35</v>
      </c>
      <c r="Z931" s="2" t="b">
        <v>1</v>
      </c>
      <c r="AA931" s="2" t="s">
        <v>35</v>
      </c>
      <c r="AB931" s="2" t="s">
        <v>35</v>
      </c>
      <c r="AC931" s="2" t="s">
        <v>35</v>
      </c>
      <c r="AD931" s="2" t="s">
        <v>35</v>
      </c>
      <c r="AE931" s="2" t="s">
        <v>2840</v>
      </c>
      <c r="AF931" s="11">
        <v>44762.350694444445</v>
      </c>
      <c r="AG931" s="53"/>
      <c r="AH931" s="53" t="b">
        <f t="shared" si="43"/>
        <v>0</v>
      </c>
      <c r="AI931" s="54" t="str" cm="1">
        <f t="array" ref="AI931">TRANSPOSE(_xlfn._xlws.FILTER(images!L:L,images!F:F=Barrierenmessung!A931, ""))</f>
        <v>https://captureandgo.cloudlab.zhaw.ch/uploads/image_9e2da4387d.jpg</v>
      </c>
      <c r="AJ931" s="2"/>
      <c r="AK931" s="2"/>
      <c r="AL931" s="2"/>
      <c r="AM931" s="2"/>
      <c r="AN931" s="2"/>
    </row>
    <row r="932" spans="1:40" ht="16" x14ac:dyDescent="0.2">
      <c r="A932" s="2" t="s">
        <v>3005</v>
      </c>
      <c r="B932" s="46">
        <v>931</v>
      </c>
      <c r="C932" s="2" t="b">
        <v>0</v>
      </c>
      <c r="D932" s="2" t="b">
        <v>0</v>
      </c>
      <c r="E932" s="2" t="b">
        <v>0</v>
      </c>
      <c r="F932" s="2" t="b">
        <v>0</v>
      </c>
      <c r="G932" s="2" t="s">
        <v>31</v>
      </c>
      <c r="H932" s="2" t="s">
        <v>3006</v>
      </c>
      <c r="I932" s="2" t="s">
        <v>3007</v>
      </c>
      <c r="J932" s="2" t="s">
        <v>2267</v>
      </c>
      <c r="K932" s="2" t="s">
        <v>35</v>
      </c>
      <c r="L932" s="2" t="s">
        <v>35</v>
      </c>
      <c r="M932" s="2">
        <v>4</v>
      </c>
      <c r="N932" s="2">
        <v>9</v>
      </c>
      <c r="O932" s="11">
        <v>44762.399485844908</v>
      </c>
      <c r="P932" s="11">
        <v>44762.399774548612</v>
      </c>
      <c r="Q932" s="27">
        <f t="shared" si="42"/>
        <v>2.8870370442746207E-4</v>
      </c>
      <c r="R932" s="65">
        <f t="shared" si="44"/>
        <v>4.3313657806720585E-4</v>
      </c>
      <c r="S932" s="2">
        <v>0</v>
      </c>
      <c r="T932" s="2" t="s">
        <v>54</v>
      </c>
      <c r="U932" s="2" t="s">
        <v>55</v>
      </c>
      <c r="V932" s="2" t="s">
        <v>38</v>
      </c>
      <c r="W932" s="2" t="s">
        <v>35</v>
      </c>
      <c r="X932" s="2" t="s">
        <v>35</v>
      </c>
      <c r="Y932" s="2" t="s">
        <v>35</v>
      </c>
      <c r="Z932" s="2" t="b">
        <v>1</v>
      </c>
      <c r="AA932" s="2" t="s">
        <v>35</v>
      </c>
      <c r="AB932" s="2" t="s">
        <v>35</v>
      </c>
      <c r="AC932" s="2" t="s">
        <v>35</v>
      </c>
      <c r="AD932" s="2" t="s">
        <v>35</v>
      </c>
      <c r="AE932" s="2" t="s">
        <v>2840</v>
      </c>
      <c r="AF932" s="11">
        <v>44762.350694444445</v>
      </c>
      <c r="AG932" s="53"/>
      <c r="AH932" s="53" t="b">
        <f t="shared" si="43"/>
        <v>0</v>
      </c>
      <c r="AI932" s="54" t="str" cm="1">
        <f t="array" ref="AI932">TRANSPOSE(_xlfn._xlws.FILTER(images!L:L,images!F:F=Barrierenmessung!A932, ""))</f>
        <v>https://captureandgo.cloudlab.zhaw.ch/uploads/image_44e1c42be9.jpg</v>
      </c>
      <c r="AJ932" s="2"/>
      <c r="AK932" s="2"/>
      <c r="AL932" s="2"/>
      <c r="AM932" s="2"/>
      <c r="AN932" s="2"/>
    </row>
    <row r="933" spans="1:40" ht="16" x14ac:dyDescent="0.2">
      <c r="A933" s="2" t="s">
        <v>3008</v>
      </c>
      <c r="B933" s="46">
        <v>932</v>
      </c>
      <c r="C933" s="2" t="b">
        <v>0</v>
      </c>
      <c r="D933" s="2" t="b">
        <v>0</v>
      </c>
      <c r="E933" s="2" t="b">
        <v>0</v>
      </c>
      <c r="F933" s="2" t="b">
        <v>0</v>
      </c>
      <c r="G933" s="2" t="s">
        <v>31</v>
      </c>
      <c r="H933" s="2" t="s">
        <v>3009</v>
      </c>
      <c r="I933" s="2" t="s">
        <v>3010</v>
      </c>
      <c r="J933" s="2" t="s">
        <v>35</v>
      </c>
      <c r="K933" s="2" t="s">
        <v>35</v>
      </c>
      <c r="L933" s="2" t="s">
        <v>35</v>
      </c>
      <c r="M933" s="2">
        <v>30</v>
      </c>
      <c r="N933" s="2">
        <v>15</v>
      </c>
      <c r="O933" s="11">
        <v>44762.400088692128</v>
      </c>
      <c r="P933" s="11">
        <v>44762.400515752313</v>
      </c>
      <c r="Q933" s="27">
        <f t="shared" si="42"/>
        <v>4.27060185757E-4</v>
      </c>
      <c r="R933" s="65">
        <f t="shared" si="44"/>
        <v>7.412037011818029E-4</v>
      </c>
      <c r="S933" s="2">
        <v>0</v>
      </c>
      <c r="T933" s="2" t="s">
        <v>54</v>
      </c>
      <c r="U933" s="2" t="s">
        <v>55</v>
      </c>
      <c r="V933" s="2" t="s">
        <v>38</v>
      </c>
      <c r="W933" s="2" t="s">
        <v>35</v>
      </c>
      <c r="X933" s="2" t="s">
        <v>35</v>
      </c>
      <c r="Y933" s="2" t="s">
        <v>35</v>
      </c>
      <c r="Z933" s="2" t="b">
        <v>0</v>
      </c>
      <c r="AA933" s="2" t="s">
        <v>35</v>
      </c>
      <c r="AB933" s="2" t="s">
        <v>35</v>
      </c>
      <c r="AC933" s="2" t="s">
        <v>35</v>
      </c>
      <c r="AD933" s="2" t="s">
        <v>35</v>
      </c>
      <c r="AE933" s="2" t="s">
        <v>2840</v>
      </c>
      <c r="AF933" s="11">
        <v>44762.350694444445</v>
      </c>
      <c r="AG933" s="53"/>
      <c r="AH933" s="53" t="b">
        <f t="shared" si="43"/>
        <v>0</v>
      </c>
      <c r="AI933" s="54" t="str" cm="1">
        <f t="array" ref="AI933">TRANSPOSE(_xlfn._xlws.FILTER(images!L:L,images!F:F=Barrierenmessung!A933, ""))</f>
        <v>https://captureandgo.cloudlab.zhaw.ch/uploads/image_5045dc7292.jpg</v>
      </c>
      <c r="AJ933" s="2"/>
      <c r="AK933" s="2"/>
      <c r="AL933" s="2"/>
      <c r="AM933" s="2"/>
      <c r="AN933" s="2"/>
    </row>
    <row r="934" spans="1:40" ht="16" x14ac:dyDescent="0.2">
      <c r="A934" s="2" t="s">
        <v>3011</v>
      </c>
      <c r="B934" s="46">
        <v>933</v>
      </c>
      <c r="C934" s="2" t="b">
        <v>0</v>
      </c>
      <c r="D934" s="2" t="b">
        <v>0</v>
      </c>
      <c r="E934" s="2" t="b">
        <v>0</v>
      </c>
      <c r="F934" s="2" t="b">
        <v>0</v>
      </c>
      <c r="G934" s="2" t="s">
        <v>31</v>
      </c>
      <c r="H934" s="2" t="s">
        <v>3012</v>
      </c>
      <c r="I934" s="2" t="s">
        <v>3013</v>
      </c>
      <c r="J934" s="2" t="s">
        <v>662</v>
      </c>
      <c r="K934" s="2" t="s">
        <v>35</v>
      </c>
      <c r="L934" s="2" t="s">
        <v>35</v>
      </c>
      <c r="M934" s="2" t="s">
        <v>35</v>
      </c>
      <c r="N934" s="2" t="s">
        <v>35</v>
      </c>
      <c r="O934" s="11">
        <v>44762.400926354167</v>
      </c>
      <c r="P934" s="11">
        <v>44762.401323715276</v>
      </c>
      <c r="Q934" s="27">
        <f t="shared" si="42"/>
        <v>3.9736110920784995E-4</v>
      </c>
      <c r="R934" s="65">
        <f t="shared" si="44"/>
        <v>8.0796296242624521E-4</v>
      </c>
      <c r="S934" s="2">
        <v>0</v>
      </c>
      <c r="T934" s="2" t="s">
        <v>36</v>
      </c>
      <c r="U934" s="2" t="s">
        <v>37</v>
      </c>
      <c r="V934" s="2" t="s">
        <v>38</v>
      </c>
      <c r="W934" s="2" t="s">
        <v>35</v>
      </c>
      <c r="X934" s="2" t="s">
        <v>35</v>
      </c>
      <c r="Y934" s="2" t="s">
        <v>35</v>
      </c>
      <c r="Z934" s="2" t="b">
        <v>0</v>
      </c>
      <c r="AA934" s="2" t="s">
        <v>35</v>
      </c>
      <c r="AB934" s="2" t="s">
        <v>35</v>
      </c>
      <c r="AC934" s="2">
        <v>6</v>
      </c>
      <c r="AD934" s="2" t="s">
        <v>35</v>
      </c>
      <c r="AE934" s="2" t="s">
        <v>2840</v>
      </c>
      <c r="AF934" s="11">
        <v>44762.350694444445</v>
      </c>
      <c r="AG934" s="53"/>
      <c r="AH934" s="53" t="b">
        <f t="shared" si="43"/>
        <v>0</v>
      </c>
      <c r="AI934" s="54" t="str" cm="1">
        <f t="array" ref="AI934">TRANSPOSE(_xlfn._xlws.FILTER(images!L:L,images!F:F=Barrierenmessung!A934, ""))</f>
        <v>https://captureandgo.cloudlab.zhaw.ch/uploads/image_860cbe9589.jpg</v>
      </c>
      <c r="AJ934" s="2"/>
      <c r="AK934" s="2"/>
      <c r="AL934" s="2"/>
      <c r="AM934" s="2"/>
      <c r="AN934" s="2"/>
    </row>
    <row r="935" spans="1:40" ht="16" x14ac:dyDescent="0.2">
      <c r="A935" s="2" t="s">
        <v>3014</v>
      </c>
      <c r="B935" s="46">
        <v>934</v>
      </c>
      <c r="C935" s="2" t="b">
        <v>0</v>
      </c>
      <c r="D935" s="2" t="b">
        <v>0</v>
      </c>
      <c r="E935" s="2" t="b">
        <v>0</v>
      </c>
      <c r="F935" s="2" t="b">
        <v>0</v>
      </c>
      <c r="G935" s="2" t="s">
        <v>31</v>
      </c>
      <c r="H935" s="2" t="s">
        <v>3015</v>
      </c>
      <c r="I935" s="2" t="s">
        <v>3016</v>
      </c>
      <c r="J935" s="2" t="s">
        <v>35</v>
      </c>
      <c r="K935" s="2" t="s">
        <v>35</v>
      </c>
      <c r="L935" s="2" t="s">
        <v>35</v>
      </c>
      <c r="M935" s="2">
        <v>2</v>
      </c>
      <c r="N935" s="2">
        <v>15</v>
      </c>
      <c r="O935" s="11">
        <v>44762.402332291669</v>
      </c>
      <c r="P935" s="11">
        <v>44762.402522881945</v>
      </c>
      <c r="Q935" s="27">
        <f t="shared" si="42"/>
        <v>1.9059027545154095E-4</v>
      </c>
      <c r="R935" s="65">
        <f t="shared" si="44"/>
        <v>1.199166668811813E-3</v>
      </c>
      <c r="S935" s="2">
        <v>0</v>
      </c>
      <c r="T935" s="2" t="s">
        <v>54</v>
      </c>
      <c r="U935" s="2" t="s">
        <v>55</v>
      </c>
      <c r="V935" s="2" t="s">
        <v>38</v>
      </c>
      <c r="W935" s="2" t="s">
        <v>35</v>
      </c>
      <c r="X935" s="2" t="s">
        <v>35</v>
      </c>
      <c r="Y935" s="2" t="s">
        <v>35</v>
      </c>
      <c r="Z935" s="2" t="b">
        <v>0</v>
      </c>
      <c r="AA935" s="2" t="s">
        <v>35</v>
      </c>
      <c r="AB935" s="2" t="s">
        <v>35</v>
      </c>
      <c r="AC935" s="2" t="s">
        <v>35</v>
      </c>
      <c r="AD935" s="2" t="s">
        <v>35</v>
      </c>
      <c r="AE935" s="2" t="s">
        <v>2840</v>
      </c>
      <c r="AF935" s="11">
        <v>44762.350694444445</v>
      </c>
      <c r="AG935" s="53"/>
      <c r="AH935" s="53" t="b">
        <f t="shared" si="43"/>
        <v>0</v>
      </c>
      <c r="AI935" s="54" t="str" cm="1">
        <f t="array" ref="AI935">TRANSPOSE(_xlfn._xlws.FILTER(images!L:L,images!F:F=Barrierenmessung!A935, ""))</f>
        <v>https://captureandgo.cloudlab.zhaw.ch/uploads/image_0310a27db5.jpg</v>
      </c>
      <c r="AJ935" s="2"/>
      <c r="AK935" s="2"/>
      <c r="AL935" s="2"/>
      <c r="AM935" s="2"/>
      <c r="AN935" s="2"/>
    </row>
    <row r="936" spans="1:40" ht="16" x14ac:dyDescent="0.2">
      <c r="A936" s="2" t="s">
        <v>3017</v>
      </c>
      <c r="B936" s="46">
        <v>935</v>
      </c>
      <c r="C936" s="2" t="b">
        <v>0</v>
      </c>
      <c r="D936" s="2" t="b">
        <v>0</v>
      </c>
      <c r="E936" s="2" t="b">
        <v>0</v>
      </c>
      <c r="F936" s="2" t="b">
        <v>0</v>
      </c>
      <c r="G936" s="2" t="s">
        <v>31</v>
      </c>
      <c r="H936" s="2" t="s">
        <v>3018</v>
      </c>
      <c r="I936" s="2" t="s">
        <v>3019</v>
      </c>
      <c r="J936" s="2" t="s">
        <v>35</v>
      </c>
      <c r="K936" s="2" t="s">
        <v>35</v>
      </c>
      <c r="L936" s="2" t="s">
        <v>35</v>
      </c>
      <c r="M936" s="2">
        <v>39</v>
      </c>
      <c r="N936" s="2">
        <v>15</v>
      </c>
      <c r="O936" s="11">
        <v>44762.402628587966</v>
      </c>
      <c r="P936" s="11">
        <v>44762.403149976853</v>
      </c>
      <c r="Q936" s="27">
        <f t="shared" si="42"/>
        <v>5.2138888713670895E-4</v>
      </c>
      <c r="R936" s="65">
        <f t="shared" si="44"/>
        <v>6.2709490885026753E-4</v>
      </c>
      <c r="S936" s="2">
        <v>0</v>
      </c>
      <c r="T936" s="2" t="s">
        <v>54</v>
      </c>
      <c r="U936" s="2" t="s">
        <v>55</v>
      </c>
      <c r="V936" s="2" t="s">
        <v>38</v>
      </c>
      <c r="W936" s="2" t="s">
        <v>35</v>
      </c>
      <c r="X936" s="2" t="s">
        <v>35</v>
      </c>
      <c r="Y936" s="2" t="s">
        <v>35</v>
      </c>
      <c r="Z936" s="2" t="b">
        <v>0</v>
      </c>
      <c r="AA936" s="2" t="s">
        <v>35</v>
      </c>
      <c r="AB936" s="2" t="s">
        <v>35</v>
      </c>
      <c r="AC936" s="2" t="s">
        <v>35</v>
      </c>
      <c r="AD936" s="2" t="s">
        <v>35</v>
      </c>
      <c r="AE936" s="2" t="s">
        <v>2840</v>
      </c>
      <c r="AF936" s="11">
        <v>44762.350694444445</v>
      </c>
      <c r="AG936" s="53"/>
      <c r="AH936" s="53" t="b">
        <f t="shared" si="43"/>
        <v>0</v>
      </c>
      <c r="AI936" s="54" t="str" cm="1">
        <f t="array" ref="AI936">TRANSPOSE(_xlfn._xlws.FILTER(images!L:L,images!F:F=Barrierenmessung!A936, ""))</f>
        <v>https://captureandgo.cloudlab.zhaw.ch/uploads/image_f84457a4be.jpg</v>
      </c>
      <c r="AJ936" s="2"/>
      <c r="AK936" s="2"/>
      <c r="AL936" s="2"/>
      <c r="AM936" s="2"/>
      <c r="AN936" s="2"/>
    </row>
    <row r="937" spans="1:40" ht="16" x14ac:dyDescent="0.2">
      <c r="A937" s="2" t="s">
        <v>3020</v>
      </c>
      <c r="B937" s="46">
        <v>936</v>
      </c>
      <c r="C937" s="2" t="b">
        <v>0</v>
      </c>
      <c r="D937" s="2" t="b">
        <v>0</v>
      </c>
      <c r="E937" s="2" t="b">
        <v>0</v>
      </c>
      <c r="F937" s="2" t="b">
        <v>0</v>
      </c>
      <c r="G937" s="2" t="s">
        <v>31</v>
      </c>
      <c r="H937" s="2" t="s">
        <v>3021</v>
      </c>
      <c r="I937" s="2" t="s">
        <v>3022</v>
      </c>
      <c r="J937" s="2" t="s">
        <v>35</v>
      </c>
      <c r="K937" s="2" t="s">
        <v>35</v>
      </c>
      <c r="L937" s="2" t="s">
        <v>35</v>
      </c>
      <c r="M937" s="2">
        <v>6</v>
      </c>
      <c r="N937" s="2">
        <v>15</v>
      </c>
      <c r="O937" s="11">
        <v>44762.403779340275</v>
      </c>
      <c r="P937" s="11">
        <v>44762.403904386571</v>
      </c>
      <c r="Q937" s="27">
        <f t="shared" si="42"/>
        <v>1.2504629557952285E-4</v>
      </c>
      <c r="R937" s="65">
        <f t="shared" si="44"/>
        <v>7.5440971704665571E-4</v>
      </c>
      <c r="S937" s="2">
        <v>0</v>
      </c>
      <c r="T937" s="2" t="s">
        <v>54</v>
      </c>
      <c r="U937" s="2" t="s">
        <v>55</v>
      </c>
      <c r="V937" s="2" t="s">
        <v>38</v>
      </c>
      <c r="W937" s="2" t="s">
        <v>35</v>
      </c>
      <c r="X937" s="2" t="s">
        <v>35</v>
      </c>
      <c r="Y937" s="2" t="s">
        <v>35</v>
      </c>
      <c r="Z937" s="2" t="b">
        <v>0</v>
      </c>
      <c r="AA937" s="2" t="s">
        <v>35</v>
      </c>
      <c r="AB937" s="2" t="s">
        <v>35</v>
      </c>
      <c r="AC937" s="2" t="s">
        <v>35</v>
      </c>
      <c r="AD937" s="2" t="s">
        <v>35</v>
      </c>
      <c r="AE937" s="2" t="s">
        <v>2840</v>
      </c>
      <c r="AF937" s="11">
        <v>44762.350694444445</v>
      </c>
      <c r="AG937" s="53"/>
      <c r="AH937" s="53" t="b">
        <f t="shared" si="43"/>
        <v>0</v>
      </c>
      <c r="AI937" s="54" t="str" cm="1">
        <f t="array" ref="AI937">TRANSPOSE(_xlfn._xlws.FILTER(images!L:L,images!F:F=Barrierenmessung!A937, ""))</f>
        <v>https://captureandgo.cloudlab.zhaw.ch/uploads/image_355dde41d3.jpg</v>
      </c>
      <c r="AJ937" s="2"/>
      <c r="AK937" s="2"/>
      <c r="AL937" s="2"/>
      <c r="AM937" s="2"/>
      <c r="AN937" s="2"/>
    </row>
    <row r="938" spans="1:40" ht="16" x14ac:dyDescent="0.2">
      <c r="A938" s="2" t="s">
        <v>3023</v>
      </c>
      <c r="B938" s="46">
        <v>937</v>
      </c>
      <c r="C938" s="2" t="b">
        <v>0</v>
      </c>
      <c r="D938" s="2" t="b">
        <v>0</v>
      </c>
      <c r="E938" s="2" t="b">
        <v>0</v>
      </c>
      <c r="F938" s="2" t="b">
        <v>0</v>
      </c>
      <c r="G938" s="2" t="s">
        <v>31</v>
      </c>
      <c r="H938" s="2" t="s">
        <v>3024</v>
      </c>
      <c r="I938" s="2" t="s">
        <v>3025</v>
      </c>
      <c r="J938" s="2" t="s">
        <v>35</v>
      </c>
      <c r="K938" s="2" t="s">
        <v>35</v>
      </c>
      <c r="L938" s="2" t="s">
        <v>35</v>
      </c>
      <c r="M938" s="2">
        <v>3</v>
      </c>
      <c r="N938" s="2">
        <v>12</v>
      </c>
      <c r="O938" s="11">
        <v>44762.405081527781</v>
      </c>
      <c r="P938" s="11">
        <v>44762.405263194443</v>
      </c>
      <c r="Q938" s="27">
        <f t="shared" si="42"/>
        <v>1.8166666268371046E-4</v>
      </c>
      <c r="R938" s="65">
        <f t="shared" si="44"/>
        <v>1.3588078727480024E-3</v>
      </c>
      <c r="S938" s="2">
        <v>0</v>
      </c>
      <c r="T938" s="2" t="s">
        <v>54</v>
      </c>
      <c r="U938" s="2" t="s">
        <v>55</v>
      </c>
      <c r="V938" s="2" t="s">
        <v>38</v>
      </c>
      <c r="W938" s="2" t="s">
        <v>35</v>
      </c>
      <c r="X938" s="2" t="s">
        <v>35</v>
      </c>
      <c r="Y938" s="2" t="s">
        <v>35</v>
      </c>
      <c r="Z938" s="2" t="b">
        <v>0</v>
      </c>
      <c r="AA938" s="2" t="s">
        <v>35</v>
      </c>
      <c r="AB938" s="2" t="s">
        <v>35</v>
      </c>
      <c r="AC938" s="2" t="s">
        <v>35</v>
      </c>
      <c r="AD938" s="2" t="s">
        <v>35</v>
      </c>
      <c r="AE938" s="2" t="s">
        <v>2840</v>
      </c>
      <c r="AF938" s="11">
        <v>44762.350694444445</v>
      </c>
      <c r="AG938" s="53"/>
      <c r="AH938" s="53" t="b">
        <f t="shared" si="43"/>
        <v>0</v>
      </c>
      <c r="AI938" s="54" t="str" cm="1">
        <f t="array" ref="AI938">TRANSPOSE(_xlfn._xlws.FILTER(images!L:L,images!F:F=Barrierenmessung!A938, ""))</f>
        <v>https://captureandgo.cloudlab.zhaw.ch/uploads/image_347ed68ead.jpg</v>
      </c>
      <c r="AJ938" s="2"/>
      <c r="AK938" s="2"/>
      <c r="AL938" s="2"/>
      <c r="AM938" s="2"/>
      <c r="AN938" s="2"/>
    </row>
    <row r="939" spans="1:40" ht="16" x14ac:dyDescent="0.2">
      <c r="A939" s="2" t="s">
        <v>3026</v>
      </c>
      <c r="B939" s="46">
        <v>938</v>
      </c>
      <c r="C939" s="2" t="b">
        <v>0</v>
      </c>
      <c r="D939" s="2" t="b">
        <v>0</v>
      </c>
      <c r="E939" s="2" t="b">
        <v>0</v>
      </c>
      <c r="F939" s="2" t="b">
        <v>0</v>
      </c>
      <c r="G939" s="2" t="s">
        <v>31</v>
      </c>
      <c r="H939" s="2" t="s">
        <v>3027</v>
      </c>
      <c r="I939" s="2" t="s">
        <v>3028</v>
      </c>
      <c r="J939" s="2" t="s">
        <v>3029</v>
      </c>
      <c r="K939" s="2" t="s">
        <v>35</v>
      </c>
      <c r="L939" s="2" t="s">
        <v>35</v>
      </c>
      <c r="M939" s="2" t="s">
        <v>35</v>
      </c>
      <c r="N939" s="2" t="s">
        <v>35</v>
      </c>
      <c r="O939" s="11">
        <v>44762.405527812502</v>
      </c>
      <c r="P939" s="11">
        <v>44762.405808530093</v>
      </c>
      <c r="Q939" s="27">
        <f t="shared" si="42"/>
        <v>2.807175915222615E-4</v>
      </c>
      <c r="R939" s="65">
        <f t="shared" si="44"/>
        <v>5.4533564980374649E-4</v>
      </c>
      <c r="S939" s="2">
        <v>0</v>
      </c>
      <c r="T939" s="2" t="s">
        <v>36</v>
      </c>
      <c r="U939" s="2" t="s">
        <v>37</v>
      </c>
      <c r="V939" s="2" t="s">
        <v>38</v>
      </c>
      <c r="W939" s="2" t="s">
        <v>35</v>
      </c>
      <c r="X939" s="2" t="s">
        <v>35</v>
      </c>
      <c r="Y939" s="2" t="s">
        <v>35</v>
      </c>
      <c r="Z939" s="2" t="b">
        <v>0</v>
      </c>
      <c r="AA939" s="2" t="s">
        <v>35</v>
      </c>
      <c r="AB939" s="2" t="s">
        <v>35</v>
      </c>
      <c r="AC939" s="2">
        <v>5</v>
      </c>
      <c r="AD939" s="2" t="s">
        <v>35</v>
      </c>
      <c r="AE939" s="2" t="s">
        <v>2840</v>
      </c>
      <c r="AF939" s="11">
        <v>44762.350694444445</v>
      </c>
      <c r="AG939" s="53"/>
      <c r="AH939" s="53" t="b">
        <f t="shared" si="43"/>
        <v>0</v>
      </c>
      <c r="AI939" s="54" t="str" cm="1">
        <f t="array" ref="AI939">TRANSPOSE(_xlfn._xlws.FILTER(images!L:L,images!F:F=Barrierenmessung!A939, ""))</f>
        <v>https://captureandgo.cloudlab.zhaw.ch/uploads/image_fa8e3dc733.jpg</v>
      </c>
      <c r="AJ939" s="2"/>
      <c r="AK939" s="2"/>
      <c r="AL939" s="2"/>
      <c r="AM939" s="2"/>
      <c r="AN939" s="2"/>
    </row>
    <row r="940" spans="1:40" ht="16" x14ac:dyDescent="0.2">
      <c r="A940" s="2" t="s">
        <v>3030</v>
      </c>
      <c r="B940" s="46">
        <v>939</v>
      </c>
      <c r="C940" s="2" t="b">
        <v>0</v>
      </c>
      <c r="D940" s="2" t="b">
        <v>0</v>
      </c>
      <c r="E940" s="2" t="b">
        <v>0</v>
      </c>
      <c r="F940" s="2" t="b">
        <v>0</v>
      </c>
      <c r="G940" s="2" t="s">
        <v>31</v>
      </c>
      <c r="H940" s="2" t="s">
        <v>3031</v>
      </c>
      <c r="I940" s="2" t="s">
        <v>3032</v>
      </c>
      <c r="J940" s="2" t="s">
        <v>35</v>
      </c>
      <c r="K940" s="2" t="s">
        <v>35</v>
      </c>
      <c r="L940" s="2" t="s">
        <v>35</v>
      </c>
      <c r="M940" s="2" t="s">
        <v>35</v>
      </c>
      <c r="N940" s="2" t="s">
        <v>35</v>
      </c>
      <c r="O940" s="11">
        <v>44762.406070844911</v>
      </c>
      <c r="P940" s="11">
        <v>44762.406559039351</v>
      </c>
      <c r="Q940" s="27">
        <f t="shared" si="42"/>
        <v>4.8819444054970518E-4</v>
      </c>
      <c r="R940" s="65">
        <f t="shared" si="44"/>
        <v>7.5050925806863233E-4</v>
      </c>
      <c r="S940" s="2">
        <v>0</v>
      </c>
      <c r="T940" s="2" t="s">
        <v>36</v>
      </c>
      <c r="U940" s="2" t="s">
        <v>37</v>
      </c>
      <c r="V940" s="2" t="s">
        <v>38</v>
      </c>
      <c r="W940" s="2" t="s">
        <v>35</v>
      </c>
      <c r="X940" s="2" t="s">
        <v>35</v>
      </c>
      <c r="Y940" s="2" t="s">
        <v>35</v>
      </c>
      <c r="Z940" s="2" t="b">
        <v>0</v>
      </c>
      <c r="AA940" s="2" t="s">
        <v>2697</v>
      </c>
      <c r="AB940" s="2" t="s">
        <v>35</v>
      </c>
      <c r="AC940" s="2" t="s">
        <v>35</v>
      </c>
      <c r="AD940" s="2" t="s">
        <v>35</v>
      </c>
      <c r="AE940" s="2" t="s">
        <v>2840</v>
      </c>
      <c r="AF940" s="11">
        <v>44762.350694444445</v>
      </c>
      <c r="AG940" s="53"/>
      <c r="AH940" s="53" t="b">
        <f t="shared" si="43"/>
        <v>0</v>
      </c>
      <c r="AI940" s="54" t="str" cm="1">
        <f t="array" ref="AI940">TRANSPOSE(_xlfn._xlws.FILTER(images!L:L,images!F:F=Barrierenmessung!A940, ""))</f>
        <v>https://captureandgo.cloudlab.zhaw.ch/uploads/image_c6ae51fbc3.jpg</v>
      </c>
      <c r="AJ940" s="2"/>
      <c r="AK940" s="2"/>
      <c r="AL940" s="2"/>
      <c r="AM940" s="2"/>
      <c r="AN940" s="2"/>
    </row>
    <row r="941" spans="1:40" ht="16" x14ac:dyDescent="0.2">
      <c r="A941" s="2" t="s">
        <v>3033</v>
      </c>
      <c r="B941" s="46">
        <v>940</v>
      </c>
      <c r="C941" s="2" t="b">
        <v>0</v>
      </c>
      <c r="D941" s="2" t="b">
        <v>0</v>
      </c>
      <c r="E941" s="2" t="b">
        <v>0</v>
      </c>
      <c r="F941" s="2" t="b">
        <v>0</v>
      </c>
      <c r="G941" s="2" t="s">
        <v>31</v>
      </c>
      <c r="H941" s="2" t="s">
        <v>3034</v>
      </c>
      <c r="I941" s="2" t="s">
        <v>3035</v>
      </c>
      <c r="J941" s="2" t="s">
        <v>1275</v>
      </c>
      <c r="K941" s="2" t="s">
        <v>35</v>
      </c>
      <c r="L941" s="2" t="s">
        <v>35</v>
      </c>
      <c r="M941" s="2" t="s">
        <v>35</v>
      </c>
      <c r="N941" s="2" t="s">
        <v>35</v>
      </c>
      <c r="O941" s="11">
        <v>44762.411712094909</v>
      </c>
      <c r="P941" s="11">
        <v>44762.411981666664</v>
      </c>
      <c r="Q941" s="27">
        <f t="shared" si="42"/>
        <v>2.6957175577990711E-4</v>
      </c>
      <c r="R941" s="65">
        <f t="shared" si="44"/>
        <v>5.4226273132371716E-3</v>
      </c>
      <c r="S941" s="2">
        <v>0</v>
      </c>
      <c r="T941" s="2" t="s">
        <v>36</v>
      </c>
      <c r="U941" s="2" t="s">
        <v>37</v>
      </c>
      <c r="V941" s="2" t="s">
        <v>38</v>
      </c>
      <c r="W941" s="2" t="s">
        <v>35</v>
      </c>
      <c r="X941" s="2" t="s">
        <v>35</v>
      </c>
      <c r="Y941" s="2" t="s">
        <v>35</v>
      </c>
      <c r="Z941" s="2" t="b">
        <v>0</v>
      </c>
      <c r="AA941" s="2" t="s">
        <v>35</v>
      </c>
      <c r="AB941" s="2" t="s">
        <v>35</v>
      </c>
      <c r="AC941" s="2">
        <v>4</v>
      </c>
      <c r="AD941" s="2" t="s">
        <v>35</v>
      </c>
      <c r="AE941" s="2" t="s">
        <v>2840</v>
      </c>
      <c r="AF941" s="11">
        <v>44762.350694444445</v>
      </c>
      <c r="AG941" s="53"/>
      <c r="AH941" s="53" t="b">
        <f t="shared" si="43"/>
        <v>0</v>
      </c>
      <c r="AI941" s="54" t="str" cm="1">
        <f t="array" ref="AI941">TRANSPOSE(_xlfn._xlws.FILTER(images!L:L,images!F:F=Barrierenmessung!A941, ""))</f>
        <v>https://captureandgo.cloudlab.zhaw.ch/uploads/image_877c39557d.jpg</v>
      </c>
      <c r="AJ941" s="2"/>
      <c r="AK941" s="2"/>
      <c r="AL941" s="2"/>
      <c r="AM941" s="2"/>
      <c r="AN941" s="2"/>
    </row>
    <row r="942" spans="1:40" ht="16" x14ac:dyDescent="0.2">
      <c r="A942" s="2" t="s">
        <v>3036</v>
      </c>
      <c r="B942" s="46">
        <v>941</v>
      </c>
      <c r="C942" s="2" t="b">
        <v>0</v>
      </c>
      <c r="D942" s="2" t="b">
        <v>0</v>
      </c>
      <c r="E942" s="2" t="b">
        <v>0</v>
      </c>
      <c r="F942" s="2" t="b">
        <v>0</v>
      </c>
      <c r="G942" s="2" t="s">
        <v>31</v>
      </c>
      <c r="H942" s="2" t="s">
        <v>3037</v>
      </c>
      <c r="I942" s="2" t="s">
        <v>3038</v>
      </c>
      <c r="J942" s="2" t="s">
        <v>35</v>
      </c>
      <c r="K942" s="2" t="s">
        <v>35</v>
      </c>
      <c r="L942" s="2" t="s">
        <v>35</v>
      </c>
      <c r="M942" s="2" t="s">
        <v>35</v>
      </c>
      <c r="N942" s="2" t="s">
        <v>35</v>
      </c>
      <c r="O942" s="11">
        <v>44762.412477002312</v>
      </c>
      <c r="P942" s="11">
        <v>44762.412743842593</v>
      </c>
      <c r="Q942" s="27">
        <f t="shared" si="42"/>
        <v>2.6684028125600889E-4</v>
      </c>
      <c r="R942" s="65">
        <f t="shared" si="44"/>
        <v>7.6217592868488282E-4</v>
      </c>
      <c r="S942" s="2">
        <v>0</v>
      </c>
      <c r="T942" s="2" t="s">
        <v>36</v>
      </c>
      <c r="U942" s="2" t="s">
        <v>37</v>
      </c>
      <c r="V942" s="2" t="s">
        <v>38</v>
      </c>
      <c r="W942" s="2" t="s">
        <v>35</v>
      </c>
      <c r="X942" s="2" t="s">
        <v>35</v>
      </c>
      <c r="Y942" s="2" t="s">
        <v>35</v>
      </c>
      <c r="Z942" s="2" t="b">
        <v>0</v>
      </c>
      <c r="AA942" s="2" t="s">
        <v>35</v>
      </c>
      <c r="AB942" s="2" t="s">
        <v>35</v>
      </c>
      <c r="AC942" s="2" t="s">
        <v>35</v>
      </c>
      <c r="AD942" s="2">
        <v>3</v>
      </c>
      <c r="AE942" s="2" t="s">
        <v>2840</v>
      </c>
      <c r="AF942" s="11">
        <v>44762.350694444445</v>
      </c>
      <c r="AG942" s="53"/>
      <c r="AH942" s="53" t="b">
        <f t="shared" si="43"/>
        <v>0</v>
      </c>
      <c r="AI942" s="54" t="str" cm="1">
        <f t="array" ref="AI942">TRANSPOSE(_xlfn._xlws.FILTER(images!L:L,images!F:F=Barrierenmessung!A942, ""))</f>
        <v>https://captureandgo.cloudlab.zhaw.ch/uploads/image_4bc7556363.jpg</v>
      </c>
      <c r="AJ942" s="2"/>
      <c r="AK942" s="2"/>
      <c r="AL942" s="2"/>
      <c r="AM942" s="2"/>
      <c r="AN942" s="2"/>
    </row>
    <row r="943" spans="1:40" ht="16" x14ac:dyDescent="0.2">
      <c r="A943" s="2" t="s">
        <v>3039</v>
      </c>
      <c r="B943" s="46">
        <v>942</v>
      </c>
      <c r="C943" s="2" t="b">
        <v>0</v>
      </c>
      <c r="D943" s="2" t="b">
        <v>0</v>
      </c>
      <c r="E943" s="2" t="b">
        <v>0</v>
      </c>
      <c r="F943" s="2" t="b">
        <v>0</v>
      </c>
      <c r="G943" s="2" t="s">
        <v>31</v>
      </c>
      <c r="H943" s="2" t="s">
        <v>3040</v>
      </c>
      <c r="I943" s="2" t="s">
        <v>3041</v>
      </c>
      <c r="J943" s="2" t="s">
        <v>35</v>
      </c>
      <c r="K943" s="2" t="s">
        <v>35</v>
      </c>
      <c r="L943" s="2">
        <v>14</v>
      </c>
      <c r="M943" s="2" t="s">
        <v>35</v>
      </c>
      <c r="N943" s="2" t="s">
        <v>35</v>
      </c>
      <c r="O943" s="11">
        <v>44762.413060694445</v>
      </c>
      <c r="P943" s="11">
        <v>44762.413368414353</v>
      </c>
      <c r="Q943" s="27">
        <f t="shared" si="42"/>
        <v>3.0771990714129061E-4</v>
      </c>
      <c r="R943" s="65">
        <f t="shared" si="44"/>
        <v>6.2457175954477862E-4</v>
      </c>
      <c r="S943" s="2">
        <v>0</v>
      </c>
      <c r="T943" s="2" t="s">
        <v>265</v>
      </c>
      <c r="U943" s="2" t="s">
        <v>266</v>
      </c>
      <c r="V943" s="2" t="s">
        <v>38</v>
      </c>
      <c r="W943" s="2" t="s">
        <v>35</v>
      </c>
      <c r="X943" s="2" t="s">
        <v>35</v>
      </c>
      <c r="Y943" s="2" t="s">
        <v>35</v>
      </c>
      <c r="Z943" s="2" t="b">
        <v>0</v>
      </c>
      <c r="AA943" s="2" t="s">
        <v>35</v>
      </c>
      <c r="AB943" s="2" t="s">
        <v>35</v>
      </c>
      <c r="AC943" s="2" t="s">
        <v>35</v>
      </c>
      <c r="AD943" s="2" t="s">
        <v>35</v>
      </c>
      <c r="AE943" s="2" t="s">
        <v>2840</v>
      </c>
      <c r="AF943" s="11">
        <v>44762.350694444445</v>
      </c>
      <c r="AG943" s="53"/>
      <c r="AH943" s="53" t="b">
        <f t="shared" si="43"/>
        <v>0</v>
      </c>
      <c r="AI943" s="54" t="str" cm="1">
        <f t="array" ref="AI943">TRANSPOSE(_xlfn._xlws.FILTER(images!L:L,images!F:F=Barrierenmessung!A943, ""))</f>
        <v>https://captureandgo.cloudlab.zhaw.ch/uploads/image_f0689d7dc1.jpg</v>
      </c>
      <c r="AJ943" s="2"/>
      <c r="AK943" s="2"/>
      <c r="AL943" s="2"/>
      <c r="AM943" s="2"/>
      <c r="AN943" s="2"/>
    </row>
    <row r="944" spans="1:40" ht="16" x14ac:dyDescent="0.2">
      <c r="A944" s="2" t="s">
        <v>3042</v>
      </c>
      <c r="B944" s="46">
        <v>943</v>
      </c>
      <c r="C944" s="2" t="b">
        <v>0</v>
      </c>
      <c r="D944" s="2" t="b">
        <v>0</v>
      </c>
      <c r="E944" s="2" t="b">
        <v>0</v>
      </c>
      <c r="F944" s="2" t="b">
        <v>0</v>
      </c>
      <c r="G944" s="2" t="s">
        <v>31</v>
      </c>
      <c r="H944" s="2" t="s">
        <v>3043</v>
      </c>
      <c r="I944" s="2" t="s">
        <v>3044</v>
      </c>
      <c r="J944" s="2" t="s">
        <v>35</v>
      </c>
      <c r="K944" s="2" t="s">
        <v>35</v>
      </c>
      <c r="L944" s="2">
        <v>13</v>
      </c>
      <c r="M944" s="2" t="s">
        <v>35</v>
      </c>
      <c r="N944" s="2" t="s">
        <v>35</v>
      </c>
      <c r="O944" s="11">
        <v>44762.413397951386</v>
      </c>
      <c r="P944" s="11">
        <v>44762.413576631945</v>
      </c>
      <c r="Q944" s="27">
        <f t="shared" si="42"/>
        <v>1.7868055874714628E-4</v>
      </c>
      <c r="R944" s="65">
        <f t="shared" si="44"/>
        <v>2.0821759244427085E-4</v>
      </c>
      <c r="S944" s="2">
        <v>0</v>
      </c>
      <c r="T944" s="2" t="s">
        <v>265</v>
      </c>
      <c r="U944" s="2" t="s">
        <v>266</v>
      </c>
      <c r="V944" s="2" t="s">
        <v>38</v>
      </c>
      <c r="W944" s="2" t="s">
        <v>35</v>
      </c>
      <c r="X944" s="2" t="s">
        <v>35</v>
      </c>
      <c r="Y944" s="2" t="s">
        <v>35</v>
      </c>
      <c r="Z944" s="2" t="b">
        <v>0</v>
      </c>
      <c r="AA944" s="2" t="s">
        <v>35</v>
      </c>
      <c r="AB944" s="2" t="s">
        <v>35</v>
      </c>
      <c r="AC944" s="2" t="s">
        <v>35</v>
      </c>
      <c r="AD944" s="2" t="s">
        <v>35</v>
      </c>
      <c r="AE944" s="2" t="s">
        <v>2840</v>
      </c>
      <c r="AF944" s="11">
        <v>44762.350694444445</v>
      </c>
      <c r="AG944" s="53"/>
      <c r="AH944" s="53" t="b">
        <f t="shared" si="43"/>
        <v>0</v>
      </c>
      <c r="AI944" s="54" t="str" cm="1">
        <f t="array" ref="AI944">TRANSPOSE(_xlfn._xlws.FILTER(images!L:L,images!F:F=Barrierenmessung!A944, ""))</f>
        <v>https://captureandgo.cloudlab.zhaw.ch/uploads/image_6e7cf06b1d.jpg</v>
      </c>
      <c r="AJ944" s="2"/>
      <c r="AK944" s="2"/>
      <c r="AL944" s="2"/>
      <c r="AM944" s="2"/>
      <c r="AN944" s="2"/>
    </row>
    <row r="945" spans="1:40" ht="16" x14ac:dyDescent="0.2">
      <c r="A945" s="2" t="s">
        <v>3045</v>
      </c>
      <c r="B945" s="46">
        <v>944</v>
      </c>
      <c r="C945" s="2" t="b">
        <v>0</v>
      </c>
      <c r="D945" s="2" t="b">
        <v>0</v>
      </c>
      <c r="E945" s="2" t="b">
        <v>0</v>
      </c>
      <c r="F945" s="2" t="b">
        <v>0</v>
      </c>
      <c r="G945" s="2" t="s">
        <v>31</v>
      </c>
      <c r="H945" s="2" t="s">
        <v>3046</v>
      </c>
      <c r="I945" s="2" t="s">
        <v>3047</v>
      </c>
      <c r="J945" s="2" t="s">
        <v>35</v>
      </c>
      <c r="K945" s="2" t="s">
        <v>35</v>
      </c>
      <c r="L945" s="2" t="s">
        <v>35</v>
      </c>
      <c r="M945" s="2">
        <v>8</v>
      </c>
      <c r="N945" s="2">
        <v>16</v>
      </c>
      <c r="O945" s="11">
        <v>44762.413604456022</v>
      </c>
      <c r="P945" s="11">
        <v>44762.413873668978</v>
      </c>
      <c r="Q945" s="27">
        <f t="shared" si="42"/>
        <v>2.6921295648207888E-4</v>
      </c>
      <c r="R945" s="65">
        <f t="shared" si="44"/>
        <v>2.9703703330596909E-4</v>
      </c>
      <c r="S945" s="2">
        <v>0</v>
      </c>
      <c r="T945" s="2" t="s">
        <v>54</v>
      </c>
      <c r="U945" s="2" t="s">
        <v>55</v>
      </c>
      <c r="V945" s="2" t="s">
        <v>38</v>
      </c>
      <c r="W945" s="2" t="s">
        <v>35</v>
      </c>
      <c r="X945" s="2" t="s">
        <v>35</v>
      </c>
      <c r="Y945" s="2" t="s">
        <v>35</v>
      </c>
      <c r="Z945" s="2" t="b">
        <v>0</v>
      </c>
      <c r="AA945" s="2" t="s">
        <v>35</v>
      </c>
      <c r="AB945" s="2" t="s">
        <v>35</v>
      </c>
      <c r="AC945" s="2" t="s">
        <v>35</v>
      </c>
      <c r="AD945" s="2" t="s">
        <v>35</v>
      </c>
      <c r="AE945" s="2" t="s">
        <v>2840</v>
      </c>
      <c r="AF945" s="11">
        <v>44762.350694444445</v>
      </c>
      <c r="AG945" s="53"/>
      <c r="AH945" s="53" t="b">
        <f t="shared" si="43"/>
        <v>0</v>
      </c>
      <c r="AI945" s="54" t="str" cm="1">
        <f t="array" ref="AI945">TRANSPOSE(_xlfn._xlws.FILTER(images!L:L,images!F:F=Barrierenmessung!A945, ""))</f>
        <v>https://captureandgo.cloudlab.zhaw.ch/uploads/image_e5cf34dab2.jpg</v>
      </c>
      <c r="AJ945" s="2"/>
      <c r="AK945" s="2"/>
      <c r="AL945" s="2"/>
      <c r="AM945" s="2"/>
      <c r="AN945" s="2"/>
    </row>
    <row r="946" spans="1:40" ht="16" x14ac:dyDescent="0.2">
      <c r="A946" s="2" t="s">
        <v>3048</v>
      </c>
      <c r="B946" s="46">
        <v>945</v>
      </c>
      <c r="C946" s="2" t="b">
        <v>0</v>
      </c>
      <c r="D946" s="2" t="b">
        <v>0</v>
      </c>
      <c r="E946" s="2" t="b">
        <v>0</v>
      </c>
      <c r="F946" s="2" t="b">
        <v>0</v>
      </c>
      <c r="G946" s="2" t="s">
        <v>31</v>
      </c>
      <c r="H946" s="2" t="s">
        <v>3049</v>
      </c>
      <c r="I946" s="2" t="s">
        <v>3050</v>
      </c>
      <c r="J946" s="2" t="s">
        <v>3051</v>
      </c>
      <c r="K946" s="2" t="s">
        <v>35</v>
      </c>
      <c r="L946" s="2" t="s">
        <v>35</v>
      </c>
      <c r="M946" s="2" t="s">
        <v>35</v>
      </c>
      <c r="N946" s="2" t="s">
        <v>35</v>
      </c>
      <c r="O946" s="11">
        <v>44762.414184212961</v>
      </c>
      <c r="P946" s="11">
        <v>44762.414817881945</v>
      </c>
      <c r="Q946" s="27">
        <f t="shared" si="42"/>
        <v>6.3366898393724114E-4</v>
      </c>
      <c r="R946" s="65">
        <f t="shared" si="44"/>
        <v>9.4421296671498567E-4</v>
      </c>
      <c r="S946" s="2">
        <v>0</v>
      </c>
      <c r="T946" s="2" t="s">
        <v>36</v>
      </c>
      <c r="U946" s="2" t="s">
        <v>37</v>
      </c>
      <c r="V946" s="2" t="s">
        <v>38</v>
      </c>
      <c r="W946" s="2" t="s">
        <v>35</v>
      </c>
      <c r="X946" s="2" t="s">
        <v>35</v>
      </c>
      <c r="Y946" s="2" t="s">
        <v>35</v>
      </c>
      <c r="Z946" s="2" t="b">
        <v>0</v>
      </c>
      <c r="AA946" s="2" t="s">
        <v>35</v>
      </c>
      <c r="AB946" s="2" t="s">
        <v>35</v>
      </c>
      <c r="AC946" s="2">
        <v>10</v>
      </c>
      <c r="AD946" s="2" t="s">
        <v>35</v>
      </c>
      <c r="AE946" s="2" t="s">
        <v>2840</v>
      </c>
      <c r="AF946" s="11">
        <v>44762.350694444445</v>
      </c>
      <c r="AG946" s="53"/>
      <c r="AH946" s="53" t="b">
        <f t="shared" si="43"/>
        <v>0</v>
      </c>
      <c r="AI946" s="54" t="str" cm="1">
        <f t="array" ref="AI946">TRANSPOSE(_xlfn._xlws.FILTER(images!L:L,images!F:F=Barrierenmessung!A946, ""))</f>
        <v>https://captureandgo.cloudlab.zhaw.ch/uploads/image_2b4d0b22c9.jpg</v>
      </c>
      <c r="AJ946" s="2"/>
      <c r="AK946" s="2"/>
      <c r="AL946" s="2"/>
      <c r="AM946" s="2"/>
      <c r="AN946" s="2"/>
    </row>
    <row r="947" spans="1:40" ht="16" x14ac:dyDescent="0.2">
      <c r="A947" s="2" t="s">
        <v>3052</v>
      </c>
      <c r="B947" s="46">
        <v>946</v>
      </c>
      <c r="C947" s="2" t="b">
        <v>0</v>
      </c>
      <c r="D947" s="2" t="b">
        <v>0</v>
      </c>
      <c r="E947" s="2" t="b">
        <v>0</v>
      </c>
      <c r="F947" s="2" t="b">
        <v>0</v>
      </c>
      <c r="G947" s="2" t="s">
        <v>31</v>
      </c>
      <c r="H947" s="2" t="s">
        <v>3053</v>
      </c>
      <c r="I947" s="2" t="s">
        <v>3054</v>
      </c>
      <c r="J947" s="2" t="s">
        <v>3055</v>
      </c>
      <c r="K947" s="2" t="s">
        <v>35</v>
      </c>
      <c r="L947" s="2" t="s">
        <v>35</v>
      </c>
      <c r="M947" s="2" t="s">
        <v>35</v>
      </c>
      <c r="N947" s="2" t="s">
        <v>35</v>
      </c>
      <c r="O947" s="11">
        <v>44762.41934630787</v>
      </c>
      <c r="P947" s="11">
        <v>44762.419680914354</v>
      </c>
      <c r="Q947" s="27">
        <f t="shared" si="42"/>
        <v>3.3460648410255089E-4</v>
      </c>
      <c r="R947" s="65">
        <f t="shared" si="44"/>
        <v>4.8630324090481736E-3</v>
      </c>
      <c r="S947" s="2">
        <v>0</v>
      </c>
      <c r="T947" s="2" t="s">
        <v>36</v>
      </c>
      <c r="U947" s="2" t="s">
        <v>37</v>
      </c>
      <c r="V947" s="2" t="s">
        <v>38</v>
      </c>
      <c r="W947" s="2" t="s">
        <v>35</v>
      </c>
      <c r="X947" s="2" t="s">
        <v>35</v>
      </c>
      <c r="Y947" s="2" t="s">
        <v>35</v>
      </c>
      <c r="Z947" s="2" t="b">
        <v>0</v>
      </c>
      <c r="AA947" s="2" t="s">
        <v>35</v>
      </c>
      <c r="AB947" s="2" t="s">
        <v>35</v>
      </c>
      <c r="AC947" s="2">
        <v>5</v>
      </c>
      <c r="AD947" s="2" t="s">
        <v>35</v>
      </c>
      <c r="AE947" s="2" t="s">
        <v>2840</v>
      </c>
      <c r="AF947" s="11">
        <v>44762.350694444445</v>
      </c>
      <c r="AG947" s="53"/>
      <c r="AH947" s="53" t="b">
        <f t="shared" si="43"/>
        <v>0</v>
      </c>
      <c r="AI947" s="54" t="str" cm="1">
        <f t="array" ref="AI947">TRANSPOSE(_xlfn._xlws.FILTER(images!L:L,images!F:F=Barrierenmessung!A947, ""))</f>
        <v>https://captureandgo.cloudlab.zhaw.ch/uploads/image_9a5a2dc3e2.jpg</v>
      </c>
      <c r="AJ947" s="2"/>
      <c r="AK947" s="2"/>
      <c r="AL947" s="2"/>
      <c r="AM947" s="2"/>
      <c r="AN947" s="2"/>
    </row>
    <row r="948" spans="1:40" ht="16" x14ac:dyDescent="0.2">
      <c r="A948" s="2" t="s">
        <v>3056</v>
      </c>
      <c r="B948" s="46">
        <v>947</v>
      </c>
      <c r="C948" s="2" t="b">
        <v>0</v>
      </c>
      <c r="D948" s="2" t="b">
        <v>0</v>
      </c>
      <c r="E948" s="2" t="b">
        <v>0</v>
      </c>
      <c r="F948" s="2" t="b">
        <v>0</v>
      </c>
      <c r="G948" s="2" t="s">
        <v>31</v>
      </c>
      <c r="H948" s="2" t="s">
        <v>3057</v>
      </c>
      <c r="I948" s="2" t="s">
        <v>3058</v>
      </c>
      <c r="J948" s="2" t="s">
        <v>662</v>
      </c>
      <c r="K948" s="2" t="s">
        <v>35</v>
      </c>
      <c r="L948" s="2" t="s">
        <v>35</v>
      </c>
      <c r="M948" s="2" t="s">
        <v>35</v>
      </c>
      <c r="N948" s="2" t="s">
        <v>35</v>
      </c>
      <c r="O948" s="11">
        <v>44762.42010275463</v>
      </c>
      <c r="P948" s="11">
        <v>44762.420356423609</v>
      </c>
      <c r="Q948" s="27">
        <f t="shared" si="42"/>
        <v>2.5366897898493335E-4</v>
      </c>
      <c r="R948" s="65">
        <f t="shared" si="44"/>
        <v>6.7550925450632349E-4</v>
      </c>
      <c r="S948" s="2">
        <v>0</v>
      </c>
      <c r="T948" s="2" t="s">
        <v>36</v>
      </c>
      <c r="U948" s="2" t="s">
        <v>37</v>
      </c>
      <c r="V948" s="2" t="s">
        <v>38</v>
      </c>
      <c r="W948" s="2" t="s">
        <v>35</v>
      </c>
      <c r="X948" s="2" t="s">
        <v>35</v>
      </c>
      <c r="Y948" s="2" t="s">
        <v>35</v>
      </c>
      <c r="Z948" s="2" t="b">
        <v>0</v>
      </c>
      <c r="AA948" s="2" t="s">
        <v>35</v>
      </c>
      <c r="AB948" s="2" t="s">
        <v>35</v>
      </c>
      <c r="AC948" s="2">
        <v>6</v>
      </c>
      <c r="AD948" s="2" t="s">
        <v>35</v>
      </c>
      <c r="AE948" s="2" t="s">
        <v>2840</v>
      </c>
      <c r="AF948" s="11">
        <v>44762.350694444445</v>
      </c>
      <c r="AG948" s="53"/>
      <c r="AH948" s="53" t="b">
        <f t="shared" si="43"/>
        <v>0</v>
      </c>
      <c r="AI948" s="54" t="str" cm="1">
        <f t="array" ref="AI948">TRANSPOSE(_xlfn._xlws.FILTER(images!L:L,images!F:F=Barrierenmessung!A948, ""))</f>
        <v>https://captureandgo.cloudlab.zhaw.ch/uploads/image_e42f4f5a26.jpg</v>
      </c>
      <c r="AJ948" s="2"/>
      <c r="AK948" s="2"/>
      <c r="AL948" s="2"/>
      <c r="AM948" s="2"/>
      <c r="AN948" s="2"/>
    </row>
    <row r="949" spans="1:40" ht="16" x14ac:dyDescent="0.2">
      <c r="A949" s="2" t="s">
        <v>3059</v>
      </c>
      <c r="B949" s="46">
        <v>948</v>
      </c>
      <c r="C949" s="2" t="b">
        <v>0</v>
      </c>
      <c r="D949" s="2" t="b">
        <v>0</v>
      </c>
      <c r="E949" s="2" t="b">
        <v>0</v>
      </c>
      <c r="F949" s="2" t="b">
        <v>0</v>
      </c>
      <c r="G949" s="2" t="s">
        <v>31</v>
      </c>
      <c r="H949" s="2" t="s">
        <v>3060</v>
      </c>
      <c r="I949" s="2" t="s">
        <v>3061</v>
      </c>
      <c r="J949" s="2" t="s">
        <v>3062</v>
      </c>
      <c r="K949" s="2" t="s">
        <v>35</v>
      </c>
      <c r="L949" s="2" t="s">
        <v>35</v>
      </c>
      <c r="M949" s="2" t="s">
        <v>35</v>
      </c>
      <c r="N949" s="2" t="s">
        <v>35</v>
      </c>
      <c r="O949" s="11">
        <v>44762.420964699071</v>
      </c>
      <c r="P949" s="11">
        <v>44762.421394884259</v>
      </c>
      <c r="Q949" s="27">
        <f t="shared" si="42"/>
        <v>4.3018518772441894E-4</v>
      </c>
      <c r="R949" s="65">
        <f t="shared" si="44"/>
        <v>1.0384606503066607E-3</v>
      </c>
      <c r="S949" s="2">
        <v>0</v>
      </c>
      <c r="T949" s="2" t="s">
        <v>36</v>
      </c>
      <c r="U949" s="2" t="s">
        <v>37</v>
      </c>
      <c r="V949" s="2" t="s">
        <v>38</v>
      </c>
      <c r="W949" s="2" t="s">
        <v>35</v>
      </c>
      <c r="X949" s="2" t="s">
        <v>35</v>
      </c>
      <c r="Y949" s="2" t="s">
        <v>35</v>
      </c>
      <c r="Z949" s="2" t="b">
        <v>0</v>
      </c>
      <c r="AA949" s="2" t="s">
        <v>35</v>
      </c>
      <c r="AB949" s="2" t="s">
        <v>35</v>
      </c>
      <c r="AC949" s="2">
        <v>6</v>
      </c>
      <c r="AD949" s="2" t="s">
        <v>35</v>
      </c>
      <c r="AE949" s="2" t="s">
        <v>2840</v>
      </c>
      <c r="AF949" s="11">
        <v>44762.350694444445</v>
      </c>
      <c r="AG949" s="53"/>
      <c r="AH949" s="53" t="b">
        <f t="shared" si="43"/>
        <v>0</v>
      </c>
      <c r="AI949" s="54" t="str" cm="1">
        <f t="array" ref="AI949">TRANSPOSE(_xlfn._xlws.FILTER(images!L:L,images!F:F=Barrierenmessung!A949, ""))</f>
        <v>https://captureandgo.cloudlab.zhaw.ch/uploads/image_1b3c655780.jpg</v>
      </c>
      <c r="AJ949" s="2"/>
      <c r="AK949" s="2"/>
      <c r="AL949" s="2"/>
      <c r="AM949" s="2"/>
      <c r="AN949" s="2"/>
    </row>
    <row r="950" spans="1:40" ht="16" x14ac:dyDescent="0.2">
      <c r="A950" s="68" t="s">
        <v>3063</v>
      </c>
      <c r="B950" s="68">
        <v>949</v>
      </c>
      <c r="C950" s="68" t="b">
        <v>0</v>
      </c>
      <c r="D950" s="68" t="b">
        <v>0</v>
      </c>
      <c r="E950" s="68" t="b">
        <v>0</v>
      </c>
      <c r="F950" s="68" t="b">
        <v>0</v>
      </c>
      <c r="G950" s="68" t="s">
        <v>31</v>
      </c>
      <c r="H950" s="68" t="s">
        <v>149</v>
      </c>
      <c r="I950" s="68" t="s">
        <v>3064</v>
      </c>
      <c r="J950" s="68" t="s">
        <v>662</v>
      </c>
      <c r="K950" s="68" t="s">
        <v>35</v>
      </c>
      <c r="L950" s="68" t="s">
        <v>35</v>
      </c>
      <c r="M950" s="68" t="s">
        <v>35</v>
      </c>
      <c r="N950" s="68" t="s">
        <v>35</v>
      </c>
      <c r="O950" s="69">
        <v>44762.421660057873</v>
      </c>
      <c r="P950" s="69">
        <v>44762.422000983795</v>
      </c>
      <c r="Q950" s="70">
        <f t="shared" si="42"/>
        <v>3.4092592250090092E-4</v>
      </c>
      <c r="R950" s="70">
        <f t="shared" si="44"/>
        <v>6.0609953652601689E-4</v>
      </c>
      <c r="S950" s="68">
        <v>0</v>
      </c>
      <c r="T950" s="68" t="s">
        <v>36</v>
      </c>
      <c r="U950" s="68" t="s">
        <v>37</v>
      </c>
      <c r="V950" s="68" t="s">
        <v>38</v>
      </c>
      <c r="W950" s="68" t="s">
        <v>35</v>
      </c>
      <c r="X950" s="68" t="s">
        <v>35</v>
      </c>
      <c r="Y950" s="68" t="s">
        <v>35</v>
      </c>
      <c r="Z950" s="68" t="b">
        <v>0</v>
      </c>
      <c r="AA950" s="68" t="s">
        <v>35</v>
      </c>
      <c r="AB950" s="68" t="s">
        <v>35</v>
      </c>
      <c r="AC950" s="68">
        <v>5</v>
      </c>
      <c r="AD950" s="68" t="s">
        <v>35</v>
      </c>
      <c r="AE950" s="68" t="s">
        <v>2840</v>
      </c>
      <c r="AF950" s="69">
        <v>44762.350694444445</v>
      </c>
      <c r="AG950" s="71"/>
      <c r="AH950" s="71" t="b">
        <f t="shared" si="43"/>
        <v>0</v>
      </c>
      <c r="AI950" s="56" t="str" cm="1">
        <f t="array" ref="AI950">TRANSPOSE(_xlfn._xlws.FILTER(images!L:L,images!F:F=Barrierenmessung!A950, ""))</f>
        <v/>
      </c>
      <c r="AJ950" s="68"/>
      <c r="AK950" s="68"/>
      <c r="AL950" s="68"/>
      <c r="AM950" s="68"/>
      <c r="AN950" s="68"/>
    </row>
    <row r="951" spans="1:40" ht="16" x14ac:dyDescent="0.2">
      <c r="A951" s="2" t="s">
        <v>3065</v>
      </c>
      <c r="B951" s="46">
        <v>950</v>
      </c>
      <c r="C951" s="2" t="b">
        <v>0</v>
      </c>
      <c r="D951" s="2" t="b">
        <v>0</v>
      </c>
      <c r="E951" s="2" t="b">
        <v>0</v>
      </c>
      <c r="F951" s="2" t="b">
        <v>0</v>
      </c>
      <c r="G951" s="2" t="s">
        <v>31</v>
      </c>
      <c r="H951" s="2" t="s">
        <v>3066</v>
      </c>
      <c r="I951" s="2" t="s">
        <v>3067</v>
      </c>
      <c r="J951" s="2" t="s">
        <v>35</v>
      </c>
      <c r="K951" s="2" t="s">
        <v>35</v>
      </c>
      <c r="L951" s="2">
        <v>10</v>
      </c>
      <c r="M951" s="2" t="s">
        <v>35</v>
      </c>
      <c r="N951" s="2" t="s">
        <v>35</v>
      </c>
      <c r="O951" s="11">
        <v>44762.423521319448</v>
      </c>
      <c r="P951" s="11">
        <v>44762.423691006945</v>
      </c>
      <c r="Q951" s="27">
        <f t="shared" si="42"/>
        <v>1.6968749696388841E-4</v>
      </c>
      <c r="R951" s="65">
        <f t="shared" si="44"/>
        <v>1.6900231494219042E-3</v>
      </c>
      <c r="S951" s="2">
        <v>0</v>
      </c>
      <c r="T951" s="2" t="s">
        <v>265</v>
      </c>
      <c r="U951" s="2" t="s">
        <v>266</v>
      </c>
      <c r="V951" s="2" t="s">
        <v>38</v>
      </c>
      <c r="W951" s="2" t="s">
        <v>35</v>
      </c>
      <c r="X951" s="2" t="s">
        <v>35</v>
      </c>
      <c r="Y951" s="2" t="s">
        <v>35</v>
      </c>
      <c r="Z951" s="2" t="b">
        <v>0</v>
      </c>
      <c r="AA951" s="2" t="s">
        <v>35</v>
      </c>
      <c r="AB951" s="2" t="s">
        <v>35</v>
      </c>
      <c r="AC951" s="2" t="s">
        <v>35</v>
      </c>
      <c r="AD951" s="2" t="s">
        <v>35</v>
      </c>
      <c r="AE951" s="2" t="s">
        <v>2840</v>
      </c>
      <c r="AF951" s="11">
        <v>44762.350694444445</v>
      </c>
      <c r="AG951" s="53"/>
      <c r="AH951" s="53" t="b">
        <f t="shared" si="43"/>
        <v>0</v>
      </c>
      <c r="AI951" s="54" t="str" cm="1">
        <f t="array" ref="AI951">TRANSPOSE(_xlfn._xlws.FILTER(images!L:L,images!F:F=Barrierenmessung!A951, ""))</f>
        <v>https://captureandgo.cloudlab.zhaw.ch/uploads/image_39cad3fbc9.jpg</v>
      </c>
      <c r="AJ951" s="2"/>
      <c r="AK951" s="2"/>
      <c r="AL951" s="2"/>
      <c r="AM951" s="2"/>
      <c r="AN951" s="2"/>
    </row>
    <row r="952" spans="1:40" ht="16" x14ac:dyDescent="0.2">
      <c r="A952" s="2" t="s">
        <v>3068</v>
      </c>
      <c r="B952" s="46">
        <v>951</v>
      </c>
      <c r="C952" s="2" t="b">
        <v>0</v>
      </c>
      <c r="D952" s="2" t="b">
        <v>0</v>
      </c>
      <c r="E952" s="2" t="b">
        <v>0</v>
      </c>
      <c r="F952" s="2" t="b">
        <v>0</v>
      </c>
      <c r="G952" s="2" t="s">
        <v>31</v>
      </c>
      <c r="H952" s="2" t="s">
        <v>3069</v>
      </c>
      <c r="I952" s="2" t="s">
        <v>3070</v>
      </c>
      <c r="J952" s="2" t="s">
        <v>3071</v>
      </c>
      <c r="K952" s="2" t="s">
        <v>35</v>
      </c>
      <c r="L952" s="2" t="s">
        <v>35</v>
      </c>
      <c r="M952" s="2" t="s">
        <v>35</v>
      </c>
      <c r="N952" s="2" t="s">
        <v>35</v>
      </c>
      <c r="O952" s="11">
        <v>44762.424044409723</v>
      </c>
      <c r="P952" s="11">
        <v>44762.424361770834</v>
      </c>
      <c r="Q952" s="27">
        <f t="shared" si="42"/>
        <v>3.1736111122881994E-4</v>
      </c>
      <c r="R952" s="65">
        <f t="shared" si="44"/>
        <v>6.7076388950226828E-4</v>
      </c>
      <c r="S952" s="2">
        <v>0</v>
      </c>
      <c r="T952" s="2" t="s">
        <v>36</v>
      </c>
      <c r="U952" s="2" t="s">
        <v>37</v>
      </c>
      <c r="V952" s="2" t="s">
        <v>38</v>
      </c>
      <c r="W952" s="2" t="s">
        <v>35</v>
      </c>
      <c r="X952" s="2" t="s">
        <v>35</v>
      </c>
      <c r="Y952" s="2" t="s">
        <v>35</v>
      </c>
      <c r="Z952" s="2" t="b">
        <v>0</v>
      </c>
      <c r="AA952" s="2" t="s">
        <v>35</v>
      </c>
      <c r="AB952" s="2" t="s">
        <v>35</v>
      </c>
      <c r="AC952" s="2">
        <v>4</v>
      </c>
      <c r="AD952" s="2" t="s">
        <v>35</v>
      </c>
      <c r="AE952" s="2" t="s">
        <v>2840</v>
      </c>
      <c r="AF952" s="11">
        <v>44762.350694444445</v>
      </c>
      <c r="AG952" s="53"/>
      <c r="AH952" s="53" t="b">
        <f t="shared" si="43"/>
        <v>0</v>
      </c>
      <c r="AI952" s="54" t="str" cm="1">
        <f t="array" ref="AI952">TRANSPOSE(_xlfn._xlws.FILTER(images!L:L,images!F:F=Barrierenmessung!A952, ""))</f>
        <v>https://captureandgo.cloudlab.zhaw.ch/uploads/image_039fbe7d48.jpg</v>
      </c>
      <c r="AJ952" s="2"/>
      <c r="AK952" s="2"/>
      <c r="AL952" s="2"/>
      <c r="AM952" s="2"/>
      <c r="AN952" s="2"/>
    </row>
    <row r="953" spans="1:40" ht="16" x14ac:dyDescent="0.2">
      <c r="A953" s="2" t="s">
        <v>3072</v>
      </c>
      <c r="B953" s="46">
        <v>952</v>
      </c>
      <c r="C953" s="2" t="b">
        <v>0</v>
      </c>
      <c r="D953" s="2" t="b">
        <v>0</v>
      </c>
      <c r="E953" s="2" t="b">
        <v>0</v>
      </c>
      <c r="F953" s="2" t="b">
        <v>0</v>
      </c>
      <c r="G953" s="2" t="s">
        <v>31</v>
      </c>
      <c r="H953" s="2" t="s">
        <v>3073</v>
      </c>
      <c r="I953" s="2" t="s">
        <v>3074</v>
      </c>
      <c r="J953" s="2" t="s">
        <v>662</v>
      </c>
      <c r="K953" s="2" t="s">
        <v>35</v>
      </c>
      <c r="L953" s="2" t="s">
        <v>35</v>
      </c>
      <c r="M953" s="2" t="s">
        <v>35</v>
      </c>
      <c r="N953" s="2" t="s">
        <v>35</v>
      </c>
      <c r="O953" s="11">
        <v>44762.425104131944</v>
      </c>
      <c r="P953" s="11">
        <v>44762.425427881943</v>
      </c>
      <c r="Q953" s="27">
        <f t="shared" si="42"/>
        <v>3.2374999864259735E-4</v>
      </c>
      <c r="R953" s="65">
        <f t="shared" si="44"/>
        <v>1.0661111082299612E-3</v>
      </c>
      <c r="S953" s="2">
        <v>0</v>
      </c>
      <c r="T953" s="2" t="s">
        <v>36</v>
      </c>
      <c r="U953" s="2" t="s">
        <v>37</v>
      </c>
      <c r="V953" s="2" t="s">
        <v>38</v>
      </c>
      <c r="W953" s="2" t="s">
        <v>35</v>
      </c>
      <c r="X953" s="2" t="s">
        <v>35</v>
      </c>
      <c r="Y953" s="2" t="s">
        <v>35</v>
      </c>
      <c r="Z953" s="2" t="b">
        <v>0</v>
      </c>
      <c r="AA953" s="2" t="s">
        <v>35</v>
      </c>
      <c r="AB953" s="2" t="s">
        <v>35</v>
      </c>
      <c r="AC953" s="2">
        <v>4</v>
      </c>
      <c r="AD953" s="2" t="s">
        <v>35</v>
      </c>
      <c r="AE953" s="2" t="s">
        <v>2840</v>
      </c>
      <c r="AF953" s="11">
        <v>44762.350694444445</v>
      </c>
      <c r="AG953" s="53"/>
      <c r="AH953" s="53" t="b">
        <f t="shared" si="43"/>
        <v>0</v>
      </c>
      <c r="AI953" s="54" t="str" cm="1">
        <f t="array" ref="AI953">TRANSPOSE(_xlfn._xlws.FILTER(images!L:L,images!F:F=Barrierenmessung!A953, ""))</f>
        <v>https://captureandgo.cloudlab.zhaw.ch/uploads/image_d820601663.jpg</v>
      </c>
      <c r="AJ953" s="2"/>
      <c r="AK953" s="2"/>
      <c r="AL953" s="2"/>
      <c r="AM953" s="2"/>
      <c r="AN953" s="2"/>
    </row>
    <row r="954" spans="1:40" ht="16" x14ac:dyDescent="0.2">
      <c r="A954" s="2" t="s">
        <v>3075</v>
      </c>
      <c r="B954" s="46">
        <v>953</v>
      </c>
      <c r="C954" s="2" t="b">
        <v>0</v>
      </c>
      <c r="D954" s="2" t="b">
        <v>0</v>
      </c>
      <c r="E954" s="2" t="b">
        <v>0</v>
      </c>
      <c r="F954" s="2" t="b">
        <v>0</v>
      </c>
      <c r="G954" s="2" t="s">
        <v>31</v>
      </c>
      <c r="H954" s="2" t="s">
        <v>3076</v>
      </c>
      <c r="I954" s="2" t="s">
        <v>3077</v>
      </c>
      <c r="J954" s="2" t="s">
        <v>662</v>
      </c>
      <c r="K954" s="2" t="s">
        <v>35</v>
      </c>
      <c r="L954" s="2" t="s">
        <v>35</v>
      </c>
      <c r="M954" s="2" t="s">
        <v>35</v>
      </c>
      <c r="N954" s="2" t="s">
        <v>35</v>
      </c>
      <c r="O954" s="11">
        <v>44762.426337523146</v>
      </c>
      <c r="P954" s="11">
        <v>44762.426684282407</v>
      </c>
      <c r="Q954" s="27">
        <f t="shared" si="42"/>
        <v>3.4675926144700497E-4</v>
      </c>
      <c r="R954" s="65">
        <f t="shared" si="44"/>
        <v>1.2564004646264948E-3</v>
      </c>
      <c r="S954" s="2">
        <v>0</v>
      </c>
      <c r="T954" s="2" t="s">
        <v>36</v>
      </c>
      <c r="U954" s="2" t="s">
        <v>37</v>
      </c>
      <c r="V954" s="2" t="s">
        <v>38</v>
      </c>
      <c r="W954" s="2" t="s">
        <v>35</v>
      </c>
      <c r="X954" s="2" t="s">
        <v>35</v>
      </c>
      <c r="Y954" s="2" t="s">
        <v>35</v>
      </c>
      <c r="Z954" s="2" t="b">
        <v>0</v>
      </c>
      <c r="AA954" s="2" t="s">
        <v>35</v>
      </c>
      <c r="AB954" s="2" t="s">
        <v>35</v>
      </c>
      <c r="AC954" s="2">
        <v>14</v>
      </c>
      <c r="AD954" s="2" t="s">
        <v>35</v>
      </c>
      <c r="AE954" s="2" t="s">
        <v>2840</v>
      </c>
      <c r="AF954" s="11">
        <v>44762.350694444445</v>
      </c>
      <c r="AG954" s="53"/>
      <c r="AH954" s="53" t="b">
        <f t="shared" si="43"/>
        <v>0</v>
      </c>
      <c r="AI954" s="54" t="str" cm="1">
        <f t="array" ref="AI954">TRANSPOSE(_xlfn._xlws.FILTER(images!L:L,images!F:F=Barrierenmessung!A954, ""))</f>
        <v>https://captureandgo.cloudlab.zhaw.ch/uploads/image_02b5bfca19.jpg</v>
      </c>
      <c r="AJ954" s="2"/>
      <c r="AK954" s="2"/>
      <c r="AL954" s="2"/>
      <c r="AM954" s="2"/>
      <c r="AN954" s="2"/>
    </row>
    <row r="955" spans="1:40" ht="16" x14ac:dyDescent="0.2">
      <c r="A955" s="2" t="s">
        <v>3078</v>
      </c>
      <c r="B955" s="46">
        <v>954</v>
      </c>
      <c r="C955" s="2" t="b">
        <v>0</v>
      </c>
      <c r="D955" s="2" t="b">
        <v>0</v>
      </c>
      <c r="E955" s="2" t="b">
        <v>0</v>
      </c>
      <c r="F955" s="2" t="b">
        <v>0</v>
      </c>
      <c r="G955" s="2" t="s">
        <v>31</v>
      </c>
      <c r="H955" s="2" t="s">
        <v>3079</v>
      </c>
      <c r="I955" s="2" t="s">
        <v>3080</v>
      </c>
      <c r="J955" s="2" t="s">
        <v>662</v>
      </c>
      <c r="K955" s="2" t="s">
        <v>35</v>
      </c>
      <c r="L955" s="2" t="s">
        <v>35</v>
      </c>
      <c r="M955" s="2" t="s">
        <v>35</v>
      </c>
      <c r="N955" s="2" t="s">
        <v>35</v>
      </c>
      <c r="O955" s="11">
        <v>44762.427332997686</v>
      </c>
      <c r="P955" s="11">
        <v>44762.427805300926</v>
      </c>
      <c r="Q955" s="27">
        <f t="shared" si="42"/>
        <v>4.7230323980329558E-4</v>
      </c>
      <c r="R955" s="65">
        <f t="shared" si="44"/>
        <v>1.1210185184609145E-3</v>
      </c>
      <c r="S955" s="2">
        <v>0</v>
      </c>
      <c r="T955" s="2" t="s">
        <v>36</v>
      </c>
      <c r="U955" s="2" t="s">
        <v>37</v>
      </c>
      <c r="V955" s="2" t="s">
        <v>38</v>
      </c>
      <c r="W955" s="2" t="s">
        <v>35</v>
      </c>
      <c r="X955" s="2" t="s">
        <v>35</v>
      </c>
      <c r="Y955" s="2" t="s">
        <v>35</v>
      </c>
      <c r="Z955" s="2" t="b">
        <v>0</v>
      </c>
      <c r="AA955" s="2" t="s">
        <v>35</v>
      </c>
      <c r="AB955" s="2" t="s">
        <v>35</v>
      </c>
      <c r="AC955" s="2">
        <v>11</v>
      </c>
      <c r="AD955" s="2" t="s">
        <v>35</v>
      </c>
      <c r="AE955" s="2" t="s">
        <v>2840</v>
      </c>
      <c r="AF955" s="11">
        <v>44762.350694444445</v>
      </c>
      <c r="AG955" s="53"/>
      <c r="AH955" s="53" t="b">
        <f t="shared" si="43"/>
        <v>0</v>
      </c>
      <c r="AI955" s="54" t="str" cm="1">
        <f t="array" ref="AI955">TRANSPOSE(_xlfn._xlws.FILTER(images!L:L,images!F:F=Barrierenmessung!A955, ""))</f>
        <v>https://captureandgo.cloudlab.zhaw.ch/uploads/image_4340e7fbaf.jpg</v>
      </c>
      <c r="AJ955" s="2"/>
      <c r="AK955" s="2"/>
      <c r="AL955" s="2"/>
      <c r="AM955" s="2"/>
      <c r="AN955" s="2"/>
    </row>
    <row r="956" spans="1:40" ht="16" x14ac:dyDescent="0.2">
      <c r="A956" s="2" t="s">
        <v>3081</v>
      </c>
      <c r="B956" s="46">
        <v>955</v>
      </c>
      <c r="C956" s="2" t="b">
        <v>0</v>
      </c>
      <c r="D956" s="2" t="b">
        <v>0</v>
      </c>
      <c r="E956" s="2" t="b">
        <v>0</v>
      </c>
      <c r="F956" s="2" t="b">
        <v>0</v>
      </c>
      <c r="G956" s="2" t="s">
        <v>31</v>
      </c>
      <c r="H956" s="2" t="s">
        <v>3082</v>
      </c>
      <c r="I956" s="2" t="s">
        <v>3083</v>
      </c>
      <c r="J956" s="2" t="s">
        <v>35</v>
      </c>
      <c r="K956" s="2" t="s">
        <v>35</v>
      </c>
      <c r="L956" s="2">
        <v>9</v>
      </c>
      <c r="M956" s="2" t="s">
        <v>35</v>
      </c>
      <c r="N956" s="2" t="s">
        <v>35</v>
      </c>
      <c r="O956" s="11">
        <v>44762.428362615741</v>
      </c>
      <c r="P956" s="11">
        <v>44762.428795914355</v>
      </c>
      <c r="Q956" s="27">
        <f t="shared" si="42"/>
        <v>4.3329861364327371E-4</v>
      </c>
      <c r="R956" s="65">
        <f t="shared" si="44"/>
        <v>9.9061342916684225E-4</v>
      </c>
      <c r="S956" s="2">
        <v>0</v>
      </c>
      <c r="T956" s="2" t="s">
        <v>265</v>
      </c>
      <c r="U956" s="2" t="s">
        <v>266</v>
      </c>
      <c r="V956" s="2" t="s">
        <v>38</v>
      </c>
      <c r="W956" s="2" t="s">
        <v>35</v>
      </c>
      <c r="X956" s="2" t="s">
        <v>35</v>
      </c>
      <c r="Y956" s="2" t="s">
        <v>35</v>
      </c>
      <c r="Z956" s="2" t="b">
        <v>0</v>
      </c>
      <c r="AA956" s="2" t="s">
        <v>35</v>
      </c>
      <c r="AB956" s="2" t="s">
        <v>35</v>
      </c>
      <c r="AC956" s="2" t="s">
        <v>35</v>
      </c>
      <c r="AD956" s="2" t="s">
        <v>35</v>
      </c>
      <c r="AE956" s="2" t="s">
        <v>2840</v>
      </c>
      <c r="AF956" s="11">
        <v>44762.350694444445</v>
      </c>
      <c r="AG956" s="53"/>
      <c r="AH956" s="53" t="b">
        <f t="shared" si="43"/>
        <v>0</v>
      </c>
      <c r="AI956" s="54" t="str" cm="1">
        <f t="array" ref="AI956">TRANSPOSE(_xlfn._xlws.FILTER(images!L:L,images!F:F=Barrierenmessung!A956, ""))</f>
        <v>https://captureandgo.cloudlab.zhaw.ch/uploads/image_38d42c4660.jpg</v>
      </c>
      <c r="AJ956" s="2"/>
      <c r="AK956" s="2"/>
      <c r="AL956" s="2"/>
      <c r="AM956" s="2"/>
      <c r="AN956" s="2"/>
    </row>
    <row r="957" spans="1:40" ht="16" x14ac:dyDescent="0.2">
      <c r="A957" s="2" t="s">
        <v>3084</v>
      </c>
      <c r="B957" s="46">
        <v>956</v>
      </c>
      <c r="C957" s="2" t="b">
        <v>0</v>
      </c>
      <c r="D957" s="2" t="b">
        <v>0</v>
      </c>
      <c r="E957" s="2" t="b">
        <v>0</v>
      </c>
      <c r="F957" s="2" t="b">
        <v>0</v>
      </c>
      <c r="G957" s="2" t="s">
        <v>31</v>
      </c>
      <c r="H957" s="2" t="s">
        <v>3085</v>
      </c>
      <c r="I957" s="2" t="s">
        <v>3086</v>
      </c>
      <c r="J957" s="2" t="s">
        <v>662</v>
      </c>
      <c r="K957" s="2" t="s">
        <v>35</v>
      </c>
      <c r="L957" s="2" t="s">
        <v>35</v>
      </c>
      <c r="M957" s="2" t="s">
        <v>35</v>
      </c>
      <c r="N957" s="2" t="s">
        <v>35</v>
      </c>
      <c r="O957" s="11">
        <v>44762.4290734838</v>
      </c>
      <c r="P957" s="11">
        <v>44762.429425520837</v>
      </c>
      <c r="Q957" s="27">
        <f t="shared" si="42"/>
        <v>3.5203703737352043E-4</v>
      </c>
      <c r="R957" s="65">
        <f t="shared" si="44"/>
        <v>6.2960648210719228E-4</v>
      </c>
      <c r="S957" s="2">
        <v>0</v>
      </c>
      <c r="T957" s="2" t="s">
        <v>36</v>
      </c>
      <c r="U957" s="2" t="s">
        <v>37</v>
      </c>
      <c r="V957" s="2" t="s">
        <v>38</v>
      </c>
      <c r="W957" s="2" t="s">
        <v>35</v>
      </c>
      <c r="X957" s="2" t="s">
        <v>35</v>
      </c>
      <c r="Y957" s="2" t="s">
        <v>35</v>
      </c>
      <c r="Z957" s="2" t="b">
        <v>0</v>
      </c>
      <c r="AA957" s="2" t="s">
        <v>35</v>
      </c>
      <c r="AB957" s="2" t="s">
        <v>35</v>
      </c>
      <c r="AC957" s="2">
        <v>8</v>
      </c>
      <c r="AD957" s="2" t="s">
        <v>35</v>
      </c>
      <c r="AE957" s="2" t="s">
        <v>2840</v>
      </c>
      <c r="AF957" s="11">
        <v>44762.350694444445</v>
      </c>
      <c r="AG957" s="53"/>
      <c r="AH957" s="53" t="b">
        <f t="shared" si="43"/>
        <v>0</v>
      </c>
      <c r="AI957" s="54" t="str" cm="1">
        <f t="array" ref="AI957">TRANSPOSE(_xlfn._xlws.FILTER(images!L:L,images!F:F=Barrierenmessung!A957, ""))</f>
        <v>https://captureandgo.cloudlab.zhaw.ch/uploads/image_60de457eee.jpg</v>
      </c>
      <c r="AJ957" s="2"/>
      <c r="AK957" s="2"/>
      <c r="AL957" s="2"/>
      <c r="AM957" s="2"/>
      <c r="AN957" s="2"/>
    </row>
    <row r="958" spans="1:40" ht="16" x14ac:dyDescent="0.2">
      <c r="A958" s="2" t="s">
        <v>3087</v>
      </c>
      <c r="B958" s="46">
        <v>957</v>
      </c>
      <c r="C958" s="2" t="b">
        <v>0</v>
      </c>
      <c r="D958" s="2" t="b">
        <v>0</v>
      </c>
      <c r="E958" s="2" t="b">
        <v>0</v>
      </c>
      <c r="F958" s="2" t="b">
        <v>0</v>
      </c>
      <c r="G958" s="2" t="s">
        <v>31</v>
      </c>
      <c r="H958" s="2" t="s">
        <v>3088</v>
      </c>
      <c r="I958" s="2" t="s">
        <v>3089</v>
      </c>
      <c r="J958" s="2" t="s">
        <v>662</v>
      </c>
      <c r="K958" s="2" t="s">
        <v>35</v>
      </c>
      <c r="L958" s="2" t="s">
        <v>35</v>
      </c>
      <c r="M958" s="2" t="s">
        <v>35</v>
      </c>
      <c r="N958" s="2" t="s">
        <v>35</v>
      </c>
      <c r="O958" s="11">
        <v>44762.430000300927</v>
      </c>
      <c r="P958" s="11">
        <v>44762.430483356482</v>
      </c>
      <c r="Q958" s="27">
        <f t="shared" si="42"/>
        <v>4.8305555537808686E-4</v>
      </c>
      <c r="R958" s="65">
        <f t="shared" si="44"/>
        <v>1.0578356450423598E-3</v>
      </c>
      <c r="S958" s="2">
        <v>0</v>
      </c>
      <c r="T958" s="2" t="s">
        <v>36</v>
      </c>
      <c r="U958" s="2" t="s">
        <v>37</v>
      </c>
      <c r="V958" s="2" t="s">
        <v>38</v>
      </c>
      <c r="W958" s="2" t="s">
        <v>35</v>
      </c>
      <c r="X958" s="2" t="s">
        <v>35</v>
      </c>
      <c r="Y958" s="2" t="s">
        <v>35</v>
      </c>
      <c r="Z958" s="2" t="b">
        <v>0</v>
      </c>
      <c r="AA958" s="2" t="s">
        <v>35</v>
      </c>
      <c r="AB958" s="2" t="s">
        <v>35</v>
      </c>
      <c r="AC958" s="2">
        <v>5</v>
      </c>
      <c r="AD958" s="2" t="s">
        <v>35</v>
      </c>
      <c r="AE958" s="2" t="s">
        <v>2840</v>
      </c>
      <c r="AF958" s="11">
        <v>44762.350694444445</v>
      </c>
      <c r="AG958" s="53"/>
      <c r="AH958" s="53" t="b">
        <f t="shared" si="43"/>
        <v>0</v>
      </c>
      <c r="AI958" s="54" t="str" cm="1">
        <f t="array" ref="AI958">TRANSPOSE(_xlfn._xlws.FILTER(images!L:L,images!F:F=Barrierenmessung!A958, ""))</f>
        <v>https://captureandgo.cloudlab.zhaw.ch/uploads/image_dde59c9174.jpg</v>
      </c>
      <c r="AJ958" s="2"/>
      <c r="AK958" s="2"/>
      <c r="AL958" s="2"/>
      <c r="AM958" s="2"/>
      <c r="AN958" s="2"/>
    </row>
    <row r="959" spans="1:40" ht="16" x14ac:dyDescent="0.2">
      <c r="A959" s="2" t="s">
        <v>3090</v>
      </c>
      <c r="B959" s="46">
        <v>958</v>
      </c>
      <c r="C959" s="2" t="b">
        <v>0</v>
      </c>
      <c r="D959" s="2" t="b">
        <v>0</v>
      </c>
      <c r="E959" s="2" t="b">
        <v>0</v>
      </c>
      <c r="F959" s="2" t="b">
        <v>0</v>
      </c>
      <c r="G959" s="2" t="s">
        <v>31</v>
      </c>
      <c r="H959" s="2" t="s">
        <v>3091</v>
      </c>
      <c r="I959" s="2" t="s">
        <v>3092</v>
      </c>
      <c r="J959" s="2" t="s">
        <v>662</v>
      </c>
      <c r="K959" s="2" t="s">
        <v>35</v>
      </c>
      <c r="L959" s="2" t="s">
        <v>35</v>
      </c>
      <c r="M959" s="2" t="s">
        <v>35</v>
      </c>
      <c r="N959" s="2" t="s">
        <v>35</v>
      </c>
      <c r="O959" s="11">
        <v>44762.43080934028</v>
      </c>
      <c r="P959" s="11">
        <v>44762.431133981481</v>
      </c>
      <c r="Q959" s="27">
        <f t="shared" si="42"/>
        <v>3.2464120158692822E-4</v>
      </c>
      <c r="R959" s="65">
        <f t="shared" si="44"/>
        <v>6.5062499925261363E-4</v>
      </c>
      <c r="S959" s="2">
        <v>0</v>
      </c>
      <c r="T959" s="2" t="s">
        <v>36</v>
      </c>
      <c r="U959" s="2" t="s">
        <v>37</v>
      </c>
      <c r="V959" s="2" t="s">
        <v>38</v>
      </c>
      <c r="W959" s="2" t="s">
        <v>35</v>
      </c>
      <c r="X959" s="2" t="s">
        <v>35</v>
      </c>
      <c r="Y959" s="2" t="s">
        <v>35</v>
      </c>
      <c r="Z959" s="2" t="b">
        <v>0</v>
      </c>
      <c r="AA959" s="2" t="s">
        <v>35</v>
      </c>
      <c r="AB959" s="2" t="s">
        <v>35</v>
      </c>
      <c r="AC959" s="2">
        <v>6</v>
      </c>
      <c r="AD959" s="2" t="s">
        <v>35</v>
      </c>
      <c r="AE959" s="2" t="s">
        <v>2840</v>
      </c>
      <c r="AF959" s="11">
        <v>44762.350694444445</v>
      </c>
      <c r="AG959" s="53"/>
      <c r="AH959" s="53" t="b">
        <f t="shared" si="43"/>
        <v>0</v>
      </c>
      <c r="AI959" s="54" t="str" cm="1">
        <f t="array" ref="AI959">TRANSPOSE(_xlfn._xlws.FILTER(images!L:L,images!F:F=Barrierenmessung!A959, ""))</f>
        <v>https://captureandgo.cloudlab.zhaw.ch/uploads/image_20873510e8.jpg</v>
      </c>
      <c r="AJ959" s="2"/>
      <c r="AK959" s="2"/>
      <c r="AL959" s="2"/>
      <c r="AM959" s="2"/>
      <c r="AN959" s="2"/>
    </row>
    <row r="960" spans="1:40" ht="16" x14ac:dyDescent="0.2">
      <c r="A960" s="2" t="s">
        <v>3093</v>
      </c>
      <c r="B960" s="46">
        <v>959</v>
      </c>
      <c r="C960" s="2" t="b">
        <v>0</v>
      </c>
      <c r="D960" s="2" t="b">
        <v>0</v>
      </c>
      <c r="E960" s="2" t="b">
        <v>0</v>
      </c>
      <c r="F960" s="2" t="b">
        <v>0</v>
      </c>
      <c r="G960" s="2" t="s">
        <v>31</v>
      </c>
      <c r="H960" s="2" t="s">
        <v>3094</v>
      </c>
      <c r="I960" s="2" t="s">
        <v>3095</v>
      </c>
      <c r="J960" s="2" t="s">
        <v>662</v>
      </c>
      <c r="K960" s="2" t="s">
        <v>35</v>
      </c>
      <c r="L960" s="2" t="s">
        <v>35</v>
      </c>
      <c r="M960" s="2" t="s">
        <v>35</v>
      </c>
      <c r="N960" s="2" t="s">
        <v>35</v>
      </c>
      <c r="O960" s="11">
        <v>44762.43211898148</v>
      </c>
      <c r="P960" s="11">
        <v>44762.432391840281</v>
      </c>
      <c r="Q960" s="27">
        <f t="shared" si="42"/>
        <v>2.7285880059935153E-4</v>
      </c>
      <c r="R960" s="65">
        <f t="shared" si="44"/>
        <v>1.2578587993630208E-3</v>
      </c>
      <c r="S960" s="2">
        <v>0</v>
      </c>
      <c r="T960" s="2" t="s">
        <v>36</v>
      </c>
      <c r="U960" s="2" t="s">
        <v>37</v>
      </c>
      <c r="V960" s="2" t="s">
        <v>38</v>
      </c>
      <c r="W960" s="2" t="s">
        <v>35</v>
      </c>
      <c r="X960" s="2" t="s">
        <v>35</v>
      </c>
      <c r="Y960" s="2" t="s">
        <v>35</v>
      </c>
      <c r="Z960" s="2" t="b">
        <v>0</v>
      </c>
      <c r="AA960" s="2" t="s">
        <v>35</v>
      </c>
      <c r="AB960" s="2" t="s">
        <v>35</v>
      </c>
      <c r="AC960" s="2">
        <v>5</v>
      </c>
      <c r="AD960" s="2" t="s">
        <v>35</v>
      </c>
      <c r="AE960" s="2" t="s">
        <v>2840</v>
      </c>
      <c r="AF960" s="11">
        <v>44762.350694444445</v>
      </c>
      <c r="AG960" s="53"/>
      <c r="AH960" s="53" t="b">
        <f t="shared" si="43"/>
        <v>0</v>
      </c>
      <c r="AI960" s="54" t="str" cm="1">
        <f t="array" ref="AI960">TRANSPOSE(_xlfn._xlws.FILTER(images!L:L,images!F:F=Barrierenmessung!A960, ""))</f>
        <v>https://captureandgo.cloudlab.zhaw.ch/uploads/image_22498f1bd8.jpg</v>
      </c>
      <c r="AJ960" s="2"/>
      <c r="AK960" s="2"/>
      <c r="AL960" s="2"/>
      <c r="AM960" s="2"/>
      <c r="AN960" s="2"/>
    </row>
    <row r="961" spans="1:40" ht="16" x14ac:dyDescent="0.2">
      <c r="A961" s="2" t="s">
        <v>3096</v>
      </c>
      <c r="B961" s="46">
        <v>960</v>
      </c>
      <c r="C961" s="2" t="b">
        <v>0</v>
      </c>
      <c r="D961" s="2" t="b">
        <v>0</v>
      </c>
      <c r="E961" s="2" t="b">
        <v>0</v>
      </c>
      <c r="F961" s="2" t="b">
        <v>0</v>
      </c>
      <c r="G961" s="2" t="s">
        <v>31</v>
      </c>
      <c r="H961" s="2" t="s">
        <v>3097</v>
      </c>
      <c r="I961" s="2" t="s">
        <v>3098</v>
      </c>
      <c r="J961" s="2" t="s">
        <v>675</v>
      </c>
      <c r="K961" s="2" t="s">
        <v>35</v>
      </c>
      <c r="L961" s="2" t="s">
        <v>35</v>
      </c>
      <c r="M961" s="2" t="s">
        <v>35</v>
      </c>
      <c r="N961" s="2" t="s">
        <v>35</v>
      </c>
      <c r="O961" s="11">
        <v>44762.43306935185</v>
      </c>
      <c r="P961" s="11">
        <v>44762.433293078706</v>
      </c>
      <c r="Q961" s="27">
        <f t="shared" si="42"/>
        <v>2.2372685634763911E-4</v>
      </c>
      <c r="R961" s="65">
        <f t="shared" si="44"/>
        <v>9.0123842528555542E-4</v>
      </c>
      <c r="S961" s="2">
        <v>0</v>
      </c>
      <c r="T961" s="2" t="s">
        <v>124</v>
      </c>
      <c r="U961" s="2" t="s">
        <v>125</v>
      </c>
      <c r="V961" s="2" t="s">
        <v>38</v>
      </c>
      <c r="W961" s="2" t="s">
        <v>35</v>
      </c>
      <c r="X961" s="2" t="s">
        <v>35</v>
      </c>
      <c r="Y961" s="2" t="s">
        <v>35</v>
      </c>
      <c r="Z961" s="2" t="b">
        <v>0</v>
      </c>
      <c r="AA961" s="2" t="s">
        <v>35</v>
      </c>
      <c r="AB961" s="2">
        <v>4</v>
      </c>
      <c r="AC961" s="2" t="s">
        <v>35</v>
      </c>
      <c r="AD961" s="2" t="s">
        <v>35</v>
      </c>
      <c r="AE961" s="2" t="s">
        <v>2840</v>
      </c>
      <c r="AF961" s="11">
        <v>44762.350694444445</v>
      </c>
      <c r="AG961" s="53"/>
      <c r="AH961" s="53" t="b">
        <f t="shared" si="43"/>
        <v>0</v>
      </c>
      <c r="AI961" s="54" t="str" cm="1">
        <f t="array" ref="AI961">TRANSPOSE(_xlfn._xlws.FILTER(images!L:L,images!F:F=Barrierenmessung!A961, ""))</f>
        <v>https://captureandgo.cloudlab.zhaw.ch/uploads/image_d2527159c2.jpg</v>
      </c>
      <c r="AJ961" s="2"/>
      <c r="AK961" s="2"/>
      <c r="AL961" s="2"/>
      <c r="AM961" s="2"/>
      <c r="AN961" s="2"/>
    </row>
    <row r="962" spans="1:40" ht="16" x14ac:dyDescent="0.2">
      <c r="A962" s="2" t="s">
        <v>3099</v>
      </c>
      <c r="B962" s="46">
        <v>961</v>
      </c>
      <c r="C962" s="2" t="b">
        <v>0</v>
      </c>
      <c r="D962" s="2" t="b">
        <v>0</v>
      </c>
      <c r="E962" s="2" t="b">
        <v>0</v>
      </c>
      <c r="F962" s="2" t="b">
        <v>0</v>
      </c>
      <c r="G962" s="2" t="s">
        <v>31</v>
      </c>
      <c r="H962" s="2" t="s">
        <v>3100</v>
      </c>
      <c r="I962" s="2" t="s">
        <v>3101</v>
      </c>
      <c r="J962" s="2" t="s">
        <v>35</v>
      </c>
      <c r="K962" s="2" t="s">
        <v>35</v>
      </c>
      <c r="L962" s="2" t="s">
        <v>35</v>
      </c>
      <c r="M962" s="2" t="s">
        <v>35</v>
      </c>
      <c r="N962" s="2" t="s">
        <v>35</v>
      </c>
      <c r="O962" s="11">
        <v>44762.433338368057</v>
      </c>
      <c r="P962" s="11">
        <v>44762.433560775462</v>
      </c>
      <c r="Q962" s="27">
        <f t="shared" ref="Q962:Q1025" si="45">P962-O962</f>
        <v>2.2240740509005263E-4</v>
      </c>
      <c r="R962" s="65">
        <f t="shared" si="44"/>
        <v>2.6769675605464727E-4</v>
      </c>
      <c r="S962" s="2">
        <v>0</v>
      </c>
      <c r="T962" s="2" t="s">
        <v>36</v>
      </c>
      <c r="U962" s="2" t="s">
        <v>37</v>
      </c>
      <c r="V962" s="2" t="s">
        <v>38</v>
      </c>
      <c r="W962" s="2" t="s">
        <v>35</v>
      </c>
      <c r="X962" s="2" t="s">
        <v>35</v>
      </c>
      <c r="Y962" s="2" t="s">
        <v>35</v>
      </c>
      <c r="Z962" s="2" t="b">
        <v>0</v>
      </c>
      <c r="AA962" s="2" t="s">
        <v>35</v>
      </c>
      <c r="AB962" s="2" t="s">
        <v>35</v>
      </c>
      <c r="AC962" s="2" t="s">
        <v>35</v>
      </c>
      <c r="AD962" s="2">
        <v>2</v>
      </c>
      <c r="AE962" s="2" t="s">
        <v>2840</v>
      </c>
      <c r="AF962" s="11">
        <v>44762.350694444445</v>
      </c>
      <c r="AG962" s="53"/>
      <c r="AH962" s="53" t="b">
        <f t="shared" si="43"/>
        <v>0</v>
      </c>
      <c r="AI962" s="54" t="str" cm="1">
        <f t="array" ref="AI962">TRANSPOSE(_xlfn._xlws.FILTER(images!L:L,images!F:F=Barrierenmessung!A962, ""))</f>
        <v>https://captureandgo.cloudlab.zhaw.ch/uploads/image_e66d2a3ad4.jpg</v>
      </c>
      <c r="AJ962" s="2"/>
      <c r="AK962" s="2"/>
      <c r="AL962" s="2"/>
      <c r="AM962" s="2"/>
      <c r="AN962" s="2"/>
    </row>
    <row r="963" spans="1:40" ht="16" x14ac:dyDescent="0.2">
      <c r="A963" s="2" t="s">
        <v>3102</v>
      </c>
      <c r="B963" s="46">
        <v>962</v>
      </c>
      <c r="C963" s="2" t="b">
        <v>0</v>
      </c>
      <c r="D963" s="2" t="b">
        <v>0</v>
      </c>
      <c r="E963" s="2" t="b">
        <v>0</v>
      </c>
      <c r="F963" s="2" t="b">
        <v>0</v>
      </c>
      <c r="G963" s="2" t="s">
        <v>31</v>
      </c>
      <c r="H963" s="2" t="s">
        <v>3103</v>
      </c>
      <c r="I963" s="2" t="s">
        <v>3104</v>
      </c>
      <c r="J963" s="2" t="s">
        <v>3105</v>
      </c>
      <c r="K963" s="2" t="s">
        <v>35</v>
      </c>
      <c r="L963" s="2" t="s">
        <v>35</v>
      </c>
      <c r="M963" s="2" t="s">
        <v>35</v>
      </c>
      <c r="N963" s="2" t="s">
        <v>35</v>
      </c>
      <c r="O963" s="11">
        <v>44762.433824074076</v>
      </c>
      <c r="P963" s="11">
        <v>44762.434161053243</v>
      </c>
      <c r="Q963" s="27">
        <f t="shared" si="45"/>
        <v>3.369791666045785E-4</v>
      </c>
      <c r="R963" s="65">
        <f t="shared" si="44"/>
        <v>6.0027778090443462E-4</v>
      </c>
      <c r="S963" s="2">
        <v>0</v>
      </c>
      <c r="T963" s="2" t="s">
        <v>36</v>
      </c>
      <c r="U963" s="2" t="s">
        <v>37</v>
      </c>
      <c r="V963" s="2" t="s">
        <v>38</v>
      </c>
      <c r="W963" s="2" t="s">
        <v>35</v>
      </c>
      <c r="X963" s="2" t="s">
        <v>35</v>
      </c>
      <c r="Y963" s="2" t="s">
        <v>35</v>
      </c>
      <c r="Z963" s="2" t="b">
        <v>0</v>
      </c>
      <c r="AA963" s="2" t="s">
        <v>35</v>
      </c>
      <c r="AB963" s="2" t="s">
        <v>35</v>
      </c>
      <c r="AC963" s="2">
        <v>4</v>
      </c>
      <c r="AD963" s="2">
        <v>4</v>
      </c>
      <c r="AE963" s="2" t="s">
        <v>2840</v>
      </c>
      <c r="AF963" s="11">
        <v>44762.350694444445</v>
      </c>
      <c r="AG963" s="53"/>
      <c r="AH963" s="53" t="b">
        <f t="shared" ref="AH963:AH1026" si="46">IF(Q963&lt;TIME(0,0,1),"TRUE")</f>
        <v>0</v>
      </c>
      <c r="AI963" s="54" t="str" cm="1">
        <f t="array" ref="AI963">TRANSPOSE(_xlfn._xlws.FILTER(images!L:L,images!F:F=Barrierenmessung!A963, ""))</f>
        <v>https://captureandgo.cloudlab.zhaw.ch/uploads/image_1a1bcf7538.jpg</v>
      </c>
      <c r="AJ963" s="2"/>
      <c r="AK963" s="2"/>
      <c r="AL963" s="2"/>
      <c r="AM963" s="2"/>
      <c r="AN963" s="2"/>
    </row>
    <row r="964" spans="1:40" ht="16" x14ac:dyDescent="0.2">
      <c r="A964" s="2" t="s">
        <v>3106</v>
      </c>
      <c r="B964" s="46">
        <v>963</v>
      </c>
      <c r="C964" s="2" t="b">
        <v>0</v>
      </c>
      <c r="D964" s="2" t="b">
        <v>0</v>
      </c>
      <c r="E964" s="2" t="b">
        <v>0</v>
      </c>
      <c r="F964" s="2" t="b">
        <v>0</v>
      </c>
      <c r="G964" s="2" t="s">
        <v>31</v>
      </c>
      <c r="H964" s="2" t="s">
        <v>3107</v>
      </c>
      <c r="I964" s="2" t="s">
        <v>3108</v>
      </c>
      <c r="J964" s="2" t="s">
        <v>35</v>
      </c>
      <c r="K964" s="2" t="s">
        <v>35</v>
      </c>
      <c r="L964" s="2" t="s">
        <v>35</v>
      </c>
      <c r="M964" s="2" t="s">
        <v>35</v>
      </c>
      <c r="N964" s="2" t="s">
        <v>35</v>
      </c>
      <c r="O964" s="11">
        <v>44762.435100833332</v>
      </c>
      <c r="P964" s="11">
        <v>44762.435346284721</v>
      </c>
      <c r="Q964" s="27">
        <f t="shared" si="45"/>
        <v>2.4545138876419514E-4</v>
      </c>
      <c r="R964" s="65">
        <f t="shared" si="44"/>
        <v>1.1852314783027396E-3</v>
      </c>
      <c r="S964" s="2">
        <v>0</v>
      </c>
      <c r="T964" s="2" t="s">
        <v>36</v>
      </c>
      <c r="U964" s="2" t="s">
        <v>37</v>
      </c>
      <c r="V964" s="2" t="s">
        <v>38</v>
      </c>
      <c r="W964" s="2" t="s">
        <v>35</v>
      </c>
      <c r="X964" s="2" t="s">
        <v>35</v>
      </c>
      <c r="Y964" s="2" t="s">
        <v>35</v>
      </c>
      <c r="Z964" s="2" t="b">
        <v>0</v>
      </c>
      <c r="AA964" s="2" t="s">
        <v>35</v>
      </c>
      <c r="AB964" s="2" t="s">
        <v>35</v>
      </c>
      <c r="AC964" s="2" t="s">
        <v>35</v>
      </c>
      <c r="AD964" s="2">
        <v>2</v>
      </c>
      <c r="AE964" s="2" t="s">
        <v>2840</v>
      </c>
      <c r="AF964" s="11">
        <v>44762.350694444445</v>
      </c>
      <c r="AG964" s="53"/>
      <c r="AH964" s="53" t="b">
        <f t="shared" si="46"/>
        <v>0</v>
      </c>
      <c r="AI964" s="54" t="str" cm="1">
        <f t="array" ref="AI964">TRANSPOSE(_xlfn._xlws.FILTER(images!L:L,images!F:F=Barrierenmessung!A964, ""))</f>
        <v>https://captureandgo.cloudlab.zhaw.ch/uploads/image_2650d2f53f.jpg</v>
      </c>
      <c r="AJ964" s="2"/>
      <c r="AK964" s="2"/>
      <c r="AL964" s="2"/>
      <c r="AM964" s="2"/>
      <c r="AN964" s="2"/>
    </row>
    <row r="965" spans="1:40" ht="16" x14ac:dyDescent="0.2">
      <c r="A965" s="2" t="s">
        <v>3109</v>
      </c>
      <c r="B965" s="46">
        <v>964</v>
      </c>
      <c r="C965" s="2" t="b">
        <v>0</v>
      </c>
      <c r="D965" s="2" t="b">
        <v>0</v>
      </c>
      <c r="E965" s="2" t="b">
        <v>0</v>
      </c>
      <c r="F965" s="2" t="b">
        <v>0</v>
      </c>
      <c r="G965" s="2" t="s">
        <v>31</v>
      </c>
      <c r="H965" s="2" t="s">
        <v>3110</v>
      </c>
      <c r="I965" s="2" t="s">
        <v>3111</v>
      </c>
      <c r="J965" s="2" t="s">
        <v>35</v>
      </c>
      <c r="K965" s="2" t="s">
        <v>35</v>
      </c>
      <c r="L965" s="2" t="s">
        <v>35</v>
      </c>
      <c r="M965" s="2" t="s">
        <v>35</v>
      </c>
      <c r="N965" s="2" t="s">
        <v>35</v>
      </c>
      <c r="O965" s="11">
        <v>44762.436778333336</v>
      </c>
      <c r="P965" s="11">
        <v>44762.436943981484</v>
      </c>
      <c r="Q965" s="27">
        <f t="shared" si="45"/>
        <v>1.6564814723096788E-4</v>
      </c>
      <c r="R965" s="65">
        <f t="shared" ref="R965:R1028" si="47">MIN(P965-P964, P965-AF965)</f>
        <v>1.5976967624737881E-3</v>
      </c>
      <c r="S965" s="2">
        <v>0</v>
      </c>
      <c r="T965" s="2" t="s">
        <v>36</v>
      </c>
      <c r="U965" s="2" t="s">
        <v>37</v>
      </c>
      <c r="V965" s="2" t="s">
        <v>38</v>
      </c>
      <c r="W965" s="2" t="s">
        <v>35</v>
      </c>
      <c r="X965" s="2" t="s">
        <v>35</v>
      </c>
      <c r="Y965" s="2" t="s">
        <v>35</v>
      </c>
      <c r="Z965" s="2" t="b">
        <v>0</v>
      </c>
      <c r="AA965" s="2" t="s">
        <v>35</v>
      </c>
      <c r="AB965" s="2" t="s">
        <v>35</v>
      </c>
      <c r="AC965" s="2" t="s">
        <v>35</v>
      </c>
      <c r="AD965" s="2">
        <v>3</v>
      </c>
      <c r="AE965" s="2" t="s">
        <v>2840</v>
      </c>
      <c r="AF965" s="11">
        <v>44762.350694444445</v>
      </c>
      <c r="AG965" s="53"/>
      <c r="AH965" s="53" t="b">
        <f t="shared" si="46"/>
        <v>0</v>
      </c>
      <c r="AI965" s="54" t="str" cm="1">
        <f t="array" ref="AI965">TRANSPOSE(_xlfn._xlws.FILTER(images!L:L,images!F:F=Barrierenmessung!A965, ""))</f>
        <v>https://captureandgo.cloudlab.zhaw.ch/uploads/image_da6aa8ef75.jpg</v>
      </c>
      <c r="AJ965" s="2"/>
      <c r="AK965" s="2"/>
      <c r="AL965" s="2"/>
      <c r="AM965" s="2"/>
      <c r="AN965" s="2"/>
    </row>
    <row r="966" spans="1:40" ht="16" x14ac:dyDescent="0.2">
      <c r="A966" s="2" t="s">
        <v>3112</v>
      </c>
      <c r="B966" s="46">
        <v>965</v>
      </c>
      <c r="C966" s="2" t="b">
        <v>0</v>
      </c>
      <c r="D966" s="2" t="b">
        <v>0</v>
      </c>
      <c r="E966" s="2" t="b">
        <v>0</v>
      </c>
      <c r="F966" s="2" t="b">
        <v>0</v>
      </c>
      <c r="G966" s="2" t="s">
        <v>31</v>
      </c>
      <c r="H966" s="2" t="s">
        <v>3113</v>
      </c>
      <c r="I966" s="2" t="s">
        <v>3114</v>
      </c>
      <c r="J966" s="2" t="s">
        <v>35</v>
      </c>
      <c r="K966" s="2" t="s">
        <v>35</v>
      </c>
      <c r="L966" s="2" t="s">
        <v>35</v>
      </c>
      <c r="M966" s="2" t="s">
        <v>35</v>
      </c>
      <c r="N966" s="2" t="s">
        <v>35</v>
      </c>
      <c r="O966" s="11">
        <v>44762.439106284721</v>
      </c>
      <c r="P966" s="11">
        <v>44762.439345810184</v>
      </c>
      <c r="Q966" s="27">
        <f t="shared" si="45"/>
        <v>2.3952546325745061E-4</v>
      </c>
      <c r="R966" s="65">
        <f t="shared" si="47"/>
        <v>2.4018287003855221E-3</v>
      </c>
      <c r="S966" s="2">
        <v>0</v>
      </c>
      <c r="T966" s="2" t="s">
        <v>36</v>
      </c>
      <c r="U966" s="2" t="s">
        <v>37</v>
      </c>
      <c r="V966" s="2" t="s">
        <v>38</v>
      </c>
      <c r="W966" s="2" t="s">
        <v>35</v>
      </c>
      <c r="X966" s="2" t="s">
        <v>35</v>
      </c>
      <c r="Y966" s="2" t="s">
        <v>35</v>
      </c>
      <c r="Z966" s="2" t="b">
        <v>0</v>
      </c>
      <c r="AA966" s="2" t="s">
        <v>35</v>
      </c>
      <c r="AB966" s="2" t="s">
        <v>35</v>
      </c>
      <c r="AC966" s="2" t="s">
        <v>35</v>
      </c>
      <c r="AD966" s="2">
        <v>2</v>
      </c>
      <c r="AE966" s="2" t="s">
        <v>2840</v>
      </c>
      <c r="AF966" s="11">
        <v>44762.350694444445</v>
      </c>
      <c r="AG966" s="53"/>
      <c r="AH966" s="53" t="b">
        <f t="shared" si="46"/>
        <v>0</v>
      </c>
      <c r="AI966" s="54" t="str" cm="1">
        <f t="array" ref="AI966">TRANSPOSE(_xlfn._xlws.FILTER(images!L:L,images!F:F=Barrierenmessung!A966, ""))</f>
        <v>https://captureandgo.cloudlab.zhaw.ch/uploads/image_72f711926a.jpg</v>
      </c>
      <c r="AJ966" s="2"/>
      <c r="AK966" s="2"/>
      <c r="AL966" s="2"/>
      <c r="AM966" s="2"/>
      <c r="AN966" s="2"/>
    </row>
    <row r="967" spans="1:40" ht="16" x14ac:dyDescent="0.2">
      <c r="A967" s="2" t="s">
        <v>3115</v>
      </c>
      <c r="B967" s="46">
        <v>966</v>
      </c>
      <c r="C967" s="2" t="b">
        <v>0</v>
      </c>
      <c r="D967" s="2" t="b">
        <v>0</v>
      </c>
      <c r="E967" s="2" t="b">
        <v>0</v>
      </c>
      <c r="F967" s="2" t="b">
        <v>0</v>
      </c>
      <c r="G967" s="2" t="s">
        <v>31</v>
      </c>
      <c r="H967" s="2" t="s">
        <v>3116</v>
      </c>
      <c r="I967" s="2" t="s">
        <v>3117</v>
      </c>
      <c r="J967" s="2" t="s">
        <v>35</v>
      </c>
      <c r="K967" s="2" t="s">
        <v>35</v>
      </c>
      <c r="L967" s="2" t="s">
        <v>35</v>
      </c>
      <c r="M967" s="2" t="s">
        <v>35</v>
      </c>
      <c r="N967" s="2" t="s">
        <v>35</v>
      </c>
      <c r="O967" s="11">
        <v>44762.439394606481</v>
      </c>
      <c r="P967" s="11">
        <v>44762.439582789353</v>
      </c>
      <c r="Q967" s="27">
        <f t="shared" si="45"/>
        <v>1.8818287207977846E-4</v>
      </c>
      <c r="R967" s="65">
        <f t="shared" si="47"/>
        <v>2.3697916913079098E-4</v>
      </c>
      <c r="S967" s="2">
        <v>0</v>
      </c>
      <c r="T967" s="2" t="s">
        <v>36</v>
      </c>
      <c r="U967" s="2" t="s">
        <v>37</v>
      </c>
      <c r="V967" s="2" t="s">
        <v>38</v>
      </c>
      <c r="W967" s="2" t="s">
        <v>35</v>
      </c>
      <c r="X967" s="2" t="s">
        <v>35</v>
      </c>
      <c r="Y967" s="2" t="s">
        <v>35</v>
      </c>
      <c r="Z967" s="2" t="b">
        <v>0</v>
      </c>
      <c r="AA967" s="2" t="s">
        <v>35</v>
      </c>
      <c r="AB967" s="2" t="s">
        <v>35</v>
      </c>
      <c r="AC967" s="2" t="s">
        <v>35</v>
      </c>
      <c r="AD967" s="2">
        <v>2</v>
      </c>
      <c r="AE967" s="2" t="s">
        <v>2840</v>
      </c>
      <c r="AF967" s="11">
        <v>44762.350694444445</v>
      </c>
      <c r="AG967" s="53"/>
      <c r="AH967" s="53" t="b">
        <f t="shared" si="46"/>
        <v>0</v>
      </c>
      <c r="AI967" s="54" t="str" cm="1">
        <f t="array" ref="AI967">TRANSPOSE(_xlfn._xlws.FILTER(images!L:L,images!F:F=Barrierenmessung!A967, ""))</f>
        <v>https://captureandgo.cloudlab.zhaw.ch/uploads/image_7b3ee20341.jpg</v>
      </c>
      <c r="AJ967" s="2"/>
      <c r="AK967" s="2"/>
      <c r="AL967" s="2"/>
      <c r="AM967" s="2"/>
      <c r="AN967" s="2"/>
    </row>
    <row r="968" spans="1:40" ht="16" x14ac:dyDescent="0.2">
      <c r="A968" s="31" t="s">
        <v>3118</v>
      </c>
      <c r="B968" s="31">
        <v>967</v>
      </c>
      <c r="C968" s="31" t="b">
        <v>0</v>
      </c>
      <c r="D968" s="31" t="b">
        <v>0</v>
      </c>
      <c r="E968" s="31" t="b">
        <v>0</v>
      </c>
      <c r="F968" s="31" t="b">
        <v>0</v>
      </c>
      <c r="G968" s="31" t="s">
        <v>31</v>
      </c>
      <c r="H968" s="31" t="s">
        <v>3119</v>
      </c>
      <c r="I968" s="31" t="s">
        <v>3120</v>
      </c>
      <c r="J968" s="31" t="s">
        <v>2267</v>
      </c>
      <c r="K968" s="31" t="s">
        <v>35</v>
      </c>
      <c r="L968" s="31" t="s">
        <v>35</v>
      </c>
      <c r="M968" s="31">
        <v>5</v>
      </c>
      <c r="N968" s="31">
        <v>9</v>
      </c>
      <c r="O968" s="32">
        <v>44762.47918318287</v>
      </c>
      <c r="P968" s="32">
        <v>44762.479478912035</v>
      </c>
      <c r="Q968" s="30">
        <f t="shared" si="45"/>
        <v>2.9572916537290439E-4</v>
      </c>
      <c r="R968" s="30">
        <f t="shared" si="47"/>
        <v>3.9896122681966517E-2</v>
      </c>
      <c r="S968" s="31">
        <v>0</v>
      </c>
      <c r="T968" s="31" t="s">
        <v>54</v>
      </c>
      <c r="U968" s="31" t="s">
        <v>55</v>
      </c>
      <c r="V968" s="31" t="s">
        <v>38</v>
      </c>
      <c r="W968" s="31" t="s">
        <v>35</v>
      </c>
      <c r="X968" s="31" t="s">
        <v>35</v>
      </c>
      <c r="Y968" s="31" t="s">
        <v>35</v>
      </c>
      <c r="Z968" s="31" t="b">
        <v>1</v>
      </c>
      <c r="AA968" s="31" t="s">
        <v>35</v>
      </c>
      <c r="AB968" s="31" t="s">
        <v>35</v>
      </c>
      <c r="AC968" s="31" t="s">
        <v>35</v>
      </c>
      <c r="AD968" s="31" t="s">
        <v>35</v>
      </c>
      <c r="AE968" s="31" t="s">
        <v>2840</v>
      </c>
      <c r="AF968" s="32">
        <v>44762.350694444445</v>
      </c>
      <c r="AG968" s="55" t="s">
        <v>9406</v>
      </c>
      <c r="AH968" s="55" t="b">
        <f t="shared" si="46"/>
        <v>0</v>
      </c>
      <c r="AI968" s="62" t="str" cm="1">
        <f t="array" ref="AI968">TRANSPOSE(_xlfn._xlws.FILTER(images!L:L,images!F:F=Barrierenmessung!A968, ""))</f>
        <v>https://captureandgo.cloudlab.zhaw.ch/uploads/image_6bea6fdbfd.jpg</v>
      </c>
      <c r="AJ968" s="31"/>
      <c r="AK968" s="31"/>
      <c r="AL968" s="31"/>
      <c r="AM968" s="31"/>
      <c r="AN968" s="31"/>
    </row>
    <row r="969" spans="1:40" ht="16" x14ac:dyDescent="0.2">
      <c r="A969" s="2" t="s">
        <v>3121</v>
      </c>
      <c r="B969" s="46">
        <v>968</v>
      </c>
      <c r="C969" s="2" t="b">
        <v>0</v>
      </c>
      <c r="D969" s="2" t="b">
        <v>0</v>
      </c>
      <c r="E969" s="2" t="b">
        <v>0</v>
      </c>
      <c r="F969" s="2" t="b">
        <v>0</v>
      </c>
      <c r="G969" s="2" t="s">
        <v>31</v>
      </c>
      <c r="H969" s="2" t="s">
        <v>3122</v>
      </c>
      <c r="I969" s="2" t="s">
        <v>3123</v>
      </c>
      <c r="J969" s="2" t="s">
        <v>584</v>
      </c>
      <c r="K969" s="2" t="s">
        <v>35</v>
      </c>
      <c r="L969" s="2" t="s">
        <v>35</v>
      </c>
      <c r="M969" s="2" t="s">
        <v>35</v>
      </c>
      <c r="N969" s="2" t="s">
        <v>35</v>
      </c>
      <c r="O969" s="11">
        <v>44762.479784861112</v>
      </c>
      <c r="P969" s="11">
        <v>44762.479989212959</v>
      </c>
      <c r="Q969" s="27">
        <f t="shared" si="45"/>
        <v>2.0435184706002474E-4</v>
      </c>
      <c r="R969" s="65">
        <f t="shared" si="47"/>
        <v>5.1030092436121777E-4</v>
      </c>
      <c r="S969" s="2">
        <v>0</v>
      </c>
      <c r="T969" s="2" t="s">
        <v>36</v>
      </c>
      <c r="U969" s="2" t="s">
        <v>37</v>
      </c>
      <c r="V969" s="2" t="s">
        <v>38</v>
      </c>
      <c r="W969" s="2" t="s">
        <v>35</v>
      </c>
      <c r="X969" s="2" t="s">
        <v>35</v>
      </c>
      <c r="Y969" s="2" t="s">
        <v>35</v>
      </c>
      <c r="Z969" s="2" t="b">
        <v>0</v>
      </c>
      <c r="AA969" s="2" t="s">
        <v>35</v>
      </c>
      <c r="AB969" s="2" t="s">
        <v>35</v>
      </c>
      <c r="AC969" s="2">
        <v>6</v>
      </c>
      <c r="AD969" s="2" t="s">
        <v>35</v>
      </c>
      <c r="AE969" s="2" t="s">
        <v>2840</v>
      </c>
      <c r="AF969" s="11">
        <v>44762.350694444445</v>
      </c>
      <c r="AG969" s="53"/>
      <c r="AH969" s="53" t="b">
        <f t="shared" si="46"/>
        <v>0</v>
      </c>
      <c r="AI969" s="54" t="str" cm="1">
        <f t="array" ref="AI969">TRANSPOSE(_xlfn._xlws.FILTER(images!L:L,images!F:F=Barrierenmessung!A969, ""))</f>
        <v>https://captureandgo.cloudlab.zhaw.ch/uploads/image_8d74abcf7e.jpg</v>
      </c>
      <c r="AJ969" s="2"/>
      <c r="AK969" s="2"/>
      <c r="AL969" s="2"/>
      <c r="AM969" s="2"/>
      <c r="AN969" s="2"/>
    </row>
    <row r="970" spans="1:40" ht="16" x14ac:dyDescent="0.2">
      <c r="A970" s="2" t="s">
        <v>3124</v>
      </c>
      <c r="B970" s="46">
        <v>969</v>
      </c>
      <c r="C970" s="2" t="b">
        <v>0</v>
      </c>
      <c r="D970" s="2" t="b">
        <v>0</v>
      </c>
      <c r="E970" s="2" t="b">
        <v>0</v>
      </c>
      <c r="F970" s="2" t="b">
        <v>0</v>
      </c>
      <c r="G970" s="2" t="s">
        <v>31</v>
      </c>
      <c r="H970" s="2" t="s">
        <v>3125</v>
      </c>
      <c r="I970" s="2" t="s">
        <v>3126</v>
      </c>
      <c r="J970" s="2" t="s">
        <v>1460</v>
      </c>
      <c r="K970" s="2" t="s">
        <v>35</v>
      </c>
      <c r="L970" s="2" t="s">
        <v>35</v>
      </c>
      <c r="M970" s="2" t="s">
        <v>35</v>
      </c>
      <c r="N970" s="2" t="s">
        <v>35</v>
      </c>
      <c r="O970" s="11">
        <v>44762.481814467596</v>
      </c>
      <c r="P970" s="11">
        <v>44762.482043587966</v>
      </c>
      <c r="Q970" s="27">
        <f t="shared" si="45"/>
        <v>2.2912037093192339E-4</v>
      </c>
      <c r="R970" s="65">
        <f t="shared" si="47"/>
        <v>2.0543750069919042E-3</v>
      </c>
      <c r="S970" s="2">
        <v>0</v>
      </c>
      <c r="T970" s="2" t="s">
        <v>36</v>
      </c>
      <c r="U970" s="2" t="s">
        <v>37</v>
      </c>
      <c r="V970" s="2" t="s">
        <v>38</v>
      </c>
      <c r="W970" s="2" t="s">
        <v>35</v>
      </c>
      <c r="X970" s="2" t="s">
        <v>35</v>
      </c>
      <c r="Y970" s="2" t="s">
        <v>35</v>
      </c>
      <c r="Z970" s="2" t="b">
        <v>0</v>
      </c>
      <c r="AA970" s="2" t="s">
        <v>35</v>
      </c>
      <c r="AB970" s="2" t="s">
        <v>35</v>
      </c>
      <c r="AC970" s="2">
        <v>6</v>
      </c>
      <c r="AD970" s="2" t="s">
        <v>35</v>
      </c>
      <c r="AE970" s="2" t="s">
        <v>2840</v>
      </c>
      <c r="AF970" s="11">
        <v>44762.350694444445</v>
      </c>
      <c r="AG970" s="53"/>
      <c r="AH970" s="53" t="b">
        <f t="shared" si="46"/>
        <v>0</v>
      </c>
      <c r="AI970" s="54" t="str" cm="1">
        <f t="array" ref="AI970">TRANSPOSE(_xlfn._xlws.FILTER(images!L:L,images!F:F=Barrierenmessung!A970, ""))</f>
        <v>https://captureandgo.cloudlab.zhaw.ch/uploads/image_3312f32153.jpg</v>
      </c>
      <c r="AJ970" s="2"/>
      <c r="AK970" s="2"/>
      <c r="AL970" s="2"/>
      <c r="AM970" s="2"/>
      <c r="AN970" s="2"/>
    </row>
    <row r="971" spans="1:40" ht="16" x14ac:dyDescent="0.2">
      <c r="A971" s="2" t="s">
        <v>3127</v>
      </c>
      <c r="B971" s="46">
        <v>970</v>
      </c>
      <c r="C971" s="2" t="b">
        <v>0</v>
      </c>
      <c r="D971" s="2" t="b">
        <v>0</v>
      </c>
      <c r="E971" s="2" t="b">
        <v>0</v>
      </c>
      <c r="F971" s="2" t="b">
        <v>0</v>
      </c>
      <c r="G971" s="2" t="s">
        <v>31</v>
      </c>
      <c r="H971" s="2" t="s">
        <v>3128</v>
      </c>
      <c r="I971" s="2" t="s">
        <v>3129</v>
      </c>
      <c r="J971" s="2" t="s">
        <v>3130</v>
      </c>
      <c r="K971" s="2" t="s">
        <v>35</v>
      </c>
      <c r="L971" s="2" t="s">
        <v>35</v>
      </c>
      <c r="M971" s="2">
        <v>2</v>
      </c>
      <c r="N971" s="2">
        <v>14</v>
      </c>
      <c r="O971" s="11">
        <v>44762.482116250001</v>
      </c>
      <c r="P971" s="11">
        <v>44762.482344548611</v>
      </c>
      <c r="Q971" s="27">
        <f t="shared" si="45"/>
        <v>2.2829860972706228E-4</v>
      </c>
      <c r="R971" s="65">
        <f t="shared" si="47"/>
        <v>3.009606443811208E-4</v>
      </c>
      <c r="S971" s="2">
        <v>0</v>
      </c>
      <c r="T971" s="2" t="s">
        <v>54</v>
      </c>
      <c r="U971" s="2" t="s">
        <v>55</v>
      </c>
      <c r="V971" s="2" t="s">
        <v>38</v>
      </c>
      <c r="W971" s="2" t="s">
        <v>35</v>
      </c>
      <c r="X971" s="2" t="s">
        <v>35</v>
      </c>
      <c r="Y971" s="2" t="s">
        <v>35</v>
      </c>
      <c r="Z971" s="2" t="b">
        <v>0</v>
      </c>
      <c r="AA971" s="2" t="s">
        <v>35</v>
      </c>
      <c r="AB971" s="2" t="s">
        <v>35</v>
      </c>
      <c r="AC971" s="2" t="s">
        <v>35</v>
      </c>
      <c r="AD971" s="2" t="s">
        <v>35</v>
      </c>
      <c r="AE971" s="2" t="s">
        <v>2840</v>
      </c>
      <c r="AF971" s="11">
        <v>44762.350694444445</v>
      </c>
      <c r="AG971" s="53"/>
      <c r="AH971" s="53" t="b">
        <f t="shared" si="46"/>
        <v>0</v>
      </c>
      <c r="AI971" s="54" t="str" cm="1">
        <f t="array" ref="AI971">TRANSPOSE(_xlfn._xlws.FILTER(images!L:L,images!F:F=Barrierenmessung!A971, ""))</f>
        <v>https://captureandgo.cloudlab.zhaw.ch/uploads/image_b2c108aaee.jpg</v>
      </c>
      <c r="AJ971" s="2"/>
      <c r="AK971" s="2"/>
      <c r="AL971" s="2"/>
      <c r="AM971" s="2"/>
      <c r="AN971" s="2"/>
    </row>
    <row r="972" spans="1:40" ht="16" x14ac:dyDescent="0.2">
      <c r="A972" s="2" t="s">
        <v>3131</v>
      </c>
      <c r="B972" s="46">
        <v>971</v>
      </c>
      <c r="C972" s="2" t="b">
        <v>0</v>
      </c>
      <c r="D972" s="2" t="b">
        <v>0</v>
      </c>
      <c r="E972" s="2" t="b">
        <v>0</v>
      </c>
      <c r="F972" s="2" t="b">
        <v>0</v>
      </c>
      <c r="G972" s="2" t="s">
        <v>31</v>
      </c>
      <c r="H972" s="2" t="s">
        <v>3132</v>
      </c>
      <c r="I972" s="2" t="s">
        <v>3133</v>
      </c>
      <c r="J972" s="2" t="s">
        <v>1460</v>
      </c>
      <c r="K972" s="2" t="s">
        <v>35</v>
      </c>
      <c r="L972" s="2" t="s">
        <v>35</v>
      </c>
      <c r="M972" s="2" t="s">
        <v>35</v>
      </c>
      <c r="N972" s="2" t="s">
        <v>35</v>
      </c>
      <c r="O972" s="11">
        <v>44762.483121666664</v>
      </c>
      <c r="P972" s="11">
        <v>44762.483494907407</v>
      </c>
      <c r="Q972" s="27">
        <f t="shared" si="45"/>
        <v>3.7324074219213799E-4</v>
      </c>
      <c r="R972" s="65">
        <f t="shared" si="47"/>
        <v>1.1503587957122363E-3</v>
      </c>
      <c r="S972" s="2">
        <v>0</v>
      </c>
      <c r="T972" s="2" t="s">
        <v>36</v>
      </c>
      <c r="U972" s="2" t="s">
        <v>37</v>
      </c>
      <c r="V972" s="2" t="s">
        <v>38</v>
      </c>
      <c r="W972" s="2" t="s">
        <v>35</v>
      </c>
      <c r="X972" s="2" t="s">
        <v>35</v>
      </c>
      <c r="Y972" s="2" t="s">
        <v>35</v>
      </c>
      <c r="Z972" s="2" t="b">
        <v>0</v>
      </c>
      <c r="AA972" s="2" t="s">
        <v>35</v>
      </c>
      <c r="AB972" s="2" t="s">
        <v>35</v>
      </c>
      <c r="AC972" s="2">
        <v>6</v>
      </c>
      <c r="AD972" s="2" t="s">
        <v>35</v>
      </c>
      <c r="AE972" s="2" t="s">
        <v>2840</v>
      </c>
      <c r="AF972" s="11">
        <v>44762.350694444445</v>
      </c>
      <c r="AG972" s="53"/>
      <c r="AH972" s="53" t="b">
        <f t="shared" si="46"/>
        <v>0</v>
      </c>
      <c r="AI972" s="54" t="str" cm="1">
        <f t="array" ref="AI972">TRANSPOSE(_xlfn._xlws.FILTER(images!L:L,images!F:F=Barrierenmessung!A972, ""))</f>
        <v>https://captureandgo.cloudlab.zhaw.ch/uploads/image_e916c72d24.jpg</v>
      </c>
      <c r="AJ972" s="2"/>
      <c r="AK972" s="2"/>
      <c r="AL972" s="2"/>
      <c r="AM972" s="2"/>
      <c r="AN972" s="2"/>
    </row>
    <row r="973" spans="1:40" ht="16" x14ac:dyDescent="0.2">
      <c r="A973" s="2" t="s">
        <v>3134</v>
      </c>
      <c r="B973" s="46">
        <v>972</v>
      </c>
      <c r="C973" s="2" t="b">
        <v>0</v>
      </c>
      <c r="D973" s="2" t="b">
        <v>0</v>
      </c>
      <c r="E973" s="2" t="b">
        <v>0</v>
      </c>
      <c r="F973" s="2" t="b">
        <v>0</v>
      </c>
      <c r="G973" s="2" t="s">
        <v>31</v>
      </c>
      <c r="H973" s="2" t="s">
        <v>3135</v>
      </c>
      <c r="I973" s="2" t="s">
        <v>3136</v>
      </c>
      <c r="J973" s="2" t="s">
        <v>35</v>
      </c>
      <c r="K973" s="2" t="s">
        <v>35</v>
      </c>
      <c r="L973" s="2" t="s">
        <v>35</v>
      </c>
      <c r="M973" s="2" t="s">
        <v>35</v>
      </c>
      <c r="N973" s="2" t="s">
        <v>35</v>
      </c>
      <c r="O973" s="11">
        <v>44762.484095127315</v>
      </c>
      <c r="P973" s="11">
        <v>44762.484296805553</v>
      </c>
      <c r="Q973" s="27">
        <f t="shared" si="45"/>
        <v>2.0167823822703212E-4</v>
      </c>
      <c r="R973" s="65">
        <f t="shared" si="47"/>
        <v>8.0189814616460353E-4</v>
      </c>
      <c r="S973" s="2">
        <v>0</v>
      </c>
      <c r="T973" s="2" t="s">
        <v>36</v>
      </c>
      <c r="U973" s="2" t="s">
        <v>37</v>
      </c>
      <c r="V973" s="2" t="s">
        <v>38</v>
      </c>
      <c r="W973" s="2" t="s">
        <v>35</v>
      </c>
      <c r="X973" s="2" t="s">
        <v>35</v>
      </c>
      <c r="Y973" s="2" t="s">
        <v>35</v>
      </c>
      <c r="Z973" s="2" t="b">
        <v>0</v>
      </c>
      <c r="AA973" s="2" t="s">
        <v>35</v>
      </c>
      <c r="AB973" s="2" t="s">
        <v>35</v>
      </c>
      <c r="AC973" s="2" t="s">
        <v>35</v>
      </c>
      <c r="AD973" s="2">
        <v>6</v>
      </c>
      <c r="AE973" s="2" t="s">
        <v>2840</v>
      </c>
      <c r="AF973" s="11">
        <v>44762.350694444445</v>
      </c>
      <c r="AG973" s="53"/>
      <c r="AH973" s="53" t="b">
        <f t="shared" si="46"/>
        <v>0</v>
      </c>
      <c r="AI973" s="54" t="str" cm="1">
        <f t="array" ref="AI973">TRANSPOSE(_xlfn._xlws.FILTER(images!L:L,images!F:F=Barrierenmessung!A973, ""))</f>
        <v>https://captureandgo.cloudlab.zhaw.ch/uploads/image_5fa3c68c18.jpg</v>
      </c>
      <c r="AJ973" s="2"/>
      <c r="AK973" s="2"/>
      <c r="AL973" s="2"/>
      <c r="AM973" s="2"/>
      <c r="AN973" s="2"/>
    </row>
    <row r="974" spans="1:40" ht="16" x14ac:dyDescent="0.2">
      <c r="A974" s="2" t="s">
        <v>3137</v>
      </c>
      <c r="B974" s="46">
        <v>973</v>
      </c>
      <c r="C974" s="2" t="b">
        <v>0</v>
      </c>
      <c r="D974" s="2" t="b">
        <v>0</v>
      </c>
      <c r="E974" s="2" t="b">
        <v>0</v>
      </c>
      <c r="F974" s="2" t="b">
        <v>0</v>
      </c>
      <c r="G974" s="2" t="s">
        <v>31</v>
      </c>
      <c r="H974" s="2" t="s">
        <v>3138</v>
      </c>
      <c r="I974" s="2" t="s">
        <v>3139</v>
      </c>
      <c r="J974" s="2" t="s">
        <v>35</v>
      </c>
      <c r="K974" s="2" t="s">
        <v>35</v>
      </c>
      <c r="L974" s="2" t="s">
        <v>35</v>
      </c>
      <c r="M974" s="2" t="s">
        <v>35</v>
      </c>
      <c r="N974" s="2" t="s">
        <v>35</v>
      </c>
      <c r="O974" s="11">
        <v>44762.485133738424</v>
      </c>
      <c r="P974" s="11">
        <v>44762.485291435187</v>
      </c>
      <c r="Q974" s="27">
        <f t="shared" si="45"/>
        <v>1.5769676247145981E-4</v>
      </c>
      <c r="R974" s="65">
        <f t="shared" si="47"/>
        <v>9.9462963407859206E-4</v>
      </c>
      <c r="S974" s="2">
        <v>0</v>
      </c>
      <c r="T974" s="2" t="s">
        <v>36</v>
      </c>
      <c r="U974" s="2" t="s">
        <v>37</v>
      </c>
      <c r="V974" s="2" t="s">
        <v>38</v>
      </c>
      <c r="W974" s="2" t="s">
        <v>35</v>
      </c>
      <c r="X974" s="2" t="s">
        <v>35</v>
      </c>
      <c r="Y974" s="2" t="s">
        <v>35</v>
      </c>
      <c r="Z974" s="2" t="b">
        <v>0</v>
      </c>
      <c r="AA974" s="2" t="s">
        <v>35</v>
      </c>
      <c r="AB974" s="2" t="s">
        <v>35</v>
      </c>
      <c r="AC974" s="2" t="s">
        <v>35</v>
      </c>
      <c r="AD974" s="2">
        <v>5</v>
      </c>
      <c r="AE974" s="2" t="s">
        <v>2840</v>
      </c>
      <c r="AF974" s="11">
        <v>44762.350694444445</v>
      </c>
      <c r="AG974" s="53"/>
      <c r="AH974" s="53" t="b">
        <f t="shared" si="46"/>
        <v>0</v>
      </c>
      <c r="AI974" s="54" t="str" cm="1">
        <f t="array" ref="AI974">TRANSPOSE(_xlfn._xlws.FILTER(images!L:L,images!F:F=Barrierenmessung!A974, ""))</f>
        <v>https://captureandgo.cloudlab.zhaw.ch/uploads/image_76f14257e0.jpg</v>
      </c>
      <c r="AJ974" s="2"/>
      <c r="AK974" s="2"/>
      <c r="AL974" s="2"/>
      <c r="AM974" s="2"/>
      <c r="AN974" s="2"/>
    </row>
    <row r="975" spans="1:40" ht="16" x14ac:dyDescent="0.2">
      <c r="A975" s="2" t="s">
        <v>3140</v>
      </c>
      <c r="B975" s="46">
        <v>974</v>
      </c>
      <c r="C975" s="2" t="b">
        <v>0</v>
      </c>
      <c r="D975" s="2" t="b">
        <v>0</v>
      </c>
      <c r="E975" s="2" t="b">
        <v>0</v>
      </c>
      <c r="F975" s="2" t="b">
        <v>0</v>
      </c>
      <c r="G975" s="2" t="s">
        <v>31</v>
      </c>
      <c r="H975" s="2" t="s">
        <v>3141</v>
      </c>
      <c r="I975" s="2" t="s">
        <v>3142</v>
      </c>
      <c r="J975" s="2" t="s">
        <v>35</v>
      </c>
      <c r="K975" s="2" t="s">
        <v>35</v>
      </c>
      <c r="L975" s="2" t="s">
        <v>35</v>
      </c>
      <c r="M975" s="2">
        <v>14</v>
      </c>
      <c r="N975" s="2">
        <v>15</v>
      </c>
      <c r="O975" s="11">
        <v>44762.48564071759</v>
      </c>
      <c r="P975" s="11">
        <v>44762.486073321757</v>
      </c>
      <c r="Q975" s="27">
        <f t="shared" si="45"/>
        <v>4.3260416714474559E-4</v>
      </c>
      <c r="R975" s="65">
        <f t="shared" si="47"/>
        <v>7.8188657062128186E-4</v>
      </c>
      <c r="S975" s="2">
        <v>0</v>
      </c>
      <c r="T975" s="2" t="s">
        <v>54</v>
      </c>
      <c r="U975" s="2" t="s">
        <v>55</v>
      </c>
      <c r="V975" s="2" t="s">
        <v>38</v>
      </c>
      <c r="W975" s="2" t="s">
        <v>35</v>
      </c>
      <c r="X975" s="2" t="s">
        <v>35</v>
      </c>
      <c r="Y975" s="2" t="s">
        <v>35</v>
      </c>
      <c r="Z975" s="2" t="b">
        <v>0</v>
      </c>
      <c r="AA975" s="2" t="s">
        <v>35</v>
      </c>
      <c r="AB975" s="2" t="s">
        <v>35</v>
      </c>
      <c r="AC975" s="2" t="s">
        <v>35</v>
      </c>
      <c r="AD975" s="2" t="s">
        <v>35</v>
      </c>
      <c r="AE975" s="2" t="s">
        <v>2840</v>
      </c>
      <c r="AF975" s="11">
        <v>44762.350694444445</v>
      </c>
      <c r="AG975" s="53"/>
      <c r="AH975" s="53" t="b">
        <f t="shared" si="46"/>
        <v>0</v>
      </c>
      <c r="AI975" s="54" t="str" cm="1">
        <f t="array" ref="AI975">TRANSPOSE(_xlfn._xlws.FILTER(images!L:L,images!F:F=Barrierenmessung!A975, ""))</f>
        <v>https://captureandgo.cloudlab.zhaw.ch/uploads/image_c6ddad5204.jpg</v>
      </c>
      <c r="AJ975" s="2"/>
      <c r="AK975" s="2"/>
      <c r="AL975" s="2"/>
      <c r="AM975" s="2"/>
      <c r="AN975" s="2"/>
    </row>
    <row r="976" spans="1:40" ht="16" x14ac:dyDescent="0.2">
      <c r="A976" s="2" t="s">
        <v>3143</v>
      </c>
      <c r="B976" s="46">
        <v>975</v>
      </c>
      <c r="C976" s="2" t="b">
        <v>0</v>
      </c>
      <c r="D976" s="2" t="b">
        <v>0</v>
      </c>
      <c r="E976" s="2" t="b">
        <v>0</v>
      </c>
      <c r="F976" s="2" t="b">
        <v>0</v>
      </c>
      <c r="G976" s="2" t="s">
        <v>31</v>
      </c>
      <c r="H976" s="2" t="s">
        <v>3144</v>
      </c>
      <c r="I976" s="2" t="s">
        <v>3145</v>
      </c>
      <c r="J976" s="2" t="s">
        <v>35</v>
      </c>
      <c r="K976" s="2" t="s">
        <v>35</v>
      </c>
      <c r="L976" s="2" t="s">
        <v>35</v>
      </c>
      <c r="M976" s="2">
        <v>3</v>
      </c>
      <c r="N976" s="2">
        <v>16</v>
      </c>
      <c r="O976" s="11">
        <v>44762.486301203702</v>
      </c>
      <c r="P976" s="11">
        <v>44762.486512719908</v>
      </c>
      <c r="Q976" s="27">
        <f t="shared" si="45"/>
        <v>2.1151620603632182E-4</v>
      </c>
      <c r="R976" s="65">
        <f t="shared" si="47"/>
        <v>4.3939815077465028E-4</v>
      </c>
      <c r="S976" s="2">
        <v>0</v>
      </c>
      <c r="T976" s="2" t="s">
        <v>54</v>
      </c>
      <c r="U976" s="2" t="s">
        <v>55</v>
      </c>
      <c r="V976" s="2" t="s">
        <v>38</v>
      </c>
      <c r="W976" s="2" t="s">
        <v>35</v>
      </c>
      <c r="X976" s="2" t="s">
        <v>35</v>
      </c>
      <c r="Y976" s="2" t="s">
        <v>35</v>
      </c>
      <c r="Z976" s="2" t="b">
        <v>0</v>
      </c>
      <c r="AA976" s="2" t="s">
        <v>35</v>
      </c>
      <c r="AB976" s="2" t="s">
        <v>35</v>
      </c>
      <c r="AC976" s="2" t="s">
        <v>35</v>
      </c>
      <c r="AD976" s="2" t="s">
        <v>35</v>
      </c>
      <c r="AE976" s="2" t="s">
        <v>2840</v>
      </c>
      <c r="AF976" s="11">
        <v>44762.350694444445</v>
      </c>
      <c r="AG976" s="53"/>
      <c r="AH976" s="53" t="b">
        <f t="shared" si="46"/>
        <v>0</v>
      </c>
      <c r="AI976" s="54" t="str" cm="1">
        <f t="array" ref="AI976">TRANSPOSE(_xlfn._xlws.FILTER(images!L:L,images!F:F=Barrierenmessung!A976, ""))</f>
        <v>https://captureandgo.cloudlab.zhaw.ch/uploads/image_40c55c0410.jpg</v>
      </c>
      <c r="AJ976" s="2"/>
      <c r="AK976" s="2"/>
      <c r="AL976" s="2"/>
      <c r="AM976" s="2"/>
      <c r="AN976" s="2"/>
    </row>
    <row r="977" spans="1:40" ht="16" x14ac:dyDescent="0.2">
      <c r="A977" s="2" t="s">
        <v>3146</v>
      </c>
      <c r="B977" s="46">
        <v>976</v>
      </c>
      <c r="C977" s="2" t="b">
        <v>0</v>
      </c>
      <c r="D977" s="2" t="b">
        <v>0</v>
      </c>
      <c r="E977" s="2" t="b">
        <v>0</v>
      </c>
      <c r="F977" s="2" t="b">
        <v>0</v>
      </c>
      <c r="G977" s="2" t="s">
        <v>31</v>
      </c>
      <c r="H977" s="2" t="s">
        <v>3147</v>
      </c>
      <c r="I977" s="2" t="s">
        <v>3148</v>
      </c>
      <c r="J977" s="2" t="s">
        <v>35</v>
      </c>
      <c r="K977" s="2" t="s">
        <v>35</v>
      </c>
      <c r="L977" s="2" t="s">
        <v>35</v>
      </c>
      <c r="M977" s="2" t="s">
        <v>35</v>
      </c>
      <c r="N977" s="2" t="s">
        <v>35</v>
      </c>
      <c r="O977" s="11">
        <v>44762.486585787039</v>
      </c>
      <c r="P977" s="11">
        <v>44762.48682672454</v>
      </c>
      <c r="Q977" s="27">
        <f t="shared" si="45"/>
        <v>2.4093750107567757E-4</v>
      </c>
      <c r="R977" s="65">
        <f t="shared" si="47"/>
        <v>3.1400463194586337E-4</v>
      </c>
      <c r="S977" s="2">
        <v>0</v>
      </c>
      <c r="T977" s="2" t="s">
        <v>36</v>
      </c>
      <c r="U977" s="2" t="s">
        <v>37</v>
      </c>
      <c r="V977" s="2" t="s">
        <v>38</v>
      </c>
      <c r="W977" s="2" t="s">
        <v>35</v>
      </c>
      <c r="X977" s="2" t="s">
        <v>35</v>
      </c>
      <c r="Y977" s="2" t="s">
        <v>35</v>
      </c>
      <c r="Z977" s="2" t="b">
        <v>0</v>
      </c>
      <c r="AA977" s="2" t="s">
        <v>35</v>
      </c>
      <c r="AB977" s="2" t="s">
        <v>35</v>
      </c>
      <c r="AC977" s="2" t="s">
        <v>35</v>
      </c>
      <c r="AD977" s="2">
        <v>4</v>
      </c>
      <c r="AE977" s="2" t="s">
        <v>2840</v>
      </c>
      <c r="AF977" s="11">
        <v>44762.350694444445</v>
      </c>
      <c r="AG977" s="53"/>
      <c r="AH977" s="53" t="b">
        <f t="shared" si="46"/>
        <v>0</v>
      </c>
      <c r="AI977" s="54" t="str" cm="1">
        <f t="array" ref="AI977">TRANSPOSE(_xlfn._xlws.FILTER(images!L:L,images!F:F=Barrierenmessung!A977, ""))</f>
        <v>https://captureandgo.cloudlab.zhaw.ch/uploads/image_4ea345d9da.jpg</v>
      </c>
      <c r="AJ977" s="2"/>
      <c r="AK977" s="2"/>
      <c r="AL977" s="2"/>
      <c r="AM977" s="2"/>
      <c r="AN977" s="2"/>
    </row>
    <row r="978" spans="1:40" ht="16" x14ac:dyDescent="0.2">
      <c r="A978" s="2" t="s">
        <v>3149</v>
      </c>
      <c r="B978" s="46">
        <v>977</v>
      </c>
      <c r="C978" s="2" t="b">
        <v>0</v>
      </c>
      <c r="D978" s="2" t="b">
        <v>0</v>
      </c>
      <c r="E978" s="2" t="b">
        <v>0</v>
      </c>
      <c r="F978" s="2" t="b">
        <v>0</v>
      </c>
      <c r="G978" s="2" t="s">
        <v>31</v>
      </c>
      <c r="H978" s="2" t="s">
        <v>3150</v>
      </c>
      <c r="I978" s="2" t="s">
        <v>3151</v>
      </c>
      <c r="J978" s="2" t="s">
        <v>3152</v>
      </c>
      <c r="K978" s="2" t="s">
        <v>35</v>
      </c>
      <c r="L978" s="2" t="s">
        <v>35</v>
      </c>
      <c r="M978" s="2" t="s">
        <v>35</v>
      </c>
      <c r="N978" s="2" t="s">
        <v>35</v>
      </c>
      <c r="O978" s="11">
        <v>44762.487192708337</v>
      </c>
      <c r="P978" s="11">
        <v>44762.487668969909</v>
      </c>
      <c r="Q978" s="27">
        <f t="shared" si="45"/>
        <v>4.7626157174818218E-4</v>
      </c>
      <c r="R978" s="65">
        <f t="shared" si="47"/>
        <v>8.422453684033826E-4</v>
      </c>
      <c r="S978" s="2">
        <v>0</v>
      </c>
      <c r="T978" s="2" t="s">
        <v>36</v>
      </c>
      <c r="U978" s="2" t="s">
        <v>37</v>
      </c>
      <c r="V978" s="2" t="s">
        <v>38</v>
      </c>
      <c r="W978" s="2" t="s">
        <v>35</v>
      </c>
      <c r="X978" s="2" t="s">
        <v>35</v>
      </c>
      <c r="Y978" s="2" t="s">
        <v>35</v>
      </c>
      <c r="Z978" s="2" t="b">
        <v>0</v>
      </c>
      <c r="AA978" s="2" t="s">
        <v>35</v>
      </c>
      <c r="AB978" s="2" t="s">
        <v>35</v>
      </c>
      <c r="AC978" s="2">
        <v>5</v>
      </c>
      <c r="AD978" s="2" t="s">
        <v>35</v>
      </c>
      <c r="AE978" s="2" t="s">
        <v>2840</v>
      </c>
      <c r="AF978" s="11">
        <v>44762.350694444445</v>
      </c>
      <c r="AG978" s="53"/>
      <c r="AH978" s="53" t="b">
        <f t="shared" si="46"/>
        <v>0</v>
      </c>
      <c r="AI978" s="54" t="str" cm="1">
        <f t="array" ref="AI978">TRANSPOSE(_xlfn._xlws.FILTER(images!L:L,images!F:F=Barrierenmessung!A978, ""))</f>
        <v>https://captureandgo.cloudlab.zhaw.ch/uploads/image_ec6b5284cb.jpg</v>
      </c>
      <c r="AJ978" s="2"/>
      <c r="AK978" s="2"/>
      <c r="AL978" s="2"/>
      <c r="AM978" s="2"/>
      <c r="AN978" s="2"/>
    </row>
    <row r="979" spans="1:40" ht="16" x14ac:dyDescent="0.2">
      <c r="A979" s="2" t="s">
        <v>3153</v>
      </c>
      <c r="B979" s="46">
        <v>978</v>
      </c>
      <c r="C979" s="2" t="b">
        <v>0</v>
      </c>
      <c r="D979" s="2" t="b">
        <v>0</v>
      </c>
      <c r="E979" s="2" t="b">
        <v>0</v>
      </c>
      <c r="F979" s="2" t="b">
        <v>0</v>
      </c>
      <c r="G979" s="2" t="s">
        <v>31</v>
      </c>
      <c r="H979" s="2" t="s">
        <v>3154</v>
      </c>
      <c r="I979" s="2" t="s">
        <v>3155</v>
      </c>
      <c r="J979" s="2" t="s">
        <v>3156</v>
      </c>
      <c r="K979" s="2" t="s">
        <v>35</v>
      </c>
      <c r="L979" s="2" t="s">
        <v>35</v>
      </c>
      <c r="M979" s="2" t="s">
        <v>35</v>
      </c>
      <c r="N979" s="2" t="s">
        <v>35</v>
      </c>
      <c r="O979" s="11">
        <v>44762.488771400465</v>
      </c>
      <c r="P979" s="11">
        <v>44762.490120092596</v>
      </c>
      <c r="Q979" s="27">
        <f t="shared" si="45"/>
        <v>1.348692130704876E-3</v>
      </c>
      <c r="R979" s="65">
        <f t="shared" si="47"/>
        <v>2.45112268748926E-3</v>
      </c>
      <c r="S979" s="2">
        <v>0</v>
      </c>
      <c r="T979" s="2" t="s">
        <v>3157</v>
      </c>
      <c r="U979" s="2" t="s">
        <v>3158</v>
      </c>
      <c r="V979" s="2" t="s">
        <v>38</v>
      </c>
      <c r="W979" s="2" t="s">
        <v>35</v>
      </c>
      <c r="X979" s="2">
        <v>106</v>
      </c>
      <c r="Y979" s="2" t="s">
        <v>35</v>
      </c>
      <c r="Z979" s="2" t="b">
        <v>0</v>
      </c>
      <c r="AA979" s="2" t="s">
        <v>35</v>
      </c>
      <c r="AB979" s="2" t="s">
        <v>35</v>
      </c>
      <c r="AC979" s="2" t="s">
        <v>35</v>
      </c>
      <c r="AD979" s="2" t="s">
        <v>35</v>
      </c>
      <c r="AE979" s="2" t="s">
        <v>2840</v>
      </c>
      <c r="AF979" s="11">
        <v>44762.350694444445</v>
      </c>
      <c r="AG979" s="53"/>
      <c r="AH979" s="53" t="b">
        <f t="shared" si="46"/>
        <v>0</v>
      </c>
      <c r="AI979" s="54" t="str" cm="1">
        <f t="array" ref="AI979">TRANSPOSE(_xlfn._xlws.FILTER(images!L:L,images!F:F=Barrierenmessung!A979, ""))</f>
        <v>https://captureandgo.cloudlab.zhaw.ch/uploads/image_c4b25becec.jpg</v>
      </c>
      <c r="AJ979" s="2"/>
      <c r="AK979" s="2"/>
      <c r="AL979" s="2"/>
      <c r="AM979" s="2"/>
      <c r="AN979" s="2"/>
    </row>
    <row r="980" spans="1:40" ht="16" x14ac:dyDescent="0.2">
      <c r="A980" s="2" t="s">
        <v>3159</v>
      </c>
      <c r="B980" s="46">
        <v>979</v>
      </c>
      <c r="C980" s="2" t="b">
        <v>0</v>
      </c>
      <c r="D980" s="2" t="b">
        <v>0</v>
      </c>
      <c r="E980" s="2" t="b">
        <v>0</v>
      </c>
      <c r="F980" s="2" t="b">
        <v>0</v>
      </c>
      <c r="G980" s="2" t="s">
        <v>31</v>
      </c>
      <c r="H980" s="2" t="s">
        <v>3160</v>
      </c>
      <c r="I980" s="2" t="s">
        <v>3161</v>
      </c>
      <c r="J980" s="2" t="s">
        <v>3152</v>
      </c>
      <c r="K980" s="2" t="s">
        <v>35</v>
      </c>
      <c r="L980" s="2" t="s">
        <v>35</v>
      </c>
      <c r="M980" s="2" t="s">
        <v>35</v>
      </c>
      <c r="N980" s="2" t="s">
        <v>35</v>
      </c>
      <c r="O980" s="11">
        <v>44762.49054471065</v>
      </c>
      <c r="P980" s="11">
        <v>44762.491075439815</v>
      </c>
      <c r="Q980" s="27">
        <f t="shared" si="45"/>
        <v>5.3072916489327326E-4</v>
      </c>
      <c r="R980" s="65">
        <f t="shared" si="47"/>
        <v>9.5534721913281828E-4</v>
      </c>
      <c r="S980" s="2">
        <v>0</v>
      </c>
      <c r="T980" s="2" t="s">
        <v>36</v>
      </c>
      <c r="U980" s="2" t="s">
        <v>37</v>
      </c>
      <c r="V980" s="2" t="s">
        <v>38</v>
      </c>
      <c r="W980" s="2" t="s">
        <v>35</v>
      </c>
      <c r="X980" s="2" t="s">
        <v>35</v>
      </c>
      <c r="Y980" s="2" t="s">
        <v>35</v>
      </c>
      <c r="Z980" s="2" t="b">
        <v>0</v>
      </c>
      <c r="AA980" s="2" t="s">
        <v>35</v>
      </c>
      <c r="AB980" s="2" t="s">
        <v>35</v>
      </c>
      <c r="AC980" s="2">
        <v>3</v>
      </c>
      <c r="AD980" s="2">
        <v>4</v>
      </c>
      <c r="AE980" s="2" t="s">
        <v>2840</v>
      </c>
      <c r="AF980" s="11">
        <v>44762.350694444445</v>
      </c>
      <c r="AG980" s="53"/>
      <c r="AH980" s="53" t="b">
        <f t="shared" si="46"/>
        <v>0</v>
      </c>
      <c r="AI980" s="54" t="str" cm="1">
        <f t="array" ref="AI980">TRANSPOSE(_xlfn._xlws.FILTER(images!L:L,images!F:F=Barrierenmessung!A980, ""))</f>
        <v>https://captureandgo.cloudlab.zhaw.ch/uploads/image_61cd6905ad.jpg</v>
      </c>
      <c r="AJ980" s="2"/>
      <c r="AK980" s="2"/>
      <c r="AL980" s="2"/>
      <c r="AM980" s="2"/>
      <c r="AN980" s="2"/>
    </row>
    <row r="981" spans="1:40" ht="16" x14ac:dyDescent="0.2">
      <c r="A981" s="2" t="s">
        <v>3162</v>
      </c>
      <c r="B981" s="46">
        <v>980</v>
      </c>
      <c r="C981" s="2" t="b">
        <v>0</v>
      </c>
      <c r="D981" s="2" t="b">
        <v>0</v>
      </c>
      <c r="E981" s="2" t="b">
        <v>0</v>
      </c>
      <c r="F981" s="2" t="b">
        <v>0</v>
      </c>
      <c r="G981" s="2" t="s">
        <v>31</v>
      </c>
      <c r="H981" s="2" t="s">
        <v>3163</v>
      </c>
      <c r="I981" s="2" t="s">
        <v>3164</v>
      </c>
      <c r="J981" s="2" t="s">
        <v>35</v>
      </c>
      <c r="K981" s="2" t="s">
        <v>35</v>
      </c>
      <c r="L981" s="2" t="s">
        <v>35</v>
      </c>
      <c r="M981" s="2" t="s">
        <v>35</v>
      </c>
      <c r="N981" s="2" t="s">
        <v>35</v>
      </c>
      <c r="O981" s="11">
        <v>44762.491293946761</v>
      </c>
      <c r="P981" s="11">
        <v>44762.491605682873</v>
      </c>
      <c r="Q981" s="27">
        <f t="shared" si="45"/>
        <v>3.1173611205304042E-4</v>
      </c>
      <c r="R981" s="65">
        <f t="shared" si="47"/>
        <v>5.3024305816506967E-4</v>
      </c>
      <c r="S981" s="2">
        <v>0</v>
      </c>
      <c r="T981" s="2" t="s">
        <v>36</v>
      </c>
      <c r="U981" s="2" t="s">
        <v>37</v>
      </c>
      <c r="V981" s="2" t="s">
        <v>38</v>
      </c>
      <c r="W981" s="2" t="s">
        <v>35</v>
      </c>
      <c r="X981" s="2" t="s">
        <v>35</v>
      </c>
      <c r="Y981" s="2" t="s">
        <v>35</v>
      </c>
      <c r="Z981" s="2" t="b">
        <v>0</v>
      </c>
      <c r="AA981" s="2" t="s">
        <v>35</v>
      </c>
      <c r="AB981" s="2" t="s">
        <v>35</v>
      </c>
      <c r="AC981" s="2">
        <v>2</v>
      </c>
      <c r="AD981" s="2" t="s">
        <v>35</v>
      </c>
      <c r="AE981" s="2" t="s">
        <v>2840</v>
      </c>
      <c r="AF981" s="11">
        <v>44762.350694444445</v>
      </c>
      <c r="AG981" s="53"/>
      <c r="AH981" s="53" t="b">
        <f t="shared" si="46"/>
        <v>0</v>
      </c>
      <c r="AI981" s="54" t="str" cm="1">
        <f t="array" ref="AI981">TRANSPOSE(_xlfn._xlws.FILTER(images!L:L,images!F:F=Barrierenmessung!A981, ""))</f>
        <v>https://captureandgo.cloudlab.zhaw.ch/uploads/image_e4a20b4317.jpg</v>
      </c>
      <c r="AJ981" s="2"/>
      <c r="AK981" s="2"/>
      <c r="AL981" s="2"/>
      <c r="AM981" s="2"/>
      <c r="AN981" s="2"/>
    </row>
    <row r="982" spans="1:40" ht="16" x14ac:dyDescent="0.2">
      <c r="A982" s="2" t="s">
        <v>3165</v>
      </c>
      <c r="B982" s="46">
        <v>981</v>
      </c>
      <c r="C982" s="2" t="b">
        <v>0</v>
      </c>
      <c r="D982" s="2" t="b">
        <v>0</v>
      </c>
      <c r="E982" s="2" t="b">
        <v>0</v>
      </c>
      <c r="F982" s="2" t="b">
        <v>0</v>
      </c>
      <c r="G982" s="2" t="s">
        <v>31</v>
      </c>
      <c r="H982" s="2" t="s">
        <v>3166</v>
      </c>
      <c r="I982" s="2" t="s">
        <v>3167</v>
      </c>
      <c r="J982" s="2" t="s">
        <v>35</v>
      </c>
      <c r="K982" s="2" t="s">
        <v>35</v>
      </c>
      <c r="L982" s="2" t="s">
        <v>35</v>
      </c>
      <c r="M982" s="2" t="s">
        <v>35</v>
      </c>
      <c r="N982" s="2" t="s">
        <v>35</v>
      </c>
      <c r="O982" s="11">
        <v>44762.49210171296</v>
      </c>
      <c r="P982" s="11">
        <v>44762.492204282411</v>
      </c>
      <c r="Q982" s="27">
        <f t="shared" si="45"/>
        <v>1.0256945097353309E-4</v>
      </c>
      <c r="R982" s="65">
        <f t="shared" si="47"/>
        <v>5.9859953762497753E-4</v>
      </c>
      <c r="S982" s="2">
        <v>0</v>
      </c>
      <c r="T982" s="2" t="s">
        <v>36</v>
      </c>
      <c r="U982" s="2" t="s">
        <v>37</v>
      </c>
      <c r="V982" s="2" t="s">
        <v>38</v>
      </c>
      <c r="W982" s="2" t="s">
        <v>35</v>
      </c>
      <c r="X982" s="2" t="s">
        <v>35</v>
      </c>
      <c r="Y982" s="2" t="s">
        <v>35</v>
      </c>
      <c r="Z982" s="2" t="b">
        <v>0</v>
      </c>
      <c r="AA982" s="2" t="s">
        <v>35</v>
      </c>
      <c r="AB982" s="2" t="s">
        <v>35</v>
      </c>
      <c r="AC982" s="2" t="s">
        <v>35</v>
      </c>
      <c r="AD982" s="2">
        <v>3</v>
      </c>
      <c r="AE982" s="2" t="s">
        <v>2840</v>
      </c>
      <c r="AF982" s="11">
        <v>44762.350694444445</v>
      </c>
      <c r="AG982" s="53"/>
      <c r="AH982" s="53" t="b">
        <f t="shared" si="46"/>
        <v>0</v>
      </c>
      <c r="AI982" s="54" t="str" cm="1">
        <f t="array" ref="AI982">TRANSPOSE(_xlfn._xlws.FILTER(images!L:L,images!F:F=Barrierenmessung!A982, ""))</f>
        <v>https://captureandgo.cloudlab.zhaw.ch/uploads/image_7d73bca4f3.jpg</v>
      </c>
      <c r="AJ982" s="2"/>
      <c r="AK982" s="2"/>
      <c r="AL982" s="2"/>
      <c r="AM982" s="2"/>
      <c r="AN982" s="2"/>
    </row>
    <row r="983" spans="1:40" ht="16" x14ac:dyDescent="0.2">
      <c r="A983" s="2" t="s">
        <v>3168</v>
      </c>
      <c r="B983" s="46">
        <v>982</v>
      </c>
      <c r="C983" s="2" t="b">
        <v>0</v>
      </c>
      <c r="D983" s="2" t="b">
        <v>0</v>
      </c>
      <c r="E983" s="2" t="b">
        <v>0</v>
      </c>
      <c r="F983" s="2" t="b">
        <v>0</v>
      </c>
      <c r="G983" s="2" t="s">
        <v>31</v>
      </c>
      <c r="H983" s="2" t="s">
        <v>3169</v>
      </c>
      <c r="I983" s="2" t="s">
        <v>3170</v>
      </c>
      <c r="J983" s="2" t="s">
        <v>35</v>
      </c>
      <c r="K983" s="2" t="s">
        <v>35</v>
      </c>
      <c r="L983" s="2" t="s">
        <v>35</v>
      </c>
      <c r="M983" s="2" t="s">
        <v>35</v>
      </c>
      <c r="N983" s="2" t="s">
        <v>35</v>
      </c>
      <c r="O983" s="11">
        <v>44762.49250216435</v>
      </c>
      <c r="P983" s="11">
        <v>44762.492665358797</v>
      </c>
      <c r="Q983" s="27">
        <f t="shared" si="45"/>
        <v>1.6319444694090635E-4</v>
      </c>
      <c r="R983" s="65">
        <f t="shared" si="47"/>
        <v>4.6107638627290726E-4</v>
      </c>
      <c r="S983" s="2">
        <v>0</v>
      </c>
      <c r="T983" s="2" t="s">
        <v>36</v>
      </c>
      <c r="U983" s="2" t="s">
        <v>37</v>
      </c>
      <c r="V983" s="2" t="s">
        <v>38</v>
      </c>
      <c r="W983" s="2" t="s">
        <v>35</v>
      </c>
      <c r="X983" s="2" t="s">
        <v>35</v>
      </c>
      <c r="Y983" s="2" t="s">
        <v>35</v>
      </c>
      <c r="Z983" s="2" t="b">
        <v>0</v>
      </c>
      <c r="AA983" s="2" t="s">
        <v>35</v>
      </c>
      <c r="AB983" s="2" t="s">
        <v>35</v>
      </c>
      <c r="AC983" s="2" t="s">
        <v>35</v>
      </c>
      <c r="AD983" s="2">
        <v>3</v>
      </c>
      <c r="AE983" s="2" t="s">
        <v>2840</v>
      </c>
      <c r="AF983" s="11">
        <v>44762.350694444445</v>
      </c>
      <c r="AG983" s="53"/>
      <c r="AH983" s="53" t="b">
        <f t="shared" si="46"/>
        <v>0</v>
      </c>
      <c r="AI983" s="54" t="str" cm="1">
        <f t="array" ref="AI983">TRANSPOSE(_xlfn._xlws.FILTER(images!L:L,images!F:F=Barrierenmessung!A983, ""))</f>
        <v>https://captureandgo.cloudlab.zhaw.ch/uploads/image_cd6ddfe783.jpg</v>
      </c>
      <c r="AJ983" s="2"/>
      <c r="AK983" s="2"/>
      <c r="AL983" s="2"/>
      <c r="AM983" s="2"/>
      <c r="AN983" s="2"/>
    </row>
    <row r="984" spans="1:40" ht="16" x14ac:dyDescent="0.2">
      <c r="A984" s="2" t="s">
        <v>3171</v>
      </c>
      <c r="B984" s="46">
        <v>983</v>
      </c>
      <c r="C984" s="2" t="b">
        <v>0</v>
      </c>
      <c r="D984" s="2" t="b">
        <v>0</v>
      </c>
      <c r="E984" s="2" t="b">
        <v>0</v>
      </c>
      <c r="F984" s="2" t="b">
        <v>0</v>
      </c>
      <c r="G984" s="2" t="s">
        <v>31</v>
      </c>
      <c r="H984" s="2" t="s">
        <v>3172</v>
      </c>
      <c r="I984" s="2" t="s">
        <v>3173</v>
      </c>
      <c r="J984" s="2" t="s">
        <v>675</v>
      </c>
      <c r="K984" s="2" t="s">
        <v>35</v>
      </c>
      <c r="L984" s="2" t="s">
        <v>35</v>
      </c>
      <c r="M984" s="2" t="s">
        <v>35</v>
      </c>
      <c r="N984" s="2" t="s">
        <v>35</v>
      </c>
      <c r="O984" s="11">
        <v>44762.49274533565</v>
      </c>
      <c r="P984" s="11">
        <v>44762.493056863423</v>
      </c>
      <c r="Q984" s="27">
        <f t="shared" si="45"/>
        <v>3.1152777228271589E-4</v>
      </c>
      <c r="R984" s="65">
        <f t="shared" si="47"/>
        <v>3.9150462544057518E-4</v>
      </c>
      <c r="S984" s="2">
        <v>0</v>
      </c>
      <c r="T984" s="2" t="s">
        <v>124</v>
      </c>
      <c r="U984" s="2" t="s">
        <v>125</v>
      </c>
      <c r="V984" s="2" t="s">
        <v>38</v>
      </c>
      <c r="W984" s="2" t="s">
        <v>35</v>
      </c>
      <c r="X984" s="2" t="s">
        <v>35</v>
      </c>
      <c r="Y984" s="2" t="s">
        <v>35</v>
      </c>
      <c r="Z984" s="2" t="b">
        <v>0</v>
      </c>
      <c r="AA984" s="2" t="s">
        <v>35</v>
      </c>
      <c r="AB984" s="2">
        <v>4</v>
      </c>
      <c r="AC984" s="2" t="s">
        <v>35</v>
      </c>
      <c r="AD984" s="2" t="s">
        <v>35</v>
      </c>
      <c r="AE984" s="2" t="s">
        <v>2840</v>
      </c>
      <c r="AF984" s="11">
        <v>44762.350694444445</v>
      </c>
      <c r="AG984" s="53"/>
      <c r="AH984" s="53" t="b">
        <f t="shared" si="46"/>
        <v>0</v>
      </c>
      <c r="AI984" s="54" t="str" cm="1">
        <f t="array" ref="AI984">TRANSPOSE(_xlfn._xlws.FILTER(images!L:L,images!F:F=Barrierenmessung!A984, ""))</f>
        <v>https://captureandgo.cloudlab.zhaw.ch/uploads/image_1e8e3cab9c.jpg</v>
      </c>
      <c r="AJ984" s="2"/>
      <c r="AK984" s="2"/>
      <c r="AL984" s="2"/>
      <c r="AM984" s="2"/>
      <c r="AN984" s="2"/>
    </row>
    <row r="985" spans="1:40" ht="16" x14ac:dyDescent="0.2">
      <c r="A985" s="2" t="s">
        <v>3174</v>
      </c>
      <c r="B985" s="46">
        <v>984</v>
      </c>
      <c r="C985" s="2" t="b">
        <v>0</v>
      </c>
      <c r="D985" s="2" t="b">
        <v>0</v>
      </c>
      <c r="E985" s="2" t="b">
        <v>0</v>
      </c>
      <c r="F985" s="2" t="b">
        <v>0</v>
      </c>
      <c r="G985" s="2" t="s">
        <v>31</v>
      </c>
      <c r="H985" s="2" t="s">
        <v>3175</v>
      </c>
      <c r="I985" s="2" t="s">
        <v>3176</v>
      </c>
      <c r="J985" s="2" t="s">
        <v>35</v>
      </c>
      <c r="K985" s="2" t="s">
        <v>35</v>
      </c>
      <c r="L985" s="2" t="s">
        <v>35</v>
      </c>
      <c r="M985" s="2" t="s">
        <v>35</v>
      </c>
      <c r="N985" s="2" t="s">
        <v>35</v>
      </c>
      <c r="O985" s="11">
        <v>44762.493593807871</v>
      </c>
      <c r="P985" s="11">
        <v>44762.493739039353</v>
      </c>
      <c r="Q985" s="27">
        <f t="shared" si="45"/>
        <v>1.4523148274747655E-4</v>
      </c>
      <c r="R985" s="65">
        <f t="shared" si="47"/>
        <v>6.8217593070585281E-4</v>
      </c>
      <c r="S985" s="2">
        <v>0</v>
      </c>
      <c r="T985" s="2" t="s">
        <v>36</v>
      </c>
      <c r="U985" s="2" t="s">
        <v>37</v>
      </c>
      <c r="V985" s="2" t="s">
        <v>38</v>
      </c>
      <c r="W985" s="2" t="s">
        <v>35</v>
      </c>
      <c r="X985" s="2" t="s">
        <v>35</v>
      </c>
      <c r="Y985" s="2" t="s">
        <v>35</v>
      </c>
      <c r="Z985" s="2" t="b">
        <v>0</v>
      </c>
      <c r="AA985" s="2" t="s">
        <v>35</v>
      </c>
      <c r="AB985" s="2" t="s">
        <v>35</v>
      </c>
      <c r="AC985" s="2" t="s">
        <v>35</v>
      </c>
      <c r="AD985" s="2">
        <v>2</v>
      </c>
      <c r="AE985" s="2" t="s">
        <v>2840</v>
      </c>
      <c r="AF985" s="11">
        <v>44762.350694444445</v>
      </c>
      <c r="AG985" s="53"/>
      <c r="AH985" s="53" t="b">
        <f t="shared" si="46"/>
        <v>0</v>
      </c>
      <c r="AI985" s="54" t="str" cm="1">
        <f t="array" ref="AI985">TRANSPOSE(_xlfn._xlws.FILTER(images!L:L,images!F:F=Barrierenmessung!A985, ""))</f>
        <v>https://captureandgo.cloudlab.zhaw.ch/uploads/image_3865215a4d.jpg</v>
      </c>
      <c r="AJ985" s="2"/>
      <c r="AK985" s="2"/>
      <c r="AL985" s="2"/>
      <c r="AM985" s="2"/>
      <c r="AN985" s="2"/>
    </row>
    <row r="986" spans="1:40" ht="16" x14ac:dyDescent="0.2">
      <c r="A986" s="2" t="s">
        <v>3177</v>
      </c>
      <c r="B986" s="46">
        <v>985</v>
      </c>
      <c r="C986" s="2" t="b">
        <v>0</v>
      </c>
      <c r="D986" s="2" t="b">
        <v>0</v>
      </c>
      <c r="E986" s="2" t="b">
        <v>0</v>
      </c>
      <c r="F986" s="2" t="b">
        <v>0</v>
      </c>
      <c r="G986" s="2" t="s">
        <v>31</v>
      </c>
      <c r="H986" s="2" t="s">
        <v>3178</v>
      </c>
      <c r="I986" s="2" t="s">
        <v>3179</v>
      </c>
      <c r="J986" s="2" t="s">
        <v>35</v>
      </c>
      <c r="K986" s="2" t="s">
        <v>35</v>
      </c>
      <c r="L986" s="2" t="s">
        <v>35</v>
      </c>
      <c r="M986" s="2" t="s">
        <v>35</v>
      </c>
      <c r="N986" s="2" t="s">
        <v>35</v>
      </c>
      <c r="O986" s="11">
        <v>44762.495347060183</v>
      </c>
      <c r="P986" s="11">
        <v>44762.495515983799</v>
      </c>
      <c r="Q986" s="27">
        <f t="shared" si="45"/>
        <v>1.6892361600184813E-4</v>
      </c>
      <c r="R986" s="65">
        <f t="shared" si="47"/>
        <v>1.7769444457371719E-3</v>
      </c>
      <c r="S986" s="2">
        <v>0</v>
      </c>
      <c r="T986" s="2" t="s">
        <v>36</v>
      </c>
      <c r="U986" s="2" t="s">
        <v>37</v>
      </c>
      <c r="V986" s="2" t="s">
        <v>38</v>
      </c>
      <c r="W986" s="2" t="s">
        <v>35</v>
      </c>
      <c r="X986" s="2" t="s">
        <v>35</v>
      </c>
      <c r="Y986" s="2" t="s">
        <v>35</v>
      </c>
      <c r="Z986" s="2" t="b">
        <v>0</v>
      </c>
      <c r="AA986" s="2" t="s">
        <v>35</v>
      </c>
      <c r="AB986" s="2" t="s">
        <v>35</v>
      </c>
      <c r="AC986" s="2" t="s">
        <v>35</v>
      </c>
      <c r="AD986" s="2">
        <v>4</v>
      </c>
      <c r="AE986" s="2" t="s">
        <v>2840</v>
      </c>
      <c r="AF986" s="11">
        <v>44762.350694444445</v>
      </c>
      <c r="AG986" s="53"/>
      <c r="AH986" s="53" t="b">
        <f t="shared" si="46"/>
        <v>0</v>
      </c>
      <c r="AI986" s="54" t="str" cm="1">
        <f t="array" ref="AI986">TRANSPOSE(_xlfn._xlws.FILTER(images!L:L,images!F:F=Barrierenmessung!A986, ""))</f>
        <v>https://captureandgo.cloudlab.zhaw.ch/uploads/image_4a70aece79.jpg</v>
      </c>
      <c r="AJ986" s="2"/>
      <c r="AK986" s="2"/>
      <c r="AL986" s="2"/>
      <c r="AM986" s="2"/>
      <c r="AN986" s="2"/>
    </row>
    <row r="987" spans="1:40" ht="16" x14ac:dyDescent="0.2">
      <c r="A987" s="2" t="s">
        <v>3180</v>
      </c>
      <c r="B987" s="46">
        <v>986</v>
      </c>
      <c r="C987" s="2" t="b">
        <v>0</v>
      </c>
      <c r="D987" s="2" t="b">
        <v>0</v>
      </c>
      <c r="E987" s="2" t="b">
        <v>0</v>
      </c>
      <c r="F987" s="2" t="b">
        <v>0</v>
      </c>
      <c r="G987" s="2" t="s">
        <v>31</v>
      </c>
      <c r="H987" s="2" t="s">
        <v>3181</v>
      </c>
      <c r="I987" s="2" t="s">
        <v>3182</v>
      </c>
      <c r="J987" s="2" t="s">
        <v>35</v>
      </c>
      <c r="K987" s="2" t="s">
        <v>35</v>
      </c>
      <c r="L987" s="2" t="s">
        <v>35</v>
      </c>
      <c r="M987" s="2" t="s">
        <v>35</v>
      </c>
      <c r="N987" s="2" t="s">
        <v>35</v>
      </c>
      <c r="O987" s="11">
        <v>44762.495619351852</v>
      </c>
      <c r="P987" s="11">
        <v>44762.495766192129</v>
      </c>
      <c r="Q987" s="27">
        <f t="shared" si="45"/>
        <v>1.4684027701150626E-4</v>
      </c>
      <c r="R987" s="65">
        <f t="shared" si="47"/>
        <v>2.5020832981681451E-4</v>
      </c>
      <c r="S987" s="2">
        <v>0</v>
      </c>
      <c r="T987" s="2" t="s">
        <v>36</v>
      </c>
      <c r="U987" s="2" t="s">
        <v>37</v>
      </c>
      <c r="V987" s="2" t="s">
        <v>38</v>
      </c>
      <c r="W987" s="2" t="s">
        <v>35</v>
      </c>
      <c r="X987" s="2" t="s">
        <v>35</v>
      </c>
      <c r="Y987" s="2" t="s">
        <v>35</v>
      </c>
      <c r="Z987" s="2" t="b">
        <v>0</v>
      </c>
      <c r="AA987" s="2" t="s">
        <v>35</v>
      </c>
      <c r="AB987" s="2" t="s">
        <v>35</v>
      </c>
      <c r="AC987" s="2" t="s">
        <v>35</v>
      </c>
      <c r="AD987" s="2">
        <v>2</v>
      </c>
      <c r="AE987" s="2" t="s">
        <v>2840</v>
      </c>
      <c r="AF987" s="11">
        <v>44762.350694444445</v>
      </c>
      <c r="AG987" s="53"/>
      <c r="AH987" s="53" t="b">
        <f t="shared" si="46"/>
        <v>0</v>
      </c>
      <c r="AI987" s="54" t="str" cm="1">
        <f t="array" ref="AI987">TRANSPOSE(_xlfn._xlws.FILTER(images!L:L,images!F:F=Barrierenmessung!A987, ""))</f>
        <v>https://captureandgo.cloudlab.zhaw.ch/uploads/image_37c233851d.jpg</v>
      </c>
      <c r="AJ987" s="2"/>
      <c r="AK987" s="2"/>
      <c r="AL987" s="2"/>
      <c r="AM987" s="2"/>
      <c r="AN987" s="2"/>
    </row>
    <row r="988" spans="1:40" ht="16" x14ac:dyDescent="0.2">
      <c r="A988" s="2" t="s">
        <v>3183</v>
      </c>
      <c r="B988" s="46">
        <v>987</v>
      </c>
      <c r="C988" s="2" t="b">
        <v>0</v>
      </c>
      <c r="D988" s="2" t="b">
        <v>0</v>
      </c>
      <c r="E988" s="2" t="b">
        <v>0</v>
      </c>
      <c r="F988" s="2" t="b">
        <v>0</v>
      </c>
      <c r="G988" s="2" t="s">
        <v>31</v>
      </c>
      <c r="H988" s="2" t="s">
        <v>3184</v>
      </c>
      <c r="I988" s="2" t="s">
        <v>3185</v>
      </c>
      <c r="J988" s="2" t="s">
        <v>3186</v>
      </c>
      <c r="K988" s="2" t="s">
        <v>35</v>
      </c>
      <c r="L988" s="2" t="s">
        <v>35</v>
      </c>
      <c r="M988" s="2" t="s">
        <v>35</v>
      </c>
      <c r="N988" s="2" t="s">
        <v>35</v>
      </c>
      <c r="O988" s="11">
        <v>44762.496430104169</v>
      </c>
      <c r="P988" s="11">
        <v>44762.497120914355</v>
      </c>
      <c r="Q988" s="27">
        <f t="shared" si="45"/>
        <v>6.9081018591532484E-4</v>
      </c>
      <c r="R988" s="65">
        <f t="shared" si="47"/>
        <v>1.3547222260967828E-3</v>
      </c>
      <c r="S988" s="2">
        <v>0</v>
      </c>
      <c r="T988" s="2" t="s">
        <v>36</v>
      </c>
      <c r="U988" s="2" t="s">
        <v>37</v>
      </c>
      <c r="V988" s="2" t="s">
        <v>38</v>
      </c>
      <c r="W988" s="2" t="s">
        <v>35</v>
      </c>
      <c r="X988" s="2" t="s">
        <v>35</v>
      </c>
      <c r="Y988" s="2" t="s">
        <v>35</v>
      </c>
      <c r="Z988" s="2" t="b">
        <v>0</v>
      </c>
      <c r="AA988" s="2" t="s">
        <v>35</v>
      </c>
      <c r="AB988" s="2">
        <v>103</v>
      </c>
      <c r="AC988" s="2" t="s">
        <v>35</v>
      </c>
      <c r="AD988" s="2" t="s">
        <v>35</v>
      </c>
      <c r="AE988" s="2" t="s">
        <v>2840</v>
      </c>
      <c r="AF988" s="11">
        <v>44762.350694444445</v>
      </c>
      <c r="AG988" s="53"/>
      <c r="AH988" s="53" t="b">
        <f t="shared" si="46"/>
        <v>0</v>
      </c>
      <c r="AI988" s="54" t="str" cm="1">
        <f t="array" ref="AI988">TRANSPOSE(_xlfn._xlws.FILTER(images!L:L,images!F:F=Barrierenmessung!A988, ""))</f>
        <v>https://captureandgo.cloudlab.zhaw.ch/uploads/image_68197d9bbd.jpg</v>
      </c>
      <c r="AJ988" s="2"/>
      <c r="AK988" s="2"/>
      <c r="AL988" s="2"/>
      <c r="AM988" s="2"/>
      <c r="AN988" s="2"/>
    </row>
    <row r="989" spans="1:40" ht="16" x14ac:dyDescent="0.2">
      <c r="A989" s="2" t="s">
        <v>3187</v>
      </c>
      <c r="B989" s="46">
        <v>988</v>
      </c>
      <c r="C989" s="2" t="b">
        <v>0</v>
      </c>
      <c r="D989" s="2" t="b">
        <v>0</v>
      </c>
      <c r="E989" s="2" t="b">
        <v>0</v>
      </c>
      <c r="F989" s="2" t="b">
        <v>0</v>
      </c>
      <c r="G989" s="2" t="s">
        <v>31</v>
      </c>
      <c r="H989" s="2" t="s">
        <v>3188</v>
      </c>
      <c r="I989" s="2" t="s">
        <v>3189</v>
      </c>
      <c r="J989" s="2" t="s">
        <v>3190</v>
      </c>
      <c r="K989" s="2" t="s">
        <v>35</v>
      </c>
      <c r="L989" s="2" t="s">
        <v>35</v>
      </c>
      <c r="M989" s="2" t="s">
        <v>35</v>
      </c>
      <c r="N989" s="2" t="s">
        <v>35</v>
      </c>
      <c r="O989" s="11">
        <v>44762.497912766201</v>
      </c>
      <c r="P989" s="11">
        <v>44762.498565324073</v>
      </c>
      <c r="Q989" s="27">
        <f t="shared" si="45"/>
        <v>6.5255787194473669E-4</v>
      </c>
      <c r="R989" s="65">
        <f t="shared" si="47"/>
        <v>1.4444097178056836E-3</v>
      </c>
      <c r="S989" s="2">
        <v>0</v>
      </c>
      <c r="T989" s="2" t="s">
        <v>36</v>
      </c>
      <c r="U989" s="2" t="s">
        <v>37</v>
      </c>
      <c r="V989" s="2" t="s">
        <v>38</v>
      </c>
      <c r="W989" s="2" t="s">
        <v>35</v>
      </c>
      <c r="X989" s="2" t="s">
        <v>35</v>
      </c>
      <c r="Y989" s="2" t="s">
        <v>35</v>
      </c>
      <c r="Z989" s="2" t="b">
        <v>0</v>
      </c>
      <c r="AA989" s="2" t="s">
        <v>35</v>
      </c>
      <c r="AB989" s="2" t="s">
        <v>35</v>
      </c>
      <c r="AC989" s="2">
        <v>4</v>
      </c>
      <c r="AD989" s="2">
        <v>2</v>
      </c>
      <c r="AE989" s="2" t="s">
        <v>2840</v>
      </c>
      <c r="AF989" s="11">
        <v>44762.350694444445</v>
      </c>
      <c r="AG989" s="53"/>
      <c r="AH989" s="53" t="b">
        <f t="shared" si="46"/>
        <v>0</v>
      </c>
      <c r="AI989" s="54" t="str" cm="1">
        <f t="array" ref="AI989">TRANSPOSE(_xlfn._xlws.FILTER(images!L:L,images!F:F=Barrierenmessung!A989, ""))</f>
        <v>https://captureandgo.cloudlab.zhaw.ch/uploads/image_106074dddb.jpg</v>
      </c>
      <c r="AJ989" s="2"/>
      <c r="AK989" s="2"/>
      <c r="AL989" s="2"/>
      <c r="AM989" s="2"/>
      <c r="AN989" s="2"/>
    </row>
    <row r="990" spans="1:40" ht="16" x14ac:dyDescent="0.2">
      <c r="A990" s="2" t="s">
        <v>3191</v>
      </c>
      <c r="B990" s="46">
        <v>989</v>
      </c>
      <c r="C990" s="2" t="b">
        <v>0</v>
      </c>
      <c r="D990" s="2" t="b">
        <v>0</v>
      </c>
      <c r="E990" s="2" t="b">
        <v>0</v>
      </c>
      <c r="F990" s="2" t="b">
        <v>0</v>
      </c>
      <c r="G990" s="2" t="s">
        <v>31</v>
      </c>
      <c r="H990" s="2" t="s">
        <v>3192</v>
      </c>
      <c r="I990" s="2" t="s">
        <v>3193</v>
      </c>
      <c r="J990" s="2" t="s">
        <v>35</v>
      </c>
      <c r="K990" s="2" t="s">
        <v>35</v>
      </c>
      <c r="L990" s="2" t="s">
        <v>35</v>
      </c>
      <c r="M990" s="2" t="s">
        <v>35</v>
      </c>
      <c r="N990" s="2" t="s">
        <v>35</v>
      </c>
      <c r="O990" s="11">
        <v>44762.498625567132</v>
      </c>
      <c r="P990" s="11">
        <v>44762.498914166667</v>
      </c>
      <c r="Q990" s="27">
        <f t="shared" si="45"/>
        <v>2.8859953454229981E-4</v>
      </c>
      <c r="R990" s="65">
        <f t="shared" si="47"/>
        <v>3.4884259366663173E-4</v>
      </c>
      <c r="S990" s="2">
        <v>0</v>
      </c>
      <c r="T990" s="2" t="s">
        <v>36</v>
      </c>
      <c r="U990" s="2" t="s">
        <v>37</v>
      </c>
      <c r="V990" s="2" t="s">
        <v>38</v>
      </c>
      <c r="W990" s="2" t="s">
        <v>35</v>
      </c>
      <c r="X990" s="2" t="s">
        <v>35</v>
      </c>
      <c r="Y990" s="2" t="s">
        <v>35</v>
      </c>
      <c r="Z990" s="2" t="b">
        <v>0</v>
      </c>
      <c r="AA990" s="2" t="s">
        <v>2284</v>
      </c>
      <c r="AB990" s="2" t="s">
        <v>35</v>
      </c>
      <c r="AC990" s="2" t="s">
        <v>35</v>
      </c>
      <c r="AD990" s="2" t="s">
        <v>35</v>
      </c>
      <c r="AE990" s="2" t="s">
        <v>2840</v>
      </c>
      <c r="AF990" s="11">
        <v>44762.350694444445</v>
      </c>
      <c r="AG990" s="53"/>
      <c r="AH990" s="53" t="b">
        <f t="shared" si="46"/>
        <v>0</v>
      </c>
      <c r="AI990" s="54" t="str" cm="1">
        <f t="array" ref="AI990">TRANSPOSE(_xlfn._xlws.FILTER(images!L:L,images!F:F=Barrierenmessung!A990, ""))</f>
        <v>https://captureandgo.cloudlab.zhaw.ch/uploads/image_01bdad3614.jpg</v>
      </c>
      <c r="AJ990" s="2"/>
      <c r="AK990" s="2"/>
      <c r="AL990" s="2"/>
      <c r="AM990" s="2"/>
      <c r="AN990" s="2"/>
    </row>
    <row r="991" spans="1:40" ht="16" x14ac:dyDescent="0.2">
      <c r="A991" s="2" t="s">
        <v>3194</v>
      </c>
      <c r="B991" s="46">
        <v>990</v>
      </c>
      <c r="C991" s="2" t="b">
        <v>0</v>
      </c>
      <c r="D991" s="2" t="b">
        <v>0</v>
      </c>
      <c r="E991" s="2" t="b">
        <v>0</v>
      </c>
      <c r="F991" s="2" t="b">
        <v>0</v>
      </c>
      <c r="G991" s="2" t="s">
        <v>31</v>
      </c>
      <c r="H991" s="2" t="s">
        <v>3195</v>
      </c>
      <c r="I991" s="2" t="s">
        <v>3196</v>
      </c>
      <c r="J991" s="2" t="s">
        <v>35</v>
      </c>
      <c r="K991" s="2" t="s">
        <v>35</v>
      </c>
      <c r="L991" s="2" t="s">
        <v>35</v>
      </c>
      <c r="M991" s="2" t="s">
        <v>35</v>
      </c>
      <c r="N991" s="2" t="s">
        <v>35</v>
      </c>
      <c r="O991" s="11">
        <v>44762.499731886572</v>
      </c>
      <c r="P991" s="11">
        <v>44762.500404664352</v>
      </c>
      <c r="Q991" s="27">
        <f t="shared" si="45"/>
        <v>6.7277777998242527E-4</v>
      </c>
      <c r="R991" s="65">
        <f t="shared" si="47"/>
        <v>1.4904976851539686E-3</v>
      </c>
      <c r="S991" s="2">
        <v>0</v>
      </c>
      <c r="T991" s="2" t="s">
        <v>36</v>
      </c>
      <c r="U991" s="2" t="s">
        <v>37</v>
      </c>
      <c r="V991" s="2" t="s">
        <v>38</v>
      </c>
      <c r="W991" s="2" t="s">
        <v>35</v>
      </c>
      <c r="X991" s="2" t="s">
        <v>35</v>
      </c>
      <c r="Y991" s="2" t="s">
        <v>35</v>
      </c>
      <c r="Z991" s="2" t="b">
        <v>0</v>
      </c>
      <c r="AA991" s="2" t="s">
        <v>35</v>
      </c>
      <c r="AB991" s="2" t="s">
        <v>35</v>
      </c>
      <c r="AC991" s="2" t="s">
        <v>35</v>
      </c>
      <c r="AD991" s="2">
        <v>2</v>
      </c>
      <c r="AE991" s="2" t="s">
        <v>2840</v>
      </c>
      <c r="AF991" s="11">
        <v>44762.350694444445</v>
      </c>
      <c r="AG991" s="53"/>
      <c r="AH991" s="53" t="b">
        <f t="shared" si="46"/>
        <v>0</v>
      </c>
      <c r="AI991" s="54" t="str" cm="1">
        <f t="array" ref="AI991">TRANSPOSE(_xlfn._xlws.FILTER(images!L:L,images!F:F=Barrierenmessung!A991, ""))</f>
        <v>https://captureandgo.cloudlab.zhaw.ch/uploads/image_7cb5822c56.jpg</v>
      </c>
      <c r="AJ991" s="2"/>
      <c r="AK991" s="2"/>
      <c r="AL991" s="2"/>
      <c r="AM991" s="2"/>
      <c r="AN991" s="2"/>
    </row>
    <row r="992" spans="1:40" ht="16" x14ac:dyDescent="0.2">
      <c r="A992" s="2" t="s">
        <v>3197</v>
      </c>
      <c r="B992" s="46">
        <v>991</v>
      </c>
      <c r="C992" s="2" t="b">
        <v>0</v>
      </c>
      <c r="D992" s="2" t="b">
        <v>0</v>
      </c>
      <c r="E992" s="2" t="b">
        <v>0</v>
      </c>
      <c r="F992" s="2" t="b">
        <v>0</v>
      </c>
      <c r="G992" s="2" t="s">
        <v>31</v>
      </c>
      <c r="H992" s="2" t="s">
        <v>3198</v>
      </c>
      <c r="I992" s="2" t="s">
        <v>3199</v>
      </c>
      <c r="J992" s="2" t="s">
        <v>35</v>
      </c>
      <c r="K992" s="2" t="s">
        <v>35</v>
      </c>
      <c r="L992" s="2" t="s">
        <v>35</v>
      </c>
      <c r="M992" s="2" t="s">
        <v>35</v>
      </c>
      <c r="N992" s="2" t="s">
        <v>35</v>
      </c>
      <c r="O992" s="11">
        <v>44762.501281053243</v>
      </c>
      <c r="P992" s="11">
        <v>44762.50146417824</v>
      </c>
      <c r="Q992" s="27">
        <f t="shared" si="45"/>
        <v>1.8312499742023647E-4</v>
      </c>
      <c r="R992" s="65">
        <f t="shared" si="47"/>
        <v>1.0595138883218169E-3</v>
      </c>
      <c r="S992" s="2">
        <v>0</v>
      </c>
      <c r="T992" s="2" t="s">
        <v>36</v>
      </c>
      <c r="U992" s="2" t="s">
        <v>37</v>
      </c>
      <c r="V992" s="2" t="s">
        <v>38</v>
      </c>
      <c r="W992" s="2" t="s">
        <v>35</v>
      </c>
      <c r="X992" s="2" t="s">
        <v>35</v>
      </c>
      <c r="Y992" s="2" t="s">
        <v>35</v>
      </c>
      <c r="Z992" s="2" t="b">
        <v>0</v>
      </c>
      <c r="AA992" s="2" t="s">
        <v>35</v>
      </c>
      <c r="AB992" s="2" t="s">
        <v>35</v>
      </c>
      <c r="AC992" s="2" t="s">
        <v>35</v>
      </c>
      <c r="AD992" s="2">
        <v>3</v>
      </c>
      <c r="AE992" s="2" t="s">
        <v>2840</v>
      </c>
      <c r="AF992" s="11">
        <v>44762.350694444445</v>
      </c>
      <c r="AG992" s="53"/>
      <c r="AH992" s="53" t="b">
        <f t="shared" si="46"/>
        <v>0</v>
      </c>
      <c r="AI992" s="54" t="str" cm="1">
        <f t="array" ref="AI992">TRANSPOSE(_xlfn._xlws.FILTER(images!L:L,images!F:F=Barrierenmessung!A992, ""))</f>
        <v>https://captureandgo.cloudlab.zhaw.ch/uploads/image_dc1a35b5de.jpg</v>
      </c>
      <c r="AJ992" s="2"/>
      <c r="AK992" s="2"/>
      <c r="AL992" s="2"/>
      <c r="AM992" s="2"/>
      <c r="AN992" s="2"/>
    </row>
    <row r="993" spans="1:40" ht="16" x14ac:dyDescent="0.2">
      <c r="A993" s="2" t="s">
        <v>3200</v>
      </c>
      <c r="B993" s="46">
        <v>992</v>
      </c>
      <c r="C993" s="2" t="b">
        <v>0</v>
      </c>
      <c r="D993" s="2" t="b">
        <v>0</v>
      </c>
      <c r="E993" s="2" t="b">
        <v>0</v>
      </c>
      <c r="F993" s="2" t="b">
        <v>0</v>
      </c>
      <c r="G993" s="2" t="s">
        <v>31</v>
      </c>
      <c r="H993" s="2" t="s">
        <v>3201</v>
      </c>
      <c r="I993" s="2" t="s">
        <v>3202</v>
      </c>
      <c r="J993" s="2" t="s">
        <v>3203</v>
      </c>
      <c r="K993" s="2" t="s">
        <v>35</v>
      </c>
      <c r="L993" s="2" t="s">
        <v>35</v>
      </c>
      <c r="M993" s="2" t="s">
        <v>35</v>
      </c>
      <c r="N993" s="2" t="s">
        <v>35</v>
      </c>
      <c r="O993" s="11">
        <v>44762.502006145834</v>
      </c>
      <c r="P993" s="11">
        <v>44762.502516805558</v>
      </c>
      <c r="Q993" s="27">
        <f t="shared" si="45"/>
        <v>5.1065972365904599E-4</v>
      </c>
      <c r="R993" s="65">
        <f t="shared" si="47"/>
        <v>1.0526273181312717E-3</v>
      </c>
      <c r="S993" s="2">
        <v>0</v>
      </c>
      <c r="T993" s="2" t="s">
        <v>36</v>
      </c>
      <c r="U993" s="2" t="s">
        <v>37</v>
      </c>
      <c r="V993" s="2" t="s">
        <v>38</v>
      </c>
      <c r="W993" s="2" t="s">
        <v>35</v>
      </c>
      <c r="X993" s="2" t="s">
        <v>35</v>
      </c>
      <c r="Y993" s="2" t="s">
        <v>35</v>
      </c>
      <c r="Z993" s="2" t="b">
        <v>0</v>
      </c>
      <c r="AA993" s="2" t="s">
        <v>35</v>
      </c>
      <c r="AB993" s="2" t="s">
        <v>35</v>
      </c>
      <c r="AC993" s="2">
        <v>4</v>
      </c>
      <c r="AD993" s="2" t="s">
        <v>35</v>
      </c>
      <c r="AE993" s="2" t="s">
        <v>2840</v>
      </c>
      <c r="AF993" s="11">
        <v>44762.350694444445</v>
      </c>
      <c r="AG993" s="53"/>
      <c r="AH993" s="53" t="b">
        <f t="shared" si="46"/>
        <v>0</v>
      </c>
      <c r="AI993" s="54" t="str" cm="1">
        <f t="array" ref="AI993">TRANSPOSE(_xlfn._xlws.FILTER(images!L:L,images!F:F=Barrierenmessung!A993, ""))</f>
        <v>https://captureandgo.cloudlab.zhaw.ch/uploads/image_11ce94a046.jpg</v>
      </c>
      <c r="AJ993" s="2"/>
      <c r="AK993" s="2"/>
      <c r="AL993" s="2"/>
      <c r="AM993" s="2"/>
      <c r="AN993" s="2"/>
    </row>
    <row r="994" spans="1:40" ht="16" x14ac:dyDescent="0.2">
      <c r="A994" s="2" t="s">
        <v>3204</v>
      </c>
      <c r="B994" s="46">
        <v>993</v>
      </c>
      <c r="C994" s="2" t="b">
        <v>0</v>
      </c>
      <c r="D994" s="2" t="b">
        <v>0</v>
      </c>
      <c r="E994" s="2" t="b">
        <v>0</v>
      </c>
      <c r="F994" s="2" t="b">
        <v>0</v>
      </c>
      <c r="G994" s="2" t="s">
        <v>31</v>
      </c>
      <c r="H994" s="2" t="s">
        <v>3205</v>
      </c>
      <c r="I994" s="2" t="s">
        <v>3206</v>
      </c>
      <c r="J994" s="2" t="s">
        <v>35</v>
      </c>
      <c r="K994" s="2" t="s">
        <v>35</v>
      </c>
      <c r="L994" s="2" t="s">
        <v>35</v>
      </c>
      <c r="M994" s="2" t="s">
        <v>35</v>
      </c>
      <c r="N994" s="2" t="s">
        <v>35</v>
      </c>
      <c r="O994" s="11">
        <v>44762.503442650464</v>
      </c>
      <c r="P994" s="11">
        <v>44762.503585011575</v>
      </c>
      <c r="Q994" s="27">
        <f t="shared" si="45"/>
        <v>1.4236111019272357E-4</v>
      </c>
      <c r="R994" s="65">
        <f t="shared" si="47"/>
        <v>1.0682060164981522E-3</v>
      </c>
      <c r="S994" s="2">
        <v>0</v>
      </c>
      <c r="T994" s="2" t="s">
        <v>36</v>
      </c>
      <c r="U994" s="2" t="s">
        <v>37</v>
      </c>
      <c r="V994" s="2" t="s">
        <v>38</v>
      </c>
      <c r="W994" s="2" t="s">
        <v>35</v>
      </c>
      <c r="X994" s="2" t="s">
        <v>35</v>
      </c>
      <c r="Y994" s="2" t="s">
        <v>35</v>
      </c>
      <c r="Z994" s="2" t="b">
        <v>0</v>
      </c>
      <c r="AA994" s="2" t="s">
        <v>35</v>
      </c>
      <c r="AB994" s="2" t="s">
        <v>35</v>
      </c>
      <c r="AC994" s="2" t="s">
        <v>35</v>
      </c>
      <c r="AD994" s="2">
        <v>3</v>
      </c>
      <c r="AE994" s="2" t="s">
        <v>2840</v>
      </c>
      <c r="AF994" s="11">
        <v>44762.350694444445</v>
      </c>
      <c r="AG994" s="53"/>
      <c r="AH994" s="53" t="b">
        <f t="shared" si="46"/>
        <v>0</v>
      </c>
      <c r="AI994" s="54" t="str" cm="1">
        <f t="array" ref="AI994">TRANSPOSE(_xlfn._xlws.FILTER(images!L:L,images!F:F=Barrierenmessung!A994, ""))</f>
        <v>https://captureandgo.cloudlab.zhaw.ch/uploads/image_c6f4b038d7.jpg</v>
      </c>
      <c r="AJ994" s="2"/>
      <c r="AK994" s="2"/>
      <c r="AL994" s="2"/>
      <c r="AM994" s="2"/>
      <c r="AN994" s="2"/>
    </row>
    <row r="995" spans="1:40" ht="16" x14ac:dyDescent="0.2">
      <c r="A995" s="2" t="s">
        <v>3207</v>
      </c>
      <c r="B995" s="46">
        <v>994</v>
      </c>
      <c r="C995" s="2" t="b">
        <v>0</v>
      </c>
      <c r="D995" s="2" t="b">
        <v>0</v>
      </c>
      <c r="E995" s="2" t="b">
        <v>0</v>
      </c>
      <c r="F995" s="2" t="b">
        <v>0</v>
      </c>
      <c r="G995" s="2" t="s">
        <v>31</v>
      </c>
      <c r="H995" s="2" t="s">
        <v>3208</v>
      </c>
      <c r="I995" s="2" t="s">
        <v>3209</v>
      </c>
      <c r="J995" s="2" t="s">
        <v>35</v>
      </c>
      <c r="K995" s="2" t="s">
        <v>35</v>
      </c>
      <c r="L995" s="2" t="s">
        <v>35</v>
      </c>
      <c r="M995" s="2">
        <v>22</v>
      </c>
      <c r="N995" s="2">
        <v>7</v>
      </c>
      <c r="O995" s="11">
        <v>44762.503733020836</v>
      </c>
      <c r="P995" s="11">
        <v>44762.504072314812</v>
      </c>
      <c r="Q995" s="27">
        <f t="shared" si="45"/>
        <v>3.3929397613974288E-4</v>
      </c>
      <c r="R995" s="65">
        <f t="shared" si="47"/>
        <v>4.8730323760537431E-4</v>
      </c>
      <c r="S995" s="2">
        <v>0</v>
      </c>
      <c r="T995" s="2" t="s">
        <v>54</v>
      </c>
      <c r="U995" s="2" t="s">
        <v>55</v>
      </c>
      <c r="V995" s="2" t="s">
        <v>38</v>
      </c>
      <c r="W995" s="2" t="s">
        <v>35</v>
      </c>
      <c r="X995" s="2" t="s">
        <v>35</v>
      </c>
      <c r="Y995" s="2" t="s">
        <v>35</v>
      </c>
      <c r="Z995" s="2" t="b">
        <v>0</v>
      </c>
      <c r="AA995" s="2" t="s">
        <v>35</v>
      </c>
      <c r="AB995" s="2" t="s">
        <v>35</v>
      </c>
      <c r="AC995" s="2" t="s">
        <v>35</v>
      </c>
      <c r="AD995" s="2" t="s">
        <v>35</v>
      </c>
      <c r="AE995" s="2" t="s">
        <v>2840</v>
      </c>
      <c r="AF995" s="11">
        <v>44762.350694444445</v>
      </c>
      <c r="AG995" s="53"/>
      <c r="AH995" s="53" t="b">
        <f t="shared" si="46"/>
        <v>0</v>
      </c>
      <c r="AI995" s="54" t="str" cm="1">
        <f t="array" ref="AI995">TRANSPOSE(_xlfn._xlws.FILTER(images!L:L,images!F:F=Barrierenmessung!A995, ""))</f>
        <v>https://captureandgo.cloudlab.zhaw.ch/uploads/image_19516fd663.jpg</v>
      </c>
      <c r="AJ995" s="2"/>
      <c r="AK995" s="2"/>
      <c r="AL995" s="2"/>
      <c r="AM995" s="2"/>
      <c r="AN995" s="2"/>
    </row>
    <row r="996" spans="1:40" ht="16" x14ac:dyDescent="0.2">
      <c r="A996" s="2" t="s">
        <v>3210</v>
      </c>
      <c r="B996" s="46">
        <v>995</v>
      </c>
      <c r="C996" s="2" t="b">
        <v>0</v>
      </c>
      <c r="D996" s="2" t="b">
        <v>0</v>
      </c>
      <c r="E996" s="2" t="b">
        <v>0</v>
      </c>
      <c r="F996" s="2" t="b">
        <v>0</v>
      </c>
      <c r="G996" s="2" t="s">
        <v>31</v>
      </c>
      <c r="H996" s="2" t="s">
        <v>3211</v>
      </c>
      <c r="I996" s="2" t="s">
        <v>3212</v>
      </c>
      <c r="J996" s="2" t="s">
        <v>3213</v>
      </c>
      <c r="K996" s="2" t="s">
        <v>35</v>
      </c>
      <c r="L996" s="2" t="s">
        <v>35</v>
      </c>
      <c r="M996" s="2" t="s">
        <v>35</v>
      </c>
      <c r="N996" s="2" t="s">
        <v>35</v>
      </c>
      <c r="O996" s="11">
        <v>44762.504685949076</v>
      </c>
      <c r="P996" s="11">
        <v>44762.505049212959</v>
      </c>
      <c r="Q996" s="27">
        <f t="shared" si="45"/>
        <v>3.6326388362795115E-4</v>
      </c>
      <c r="R996" s="65">
        <f t="shared" si="47"/>
        <v>9.768981472006999E-4</v>
      </c>
      <c r="S996" s="2">
        <v>0</v>
      </c>
      <c r="T996" s="2" t="s">
        <v>36</v>
      </c>
      <c r="U996" s="2" t="s">
        <v>37</v>
      </c>
      <c r="V996" s="2" t="s">
        <v>38</v>
      </c>
      <c r="W996" s="2" t="s">
        <v>35</v>
      </c>
      <c r="X996" s="2" t="s">
        <v>35</v>
      </c>
      <c r="Y996" s="2" t="s">
        <v>35</v>
      </c>
      <c r="Z996" s="2" t="b">
        <v>0</v>
      </c>
      <c r="AA996" s="2" t="s">
        <v>35</v>
      </c>
      <c r="AB996" s="2" t="s">
        <v>35</v>
      </c>
      <c r="AC996" s="2">
        <v>6</v>
      </c>
      <c r="AD996" s="2" t="s">
        <v>35</v>
      </c>
      <c r="AE996" s="2" t="s">
        <v>2840</v>
      </c>
      <c r="AF996" s="11">
        <v>44762.350694444445</v>
      </c>
      <c r="AG996" s="53"/>
      <c r="AH996" s="53" t="b">
        <f t="shared" si="46"/>
        <v>0</v>
      </c>
      <c r="AI996" s="54" t="str" cm="1">
        <f t="array" ref="AI996">TRANSPOSE(_xlfn._xlws.FILTER(images!L:L,images!F:F=Barrierenmessung!A996, ""))</f>
        <v>https://captureandgo.cloudlab.zhaw.ch/uploads/image_9650fba4bd.jpg</v>
      </c>
      <c r="AJ996" s="2"/>
      <c r="AK996" s="2"/>
      <c r="AL996" s="2"/>
      <c r="AM996" s="2"/>
      <c r="AN996" s="2"/>
    </row>
    <row r="997" spans="1:40" ht="16" x14ac:dyDescent="0.2">
      <c r="A997" s="2" t="s">
        <v>3214</v>
      </c>
      <c r="B997" s="46">
        <v>996</v>
      </c>
      <c r="C997" s="2" t="b">
        <v>0</v>
      </c>
      <c r="D997" s="2" t="b">
        <v>0</v>
      </c>
      <c r="E997" s="2" t="b">
        <v>0</v>
      </c>
      <c r="F997" s="2" t="b">
        <v>0</v>
      </c>
      <c r="G997" s="2" t="s">
        <v>31</v>
      </c>
      <c r="H997" s="2" t="s">
        <v>3215</v>
      </c>
      <c r="I997" s="2" t="s">
        <v>3216</v>
      </c>
      <c r="J997" s="2" t="s">
        <v>35</v>
      </c>
      <c r="K997" s="2" t="s">
        <v>35</v>
      </c>
      <c r="L997" s="2" t="s">
        <v>35</v>
      </c>
      <c r="M997" s="2">
        <v>2</v>
      </c>
      <c r="N997" s="2">
        <v>11</v>
      </c>
      <c r="O997" s="11">
        <v>44762.505501215281</v>
      </c>
      <c r="P997" s="11">
        <v>44762.50571474537</v>
      </c>
      <c r="Q997" s="27">
        <f t="shared" si="45"/>
        <v>2.1353008924052119E-4</v>
      </c>
      <c r="R997" s="65">
        <f t="shared" si="47"/>
        <v>6.6553241049405187E-4</v>
      </c>
      <c r="S997" s="2">
        <v>0</v>
      </c>
      <c r="T997" s="2" t="s">
        <v>54</v>
      </c>
      <c r="U997" s="2" t="s">
        <v>55</v>
      </c>
      <c r="V997" s="2" t="s">
        <v>38</v>
      </c>
      <c r="W997" s="2" t="s">
        <v>35</v>
      </c>
      <c r="X997" s="2" t="s">
        <v>35</v>
      </c>
      <c r="Y997" s="2" t="s">
        <v>35</v>
      </c>
      <c r="Z997" s="2" t="b">
        <v>0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2" t="s">
        <v>2840</v>
      </c>
      <c r="AF997" s="11">
        <v>44762.350694444445</v>
      </c>
      <c r="AG997" s="53"/>
      <c r="AH997" s="53" t="b">
        <f t="shared" si="46"/>
        <v>0</v>
      </c>
      <c r="AI997" s="54" t="str" cm="1">
        <f t="array" ref="AI997">TRANSPOSE(_xlfn._xlws.FILTER(images!L:L,images!F:F=Barrierenmessung!A997, ""))</f>
        <v>https://captureandgo.cloudlab.zhaw.ch/uploads/image_8ef31a465f.jpg</v>
      </c>
      <c r="AJ997" s="2"/>
      <c r="AK997" s="2"/>
      <c r="AL997" s="2"/>
      <c r="AM997" s="2"/>
      <c r="AN997" s="2"/>
    </row>
    <row r="998" spans="1:40" ht="16" x14ac:dyDescent="0.2">
      <c r="A998" s="2" t="s">
        <v>3217</v>
      </c>
      <c r="B998" s="46">
        <v>997</v>
      </c>
      <c r="C998" s="2" t="b">
        <v>0</v>
      </c>
      <c r="D998" s="2" t="b">
        <v>0</v>
      </c>
      <c r="E998" s="2" t="b">
        <v>0</v>
      </c>
      <c r="F998" s="2" t="b">
        <v>0</v>
      </c>
      <c r="G998" s="2" t="s">
        <v>31</v>
      </c>
      <c r="H998" s="2" t="s">
        <v>3218</v>
      </c>
      <c r="I998" s="2" t="s">
        <v>3219</v>
      </c>
      <c r="J998" s="2" t="s">
        <v>35</v>
      </c>
      <c r="K998" s="2" t="s">
        <v>35</v>
      </c>
      <c r="L998" s="2">
        <v>10</v>
      </c>
      <c r="M998" s="2" t="s">
        <v>35</v>
      </c>
      <c r="N998" s="2" t="s">
        <v>35</v>
      </c>
      <c r="O998" s="11">
        <v>44762.506003252318</v>
      </c>
      <c r="P998" s="11">
        <v>44762.506352812503</v>
      </c>
      <c r="Q998" s="27">
        <f t="shared" si="45"/>
        <v>3.4956018498633057E-4</v>
      </c>
      <c r="R998" s="65">
        <f t="shared" si="47"/>
        <v>6.3806713296798989E-4</v>
      </c>
      <c r="S998" s="2">
        <v>0</v>
      </c>
      <c r="T998" s="2" t="s">
        <v>265</v>
      </c>
      <c r="U998" s="2" t="s">
        <v>266</v>
      </c>
      <c r="V998" s="2" t="s">
        <v>38</v>
      </c>
      <c r="W998" s="2" t="s">
        <v>35</v>
      </c>
      <c r="X998" s="2" t="s">
        <v>35</v>
      </c>
      <c r="Y998" s="2" t="s">
        <v>35</v>
      </c>
      <c r="Z998" s="2" t="b">
        <v>0</v>
      </c>
      <c r="AA998" s="2" t="s">
        <v>35</v>
      </c>
      <c r="AB998" s="2" t="s">
        <v>35</v>
      </c>
      <c r="AC998" s="2" t="s">
        <v>35</v>
      </c>
      <c r="AD998" s="2" t="s">
        <v>35</v>
      </c>
      <c r="AE998" s="2" t="s">
        <v>2840</v>
      </c>
      <c r="AF998" s="11">
        <v>44762.350694444445</v>
      </c>
      <c r="AG998" s="53"/>
      <c r="AH998" s="53" t="b">
        <f t="shared" si="46"/>
        <v>0</v>
      </c>
      <c r="AI998" s="54" t="str" cm="1">
        <f t="array" ref="AI998">TRANSPOSE(_xlfn._xlws.FILTER(images!L:L,images!F:F=Barrierenmessung!A998, ""))</f>
        <v>https://captureandgo.cloudlab.zhaw.ch/uploads/image_a303ba0dce.jpg</v>
      </c>
      <c r="AJ998" s="2"/>
      <c r="AK998" s="2"/>
      <c r="AL998" s="2"/>
      <c r="AM998" s="2"/>
      <c r="AN998" s="2"/>
    </row>
    <row r="999" spans="1:40" ht="16" x14ac:dyDescent="0.2">
      <c r="A999" s="2" t="s">
        <v>3220</v>
      </c>
      <c r="B999" s="46">
        <v>998</v>
      </c>
      <c r="C999" s="2" t="b">
        <v>0</v>
      </c>
      <c r="D999" s="2" t="b">
        <v>0</v>
      </c>
      <c r="E999" s="2" t="b">
        <v>0</v>
      </c>
      <c r="F999" s="2" t="b">
        <v>0</v>
      </c>
      <c r="G999" s="2" t="s">
        <v>31</v>
      </c>
      <c r="H999" s="2" t="s">
        <v>3221</v>
      </c>
      <c r="I999" s="2" t="s">
        <v>3222</v>
      </c>
      <c r="J999" s="2" t="s">
        <v>35</v>
      </c>
      <c r="K999" s="2" t="s">
        <v>35</v>
      </c>
      <c r="L999" s="2">
        <v>6</v>
      </c>
      <c r="M999" s="2" t="s">
        <v>35</v>
      </c>
      <c r="N999" s="2" t="s">
        <v>35</v>
      </c>
      <c r="O999" s="11">
        <v>44762.509189641205</v>
      </c>
      <c r="P999" s="11">
        <v>44762.509383206016</v>
      </c>
      <c r="Q999" s="27">
        <f t="shared" si="45"/>
        <v>1.9356481061549857E-4</v>
      </c>
      <c r="R999" s="65">
        <f t="shared" si="47"/>
        <v>3.0303935127449222E-3</v>
      </c>
      <c r="S999" s="2">
        <v>0</v>
      </c>
      <c r="T999" s="2" t="s">
        <v>265</v>
      </c>
      <c r="U999" s="2" t="s">
        <v>266</v>
      </c>
      <c r="V999" s="2" t="s">
        <v>38</v>
      </c>
      <c r="W999" s="2" t="s">
        <v>35</v>
      </c>
      <c r="X999" s="2" t="s">
        <v>35</v>
      </c>
      <c r="Y999" s="2" t="s">
        <v>35</v>
      </c>
      <c r="Z999" s="2" t="b">
        <v>0</v>
      </c>
      <c r="AA999" s="2" t="s">
        <v>35</v>
      </c>
      <c r="AB999" s="2" t="s">
        <v>35</v>
      </c>
      <c r="AC999" s="2" t="s">
        <v>35</v>
      </c>
      <c r="AD999" s="2" t="s">
        <v>35</v>
      </c>
      <c r="AE999" s="2" t="s">
        <v>2840</v>
      </c>
      <c r="AF999" s="11">
        <v>44762.350694444445</v>
      </c>
      <c r="AG999" s="53"/>
      <c r="AH999" s="53" t="b">
        <f t="shared" si="46"/>
        <v>0</v>
      </c>
      <c r="AI999" s="54" t="str" cm="1">
        <f t="array" ref="AI999">TRANSPOSE(_xlfn._xlws.FILTER(images!L:L,images!F:F=Barrierenmessung!A999, ""))</f>
        <v>https://captureandgo.cloudlab.zhaw.ch/uploads/image_9bc5270470.jpg</v>
      </c>
      <c r="AJ999" s="2"/>
      <c r="AK999" s="2"/>
      <c r="AL999" s="2"/>
      <c r="AM999" s="2"/>
      <c r="AN999" s="2"/>
    </row>
    <row r="1000" spans="1:40" ht="16" x14ac:dyDescent="0.2">
      <c r="A1000" s="2" t="s">
        <v>3223</v>
      </c>
      <c r="B1000" s="46">
        <v>999</v>
      </c>
      <c r="C1000" s="2" t="b">
        <v>0</v>
      </c>
      <c r="D1000" s="2" t="b">
        <v>0</v>
      </c>
      <c r="E1000" s="2" t="b">
        <v>0</v>
      </c>
      <c r="F1000" s="2" t="b">
        <v>0</v>
      </c>
      <c r="G1000" s="2" t="s">
        <v>31</v>
      </c>
      <c r="H1000" s="2" t="s">
        <v>3224</v>
      </c>
      <c r="I1000" s="2" t="s">
        <v>3225</v>
      </c>
      <c r="J1000" s="2" t="s">
        <v>3226</v>
      </c>
      <c r="K1000" s="2" t="s">
        <v>35</v>
      </c>
      <c r="L1000" s="2" t="s">
        <v>35</v>
      </c>
      <c r="M1000" s="2" t="s">
        <v>35</v>
      </c>
      <c r="N1000" s="2" t="s">
        <v>35</v>
      </c>
      <c r="O1000" s="11">
        <v>44762.509692268519</v>
      </c>
      <c r="P1000" s="11">
        <v>44762.50985422454</v>
      </c>
      <c r="Q1000" s="27">
        <f t="shared" si="45"/>
        <v>1.6195602074731141E-4</v>
      </c>
      <c r="R1000" s="65">
        <f t="shared" si="47"/>
        <v>4.7101852396735922E-4</v>
      </c>
      <c r="S1000" s="2">
        <v>0</v>
      </c>
      <c r="T1000" s="2" t="s">
        <v>36</v>
      </c>
      <c r="U1000" s="2" t="s">
        <v>37</v>
      </c>
      <c r="V1000" s="2" t="s">
        <v>38</v>
      </c>
      <c r="W1000" s="2" t="s">
        <v>35</v>
      </c>
      <c r="X1000" s="2" t="s">
        <v>35</v>
      </c>
      <c r="Y1000" s="2" t="s">
        <v>35</v>
      </c>
      <c r="Z1000" s="2" t="b">
        <v>0</v>
      </c>
      <c r="AA1000" s="2" t="s">
        <v>35</v>
      </c>
      <c r="AB1000" s="2" t="s">
        <v>35</v>
      </c>
      <c r="AC1000" s="2">
        <v>6</v>
      </c>
      <c r="AD1000" s="2" t="s">
        <v>35</v>
      </c>
      <c r="AE1000" s="2" t="s">
        <v>2840</v>
      </c>
      <c r="AF1000" s="11">
        <v>44762.350694444445</v>
      </c>
      <c r="AG1000" s="53"/>
      <c r="AH1000" s="53" t="b">
        <f t="shared" si="46"/>
        <v>0</v>
      </c>
      <c r="AI1000" s="54" t="str" cm="1">
        <f t="array" ref="AI1000">TRANSPOSE(_xlfn._xlws.FILTER(images!L:L,images!F:F=Barrierenmessung!A1000, ""))</f>
        <v>https://captureandgo.cloudlab.zhaw.ch/uploads/image_834891f56a.jpg</v>
      </c>
      <c r="AJ1000" s="2"/>
      <c r="AK1000" s="2"/>
      <c r="AL1000" s="2"/>
      <c r="AM1000" s="2"/>
      <c r="AN1000" s="2"/>
    </row>
    <row r="1001" spans="1:40" ht="16" x14ac:dyDescent="0.2">
      <c r="A1001" s="2" t="s">
        <v>3227</v>
      </c>
      <c r="B1001" s="46">
        <v>1000</v>
      </c>
      <c r="C1001" s="2" t="b">
        <v>0</v>
      </c>
      <c r="D1001" s="2" t="b">
        <v>0</v>
      </c>
      <c r="E1001" s="2" t="b">
        <v>0</v>
      </c>
      <c r="F1001" s="2" t="b">
        <v>0</v>
      </c>
      <c r="G1001" s="2" t="s">
        <v>31</v>
      </c>
      <c r="H1001" s="2" t="s">
        <v>3228</v>
      </c>
      <c r="I1001" s="2" t="s">
        <v>3229</v>
      </c>
      <c r="J1001" s="2" t="s">
        <v>35</v>
      </c>
      <c r="K1001" s="2" t="s">
        <v>35</v>
      </c>
      <c r="L1001" s="2">
        <v>12</v>
      </c>
      <c r="M1001" s="2" t="s">
        <v>35</v>
      </c>
      <c r="N1001" s="2" t="s">
        <v>35</v>
      </c>
      <c r="O1001" s="11">
        <v>44762.509965532408</v>
      </c>
      <c r="P1001" s="11">
        <v>44762.510119363425</v>
      </c>
      <c r="Q1001" s="27">
        <f t="shared" si="45"/>
        <v>1.538310170872137E-4</v>
      </c>
      <c r="R1001" s="65">
        <f t="shared" si="47"/>
        <v>2.6513888587942347E-4</v>
      </c>
      <c r="S1001" s="2">
        <v>0</v>
      </c>
      <c r="T1001" s="2" t="s">
        <v>265</v>
      </c>
      <c r="U1001" s="2" t="s">
        <v>266</v>
      </c>
      <c r="V1001" s="2" t="s">
        <v>38</v>
      </c>
      <c r="W1001" s="2" t="s">
        <v>35</v>
      </c>
      <c r="X1001" s="2" t="s">
        <v>35</v>
      </c>
      <c r="Y1001" s="2" t="s">
        <v>35</v>
      </c>
      <c r="Z1001" s="2" t="b">
        <v>0</v>
      </c>
      <c r="AA1001" s="2" t="s">
        <v>35</v>
      </c>
      <c r="AB1001" s="2" t="s">
        <v>35</v>
      </c>
      <c r="AC1001" s="2" t="s">
        <v>35</v>
      </c>
      <c r="AD1001" s="2" t="s">
        <v>35</v>
      </c>
      <c r="AE1001" s="2" t="s">
        <v>2840</v>
      </c>
      <c r="AF1001" s="11">
        <v>44762.350694444445</v>
      </c>
      <c r="AG1001" s="53"/>
      <c r="AH1001" s="53" t="b">
        <f t="shared" si="46"/>
        <v>0</v>
      </c>
      <c r="AI1001" s="54" t="str" cm="1">
        <f t="array" ref="AI1001">TRANSPOSE(_xlfn._xlws.FILTER(images!L:L,images!F:F=Barrierenmessung!A1001, ""))</f>
        <v>https://captureandgo.cloudlab.zhaw.ch/uploads/image_85e8723d58.jpg</v>
      </c>
      <c r="AJ1001" s="2"/>
      <c r="AK1001" s="2"/>
      <c r="AL1001" s="2"/>
      <c r="AM1001" s="2"/>
      <c r="AN1001" s="2"/>
    </row>
    <row r="1002" spans="1:40" ht="16" x14ac:dyDescent="0.2">
      <c r="A1002" s="2" t="s">
        <v>3230</v>
      </c>
      <c r="B1002" s="46">
        <v>1001</v>
      </c>
      <c r="C1002" s="2" t="b">
        <v>0</v>
      </c>
      <c r="D1002" s="2" t="b">
        <v>0</v>
      </c>
      <c r="E1002" s="2" t="b">
        <v>0</v>
      </c>
      <c r="F1002" s="2" t="b">
        <v>0</v>
      </c>
      <c r="G1002" s="2" t="s">
        <v>31</v>
      </c>
      <c r="H1002" s="2" t="s">
        <v>3231</v>
      </c>
      <c r="I1002" s="2" t="s">
        <v>3232</v>
      </c>
      <c r="J1002" s="2" t="s">
        <v>35</v>
      </c>
      <c r="K1002" s="2" t="s">
        <v>35</v>
      </c>
      <c r="L1002" s="2" t="s">
        <v>35</v>
      </c>
      <c r="M1002" s="2">
        <v>3</v>
      </c>
      <c r="N1002" s="2">
        <v>16</v>
      </c>
      <c r="O1002" s="11">
        <v>44762.510149768517</v>
      </c>
      <c r="P1002" s="11">
        <v>44762.51033380787</v>
      </c>
      <c r="Q1002" s="27">
        <f t="shared" si="45"/>
        <v>1.8403935246169567E-4</v>
      </c>
      <c r="R1002" s="65">
        <f t="shared" si="47"/>
        <v>2.144444442819804E-4</v>
      </c>
      <c r="S1002" s="2">
        <v>0</v>
      </c>
      <c r="T1002" s="2" t="s">
        <v>54</v>
      </c>
      <c r="U1002" s="2" t="s">
        <v>55</v>
      </c>
      <c r="V1002" s="2" t="s">
        <v>38</v>
      </c>
      <c r="W1002" s="2" t="s">
        <v>35</v>
      </c>
      <c r="X1002" s="2" t="s">
        <v>35</v>
      </c>
      <c r="Y1002" s="2" t="s">
        <v>35</v>
      </c>
      <c r="Z1002" s="2" t="b">
        <v>0</v>
      </c>
      <c r="AA1002" s="2" t="s">
        <v>35</v>
      </c>
      <c r="AB1002" s="2" t="s">
        <v>35</v>
      </c>
      <c r="AC1002" s="2" t="s">
        <v>35</v>
      </c>
      <c r="AD1002" s="2" t="s">
        <v>35</v>
      </c>
      <c r="AE1002" s="2" t="s">
        <v>2840</v>
      </c>
      <c r="AF1002" s="11">
        <v>44762.350694444445</v>
      </c>
      <c r="AG1002" s="53"/>
      <c r="AH1002" s="53" t="b">
        <f t="shared" si="46"/>
        <v>0</v>
      </c>
      <c r="AI1002" s="54" t="str" cm="1">
        <f t="array" ref="AI1002">TRANSPOSE(_xlfn._xlws.FILTER(images!L:L,images!F:F=Barrierenmessung!A1002, ""))</f>
        <v>https://captureandgo.cloudlab.zhaw.ch/uploads/image_751cb16cb0.jpg</v>
      </c>
      <c r="AJ1002" s="2"/>
      <c r="AK1002" s="2"/>
      <c r="AL1002" s="2"/>
      <c r="AM1002" s="2"/>
      <c r="AN1002" s="2"/>
    </row>
    <row r="1003" spans="1:40" ht="16" x14ac:dyDescent="0.2">
      <c r="A1003" s="2" t="s">
        <v>3233</v>
      </c>
      <c r="B1003" s="46">
        <v>1002</v>
      </c>
      <c r="C1003" s="2" t="b">
        <v>0</v>
      </c>
      <c r="D1003" s="2" t="b">
        <v>0</v>
      </c>
      <c r="E1003" s="2" t="b">
        <v>0</v>
      </c>
      <c r="F1003" s="2" t="b">
        <v>0</v>
      </c>
      <c r="G1003" s="2" t="s">
        <v>31</v>
      </c>
      <c r="H1003" s="2" t="s">
        <v>3234</v>
      </c>
      <c r="I1003" s="2" t="s">
        <v>3235</v>
      </c>
      <c r="J1003" s="2" t="s">
        <v>35</v>
      </c>
      <c r="K1003" s="2" t="s">
        <v>35</v>
      </c>
      <c r="L1003" s="2" t="s">
        <v>35</v>
      </c>
      <c r="M1003" s="2" t="s">
        <v>35</v>
      </c>
      <c r="N1003" s="2" t="s">
        <v>35</v>
      </c>
      <c r="O1003" s="11">
        <v>44762.510472094909</v>
      </c>
      <c r="P1003" s="11">
        <v>44762.510667523151</v>
      </c>
      <c r="Q1003" s="27">
        <f t="shared" si="45"/>
        <v>1.9542824156815186E-4</v>
      </c>
      <c r="R1003" s="65">
        <f t="shared" si="47"/>
        <v>3.3371528115822002E-4</v>
      </c>
      <c r="S1003" s="2">
        <v>0</v>
      </c>
      <c r="T1003" s="2" t="s">
        <v>36</v>
      </c>
      <c r="U1003" s="2" t="s">
        <v>37</v>
      </c>
      <c r="V1003" s="2" t="s">
        <v>38</v>
      </c>
      <c r="W1003" s="2" t="s">
        <v>35</v>
      </c>
      <c r="X1003" s="2" t="s">
        <v>35</v>
      </c>
      <c r="Y1003" s="2" t="s">
        <v>35</v>
      </c>
      <c r="Z1003" s="2" t="b">
        <v>0</v>
      </c>
      <c r="AA1003" s="2" t="s">
        <v>35</v>
      </c>
      <c r="AB1003" s="2" t="s">
        <v>35</v>
      </c>
      <c r="AC1003" s="2" t="s">
        <v>35</v>
      </c>
      <c r="AD1003" s="2">
        <v>6</v>
      </c>
      <c r="AE1003" s="2" t="s">
        <v>2840</v>
      </c>
      <c r="AF1003" s="11">
        <v>44762.350694444445</v>
      </c>
      <c r="AG1003" s="53"/>
      <c r="AH1003" s="53" t="b">
        <f t="shared" si="46"/>
        <v>0</v>
      </c>
      <c r="AI1003" s="54" t="str" cm="1">
        <f t="array" ref="AI1003">TRANSPOSE(_xlfn._xlws.FILTER(images!L:L,images!F:F=Barrierenmessung!A1003, ""))</f>
        <v>https://captureandgo.cloudlab.zhaw.ch/uploads/image_842aa5f10e.jpg</v>
      </c>
      <c r="AJ1003" s="2"/>
      <c r="AK1003" s="2"/>
      <c r="AL1003" s="2"/>
      <c r="AM1003" s="2"/>
      <c r="AN1003" s="2"/>
    </row>
    <row r="1004" spans="1:40" ht="16" x14ac:dyDescent="0.2">
      <c r="A1004" s="2" t="s">
        <v>3236</v>
      </c>
      <c r="B1004" s="46">
        <v>1003</v>
      </c>
      <c r="C1004" s="2" t="b">
        <v>0</v>
      </c>
      <c r="D1004" s="2" t="b">
        <v>0</v>
      </c>
      <c r="E1004" s="2" t="b">
        <v>0</v>
      </c>
      <c r="F1004" s="2" t="b">
        <v>0</v>
      </c>
      <c r="G1004" s="2" t="s">
        <v>31</v>
      </c>
      <c r="H1004" s="2" t="s">
        <v>3237</v>
      </c>
      <c r="I1004" s="2" t="s">
        <v>3238</v>
      </c>
      <c r="J1004" s="2" t="s">
        <v>35</v>
      </c>
      <c r="K1004" s="2" t="s">
        <v>35</v>
      </c>
      <c r="L1004" s="2">
        <v>10</v>
      </c>
      <c r="M1004" s="2" t="s">
        <v>35</v>
      </c>
      <c r="N1004" s="2" t="s">
        <v>35</v>
      </c>
      <c r="O1004" s="11">
        <v>44762.510767164349</v>
      </c>
      <c r="P1004" s="11">
        <v>44762.511014710646</v>
      </c>
      <c r="Q1004" s="27">
        <f t="shared" si="45"/>
        <v>2.4754629703238606E-4</v>
      </c>
      <c r="R1004" s="65">
        <f t="shared" si="47"/>
        <v>3.4718749520834535E-4</v>
      </c>
      <c r="S1004" s="2">
        <v>0</v>
      </c>
      <c r="T1004" s="2" t="s">
        <v>265</v>
      </c>
      <c r="U1004" s="2" t="s">
        <v>266</v>
      </c>
      <c r="V1004" s="2" t="s">
        <v>38</v>
      </c>
      <c r="W1004" s="2" t="s">
        <v>35</v>
      </c>
      <c r="X1004" s="2" t="s">
        <v>35</v>
      </c>
      <c r="Y1004" s="2" t="s">
        <v>35</v>
      </c>
      <c r="Z1004" s="2" t="b">
        <v>0</v>
      </c>
      <c r="AA1004" s="2" t="s">
        <v>35</v>
      </c>
      <c r="AB1004" s="2" t="s">
        <v>35</v>
      </c>
      <c r="AC1004" s="2" t="s">
        <v>35</v>
      </c>
      <c r="AD1004" s="2" t="s">
        <v>35</v>
      </c>
      <c r="AE1004" s="2" t="s">
        <v>2840</v>
      </c>
      <c r="AF1004" s="11">
        <v>44762.350694444445</v>
      </c>
      <c r="AG1004" s="53"/>
      <c r="AH1004" s="53" t="b">
        <f t="shared" si="46"/>
        <v>0</v>
      </c>
      <c r="AI1004" s="54" t="str" cm="1">
        <f t="array" ref="AI1004">TRANSPOSE(_xlfn._xlws.FILTER(images!L:L,images!F:F=Barrierenmessung!A1004, ""))</f>
        <v>https://captureandgo.cloudlab.zhaw.ch/uploads/image_4fc526e27b.jpg</v>
      </c>
      <c r="AJ1004" s="2"/>
      <c r="AK1004" s="2"/>
      <c r="AL1004" s="2"/>
      <c r="AM1004" s="2"/>
      <c r="AN1004" s="2"/>
    </row>
    <row r="1005" spans="1:40" ht="16" x14ac:dyDescent="0.2">
      <c r="A1005" s="2" t="s">
        <v>3239</v>
      </c>
      <c r="B1005" s="46">
        <v>1004</v>
      </c>
      <c r="C1005" s="2" t="b">
        <v>0</v>
      </c>
      <c r="D1005" s="2" t="b">
        <v>0</v>
      </c>
      <c r="E1005" s="2" t="b">
        <v>0</v>
      </c>
      <c r="F1005" s="2" t="b">
        <v>0</v>
      </c>
      <c r="G1005" s="2" t="s">
        <v>31</v>
      </c>
      <c r="H1005" s="2" t="s">
        <v>3240</v>
      </c>
      <c r="I1005" s="2" t="s">
        <v>3241</v>
      </c>
      <c r="J1005" s="2" t="s">
        <v>35</v>
      </c>
      <c r="K1005" s="2" t="s">
        <v>35</v>
      </c>
      <c r="L1005" s="2" t="s">
        <v>35</v>
      </c>
      <c r="M1005" s="2">
        <v>2</v>
      </c>
      <c r="N1005" s="2">
        <v>16</v>
      </c>
      <c r="O1005" s="11">
        <v>44762.511054201386</v>
      </c>
      <c r="P1005" s="11">
        <v>44762.511204884257</v>
      </c>
      <c r="Q1005" s="27">
        <f t="shared" si="45"/>
        <v>1.5068287029862404E-4</v>
      </c>
      <c r="R1005" s="65">
        <f t="shared" si="47"/>
        <v>1.9017361046280712E-4</v>
      </c>
      <c r="S1005" s="2">
        <v>0</v>
      </c>
      <c r="T1005" s="2" t="s">
        <v>54</v>
      </c>
      <c r="U1005" s="2" t="s">
        <v>55</v>
      </c>
      <c r="V1005" s="2" t="s">
        <v>38</v>
      </c>
      <c r="W1005" s="2" t="s">
        <v>35</v>
      </c>
      <c r="X1005" s="2" t="s">
        <v>35</v>
      </c>
      <c r="Y1005" s="2" t="s">
        <v>35</v>
      </c>
      <c r="Z1005" s="2" t="b">
        <v>0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2" t="s">
        <v>2840</v>
      </c>
      <c r="AF1005" s="11">
        <v>44762.350694444445</v>
      </c>
      <c r="AG1005" s="53"/>
      <c r="AH1005" s="53" t="b">
        <f t="shared" si="46"/>
        <v>0</v>
      </c>
      <c r="AI1005" s="54" t="str" cm="1">
        <f t="array" ref="AI1005">TRANSPOSE(_xlfn._xlws.FILTER(images!L:L,images!F:F=Barrierenmessung!A1005, ""))</f>
        <v>https://captureandgo.cloudlab.zhaw.ch/uploads/image_6f594efe86.jpg</v>
      </c>
      <c r="AJ1005" s="2"/>
      <c r="AK1005" s="2"/>
      <c r="AL1005" s="2"/>
      <c r="AM1005" s="2"/>
      <c r="AN1005" s="2"/>
    </row>
    <row r="1006" spans="1:40" ht="16" x14ac:dyDescent="0.2">
      <c r="A1006" s="2" t="s">
        <v>3242</v>
      </c>
      <c r="B1006" s="46">
        <v>1005</v>
      </c>
      <c r="C1006" s="2" t="b">
        <v>0</v>
      </c>
      <c r="D1006" s="2" t="b">
        <v>0</v>
      </c>
      <c r="E1006" s="2" t="b">
        <v>0</v>
      </c>
      <c r="F1006" s="2" t="b">
        <v>0</v>
      </c>
      <c r="G1006" s="2" t="s">
        <v>31</v>
      </c>
      <c r="H1006" s="2" t="s">
        <v>3243</v>
      </c>
      <c r="I1006" s="2" t="s">
        <v>3244</v>
      </c>
      <c r="J1006" s="2" t="s">
        <v>3226</v>
      </c>
      <c r="K1006" s="2" t="s">
        <v>35</v>
      </c>
      <c r="L1006" s="2" t="s">
        <v>35</v>
      </c>
      <c r="M1006" s="2" t="s">
        <v>35</v>
      </c>
      <c r="N1006" s="2" t="s">
        <v>35</v>
      </c>
      <c r="O1006" s="11">
        <v>44762.511253784724</v>
      </c>
      <c r="P1006" s="11">
        <v>44762.511646574072</v>
      </c>
      <c r="Q1006" s="27">
        <f t="shared" si="45"/>
        <v>3.9278934855246916E-4</v>
      </c>
      <c r="R1006" s="65">
        <f t="shared" si="47"/>
        <v>4.4168981548864394E-4</v>
      </c>
      <c r="S1006" s="2">
        <v>0</v>
      </c>
      <c r="T1006" s="2" t="s">
        <v>36</v>
      </c>
      <c r="U1006" s="2" t="s">
        <v>37</v>
      </c>
      <c r="V1006" s="2" t="s">
        <v>38</v>
      </c>
      <c r="W1006" s="2" t="s">
        <v>35</v>
      </c>
      <c r="X1006" s="2" t="s">
        <v>35</v>
      </c>
      <c r="Y1006" s="2" t="s">
        <v>35</v>
      </c>
      <c r="Z1006" s="2" t="b">
        <v>0</v>
      </c>
      <c r="AA1006" s="2" t="s">
        <v>35</v>
      </c>
      <c r="AB1006" s="2" t="s">
        <v>35</v>
      </c>
      <c r="AC1006" s="2">
        <v>7</v>
      </c>
      <c r="AD1006" s="2" t="s">
        <v>35</v>
      </c>
      <c r="AE1006" s="2" t="s">
        <v>2840</v>
      </c>
      <c r="AF1006" s="11">
        <v>44762.350694444445</v>
      </c>
      <c r="AG1006" s="53"/>
      <c r="AH1006" s="53" t="b">
        <f t="shared" si="46"/>
        <v>0</v>
      </c>
      <c r="AI1006" s="54" t="str" cm="1">
        <f t="array" ref="AI1006">TRANSPOSE(_xlfn._xlws.FILTER(images!L:L,images!F:F=Barrierenmessung!A1006, ""))</f>
        <v>https://captureandgo.cloudlab.zhaw.ch/uploads/image_29f4a7c5af.jpg</v>
      </c>
      <c r="AJ1006" s="2"/>
      <c r="AK1006" s="2"/>
      <c r="AL1006" s="2"/>
      <c r="AM1006" s="2"/>
      <c r="AN1006" s="2"/>
    </row>
    <row r="1007" spans="1:40" ht="16" x14ac:dyDescent="0.2">
      <c r="A1007" s="2" t="s">
        <v>3245</v>
      </c>
      <c r="B1007" s="46">
        <v>1006</v>
      </c>
      <c r="C1007" s="2" t="b">
        <v>0</v>
      </c>
      <c r="D1007" s="2" t="b">
        <v>0</v>
      </c>
      <c r="E1007" s="2" t="b">
        <v>0</v>
      </c>
      <c r="F1007" s="2" t="b">
        <v>0</v>
      </c>
      <c r="G1007" s="2" t="s">
        <v>31</v>
      </c>
      <c r="H1007" s="2" t="s">
        <v>3246</v>
      </c>
      <c r="I1007" s="2" t="s">
        <v>3247</v>
      </c>
      <c r="J1007" s="2" t="s">
        <v>675</v>
      </c>
      <c r="K1007" s="2" t="s">
        <v>35</v>
      </c>
      <c r="L1007" s="2" t="s">
        <v>35</v>
      </c>
      <c r="M1007" s="2" t="s">
        <v>35</v>
      </c>
      <c r="N1007" s="2" t="s">
        <v>35</v>
      </c>
      <c r="O1007" s="11">
        <v>44764.361344062498</v>
      </c>
      <c r="P1007" s="11">
        <v>44764.361556516204</v>
      </c>
      <c r="Q1007" s="27">
        <f t="shared" si="45"/>
        <v>2.1245370589895174E-4</v>
      </c>
      <c r="R1007" s="65">
        <f t="shared" si="47"/>
        <v>4.4540509406942874E-4</v>
      </c>
      <c r="S1007" s="2">
        <v>0</v>
      </c>
      <c r="T1007" s="2" t="s">
        <v>124</v>
      </c>
      <c r="U1007" s="2" t="s">
        <v>125</v>
      </c>
      <c r="V1007" s="2" t="s">
        <v>38</v>
      </c>
      <c r="W1007" s="2" t="s">
        <v>35</v>
      </c>
      <c r="X1007" s="2" t="s">
        <v>35</v>
      </c>
      <c r="Y1007" s="2" t="s">
        <v>35</v>
      </c>
      <c r="Z1007" s="2" t="b">
        <v>0</v>
      </c>
      <c r="AA1007" s="2" t="s">
        <v>35</v>
      </c>
      <c r="AB1007" s="2">
        <v>4</v>
      </c>
      <c r="AC1007" s="2" t="s">
        <v>35</v>
      </c>
      <c r="AD1007" s="2" t="s">
        <v>35</v>
      </c>
      <c r="AE1007" s="2" t="s">
        <v>3248</v>
      </c>
      <c r="AF1007" s="11">
        <v>44764.361111111109</v>
      </c>
      <c r="AG1007" s="53"/>
      <c r="AH1007" s="53" t="b">
        <f t="shared" si="46"/>
        <v>0</v>
      </c>
      <c r="AI1007" s="54" t="str" cm="1">
        <f t="array" ref="AI1007">TRANSPOSE(_xlfn._xlws.FILTER(images!L:L,images!F:F=Barrierenmessung!A1007, ""))</f>
        <v>https://captureandgo.cloudlab.zhaw.ch/uploads/image_ced4c627d3.jpg</v>
      </c>
      <c r="AJ1007" s="2"/>
      <c r="AK1007" s="2"/>
      <c r="AL1007" s="2"/>
      <c r="AM1007" s="2"/>
      <c r="AN1007" s="2"/>
    </row>
    <row r="1008" spans="1:40" ht="16" x14ac:dyDescent="0.2">
      <c r="A1008" s="2" t="s">
        <v>3249</v>
      </c>
      <c r="B1008" s="46">
        <v>1007</v>
      </c>
      <c r="C1008" s="2" t="b">
        <v>0</v>
      </c>
      <c r="D1008" s="2" t="b">
        <v>0</v>
      </c>
      <c r="E1008" s="2" t="b">
        <v>0</v>
      </c>
      <c r="F1008" s="2" t="b">
        <v>0</v>
      </c>
      <c r="G1008" s="2" t="s">
        <v>31</v>
      </c>
      <c r="H1008" s="2" t="s">
        <v>3250</v>
      </c>
      <c r="I1008" s="2" t="s">
        <v>3251</v>
      </c>
      <c r="J1008" s="2" t="s">
        <v>3252</v>
      </c>
      <c r="K1008" s="2" t="s">
        <v>35</v>
      </c>
      <c r="L1008" s="2" t="s">
        <v>35</v>
      </c>
      <c r="M1008" s="2" t="s">
        <v>35</v>
      </c>
      <c r="N1008" s="2" t="s">
        <v>35</v>
      </c>
      <c r="O1008" s="11">
        <v>44764.361877743053</v>
      </c>
      <c r="P1008" s="11">
        <v>44764.362297418978</v>
      </c>
      <c r="Q1008" s="27">
        <f t="shared" si="45"/>
        <v>4.1967592551372945E-4</v>
      </c>
      <c r="R1008" s="65">
        <f t="shared" si="47"/>
        <v>7.4090277485083789E-4</v>
      </c>
      <c r="S1008" s="2">
        <v>0</v>
      </c>
      <c r="T1008" s="2" t="s">
        <v>54</v>
      </c>
      <c r="U1008" s="2" t="s">
        <v>55</v>
      </c>
      <c r="V1008" s="2" t="s">
        <v>38</v>
      </c>
      <c r="W1008" s="2" t="s">
        <v>35</v>
      </c>
      <c r="X1008" s="2" t="s">
        <v>35</v>
      </c>
      <c r="Y1008" s="2" t="s">
        <v>35</v>
      </c>
      <c r="Z1008" s="2" t="b">
        <v>0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3248</v>
      </c>
      <c r="AF1008" s="11">
        <v>44764.361111111109</v>
      </c>
      <c r="AG1008" s="53"/>
      <c r="AH1008" s="53" t="b">
        <f t="shared" si="46"/>
        <v>0</v>
      </c>
      <c r="AI1008" s="54" t="str" cm="1">
        <f t="array" ref="AI1008">TRANSPOSE(_xlfn._xlws.FILTER(images!L:L,images!F:F=Barrierenmessung!A1008, ""))</f>
        <v>https://captureandgo.cloudlab.zhaw.ch/uploads/image_a908a104cc.jpg</v>
      </c>
      <c r="AJ1008" s="2"/>
      <c r="AK1008" s="2"/>
      <c r="AL1008" s="2"/>
      <c r="AM1008" s="2"/>
      <c r="AN1008" s="2"/>
    </row>
    <row r="1009" spans="1:40" ht="16" x14ac:dyDescent="0.2">
      <c r="A1009" s="2" t="s">
        <v>3253</v>
      </c>
      <c r="B1009" s="46">
        <v>1008</v>
      </c>
      <c r="C1009" s="2" t="b">
        <v>0</v>
      </c>
      <c r="D1009" s="2" t="b">
        <v>0</v>
      </c>
      <c r="E1009" s="2" t="b">
        <v>0</v>
      </c>
      <c r="F1009" s="2" t="b">
        <v>0</v>
      </c>
      <c r="G1009" s="2" t="s">
        <v>31</v>
      </c>
      <c r="H1009" s="2" t="s">
        <v>3254</v>
      </c>
      <c r="I1009" s="2" t="s">
        <v>3255</v>
      </c>
      <c r="J1009" s="2" t="s">
        <v>35</v>
      </c>
      <c r="K1009" s="2" t="s">
        <v>35</v>
      </c>
      <c r="L1009" s="2" t="s">
        <v>35</v>
      </c>
      <c r="M1009" s="2">
        <v>31</v>
      </c>
      <c r="N1009" s="2">
        <v>15</v>
      </c>
      <c r="O1009" s="11">
        <v>44764.362374421296</v>
      </c>
      <c r="P1009" s="11">
        <v>44764.362857511573</v>
      </c>
      <c r="Q1009" s="27">
        <f t="shared" si="45"/>
        <v>4.8309027624782175E-4</v>
      </c>
      <c r="R1009" s="65">
        <f t="shared" si="47"/>
        <v>5.6009259424172342E-4</v>
      </c>
      <c r="S1009" s="2">
        <v>0</v>
      </c>
      <c r="T1009" s="2" t="s">
        <v>54</v>
      </c>
      <c r="U1009" s="2" t="s">
        <v>55</v>
      </c>
      <c r="V1009" s="2" t="s">
        <v>38</v>
      </c>
      <c r="W1009" s="2" t="s">
        <v>35</v>
      </c>
      <c r="X1009" s="2" t="s">
        <v>35</v>
      </c>
      <c r="Y1009" s="2" t="s">
        <v>35</v>
      </c>
      <c r="Z1009" s="2" t="b">
        <v>0</v>
      </c>
      <c r="AA1009" s="2" t="s">
        <v>35</v>
      </c>
      <c r="AB1009" s="2" t="s">
        <v>35</v>
      </c>
      <c r="AC1009" s="2" t="s">
        <v>35</v>
      </c>
      <c r="AD1009" s="2" t="s">
        <v>35</v>
      </c>
      <c r="AE1009" s="2" t="s">
        <v>3248</v>
      </c>
      <c r="AF1009" s="11">
        <v>44764.361111053244</v>
      </c>
      <c r="AG1009" s="53"/>
      <c r="AH1009" s="53" t="b">
        <f t="shared" si="46"/>
        <v>0</v>
      </c>
      <c r="AI1009" s="54" t="str" cm="1">
        <f t="array" ref="AI1009">TRANSPOSE(_xlfn._xlws.FILTER(images!L:L,images!F:F=Barrierenmessung!A1009, ""))</f>
        <v>https://captureandgo.cloudlab.zhaw.ch/uploads/image_1a0304f754.jpg</v>
      </c>
      <c r="AJ1009" s="2"/>
      <c r="AK1009" s="2"/>
      <c r="AL1009" s="2"/>
      <c r="AM1009" s="2"/>
      <c r="AN1009" s="2"/>
    </row>
    <row r="1010" spans="1:40" ht="16" x14ac:dyDescent="0.2">
      <c r="A1010" s="2" t="s">
        <v>3256</v>
      </c>
      <c r="B1010" s="46">
        <v>1009</v>
      </c>
      <c r="C1010" s="2" t="b">
        <v>0</v>
      </c>
      <c r="D1010" s="2" t="b">
        <v>0</v>
      </c>
      <c r="E1010" s="2" t="b">
        <v>0</v>
      </c>
      <c r="F1010" s="2" t="b">
        <v>0</v>
      </c>
      <c r="G1010" s="2" t="s">
        <v>31</v>
      </c>
      <c r="H1010" s="2" t="s">
        <v>3257</v>
      </c>
      <c r="I1010" s="2" t="s">
        <v>3258</v>
      </c>
      <c r="J1010" s="2" t="s">
        <v>3252</v>
      </c>
      <c r="K1010" s="2" t="s">
        <v>35</v>
      </c>
      <c r="L1010" s="2" t="s">
        <v>35</v>
      </c>
      <c r="M1010" s="2" t="s">
        <v>35</v>
      </c>
      <c r="N1010" s="2" t="s">
        <v>35</v>
      </c>
      <c r="O1010" s="11">
        <v>44764.362939687497</v>
      </c>
      <c r="P1010" s="11">
        <v>44764.363410949074</v>
      </c>
      <c r="Q1010" s="27">
        <f t="shared" si="45"/>
        <v>4.7126157733146101E-4</v>
      </c>
      <c r="R1010" s="65">
        <f t="shared" si="47"/>
        <v>5.5343750136671588E-4</v>
      </c>
      <c r="S1010" s="2">
        <v>0</v>
      </c>
      <c r="T1010" s="2" t="s">
        <v>54</v>
      </c>
      <c r="U1010" s="2" t="s">
        <v>55</v>
      </c>
      <c r="V1010" s="2" t="s">
        <v>38</v>
      </c>
      <c r="W1010" s="2" t="s">
        <v>35</v>
      </c>
      <c r="X1010" s="2" t="s">
        <v>35</v>
      </c>
      <c r="Y1010" s="2" t="s">
        <v>35</v>
      </c>
      <c r="Z1010" s="2" t="b">
        <v>0</v>
      </c>
      <c r="AA1010" s="2" t="s">
        <v>35</v>
      </c>
      <c r="AB1010" s="2" t="s">
        <v>35</v>
      </c>
      <c r="AC1010" s="2" t="s">
        <v>35</v>
      </c>
      <c r="AD1010" s="2" t="s">
        <v>35</v>
      </c>
      <c r="AE1010" s="2" t="s">
        <v>3248</v>
      </c>
      <c r="AF1010" s="11">
        <v>44764.361111053244</v>
      </c>
      <c r="AG1010" s="53"/>
      <c r="AH1010" s="53" t="b">
        <f t="shared" si="46"/>
        <v>0</v>
      </c>
      <c r="AI1010" s="54" t="str" cm="1">
        <f t="array" ref="AI1010">TRANSPOSE(_xlfn._xlws.FILTER(images!L:L,images!F:F=Barrierenmessung!A1010, ""))</f>
        <v>https://captureandgo.cloudlab.zhaw.ch/uploads/image_289e8e094a.jpg</v>
      </c>
      <c r="AJ1010" s="2"/>
      <c r="AK1010" s="2"/>
      <c r="AL1010" s="2"/>
      <c r="AM1010" s="2"/>
      <c r="AN1010" s="2"/>
    </row>
    <row r="1011" spans="1:40" ht="16" x14ac:dyDescent="0.2">
      <c r="A1011" s="2" t="s">
        <v>3259</v>
      </c>
      <c r="B1011" s="46">
        <v>1010</v>
      </c>
      <c r="C1011" s="2" t="b">
        <v>0</v>
      </c>
      <c r="D1011" s="2" t="b">
        <v>0</v>
      </c>
      <c r="E1011" s="2" t="b">
        <v>0</v>
      </c>
      <c r="F1011" s="2" t="b">
        <v>0</v>
      </c>
      <c r="G1011" s="2" t="s">
        <v>31</v>
      </c>
      <c r="H1011" s="2" t="s">
        <v>3260</v>
      </c>
      <c r="I1011" s="2" t="s">
        <v>3261</v>
      </c>
      <c r="J1011" s="2" t="s">
        <v>35</v>
      </c>
      <c r="K1011" s="2" t="s">
        <v>35</v>
      </c>
      <c r="L1011" s="2" t="s">
        <v>35</v>
      </c>
      <c r="M1011" s="2">
        <v>31</v>
      </c>
      <c r="N1011" s="2">
        <v>15</v>
      </c>
      <c r="O1011" s="11">
        <v>44764.36384150463</v>
      </c>
      <c r="P1011" s="11">
        <v>44764.36438363426</v>
      </c>
      <c r="Q1011" s="27">
        <f t="shared" si="45"/>
        <v>5.4212963004829362E-4</v>
      </c>
      <c r="R1011" s="65">
        <f t="shared" si="47"/>
        <v>9.7268518584314734E-4</v>
      </c>
      <c r="S1011" s="2">
        <v>0</v>
      </c>
      <c r="T1011" s="2" t="s">
        <v>54</v>
      </c>
      <c r="U1011" s="2" t="s">
        <v>55</v>
      </c>
      <c r="V1011" s="2" t="s">
        <v>38</v>
      </c>
      <c r="W1011" s="2" t="s">
        <v>35</v>
      </c>
      <c r="X1011" s="2" t="s">
        <v>35</v>
      </c>
      <c r="Y1011" s="2" t="s">
        <v>35</v>
      </c>
      <c r="Z1011" s="2" t="b">
        <v>0</v>
      </c>
      <c r="AA1011" s="2" t="s">
        <v>35</v>
      </c>
      <c r="AB1011" s="2" t="s">
        <v>35</v>
      </c>
      <c r="AC1011" s="2" t="s">
        <v>35</v>
      </c>
      <c r="AD1011" s="2" t="s">
        <v>35</v>
      </c>
      <c r="AE1011" s="2" t="s">
        <v>3248</v>
      </c>
      <c r="AF1011" s="11">
        <v>44764.361111053244</v>
      </c>
      <c r="AG1011" s="53"/>
      <c r="AH1011" s="53" t="b">
        <f t="shared" si="46"/>
        <v>0</v>
      </c>
      <c r="AI1011" s="54" t="str" cm="1">
        <f t="array" ref="AI1011">TRANSPOSE(_xlfn._xlws.FILTER(images!L:L,images!F:F=Barrierenmessung!A1011, ""))</f>
        <v>https://captureandgo.cloudlab.zhaw.ch/uploads/image_a1ecab09c4.jpg</v>
      </c>
      <c r="AJ1011" s="2"/>
      <c r="AK1011" s="2"/>
      <c r="AL1011" s="2"/>
      <c r="AM1011" s="2"/>
      <c r="AN1011" s="2"/>
    </row>
    <row r="1012" spans="1:40" ht="16" x14ac:dyDescent="0.2">
      <c r="A1012" s="2" t="s">
        <v>3262</v>
      </c>
      <c r="B1012" s="46">
        <v>1011</v>
      </c>
      <c r="C1012" s="2" t="b">
        <v>0</v>
      </c>
      <c r="D1012" s="2" t="b">
        <v>0</v>
      </c>
      <c r="E1012" s="2" t="b">
        <v>0</v>
      </c>
      <c r="F1012" s="2" t="b">
        <v>0</v>
      </c>
      <c r="G1012" s="2" t="s">
        <v>31</v>
      </c>
      <c r="H1012" s="2" t="s">
        <v>3263</v>
      </c>
      <c r="I1012" s="2" t="s">
        <v>3264</v>
      </c>
      <c r="J1012" s="2" t="s">
        <v>675</v>
      </c>
      <c r="K1012" s="2" t="s">
        <v>35</v>
      </c>
      <c r="L1012" s="2" t="s">
        <v>35</v>
      </c>
      <c r="M1012" s="2" t="s">
        <v>35</v>
      </c>
      <c r="N1012" s="2" t="s">
        <v>35</v>
      </c>
      <c r="O1012" s="11">
        <v>44764.364806238424</v>
      </c>
      <c r="P1012" s="11">
        <v>44764.364963946762</v>
      </c>
      <c r="Q1012" s="27">
        <f t="shared" si="45"/>
        <v>1.5770833852002397E-4</v>
      </c>
      <c r="R1012" s="65">
        <f t="shared" si="47"/>
        <v>5.80312502279412E-4</v>
      </c>
      <c r="S1012" s="2">
        <v>0</v>
      </c>
      <c r="T1012" s="2" t="s">
        <v>124</v>
      </c>
      <c r="U1012" s="2" t="s">
        <v>125</v>
      </c>
      <c r="V1012" s="2" t="s">
        <v>38</v>
      </c>
      <c r="W1012" s="2" t="s">
        <v>35</v>
      </c>
      <c r="X1012" s="2" t="s">
        <v>35</v>
      </c>
      <c r="Y1012" s="2" t="s">
        <v>35</v>
      </c>
      <c r="Z1012" s="2" t="b">
        <v>0</v>
      </c>
      <c r="AA1012" s="2" t="s">
        <v>35</v>
      </c>
      <c r="AB1012" s="2">
        <v>4</v>
      </c>
      <c r="AC1012" s="2" t="s">
        <v>35</v>
      </c>
      <c r="AD1012" s="2" t="s">
        <v>35</v>
      </c>
      <c r="AE1012" s="2" t="s">
        <v>3248</v>
      </c>
      <c r="AF1012" s="11">
        <v>44764.361111053244</v>
      </c>
      <c r="AG1012" s="53"/>
      <c r="AH1012" s="53" t="b">
        <f t="shared" si="46"/>
        <v>0</v>
      </c>
      <c r="AI1012" s="54" t="str" cm="1">
        <f t="array" ref="AI1012">TRANSPOSE(_xlfn._xlws.FILTER(images!L:L,images!F:F=Barrierenmessung!A1012, ""))</f>
        <v>https://captureandgo.cloudlab.zhaw.ch/uploads/image_5f9e9666cd.jpg</v>
      </c>
      <c r="AJ1012" s="2"/>
      <c r="AK1012" s="2"/>
      <c r="AL1012" s="2"/>
      <c r="AM1012" s="2"/>
      <c r="AN1012" s="2"/>
    </row>
    <row r="1013" spans="1:40" ht="16" x14ac:dyDescent="0.2">
      <c r="A1013" s="2" t="s">
        <v>3265</v>
      </c>
      <c r="B1013" s="46">
        <v>1012</v>
      </c>
      <c r="C1013" s="2" t="b">
        <v>0</v>
      </c>
      <c r="D1013" s="2" t="b">
        <v>0</v>
      </c>
      <c r="E1013" s="2" t="b">
        <v>0</v>
      </c>
      <c r="F1013" s="2" t="b">
        <v>0</v>
      </c>
      <c r="G1013" s="2" t="s">
        <v>31</v>
      </c>
      <c r="H1013" s="2" t="s">
        <v>3266</v>
      </c>
      <c r="I1013" s="2" t="s">
        <v>3267</v>
      </c>
      <c r="J1013" s="2" t="s">
        <v>3252</v>
      </c>
      <c r="K1013" s="2" t="s">
        <v>35</v>
      </c>
      <c r="L1013" s="2" t="s">
        <v>35</v>
      </c>
      <c r="M1013" s="2" t="s">
        <v>35</v>
      </c>
      <c r="N1013" s="2" t="s">
        <v>35</v>
      </c>
      <c r="O1013" s="11">
        <v>44764.365249664355</v>
      </c>
      <c r="P1013" s="11">
        <v>44764.365537175923</v>
      </c>
      <c r="Q1013" s="27">
        <f t="shared" si="45"/>
        <v>2.8751156787620857E-4</v>
      </c>
      <c r="R1013" s="65">
        <f t="shared" si="47"/>
        <v>5.7322916109114885E-4</v>
      </c>
      <c r="S1013" s="2">
        <v>0</v>
      </c>
      <c r="T1013" s="2" t="s">
        <v>54</v>
      </c>
      <c r="U1013" s="2" t="s">
        <v>55</v>
      </c>
      <c r="V1013" s="2" t="s">
        <v>38</v>
      </c>
      <c r="W1013" s="2" t="s">
        <v>35</v>
      </c>
      <c r="X1013" s="2" t="s">
        <v>35</v>
      </c>
      <c r="Y1013" s="2" t="s">
        <v>35</v>
      </c>
      <c r="Z1013" s="2" t="b">
        <v>0</v>
      </c>
      <c r="AA1013" s="2" t="s">
        <v>35</v>
      </c>
      <c r="AB1013" s="2" t="s">
        <v>35</v>
      </c>
      <c r="AC1013" s="2" t="s">
        <v>35</v>
      </c>
      <c r="AD1013" s="2" t="s">
        <v>35</v>
      </c>
      <c r="AE1013" s="2" t="s">
        <v>3248</v>
      </c>
      <c r="AF1013" s="11">
        <v>44764.361111053244</v>
      </c>
      <c r="AG1013" s="53"/>
      <c r="AH1013" s="53" t="b">
        <f t="shared" si="46"/>
        <v>0</v>
      </c>
      <c r="AI1013" s="54" t="str" cm="1">
        <f t="array" ref="AI1013">TRANSPOSE(_xlfn._xlws.FILTER(images!L:L,images!F:F=Barrierenmessung!A1013, ""))</f>
        <v>https://captureandgo.cloudlab.zhaw.ch/uploads/image_4da9812a5a.jpg</v>
      </c>
      <c r="AJ1013" s="2"/>
      <c r="AK1013" s="2"/>
      <c r="AL1013" s="2"/>
      <c r="AM1013" s="2"/>
      <c r="AN1013" s="2"/>
    </row>
    <row r="1014" spans="1:40" ht="16" x14ac:dyDescent="0.2">
      <c r="A1014" s="2" t="s">
        <v>3268</v>
      </c>
      <c r="B1014" s="46">
        <v>1013</v>
      </c>
      <c r="C1014" s="2" t="b">
        <v>0</v>
      </c>
      <c r="D1014" s="2" t="b">
        <v>0</v>
      </c>
      <c r="E1014" s="2" t="b">
        <v>0</v>
      </c>
      <c r="F1014" s="2" t="b">
        <v>0</v>
      </c>
      <c r="G1014" s="2" t="s">
        <v>31</v>
      </c>
      <c r="H1014" s="2" t="s">
        <v>3269</v>
      </c>
      <c r="I1014" s="2" t="s">
        <v>3270</v>
      </c>
      <c r="J1014" s="2" t="s">
        <v>35</v>
      </c>
      <c r="K1014" s="2" t="s">
        <v>35</v>
      </c>
      <c r="L1014" s="2" t="s">
        <v>35</v>
      </c>
      <c r="M1014" s="2">
        <v>31</v>
      </c>
      <c r="N1014" s="2">
        <v>15</v>
      </c>
      <c r="O1014" s="11">
        <v>44764.365681157411</v>
      </c>
      <c r="P1014" s="11">
        <v>44764.366037569445</v>
      </c>
      <c r="Q1014" s="27">
        <f t="shared" si="45"/>
        <v>3.5641203430714086E-4</v>
      </c>
      <c r="R1014" s="65">
        <f t="shared" si="47"/>
        <v>5.0039352208841592E-4</v>
      </c>
      <c r="S1014" s="2">
        <v>0</v>
      </c>
      <c r="T1014" s="2" t="s">
        <v>54</v>
      </c>
      <c r="U1014" s="2" t="s">
        <v>55</v>
      </c>
      <c r="V1014" s="2" t="s">
        <v>38</v>
      </c>
      <c r="W1014" s="2" t="s">
        <v>35</v>
      </c>
      <c r="X1014" s="2" t="s">
        <v>35</v>
      </c>
      <c r="Y1014" s="2" t="s">
        <v>35</v>
      </c>
      <c r="Z1014" s="2" t="b">
        <v>0</v>
      </c>
      <c r="AA1014" s="2" t="s">
        <v>35</v>
      </c>
      <c r="AB1014" s="2" t="s">
        <v>35</v>
      </c>
      <c r="AC1014" s="2" t="s">
        <v>35</v>
      </c>
      <c r="AD1014" s="2" t="s">
        <v>35</v>
      </c>
      <c r="AE1014" s="2" t="s">
        <v>3248</v>
      </c>
      <c r="AF1014" s="11">
        <v>44764.361111053244</v>
      </c>
      <c r="AG1014" s="53"/>
      <c r="AH1014" s="53" t="b">
        <f t="shared" si="46"/>
        <v>0</v>
      </c>
      <c r="AI1014" s="54" t="str" cm="1">
        <f t="array" ref="AI1014">TRANSPOSE(_xlfn._xlws.FILTER(images!L:L,images!F:F=Barrierenmessung!A1014, ""))</f>
        <v>https://captureandgo.cloudlab.zhaw.ch/uploads/image_c1de1354e8.jpg</v>
      </c>
      <c r="AJ1014" s="2"/>
      <c r="AK1014" s="2"/>
      <c r="AL1014" s="2"/>
      <c r="AM1014" s="2"/>
      <c r="AN1014" s="2"/>
    </row>
    <row r="1015" spans="1:40" ht="16" x14ac:dyDescent="0.2">
      <c r="A1015" s="2" t="s">
        <v>3271</v>
      </c>
      <c r="B1015" s="46">
        <v>1014</v>
      </c>
      <c r="C1015" s="2" t="b">
        <v>0</v>
      </c>
      <c r="D1015" s="2" t="b">
        <v>0</v>
      </c>
      <c r="E1015" s="2" t="b">
        <v>0</v>
      </c>
      <c r="F1015" s="2" t="b">
        <v>0</v>
      </c>
      <c r="G1015" s="2" t="s">
        <v>31</v>
      </c>
      <c r="H1015" s="2" t="s">
        <v>3272</v>
      </c>
      <c r="I1015" s="2" t="s">
        <v>3273</v>
      </c>
      <c r="J1015" s="2" t="s">
        <v>3252</v>
      </c>
      <c r="K1015" s="2" t="s">
        <v>35</v>
      </c>
      <c r="L1015" s="2" t="s">
        <v>35</v>
      </c>
      <c r="M1015" s="2" t="s">
        <v>35</v>
      </c>
      <c r="N1015" s="2" t="s">
        <v>35</v>
      </c>
      <c r="O1015" s="11">
        <v>44764.366358472224</v>
      </c>
      <c r="P1015" s="11">
        <v>44764.366608159726</v>
      </c>
      <c r="Q1015" s="27">
        <f t="shared" si="45"/>
        <v>2.4968750221887603E-4</v>
      </c>
      <c r="R1015" s="65">
        <f t="shared" si="47"/>
        <v>5.7059028040384874E-4</v>
      </c>
      <c r="S1015" s="2">
        <v>0</v>
      </c>
      <c r="T1015" s="2" t="s">
        <v>54</v>
      </c>
      <c r="U1015" s="2" t="s">
        <v>55</v>
      </c>
      <c r="V1015" s="2" t="s">
        <v>38</v>
      </c>
      <c r="W1015" s="2" t="s">
        <v>35</v>
      </c>
      <c r="X1015" s="2" t="s">
        <v>35</v>
      </c>
      <c r="Y1015" s="2" t="s">
        <v>35</v>
      </c>
      <c r="Z1015" s="2" t="b">
        <v>0</v>
      </c>
      <c r="AA1015" s="2" t="s">
        <v>35</v>
      </c>
      <c r="AB1015" s="2" t="s">
        <v>35</v>
      </c>
      <c r="AC1015" s="2" t="s">
        <v>35</v>
      </c>
      <c r="AD1015" s="2" t="s">
        <v>35</v>
      </c>
      <c r="AE1015" s="2" t="s">
        <v>3248</v>
      </c>
      <c r="AF1015" s="11">
        <v>44764.361111053244</v>
      </c>
      <c r="AG1015" s="53"/>
      <c r="AH1015" s="53" t="b">
        <f t="shared" si="46"/>
        <v>0</v>
      </c>
      <c r="AI1015" s="54" t="str" cm="1">
        <f t="array" ref="AI1015">TRANSPOSE(_xlfn._xlws.FILTER(images!L:L,images!F:F=Barrierenmessung!A1015, ""))</f>
        <v>https://captureandgo.cloudlab.zhaw.ch/uploads/image_7917a93b1f.jpg</v>
      </c>
      <c r="AJ1015" s="2"/>
      <c r="AK1015" s="2"/>
      <c r="AL1015" s="2"/>
      <c r="AM1015" s="2"/>
      <c r="AN1015" s="2"/>
    </row>
    <row r="1016" spans="1:40" ht="16" x14ac:dyDescent="0.2">
      <c r="A1016" s="2" t="s">
        <v>3274</v>
      </c>
      <c r="B1016" s="46">
        <v>1015</v>
      </c>
      <c r="C1016" s="2" t="b">
        <v>0</v>
      </c>
      <c r="D1016" s="2" t="b">
        <v>0</v>
      </c>
      <c r="E1016" s="2" t="b">
        <v>0</v>
      </c>
      <c r="F1016" s="2" t="b">
        <v>0</v>
      </c>
      <c r="G1016" s="2" t="s">
        <v>31</v>
      </c>
      <c r="H1016" s="2" t="s">
        <v>3275</v>
      </c>
      <c r="I1016" s="2" t="s">
        <v>3276</v>
      </c>
      <c r="J1016" s="2" t="s">
        <v>35</v>
      </c>
      <c r="K1016" s="2" t="s">
        <v>35</v>
      </c>
      <c r="L1016" s="2" t="s">
        <v>35</v>
      </c>
      <c r="M1016" s="2">
        <v>31</v>
      </c>
      <c r="N1016" s="2">
        <v>15</v>
      </c>
      <c r="O1016" s="11">
        <v>44764.36668003472</v>
      </c>
      <c r="P1016" s="11">
        <v>44764.367063738428</v>
      </c>
      <c r="Q1016" s="27">
        <f t="shared" si="45"/>
        <v>3.8370370748452842E-4</v>
      </c>
      <c r="R1016" s="65">
        <f t="shared" si="47"/>
        <v>4.5557870180346072E-4</v>
      </c>
      <c r="S1016" s="2">
        <v>0</v>
      </c>
      <c r="T1016" s="2" t="s">
        <v>54</v>
      </c>
      <c r="U1016" s="2" t="s">
        <v>55</v>
      </c>
      <c r="V1016" s="2" t="s">
        <v>38</v>
      </c>
      <c r="W1016" s="2" t="s">
        <v>35</v>
      </c>
      <c r="X1016" s="2" t="s">
        <v>35</v>
      </c>
      <c r="Y1016" s="2" t="s">
        <v>35</v>
      </c>
      <c r="Z1016" s="2" t="b">
        <v>0</v>
      </c>
      <c r="AA1016" s="2" t="s">
        <v>35</v>
      </c>
      <c r="AB1016" s="2" t="s">
        <v>35</v>
      </c>
      <c r="AC1016" s="2" t="s">
        <v>35</v>
      </c>
      <c r="AD1016" s="2" t="s">
        <v>35</v>
      </c>
      <c r="AE1016" s="2" t="s">
        <v>3248</v>
      </c>
      <c r="AF1016" s="11">
        <v>44764.361111053244</v>
      </c>
      <c r="AG1016" s="53"/>
      <c r="AH1016" s="53" t="b">
        <f t="shared" si="46"/>
        <v>0</v>
      </c>
      <c r="AI1016" s="54" t="str" cm="1">
        <f t="array" ref="AI1016">TRANSPOSE(_xlfn._xlws.FILTER(images!L:L,images!F:F=Barrierenmessung!A1016, ""))</f>
        <v>https://captureandgo.cloudlab.zhaw.ch/uploads/image_efb020b942.jpg</v>
      </c>
      <c r="AJ1016" s="2"/>
      <c r="AK1016" s="2"/>
      <c r="AL1016" s="2"/>
      <c r="AM1016" s="2"/>
      <c r="AN1016" s="2"/>
    </row>
    <row r="1017" spans="1:40" ht="16" x14ac:dyDescent="0.2">
      <c r="A1017" s="2" t="s">
        <v>3277</v>
      </c>
      <c r="B1017" s="46">
        <v>1016</v>
      </c>
      <c r="C1017" s="2" t="b">
        <v>0</v>
      </c>
      <c r="D1017" s="2" t="b">
        <v>0</v>
      </c>
      <c r="E1017" s="2" t="b">
        <v>0</v>
      </c>
      <c r="F1017" s="2" t="b">
        <v>0</v>
      </c>
      <c r="G1017" s="2" t="s">
        <v>31</v>
      </c>
      <c r="H1017" s="2" t="s">
        <v>3278</v>
      </c>
      <c r="I1017" s="2" t="s">
        <v>3279</v>
      </c>
      <c r="J1017" s="2" t="s">
        <v>1124</v>
      </c>
      <c r="K1017" s="2" t="s">
        <v>35</v>
      </c>
      <c r="L1017" s="2" t="s">
        <v>35</v>
      </c>
      <c r="M1017" s="2" t="s">
        <v>35</v>
      </c>
      <c r="N1017" s="2" t="s">
        <v>35</v>
      </c>
      <c r="O1017" s="11">
        <v>44764.367801412038</v>
      </c>
      <c r="P1017" s="11">
        <v>44764.368180092592</v>
      </c>
      <c r="Q1017" s="27">
        <f t="shared" si="45"/>
        <v>3.7868055369472131E-4</v>
      </c>
      <c r="R1017" s="65">
        <f t="shared" si="47"/>
        <v>1.1163541639689356E-3</v>
      </c>
      <c r="S1017" s="2">
        <v>0</v>
      </c>
      <c r="T1017" s="2" t="s">
        <v>416</v>
      </c>
      <c r="U1017" s="2" t="s">
        <v>417</v>
      </c>
      <c r="V1017" s="2" t="s">
        <v>38</v>
      </c>
      <c r="W1017" s="2" t="s">
        <v>35</v>
      </c>
      <c r="X1017" s="2">
        <v>0</v>
      </c>
      <c r="Y1017" s="2" t="s">
        <v>3280</v>
      </c>
      <c r="Z1017" s="2" t="b">
        <v>0</v>
      </c>
      <c r="AA1017" s="2" t="s">
        <v>35</v>
      </c>
      <c r="AB1017" s="2" t="s">
        <v>35</v>
      </c>
      <c r="AC1017" s="2" t="s">
        <v>35</v>
      </c>
      <c r="AD1017" s="2" t="s">
        <v>35</v>
      </c>
      <c r="AE1017" s="2" t="s">
        <v>3248</v>
      </c>
      <c r="AF1017" s="11">
        <v>44764.361111053244</v>
      </c>
      <c r="AG1017" s="53"/>
      <c r="AH1017" s="53" t="b">
        <f t="shared" si="46"/>
        <v>0</v>
      </c>
      <c r="AI1017" s="54" t="str" cm="1">
        <f t="array" ref="AI1017">TRANSPOSE(_xlfn._xlws.FILTER(images!L:L,images!F:F=Barrierenmessung!A1017, ""))</f>
        <v>https://captureandgo.cloudlab.zhaw.ch/uploads/image_3a7f5c15c1.jpg</v>
      </c>
      <c r="AJ1017" s="2"/>
      <c r="AK1017" s="2"/>
      <c r="AL1017" s="2"/>
      <c r="AM1017" s="2"/>
      <c r="AN1017" s="2"/>
    </row>
    <row r="1018" spans="1:40" ht="16" x14ac:dyDescent="0.2">
      <c r="A1018" s="2" t="s">
        <v>3281</v>
      </c>
      <c r="B1018" s="46">
        <v>1017</v>
      </c>
      <c r="C1018" s="2" t="b">
        <v>0</v>
      </c>
      <c r="D1018" s="2" t="b">
        <v>0</v>
      </c>
      <c r="E1018" s="2" t="b">
        <v>0</v>
      </c>
      <c r="F1018" s="2" t="b">
        <v>0</v>
      </c>
      <c r="G1018" s="2" t="s">
        <v>31</v>
      </c>
      <c r="H1018" s="2" t="s">
        <v>3282</v>
      </c>
      <c r="I1018" s="2" t="s">
        <v>3283</v>
      </c>
      <c r="J1018" s="2" t="s">
        <v>675</v>
      </c>
      <c r="K1018" s="2" t="s">
        <v>35</v>
      </c>
      <c r="L1018" s="2" t="s">
        <v>35</v>
      </c>
      <c r="M1018" s="2" t="s">
        <v>35</v>
      </c>
      <c r="N1018" s="2" t="s">
        <v>35</v>
      </c>
      <c r="O1018" s="11">
        <v>44764.370525601851</v>
      </c>
      <c r="P1018" s="11">
        <v>44764.370816898147</v>
      </c>
      <c r="Q1018" s="27">
        <f t="shared" si="45"/>
        <v>2.9129629547242075E-4</v>
      </c>
      <c r="R1018" s="65">
        <f t="shared" si="47"/>
        <v>2.6368055550847203E-3</v>
      </c>
      <c r="S1018" s="2">
        <v>0</v>
      </c>
      <c r="T1018" s="2" t="s">
        <v>124</v>
      </c>
      <c r="U1018" s="2" t="s">
        <v>125</v>
      </c>
      <c r="V1018" s="2" t="s">
        <v>38</v>
      </c>
      <c r="W1018" s="2" t="s">
        <v>35</v>
      </c>
      <c r="X1018" s="2" t="s">
        <v>35</v>
      </c>
      <c r="Y1018" s="2" t="s">
        <v>35</v>
      </c>
      <c r="Z1018" s="2" t="b">
        <v>0</v>
      </c>
      <c r="AA1018" s="2" t="s">
        <v>35</v>
      </c>
      <c r="AB1018" s="2">
        <v>4</v>
      </c>
      <c r="AC1018" s="2" t="s">
        <v>35</v>
      </c>
      <c r="AD1018" s="2" t="s">
        <v>35</v>
      </c>
      <c r="AE1018" s="2" t="s">
        <v>3248</v>
      </c>
      <c r="AF1018" s="11">
        <v>44764.361111053244</v>
      </c>
      <c r="AG1018" s="53"/>
      <c r="AH1018" s="53" t="b">
        <f t="shared" si="46"/>
        <v>0</v>
      </c>
      <c r="AI1018" s="54" t="str" cm="1">
        <f t="array" ref="AI1018">TRANSPOSE(_xlfn._xlws.FILTER(images!L:L,images!F:F=Barrierenmessung!A1018, ""))</f>
        <v>https://captureandgo.cloudlab.zhaw.ch/uploads/image_eb622a0b1a.jpg</v>
      </c>
      <c r="AJ1018" s="2"/>
      <c r="AK1018" s="2"/>
      <c r="AL1018" s="2"/>
      <c r="AM1018" s="2"/>
      <c r="AN1018" s="2"/>
    </row>
    <row r="1019" spans="1:40" ht="16" x14ac:dyDescent="0.2">
      <c r="A1019" s="2" t="s">
        <v>3284</v>
      </c>
      <c r="B1019" s="46">
        <v>1018</v>
      </c>
      <c r="C1019" s="2" t="b">
        <v>0</v>
      </c>
      <c r="D1019" s="2" t="b">
        <v>0</v>
      </c>
      <c r="E1019" s="2" t="b">
        <v>0</v>
      </c>
      <c r="F1019" s="2" t="b">
        <v>0</v>
      </c>
      <c r="G1019" s="2" t="s">
        <v>31</v>
      </c>
      <c r="H1019" s="2" t="s">
        <v>3285</v>
      </c>
      <c r="I1019" s="2" t="s">
        <v>3286</v>
      </c>
      <c r="J1019" s="2" t="s">
        <v>35</v>
      </c>
      <c r="K1019" s="2" t="s">
        <v>35</v>
      </c>
      <c r="L1019" s="2" t="s">
        <v>35</v>
      </c>
      <c r="M1019" s="2">
        <v>29</v>
      </c>
      <c r="N1019" s="2">
        <v>17</v>
      </c>
      <c r="O1019" s="11">
        <v>44764.371469756945</v>
      </c>
      <c r="P1019" s="11">
        <v>44764.372051168983</v>
      </c>
      <c r="Q1019" s="27">
        <f t="shared" si="45"/>
        <v>5.8141203771810979E-4</v>
      </c>
      <c r="R1019" s="65">
        <f t="shared" si="47"/>
        <v>1.2342708359938115E-3</v>
      </c>
      <c r="S1019" s="2">
        <v>0</v>
      </c>
      <c r="T1019" s="2" t="s">
        <v>54</v>
      </c>
      <c r="U1019" s="2" t="s">
        <v>55</v>
      </c>
      <c r="V1019" s="2" t="s">
        <v>38</v>
      </c>
      <c r="W1019" s="2" t="s">
        <v>35</v>
      </c>
      <c r="X1019" s="2" t="s">
        <v>35</v>
      </c>
      <c r="Y1019" s="2" t="s">
        <v>35</v>
      </c>
      <c r="Z1019" s="2" t="b">
        <v>0</v>
      </c>
      <c r="AA1019" s="2" t="s">
        <v>35</v>
      </c>
      <c r="AB1019" s="2" t="s">
        <v>35</v>
      </c>
      <c r="AC1019" s="2" t="s">
        <v>35</v>
      </c>
      <c r="AD1019" s="2" t="s">
        <v>35</v>
      </c>
      <c r="AE1019" s="2" t="s">
        <v>3248</v>
      </c>
      <c r="AF1019" s="11">
        <v>44764.361111053244</v>
      </c>
      <c r="AG1019" s="53"/>
      <c r="AH1019" s="53" t="b">
        <f t="shared" si="46"/>
        <v>0</v>
      </c>
      <c r="AI1019" s="54" t="str" cm="1">
        <f t="array" ref="AI1019:AJ1019">TRANSPOSE(_xlfn._xlws.FILTER(images!L:L,images!F:F=Barrierenmessung!A1019, ""))</f>
        <v>https://captureandgo.cloudlab.zhaw.ch/uploads/image_88b47d2e58.jpg</v>
      </c>
      <c r="AJ1019" s="2" t="str">
        <v>https://captureandgo.cloudlab.zhaw.ch/uploads/image_706dae97dd.jpg</v>
      </c>
      <c r="AK1019" s="2"/>
      <c r="AL1019" s="2"/>
      <c r="AM1019" s="2"/>
      <c r="AN1019" s="2"/>
    </row>
    <row r="1020" spans="1:40" ht="16" x14ac:dyDescent="0.2">
      <c r="A1020" s="2" t="s">
        <v>3287</v>
      </c>
      <c r="B1020" s="46">
        <v>1019</v>
      </c>
      <c r="C1020" s="2" t="b">
        <v>0</v>
      </c>
      <c r="D1020" s="2" t="b">
        <v>0</v>
      </c>
      <c r="E1020" s="2" t="b">
        <v>0</v>
      </c>
      <c r="F1020" s="2" t="b">
        <v>0</v>
      </c>
      <c r="G1020" s="2" t="s">
        <v>31</v>
      </c>
      <c r="H1020" s="2" t="s">
        <v>3288</v>
      </c>
      <c r="I1020" s="2" t="s">
        <v>3289</v>
      </c>
      <c r="J1020" s="2" t="s">
        <v>1711</v>
      </c>
      <c r="K1020" s="2" t="s">
        <v>35</v>
      </c>
      <c r="L1020" s="2" t="s">
        <v>35</v>
      </c>
      <c r="M1020" s="2" t="s">
        <v>35</v>
      </c>
      <c r="N1020" s="2" t="s">
        <v>35</v>
      </c>
      <c r="O1020" s="11">
        <v>44764.372087280091</v>
      </c>
      <c r="P1020" s="11">
        <v>44764.372279328702</v>
      </c>
      <c r="Q1020" s="27">
        <f t="shared" si="45"/>
        <v>1.9204861018806696E-4</v>
      </c>
      <c r="R1020" s="65">
        <f t="shared" si="47"/>
        <v>2.2815971897216514E-4</v>
      </c>
      <c r="S1020" s="2">
        <v>0</v>
      </c>
      <c r="T1020" s="2" t="s">
        <v>54</v>
      </c>
      <c r="U1020" s="2" t="s">
        <v>55</v>
      </c>
      <c r="V1020" s="2" t="s">
        <v>38</v>
      </c>
      <c r="W1020" s="2" t="s">
        <v>35</v>
      </c>
      <c r="X1020" s="2" t="s">
        <v>35</v>
      </c>
      <c r="Y1020" s="2" t="s">
        <v>35</v>
      </c>
      <c r="Z1020" s="2" t="b">
        <v>0</v>
      </c>
      <c r="AA1020" s="2" t="s">
        <v>35</v>
      </c>
      <c r="AB1020" s="2" t="s">
        <v>35</v>
      </c>
      <c r="AC1020" s="2" t="s">
        <v>35</v>
      </c>
      <c r="AD1020" s="2" t="s">
        <v>35</v>
      </c>
      <c r="AE1020" s="2" t="s">
        <v>3248</v>
      </c>
      <c r="AF1020" s="11">
        <v>44764.361111053244</v>
      </c>
      <c r="AG1020" s="53"/>
      <c r="AH1020" s="53" t="b">
        <f t="shared" si="46"/>
        <v>0</v>
      </c>
      <c r="AI1020" s="54" t="str" cm="1">
        <f t="array" ref="AI1020">TRANSPOSE(_xlfn._xlws.FILTER(images!L:L,images!F:F=Barrierenmessung!A1020, ""))</f>
        <v>https://captureandgo.cloudlab.zhaw.ch/uploads/image_9a5dc04ee4.jpg</v>
      </c>
      <c r="AJ1020" s="2"/>
      <c r="AK1020" s="2"/>
      <c r="AL1020" s="2"/>
      <c r="AM1020" s="2"/>
      <c r="AN1020" s="2"/>
    </row>
    <row r="1021" spans="1:40" ht="16" x14ac:dyDescent="0.2">
      <c r="A1021" s="2" t="s">
        <v>3290</v>
      </c>
      <c r="B1021" s="46">
        <v>1020</v>
      </c>
      <c r="C1021" s="2" t="b">
        <v>0</v>
      </c>
      <c r="D1021" s="2" t="b">
        <v>0</v>
      </c>
      <c r="E1021" s="2" t="b">
        <v>0</v>
      </c>
      <c r="F1021" s="2" t="b">
        <v>0</v>
      </c>
      <c r="G1021" s="2" t="s">
        <v>31</v>
      </c>
      <c r="H1021" s="2" t="s">
        <v>3291</v>
      </c>
      <c r="I1021" s="2" t="s">
        <v>3292</v>
      </c>
      <c r="J1021" s="2" t="s">
        <v>35</v>
      </c>
      <c r="K1021" s="2" t="s">
        <v>35</v>
      </c>
      <c r="L1021" s="2" t="s">
        <v>35</v>
      </c>
      <c r="M1021" s="2">
        <v>2</v>
      </c>
      <c r="N1021" s="2">
        <v>17</v>
      </c>
      <c r="O1021" s="11">
        <v>44764.376414432867</v>
      </c>
      <c r="P1021" s="11">
        <v>44764.376680821762</v>
      </c>
      <c r="Q1021" s="27">
        <f t="shared" si="45"/>
        <v>2.6638889539754018E-4</v>
      </c>
      <c r="R1021" s="65">
        <f t="shared" si="47"/>
        <v>4.4014930608682334E-3</v>
      </c>
      <c r="S1021" s="2">
        <v>0</v>
      </c>
      <c r="T1021" s="2" t="s">
        <v>54</v>
      </c>
      <c r="U1021" s="2" t="s">
        <v>55</v>
      </c>
      <c r="V1021" s="2" t="s">
        <v>38</v>
      </c>
      <c r="W1021" s="2" t="s">
        <v>35</v>
      </c>
      <c r="X1021" s="2" t="s">
        <v>35</v>
      </c>
      <c r="Y1021" s="2" t="s">
        <v>35</v>
      </c>
      <c r="Z1021" s="2" t="b">
        <v>0</v>
      </c>
      <c r="AA1021" s="2" t="s">
        <v>35</v>
      </c>
      <c r="AB1021" s="2" t="s">
        <v>35</v>
      </c>
      <c r="AC1021" s="2" t="s">
        <v>35</v>
      </c>
      <c r="AD1021" s="2" t="s">
        <v>35</v>
      </c>
      <c r="AE1021" s="2" t="s">
        <v>3248</v>
      </c>
      <c r="AF1021" s="11">
        <v>44764.361111053244</v>
      </c>
      <c r="AG1021" s="53"/>
      <c r="AH1021" s="53" t="b">
        <f t="shared" si="46"/>
        <v>0</v>
      </c>
      <c r="AI1021" s="54" t="str" cm="1">
        <f t="array" ref="AI1021">TRANSPOSE(_xlfn._xlws.FILTER(images!L:L,images!F:F=Barrierenmessung!A1021, ""))</f>
        <v>https://captureandgo.cloudlab.zhaw.ch/uploads/image_8a74b4fd78.jpg</v>
      </c>
      <c r="AJ1021" s="2"/>
      <c r="AK1021" s="2"/>
      <c r="AL1021" s="2"/>
      <c r="AM1021" s="2"/>
      <c r="AN1021" s="2"/>
    </row>
    <row r="1022" spans="1:40" ht="16" x14ac:dyDescent="0.2">
      <c r="A1022" s="2" t="s">
        <v>3293</v>
      </c>
      <c r="B1022" s="46">
        <v>1021</v>
      </c>
      <c r="C1022" s="2" t="b">
        <v>0</v>
      </c>
      <c r="D1022" s="2" t="b">
        <v>0</v>
      </c>
      <c r="E1022" s="2" t="b">
        <v>0</v>
      </c>
      <c r="F1022" s="2" t="b">
        <v>0</v>
      </c>
      <c r="G1022" s="2" t="s">
        <v>31</v>
      </c>
      <c r="H1022" s="2" t="s">
        <v>3294</v>
      </c>
      <c r="I1022" s="2" t="s">
        <v>3295</v>
      </c>
      <c r="J1022" s="2" t="s">
        <v>675</v>
      </c>
      <c r="K1022" s="2" t="s">
        <v>35</v>
      </c>
      <c r="L1022" s="2" t="s">
        <v>35</v>
      </c>
      <c r="M1022" s="2" t="s">
        <v>35</v>
      </c>
      <c r="N1022" s="2" t="s">
        <v>35</v>
      </c>
      <c r="O1022" s="11">
        <v>44764.37715886574</v>
      </c>
      <c r="P1022" s="11">
        <v>44764.377571770834</v>
      </c>
      <c r="Q1022" s="27">
        <f t="shared" si="45"/>
        <v>4.129050939809531E-4</v>
      </c>
      <c r="R1022" s="65">
        <f t="shared" si="47"/>
        <v>8.9094907161779702E-4</v>
      </c>
      <c r="S1022" s="2">
        <v>0</v>
      </c>
      <c r="T1022" s="2" t="s">
        <v>124</v>
      </c>
      <c r="U1022" s="2" t="s">
        <v>125</v>
      </c>
      <c r="V1022" s="2" t="s">
        <v>38</v>
      </c>
      <c r="W1022" s="2" t="s">
        <v>35</v>
      </c>
      <c r="X1022" s="2" t="s">
        <v>35</v>
      </c>
      <c r="Y1022" s="2" t="s">
        <v>35</v>
      </c>
      <c r="Z1022" s="2" t="b">
        <v>0</v>
      </c>
      <c r="AA1022" s="2" t="s">
        <v>35</v>
      </c>
      <c r="AB1022" s="2">
        <v>4</v>
      </c>
      <c r="AC1022" s="2" t="s">
        <v>35</v>
      </c>
      <c r="AD1022" s="2" t="s">
        <v>35</v>
      </c>
      <c r="AE1022" s="2" t="s">
        <v>3248</v>
      </c>
      <c r="AF1022" s="11">
        <v>44764.361111053244</v>
      </c>
      <c r="AG1022" s="53"/>
      <c r="AH1022" s="53" t="b">
        <f t="shared" si="46"/>
        <v>0</v>
      </c>
      <c r="AI1022" s="54" t="str" cm="1">
        <f t="array" ref="AI1022:AL1022">TRANSPOSE(_xlfn._xlws.FILTER(images!L:L,images!F:F=Barrierenmessung!A1022, ""))</f>
        <v>https://captureandgo.cloudlab.zhaw.ch/uploads/image_9bfa7018f4.jpg</v>
      </c>
      <c r="AJ1022" s="2" t="str">
        <v>https://captureandgo.cloudlab.zhaw.ch/uploads/image_17ac00e297.jpg</v>
      </c>
      <c r="AK1022" s="2" t="str">
        <v>https://captureandgo.cloudlab.zhaw.ch/uploads/image_f27724d65f.jpg</v>
      </c>
      <c r="AL1022" s="2" t="str">
        <v>https://captureandgo.cloudlab.zhaw.ch/uploads/image_f52a33c1f7.jpg</v>
      </c>
      <c r="AM1022" s="2"/>
      <c r="AN1022" s="2"/>
    </row>
    <row r="1023" spans="1:40" ht="16" x14ac:dyDescent="0.2">
      <c r="A1023" s="2" t="s">
        <v>3296</v>
      </c>
      <c r="B1023" s="46">
        <v>1022</v>
      </c>
      <c r="C1023" s="2" t="b">
        <v>0</v>
      </c>
      <c r="D1023" s="2" t="b">
        <v>0</v>
      </c>
      <c r="E1023" s="2" t="b">
        <v>0</v>
      </c>
      <c r="F1023" s="2" t="b">
        <v>0</v>
      </c>
      <c r="G1023" s="2" t="s">
        <v>31</v>
      </c>
      <c r="H1023" s="2" t="s">
        <v>3297</v>
      </c>
      <c r="I1023" s="2" t="s">
        <v>3298</v>
      </c>
      <c r="J1023" s="2" t="s">
        <v>35</v>
      </c>
      <c r="K1023" s="2" t="s">
        <v>35</v>
      </c>
      <c r="L1023" s="2" t="s">
        <v>35</v>
      </c>
      <c r="M1023" s="2" t="s">
        <v>35</v>
      </c>
      <c r="N1023" s="2" t="s">
        <v>35</v>
      </c>
      <c r="O1023" s="11">
        <v>44764.37834304398</v>
      </c>
      <c r="P1023" s="11">
        <v>44764.378477500002</v>
      </c>
      <c r="Q1023" s="27">
        <f t="shared" si="45"/>
        <v>1.3445602235151455E-4</v>
      </c>
      <c r="R1023" s="65">
        <f t="shared" si="47"/>
        <v>9.0572916815290228E-4</v>
      </c>
      <c r="S1023" s="2">
        <v>0</v>
      </c>
      <c r="T1023" s="2" t="s">
        <v>36</v>
      </c>
      <c r="U1023" s="2" t="s">
        <v>37</v>
      </c>
      <c r="V1023" s="2" t="s">
        <v>38</v>
      </c>
      <c r="W1023" s="2" t="s">
        <v>35</v>
      </c>
      <c r="X1023" s="2" t="s">
        <v>35</v>
      </c>
      <c r="Y1023" s="2" t="s">
        <v>35</v>
      </c>
      <c r="Z1023" s="2" t="b">
        <v>0</v>
      </c>
      <c r="AA1023" s="2" t="s">
        <v>35</v>
      </c>
      <c r="AB1023" s="2" t="s">
        <v>35</v>
      </c>
      <c r="AC1023" s="2" t="s">
        <v>35</v>
      </c>
      <c r="AD1023" s="2">
        <v>3</v>
      </c>
      <c r="AE1023" s="2" t="s">
        <v>3248</v>
      </c>
      <c r="AF1023" s="11">
        <v>44764.361111053244</v>
      </c>
      <c r="AG1023" s="53"/>
      <c r="AH1023" s="53" t="b">
        <f t="shared" si="46"/>
        <v>0</v>
      </c>
      <c r="AI1023" s="54" t="str" cm="1">
        <f t="array" ref="AI1023">TRANSPOSE(_xlfn._xlws.FILTER(images!L:L,images!F:F=Barrierenmessung!A1023, ""))</f>
        <v>https://captureandgo.cloudlab.zhaw.ch/uploads/image_8392fcc851.jpg</v>
      </c>
      <c r="AJ1023" s="2"/>
      <c r="AK1023" s="2"/>
      <c r="AL1023" s="2"/>
      <c r="AM1023" s="2"/>
      <c r="AN1023" s="2"/>
    </row>
    <row r="1024" spans="1:40" ht="16" x14ac:dyDescent="0.2">
      <c r="A1024" s="68" t="s">
        <v>3299</v>
      </c>
      <c r="B1024" s="68">
        <v>1023</v>
      </c>
      <c r="C1024" s="68" t="b">
        <v>0</v>
      </c>
      <c r="D1024" s="68" t="b">
        <v>0</v>
      </c>
      <c r="E1024" s="68" t="b">
        <v>0</v>
      </c>
      <c r="F1024" s="68" t="b">
        <v>0</v>
      </c>
      <c r="G1024" s="68" t="s">
        <v>31</v>
      </c>
      <c r="H1024" s="68" t="s">
        <v>149</v>
      </c>
      <c r="I1024" s="68" t="s">
        <v>3300</v>
      </c>
      <c r="J1024" s="68" t="s">
        <v>35</v>
      </c>
      <c r="K1024" s="68" t="s">
        <v>35</v>
      </c>
      <c r="L1024" s="68">
        <v>13</v>
      </c>
      <c r="M1024" s="68" t="s">
        <v>35</v>
      </c>
      <c r="N1024" s="68" t="s">
        <v>35</v>
      </c>
      <c r="O1024" s="69">
        <v>44764.380604050923</v>
      </c>
      <c r="P1024" s="69">
        <v>44764.38060527778</v>
      </c>
      <c r="Q1024" s="70">
        <f t="shared" si="45"/>
        <v>1.2268574209883809E-6</v>
      </c>
      <c r="R1024" s="70">
        <f t="shared" si="47"/>
        <v>2.1277777777868323E-3</v>
      </c>
      <c r="S1024" s="68">
        <v>0</v>
      </c>
      <c r="T1024" s="68" t="s">
        <v>265</v>
      </c>
      <c r="U1024" s="68" t="s">
        <v>266</v>
      </c>
      <c r="V1024" s="68" t="s">
        <v>38</v>
      </c>
      <c r="W1024" s="68" t="s">
        <v>35</v>
      </c>
      <c r="X1024" s="68" t="s">
        <v>35</v>
      </c>
      <c r="Y1024" s="68" t="s">
        <v>35</v>
      </c>
      <c r="Z1024" s="68" t="b">
        <v>0</v>
      </c>
      <c r="AA1024" s="68" t="s">
        <v>35</v>
      </c>
      <c r="AB1024" s="68" t="s">
        <v>35</v>
      </c>
      <c r="AC1024" s="68" t="s">
        <v>35</v>
      </c>
      <c r="AD1024" s="68" t="s">
        <v>35</v>
      </c>
      <c r="AE1024" s="68" t="s">
        <v>3248</v>
      </c>
      <c r="AF1024" s="69">
        <v>44764.361111053244</v>
      </c>
      <c r="AG1024" s="71"/>
      <c r="AH1024" s="71" t="str">
        <f t="shared" si="46"/>
        <v>TRUE</v>
      </c>
      <c r="AI1024" s="56" t="s">
        <v>9485</v>
      </c>
      <c r="AJ1024" s="68"/>
      <c r="AK1024" s="68"/>
      <c r="AL1024" s="68"/>
      <c r="AM1024" s="68"/>
      <c r="AN1024" s="68"/>
    </row>
    <row r="1025" spans="1:40" ht="16" x14ac:dyDescent="0.2">
      <c r="A1025" s="21" t="s">
        <v>3301</v>
      </c>
      <c r="B1025" s="21">
        <v>1024</v>
      </c>
      <c r="C1025" s="21" t="b">
        <v>0</v>
      </c>
      <c r="D1025" s="21" t="b">
        <v>0</v>
      </c>
      <c r="E1025" s="21" t="b">
        <v>0</v>
      </c>
      <c r="F1025" s="21" t="b">
        <v>0</v>
      </c>
      <c r="G1025" s="21" t="s">
        <v>31</v>
      </c>
      <c r="H1025" s="68" t="s">
        <v>149</v>
      </c>
      <c r="I1025" s="21" t="s">
        <v>3302</v>
      </c>
      <c r="J1025" s="21" t="s">
        <v>35</v>
      </c>
      <c r="K1025" s="21" t="s">
        <v>35</v>
      </c>
      <c r="L1025" s="21">
        <v>5</v>
      </c>
      <c r="M1025" s="21" t="s">
        <v>35</v>
      </c>
      <c r="N1025" s="21" t="s">
        <v>35</v>
      </c>
      <c r="O1025" s="22">
        <v>44764.380607187501</v>
      </c>
      <c r="P1025" s="22">
        <v>44764.380608356485</v>
      </c>
      <c r="Q1025" s="23">
        <f t="shared" si="45"/>
        <v>1.1689844541251659E-6</v>
      </c>
      <c r="R1025" s="23">
        <f t="shared" si="47"/>
        <v>3.0787050491198897E-6</v>
      </c>
      <c r="S1025" s="21">
        <v>0</v>
      </c>
      <c r="T1025" s="21" t="s">
        <v>265</v>
      </c>
      <c r="U1025" s="21" t="s">
        <v>266</v>
      </c>
      <c r="V1025" s="21" t="s">
        <v>38</v>
      </c>
      <c r="W1025" s="21" t="s">
        <v>35</v>
      </c>
      <c r="X1025" s="21" t="s">
        <v>35</v>
      </c>
      <c r="Y1025" s="21" t="s">
        <v>35</v>
      </c>
      <c r="Z1025" s="21" t="b">
        <v>0</v>
      </c>
      <c r="AA1025" s="21" t="s">
        <v>35</v>
      </c>
      <c r="AB1025" s="21" t="s">
        <v>35</v>
      </c>
      <c r="AC1025" s="21" t="s">
        <v>35</v>
      </c>
      <c r="AD1025" s="21" t="s">
        <v>35</v>
      </c>
      <c r="AE1025" s="21" t="s">
        <v>3248</v>
      </c>
      <c r="AF1025" s="22">
        <v>44764.361111053244</v>
      </c>
      <c r="AG1025" s="57"/>
      <c r="AH1025" s="57" t="str">
        <f t="shared" si="46"/>
        <v>TRUE</v>
      </c>
      <c r="AI1025" s="56" t="s">
        <v>9486</v>
      </c>
      <c r="AJ1025" s="21"/>
      <c r="AK1025" s="21"/>
      <c r="AL1025" s="21"/>
      <c r="AM1025" s="21"/>
      <c r="AN1025" s="21"/>
    </row>
    <row r="1026" spans="1:40" ht="16" x14ac:dyDescent="0.2">
      <c r="A1026" s="21" t="s">
        <v>3303</v>
      </c>
      <c r="B1026" s="21">
        <v>1025</v>
      </c>
      <c r="C1026" s="21" t="b">
        <v>0</v>
      </c>
      <c r="D1026" s="21" t="b">
        <v>0</v>
      </c>
      <c r="E1026" s="21" t="b">
        <v>0</v>
      </c>
      <c r="F1026" s="21" t="b">
        <v>0</v>
      </c>
      <c r="G1026" s="21" t="s">
        <v>31</v>
      </c>
      <c r="H1026" s="68" t="s">
        <v>149</v>
      </c>
      <c r="I1026" s="21" t="s">
        <v>3304</v>
      </c>
      <c r="J1026" s="21" t="s">
        <v>675</v>
      </c>
      <c r="K1026" s="21" t="s">
        <v>35</v>
      </c>
      <c r="L1026" s="21" t="s">
        <v>35</v>
      </c>
      <c r="M1026" s="21" t="s">
        <v>35</v>
      </c>
      <c r="N1026" s="21" t="s">
        <v>35</v>
      </c>
      <c r="O1026" s="22">
        <v>44764.380610324071</v>
      </c>
      <c r="P1026" s="22">
        <v>44764.380612071756</v>
      </c>
      <c r="Q1026" s="23">
        <f t="shared" ref="Q1026:Q1089" si="48">P1026-O1026</f>
        <v>1.7476850189268589E-6</v>
      </c>
      <c r="R1026" s="23">
        <f t="shared" si="47"/>
        <v>3.7152713048271835E-6</v>
      </c>
      <c r="S1026" s="21">
        <v>0</v>
      </c>
      <c r="T1026" s="21" t="s">
        <v>124</v>
      </c>
      <c r="U1026" s="21" t="s">
        <v>125</v>
      </c>
      <c r="V1026" s="21" t="s">
        <v>38</v>
      </c>
      <c r="W1026" s="21" t="s">
        <v>35</v>
      </c>
      <c r="X1026" s="21" t="s">
        <v>35</v>
      </c>
      <c r="Y1026" s="21" t="s">
        <v>35</v>
      </c>
      <c r="Z1026" s="21" t="b">
        <v>0</v>
      </c>
      <c r="AA1026" s="21" t="s">
        <v>35</v>
      </c>
      <c r="AB1026" s="21">
        <v>4</v>
      </c>
      <c r="AC1026" s="21" t="s">
        <v>35</v>
      </c>
      <c r="AD1026" s="21" t="s">
        <v>35</v>
      </c>
      <c r="AE1026" s="21" t="s">
        <v>3248</v>
      </c>
      <c r="AF1026" s="22">
        <v>44764.361111053244</v>
      </c>
      <c r="AG1026" s="57"/>
      <c r="AH1026" s="57" t="str">
        <f t="shared" si="46"/>
        <v>TRUE</v>
      </c>
      <c r="AI1026" s="56" t="s">
        <v>9487</v>
      </c>
      <c r="AJ1026" s="21"/>
      <c r="AK1026" s="21"/>
      <c r="AL1026" s="21"/>
      <c r="AM1026" s="21"/>
      <c r="AN1026" s="21"/>
    </row>
    <row r="1027" spans="1:40" ht="16" x14ac:dyDescent="0.2">
      <c r="A1027" s="2" t="s">
        <v>3305</v>
      </c>
      <c r="B1027" s="46">
        <v>1026</v>
      </c>
      <c r="C1027" s="2" t="b">
        <v>0</v>
      </c>
      <c r="D1027" s="2" t="b">
        <v>0</v>
      </c>
      <c r="E1027" s="2" t="b">
        <v>0</v>
      </c>
      <c r="F1027" s="2" t="b">
        <v>0</v>
      </c>
      <c r="G1027" s="2" t="s">
        <v>31</v>
      </c>
      <c r="H1027" s="2" t="s">
        <v>3306</v>
      </c>
      <c r="I1027" s="2" t="s">
        <v>3307</v>
      </c>
      <c r="J1027" s="2" t="s">
        <v>35</v>
      </c>
      <c r="K1027" s="2" t="s">
        <v>35</v>
      </c>
      <c r="L1027" s="2">
        <v>7</v>
      </c>
      <c r="M1027" s="2" t="s">
        <v>35</v>
      </c>
      <c r="N1027" s="2" t="s">
        <v>35</v>
      </c>
      <c r="O1027" s="11">
        <v>44764.380612280096</v>
      </c>
      <c r="P1027" s="11">
        <v>44764.380788368057</v>
      </c>
      <c r="Q1027" s="27">
        <f t="shared" si="48"/>
        <v>1.7608796042622998E-4</v>
      </c>
      <c r="R1027" s="65">
        <f t="shared" si="47"/>
        <v>1.7629630019655451E-4</v>
      </c>
      <c r="S1027" s="2">
        <v>0</v>
      </c>
      <c r="T1027" s="2" t="s">
        <v>265</v>
      </c>
      <c r="U1027" s="2" t="s">
        <v>266</v>
      </c>
      <c r="V1027" s="2" t="s">
        <v>38</v>
      </c>
      <c r="W1027" s="2" t="s">
        <v>35</v>
      </c>
      <c r="X1027" s="2" t="s">
        <v>35</v>
      </c>
      <c r="Y1027" s="2" t="s">
        <v>35</v>
      </c>
      <c r="Z1027" s="2" t="b">
        <v>0</v>
      </c>
      <c r="AA1027" s="2" t="s">
        <v>35</v>
      </c>
      <c r="AB1027" s="2" t="s">
        <v>35</v>
      </c>
      <c r="AC1027" s="2" t="s">
        <v>35</v>
      </c>
      <c r="AD1027" s="2" t="s">
        <v>35</v>
      </c>
      <c r="AE1027" s="2" t="s">
        <v>3248</v>
      </c>
      <c r="AF1027" s="11">
        <v>44764.361111053244</v>
      </c>
      <c r="AG1027" s="53"/>
      <c r="AH1027" s="53" t="b">
        <f t="shared" ref="AH1027:AH1090" si="49">IF(Q1027&lt;TIME(0,0,1),"TRUE")</f>
        <v>0</v>
      </c>
      <c r="AI1027" s="54" t="str" cm="1">
        <f t="array" ref="AI1027">TRANSPOSE(_xlfn._xlws.FILTER(images!L:L,images!F:F=Barrierenmessung!A1027, ""))</f>
        <v>https://captureandgo.cloudlab.zhaw.ch/uploads/image_2bc50898c4.jpg</v>
      </c>
      <c r="AJ1027" s="2"/>
      <c r="AK1027" s="2"/>
      <c r="AL1027" s="2"/>
      <c r="AM1027" s="2"/>
      <c r="AN1027" s="2"/>
    </row>
    <row r="1028" spans="1:40" ht="16" x14ac:dyDescent="0.2">
      <c r="A1028" s="2" t="s">
        <v>3308</v>
      </c>
      <c r="B1028" s="46">
        <v>1027</v>
      </c>
      <c r="C1028" s="2" t="b">
        <v>0</v>
      </c>
      <c r="D1028" s="2" t="b">
        <v>0</v>
      </c>
      <c r="E1028" s="2" t="b">
        <v>0</v>
      </c>
      <c r="F1028" s="2" t="b">
        <v>0</v>
      </c>
      <c r="G1028" s="2" t="s">
        <v>31</v>
      </c>
      <c r="H1028" s="2" t="s">
        <v>3309</v>
      </c>
      <c r="I1028" s="2" t="s">
        <v>3310</v>
      </c>
      <c r="J1028" s="2" t="s">
        <v>675</v>
      </c>
      <c r="K1028" s="2" t="s">
        <v>35</v>
      </c>
      <c r="L1028" s="2" t="s">
        <v>35</v>
      </c>
      <c r="M1028" s="2" t="s">
        <v>35</v>
      </c>
      <c r="N1028" s="2" t="s">
        <v>35</v>
      </c>
      <c r="O1028" s="11">
        <v>44764.381928506948</v>
      </c>
      <c r="P1028" s="11">
        <v>44764.382191192133</v>
      </c>
      <c r="Q1028" s="27">
        <f t="shared" si="48"/>
        <v>2.6268518558936194E-4</v>
      </c>
      <c r="R1028" s="65">
        <f t="shared" si="47"/>
        <v>1.4028240766492672E-3</v>
      </c>
      <c r="S1028" s="2">
        <v>0</v>
      </c>
      <c r="T1028" s="2" t="s">
        <v>124</v>
      </c>
      <c r="U1028" s="2" t="s">
        <v>125</v>
      </c>
      <c r="V1028" s="2" t="s">
        <v>38</v>
      </c>
      <c r="W1028" s="2" t="s">
        <v>35</v>
      </c>
      <c r="X1028" s="2" t="s">
        <v>35</v>
      </c>
      <c r="Y1028" s="2" t="s">
        <v>35</v>
      </c>
      <c r="Z1028" s="2" t="b">
        <v>0</v>
      </c>
      <c r="AA1028" s="2" t="s">
        <v>35</v>
      </c>
      <c r="AB1028" s="2">
        <v>4</v>
      </c>
      <c r="AC1028" s="2" t="s">
        <v>35</v>
      </c>
      <c r="AD1028" s="2" t="s">
        <v>35</v>
      </c>
      <c r="AE1028" s="2" t="s">
        <v>3248</v>
      </c>
      <c r="AF1028" s="11">
        <v>44764.361111053244</v>
      </c>
      <c r="AG1028" s="53"/>
      <c r="AH1028" s="53" t="b">
        <f t="shared" si="49"/>
        <v>0</v>
      </c>
      <c r="AI1028" s="54" t="str" cm="1">
        <f t="array" ref="AI1028">TRANSPOSE(_xlfn._xlws.FILTER(images!L:L,images!F:F=Barrierenmessung!A1028, ""))</f>
        <v>https://captureandgo.cloudlab.zhaw.ch/uploads/image_f6563660d7.jpg</v>
      </c>
      <c r="AJ1028" s="2"/>
      <c r="AK1028" s="2"/>
      <c r="AL1028" s="2"/>
      <c r="AM1028" s="2"/>
      <c r="AN1028" s="2"/>
    </row>
    <row r="1029" spans="1:40" ht="16" x14ac:dyDescent="0.2">
      <c r="A1029" s="2" t="s">
        <v>3311</v>
      </c>
      <c r="B1029" s="46">
        <v>1028</v>
      </c>
      <c r="C1029" s="2" t="b">
        <v>0</v>
      </c>
      <c r="D1029" s="2" t="b">
        <v>0</v>
      </c>
      <c r="E1029" s="2" t="b">
        <v>0</v>
      </c>
      <c r="F1029" s="2" t="b">
        <v>0</v>
      </c>
      <c r="G1029" s="2" t="s">
        <v>31</v>
      </c>
      <c r="H1029" s="2" t="s">
        <v>3312</v>
      </c>
      <c r="I1029" s="2" t="s">
        <v>3313</v>
      </c>
      <c r="J1029" s="2" t="s">
        <v>675</v>
      </c>
      <c r="K1029" s="2" t="s">
        <v>35</v>
      </c>
      <c r="L1029" s="2" t="s">
        <v>35</v>
      </c>
      <c r="M1029" s="2" t="s">
        <v>35</v>
      </c>
      <c r="N1029" s="2" t="s">
        <v>35</v>
      </c>
      <c r="O1029" s="11">
        <v>44764.382457928237</v>
      </c>
      <c r="P1029" s="11">
        <v>44764.382602881946</v>
      </c>
      <c r="Q1029" s="27">
        <f t="shared" si="48"/>
        <v>1.4495370851363987E-4</v>
      </c>
      <c r="R1029" s="65">
        <f t="shared" ref="R1029:R1092" si="50">MIN(P1029-P1028, P1029-AF1029)</f>
        <v>4.1168981260852888E-4</v>
      </c>
      <c r="S1029" s="2">
        <v>0</v>
      </c>
      <c r="T1029" s="2" t="s">
        <v>124</v>
      </c>
      <c r="U1029" s="2" t="s">
        <v>125</v>
      </c>
      <c r="V1029" s="2" t="s">
        <v>38</v>
      </c>
      <c r="W1029" s="2" t="s">
        <v>35</v>
      </c>
      <c r="X1029" s="2" t="s">
        <v>35</v>
      </c>
      <c r="Y1029" s="2" t="s">
        <v>35</v>
      </c>
      <c r="Z1029" s="2" t="b">
        <v>0</v>
      </c>
      <c r="AA1029" s="2" t="s">
        <v>35</v>
      </c>
      <c r="AB1029" s="2">
        <v>4</v>
      </c>
      <c r="AC1029" s="2" t="s">
        <v>35</v>
      </c>
      <c r="AD1029" s="2" t="s">
        <v>35</v>
      </c>
      <c r="AE1029" s="2" t="s">
        <v>3248</v>
      </c>
      <c r="AF1029" s="11">
        <v>44764.361111053244</v>
      </c>
      <c r="AG1029" s="53"/>
      <c r="AH1029" s="53" t="b">
        <f t="shared" si="49"/>
        <v>0</v>
      </c>
      <c r="AI1029" s="54" t="str" cm="1">
        <f t="array" ref="AI1029">TRANSPOSE(_xlfn._xlws.FILTER(images!L:L,images!F:F=Barrierenmessung!A1029, ""))</f>
        <v>https://captureandgo.cloudlab.zhaw.ch/uploads/image_c9347e28a4.jpg</v>
      </c>
      <c r="AJ1029" s="2"/>
      <c r="AK1029" s="2"/>
      <c r="AL1029" s="2"/>
      <c r="AM1029" s="2"/>
      <c r="AN1029" s="2"/>
    </row>
    <row r="1030" spans="1:40" ht="16" x14ac:dyDescent="0.2">
      <c r="A1030" s="2" t="s">
        <v>3314</v>
      </c>
      <c r="B1030" s="46">
        <v>1029</v>
      </c>
      <c r="C1030" s="2" t="b">
        <v>0</v>
      </c>
      <c r="D1030" s="2" t="b">
        <v>0</v>
      </c>
      <c r="E1030" s="2" t="b">
        <v>0</v>
      </c>
      <c r="F1030" s="2" t="b">
        <v>0</v>
      </c>
      <c r="G1030" s="2" t="s">
        <v>31</v>
      </c>
      <c r="H1030" s="2" t="s">
        <v>3315</v>
      </c>
      <c r="I1030" s="2" t="s">
        <v>3316</v>
      </c>
      <c r="J1030" s="2" t="s">
        <v>35</v>
      </c>
      <c r="K1030" s="2" t="s">
        <v>35</v>
      </c>
      <c r="L1030" s="2" t="s">
        <v>35</v>
      </c>
      <c r="M1030" s="2" t="s">
        <v>35</v>
      </c>
      <c r="N1030" s="2" t="s">
        <v>35</v>
      </c>
      <c r="O1030" s="11">
        <v>44764.383766666666</v>
      </c>
      <c r="P1030" s="11">
        <v>44764.383892951388</v>
      </c>
      <c r="Q1030" s="27">
        <f t="shared" si="48"/>
        <v>1.2628472177311778E-4</v>
      </c>
      <c r="R1030" s="65">
        <f t="shared" si="50"/>
        <v>1.290069441893138E-3</v>
      </c>
      <c r="S1030" s="2">
        <v>0</v>
      </c>
      <c r="T1030" s="2" t="s">
        <v>36</v>
      </c>
      <c r="U1030" s="2" t="s">
        <v>37</v>
      </c>
      <c r="V1030" s="2" t="s">
        <v>38</v>
      </c>
      <c r="W1030" s="2" t="s">
        <v>35</v>
      </c>
      <c r="X1030" s="2" t="s">
        <v>35</v>
      </c>
      <c r="Y1030" s="2" t="s">
        <v>35</v>
      </c>
      <c r="Z1030" s="2" t="b">
        <v>0</v>
      </c>
      <c r="AA1030" s="2" t="s">
        <v>35</v>
      </c>
      <c r="AB1030" s="2" t="s">
        <v>35</v>
      </c>
      <c r="AC1030" s="2" t="s">
        <v>35</v>
      </c>
      <c r="AD1030" s="2">
        <v>2</v>
      </c>
      <c r="AE1030" s="2" t="s">
        <v>3248</v>
      </c>
      <c r="AF1030" s="11">
        <v>44764.361111053244</v>
      </c>
      <c r="AG1030" s="53"/>
      <c r="AH1030" s="53" t="b">
        <f t="shared" si="49"/>
        <v>0</v>
      </c>
      <c r="AI1030" s="54" t="str" cm="1">
        <f t="array" ref="AI1030">TRANSPOSE(_xlfn._xlws.FILTER(images!L:L,images!F:F=Barrierenmessung!A1030, ""))</f>
        <v>https://captureandgo.cloudlab.zhaw.ch/uploads/image_074480ac91.jpg</v>
      </c>
      <c r="AJ1030" s="2"/>
      <c r="AK1030" s="2"/>
      <c r="AL1030" s="2"/>
      <c r="AM1030" s="2"/>
      <c r="AN1030" s="2"/>
    </row>
    <row r="1031" spans="1:40" ht="16" x14ac:dyDescent="0.2">
      <c r="A1031" s="2" t="s">
        <v>3317</v>
      </c>
      <c r="B1031" s="46">
        <v>1030</v>
      </c>
      <c r="C1031" s="2" t="b">
        <v>0</v>
      </c>
      <c r="D1031" s="2" t="b">
        <v>0</v>
      </c>
      <c r="E1031" s="2" t="b">
        <v>0</v>
      </c>
      <c r="F1031" s="2" t="b">
        <v>0</v>
      </c>
      <c r="G1031" s="2" t="s">
        <v>31</v>
      </c>
      <c r="H1031" s="2" t="s">
        <v>3318</v>
      </c>
      <c r="I1031" s="2" t="s">
        <v>3319</v>
      </c>
      <c r="J1031" s="2" t="s">
        <v>35</v>
      </c>
      <c r="K1031" s="2" t="s">
        <v>35</v>
      </c>
      <c r="L1031" s="2" t="s">
        <v>35</v>
      </c>
      <c r="M1031" s="2" t="s">
        <v>35</v>
      </c>
      <c r="N1031" s="2" t="s">
        <v>35</v>
      </c>
      <c r="O1031" s="11">
        <v>44764.385270868057</v>
      </c>
      <c r="P1031" s="11">
        <v>44764.385390937503</v>
      </c>
      <c r="Q1031" s="27">
        <f t="shared" si="48"/>
        <v>1.200694459839724E-4</v>
      </c>
      <c r="R1031" s="65">
        <f t="shared" si="50"/>
        <v>1.4979861152824014E-3</v>
      </c>
      <c r="S1031" s="2">
        <v>0</v>
      </c>
      <c r="T1031" s="2" t="s">
        <v>36</v>
      </c>
      <c r="U1031" s="2" t="s">
        <v>37</v>
      </c>
      <c r="V1031" s="2" t="s">
        <v>38</v>
      </c>
      <c r="W1031" s="2" t="s">
        <v>35</v>
      </c>
      <c r="X1031" s="2" t="s">
        <v>35</v>
      </c>
      <c r="Y1031" s="2" t="s">
        <v>35</v>
      </c>
      <c r="Z1031" s="2" t="b">
        <v>0</v>
      </c>
      <c r="AA1031" s="2" t="s">
        <v>35</v>
      </c>
      <c r="AB1031" s="2" t="s">
        <v>35</v>
      </c>
      <c r="AC1031" s="2" t="s">
        <v>35</v>
      </c>
      <c r="AD1031" s="2">
        <v>2</v>
      </c>
      <c r="AE1031" s="2" t="s">
        <v>3248</v>
      </c>
      <c r="AF1031" s="11">
        <v>44764.361111053244</v>
      </c>
      <c r="AG1031" s="53"/>
      <c r="AH1031" s="53" t="b">
        <f t="shared" si="49"/>
        <v>0</v>
      </c>
      <c r="AI1031" s="54" t="str" cm="1">
        <f t="array" ref="AI1031">TRANSPOSE(_xlfn._xlws.FILTER(images!L:L,images!F:F=Barrierenmessung!A1031, ""))</f>
        <v>https://captureandgo.cloudlab.zhaw.ch/uploads/image_ee55eab9ac.jpg</v>
      </c>
      <c r="AJ1031" s="2"/>
      <c r="AK1031" s="2"/>
      <c r="AL1031" s="2"/>
      <c r="AM1031" s="2"/>
      <c r="AN1031" s="2"/>
    </row>
    <row r="1032" spans="1:40" ht="16" x14ac:dyDescent="0.2">
      <c r="A1032" s="2" t="s">
        <v>3320</v>
      </c>
      <c r="B1032" s="46">
        <v>1031</v>
      </c>
      <c r="C1032" s="2" t="b">
        <v>0</v>
      </c>
      <c r="D1032" s="2" t="b">
        <v>0</v>
      </c>
      <c r="E1032" s="2" t="b">
        <v>0</v>
      </c>
      <c r="F1032" s="2" t="b">
        <v>0</v>
      </c>
      <c r="G1032" s="2" t="s">
        <v>31</v>
      </c>
      <c r="H1032" s="2" t="s">
        <v>3321</v>
      </c>
      <c r="I1032" s="2" t="s">
        <v>3322</v>
      </c>
      <c r="J1032" s="2" t="s">
        <v>35</v>
      </c>
      <c r="K1032" s="2" t="s">
        <v>35</v>
      </c>
      <c r="L1032" s="2" t="s">
        <v>35</v>
      </c>
      <c r="M1032" s="2" t="s">
        <v>35</v>
      </c>
      <c r="N1032" s="2" t="s">
        <v>35</v>
      </c>
      <c r="O1032" s="11">
        <v>44764.386228946758</v>
      </c>
      <c r="P1032" s="11">
        <v>44764.386332662034</v>
      </c>
      <c r="Q1032" s="27">
        <f t="shared" si="48"/>
        <v>1.0371527605457231E-4</v>
      </c>
      <c r="R1032" s="65">
        <f t="shared" si="50"/>
        <v>9.4172453100327402E-4</v>
      </c>
      <c r="S1032" s="2">
        <v>0</v>
      </c>
      <c r="T1032" s="2" t="s">
        <v>36</v>
      </c>
      <c r="U1032" s="2" t="s">
        <v>37</v>
      </c>
      <c r="V1032" s="2" t="s">
        <v>38</v>
      </c>
      <c r="W1032" s="2" t="s">
        <v>35</v>
      </c>
      <c r="X1032" s="2" t="s">
        <v>35</v>
      </c>
      <c r="Y1032" s="2" t="s">
        <v>35</v>
      </c>
      <c r="Z1032" s="2" t="b">
        <v>0</v>
      </c>
      <c r="AA1032" s="2" t="s">
        <v>35</v>
      </c>
      <c r="AB1032" s="2" t="s">
        <v>35</v>
      </c>
      <c r="AC1032" s="2" t="s">
        <v>35</v>
      </c>
      <c r="AD1032" s="2">
        <v>4</v>
      </c>
      <c r="AE1032" s="2" t="s">
        <v>3248</v>
      </c>
      <c r="AF1032" s="11">
        <v>44764.361111053244</v>
      </c>
      <c r="AG1032" s="53"/>
      <c r="AH1032" s="53" t="b">
        <f t="shared" si="49"/>
        <v>0</v>
      </c>
      <c r="AI1032" s="54" t="str" cm="1">
        <f t="array" ref="AI1032">TRANSPOSE(_xlfn._xlws.FILTER(images!L:L,images!F:F=Barrierenmessung!A1032, ""))</f>
        <v>https://captureandgo.cloudlab.zhaw.ch/uploads/image_0c657172c4.jpg</v>
      </c>
      <c r="AJ1032" s="2"/>
      <c r="AK1032" s="2"/>
      <c r="AL1032" s="2"/>
      <c r="AM1032" s="2"/>
      <c r="AN1032" s="2"/>
    </row>
    <row r="1033" spans="1:40" ht="16" x14ac:dyDescent="0.2">
      <c r="A1033" s="2" t="s">
        <v>3323</v>
      </c>
      <c r="B1033" s="46">
        <v>1032</v>
      </c>
      <c r="C1033" s="2" t="b">
        <v>0</v>
      </c>
      <c r="D1033" s="2" t="b">
        <v>0</v>
      </c>
      <c r="E1033" s="2" t="b">
        <v>0</v>
      </c>
      <c r="F1033" s="2" t="b">
        <v>0</v>
      </c>
      <c r="G1033" s="2" t="s">
        <v>31</v>
      </c>
      <c r="H1033" s="2" t="s">
        <v>3324</v>
      </c>
      <c r="I1033" s="2" t="s">
        <v>3325</v>
      </c>
      <c r="J1033" s="2" t="s">
        <v>35</v>
      </c>
      <c r="K1033" s="2" t="s">
        <v>35</v>
      </c>
      <c r="L1033" s="2" t="s">
        <v>35</v>
      </c>
      <c r="M1033" s="2">
        <v>28</v>
      </c>
      <c r="N1033" s="2">
        <v>16</v>
      </c>
      <c r="O1033" s="11">
        <v>44764.388185995369</v>
      </c>
      <c r="P1033" s="11">
        <v>44764.388847893519</v>
      </c>
      <c r="Q1033" s="27">
        <f t="shared" si="48"/>
        <v>6.6189814970130101E-4</v>
      </c>
      <c r="R1033" s="65">
        <f t="shared" si="50"/>
        <v>2.5152314847218804E-3</v>
      </c>
      <c r="S1033" s="2">
        <v>0</v>
      </c>
      <c r="T1033" s="2" t="s">
        <v>54</v>
      </c>
      <c r="U1033" s="2" t="s">
        <v>55</v>
      </c>
      <c r="V1033" s="2" t="s">
        <v>38</v>
      </c>
      <c r="W1033" s="2" t="s">
        <v>35</v>
      </c>
      <c r="X1033" s="2" t="s">
        <v>35</v>
      </c>
      <c r="Y1033" s="2" t="s">
        <v>35</v>
      </c>
      <c r="Z1033" s="2" t="b">
        <v>0</v>
      </c>
      <c r="AA1033" s="2" t="s">
        <v>35</v>
      </c>
      <c r="AB1033" s="2" t="s">
        <v>35</v>
      </c>
      <c r="AC1033" s="2" t="s">
        <v>35</v>
      </c>
      <c r="AD1033" s="2" t="s">
        <v>35</v>
      </c>
      <c r="AE1033" s="2" t="s">
        <v>3248</v>
      </c>
      <c r="AF1033" s="11">
        <v>44764.361111053244</v>
      </c>
      <c r="AG1033" s="53"/>
      <c r="AH1033" s="53" t="b">
        <f t="shared" si="49"/>
        <v>0</v>
      </c>
      <c r="AI1033" s="54" t="str" cm="1">
        <f t="array" ref="AI1033">TRANSPOSE(_xlfn._xlws.FILTER(images!L:L,images!F:F=Barrierenmessung!A1033, ""))</f>
        <v>https://captureandgo.cloudlab.zhaw.ch/uploads/image_037885e4cd.jpg</v>
      </c>
      <c r="AJ1033" s="2"/>
      <c r="AK1033" s="2"/>
      <c r="AL1033" s="2"/>
      <c r="AM1033" s="2"/>
      <c r="AN1033" s="2"/>
    </row>
    <row r="1034" spans="1:40" ht="16" x14ac:dyDescent="0.2">
      <c r="A1034" s="2" t="s">
        <v>3326</v>
      </c>
      <c r="B1034" s="46">
        <v>1033</v>
      </c>
      <c r="C1034" s="2" t="b">
        <v>0</v>
      </c>
      <c r="D1034" s="2" t="b">
        <v>0</v>
      </c>
      <c r="E1034" s="2" t="b">
        <v>0</v>
      </c>
      <c r="F1034" s="2" t="b">
        <v>0</v>
      </c>
      <c r="G1034" s="2" t="s">
        <v>31</v>
      </c>
      <c r="H1034" s="2" t="s">
        <v>3327</v>
      </c>
      <c r="I1034" s="2" t="s">
        <v>3328</v>
      </c>
      <c r="J1034" s="2" t="s">
        <v>675</v>
      </c>
      <c r="K1034" s="2" t="s">
        <v>35</v>
      </c>
      <c r="L1034" s="2" t="s">
        <v>35</v>
      </c>
      <c r="M1034" s="2" t="s">
        <v>35</v>
      </c>
      <c r="N1034" s="2" t="s">
        <v>35</v>
      </c>
      <c r="O1034" s="11">
        <v>44764.389395694445</v>
      </c>
      <c r="P1034" s="11">
        <v>44764.38961766204</v>
      </c>
      <c r="Q1034" s="27">
        <f t="shared" si="48"/>
        <v>2.2196759528014809E-4</v>
      </c>
      <c r="R1034" s="65">
        <f t="shared" si="50"/>
        <v>7.6976852142252028E-4</v>
      </c>
      <c r="S1034" s="2">
        <v>0</v>
      </c>
      <c r="T1034" s="2" t="s">
        <v>124</v>
      </c>
      <c r="U1034" s="2" t="s">
        <v>125</v>
      </c>
      <c r="V1034" s="2" t="s">
        <v>38</v>
      </c>
      <c r="W1034" s="2" t="s">
        <v>35</v>
      </c>
      <c r="X1034" s="2" t="s">
        <v>35</v>
      </c>
      <c r="Y1034" s="2" t="s">
        <v>35</v>
      </c>
      <c r="Z1034" s="2" t="b">
        <v>0</v>
      </c>
      <c r="AA1034" s="2" t="s">
        <v>35</v>
      </c>
      <c r="AB1034" s="2">
        <v>4</v>
      </c>
      <c r="AC1034" s="2" t="s">
        <v>35</v>
      </c>
      <c r="AD1034" s="2" t="s">
        <v>35</v>
      </c>
      <c r="AE1034" s="2" t="s">
        <v>3248</v>
      </c>
      <c r="AF1034" s="11">
        <v>44764.361111053244</v>
      </c>
      <c r="AG1034" s="53"/>
      <c r="AH1034" s="53" t="b">
        <f t="shared" si="49"/>
        <v>0</v>
      </c>
      <c r="AI1034" s="54" t="str" cm="1">
        <f t="array" ref="AI1034">TRANSPOSE(_xlfn._xlws.FILTER(images!L:L,images!F:F=Barrierenmessung!A1034, ""))</f>
        <v>https://captureandgo.cloudlab.zhaw.ch/uploads/image_bba11e7e68.jpg</v>
      </c>
      <c r="AJ1034" s="2"/>
      <c r="AK1034" s="2"/>
      <c r="AL1034" s="2"/>
      <c r="AM1034" s="2"/>
      <c r="AN1034" s="2"/>
    </row>
    <row r="1035" spans="1:40" ht="16" x14ac:dyDescent="0.2">
      <c r="A1035" s="2" t="s">
        <v>3329</v>
      </c>
      <c r="B1035" s="46">
        <v>1034</v>
      </c>
      <c r="C1035" s="2" t="b">
        <v>0</v>
      </c>
      <c r="D1035" s="2" t="b">
        <v>0</v>
      </c>
      <c r="E1035" s="2" t="b">
        <v>0</v>
      </c>
      <c r="F1035" s="2" t="b">
        <v>0</v>
      </c>
      <c r="G1035" s="2" t="s">
        <v>31</v>
      </c>
      <c r="H1035" s="2" t="s">
        <v>3330</v>
      </c>
      <c r="I1035" s="2" t="s">
        <v>3331</v>
      </c>
      <c r="J1035" s="2" t="s">
        <v>675</v>
      </c>
      <c r="K1035" s="2" t="s">
        <v>35</v>
      </c>
      <c r="L1035" s="2" t="s">
        <v>35</v>
      </c>
      <c r="M1035" s="2" t="s">
        <v>35</v>
      </c>
      <c r="N1035" s="2" t="s">
        <v>35</v>
      </c>
      <c r="O1035" s="11">
        <v>44764.391007673614</v>
      </c>
      <c r="P1035" s="11">
        <v>44764.391174432873</v>
      </c>
      <c r="Q1035" s="27">
        <f t="shared" si="48"/>
        <v>1.6675925871822983E-4</v>
      </c>
      <c r="R1035" s="65">
        <f t="shared" si="50"/>
        <v>1.5567708323942497E-3</v>
      </c>
      <c r="S1035" s="2">
        <v>0</v>
      </c>
      <c r="T1035" s="2" t="s">
        <v>124</v>
      </c>
      <c r="U1035" s="2" t="s">
        <v>125</v>
      </c>
      <c r="V1035" s="2" t="s">
        <v>38</v>
      </c>
      <c r="W1035" s="2" t="s">
        <v>35</v>
      </c>
      <c r="X1035" s="2" t="s">
        <v>35</v>
      </c>
      <c r="Y1035" s="2" t="s">
        <v>35</v>
      </c>
      <c r="Z1035" s="2" t="b">
        <v>0</v>
      </c>
      <c r="AA1035" s="2" t="s">
        <v>35</v>
      </c>
      <c r="AB1035" s="2">
        <v>4</v>
      </c>
      <c r="AC1035" s="2" t="s">
        <v>35</v>
      </c>
      <c r="AD1035" s="2" t="s">
        <v>35</v>
      </c>
      <c r="AE1035" s="2" t="s">
        <v>3248</v>
      </c>
      <c r="AF1035" s="11">
        <v>44764.361111053244</v>
      </c>
      <c r="AG1035" s="53"/>
      <c r="AH1035" s="53" t="b">
        <f t="shared" si="49"/>
        <v>0</v>
      </c>
      <c r="AI1035" s="54" t="str" cm="1">
        <f t="array" ref="AI1035">TRANSPOSE(_xlfn._xlws.FILTER(images!L:L,images!F:F=Barrierenmessung!A1035, ""))</f>
        <v>https://captureandgo.cloudlab.zhaw.ch/uploads/image_e5444dd301.jpg</v>
      </c>
      <c r="AJ1035" s="2"/>
      <c r="AK1035" s="2"/>
      <c r="AL1035" s="2"/>
      <c r="AM1035" s="2"/>
      <c r="AN1035" s="2"/>
    </row>
    <row r="1036" spans="1:40" ht="16" x14ac:dyDescent="0.2">
      <c r="A1036" s="2" t="s">
        <v>3332</v>
      </c>
      <c r="B1036" s="46">
        <v>1035</v>
      </c>
      <c r="C1036" s="2" t="b">
        <v>0</v>
      </c>
      <c r="D1036" s="2" t="b">
        <v>0</v>
      </c>
      <c r="E1036" s="2" t="b">
        <v>0</v>
      </c>
      <c r="F1036" s="2" t="b">
        <v>0</v>
      </c>
      <c r="G1036" s="2" t="s">
        <v>31</v>
      </c>
      <c r="H1036" s="2" t="s">
        <v>3333</v>
      </c>
      <c r="I1036" s="2" t="s">
        <v>3334</v>
      </c>
      <c r="J1036" s="2" t="s">
        <v>675</v>
      </c>
      <c r="K1036" s="2" t="s">
        <v>35</v>
      </c>
      <c r="L1036" s="2" t="s">
        <v>35</v>
      </c>
      <c r="M1036" s="2" t="s">
        <v>35</v>
      </c>
      <c r="N1036" s="2" t="s">
        <v>35</v>
      </c>
      <c r="O1036" s="11">
        <v>44764.392402314814</v>
      </c>
      <c r="P1036" s="11">
        <v>44764.392574884259</v>
      </c>
      <c r="Q1036" s="27">
        <f t="shared" si="48"/>
        <v>1.7256944556720555E-4</v>
      </c>
      <c r="R1036" s="65">
        <f t="shared" si="50"/>
        <v>1.400451386871282E-3</v>
      </c>
      <c r="S1036" s="2">
        <v>0</v>
      </c>
      <c r="T1036" s="2" t="s">
        <v>124</v>
      </c>
      <c r="U1036" s="2" t="s">
        <v>125</v>
      </c>
      <c r="V1036" s="2" t="s">
        <v>38</v>
      </c>
      <c r="W1036" s="2" t="s">
        <v>35</v>
      </c>
      <c r="X1036" s="2" t="s">
        <v>35</v>
      </c>
      <c r="Y1036" s="2" t="s">
        <v>35</v>
      </c>
      <c r="Z1036" s="2" t="b">
        <v>0</v>
      </c>
      <c r="AA1036" s="2" t="s">
        <v>35</v>
      </c>
      <c r="AB1036" s="2">
        <v>4</v>
      </c>
      <c r="AC1036" s="2" t="s">
        <v>35</v>
      </c>
      <c r="AD1036" s="2" t="s">
        <v>35</v>
      </c>
      <c r="AE1036" s="2" t="s">
        <v>3248</v>
      </c>
      <c r="AF1036" s="11">
        <v>44764.361111053244</v>
      </c>
      <c r="AG1036" s="53"/>
      <c r="AH1036" s="53" t="b">
        <f t="shared" si="49"/>
        <v>0</v>
      </c>
      <c r="AI1036" s="54" t="str" cm="1">
        <f t="array" ref="AI1036">TRANSPOSE(_xlfn._xlws.FILTER(images!L:L,images!F:F=Barrierenmessung!A1036, ""))</f>
        <v>https://captureandgo.cloudlab.zhaw.ch/uploads/image_b551ae7379.jpg</v>
      </c>
      <c r="AJ1036" s="2"/>
      <c r="AK1036" s="2"/>
      <c r="AL1036" s="2"/>
      <c r="AM1036" s="2"/>
      <c r="AN1036" s="2"/>
    </row>
    <row r="1037" spans="1:40" ht="16" x14ac:dyDescent="0.2">
      <c r="A1037" s="2" t="s">
        <v>3335</v>
      </c>
      <c r="B1037" s="46">
        <v>1036</v>
      </c>
      <c r="C1037" s="2" t="b">
        <v>0</v>
      </c>
      <c r="D1037" s="2" t="b">
        <v>0</v>
      </c>
      <c r="E1037" s="2" t="b">
        <v>0</v>
      </c>
      <c r="F1037" s="2" t="b">
        <v>0</v>
      </c>
      <c r="G1037" s="2" t="s">
        <v>31</v>
      </c>
      <c r="H1037" s="2" t="s">
        <v>3336</v>
      </c>
      <c r="I1037" s="2" t="s">
        <v>3337</v>
      </c>
      <c r="J1037" s="2" t="s">
        <v>675</v>
      </c>
      <c r="K1037" s="2" t="s">
        <v>35</v>
      </c>
      <c r="L1037" s="2" t="s">
        <v>35</v>
      </c>
      <c r="M1037" s="2" t="s">
        <v>35</v>
      </c>
      <c r="N1037" s="2" t="s">
        <v>35</v>
      </c>
      <c r="O1037" s="11">
        <v>44764.392907175927</v>
      </c>
      <c r="P1037" s="11">
        <v>44764.393426527779</v>
      </c>
      <c r="Q1037" s="27">
        <f t="shared" si="48"/>
        <v>5.1935185183538124E-4</v>
      </c>
      <c r="R1037" s="65">
        <f t="shared" si="50"/>
        <v>8.5164351912681013E-4</v>
      </c>
      <c r="S1037" s="2">
        <v>0</v>
      </c>
      <c r="T1037" s="2" t="s">
        <v>124</v>
      </c>
      <c r="U1037" s="2" t="s">
        <v>125</v>
      </c>
      <c r="V1037" s="2" t="s">
        <v>38</v>
      </c>
      <c r="W1037" s="2" t="s">
        <v>35</v>
      </c>
      <c r="X1037" s="2" t="s">
        <v>35</v>
      </c>
      <c r="Y1037" s="2" t="s">
        <v>35</v>
      </c>
      <c r="Z1037" s="2" t="b">
        <v>0</v>
      </c>
      <c r="AA1037" s="2" t="s">
        <v>35</v>
      </c>
      <c r="AB1037" s="2">
        <v>4</v>
      </c>
      <c r="AC1037" s="2" t="s">
        <v>35</v>
      </c>
      <c r="AD1037" s="2" t="s">
        <v>35</v>
      </c>
      <c r="AE1037" s="2" t="s">
        <v>3248</v>
      </c>
      <c r="AF1037" s="11">
        <v>44764.361111053244</v>
      </c>
      <c r="AG1037" s="53"/>
      <c r="AH1037" s="53" t="b">
        <f t="shared" si="49"/>
        <v>0</v>
      </c>
      <c r="AI1037" s="54" t="str" cm="1">
        <f t="array" ref="AI1037">TRANSPOSE(_xlfn._xlws.FILTER(images!L:L,images!F:F=Barrierenmessung!A1037, ""))</f>
        <v>https://captureandgo.cloudlab.zhaw.ch/uploads/image_b09dfb45d2.jpg</v>
      </c>
      <c r="AJ1037" s="2"/>
      <c r="AK1037" s="2"/>
      <c r="AL1037" s="2"/>
      <c r="AM1037" s="2"/>
      <c r="AN1037" s="2"/>
    </row>
    <row r="1038" spans="1:40" ht="16" x14ac:dyDescent="0.2">
      <c r="A1038" s="2" t="s">
        <v>3338</v>
      </c>
      <c r="B1038" s="46">
        <v>1037</v>
      </c>
      <c r="C1038" s="2" t="b">
        <v>0</v>
      </c>
      <c r="D1038" s="2" t="b">
        <v>0</v>
      </c>
      <c r="E1038" s="2" t="b">
        <v>0</v>
      </c>
      <c r="F1038" s="2" t="b">
        <v>0</v>
      </c>
      <c r="G1038" s="2" t="s">
        <v>31</v>
      </c>
      <c r="H1038" s="2" t="s">
        <v>3339</v>
      </c>
      <c r="I1038" s="2" t="s">
        <v>3340</v>
      </c>
      <c r="J1038" s="2" t="s">
        <v>35</v>
      </c>
      <c r="K1038" s="2" t="s">
        <v>35</v>
      </c>
      <c r="L1038" s="2">
        <v>15</v>
      </c>
      <c r="M1038" s="2" t="s">
        <v>35</v>
      </c>
      <c r="N1038" s="2" t="s">
        <v>35</v>
      </c>
      <c r="O1038" s="11">
        <v>44764.393488368056</v>
      </c>
      <c r="P1038" s="11">
        <v>44764.39385197917</v>
      </c>
      <c r="Q1038" s="27">
        <f t="shared" si="48"/>
        <v>3.6361111415317282E-4</v>
      </c>
      <c r="R1038" s="65">
        <f t="shared" si="50"/>
        <v>4.2545139149297029E-4</v>
      </c>
      <c r="S1038" s="2">
        <v>0</v>
      </c>
      <c r="T1038" s="2" t="s">
        <v>265</v>
      </c>
      <c r="U1038" s="2" t="s">
        <v>266</v>
      </c>
      <c r="V1038" s="2" t="s">
        <v>38</v>
      </c>
      <c r="W1038" s="2" t="s">
        <v>35</v>
      </c>
      <c r="X1038" s="2" t="s">
        <v>35</v>
      </c>
      <c r="Y1038" s="2" t="s">
        <v>35</v>
      </c>
      <c r="Z1038" s="2" t="b">
        <v>0</v>
      </c>
      <c r="AA1038" s="2" t="s">
        <v>35</v>
      </c>
      <c r="AB1038" s="2" t="s">
        <v>35</v>
      </c>
      <c r="AC1038" s="2" t="s">
        <v>35</v>
      </c>
      <c r="AD1038" s="2" t="s">
        <v>35</v>
      </c>
      <c r="AE1038" s="2" t="s">
        <v>3248</v>
      </c>
      <c r="AF1038" s="11">
        <v>44764.361111053244</v>
      </c>
      <c r="AG1038" s="53"/>
      <c r="AH1038" s="53" t="b">
        <f t="shared" si="49"/>
        <v>0</v>
      </c>
      <c r="AI1038" s="54" t="str" cm="1">
        <f t="array" ref="AI1038">TRANSPOSE(_xlfn._xlws.FILTER(images!L:L,images!F:F=Barrierenmessung!A1038, ""))</f>
        <v>https://captureandgo.cloudlab.zhaw.ch/uploads/image_cc9d5f7141.jpg</v>
      </c>
      <c r="AJ1038" s="2"/>
      <c r="AK1038" s="2"/>
      <c r="AL1038" s="2"/>
      <c r="AM1038" s="2"/>
      <c r="AN1038" s="2"/>
    </row>
    <row r="1039" spans="1:40" ht="16" x14ac:dyDescent="0.2">
      <c r="A1039" s="2" t="s">
        <v>3341</v>
      </c>
      <c r="B1039" s="46">
        <v>1038</v>
      </c>
      <c r="C1039" s="2" t="b">
        <v>0</v>
      </c>
      <c r="D1039" s="2" t="b">
        <v>0</v>
      </c>
      <c r="E1039" s="2" t="b">
        <v>0</v>
      </c>
      <c r="F1039" s="2" t="b">
        <v>0</v>
      </c>
      <c r="G1039" s="2" t="s">
        <v>31</v>
      </c>
      <c r="H1039" s="2" t="s">
        <v>3342</v>
      </c>
      <c r="I1039" s="2" t="s">
        <v>3343</v>
      </c>
      <c r="J1039" s="2" t="s">
        <v>35</v>
      </c>
      <c r="K1039" s="2" t="s">
        <v>35</v>
      </c>
      <c r="L1039" s="2">
        <v>15</v>
      </c>
      <c r="M1039" s="2" t="s">
        <v>35</v>
      </c>
      <c r="N1039" s="2" t="s">
        <v>35</v>
      </c>
      <c r="O1039" s="11">
        <v>44764.394013923615</v>
      </c>
      <c r="P1039" s="11">
        <v>44764.394560335648</v>
      </c>
      <c r="Q1039" s="27">
        <f t="shared" si="48"/>
        <v>5.4641203314531595E-4</v>
      </c>
      <c r="R1039" s="65">
        <f t="shared" si="50"/>
        <v>7.0835647784406319E-4</v>
      </c>
      <c r="S1039" s="2">
        <v>0</v>
      </c>
      <c r="T1039" s="2" t="s">
        <v>265</v>
      </c>
      <c r="U1039" s="2" t="s">
        <v>266</v>
      </c>
      <c r="V1039" s="2" t="s">
        <v>38</v>
      </c>
      <c r="W1039" s="2" t="s">
        <v>35</v>
      </c>
      <c r="X1039" s="2" t="s">
        <v>35</v>
      </c>
      <c r="Y1039" s="2" t="s">
        <v>35</v>
      </c>
      <c r="Z1039" s="2" t="b">
        <v>0</v>
      </c>
      <c r="AA1039" s="2" t="s">
        <v>35</v>
      </c>
      <c r="AB1039" s="2" t="s">
        <v>35</v>
      </c>
      <c r="AC1039" s="2" t="s">
        <v>35</v>
      </c>
      <c r="AD1039" s="2" t="s">
        <v>35</v>
      </c>
      <c r="AE1039" s="2" t="s">
        <v>3248</v>
      </c>
      <c r="AF1039" s="11">
        <v>44764.361111053244</v>
      </c>
      <c r="AG1039" s="53"/>
      <c r="AH1039" s="53" t="b">
        <f t="shared" si="49"/>
        <v>0</v>
      </c>
      <c r="AI1039" s="54" t="str" cm="1">
        <f t="array" ref="AI1039">TRANSPOSE(_xlfn._xlws.FILTER(images!L:L,images!F:F=Barrierenmessung!A1039, ""))</f>
        <v>https://captureandgo.cloudlab.zhaw.ch/uploads/image_b7b97e1462.jpg</v>
      </c>
      <c r="AJ1039" s="2"/>
      <c r="AK1039" s="2"/>
      <c r="AL1039" s="2"/>
      <c r="AM1039" s="2"/>
      <c r="AN1039" s="2"/>
    </row>
    <row r="1040" spans="1:40" ht="16" x14ac:dyDescent="0.2">
      <c r="A1040" s="2" t="s">
        <v>3344</v>
      </c>
      <c r="B1040" s="46">
        <v>1039</v>
      </c>
      <c r="C1040" s="2" t="b">
        <v>0</v>
      </c>
      <c r="D1040" s="2" t="b">
        <v>0</v>
      </c>
      <c r="E1040" s="2" t="b">
        <v>0</v>
      </c>
      <c r="F1040" s="2" t="b">
        <v>0</v>
      </c>
      <c r="G1040" s="2" t="s">
        <v>31</v>
      </c>
      <c r="H1040" s="2" t="s">
        <v>3345</v>
      </c>
      <c r="I1040" s="2" t="s">
        <v>3346</v>
      </c>
      <c r="J1040" s="2" t="s">
        <v>675</v>
      </c>
      <c r="K1040" s="2" t="s">
        <v>35</v>
      </c>
      <c r="L1040" s="2" t="s">
        <v>35</v>
      </c>
      <c r="M1040" s="2" t="s">
        <v>35</v>
      </c>
      <c r="N1040" s="2" t="s">
        <v>35</v>
      </c>
      <c r="O1040" s="11">
        <v>44764.395027997685</v>
      </c>
      <c r="P1040" s="11">
        <v>44764.395244884261</v>
      </c>
      <c r="Q1040" s="27">
        <f t="shared" si="48"/>
        <v>2.1688657579943538E-4</v>
      </c>
      <c r="R1040" s="65">
        <f t="shared" si="50"/>
        <v>6.8454861320788041E-4</v>
      </c>
      <c r="S1040" s="2">
        <v>0</v>
      </c>
      <c r="T1040" s="2" t="s">
        <v>124</v>
      </c>
      <c r="U1040" s="2" t="s">
        <v>125</v>
      </c>
      <c r="V1040" s="2" t="s">
        <v>38</v>
      </c>
      <c r="W1040" s="2" t="s">
        <v>35</v>
      </c>
      <c r="X1040" s="2" t="s">
        <v>35</v>
      </c>
      <c r="Y1040" s="2" t="s">
        <v>35</v>
      </c>
      <c r="Z1040" s="2" t="b">
        <v>0</v>
      </c>
      <c r="AA1040" s="2" t="s">
        <v>35</v>
      </c>
      <c r="AB1040" s="2">
        <v>4</v>
      </c>
      <c r="AC1040" s="2" t="s">
        <v>35</v>
      </c>
      <c r="AD1040" s="2" t="s">
        <v>35</v>
      </c>
      <c r="AE1040" s="2" t="s">
        <v>3248</v>
      </c>
      <c r="AF1040" s="11">
        <v>44764.361111053244</v>
      </c>
      <c r="AG1040" s="53"/>
      <c r="AH1040" s="53" t="b">
        <f t="shared" si="49"/>
        <v>0</v>
      </c>
      <c r="AI1040" s="54" t="str" cm="1">
        <f t="array" ref="AI1040">TRANSPOSE(_xlfn._xlws.FILTER(images!L:L,images!F:F=Barrierenmessung!A1040, ""))</f>
        <v>https://captureandgo.cloudlab.zhaw.ch/uploads/image_7285811e7e.jpg</v>
      </c>
      <c r="AJ1040" s="2"/>
      <c r="AK1040" s="2"/>
      <c r="AL1040" s="2"/>
      <c r="AM1040" s="2"/>
      <c r="AN1040" s="2"/>
    </row>
    <row r="1041" spans="1:40" ht="16" x14ac:dyDescent="0.2">
      <c r="A1041" s="68" t="s">
        <v>3347</v>
      </c>
      <c r="B1041" s="68">
        <v>1040</v>
      </c>
      <c r="C1041" s="68" t="b">
        <v>0</v>
      </c>
      <c r="D1041" s="68" t="b">
        <v>0</v>
      </c>
      <c r="E1041" s="68" t="b">
        <v>0</v>
      </c>
      <c r="F1041" s="68" t="b">
        <v>0</v>
      </c>
      <c r="G1041" s="68" t="s">
        <v>31</v>
      </c>
      <c r="H1041" s="68" t="s">
        <v>149</v>
      </c>
      <c r="I1041" s="68" t="s">
        <v>3348</v>
      </c>
      <c r="J1041" s="68" t="s">
        <v>675</v>
      </c>
      <c r="K1041" s="68" t="s">
        <v>35</v>
      </c>
      <c r="L1041" s="68" t="s">
        <v>35</v>
      </c>
      <c r="M1041" s="68" t="s">
        <v>35</v>
      </c>
      <c r="N1041" s="68" t="s">
        <v>35</v>
      </c>
      <c r="O1041" s="69">
        <v>44764.395299780095</v>
      </c>
      <c r="P1041" s="69">
        <v>44764.395482164349</v>
      </c>
      <c r="Q1041" s="70">
        <f t="shared" si="48"/>
        <v>1.823842540034093E-4</v>
      </c>
      <c r="R1041" s="70">
        <f t="shared" si="50"/>
        <v>2.3728008818579838E-4</v>
      </c>
      <c r="S1041" s="68">
        <v>0</v>
      </c>
      <c r="T1041" s="68" t="s">
        <v>124</v>
      </c>
      <c r="U1041" s="68" t="s">
        <v>125</v>
      </c>
      <c r="V1041" s="68" t="s">
        <v>38</v>
      </c>
      <c r="W1041" s="68" t="s">
        <v>35</v>
      </c>
      <c r="X1041" s="68" t="s">
        <v>35</v>
      </c>
      <c r="Y1041" s="68" t="s">
        <v>35</v>
      </c>
      <c r="Z1041" s="68" t="b">
        <v>0</v>
      </c>
      <c r="AA1041" s="68" t="s">
        <v>35</v>
      </c>
      <c r="AB1041" s="68">
        <v>4</v>
      </c>
      <c r="AC1041" s="68" t="s">
        <v>35</v>
      </c>
      <c r="AD1041" s="68" t="s">
        <v>35</v>
      </c>
      <c r="AE1041" s="68" t="s">
        <v>3248</v>
      </c>
      <c r="AF1041" s="69">
        <v>44764.361111053244</v>
      </c>
      <c r="AG1041" s="71"/>
      <c r="AH1041" s="71" t="b">
        <f t="shared" si="49"/>
        <v>0</v>
      </c>
      <c r="AI1041" s="56" t="str" cm="1">
        <f t="array" ref="AI1041">TRANSPOSE(_xlfn._xlws.FILTER(images!L:L,images!F:F=Barrierenmessung!A1041, ""))</f>
        <v/>
      </c>
      <c r="AJ1041" s="68"/>
      <c r="AK1041" s="68"/>
      <c r="AL1041" s="68"/>
      <c r="AM1041" s="68"/>
      <c r="AN1041" s="68"/>
    </row>
    <row r="1042" spans="1:40" ht="16" x14ac:dyDescent="0.2">
      <c r="A1042" s="2" t="s">
        <v>3349</v>
      </c>
      <c r="B1042" s="46">
        <v>1041</v>
      </c>
      <c r="C1042" s="2" t="b">
        <v>0</v>
      </c>
      <c r="D1042" s="2" t="b">
        <v>0</v>
      </c>
      <c r="E1042" s="2" t="b">
        <v>0</v>
      </c>
      <c r="F1042" s="2" t="b">
        <v>0</v>
      </c>
      <c r="G1042" s="2" t="s">
        <v>31</v>
      </c>
      <c r="H1042" s="2" t="s">
        <v>3350</v>
      </c>
      <c r="I1042" s="2" t="s">
        <v>3351</v>
      </c>
      <c r="J1042" s="2" t="s">
        <v>35</v>
      </c>
      <c r="K1042" s="2" t="s">
        <v>35</v>
      </c>
      <c r="L1042" s="2" t="s">
        <v>35</v>
      </c>
      <c r="M1042" s="2" t="s">
        <v>35</v>
      </c>
      <c r="N1042" s="2" t="s">
        <v>35</v>
      </c>
      <c r="O1042" s="11">
        <v>44764.398022893518</v>
      </c>
      <c r="P1042" s="11">
        <v>44764.398212627311</v>
      </c>
      <c r="Q1042" s="27">
        <f t="shared" si="48"/>
        <v>1.8973379337694496E-4</v>
      </c>
      <c r="R1042" s="65">
        <f t="shared" si="50"/>
        <v>2.7304629620630294E-3</v>
      </c>
      <c r="S1042" s="2">
        <v>0</v>
      </c>
      <c r="T1042" s="2" t="s">
        <v>36</v>
      </c>
      <c r="U1042" s="2" t="s">
        <v>37</v>
      </c>
      <c r="V1042" s="2" t="s">
        <v>38</v>
      </c>
      <c r="W1042" s="2" t="s">
        <v>35</v>
      </c>
      <c r="X1042" s="2" t="s">
        <v>35</v>
      </c>
      <c r="Y1042" s="2" t="s">
        <v>35</v>
      </c>
      <c r="Z1042" s="2" t="b">
        <v>0</v>
      </c>
      <c r="AA1042" s="2" t="s">
        <v>35</v>
      </c>
      <c r="AB1042" s="2" t="s">
        <v>35</v>
      </c>
      <c r="AC1042" s="2" t="s">
        <v>35</v>
      </c>
      <c r="AD1042" s="2">
        <v>3</v>
      </c>
      <c r="AE1042" s="2" t="s">
        <v>3248</v>
      </c>
      <c r="AF1042" s="11">
        <v>44764.361111053244</v>
      </c>
      <c r="AG1042" s="53"/>
      <c r="AH1042" s="53" t="b">
        <f t="shared" si="49"/>
        <v>0</v>
      </c>
      <c r="AI1042" s="54" t="str" cm="1">
        <f t="array" ref="AI1042">TRANSPOSE(_xlfn._xlws.FILTER(images!L:L,images!F:F=Barrierenmessung!A1042, ""))</f>
        <v>https://captureandgo.cloudlab.zhaw.ch/uploads/image_221aeb2577.jpg</v>
      </c>
      <c r="AJ1042" s="2"/>
      <c r="AK1042" s="2"/>
      <c r="AL1042" s="2"/>
      <c r="AM1042" s="2"/>
      <c r="AN1042" s="2"/>
    </row>
    <row r="1043" spans="1:40" ht="16" x14ac:dyDescent="0.2">
      <c r="A1043" s="2" t="s">
        <v>3352</v>
      </c>
      <c r="B1043" s="46">
        <v>1042</v>
      </c>
      <c r="C1043" s="2" t="b">
        <v>0</v>
      </c>
      <c r="D1043" s="2" t="b">
        <v>0</v>
      </c>
      <c r="E1043" s="2" t="b">
        <v>0</v>
      </c>
      <c r="F1043" s="2" t="b">
        <v>0</v>
      </c>
      <c r="G1043" s="2" t="s">
        <v>31</v>
      </c>
      <c r="H1043" s="2" t="s">
        <v>3353</v>
      </c>
      <c r="I1043" s="2" t="s">
        <v>3354</v>
      </c>
      <c r="J1043" s="2" t="s">
        <v>675</v>
      </c>
      <c r="K1043" s="2" t="s">
        <v>35</v>
      </c>
      <c r="L1043" s="2" t="s">
        <v>35</v>
      </c>
      <c r="M1043" s="2" t="s">
        <v>35</v>
      </c>
      <c r="N1043" s="2" t="s">
        <v>35</v>
      </c>
      <c r="O1043" s="11">
        <v>44764.399158379631</v>
      </c>
      <c r="P1043" s="11">
        <v>44764.399338136573</v>
      </c>
      <c r="Q1043" s="27">
        <f t="shared" si="48"/>
        <v>1.7975694208871573E-4</v>
      </c>
      <c r="R1043" s="65">
        <f t="shared" si="50"/>
        <v>1.1255092613282613E-3</v>
      </c>
      <c r="S1043" s="2">
        <v>0</v>
      </c>
      <c r="T1043" s="2" t="s">
        <v>124</v>
      </c>
      <c r="U1043" s="2" t="s">
        <v>125</v>
      </c>
      <c r="V1043" s="2" t="s">
        <v>38</v>
      </c>
      <c r="W1043" s="2" t="s">
        <v>35</v>
      </c>
      <c r="X1043" s="2" t="s">
        <v>35</v>
      </c>
      <c r="Y1043" s="2" t="s">
        <v>35</v>
      </c>
      <c r="Z1043" s="2" t="b">
        <v>0</v>
      </c>
      <c r="AA1043" s="2" t="s">
        <v>35</v>
      </c>
      <c r="AB1043" s="2">
        <v>4</v>
      </c>
      <c r="AC1043" s="2" t="s">
        <v>35</v>
      </c>
      <c r="AD1043" s="2" t="s">
        <v>35</v>
      </c>
      <c r="AE1043" s="2" t="s">
        <v>3248</v>
      </c>
      <c r="AF1043" s="11">
        <v>44764.361111053244</v>
      </c>
      <c r="AG1043" s="53"/>
      <c r="AH1043" s="53" t="b">
        <f t="shared" si="49"/>
        <v>0</v>
      </c>
      <c r="AI1043" s="54" t="str" cm="1">
        <f t="array" ref="AI1043">TRANSPOSE(_xlfn._xlws.FILTER(images!L:L,images!F:F=Barrierenmessung!A1043, ""))</f>
        <v>https://captureandgo.cloudlab.zhaw.ch/uploads/image_62369c8ba8.jpg</v>
      </c>
      <c r="AJ1043" s="2"/>
      <c r="AK1043" s="2"/>
      <c r="AL1043" s="2"/>
      <c r="AM1043" s="2"/>
      <c r="AN1043" s="2"/>
    </row>
    <row r="1044" spans="1:40" ht="16" x14ac:dyDescent="0.2">
      <c r="A1044" s="2" t="s">
        <v>3355</v>
      </c>
      <c r="B1044" s="46">
        <v>1043</v>
      </c>
      <c r="C1044" s="2" t="b">
        <v>0</v>
      </c>
      <c r="D1044" s="2" t="b">
        <v>0</v>
      </c>
      <c r="E1044" s="2" t="b">
        <v>0</v>
      </c>
      <c r="F1044" s="2" t="b">
        <v>0</v>
      </c>
      <c r="G1044" s="2" t="s">
        <v>31</v>
      </c>
      <c r="H1044" s="2" t="s">
        <v>3356</v>
      </c>
      <c r="I1044" s="2" t="s">
        <v>3357</v>
      </c>
      <c r="J1044" s="2" t="s">
        <v>675</v>
      </c>
      <c r="K1044" s="2" t="s">
        <v>35</v>
      </c>
      <c r="L1044" s="2" t="s">
        <v>35</v>
      </c>
      <c r="M1044" s="2" t="s">
        <v>35</v>
      </c>
      <c r="N1044" s="2" t="s">
        <v>35</v>
      </c>
      <c r="O1044" s="11">
        <v>44764.40000775463</v>
      </c>
      <c r="P1044" s="11">
        <v>44764.400279814814</v>
      </c>
      <c r="Q1044" s="27">
        <f t="shared" si="48"/>
        <v>2.7206018421566114E-4</v>
      </c>
      <c r="R1044" s="65">
        <f t="shared" si="50"/>
        <v>9.4167824136093259E-4</v>
      </c>
      <c r="S1044" s="2">
        <v>0</v>
      </c>
      <c r="T1044" s="2" t="s">
        <v>124</v>
      </c>
      <c r="U1044" s="2" t="s">
        <v>125</v>
      </c>
      <c r="V1044" s="2" t="s">
        <v>38</v>
      </c>
      <c r="W1044" s="2" t="s">
        <v>35</v>
      </c>
      <c r="X1044" s="2" t="s">
        <v>35</v>
      </c>
      <c r="Y1044" s="2" t="s">
        <v>35</v>
      </c>
      <c r="Z1044" s="2" t="b">
        <v>0</v>
      </c>
      <c r="AA1044" s="2" t="s">
        <v>35</v>
      </c>
      <c r="AB1044" s="2">
        <v>4</v>
      </c>
      <c r="AC1044" s="2" t="s">
        <v>35</v>
      </c>
      <c r="AD1044" s="2" t="s">
        <v>35</v>
      </c>
      <c r="AE1044" s="2" t="s">
        <v>3248</v>
      </c>
      <c r="AF1044" s="11">
        <v>44764.361111053244</v>
      </c>
      <c r="AG1044" s="53"/>
      <c r="AH1044" s="53" t="b">
        <f t="shared" si="49"/>
        <v>0</v>
      </c>
      <c r="AI1044" s="54" t="str" cm="1">
        <f t="array" ref="AI1044">TRANSPOSE(_xlfn._xlws.FILTER(images!L:L,images!F:F=Barrierenmessung!A1044, ""))</f>
        <v>https://captureandgo.cloudlab.zhaw.ch/uploads/image_ee6cd84ec4.jpg</v>
      </c>
      <c r="AJ1044" s="2"/>
      <c r="AK1044" s="2"/>
      <c r="AL1044" s="2"/>
      <c r="AM1044" s="2"/>
      <c r="AN1044" s="2"/>
    </row>
    <row r="1045" spans="1:40" ht="16" x14ac:dyDescent="0.2">
      <c r="A1045" s="2" t="s">
        <v>3358</v>
      </c>
      <c r="B1045" s="46">
        <v>1044</v>
      </c>
      <c r="C1045" s="2" t="b">
        <v>0</v>
      </c>
      <c r="D1045" s="2" t="b">
        <v>0</v>
      </c>
      <c r="E1045" s="2" t="b">
        <v>0</v>
      </c>
      <c r="F1045" s="2" t="b">
        <v>0</v>
      </c>
      <c r="G1045" s="2" t="s">
        <v>31</v>
      </c>
      <c r="H1045" s="2" t="s">
        <v>3359</v>
      </c>
      <c r="I1045" s="2" t="s">
        <v>3360</v>
      </c>
      <c r="J1045" s="2" t="s">
        <v>3361</v>
      </c>
      <c r="K1045" s="2" t="s">
        <v>35</v>
      </c>
      <c r="L1045" s="2" t="s">
        <v>35</v>
      </c>
      <c r="M1045" s="2" t="s">
        <v>35</v>
      </c>
      <c r="N1045" s="2" t="s">
        <v>35</v>
      </c>
      <c r="O1045" s="11">
        <v>44764.401865196756</v>
      </c>
      <c r="P1045" s="11">
        <v>44764.402162337959</v>
      </c>
      <c r="Q1045" s="27">
        <f t="shared" si="48"/>
        <v>2.9714120319113135E-4</v>
      </c>
      <c r="R1045" s="65">
        <f t="shared" si="50"/>
        <v>1.8825231454684399E-3</v>
      </c>
      <c r="S1045" s="2">
        <v>0</v>
      </c>
      <c r="T1045" s="2" t="s">
        <v>416</v>
      </c>
      <c r="U1045" s="2" t="s">
        <v>417</v>
      </c>
      <c r="V1045" s="2" t="s">
        <v>38</v>
      </c>
      <c r="W1045" s="2" t="s">
        <v>35</v>
      </c>
      <c r="X1045" s="2">
        <v>0</v>
      </c>
      <c r="Y1045" s="2" t="s">
        <v>3362</v>
      </c>
      <c r="Z1045" s="2" t="b">
        <v>0</v>
      </c>
      <c r="AA1045" s="2" t="s">
        <v>35</v>
      </c>
      <c r="AB1045" s="2" t="s">
        <v>35</v>
      </c>
      <c r="AC1045" s="2" t="s">
        <v>35</v>
      </c>
      <c r="AD1045" s="2" t="s">
        <v>35</v>
      </c>
      <c r="AE1045" s="2" t="s">
        <v>3248</v>
      </c>
      <c r="AF1045" s="11">
        <v>44764.361111053244</v>
      </c>
      <c r="AG1045" s="53"/>
      <c r="AH1045" s="53" t="b">
        <f t="shared" si="49"/>
        <v>0</v>
      </c>
      <c r="AI1045" s="54" t="str" cm="1">
        <f t="array" ref="AI1045">TRANSPOSE(_xlfn._xlws.FILTER(images!L:L,images!F:F=Barrierenmessung!A1045, ""))</f>
        <v>https://captureandgo.cloudlab.zhaw.ch/uploads/image_c8f5e07595.jpg</v>
      </c>
      <c r="AJ1045" s="2"/>
      <c r="AK1045" s="2"/>
      <c r="AL1045" s="2"/>
      <c r="AM1045" s="2"/>
      <c r="AN1045" s="2"/>
    </row>
    <row r="1046" spans="1:40" ht="16" x14ac:dyDescent="0.2">
      <c r="A1046" s="31" t="s">
        <v>3363</v>
      </c>
      <c r="B1046" s="31">
        <v>1045</v>
      </c>
      <c r="C1046" s="31" t="b">
        <v>0</v>
      </c>
      <c r="D1046" s="31" t="b">
        <v>0</v>
      </c>
      <c r="E1046" s="31" t="b">
        <v>0</v>
      </c>
      <c r="F1046" s="31" t="b">
        <v>0</v>
      </c>
      <c r="G1046" s="31" t="s">
        <v>31</v>
      </c>
      <c r="H1046" s="31" t="s">
        <v>3364</v>
      </c>
      <c r="I1046" s="31" t="s">
        <v>3365</v>
      </c>
      <c r="J1046" s="31" t="s">
        <v>35</v>
      </c>
      <c r="K1046" s="31" t="s">
        <v>35</v>
      </c>
      <c r="L1046" s="31" t="s">
        <v>35</v>
      </c>
      <c r="M1046" s="31" t="s">
        <v>35</v>
      </c>
      <c r="N1046" s="31" t="s">
        <v>35</v>
      </c>
      <c r="O1046" s="32">
        <v>44764.413806377313</v>
      </c>
      <c r="P1046" s="32">
        <v>44764.413922418978</v>
      </c>
      <c r="Q1046" s="30">
        <f t="shared" si="48"/>
        <v>1.1604166502365842E-4</v>
      </c>
      <c r="R1046" s="30">
        <f t="shared" si="50"/>
        <v>1.1760081019019708E-2</v>
      </c>
      <c r="S1046" s="31">
        <v>0</v>
      </c>
      <c r="T1046" s="31" t="s">
        <v>36</v>
      </c>
      <c r="U1046" s="31" t="s">
        <v>37</v>
      </c>
      <c r="V1046" s="31" t="s">
        <v>38</v>
      </c>
      <c r="W1046" s="31" t="s">
        <v>35</v>
      </c>
      <c r="X1046" s="31" t="s">
        <v>35</v>
      </c>
      <c r="Y1046" s="31" t="s">
        <v>35</v>
      </c>
      <c r="Z1046" s="31" t="b">
        <v>0</v>
      </c>
      <c r="AA1046" s="31" t="s">
        <v>35</v>
      </c>
      <c r="AB1046" s="31" t="s">
        <v>35</v>
      </c>
      <c r="AC1046" s="31" t="s">
        <v>35</v>
      </c>
      <c r="AD1046" s="31">
        <v>2</v>
      </c>
      <c r="AE1046" s="31" t="s">
        <v>3248</v>
      </c>
      <c r="AF1046" s="32">
        <v>44764.361111053244</v>
      </c>
      <c r="AG1046" s="55" t="s">
        <v>9408</v>
      </c>
      <c r="AH1046" s="55" t="b">
        <f t="shared" si="49"/>
        <v>0</v>
      </c>
      <c r="AI1046" s="62" t="str" cm="1">
        <f t="array" ref="AI1046">TRANSPOSE(_xlfn._xlws.FILTER(images!L:L,images!F:F=Barrierenmessung!A1046, ""))</f>
        <v>https://captureandgo.cloudlab.zhaw.ch/uploads/image_1e7a046a38.jpg</v>
      </c>
      <c r="AJ1046" s="31"/>
      <c r="AK1046" s="31"/>
      <c r="AL1046" s="31"/>
      <c r="AM1046" s="31"/>
      <c r="AN1046" s="31"/>
    </row>
    <row r="1047" spans="1:40" ht="16" x14ac:dyDescent="0.2">
      <c r="A1047" s="2" t="s">
        <v>3366</v>
      </c>
      <c r="B1047" s="46">
        <v>1046</v>
      </c>
      <c r="C1047" s="2" t="b">
        <v>0</v>
      </c>
      <c r="D1047" s="2" t="b">
        <v>0</v>
      </c>
      <c r="E1047" s="2" t="b">
        <v>0</v>
      </c>
      <c r="F1047" s="2" t="b">
        <v>0</v>
      </c>
      <c r="G1047" s="2" t="s">
        <v>31</v>
      </c>
      <c r="H1047" s="2" t="s">
        <v>3367</v>
      </c>
      <c r="I1047" s="2" t="s">
        <v>3368</v>
      </c>
      <c r="J1047" s="2" t="s">
        <v>35</v>
      </c>
      <c r="K1047" s="2" t="s">
        <v>35</v>
      </c>
      <c r="L1047" s="2" t="s">
        <v>35</v>
      </c>
      <c r="M1047" s="2" t="s">
        <v>35</v>
      </c>
      <c r="N1047" s="2" t="s">
        <v>35</v>
      </c>
      <c r="O1047" s="11">
        <v>44764.414705381947</v>
      </c>
      <c r="P1047" s="11">
        <v>44764.414810810187</v>
      </c>
      <c r="Q1047" s="27">
        <f t="shared" si="48"/>
        <v>1.0542824020376429E-4</v>
      </c>
      <c r="R1047" s="65">
        <f t="shared" si="50"/>
        <v>8.8839120871853083E-4</v>
      </c>
      <c r="S1047" s="2">
        <v>0</v>
      </c>
      <c r="T1047" s="2" t="s">
        <v>36</v>
      </c>
      <c r="U1047" s="2" t="s">
        <v>37</v>
      </c>
      <c r="V1047" s="2" t="s">
        <v>38</v>
      </c>
      <c r="W1047" s="2" t="s">
        <v>35</v>
      </c>
      <c r="X1047" s="2" t="s">
        <v>35</v>
      </c>
      <c r="Y1047" s="2" t="s">
        <v>35</v>
      </c>
      <c r="Z1047" s="2" t="b">
        <v>0</v>
      </c>
      <c r="AA1047" s="2" t="s">
        <v>35</v>
      </c>
      <c r="AB1047" s="2" t="s">
        <v>35</v>
      </c>
      <c r="AC1047" s="2" t="s">
        <v>35</v>
      </c>
      <c r="AD1047" s="2">
        <v>3</v>
      </c>
      <c r="AE1047" s="2" t="s">
        <v>3248</v>
      </c>
      <c r="AF1047" s="11">
        <v>44764.361111053244</v>
      </c>
      <c r="AG1047" s="53"/>
      <c r="AH1047" s="53" t="b">
        <f t="shared" si="49"/>
        <v>0</v>
      </c>
      <c r="AI1047" s="54" t="str" cm="1">
        <f t="array" ref="AI1047">TRANSPOSE(_xlfn._xlws.FILTER(images!L:L,images!F:F=Barrierenmessung!A1047, ""))</f>
        <v>https://captureandgo.cloudlab.zhaw.ch/uploads/image_0dec1846e5.jpg</v>
      </c>
      <c r="AJ1047" s="2"/>
      <c r="AK1047" s="2"/>
      <c r="AL1047" s="2"/>
      <c r="AM1047" s="2"/>
      <c r="AN1047" s="2"/>
    </row>
    <row r="1048" spans="1:40" ht="16" x14ac:dyDescent="0.2">
      <c r="A1048" s="2" t="s">
        <v>3369</v>
      </c>
      <c r="B1048" s="46">
        <v>1047</v>
      </c>
      <c r="C1048" s="2" t="b">
        <v>0</v>
      </c>
      <c r="D1048" s="2" t="b">
        <v>0</v>
      </c>
      <c r="E1048" s="2" t="b">
        <v>0</v>
      </c>
      <c r="F1048" s="2" t="b">
        <v>0</v>
      </c>
      <c r="G1048" s="2" t="s">
        <v>31</v>
      </c>
      <c r="H1048" s="2" t="s">
        <v>3370</v>
      </c>
      <c r="I1048" s="2" t="s">
        <v>3371</v>
      </c>
      <c r="J1048" s="2" t="s">
        <v>35</v>
      </c>
      <c r="K1048" s="2" t="s">
        <v>35</v>
      </c>
      <c r="L1048" s="2" t="s">
        <v>35</v>
      </c>
      <c r="M1048" s="2" t="s">
        <v>35</v>
      </c>
      <c r="N1048" s="2" t="s">
        <v>35</v>
      </c>
      <c r="O1048" s="11">
        <v>44764.415985983796</v>
      </c>
      <c r="P1048" s="11">
        <v>44764.416117280096</v>
      </c>
      <c r="Q1048" s="27">
        <f t="shared" si="48"/>
        <v>1.3129629951436073E-4</v>
      </c>
      <c r="R1048" s="65">
        <f t="shared" si="50"/>
        <v>1.3064699087408371E-3</v>
      </c>
      <c r="S1048" s="2">
        <v>0</v>
      </c>
      <c r="T1048" s="2" t="s">
        <v>36</v>
      </c>
      <c r="U1048" s="2" t="s">
        <v>37</v>
      </c>
      <c r="V1048" s="2" t="s">
        <v>38</v>
      </c>
      <c r="W1048" s="2" t="s">
        <v>35</v>
      </c>
      <c r="X1048" s="2" t="s">
        <v>35</v>
      </c>
      <c r="Y1048" s="2" t="s">
        <v>35</v>
      </c>
      <c r="Z1048" s="2" t="b">
        <v>0</v>
      </c>
      <c r="AA1048" s="2" t="s">
        <v>35</v>
      </c>
      <c r="AB1048" s="2" t="s">
        <v>35</v>
      </c>
      <c r="AC1048" s="2" t="s">
        <v>35</v>
      </c>
      <c r="AD1048" s="2">
        <v>2</v>
      </c>
      <c r="AE1048" s="2" t="s">
        <v>3248</v>
      </c>
      <c r="AF1048" s="11">
        <v>44764.361111053244</v>
      </c>
      <c r="AG1048" s="53"/>
      <c r="AH1048" s="53" t="b">
        <f t="shared" si="49"/>
        <v>0</v>
      </c>
      <c r="AI1048" s="54" t="str" cm="1">
        <f t="array" ref="AI1048">TRANSPOSE(_xlfn._xlws.FILTER(images!L:L,images!F:F=Barrierenmessung!A1048, ""))</f>
        <v>https://captureandgo.cloudlab.zhaw.ch/uploads/image_08265dff7a.jpg</v>
      </c>
      <c r="AJ1048" s="2"/>
      <c r="AK1048" s="2"/>
      <c r="AL1048" s="2"/>
      <c r="AM1048" s="2"/>
      <c r="AN1048" s="2"/>
    </row>
    <row r="1049" spans="1:40" ht="16" x14ac:dyDescent="0.2">
      <c r="A1049" s="2" t="s">
        <v>3372</v>
      </c>
      <c r="B1049" s="46">
        <v>1048</v>
      </c>
      <c r="C1049" s="2" t="b">
        <v>0</v>
      </c>
      <c r="D1049" s="2" t="b">
        <v>0</v>
      </c>
      <c r="E1049" s="2" t="b">
        <v>0</v>
      </c>
      <c r="F1049" s="2" t="b">
        <v>0</v>
      </c>
      <c r="G1049" s="2" t="s">
        <v>31</v>
      </c>
      <c r="H1049" s="2" t="s">
        <v>3373</v>
      </c>
      <c r="I1049" s="2" t="s">
        <v>3374</v>
      </c>
      <c r="J1049" s="2" t="s">
        <v>35</v>
      </c>
      <c r="K1049" s="2" t="s">
        <v>35</v>
      </c>
      <c r="L1049" s="2" t="s">
        <v>35</v>
      </c>
      <c r="M1049" s="2">
        <v>29</v>
      </c>
      <c r="N1049" s="2">
        <v>14</v>
      </c>
      <c r="O1049" s="11">
        <v>44764.416289826389</v>
      </c>
      <c r="P1049" s="11">
        <v>44764.41674158565</v>
      </c>
      <c r="Q1049" s="27">
        <f t="shared" si="48"/>
        <v>4.5175926061347127E-4</v>
      </c>
      <c r="R1049" s="65">
        <f t="shared" si="50"/>
        <v>6.2430555408354849E-4</v>
      </c>
      <c r="S1049" s="2">
        <v>0</v>
      </c>
      <c r="T1049" s="2" t="s">
        <v>54</v>
      </c>
      <c r="U1049" s="2" t="s">
        <v>55</v>
      </c>
      <c r="V1049" s="2" t="s">
        <v>38</v>
      </c>
      <c r="W1049" s="2" t="s">
        <v>35</v>
      </c>
      <c r="X1049" s="2" t="s">
        <v>35</v>
      </c>
      <c r="Y1049" s="2" t="s">
        <v>35</v>
      </c>
      <c r="Z1049" s="2" t="b">
        <v>0</v>
      </c>
      <c r="AA1049" s="2" t="s">
        <v>35</v>
      </c>
      <c r="AB1049" s="2" t="s">
        <v>35</v>
      </c>
      <c r="AC1049" s="2" t="s">
        <v>35</v>
      </c>
      <c r="AD1049" s="2" t="s">
        <v>35</v>
      </c>
      <c r="AE1049" s="2" t="s">
        <v>3248</v>
      </c>
      <c r="AF1049" s="11">
        <v>44764.361111053244</v>
      </c>
      <c r="AG1049" s="53"/>
      <c r="AH1049" s="53" t="b">
        <f t="shared" si="49"/>
        <v>0</v>
      </c>
      <c r="AI1049" s="54" t="str" cm="1">
        <f t="array" ref="AI1049">TRANSPOSE(_xlfn._xlws.FILTER(images!L:L,images!F:F=Barrierenmessung!A1049, ""))</f>
        <v>https://captureandgo.cloudlab.zhaw.ch/uploads/image_620a3d510c.jpg</v>
      </c>
      <c r="AJ1049" s="2"/>
      <c r="AK1049" s="2"/>
      <c r="AL1049" s="2"/>
      <c r="AM1049" s="2"/>
      <c r="AN1049" s="2"/>
    </row>
    <row r="1050" spans="1:40" ht="16" x14ac:dyDescent="0.2">
      <c r="A1050" s="2" t="s">
        <v>3375</v>
      </c>
      <c r="B1050" s="46">
        <v>1049</v>
      </c>
      <c r="C1050" s="2" t="b">
        <v>0</v>
      </c>
      <c r="D1050" s="2" t="b">
        <v>0</v>
      </c>
      <c r="E1050" s="2" t="b">
        <v>0</v>
      </c>
      <c r="F1050" s="2" t="b">
        <v>0</v>
      </c>
      <c r="G1050" s="2" t="s">
        <v>31</v>
      </c>
      <c r="H1050" s="2" t="s">
        <v>3376</v>
      </c>
      <c r="I1050" s="2" t="s">
        <v>3377</v>
      </c>
      <c r="J1050" s="2" t="s">
        <v>1711</v>
      </c>
      <c r="K1050" s="2" t="s">
        <v>35</v>
      </c>
      <c r="L1050" s="2" t="s">
        <v>35</v>
      </c>
      <c r="M1050" s="2" t="s">
        <v>35</v>
      </c>
      <c r="N1050" s="2" t="s">
        <v>35</v>
      </c>
      <c r="O1050" s="11">
        <v>44764.416790729163</v>
      </c>
      <c r="P1050" s="11">
        <v>44764.416974398147</v>
      </c>
      <c r="Q1050" s="27">
        <f t="shared" si="48"/>
        <v>1.8366898439126089E-4</v>
      </c>
      <c r="R1050" s="65">
        <f t="shared" si="50"/>
        <v>2.3281249741557986E-4</v>
      </c>
      <c r="S1050" s="2">
        <v>0</v>
      </c>
      <c r="T1050" s="2" t="s">
        <v>54</v>
      </c>
      <c r="U1050" s="2" t="s">
        <v>55</v>
      </c>
      <c r="V1050" s="2" t="s">
        <v>38</v>
      </c>
      <c r="W1050" s="2" t="s">
        <v>35</v>
      </c>
      <c r="X1050" s="2" t="s">
        <v>35</v>
      </c>
      <c r="Y1050" s="2" t="s">
        <v>35</v>
      </c>
      <c r="Z1050" s="2" t="b">
        <v>0</v>
      </c>
      <c r="AA1050" s="2" t="s">
        <v>35</v>
      </c>
      <c r="AB1050" s="2" t="s">
        <v>35</v>
      </c>
      <c r="AC1050" s="2" t="s">
        <v>35</v>
      </c>
      <c r="AD1050" s="2" t="s">
        <v>35</v>
      </c>
      <c r="AE1050" s="2" t="s">
        <v>3248</v>
      </c>
      <c r="AF1050" s="11">
        <v>44764.361111053244</v>
      </c>
      <c r="AG1050" s="53"/>
      <c r="AH1050" s="53" t="b">
        <f t="shared" si="49"/>
        <v>0</v>
      </c>
      <c r="AI1050" s="54" t="str" cm="1">
        <f t="array" ref="AI1050">TRANSPOSE(_xlfn._xlws.FILTER(images!L:L,images!F:F=Barrierenmessung!A1050, ""))</f>
        <v>https://captureandgo.cloudlab.zhaw.ch/uploads/image_196c294600.jpg</v>
      </c>
      <c r="AJ1050" s="2"/>
      <c r="AK1050" s="2"/>
      <c r="AL1050" s="2"/>
      <c r="AM1050" s="2"/>
      <c r="AN1050" s="2"/>
    </row>
    <row r="1051" spans="1:40" ht="16" x14ac:dyDescent="0.2">
      <c r="A1051" s="2" t="s">
        <v>3378</v>
      </c>
      <c r="B1051" s="46">
        <v>1050</v>
      </c>
      <c r="C1051" s="2" t="b">
        <v>0</v>
      </c>
      <c r="D1051" s="2" t="b">
        <v>0</v>
      </c>
      <c r="E1051" s="2" t="b">
        <v>0</v>
      </c>
      <c r="F1051" s="2" t="b">
        <v>0</v>
      </c>
      <c r="G1051" s="2" t="s">
        <v>31</v>
      </c>
      <c r="H1051" s="2" t="s">
        <v>3379</v>
      </c>
      <c r="I1051" s="2" t="s">
        <v>3380</v>
      </c>
      <c r="J1051" s="2" t="s">
        <v>35</v>
      </c>
      <c r="K1051" s="2" t="s">
        <v>35</v>
      </c>
      <c r="L1051" s="2">
        <v>11</v>
      </c>
      <c r="M1051" s="2" t="s">
        <v>35</v>
      </c>
      <c r="N1051" s="2" t="s">
        <v>35</v>
      </c>
      <c r="O1051" s="11">
        <v>44764.422138252317</v>
      </c>
      <c r="P1051" s="11">
        <v>44764.422392789354</v>
      </c>
      <c r="Q1051" s="27">
        <f t="shared" si="48"/>
        <v>2.545370371080935E-4</v>
      </c>
      <c r="R1051" s="65">
        <f t="shared" si="50"/>
        <v>5.4183912070584483E-3</v>
      </c>
      <c r="S1051" s="2">
        <v>0</v>
      </c>
      <c r="T1051" s="2" t="s">
        <v>265</v>
      </c>
      <c r="U1051" s="2" t="s">
        <v>266</v>
      </c>
      <c r="V1051" s="2" t="s">
        <v>38</v>
      </c>
      <c r="W1051" s="2" t="s">
        <v>35</v>
      </c>
      <c r="X1051" s="2" t="s">
        <v>35</v>
      </c>
      <c r="Y1051" s="2" t="s">
        <v>35</v>
      </c>
      <c r="Z1051" s="2" t="b">
        <v>0</v>
      </c>
      <c r="AA1051" s="2" t="s">
        <v>35</v>
      </c>
      <c r="AB1051" s="2" t="s">
        <v>35</v>
      </c>
      <c r="AC1051" s="2" t="s">
        <v>35</v>
      </c>
      <c r="AD1051" s="2" t="s">
        <v>35</v>
      </c>
      <c r="AE1051" s="2" t="s">
        <v>3248</v>
      </c>
      <c r="AF1051" s="11">
        <v>44764.361111053244</v>
      </c>
      <c r="AG1051" s="53"/>
      <c r="AH1051" s="53" t="b">
        <f t="shared" si="49"/>
        <v>0</v>
      </c>
      <c r="AI1051" s="54" t="str" cm="1">
        <f t="array" ref="AI1051">TRANSPOSE(_xlfn._xlws.FILTER(images!L:L,images!F:F=Barrierenmessung!A1051, ""))</f>
        <v>https://captureandgo.cloudlab.zhaw.ch/uploads/image_cbae954195.jpg</v>
      </c>
      <c r="AJ1051" s="2"/>
      <c r="AK1051" s="2"/>
      <c r="AL1051" s="2"/>
      <c r="AM1051" s="2"/>
      <c r="AN1051" s="2"/>
    </row>
    <row r="1052" spans="1:40" ht="16" x14ac:dyDescent="0.2">
      <c r="A1052" s="2" t="s">
        <v>3381</v>
      </c>
      <c r="B1052" s="46">
        <v>1051</v>
      </c>
      <c r="C1052" s="2" t="b">
        <v>0</v>
      </c>
      <c r="D1052" s="2" t="b">
        <v>0</v>
      </c>
      <c r="E1052" s="2" t="b">
        <v>0</v>
      </c>
      <c r="F1052" s="2" t="b">
        <v>0</v>
      </c>
      <c r="G1052" s="2" t="s">
        <v>31</v>
      </c>
      <c r="H1052" s="2" t="s">
        <v>3382</v>
      </c>
      <c r="I1052" s="2" t="s">
        <v>3383</v>
      </c>
      <c r="J1052" s="2" t="s">
        <v>35</v>
      </c>
      <c r="K1052" s="2" t="s">
        <v>35</v>
      </c>
      <c r="L1052" s="2">
        <v>9</v>
      </c>
      <c r="M1052" s="2" t="s">
        <v>35</v>
      </c>
      <c r="N1052" s="2" t="s">
        <v>35</v>
      </c>
      <c r="O1052" s="11">
        <v>44764.422566944442</v>
      </c>
      <c r="P1052" s="11">
        <v>44764.422810949072</v>
      </c>
      <c r="Q1052" s="27">
        <f t="shared" si="48"/>
        <v>2.440046300762333E-4</v>
      </c>
      <c r="R1052" s="65">
        <f t="shared" si="50"/>
        <v>4.1815971781034023E-4</v>
      </c>
      <c r="S1052" s="2">
        <v>0</v>
      </c>
      <c r="T1052" s="2" t="s">
        <v>265</v>
      </c>
      <c r="U1052" s="2" t="s">
        <v>266</v>
      </c>
      <c r="V1052" s="2" t="s">
        <v>38</v>
      </c>
      <c r="W1052" s="2" t="s">
        <v>35</v>
      </c>
      <c r="X1052" s="2" t="s">
        <v>35</v>
      </c>
      <c r="Y1052" s="2" t="s">
        <v>35</v>
      </c>
      <c r="Z1052" s="2" t="b">
        <v>0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2" t="s">
        <v>3248</v>
      </c>
      <c r="AF1052" s="11">
        <v>44764.361111053244</v>
      </c>
      <c r="AG1052" s="53"/>
      <c r="AH1052" s="53" t="b">
        <f t="shared" si="49"/>
        <v>0</v>
      </c>
      <c r="AI1052" s="54" t="str" cm="1">
        <f t="array" ref="AI1052">TRANSPOSE(_xlfn._xlws.FILTER(images!L:L,images!F:F=Barrierenmessung!A1052, ""))</f>
        <v>https://captureandgo.cloudlab.zhaw.ch/uploads/image_d89bd5e8a0.jpg</v>
      </c>
      <c r="AJ1052" s="2"/>
      <c r="AK1052" s="2"/>
      <c r="AL1052" s="2"/>
      <c r="AM1052" s="2"/>
      <c r="AN1052" s="2"/>
    </row>
    <row r="1053" spans="1:40" ht="16" x14ac:dyDescent="0.2">
      <c r="A1053" s="2" t="s">
        <v>3384</v>
      </c>
      <c r="B1053" s="46">
        <v>1052</v>
      </c>
      <c r="C1053" s="2" t="b">
        <v>0</v>
      </c>
      <c r="D1053" s="2" t="b">
        <v>0</v>
      </c>
      <c r="E1053" s="2" t="b">
        <v>0</v>
      </c>
      <c r="F1053" s="2" t="b">
        <v>0</v>
      </c>
      <c r="G1053" s="2" t="s">
        <v>31</v>
      </c>
      <c r="H1053" s="2" t="s">
        <v>3385</v>
      </c>
      <c r="I1053" s="2" t="s">
        <v>3386</v>
      </c>
      <c r="J1053" s="2" t="s">
        <v>1124</v>
      </c>
      <c r="K1053" s="2" t="s">
        <v>35</v>
      </c>
      <c r="L1053" s="2" t="s">
        <v>35</v>
      </c>
      <c r="M1053" s="2" t="s">
        <v>35</v>
      </c>
      <c r="N1053" s="2" t="s">
        <v>35</v>
      </c>
      <c r="O1053" s="11">
        <v>44764.425166805559</v>
      </c>
      <c r="P1053" s="11">
        <v>44764.425446134257</v>
      </c>
      <c r="Q1053" s="27">
        <f t="shared" si="48"/>
        <v>2.7932869852520525E-4</v>
      </c>
      <c r="R1053" s="65">
        <f t="shared" si="50"/>
        <v>2.6351851847721264E-3</v>
      </c>
      <c r="S1053" s="2">
        <v>0</v>
      </c>
      <c r="T1053" s="2" t="s">
        <v>416</v>
      </c>
      <c r="U1053" s="2" t="s">
        <v>417</v>
      </c>
      <c r="V1053" s="2" t="s">
        <v>38</v>
      </c>
      <c r="W1053" s="2" t="s">
        <v>35</v>
      </c>
      <c r="X1053" s="2">
        <v>0</v>
      </c>
      <c r="Y1053" s="2" t="s">
        <v>3387</v>
      </c>
      <c r="Z1053" s="2" t="b">
        <v>0</v>
      </c>
      <c r="AA1053" s="2" t="s">
        <v>35</v>
      </c>
      <c r="AB1053" s="2" t="s">
        <v>35</v>
      </c>
      <c r="AC1053" s="2" t="s">
        <v>35</v>
      </c>
      <c r="AD1053" s="2" t="s">
        <v>35</v>
      </c>
      <c r="AE1053" s="2" t="s">
        <v>3248</v>
      </c>
      <c r="AF1053" s="11">
        <v>44764.361111053244</v>
      </c>
      <c r="AG1053" s="53"/>
      <c r="AH1053" s="53" t="b">
        <f t="shared" si="49"/>
        <v>0</v>
      </c>
      <c r="AI1053" s="54" t="str" cm="1">
        <f t="array" ref="AI1053">TRANSPOSE(_xlfn._xlws.FILTER(images!L:L,images!F:F=Barrierenmessung!A1053, ""))</f>
        <v>https://captureandgo.cloudlab.zhaw.ch/uploads/image_856f609e72.jpg</v>
      </c>
      <c r="AJ1053" s="2"/>
      <c r="AK1053" s="2"/>
      <c r="AL1053" s="2"/>
      <c r="AM1053" s="2"/>
      <c r="AN1053" s="2"/>
    </row>
    <row r="1054" spans="1:40" ht="16" x14ac:dyDescent="0.2">
      <c r="A1054" s="2" t="s">
        <v>3388</v>
      </c>
      <c r="B1054" s="46">
        <v>1053</v>
      </c>
      <c r="C1054" s="2" t="b">
        <v>0</v>
      </c>
      <c r="D1054" s="2" t="b">
        <v>0</v>
      </c>
      <c r="E1054" s="2" t="b">
        <v>0</v>
      </c>
      <c r="F1054" s="2" t="b">
        <v>0</v>
      </c>
      <c r="G1054" s="2" t="s">
        <v>31</v>
      </c>
      <c r="H1054" s="2" t="s">
        <v>3389</v>
      </c>
      <c r="I1054" s="2" t="s">
        <v>3390</v>
      </c>
      <c r="J1054" s="2" t="s">
        <v>35</v>
      </c>
      <c r="K1054" s="2" t="s">
        <v>35</v>
      </c>
      <c r="L1054" s="2" t="s">
        <v>35</v>
      </c>
      <c r="M1054" s="2" t="s">
        <v>35</v>
      </c>
      <c r="N1054" s="2" t="s">
        <v>35</v>
      </c>
      <c r="O1054" s="11">
        <v>44764.427073252315</v>
      </c>
      <c r="P1054" s="11">
        <v>44764.427180682869</v>
      </c>
      <c r="Q1054" s="27">
        <f t="shared" si="48"/>
        <v>1.0743055463535711E-4</v>
      </c>
      <c r="R1054" s="65">
        <f t="shared" si="50"/>
        <v>1.734548612148501E-3</v>
      </c>
      <c r="S1054" s="2">
        <v>0</v>
      </c>
      <c r="T1054" s="2" t="s">
        <v>36</v>
      </c>
      <c r="U1054" s="2" t="s">
        <v>37</v>
      </c>
      <c r="V1054" s="2" t="s">
        <v>38</v>
      </c>
      <c r="W1054" s="2" t="s">
        <v>35</v>
      </c>
      <c r="X1054" s="2" t="s">
        <v>35</v>
      </c>
      <c r="Y1054" s="2" t="s">
        <v>35</v>
      </c>
      <c r="Z1054" s="2" t="b">
        <v>0</v>
      </c>
      <c r="AA1054" s="2" t="s">
        <v>35</v>
      </c>
      <c r="AB1054" s="2" t="s">
        <v>35</v>
      </c>
      <c r="AC1054" s="2" t="s">
        <v>35</v>
      </c>
      <c r="AD1054" s="2">
        <v>2</v>
      </c>
      <c r="AE1054" s="2" t="s">
        <v>3248</v>
      </c>
      <c r="AF1054" s="11">
        <v>44764.361111053244</v>
      </c>
      <c r="AG1054" s="53"/>
      <c r="AH1054" s="53" t="b">
        <f t="shared" si="49"/>
        <v>0</v>
      </c>
      <c r="AI1054" s="54" t="str" cm="1">
        <f t="array" ref="AI1054">TRANSPOSE(_xlfn._xlws.FILTER(images!L:L,images!F:F=Barrierenmessung!A1054, ""))</f>
        <v>https://captureandgo.cloudlab.zhaw.ch/uploads/image_038070469b.jpg</v>
      </c>
      <c r="AJ1054" s="2"/>
      <c r="AK1054" s="2"/>
      <c r="AL1054" s="2"/>
      <c r="AM1054" s="2"/>
      <c r="AN1054" s="2"/>
    </row>
    <row r="1055" spans="1:40" ht="16" x14ac:dyDescent="0.2">
      <c r="A1055" s="2" t="s">
        <v>3391</v>
      </c>
      <c r="B1055" s="46">
        <v>1054</v>
      </c>
      <c r="C1055" s="2" t="b">
        <v>0</v>
      </c>
      <c r="D1055" s="2" t="b">
        <v>0</v>
      </c>
      <c r="E1055" s="2" t="b">
        <v>0</v>
      </c>
      <c r="F1055" s="2" t="b">
        <v>0</v>
      </c>
      <c r="G1055" s="2" t="s">
        <v>31</v>
      </c>
      <c r="H1055" s="2" t="s">
        <v>3392</v>
      </c>
      <c r="I1055" s="2" t="s">
        <v>3393</v>
      </c>
      <c r="J1055" s="2" t="s">
        <v>35</v>
      </c>
      <c r="K1055" s="2" t="s">
        <v>35</v>
      </c>
      <c r="L1055" s="2">
        <v>4</v>
      </c>
      <c r="M1055" s="2" t="s">
        <v>35</v>
      </c>
      <c r="N1055" s="2" t="s">
        <v>35</v>
      </c>
      <c r="O1055" s="11">
        <v>44764.42969921296</v>
      </c>
      <c r="P1055" s="11">
        <v>44764.431942222225</v>
      </c>
      <c r="Q1055" s="27">
        <f t="shared" si="48"/>
        <v>2.2430092649301514E-3</v>
      </c>
      <c r="R1055" s="65">
        <f t="shared" si="50"/>
        <v>4.7615393559681252E-3</v>
      </c>
      <c r="S1055" s="2">
        <v>0</v>
      </c>
      <c r="T1055" s="2" t="s">
        <v>265</v>
      </c>
      <c r="U1055" s="2" t="s">
        <v>266</v>
      </c>
      <c r="V1055" s="2" t="s">
        <v>38</v>
      </c>
      <c r="W1055" s="2" t="s">
        <v>35</v>
      </c>
      <c r="X1055" s="2" t="s">
        <v>35</v>
      </c>
      <c r="Y1055" s="2" t="s">
        <v>35</v>
      </c>
      <c r="Z1055" s="2" t="b">
        <v>0</v>
      </c>
      <c r="AA1055" s="2" t="s">
        <v>35</v>
      </c>
      <c r="AB1055" s="2" t="s">
        <v>35</v>
      </c>
      <c r="AC1055" s="2" t="s">
        <v>35</v>
      </c>
      <c r="AD1055" s="2" t="s">
        <v>35</v>
      </c>
      <c r="AE1055" s="2" t="s">
        <v>3248</v>
      </c>
      <c r="AF1055" s="11">
        <v>44764.361111053244</v>
      </c>
      <c r="AG1055" s="53"/>
      <c r="AH1055" s="53" t="b">
        <f t="shared" si="49"/>
        <v>0</v>
      </c>
      <c r="AI1055" s="54" t="str" cm="1">
        <f t="array" ref="AI1055:AJ1055">TRANSPOSE(_xlfn._xlws.FILTER(images!L:L,images!F:F=Barrierenmessung!A1055, ""))</f>
        <v>https://captureandgo.cloudlab.zhaw.ch/uploads/image_a65726b0ee.jpg</v>
      </c>
      <c r="AJ1055" s="2" t="str">
        <v>https://captureandgo.cloudlab.zhaw.ch/uploads/image_8b2017b876.jpg</v>
      </c>
      <c r="AK1055" s="2"/>
      <c r="AL1055" s="2"/>
      <c r="AM1055" s="2"/>
      <c r="AN1055" s="2"/>
    </row>
    <row r="1056" spans="1:40" ht="16" x14ac:dyDescent="0.2">
      <c r="A1056" s="2" t="s">
        <v>3394</v>
      </c>
      <c r="B1056" s="46">
        <v>1055</v>
      </c>
      <c r="C1056" s="2" t="b">
        <v>0</v>
      </c>
      <c r="D1056" s="2" t="b">
        <v>0</v>
      </c>
      <c r="E1056" s="2" t="b">
        <v>0</v>
      </c>
      <c r="F1056" s="2" t="b">
        <v>0</v>
      </c>
      <c r="G1056" s="2" t="s">
        <v>31</v>
      </c>
      <c r="H1056" s="2" t="s">
        <v>3395</v>
      </c>
      <c r="I1056" s="2" t="s">
        <v>3396</v>
      </c>
      <c r="J1056" s="2" t="s">
        <v>35</v>
      </c>
      <c r="K1056" s="2" t="s">
        <v>35</v>
      </c>
      <c r="L1056" s="2" t="s">
        <v>35</v>
      </c>
      <c r="M1056" s="2">
        <v>27</v>
      </c>
      <c r="N1056" s="2">
        <v>15</v>
      </c>
      <c r="O1056" s="11">
        <v>44764.43202015046</v>
      </c>
      <c r="P1056" s="11">
        <v>44764.432399328703</v>
      </c>
      <c r="Q1056" s="27">
        <f t="shared" si="48"/>
        <v>3.7917824374744669E-4</v>
      </c>
      <c r="R1056" s="65">
        <f t="shared" si="50"/>
        <v>4.571064782794565E-4</v>
      </c>
      <c r="S1056" s="2">
        <v>0</v>
      </c>
      <c r="T1056" s="2" t="s">
        <v>54</v>
      </c>
      <c r="U1056" s="2" t="s">
        <v>55</v>
      </c>
      <c r="V1056" s="2" t="s">
        <v>38</v>
      </c>
      <c r="W1056" s="2" t="s">
        <v>35</v>
      </c>
      <c r="X1056" s="2" t="s">
        <v>35</v>
      </c>
      <c r="Y1056" s="2" t="s">
        <v>35</v>
      </c>
      <c r="Z1056" s="2" t="b">
        <v>0</v>
      </c>
      <c r="AA1056" s="2" t="s">
        <v>35</v>
      </c>
      <c r="AB1056" s="2" t="s">
        <v>35</v>
      </c>
      <c r="AC1056" s="2" t="s">
        <v>35</v>
      </c>
      <c r="AD1056" s="2" t="s">
        <v>35</v>
      </c>
      <c r="AE1056" s="2" t="s">
        <v>3248</v>
      </c>
      <c r="AF1056" s="11">
        <v>44764.361111053244</v>
      </c>
      <c r="AG1056" s="53"/>
      <c r="AH1056" s="53" t="b">
        <f t="shared" si="49"/>
        <v>0</v>
      </c>
      <c r="AI1056" s="54" t="str" cm="1">
        <f t="array" ref="AI1056">TRANSPOSE(_xlfn._xlws.FILTER(images!L:L,images!F:F=Barrierenmessung!A1056, ""))</f>
        <v>https://captureandgo.cloudlab.zhaw.ch/uploads/image_ad5166404f.jpg</v>
      </c>
      <c r="AJ1056" s="2"/>
      <c r="AK1056" s="2"/>
      <c r="AL1056" s="2"/>
      <c r="AM1056" s="2"/>
      <c r="AN1056" s="2"/>
    </row>
    <row r="1057" spans="1:40" ht="16" x14ac:dyDescent="0.2">
      <c r="A1057" s="2" t="s">
        <v>3397</v>
      </c>
      <c r="B1057" s="46">
        <v>1056</v>
      </c>
      <c r="C1057" s="2" t="b">
        <v>0</v>
      </c>
      <c r="D1057" s="2" t="b">
        <v>0</v>
      </c>
      <c r="E1057" s="2" t="b">
        <v>0</v>
      </c>
      <c r="F1057" s="2" t="b">
        <v>0</v>
      </c>
      <c r="G1057" s="2" t="s">
        <v>31</v>
      </c>
      <c r="H1057" s="2" t="s">
        <v>3398</v>
      </c>
      <c r="I1057" s="2" t="s">
        <v>3399</v>
      </c>
      <c r="J1057" s="2" t="s">
        <v>1711</v>
      </c>
      <c r="K1057" s="2" t="s">
        <v>35</v>
      </c>
      <c r="L1057" s="2" t="s">
        <v>35</v>
      </c>
      <c r="M1057" s="2" t="s">
        <v>35</v>
      </c>
      <c r="N1057" s="2" t="s">
        <v>35</v>
      </c>
      <c r="O1057" s="11">
        <v>44764.43243763889</v>
      </c>
      <c r="P1057" s="11">
        <v>44764.432662870371</v>
      </c>
      <c r="Q1057" s="27">
        <f t="shared" si="48"/>
        <v>2.2523148072650656E-4</v>
      </c>
      <c r="R1057" s="65">
        <f t="shared" si="50"/>
        <v>2.6354166766395792E-4</v>
      </c>
      <c r="S1057" s="2">
        <v>0</v>
      </c>
      <c r="T1057" s="2" t="s">
        <v>54</v>
      </c>
      <c r="U1057" s="2" t="s">
        <v>55</v>
      </c>
      <c r="V1057" s="2" t="s">
        <v>38</v>
      </c>
      <c r="W1057" s="2" t="s">
        <v>35</v>
      </c>
      <c r="X1057" s="2" t="s">
        <v>35</v>
      </c>
      <c r="Y1057" s="2" t="s">
        <v>35</v>
      </c>
      <c r="Z1057" s="2" t="b">
        <v>0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2" t="s">
        <v>3248</v>
      </c>
      <c r="AF1057" s="11">
        <v>44764.361111053244</v>
      </c>
      <c r="AG1057" s="53"/>
      <c r="AH1057" s="53" t="b">
        <f t="shared" si="49"/>
        <v>0</v>
      </c>
      <c r="AI1057" s="54" t="str" cm="1">
        <f t="array" ref="AI1057">TRANSPOSE(_xlfn._xlws.FILTER(images!L:L,images!F:F=Barrierenmessung!A1057, ""))</f>
        <v>https://captureandgo.cloudlab.zhaw.ch/uploads/image_9299847aca.jpg</v>
      </c>
      <c r="AJ1057" s="2"/>
      <c r="AK1057" s="2"/>
      <c r="AL1057" s="2"/>
      <c r="AM1057" s="2"/>
      <c r="AN1057" s="2"/>
    </row>
    <row r="1058" spans="1:40" ht="16" x14ac:dyDescent="0.2">
      <c r="A1058" s="2" t="s">
        <v>3400</v>
      </c>
      <c r="B1058" s="46">
        <v>1057</v>
      </c>
      <c r="C1058" s="2" t="b">
        <v>0</v>
      </c>
      <c r="D1058" s="2" t="b">
        <v>0</v>
      </c>
      <c r="E1058" s="2" t="b">
        <v>0</v>
      </c>
      <c r="F1058" s="2" t="b">
        <v>0</v>
      </c>
      <c r="G1058" s="2" t="s">
        <v>31</v>
      </c>
      <c r="H1058" s="2" t="s">
        <v>3401</v>
      </c>
      <c r="I1058" s="2" t="s">
        <v>3402</v>
      </c>
      <c r="J1058" s="2" t="s">
        <v>35</v>
      </c>
      <c r="K1058" s="2" t="s">
        <v>35</v>
      </c>
      <c r="L1058" s="2" t="s">
        <v>35</v>
      </c>
      <c r="M1058" s="2" t="s">
        <v>35</v>
      </c>
      <c r="N1058" s="2" t="s">
        <v>35</v>
      </c>
      <c r="O1058" s="11">
        <v>44764.433221944448</v>
      </c>
      <c r="P1058" s="11">
        <v>44764.433351828702</v>
      </c>
      <c r="Q1058" s="27">
        <f t="shared" si="48"/>
        <v>1.2988425442017615E-4</v>
      </c>
      <c r="R1058" s="65">
        <f t="shared" si="50"/>
        <v>6.8895833101123571E-4</v>
      </c>
      <c r="S1058" s="2">
        <v>0</v>
      </c>
      <c r="T1058" s="2" t="s">
        <v>36</v>
      </c>
      <c r="U1058" s="2" t="s">
        <v>37</v>
      </c>
      <c r="V1058" s="2" t="s">
        <v>38</v>
      </c>
      <c r="W1058" s="2" t="s">
        <v>35</v>
      </c>
      <c r="X1058" s="2" t="s">
        <v>35</v>
      </c>
      <c r="Y1058" s="2" t="s">
        <v>35</v>
      </c>
      <c r="Z1058" s="2" t="b">
        <v>0</v>
      </c>
      <c r="AA1058" s="2" t="s">
        <v>35</v>
      </c>
      <c r="AB1058" s="2" t="s">
        <v>35</v>
      </c>
      <c r="AC1058" s="2" t="s">
        <v>35</v>
      </c>
      <c r="AD1058" s="2">
        <v>4</v>
      </c>
      <c r="AE1058" s="2" t="s">
        <v>3248</v>
      </c>
      <c r="AF1058" s="11">
        <v>44764.361111053244</v>
      </c>
      <c r="AG1058" s="53"/>
      <c r="AH1058" s="53" t="b">
        <f t="shared" si="49"/>
        <v>0</v>
      </c>
      <c r="AI1058" s="54" t="str" cm="1">
        <f t="array" ref="AI1058">TRANSPOSE(_xlfn._xlws.FILTER(images!L:L,images!F:F=Barrierenmessung!A1058, ""))</f>
        <v>https://captureandgo.cloudlab.zhaw.ch/uploads/image_dffa810d47.jpg</v>
      </c>
      <c r="AJ1058" s="2"/>
      <c r="AK1058" s="2"/>
      <c r="AL1058" s="2"/>
      <c r="AM1058" s="2"/>
      <c r="AN1058" s="2"/>
    </row>
    <row r="1059" spans="1:40" ht="16" x14ac:dyDescent="0.2">
      <c r="A1059" s="2" t="s">
        <v>3403</v>
      </c>
      <c r="B1059" s="46">
        <v>1058</v>
      </c>
      <c r="C1059" s="2" t="b">
        <v>0</v>
      </c>
      <c r="D1059" s="2" t="b">
        <v>0</v>
      </c>
      <c r="E1059" s="2" t="b">
        <v>0</v>
      </c>
      <c r="F1059" s="2" t="b">
        <v>0</v>
      </c>
      <c r="G1059" s="2" t="s">
        <v>31</v>
      </c>
      <c r="H1059" s="2" t="s">
        <v>3404</v>
      </c>
      <c r="I1059" s="2" t="s">
        <v>3405</v>
      </c>
      <c r="J1059" s="2" t="s">
        <v>675</v>
      </c>
      <c r="K1059" s="2" t="s">
        <v>35</v>
      </c>
      <c r="L1059" s="2" t="s">
        <v>35</v>
      </c>
      <c r="M1059" s="2" t="s">
        <v>35</v>
      </c>
      <c r="N1059" s="2" t="s">
        <v>35</v>
      </c>
      <c r="O1059" s="11">
        <v>44764.433464872687</v>
      </c>
      <c r="P1059" s="11">
        <v>44764.433713680555</v>
      </c>
      <c r="Q1059" s="27">
        <f t="shared" si="48"/>
        <v>2.4880786804715171E-4</v>
      </c>
      <c r="R1059" s="65">
        <f t="shared" si="50"/>
        <v>3.618518530856818E-4</v>
      </c>
      <c r="S1059" s="2">
        <v>0</v>
      </c>
      <c r="T1059" s="2" t="s">
        <v>124</v>
      </c>
      <c r="U1059" s="2" t="s">
        <v>125</v>
      </c>
      <c r="V1059" s="2" t="s">
        <v>38</v>
      </c>
      <c r="W1059" s="2" t="s">
        <v>35</v>
      </c>
      <c r="X1059" s="2" t="s">
        <v>35</v>
      </c>
      <c r="Y1059" s="2" t="s">
        <v>35</v>
      </c>
      <c r="Z1059" s="2" t="b">
        <v>0</v>
      </c>
      <c r="AA1059" s="2" t="s">
        <v>35</v>
      </c>
      <c r="AB1059" s="2">
        <v>4</v>
      </c>
      <c r="AC1059" s="2" t="s">
        <v>35</v>
      </c>
      <c r="AD1059" s="2" t="s">
        <v>35</v>
      </c>
      <c r="AE1059" s="2" t="s">
        <v>3248</v>
      </c>
      <c r="AF1059" s="11">
        <v>44764.361111053244</v>
      </c>
      <c r="AG1059" s="53"/>
      <c r="AH1059" s="53" t="b">
        <f t="shared" si="49"/>
        <v>0</v>
      </c>
      <c r="AI1059" s="54" t="str" cm="1">
        <f t="array" ref="AI1059">TRANSPOSE(_xlfn._xlws.FILTER(images!L:L,images!F:F=Barrierenmessung!A1059, ""))</f>
        <v>https://captureandgo.cloudlab.zhaw.ch/uploads/image_17563b2fda.jpg</v>
      </c>
      <c r="AJ1059" s="2"/>
      <c r="AK1059" s="2"/>
      <c r="AL1059" s="2"/>
      <c r="AM1059" s="2"/>
      <c r="AN1059" s="2"/>
    </row>
    <row r="1060" spans="1:40" ht="16" x14ac:dyDescent="0.2">
      <c r="A1060" s="2" t="s">
        <v>3406</v>
      </c>
      <c r="B1060" s="46">
        <v>1059</v>
      </c>
      <c r="C1060" s="2" t="b">
        <v>0</v>
      </c>
      <c r="D1060" s="2" t="b">
        <v>0</v>
      </c>
      <c r="E1060" s="2" t="b">
        <v>0</v>
      </c>
      <c r="F1060" s="2" t="b">
        <v>0</v>
      </c>
      <c r="G1060" s="2" t="s">
        <v>31</v>
      </c>
      <c r="H1060" s="2" t="s">
        <v>3407</v>
      </c>
      <c r="I1060" s="2" t="s">
        <v>3408</v>
      </c>
      <c r="J1060" s="2" t="s">
        <v>675</v>
      </c>
      <c r="K1060" s="2" t="s">
        <v>35</v>
      </c>
      <c r="L1060" s="2" t="s">
        <v>35</v>
      </c>
      <c r="M1060" s="2" t="s">
        <v>35</v>
      </c>
      <c r="N1060" s="2" t="s">
        <v>35</v>
      </c>
      <c r="O1060" s="11">
        <v>44764.434323553243</v>
      </c>
      <c r="P1060" s="11">
        <v>44764.434670300929</v>
      </c>
      <c r="Q1060" s="27">
        <f t="shared" si="48"/>
        <v>3.4674768539844081E-4</v>
      </c>
      <c r="R1060" s="65">
        <f t="shared" si="50"/>
        <v>9.5662037347210571E-4</v>
      </c>
      <c r="S1060" s="2">
        <v>0</v>
      </c>
      <c r="T1060" s="2" t="s">
        <v>124</v>
      </c>
      <c r="U1060" s="2" t="s">
        <v>125</v>
      </c>
      <c r="V1060" s="2" t="s">
        <v>38</v>
      </c>
      <c r="W1060" s="2" t="s">
        <v>35</v>
      </c>
      <c r="X1060" s="2" t="s">
        <v>35</v>
      </c>
      <c r="Y1060" s="2" t="s">
        <v>35</v>
      </c>
      <c r="Z1060" s="2" t="b">
        <v>0</v>
      </c>
      <c r="AA1060" s="2" t="s">
        <v>35</v>
      </c>
      <c r="AB1060" s="2">
        <v>4</v>
      </c>
      <c r="AC1060" s="2" t="s">
        <v>35</v>
      </c>
      <c r="AD1060" s="2" t="s">
        <v>35</v>
      </c>
      <c r="AE1060" s="2" t="s">
        <v>3248</v>
      </c>
      <c r="AF1060" s="11">
        <v>44764.361111053244</v>
      </c>
      <c r="AG1060" s="53"/>
      <c r="AH1060" s="53" t="b">
        <f t="shared" si="49"/>
        <v>0</v>
      </c>
      <c r="AI1060" s="54" t="str" cm="1">
        <f t="array" ref="AI1060">TRANSPOSE(_xlfn._xlws.FILTER(images!L:L,images!F:F=Barrierenmessung!A1060, ""))</f>
        <v>https://captureandgo.cloudlab.zhaw.ch/uploads/image_07d76729fb.jpg</v>
      </c>
      <c r="AJ1060" s="2"/>
      <c r="AK1060" s="2"/>
      <c r="AL1060" s="2"/>
      <c r="AM1060" s="2"/>
      <c r="AN1060" s="2"/>
    </row>
    <row r="1061" spans="1:40" ht="16" x14ac:dyDescent="0.2">
      <c r="A1061" s="2" t="s">
        <v>3409</v>
      </c>
      <c r="B1061" s="46">
        <v>1060</v>
      </c>
      <c r="C1061" s="2" t="b">
        <v>0</v>
      </c>
      <c r="D1061" s="2" t="b">
        <v>0</v>
      </c>
      <c r="E1061" s="2" t="b">
        <v>0</v>
      </c>
      <c r="F1061" s="2" t="b">
        <v>0</v>
      </c>
      <c r="G1061" s="2" t="s">
        <v>31</v>
      </c>
      <c r="H1061" s="2" t="s">
        <v>3410</v>
      </c>
      <c r="I1061" s="2" t="s">
        <v>3411</v>
      </c>
      <c r="J1061" s="2" t="s">
        <v>675</v>
      </c>
      <c r="K1061" s="2" t="s">
        <v>35</v>
      </c>
      <c r="L1061" s="2" t="s">
        <v>35</v>
      </c>
      <c r="M1061" s="2" t="s">
        <v>35</v>
      </c>
      <c r="N1061" s="2" t="s">
        <v>35</v>
      </c>
      <c r="O1061" s="11">
        <v>44764.434855937499</v>
      </c>
      <c r="P1061" s="11">
        <v>44764.434992708331</v>
      </c>
      <c r="Q1061" s="27">
        <f t="shared" si="48"/>
        <v>1.3677083188667893E-4</v>
      </c>
      <c r="R1061" s="65">
        <f t="shared" si="50"/>
        <v>3.2240740256384015E-4</v>
      </c>
      <c r="S1061" s="2">
        <v>0</v>
      </c>
      <c r="T1061" s="2" t="s">
        <v>124</v>
      </c>
      <c r="U1061" s="2" t="s">
        <v>125</v>
      </c>
      <c r="V1061" s="2" t="s">
        <v>38</v>
      </c>
      <c r="W1061" s="2" t="s">
        <v>35</v>
      </c>
      <c r="X1061" s="2" t="s">
        <v>35</v>
      </c>
      <c r="Y1061" s="2" t="s">
        <v>35</v>
      </c>
      <c r="Z1061" s="2" t="b">
        <v>0</v>
      </c>
      <c r="AA1061" s="2" t="s">
        <v>35</v>
      </c>
      <c r="AB1061" s="2">
        <v>4</v>
      </c>
      <c r="AC1061" s="2" t="s">
        <v>35</v>
      </c>
      <c r="AD1061" s="2" t="s">
        <v>35</v>
      </c>
      <c r="AE1061" s="2" t="s">
        <v>3248</v>
      </c>
      <c r="AF1061" s="11">
        <v>44764.361111053244</v>
      </c>
      <c r="AG1061" s="53"/>
      <c r="AH1061" s="53" t="b">
        <f t="shared" si="49"/>
        <v>0</v>
      </c>
      <c r="AI1061" s="54" t="str" cm="1">
        <f t="array" ref="AI1061">TRANSPOSE(_xlfn._xlws.FILTER(images!L:L,images!F:F=Barrierenmessung!A1061, ""))</f>
        <v>https://captureandgo.cloudlab.zhaw.ch/uploads/image_46b04a0681.jpg</v>
      </c>
      <c r="AJ1061" s="2"/>
      <c r="AK1061" s="2"/>
      <c r="AL1061" s="2"/>
      <c r="AM1061" s="2"/>
      <c r="AN1061" s="2"/>
    </row>
    <row r="1062" spans="1:40" ht="16" x14ac:dyDescent="0.2">
      <c r="A1062" s="2" t="s">
        <v>3412</v>
      </c>
      <c r="B1062" s="46">
        <v>1061</v>
      </c>
      <c r="C1062" s="2" t="b">
        <v>0</v>
      </c>
      <c r="D1062" s="2" t="b">
        <v>0</v>
      </c>
      <c r="E1062" s="2" t="b">
        <v>0</v>
      </c>
      <c r="F1062" s="2" t="b">
        <v>0</v>
      </c>
      <c r="G1062" s="2" t="s">
        <v>31</v>
      </c>
      <c r="H1062" s="2" t="s">
        <v>3413</v>
      </c>
      <c r="I1062" s="2" t="s">
        <v>3414</v>
      </c>
      <c r="J1062" s="2" t="s">
        <v>35</v>
      </c>
      <c r="K1062" s="2" t="s">
        <v>35</v>
      </c>
      <c r="L1062" s="2" t="s">
        <v>35</v>
      </c>
      <c r="M1062" s="2" t="s">
        <v>35</v>
      </c>
      <c r="N1062" s="2" t="s">
        <v>35</v>
      </c>
      <c r="O1062" s="11">
        <v>44764.435166539355</v>
      </c>
      <c r="P1062" s="11">
        <v>44764.435264652777</v>
      </c>
      <c r="Q1062" s="27">
        <f t="shared" si="48"/>
        <v>9.811342169996351E-5</v>
      </c>
      <c r="R1062" s="65">
        <f t="shared" si="50"/>
        <v>2.7194444555789232E-4</v>
      </c>
      <c r="S1062" s="2">
        <v>0</v>
      </c>
      <c r="T1062" s="2" t="s">
        <v>36</v>
      </c>
      <c r="U1062" s="2" t="s">
        <v>37</v>
      </c>
      <c r="V1062" s="2" t="s">
        <v>38</v>
      </c>
      <c r="W1062" s="2" t="s">
        <v>35</v>
      </c>
      <c r="X1062" s="2" t="s">
        <v>35</v>
      </c>
      <c r="Y1062" s="2" t="s">
        <v>35</v>
      </c>
      <c r="Z1062" s="2" t="b">
        <v>0</v>
      </c>
      <c r="AA1062" s="2" t="s">
        <v>35</v>
      </c>
      <c r="AB1062" s="2" t="s">
        <v>35</v>
      </c>
      <c r="AC1062" s="2" t="s">
        <v>35</v>
      </c>
      <c r="AD1062" s="2">
        <v>3</v>
      </c>
      <c r="AE1062" s="2" t="s">
        <v>3248</v>
      </c>
      <c r="AF1062" s="11">
        <v>44764.361111053244</v>
      </c>
      <c r="AG1062" s="53"/>
      <c r="AH1062" s="53" t="b">
        <f t="shared" si="49"/>
        <v>0</v>
      </c>
      <c r="AI1062" s="54" t="str" cm="1">
        <f t="array" ref="AI1062">TRANSPOSE(_xlfn._xlws.FILTER(images!L:L,images!F:F=Barrierenmessung!A1062, ""))</f>
        <v>https://captureandgo.cloudlab.zhaw.ch/uploads/image_3d6971b4b6.jpg</v>
      </c>
      <c r="AJ1062" s="2"/>
      <c r="AK1062" s="2"/>
      <c r="AL1062" s="2"/>
      <c r="AM1062" s="2"/>
      <c r="AN1062" s="2"/>
    </row>
    <row r="1063" spans="1:40" ht="16" x14ac:dyDescent="0.2">
      <c r="A1063" s="2" t="s">
        <v>3415</v>
      </c>
      <c r="B1063" s="46">
        <v>1062</v>
      </c>
      <c r="C1063" s="2" t="b">
        <v>0</v>
      </c>
      <c r="D1063" s="2" t="b">
        <v>0</v>
      </c>
      <c r="E1063" s="2" t="b">
        <v>0</v>
      </c>
      <c r="F1063" s="2" t="b">
        <v>0</v>
      </c>
      <c r="G1063" s="2" t="s">
        <v>31</v>
      </c>
      <c r="H1063" s="2" t="s">
        <v>3416</v>
      </c>
      <c r="I1063" s="2" t="s">
        <v>3417</v>
      </c>
      <c r="J1063" s="2" t="s">
        <v>675</v>
      </c>
      <c r="K1063" s="2" t="s">
        <v>35</v>
      </c>
      <c r="L1063" s="2" t="s">
        <v>35</v>
      </c>
      <c r="M1063" s="2" t="s">
        <v>35</v>
      </c>
      <c r="N1063" s="2" t="s">
        <v>35</v>
      </c>
      <c r="O1063" s="11">
        <v>44764.435381041665</v>
      </c>
      <c r="P1063" s="11">
        <v>44764.435554224539</v>
      </c>
      <c r="Q1063" s="27">
        <f t="shared" si="48"/>
        <v>1.7318287427769974E-4</v>
      </c>
      <c r="R1063" s="65">
        <f t="shared" si="50"/>
        <v>2.8957176255062222E-4</v>
      </c>
      <c r="S1063" s="2">
        <v>0</v>
      </c>
      <c r="T1063" s="2" t="s">
        <v>124</v>
      </c>
      <c r="U1063" s="2" t="s">
        <v>125</v>
      </c>
      <c r="V1063" s="2" t="s">
        <v>38</v>
      </c>
      <c r="W1063" s="2" t="s">
        <v>35</v>
      </c>
      <c r="X1063" s="2" t="s">
        <v>35</v>
      </c>
      <c r="Y1063" s="2" t="s">
        <v>35</v>
      </c>
      <c r="Z1063" s="2" t="b">
        <v>0</v>
      </c>
      <c r="AA1063" s="2" t="s">
        <v>35</v>
      </c>
      <c r="AB1063" s="2">
        <v>4</v>
      </c>
      <c r="AC1063" s="2" t="s">
        <v>35</v>
      </c>
      <c r="AD1063" s="2" t="s">
        <v>35</v>
      </c>
      <c r="AE1063" s="2" t="s">
        <v>3248</v>
      </c>
      <c r="AF1063" s="11">
        <v>44764.361111053244</v>
      </c>
      <c r="AG1063" s="53"/>
      <c r="AH1063" s="53" t="b">
        <f t="shared" si="49"/>
        <v>0</v>
      </c>
      <c r="AI1063" s="54" t="str" cm="1">
        <f t="array" ref="AI1063">TRANSPOSE(_xlfn._xlws.FILTER(images!L:L,images!F:F=Barrierenmessung!A1063, ""))</f>
        <v>https://captureandgo.cloudlab.zhaw.ch/uploads/image_0bbbb76007.jpg</v>
      </c>
      <c r="AJ1063" s="2"/>
      <c r="AK1063" s="2"/>
      <c r="AL1063" s="2"/>
      <c r="AM1063" s="2"/>
      <c r="AN1063" s="2"/>
    </row>
    <row r="1064" spans="1:40" ht="16" x14ac:dyDescent="0.2">
      <c r="A1064" s="2" t="s">
        <v>3418</v>
      </c>
      <c r="B1064" s="46">
        <v>1063</v>
      </c>
      <c r="C1064" s="2" t="b">
        <v>0</v>
      </c>
      <c r="D1064" s="2" t="b">
        <v>0</v>
      </c>
      <c r="E1064" s="2" t="b">
        <v>0</v>
      </c>
      <c r="F1064" s="2" t="b">
        <v>0</v>
      </c>
      <c r="G1064" s="2" t="s">
        <v>31</v>
      </c>
      <c r="H1064" s="2" t="s">
        <v>3419</v>
      </c>
      <c r="I1064" s="2" t="s">
        <v>3420</v>
      </c>
      <c r="J1064" s="2" t="s">
        <v>675</v>
      </c>
      <c r="K1064" s="2" t="s">
        <v>35</v>
      </c>
      <c r="L1064" s="2" t="s">
        <v>35</v>
      </c>
      <c r="M1064" s="2" t="s">
        <v>35</v>
      </c>
      <c r="N1064" s="2" t="s">
        <v>35</v>
      </c>
      <c r="O1064" s="11">
        <v>44764.435600937497</v>
      </c>
      <c r="P1064" s="11">
        <v>44764.435831770832</v>
      </c>
      <c r="Q1064" s="27">
        <f t="shared" si="48"/>
        <v>2.3083333508111537E-4</v>
      </c>
      <c r="R1064" s="65">
        <f t="shared" si="50"/>
        <v>2.7754629263654351E-4</v>
      </c>
      <c r="S1064" s="2">
        <v>0</v>
      </c>
      <c r="T1064" s="2" t="s">
        <v>124</v>
      </c>
      <c r="U1064" s="2" t="s">
        <v>125</v>
      </c>
      <c r="V1064" s="2" t="s">
        <v>38</v>
      </c>
      <c r="W1064" s="2" t="s">
        <v>35</v>
      </c>
      <c r="X1064" s="2" t="s">
        <v>35</v>
      </c>
      <c r="Y1064" s="2" t="s">
        <v>35</v>
      </c>
      <c r="Z1064" s="2" t="b">
        <v>0</v>
      </c>
      <c r="AA1064" s="2" t="s">
        <v>35</v>
      </c>
      <c r="AB1064" s="2">
        <v>4</v>
      </c>
      <c r="AC1064" s="2" t="s">
        <v>35</v>
      </c>
      <c r="AD1064" s="2" t="s">
        <v>35</v>
      </c>
      <c r="AE1064" s="2" t="s">
        <v>3248</v>
      </c>
      <c r="AF1064" s="11">
        <v>44764.361111053244</v>
      </c>
      <c r="AG1064" s="53"/>
      <c r="AH1064" s="53" t="b">
        <f t="shared" si="49"/>
        <v>0</v>
      </c>
      <c r="AI1064" s="54" t="str" cm="1">
        <f t="array" ref="AI1064">TRANSPOSE(_xlfn._xlws.FILTER(images!L:L,images!F:F=Barrierenmessung!A1064, ""))</f>
        <v>https://captureandgo.cloudlab.zhaw.ch/uploads/image_d3ad4d1082.jpg</v>
      </c>
      <c r="AJ1064" s="2"/>
      <c r="AK1064" s="2"/>
      <c r="AL1064" s="2"/>
      <c r="AM1064" s="2"/>
      <c r="AN1064" s="2"/>
    </row>
    <row r="1065" spans="1:40" ht="16" x14ac:dyDescent="0.2">
      <c r="A1065" s="2" t="s">
        <v>3421</v>
      </c>
      <c r="B1065" s="46">
        <v>1064</v>
      </c>
      <c r="C1065" s="2" t="b">
        <v>0</v>
      </c>
      <c r="D1065" s="2" t="b">
        <v>0</v>
      </c>
      <c r="E1065" s="2" t="b">
        <v>0</v>
      </c>
      <c r="F1065" s="2" t="b">
        <v>0</v>
      </c>
      <c r="G1065" s="2" t="s">
        <v>31</v>
      </c>
      <c r="H1065" s="2" t="s">
        <v>3422</v>
      </c>
      <c r="I1065" s="2" t="s">
        <v>3423</v>
      </c>
      <c r="J1065" s="2" t="s">
        <v>35</v>
      </c>
      <c r="K1065" s="2" t="s">
        <v>35</v>
      </c>
      <c r="L1065" s="2" t="s">
        <v>35</v>
      </c>
      <c r="M1065" s="2" t="s">
        <v>35</v>
      </c>
      <c r="N1065" s="2" t="s">
        <v>35</v>
      </c>
      <c r="O1065" s="11">
        <v>44764.43653230324</v>
      </c>
      <c r="P1065" s="11">
        <v>44764.436640532411</v>
      </c>
      <c r="Q1065" s="27">
        <f t="shared" si="48"/>
        <v>1.082291710190475E-4</v>
      </c>
      <c r="R1065" s="65">
        <f t="shared" si="50"/>
        <v>8.087615788099356E-4</v>
      </c>
      <c r="S1065" s="2">
        <v>0</v>
      </c>
      <c r="T1065" s="2" t="s">
        <v>36</v>
      </c>
      <c r="U1065" s="2" t="s">
        <v>37</v>
      </c>
      <c r="V1065" s="2" t="s">
        <v>38</v>
      </c>
      <c r="W1065" s="2" t="s">
        <v>35</v>
      </c>
      <c r="X1065" s="2" t="s">
        <v>35</v>
      </c>
      <c r="Y1065" s="2" t="s">
        <v>35</v>
      </c>
      <c r="Z1065" s="2" t="b">
        <v>0</v>
      </c>
      <c r="AA1065" s="2" t="s">
        <v>35</v>
      </c>
      <c r="AB1065" s="2" t="s">
        <v>35</v>
      </c>
      <c r="AC1065" s="2" t="s">
        <v>35</v>
      </c>
      <c r="AD1065" s="2">
        <v>2</v>
      </c>
      <c r="AE1065" s="2" t="s">
        <v>3248</v>
      </c>
      <c r="AF1065" s="11">
        <v>44764.361111053244</v>
      </c>
      <c r="AG1065" s="53"/>
      <c r="AH1065" s="53" t="b">
        <f t="shared" si="49"/>
        <v>0</v>
      </c>
      <c r="AI1065" s="54" t="str" cm="1">
        <f t="array" ref="AI1065">TRANSPOSE(_xlfn._xlws.FILTER(images!L:L,images!F:F=Barrierenmessung!A1065, ""))</f>
        <v>https://captureandgo.cloudlab.zhaw.ch/uploads/image_2e29ea9891.jpg</v>
      </c>
      <c r="AJ1065" s="2"/>
      <c r="AK1065" s="2"/>
      <c r="AL1065" s="2"/>
      <c r="AM1065" s="2"/>
      <c r="AN1065" s="2"/>
    </row>
    <row r="1066" spans="1:40" ht="16" x14ac:dyDescent="0.2">
      <c r="A1066" s="2" t="s">
        <v>3424</v>
      </c>
      <c r="B1066" s="46">
        <v>1065</v>
      </c>
      <c r="C1066" s="2" t="b">
        <v>0</v>
      </c>
      <c r="D1066" s="2" t="b">
        <v>0</v>
      </c>
      <c r="E1066" s="2" t="b">
        <v>0</v>
      </c>
      <c r="F1066" s="2" t="b">
        <v>0</v>
      </c>
      <c r="G1066" s="2" t="s">
        <v>31</v>
      </c>
      <c r="H1066" s="2" t="s">
        <v>3425</v>
      </c>
      <c r="I1066" s="2" t="s">
        <v>3426</v>
      </c>
      <c r="J1066" s="2" t="s">
        <v>675</v>
      </c>
      <c r="K1066" s="2" t="s">
        <v>35</v>
      </c>
      <c r="L1066" s="2" t="s">
        <v>35</v>
      </c>
      <c r="M1066" s="2" t="s">
        <v>35</v>
      </c>
      <c r="N1066" s="2" t="s">
        <v>35</v>
      </c>
      <c r="O1066" s="11">
        <v>44764.439885185187</v>
      </c>
      <c r="P1066" s="11">
        <v>44764.440036377317</v>
      </c>
      <c r="Q1066" s="27">
        <f t="shared" si="48"/>
        <v>1.5119212912395597E-4</v>
      </c>
      <c r="R1066" s="65">
        <f t="shared" si="50"/>
        <v>3.39584490575362E-3</v>
      </c>
      <c r="S1066" s="2">
        <v>0</v>
      </c>
      <c r="T1066" s="2" t="s">
        <v>124</v>
      </c>
      <c r="U1066" s="2" t="s">
        <v>125</v>
      </c>
      <c r="V1066" s="2" t="s">
        <v>38</v>
      </c>
      <c r="W1066" s="2" t="s">
        <v>35</v>
      </c>
      <c r="X1066" s="2" t="s">
        <v>35</v>
      </c>
      <c r="Y1066" s="2" t="s">
        <v>35</v>
      </c>
      <c r="Z1066" s="2" t="b">
        <v>0</v>
      </c>
      <c r="AA1066" s="2" t="s">
        <v>35</v>
      </c>
      <c r="AB1066" s="2">
        <v>4</v>
      </c>
      <c r="AC1066" s="2" t="s">
        <v>35</v>
      </c>
      <c r="AD1066" s="2" t="s">
        <v>35</v>
      </c>
      <c r="AE1066" s="2" t="s">
        <v>3248</v>
      </c>
      <c r="AF1066" s="11">
        <v>44764.361111053244</v>
      </c>
      <c r="AG1066" s="53"/>
      <c r="AH1066" s="53" t="b">
        <f t="shared" si="49"/>
        <v>0</v>
      </c>
      <c r="AI1066" s="54" t="str" cm="1">
        <f t="array" ref="AI1066">TRANSPOSE(_xlfn._xlws.FILTER(images!L:L,images!F:F=Barrierenmessung!A1066, ""))</f>
        <v>https://captureandgo.cloudlab.zhaw.ch/uploads/image_93855129e8.jpg</v>
      </c>
      <c r="AJ1066" s="2"/>
      <c r="AK1066" s="2"/>
      <c r="AL1066" s="2"/>
      <c r="AM1066" s="2"/>
      <c r="AN1066" s="2"/>
    </row>
    <row r="1067" spans="1:40" ht="16" x14ac:dyDescent="0.2">
      <c r="A1067" s="2" t="s">
        <v>3427</v>
      </c>
      <c r="B1067" s="46">
        <v>1066</v>
      </c>
      <c r="C1067" s="2" t="b">
        <v>0</v>
      </c>
      <c r="D1067" s="2" t="b">
        <v>0</v>
      </c>
      <c r="E1067" s="2" t="b">
        <v>0</v>
      </c>
      <c r="F1067" s="2" t="b">
        <v>0</v>
      </c>
      <c r="G1067" s="2" t="s">
        <v>31</v>
      </c>
      <c r="H1067" s="2" t="s">
        <v>3428</v>
      </c>
      <c r="I1067" s="2" t="s">
        <v>3429</v>
      </c>
      <c r="J1067" s="2" t="s">
        <v>1124</v>
      </c>
      <c r="K1067" s="2" t="s">
        <v>35</v>
      </c>
      <c r="L1067" s="2" t="s">
        <v>35</v>
      </c>
      <c r="M1067" s="2" t="s">
        <v>35</v>
      </c>
      <c r="N1067" s="2" t="s">
        <v>35</v>
      </c>
      <c r="O1067" s="11">
        <v>44764.440139664352</v>
      </c>
      <c r="P1067" s="11">
        <v>44764.44046460648</v>
      </c>
      <c r="Q1067" s="27">
        <f t="shared" si="48"/>
        <v>3.2494212791789323E-4</v>
      </c>
      <c r="R1067" s="65">
        <f t="shared" si="50"/>
        <v>4.2822916293516755E-4</v>
      </c>
      <c r="S1067" s="2">
        <v>0</v>
      </c>
      <c r="T1067" s="2" t="s">
        <v>416</v>
      </c>
      <c r="U1067" s="2" t="s">
        <v>417</v>
      </c>
      <c r="V1067" s="2" t="s">
        <v>38</v>
      </c>
      <c r="W1067" s="2" t="s">
        <v>35</v>
      </c>
      <c r="X1067" s="2">
        <v>0</v>
      </c>
      <c r="Y1067" s="2" t="s">
        <v>3387</v>
      </c>
      <c r="Z1067" s="2" t="b">
        <v>0</v>
      </c>
      <c r="AA1067" s="2" t="s">
        <v>35</v>
      </c>
      <c r="AB1067" s="2" t="s">
        <v>35</v>
      </c>
      <c r="AC1067" s="2" t="s">
        <v>35</v>
      </c>
      <c r="AD1067" s="2" t="s">
        <v>35</v>
      </c>
      <c r="AE1067" s="2" t="s">
        <v>3248</v>
      </c>
      <c r="AF1067" s="11">
        <v>44764.361111053244</v>
      </c>
      <c r="AG1067" s="53"/>
      <c r="AH1067" s="53" t="b">
        <f t="shared" si="49"/>
        <v>0</v>
      </c>
      <c r="AI1067" s="54" t="str" cm="1">
        <f t="array" ref="AI1067">TRANSPOSE(_xlfn._xlws.FILTER(images!L:L,images!F:F=Barrierenmessung!A1067, ""))</f>
        <v>https://captureandgo.cloudlab.zhaw.ch/uploads/image_9521376c14.jpg</v>
      </c>
      <c r="AJ1067" s="2"/>
      <c r="AK1067" s="2"/>
      <c r="AL1067" s="2"/>
      <c r="AM1067" s="2"/>
      <c r="AN1067" s="2"/>
    </row>
    <row r="1068" spans="1:40" ht="16" x14ac:dyDescent="0.2">
      <c r="A1068" s="2" t="s">
        <v>3430</v>
      </c>
      <c r="B1068" s="46">
        <v>1067</v>
      </c>
      <c r="C1068" s="2" t="b">
        <v>0</v>
      </c>
      <c r="D1068" s="2" t="b">
        <v>0</v>
      </c>
      <c r="E1068" s="2" t="b">
        <v>0</v>
      </c>
      <c r="F1068" s="2" t="b">
        <v>0</v>
      </c>
      <c r="G1068" s="2" t="s">
        <v>31</v>
      </c>
      <c r="H1068" s="2" t="s">
        <v>3431</v>
      </c>
      <c r="I1068" s="2" t="s">
        <v>3432</v>
      </c>
      <c r="J1068" s="2" t="s">
        <v>35</v>
      </c>
      <c r="K1068" s="2" t="s">
        <v>35</v>
      </c>
      <c r="L1068" s="2" t="s">
        <v>35</v>
      </c>
      <c r="M1068" s="2" t="s">
        <v>35</v>
      </c>
      <c r="N1068" s="2" t="s">
        <v>35</v>
      </c>
      <c r="O1068" s="11">
        <v>44764.441441122683</v>
      </c>
      <c r="P1068" s="11">
        <v>44764.441539004627</v>
      </c>
      <c r="Q1068" s="27">
        <f t="shared" si="48"/>
        <v>9.7881944384425879E-5</v>
      </c>
      <c r="R1068" s="65">
        <f t="shared" si="50"/>
        <v>1.0743981474661268E-3</v>
      </c>
      <c r="S1068" s="2">
        <v>0</v>
      </c>
      <c r="T1068" s="2" t="s">
        <v>36</v>
      </c>
      <c r="U1068" s="2" t="s">
        <v>37</v>
      </c>
      <c r="V1068" s="2" t="s">
        <v>38</v>
      </c>
      <c r="W1068" s="2" t="s">
        <v>35</v>
      </c>
      <c r="X1068" s="2" t="s">
        <v>35</v>
      </c>
      <c r="Y1068" s="2" t="s">
        <v>35</v>
      </c>
      <c r="Z1068" s="2" t="b">
        <v>0</v>
      </c>
      <c r="AA1068" s="2" t="s">
        <v>35</v>
      </c>
      <c r="AB1068" s="2" t="s">
        <v>35</v>
      </c>
      <c r="AC1068" s="2" t="s">
        <v>35</v>
      </c>
      <c r="AD1068" s="2">
        <v>2</v>
      </c>
      <c r="AE1068" s="2" t="s">
        <v>3248</v>
      </c>
      <c r="AF1068" s="11">
        <v>44764.361111053244</v>
      </c>
      <c r="AG1068" s="53"/>
      <c r="AH1068" s="53" t="b">
        <f t="shared" si="49"/>
        <v>0</v>
      </c>
      <c r="AI1068" s="54" t="str" cm="1">
        <f t="array" ref="AI1068">TRANSPOSE(_xlfn._xlws.FILTER(images!L:L,images!F:F=Barrierenmessung!A1068, ""))</f>
        <v>https://captureandgo.cloudlab.zhaw.ch/uploads/image_4e29967ecc.jpg</v>
      </c>
      <c r="AJ1068" s="2"/>
      <c r="AK1068" s="2"/>
      <c r="AL1068" s="2"/>
      <c r="AM1068" s="2"/>
      <c r="AN1068" s="2"/>
    </row>
    <row r="1069" spans="1:40" ht="16" x14ac:dyDescent="0.2">
      <c r="A1069" s="2" t="s">
        <v>3433</v>
      </c>
      <c r="B1069" s="46">
        <v>1068</v>
      </c>
      <c r="C1069" s="2" t="b">
        <v>0</v>
      </c>
      <c r="D1069" s="2" t="b">
        <v>0</v>
      </c>
      <c r="E1069" s="2" t="b">
        <v>0</v>
      </c>
      <c r="F1069" s="2" t="b">
        <v>0</v>
      </c>
      <c r="G1069" s="2" t="s">
        <v>31</v>
      </c>
      <c r="H1069" s="2" t="s">
        <v>3434</v>
      </c>
      <c r="I1069" s="2" t="s">
        <v>3435</v>
      </c>
      <c r="J1069" s="2" t="s">
        <v>35</v>
      </c>
      <c r="K1069" s="2" t="s">
        <v>35</v>
      </c>
      <c r="L1069" s="2" t="s">
        <v>35</v>
      </c>
      <c r="M1069" s="2" t="s">
        <v>35</v>
      </c>
      <c r="N1069" s="2" t="s">
        <v>35</v>
      </c>
      <c r="O1069" s="11">
        <v>44764.442885879631</v>
      </c>
      <c r="P1069" s="11">
        <v>44764.443001377316</v>
      </c>
      <c r="Q1069" s="27">
        <f t="shared" si="48"/>
        <v>1.1549768532859161E-4</v>
      </c>
      <c r="R1069" s="65">
        <f t="shared" si="50"/>
        <v>1.462372689275071E-3</v>
      </c>
      <c r="S1069" s="2">
        <v>0</v>
      </c>
      <c r="T1069" s="2" t="s">
        <v>36</v>
      </c>
      <c r="U1069" s="2" t="s">
        <v>37</v>
      </c>
      <c r="V1069" s="2" t="s">
        <v>38</v>
      </c>
      <c r="W1069" s="2" t="s">
        <v>35</v>
      </c>
      <c r="X1069" s="2" t="s">
        <v>35</v>
      </c>
      <c r="Y1069" s="2" t="s">
        <v>35</v>
      </c>
      <c r="Z1069" s="2" t="b">
        <v>0</v>
      </c>
      <c r="AA1069" s="2" t="s">
        <v>35</v>
      </c>
      <c r="AB1069" s="2" t="s">
        <v>35</v>
      </c>
      <c r="AC1069" s="2" t="s">
        <v>35</v>
      </c>
      <c r="AD1069" s="2">
        <v>2</v>
      </c>
      <c r="AE1069" s="2" t="s">
        <v>3248</v>
      </c>
      <c r="AF1069" s="11">
        <v>44764.361111053244</v>
      </c>
      <c r="AG1069" s="53"/>
      <c r="AH1069" s="53" t="b">
        <f t="shared" si="49"/>
        <v>0</v>
      </c>
      <c r="AI1069" s="54" t="str" cm="1">
        <f t="array" ref="AI1069">TRANSPOSE(_xlfn._xlws.FILTER(images!L:L,images!F:F=Barrierenmessung!A1069, ""))</f>
        <v>https://captureandgo.cloudlab.zhaw.ch/uploads/image_4c1b2006ab.jpg</v>
      </c>
      <c r="AJ1069" s="2"/>
      <c r="AK1069" s="2"/>
      <c r="AL1069" s="2"/>
      <c r="AM1069" s="2"/>
      <c r="AN1069" s="2"/>
    </row>
    <row r="1070" spans="1:40" ht="16" x14ac:dyDescent="0.2">
      <c r="A1070" s="2" t="s">
        <v>3436</v>
      </c>
      <c r="B1070" s="46">
        <v>1069</v>
      </c>
      <c r="C1070" s="2" t="b">
        <v>0</v>
      </c>
      <c r="D1070" s="2" t="b">
        <v>0</v>
      </c>
      <c r="E1070" s="2" t="b">
        <v>0</v>
      </c>
      <c r="F1070" s="2" t="b">
        <v>0</v>
      </c>
      <c r="G1070" s="2" t="s">
        <v>31</v>
      </c>
      <c r="H1070" s="2" t="s">
        <v>3437</v>
      </c>
      <c r="I1070" s="2" t="s">
        <v>3438</v>
      </c>
      <c r="J1070" s="2" t="s">
        <v>35</v>
      </c>
      <c r="K1070" s="2" t="s">
        <v>35</v>
      </c>
      <c r="L1070" s="2">
        <v>11</v>
      </c>
      <c r="M1070" s="2" t="s">
        <v>35</v>
      </c>
      <c r="N1070" s="2" t="s">
        <v>35</v>
      </c>
      <c r="O1070" s="11">
        <v>44764.443183194446</v>
      </c>
      <c r="P1070" s="11">
        <v>44764.443481585651</v>
      </c>
      <c r="Q1070" s="27">
        <f t="shared" si="48"/>
        <v>2.9839120543329045E-4</v>
      </c>
      <c r="R1070" s="65">
        <f t="shared" si="50"/>
        <v>4.8020833492046222E-4</v>
      </c>
      <c r="S1070" s="2">
        <v>0</v>
      </c>
      <c r="T1070" s="2" t="s">
        <v>265</v>
      </c>
      <c r="U1070" s="2" t="s">
        <v>266</v>
      </c>
      <c r="V1070" s="2" t="s">
        <v>38</v>
      </c>
      <c r="W1070" s="2" t="s">
        <v>35</v>
      </c>
      <c r="X1070" s="2" t="s">
        <v>35</v>
      </c>
      <c r="Y1070" s="2" t="s">
        <v>35</v>
      </c>
      <c r="Z1070" s="2" t="b">
        <v>0</v>
      </c>
      <c r="AA1070" s="2" t="s">
        <v>35</v>
      </c>
      <c r="AB1070" s="2" t="s">
        <v>35</v>
      </c>
      <c r="AC1070" s="2" t="s">
        <v>35</v>
      </c>
      <c r="AD1070" s="2" t="s">
        <v>35</v>
      </c>
      <c r="AE1070" s="2" t="s">
        <v>3248</v>
      </c>
      <c r="AF1070" s="11">
        <v>44764.361111053244</v>
      </c>
      <c r="AG1070" s="53"/>
      <c r="AH1070" s="53" t="b">
        <f t="shared" si="49"/>
        <v>0</v>
      </c>
      <c r="AI1070" s="54" t="str" cm="1">
        <f t="array" ref="AI1070">TRANSPOSE(_xlfn._xlws.FILTER(images!L:L,images!F:F=Barrierenmessung!A1070, ""))</f>
        <v>https://captureandgo.cloudlab.zhaw.ch/uploads/image_4af4fbfa75.jpg</v>
      </c>
      <c r="AJ1070" s="2"/>
      <c r="AK1070" s="2"/>
      <c r="AL1070" s="2"/>
      <c r="AM1070" s="2"/>
      <c r="AN1070" s="2"/>
    </row>
    <row r="1071" spans="1:40" ht="16" x14ac:dyDescent="0.2">
      <c r="A1071" s="2" t="s">
        <v>3439</v>
      </c>
      <c r="B1071" s="46">
        <v>1070</v>
      </c>
      <c r="C1071" s="2" t="b">
        <v>0</v>
      </c>
      <c r="D1071" s="2" t="b">
        <v>0</v>
      </c>
      <c r="E1071" s="2" t="b">
        <v>0</v>
      </c>
      <c r="F1071" s="2" t="b">
        <v>0</v>
      </c>
      <c r="G1071" s="2" t="s">
        <v>31</v>
      </c>
      <c r="H1071" s="2" t="s">
        <v>3440</v>
      </c>
      <c r="I1071" s="2" t="s">
        <v>3441</v>
      </c>
      <c r="J1071" s="2" t="s">
        <v>35</v>
      </c>
      <c r="K1071" s="2" t="s">
        <v>35</v>
      </c>
      <c r="L1071" s="2">
        <v>11</v>
      </c>
      <c r="M1071" s="2" t="s">
        <v>35</v>
      </c>
      <c r="N1071" s="2" t="s">
        <v>35</v>
      </c>
      <c r="O1071" s="11">
        <v>44764.443624872685</v>
      </c>
      <c r="P1071" s="11">
        <v>44764.443810509256</v>
      </c>
      <c r="Q1071" s="27">
        <f t="shared" si="48"/>
        <v>1.8563657067716122E-4</v>
      </c>
      <c r="R1071" s="65">
        <f t="shared" si="50"/>
        <v>3.2892360468395054E-4</v>
      </c>
      <c r="S1071" s="2">
        <v>0</v>
      </c>
      <c r="T1071" s="2" t="s">
        <v>265</v>
      </c>
      <c r="U1071" s="2" t="s">
        <v>266</v>
      </c>
      <c r="V1071" s="2" t="s">
        <v>38</v>
      </c>
      <c r="W1071" s="2" t="s">
        <v>35</v>
      </c>
      <c r="X1071" s="2" t="s">
        <v>35</v>
      </c>
      <c r="Y1071" s="2" t="s">
        <v>35</v>
      </c>
      <c r="Z1071" s="2" t="b">
        <v>0</v>
      </c>
      <c r="AA1071" s="2" t="s">
        <v>35</v>
      </c>
      <c r="AB1071" s="2" t="s">
        <v>35</v>
      </c>
      <c r="AC1071" s="2" t="s">
        <v>35</v>
      </c>
      <c r="AD1071" s="2" t="s">
        <v>35</v>
      </c>
      <c r="AE1071" s="2" t="s">
        <v>3248</v>
      </c>
      <c r="AF1071" s="11">
        <v>44764.361111053244</v>
      </c>
      <c r="AG1071" s="53"/>
      <c r="AH1071" s="53" t="b">
        <f t="shared" si="49"/>
        <v>0</v>
      </c>
      <c r="AI1071" s="54" t="str" cm="1">
        <f t="array" ref="AI1071">TRANSPOSE(_xlfn._xlws.FILTER(images!L:L,images!F:F=Barrierenmessung!A1071, ""))</f>
        <v>https://captureandgo.cloudlab.zhaw.ch/uploads/image_1124aa1068.jpg</v>
      </c>
      <c r="AJ1071" s="2"/>
      <c r="AK1071" s="2"/>
      <c r="AL1071" s="2"/>
      <c r="AM1071" s="2"/>
      <c r="AN1071" s="2"/>
    </row>
    <row r="1072" spans="1:40" ht="16" x14ac:dyDescent="0.2">
      <c r="A1072" s="2" t="s">
        <v>3442</v>
      </c>
      <c r="B1072" s="46">
        <v>1071</v>
      </c>
      <c r="C1072" s="2" t="b">
        <v>0</v>
      </c>
      <c r="D1072" s="2" t="b">
        <v>0</v>
      </c>
      <c r="E1072" s="2" t="b">
        <v>0</v>
      </c>
      <c r="F1072" s="2" t="b">
        <v>0</v>
      </c>
      <c r="G1072" s="2" t="s">
        <v>31</v>
      </c>
      <c r="H1072" s="2" t="s">
        <v>3443</v>
      </c>
      <c r="I1072" s="2" t="s">
        <v>3444</v>
      </c>
      <c r="J1072" s="2" t="s">
        <v>35</v>
      </c>
      <c r="K1072" s="2" t="s">
        <v>35</v>
      </c>
      <c r="L1072" s="2">
        <v>4</v>
      </c>
      <c r="M1072" s="2" t="s">
        <v>35</v>
      </c>
      <c r="N1072" s="2" t="s">
        <v>35</v>
      </c>
      <c r="O1072" s="11">
        <v>44764.44503516204</v>
      </c>
      <c r="P1072" s="11">
        <v>44764.445282719906</v>
      </c>
      <c r="Q1072" s="27">
        <f t="shared" si="48"/>
        <v>2.4755786580499262E-4</v>
      </c>
      <c r="R1072" s="65">
        <f t="shared" si="50"/>
        <v>1.4722106498084031E-3</v>
      </c>
      <c r="S1072" s="2">
        <v>0</v>
      </c>
      <c r="T1072" s="2" t="s">
        <v>265</v>
      </c>
      <c r="U1072" s="2" t="s">
        <v>266</v>
      </c>
      <c r="V1072" s="2" t="s">
        <v>38</v>
      </c>
      <c r="W1072" s="2" t="s">
        <v>35</v>
      </c>
      <c r="X1072" s="2" t="s">
        <v>35</v>
      </c>
      <c r="Y1072" s="2" t="s">
        <v>35</v>
      </c>
      <c r="Z1072" s="2" t="b">
        <v>0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3248</v>
      </c>
      <c r="AF1072" s="11">
        <v>44764.361111053244</v>
      </c>
      <c r="AG1072" s="53"/>
      <c r="AH1072" s="53" t="b">
        <f t="shared" si="49"/>
        <v>0</v>
      </c>
      <c r="AI1072" s="54" t="str" cm="1">
        <f t="array" ref="AI1072">TRANSPOSE(_xlfn._xlws.FILTER(images!L:L,images!F:F=Barrierenmessung!A1072, ""))</f>
        <v>https://captureandgo.cloudlab.zhaw.ch/uploads/image_624771b17d.jpg</v>
      </c>
      <c r="AJ1072" s="2"/>
      <c r="AK1072" s="2"/>
      <c r="AL1072" s="2"/>
      <c r="AM1072" s="2"/>
      <c r="AN1072" s="2"/>
    </row>
    <row r="1073" spans="1:40" ht="16" x14ac:dyDescent="0.2">
      <c r="A1073" s="2" t="s">
        <v>3445</v>
      </c>
      <c r="B1073" s="46">
        <v>1072</v>
      </c>
      <c r="C1073" s="2" t="b">
        <v>0</v>
      </c>
      <c r="D1073" s="2" t="b">
        <v>0</v>
      </c>
      <c r="E1073" s="2" t="b">
        <v>0</v>
      </c>
      <c r="F1073" s="2" t="b">
        <v>0</v>
      </c>
      <c r="G1073" s="2" t="s">
        <v>31</v>
      </c>
      <c r="H1073" s="2" t="s">
        <v>3446</v>
      </c>
      <c r="I1073" s="2" t="s">
        <v>3447</v>
      </c>
      <c r="J1073" s="2" t="s">
        <v>35</v>
      </c>
      <c r="K1073" s="2" t="s">
        <v>35</v>
      </c>
      <c r="L1073" s="2">
        <v>4</v>
      </c>
      <c r="M1073" s="2" t="s">
        <v>35</v>
      </c>
      <c r="N1073" s="2" t="s">
        <v>35</v>
      </c>
      <c r="O1073" s="11">
        <v>44764.445385659725</v>
      </c>
      <c r="P1073" s="11">
        <v>44764.445555092592</v>
      </c>
      <c r="Q1073" s="27">
        <f t="shared" si="48"/>
        <v>1.6943286755122244E-4</v>
      </c>
      <c r="R1073" s="65">
        <f t="shared" si="50"/>
        <v>2.7237268659519032E-4</v>
      </c>
      <c r="S1073" s="2">
        <v>0</v>
      </c>
      <c r="T1073" s="2" t="s">
        <v>265</v>
      </c>
      <c r="U1073" s="2" t="s">
        <v>266</v>
      </c>
      <c r="V1073" s="2" t="s">
        <v>38</v>
      </c>
      <c r="W1073" s="2" t="s">
        <v>35</v>
      </c>
      <c r="X1073" s="2" t="s">
        <v>35</v>
      </c>
      <c r="Y1073" s="2" t="s">
        <v>35</v>
      </c>
      <c r="Z1073" s="2" t="b">
        <v>0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3248</v>
      </c>
      <c r="AF1073" s="11">
        <v>44764.361111053244</v>
      </c>
      <c r="AG1073" s="53"/>
      <c r="AH1073" s="53" t="b">
        <f t="shared" si="49"/>
        <v>0</v>
      </c>
      <c r="AI1073" s="54" t="str" cm="1">
        <f t="array" ref="AI1073">TRANSPOSE(_xlfn._xlws.FILTER(images!L:L,images!F:F=Barrierenmessung!A1073, ""))</f>
        <v>https://captureandgo.cloudlab.zhaw.ch/uploads/image_84740490c2.jpg</v>
      </c>
      <c r="AJ1073" s="2"/>
      <c r="AK1073" s="2"/>
      <c r="AL1073" s="2"/>
      <c r="AM1073" s="2"/>
      <c r="AN1073" s="2"/>
    </row>
    <row r="1074" spans="1:40" ht="16" x14ac:dyDescent="0.2">
      <c r="A1074" s="2" t="s">
        <v>3448</v>
      </c>
      <c r="B1074" s="46">
        <v>1073</v>
      </c>
      <c r="C1074" s="2" t="b">
        <v>0</v>
      </c>
      <c r="D1074" s="2" t="b">
        <v>0</v>
      </c>
      <c r="E1074" s="2" t="b">
        <v>0</v>
      </c>
      <c r="F1074" s="2" t="b">
        <v>0</v>
      </c>
      <c r="G1074" s="2" t="s">
        <v>31</v>
      </c>
      <c r="H1074" s="2" t="s">
        <v>3449</v>
      </c>
      <c r="I1074" s="2" t="s">
        <v>3450</v>
      </c>
      <c r="J1074" s="2" t="s">
        <v>35</v>
      </c>
      <c r="K1074" s="2" t="s">
        <v>35</v>
      </c>
      <c r="L1074" s="2">
        <v>11</v>
      </c>
      <c r="M1074" s="2" t="s">
        <v>35</v>
      </c>
      <c r="N1074" s="2" t="s">
        <v>35</v>
      </c>
      <c r="O1074" s="11">
        <v>44764.44576372685</v>
      </c>
      <c r="P1074" s="11">
        <v>44764.445891261574</v>
      </c>
      <c r="Q1074" s="27">
        <f t="shared" si="48"/>
        <v>1.2753472401527688E-4</v>
      </c>
      <c r="R1074" s="65">
        <f t="shared" si="50"/>
        <v>3.3616898144828156E-4</v>
      </c>
      <c r="S1074" s="2">
        <v>0</v>
      </c>
      <c r="T1074" s="2" t="s">
        <v>265</v>
      </c>
      <c r="U1074" s="2" t="s">
        <v>266</v>
      </c>
      <c r="V1074" s="2" t="s">
        <v>38</v>
      </c>
      <c r="W1074" s="2" t="s">
        <v>35</v>
      </c>
      <c r="X1074" s="2" t="s">
        <v>35</v>
      </c>
      <c r="Y1074" s="2" t="s">
        <v>35</v>
      </c>
      <c r="Z1074" s="2" t="b">
        <v>0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2" t="s">
        <v>3248</v>
      </c>
      <c r="AF1074" s="11">
        <v>44764.361111053244</v>
      </c>
      <c r="AG1074" s="53"/>
      <c r="AH1074" s="53" t="b">
        <f t="shared" si="49"/>
        <v>0</v>
      </c>
      <c r="AI1074" s="54" t="str" cm="1">
        <f t="array" ref="AI1074">TRANSPOSE(_xlfn._xlws.FILTER(images!L:L,images!F:F=Barrierenmessung!A1074, ""))</f>
        <v>https://captureandgo.cloudlab.zhaw.ch/uploads/image_4fd77b3548.jpg</v>
      </c>
      <c r="AJ1074" s="2"/>
      <c r="AK1074" s="2"/>
      <c r="AL1074" s="2"/>
      <c r="AM1074" s="2"/>
      <c r="AN1074" s="2"/>
    </row>
    <row r="1075" spans="1:40" ht="16" x14ac:dyDescent="0.2">
      <c r="A1075" s="2" t="s">
        <v>3451</v>
      </c>
      <c r="B1075" s="46">
        <v>1074</v>
      </c>
      <c r="C1075" s="2" t="b">
        <v>0</v>
      </c>
      <c r="D1075" s="2" t="b">
        <v>0</v>
      </c>
      <c r="E1075" s="2" t="b">
        <v>0</v>
      </c>
      <c r="F1075" s="2" t="b">
        <v>0</v>
      </c>
      <c r="G1075" s="2" t="s">
        <v>31</v>
      </c>
      <c r="H1075" s="2" t="s">
        <v>3452</v>
      </c>
      <c r="I1075" s="2" t="s">
        <v>3453</v>
      </c>
      <c r="J1075" s="2" t="s">
        <v>3454</v>
      </c>
      <c r="K1075" s="2" t="s">
        <v>35</v>
      </c>
      <c r="L1075" s="2" t="s">
        <v>35</v>
      </c>
      <c r="M1075" s="2" t="s">
        <v>35</v>
      </c>
      <c r="N1075" s="2" t="s">
        <v>35</v>
      </c>
      <c r="O1075" s="11">
        <v>44764.446387152777</v>
      </c>
      <c r="P1075" s="11">
        <v>44764.446809479166</v>
      </c>
      <c r="Q1075" s="27">
        <f t="shared" si="48"/>
        <v>4.2232638952555135E-4</v>
      </c>
      <c r="R1075" s="65">
        <f t="shared" si="50"/>
        <v>9.1821759269805625E-4</v>
      </c>
      <c r="S1075" s="2">
        <v>0</v>
      </c>
      <c r="T1075" s="2" t="s">
        <v>109</v>
      </c>
      <c r="U1075" s="2" t="s">
        <v>110</v>
      </c>
      <c r="V1075" s="2" t="s">
        <v>38</v>
      </c>
      <c r="W1075" s="2" t="s">
        <v>35</v>
      </c>
      <c r="X1075" s="2">
        <v>56</v>
      </c>
      <c r="Y1075" s="2" t="s">
        <v>3455</v>
      </c>
      <c r="Z1075" s="2" t="b">
        <v>0</v>
      </c>
      <c r="AA1075" s="2" t="s">
        <v>35</v>
      </c>
      <c r="AB1075" s="2" t="s">
        <v>35</v>
      </c>
      <c r="AC1075" s="2" t="s">
        <v>35</v>
      </c>
      <c r="AD1075" s="2" t="s">
        <v>35</v>
      </c>
      <c r="AE1075" s="2" t="s">
        <v>3248</v>
      </c>
      <c r="AF1075" s="11">
        <v>44764.361111053244</v>
      </c>
      <c r="AG1075" s="53"/>
      <c r="AH1075" s="53" t="b">
        <f t="shared" si="49"/>
        <v>0</v>
      </c>
      <c r="AI1075" s="54" t="str" cm="1">
        <f t="array" ref="AI1075">TRANSPOSE(_xlfn._xlws.FILTER(images!L:L,images!F:F=Barrierenmessung!A1075, ""))</f>
        <v>https://captureandgo.cloudlab.zhaw.ch/uploads/image_8f8de2f126.jpg</v>
      </c>
      <c r="AJ1075" s="2"/>
      <c r="AK1075" s="2"/>
      <c r="AL1075" s="2"/>
      <c r="AM1075" s="2"/>
      <c r="AN1075" s="2"/>
    </row>
    <row r="1076" spans="1:40" ht="16" x14ac:dyDescent="0.2">
      <c r="A1076" s="2" t="s">
        <v>3456</v>
      </c>
      <c r="B1076" s="46">
        <v>1075</v>
      </c>
      <c r="C1076" s="2" t="b">
        <v>0</v>
      </c>
      <c r="D1076" s="2" t="b">
        <v>0</v>
      </c>
      <c r="E1076" s="2" t="b">
        <v>0</v>
      </c>
      <c r="F1076" s="2" t="b">
        <v>0</v>
      </c>
      <c r="G1076" s="2" t="s">
        <v>31</v>
      </c>
      <c r="H1076" s="2" t="s">
        <v>3457</v>
      </c>
      <c r="I1076" s="2" t="s">
        <v>3458</v>
      </c>
      <c r="J1076" s="2" t="s">
        <v>3459</v>
      </c>
      <c r="K1076" s="2" t="s">
        <v>35</v>
      </c>
      <c r="L1076" s="2" t="s">
        <v>35</v>
      </c>
      <c r="M1076" s="2" t="s">
        <v>35</v>
      </c>
      <c r="N1076" s="2" t="s">
        <v>35</v>
      </c>
      <c r="O1076" s="11">
        <v>44764.447505312499</v>
      </c>
      <c r="P1076" s="11">
        <v>44764.447820081019</v>
      </c>
      <c r="Q1076" s="27">
        <f t="shared" si="48"/>
        <v>3.1476852018386126E-4</v>
      </c>
      <c r="R1076" s="65">
        <f t="shared" si="50"/>
        <v>1.0106018526130356E-3</v>
      </c>
      <c r="S1076" s="2">
        <v>0</v>
      </c>
      <c r="T1076" s="2" t="s">
        <v>109</v>
      </c>
      <c r="U1076" s="2" t="s">
        <v>110</v>
      </c>
      <c r="V1076" s="2" t="s">
        <v>38</v>
      </c>
      <c r="W1076" s="2" t="s">
        <v>35</v>
      </c>
      <c r="X1076" s="2">
        <v>56</v>
      </c>
      <c r="Y1076" s="2" t="s">
        <v>35</v>
      </c>
      <c r="Z1076" s="2" t="b">
        <v>0</v>
      </c>
      <c r="AA1076" s="2" t="s">
        <v>35</v>
      </c>
      <c r="AB1076" s="2" t="s">
        <v>35</v>
      </c>
      <c r="AC1076" s="2" t="s">
        <v>35</v>
      </c>
      <c r="AD1076" s="2" t="s">
        <v>35</v>
      </c>
      <c r="AE1076" s="2" t="s">
        <v>3248</v>
      </c>
      <c r="AF1076" s="11">
        <v>44764.361111053244</v>
      </c>
      <c r="AG1076" s="53"/>
      <c r="AH1076" s="53" t="b">
        <f t="shared" si="49"/>
        <v>0</v>
      </c>
      <c r="AI1076" s="54" t="str" cm="1">
        <f t="array" ref="AI1076">TRANSPOSE(_xlfn._xlws.FILTER(images!L:L,images!F:F=Barrierenmessung!A1076, ""))</f>
        <v>https://captureandgo.cloudlab.zhaw.ch/uploads/image_ac91742727.jpg</v>
      </c>
      <c r="AJ1076" s="2"/>
      <c r="AK1076" s="2"/>
      <c r="AL1076" s="2"/>
      <c r="AM1076" s="2"/>
      <c r="AN1076" s="2"/>
    </row>
    <row r="1077" spans="1:40" ht="16" x14ac:dyDescent="0.2">
      <c r="A1077" s="2" t="s">
        <v>3460</v>
      </c>
      <c r="B1077" s="46">
        <v>1076</v>
      </c>
      <c r="C1077" s="2" t="b">
        <v>0</v>
      </c>
      <c r="D1077" s="2" t="b">
        <v>0</v>
      </c>
      <c r="E1077" s="2" t="b">
        <v>0</v>
      </c>
      <c r="F1077" s="2" t="b">
        <v>0</v>
      </c>
      <c r="G1077" s="2" t="s">
        <v>31</v>
      </c>
      <c r="H1077" s="2" t="s">
        <v>3461</v>
      </c>
      <c r="I1077" s="2" t="s">
        <v>3462</v>
      </c>
      <c r="J1077" s="2" t="s">
        <v>3463</v>
      </c>
      <c r="K1077" s="2" t="s">
        <v>35</v>
      </c>
      <c r="L1077" s="2" t="s">
        <v>35</v>
      </c>
      <c r="M1077" s="2" t="s">
        <v>35</v>
      </c>
      <c r="N1077" s="2" t="s">
        <v>35</v>
      </c>
      <c r="O1077" s="11">
        <v>44764.448950162034</v>
      </c>
      <c r="P1077" s="11">
        <v>44764.449161192133</v>
      </c>
      <c r="Q1077" s="27">
        <f t="shared" si="48"/>
        <v>2.1103009930811822E-4</v>
      </c>
      <c r="R1077" s="65">
        <f t="shared" si="50"/>
        <v>1.3411111140158027E-3</v>
      </c>
      <c r="S1077" s="2">
        <v>0</v>
      </c>
      <c r="T1077" s="2" t="s">
        <v>36</v>
      </c>
      <c r="U1077" s="2" t="s">
        <v>37</v>
      </c>
      <c r="V1077" s="2" t="s">
        <v>38</v>
      </c>
      <c r="W1077" s="2" t="s">
        <v>35</v>
      </c>
      <c r="X1077" s="2" t="s">
        <v>35</v>
      </c>
      <c r="Y1077" s="2" t="s">
        <v>35</v>
      </c>
      <c r="Z1077" s="2" t="b">
        <v>0</v>
      </c>
      <c r="AA1077" s="2" t="s">
        <v>35</v>
      </c>
      <c r="AB1077" s="2" t="s">
        <v>35</v>
      </c>
      <c r="AC1077" s="2">
        <v>4</v>
      </c>
      <c r="AD1077" s="2">
        <v>3</v>
      </c>
      <c r="AE1077" s="2" t="s">
        <v>3248</v>
      </c>
      <c r="AF1077" s="11">
        <v>44764.361111053244</v>
      </c>
      <c r="AG1077" s="53"/>
      <c r="AH1077" s="53" t="b">
        <f t="shared" si="49"/>
        <v>0</v>
      </c>
      <c r="AI1077" s="54" t="str" cm="1">
        <f t="array" ref="AI1077">TRANSPOSE(_xlfn._xlws.FILTER(images!L:L,images!F:F=Barrierenmessung!A1077, ""))</f>
        <v>https://captureandgo.cloudlab.zhaw.ch/uploads/image_aa625294e1.jpg</v>
      </c>
      <c r="AJ1077" s="2"/>
      <c r="AK1077" s="2"/>
      <c r="AL1077" s="2"/>
      <c r="AM1077" s="2"/>
      <c r="AN1077" s="2"/>
    </row>
    <row r="1078" spans="1:40" ht="16" x14ac:dyDescent="0.2">
      <c r="A1078" s="2" t="s">
        <v>3464</v>
      </c>
      <c r="B1078" s="46">
        <v>1077</v>
      </c>
      <c r="C1078" s="2" t="b">
        <v>0</v>
      </c>
      <c r="D1078" s="2" t="b">
        <v>0</v>
      </c>
      <c r="E1078" s="2" t="b">
        <v>0</v>
      </c>
      <c r="F1078" s="2" t="b">
        <v>0</v>
      </c>
      <c r="G1078" s="2" t="s">
        <v>31</v>
      </c>
      <c r="H1078" s="2" t="s">
        <v>3465</v>
      </c>
      <c r="I1078" s="2" t="s">
        <v>3466</v>
      </c>
      <c r="J1078" s="2" t="s">
        <v>35</v>
      </c>
      <c r="K1078" s="2" t="s">
        <v>35</v>
      </c>
      <c r="L1078" s="2" t="s">
        <v>35</v>
      </c>
      <c r="M1078" s="2" t="s">
        <v>35</v>
      </c>
      <c r="N1078" s="2" t="s">
        <v>35</v>
      </c>
      <c r="O1078" s="11">
        <v>44764.452772719909</v>
      </c>
      <c r="P1078" s="11">
        <v>44764.452899629629</v>
      </c>
      <c r="Q1078" s="27">
        <f t="shared" si="48"/>
        <v>1.2690971925621852E-4</v>
      </c>
      <c r="R1078" s="65">
        <f t="shared" si="50"/>
        <v>3.7384374954854138E-3</v>
      </c>
      <c r="S1078" s="2">
        <v>0</v>
      </c>
      <c r="T1078" s="2" t="s">
        <v>36</v>
      </c>
      <c r="U1078" s="2" t="s">
        <v>37</v>
      </c>
      <c r="V1078" s="2" t="s">
        <v>38</v>
      </c>
      <c r="W1078" s="2" t="s">
        <v>35</v>
      </c>
      <c r="X1078" s="2" t="s">
        <v>35</v>
      </c>
      <c r="Y1078" s="2" t="s">
        <v>35</v>
      </c>
      <c r="Z1078" s="2" t="b">
        <v>0</v>
      </c>
      <c r="AA1078" s="2" t="s">
        <v>35</v>
      </c>
      <c r="AB1078" s="2" t="s">
        <v>35</v>
      </c>
      <c r="AC1078" s="2" t="s">
        <v>35</v>
      </c>
      <c r="AD1078" s="2">
        <v>2</v>
      </c>
      <c r="AE1078" s="2" t="s">
        <v>3248</v>
      </c>
      <c r="AF1078" s="11">
        <v>44764.361111053244</v>
      </c>
      <c r="AG1078" s="53"/>
      <c r="AH1078" s="53" t="b">
        <f t="shared" si="49"/>
        <v>0</v>
      </c>
      <c r="AI1078" s="54" t="str" cm="1">
        <f t="array" ref="AI1078">TRANSPOSE(_xlfn._xlws.FILTER(images!L:L,images!F:F=Barrierenmessung!A1078, ""))</f>
        <v>https://captureandgo.cloudlab.zhaw.ch/uploads/image_80308e4cfb.jpg</v>
      </c>
      <c r="AJ1078" s="2"/>
      <c r="AK1078" s="2"/>
      <c r="AL1078" s="2"/>
      <c r="AM1078" s="2"/>
      <c r="AN1078" s="2"/>
    </row>
    <row r="1079" spans="1:40" ht="16" x14ac:dyDescent="0.2">
      <c r="A1079" s="2" t="s">
        <v>3467</v>
      </c>
      <c r="B1079" s="46">
        <v>1078</v>
      </c>
      <c r="C1079" s="2" t="b">
        <v>0</v>
      </c>
      <c r="D1079" s="2" t="b">
        <v>0</v>
      </c>
      <c r="E1079" s="2" t="b">
        <v>0</v>
      </c>
      <c r="F1079" s="2" t="b">
        <v>0</v>
      </c>
      <c r="G1079" s="2" t="s">
        <v>31</v>
      </c>
      <c r="H1079" s="2" t="s">
        <v>3468</v>
      </c>
      <c r="I1079" s="2" t="s">
        <v>3469</v>
      </c>
      <c r="J1079" s="2" t="s">
        <v>3470</v>
      </c>
      <c r="K1079" s="2" t="s">
        <v>35</v>
      </c>
      <c r="L1079" s="2" t="s">
        <v>35</v>
      </c>
      <c r="M1079" s="2" t="s">
        <v>35</v>
      </c>
      <c r="N1079" s="2" t="s">
        <v>35</v>
      </c>
      <c r="O1079" s="11">
        <v>44764.453991203707</v>
      </c>
      <c r="P1079" s="11">
        <v>44764.454143842595</v>
      </c>
      <c r="Q1079" s="27">
        <f t="shared" si="48"/>
        <v>1.5263888781191781E-4</v>
      </c>
      <c r="R1079" s="65">
        <f t="shared" si="50"/>
        <v>1.2442129664123058E-3</v>
      </c>
      <c r="S1079" s="2">
        <v>0</v>
      </c>
      <c r="T1079" s="2" t="s">
        <v>109</v>
      </c>
      <c r="U1079" s="2" t="s">
        <v>110</v>
      </c>
      <c r="V1079" s="2" t="s">
        <v>38</v>
      </c>
      <c r="W1079" s="2" t="s">
        <v>35</v>
      </c>
      <c r="X1079" s="2">
        <v>100</v>
      </c>
      <c r="Y1079" s="2" t="s">
        <v>35</v>
      </c>
      <c r="Z1079" s="2" t="b">
        <v>0</v>
      </c>
      <c r="AA1079" s="2" t="s">
        <v>35</v>
      </c>
      <c r="AB1079" s="2" t="s">
        <v>35</v>
      </c>
      <c r="AC1079" s="2" t="s">
        <v>35</v>
      </c>
      <c r="AD1079" s="2" t="s">
        <v>35</v>
      </c>
      <c r="AE1079" s="2" t="s">
        <v>3248</v>
      </c>
      <c r="AF1079" s="11">
        <v>44764.361111053244</v>
      </c>
      <c r="AG1079" s="53"/>
      <c r="AH1079" s="53" t="b">
        <f t="shared" si="49"/>
        <v>0</v>
      </c>
      <c r="AI1079" s="54" t="str" cm="1">
        <f t="array" ref="AI1079">TRANSPOSE(_xlfn._xlws.FILTER(images!L:L,images!F:F=Barrierenmessung!A1079, ""))</f>
        <v>https://captureandgo.cloudlab.zhaw.ch/uploads/image_8f91520d3e.jpg</v>
      </c>
      <c r="AJ1079" s="2"/>
      <c r="AK1079" s="2"/>
      <c r="AL1079" s="2"/>
      <c r="AM1079" s="2"/>
      <c r="AN1079" s="2"/>
    </row>
    <row r="1080" spans="1:40" ht="16" x14ac:dyDescent="0.2">
      <c r="A1080" s="2" t="s">
        <v>3471</v>
      </c>
      <c r="B1080" s="46">
        <v>1079</v>
      </c>
      <c r="C1080" s="2" t="b">
        <v>0</v>
      </c>
      <c r="D1080" s="2" t="b">
        <v>0</v>
      </c>
      <c r="E1080" s="2" t="b">
        <v>0</v>
      </c>
      <c r="F1080" s="2" t="b">
        <v>0</v>
      </c>
      <c r="G1080" s="2" t="s">
        <v>31</v>
      </c>
      <c r="H1080" s="2" t="s">
        <v>3472</v>
      </c>
      <c r="I1080" s="2" t="s">
        <v>3473</v>
      </c>
      <c r="J1080" s="2" t="s">
        <v>35</v>
      </c>
      <c r="K1080" s="2" t="s">
        <v>35</v>
      </c>
      <c r="L1080" s="2" t="s">
        <v>35</v>
      </c>
      <c r="M1080" s="2" t="s">
        <v>35</v>
      </c>
      <c r="N1080" s="2" t="s">
        <v>35</v>
      </c>
      <c r="O1080" s="11">
        <v>44764.454373391207</v>
      </c>
      <c r="P1080" s="11">
        <v>44764.454472291669</v>
      </c>
      <c r="Q1080" s="27">
        <f t="shared" si="48"/>
        <v>9.8900462035089731E-5</v>
      </c>
      <c r="R1080" s="65">
        <f t="shared" si="50"/>
        <v>3.2844907400431111E-4</v>
      </c>
      <c r="S1080" s="2">
        <v>0</v>
      </c>
      <c r="T1080" s="2" t="s">
        <v>36</v>
      </c>
      <c r="U1080" s="2" t="s">
        <v>37</v>
      </c>
      <c r="V1080" s="2" t="s">
        <v>38</v>
      </c>
      <c r="W1080" s="2" t="s">
        <v>35</v>
      </c>
      <c r="X1080" s="2" t="s">
        <v>35</v>
      </c>
      <c r="Y1080" s="2" t="s">
        <v>35</v>
      </c>
      <c r="Z1080" s="2" t="b">
        <v>0</v>
      </c>
      <c r="AA1080" s="2" t="s">
        <v>35</v>
      </c>
      <c r="AB1080" s="2" t="s">
        <v>35</v>
      </c>
      <c r="AC1080" s="2" t="s">
        <v>35</v>
      </c>
      <c r="AD1080" s="2">
        <v>2</v>
      </c>
      <c r="AE1080" s="2" t="s">
        <v>3248</v>
      </c>
      <c r="AF1080" s="11">
        <v>44764.361111053244</v>
      </c>
      <c r="AG1080" s="53"/>
      <c r="AH1080" s="53" t="b">
        <f t="shared" si="49"/>
        <v>0</v>
      </c>
      <c r="AI1080" s="54" t="str" cm="1">
        <f t="array" ref="AI1080">TRANSPOSE(_xlfn._xlws.FILTER(images!L:L,images!F:F=Barrierenmessung!A1080, ""))</f>
        <v>https://captureandgo.cloudlab.zhaw.ch/uploads/image_e6d35a993b.jpg</v>
      </c>
      <c r="AJ1080" s="2"/>
      <c r="AK1080" s="2"/>
      <c r="AL1080" s="2"/>
      <c r="AM1080" s="2"/>
      <c r="AN1080" s="2"/>
    </row>
    <row r="1081" spans="1:40" ht="16" x14ac:dyDescent="0.2">
      <c r="A1081" s="2" t="s">
        <v>3474</v>
      </c>
      <c r="B1081" s="46">
        <v>1080</v>
      </c>
      <c r="C1081" s="2" t="b">
        <v>0</v>
      </c>
      <c r="D1081" s="2" t="b">
        <v>0</v>
      </c>
      <c r="E1081" s="2" t="b">
        <v>0</v>
      </c>
      <c r="F1081" s="2" t="b">
        <v>0</v>
      </c>
      <c r="G1081" s="2" t="s">
        <v>31</v>
      </c>
      <c r="H1081" s="2" t="s">
        <v>3475</v>
      </c>
      <c r="I1081" s="2" t="s">
        <v>3476</v>
      </c>
      <c r="J1081" s="2" t="s">
        <v>1124</v>
      </c>
      <c r="K1081" s="2" t="s">
        <v>35</v>
      </c>
      <c r="L1081" s="2" t="s">
        <v>35</v>
      </c>
      <c r="M1081" s="2" t="s">
        <v>35</v>
      </c>
      <c r="N1081" s="2" t="s">
        <v>35</v>
      </c>
      <c r="O1081" s="11">
        <v>44764.457558935188</v>
      </c>
      <c r="P1081" s="11">
        <v>44764.457944849535</v>
      </c>
      <c r="Q1081" s="27">
        <f t="shared" si="48"/>
        <v>3.8591434713453054E-4</v>
      </c>
      <c r="R1081" s="65">
        <f t="shared" si="50"/>
        <v>3.4725578661891632E-3</v>
      </c>
      <c r="S1081" s="2">
        <v>0</v>
      </c>
      <c r="T1081" s="2" t="s">
        <v>416</v>
      </c>
      <c r="U1081" s="2" t="s">
        <v>417</v>
      </c>
      <c r="V1081" s="2" t="s">
        <v>38</v>
      </c>
      <c r="W1081" s="2" t="s">
        <v>35</v>
      </c>
      <c r="X1081" s="2">
        <v>0</v>
      </c>
      <c r="Y1081" s="2" t="s">
        <v>3387</v>
      </c>
      <c r="Z1081" s="2" t="b">
        <v>0</v>
      </c>
      <c r="AA1081" s="2" t="s">
        <v>35</v>
      </c>
      <c r="AB1081" s="2" t="s">
        <v>35</v>
      </c>
      <c r="AC1081" s="2" t="s">
        <v>35</v>
      </c>
      <c r="AD1081" s="2" t="s">
        <v>35</v>
      </c>
      <c r="AE1081" s="2" t="s">
        <v>3248</v>
      </c>
      <c r="AF1081" s="11">
        <v>44764.361111053244</v>
      </c>
      <c r="AG1081" s="53"/>
      <c r="AH1081" s="53" t="b">
        <f t="shared" si="49"/>
        <v>0</v>
      </c>
      <c r="AI1081" s="54" t="str" cm="1">
        <f t="array" ref="AI1081">TRANSPOSE(_xlfn._xlws.FILTER(images!L:L,images!F:F=Barrierenmessung!A1081, ""))</f>
        <v>https://captureandgo.cloudlab.zhaw.ch/uploads/image_ce7336f25e.jpg</v>
      </c>
      <c r="AJ1081" s="2"/>
      <c r="AK1081" s="2"/>
      <c r="AL1081" s="2"/>
      <c r="AM1081" s="2"/>
      <c r="AN1081" s="2"/>
    </row>
    <row r="1082" spans="1:40" ht="16" x14ac:dyDescent="0.2">
      <c r="A1082" s="2" t="s">
        <v>3477</v>
      </c>
      <c r="B1082" s="46">
        <v>1081</v>
      </c>
      <c r="C1082" s="2" t="b">
        <v>0</v>
      </c>
      <c r="D1082" s="2" t="b">
        <v>0</v>
      </c>
      <c r="E1082" s="2" t="b">
        <v>0</v>
      </c>
      <c r="F1082" s="2" t="b">
        <v>0</v>
      </c>
      <c r="G1082" s="2" t="s">
        <v>31</v>
      </c>
      <c r="H1082" s="2" t="s">
        <v>3478</v>
      </c>
      <c r="I1082" s="2" t="s">
        <v>3479</v>
      </c>
      <c r="J1082" s="2" t="s">
        <v>35</v>
      </c>
      <c r="K1082" s="2" t="s">
        <v>35</v>
      </c>
      <c r="L1082" s="2" t="s">
        <v>35</v>
      </c>
      <c r="M1082" s="2" t="s">
        <v>35</v>
      </c>
      <c r="N1082" s="2" t="s">
        <v>35</v>
      </c>
      <c r="O1082" s="11">
        <v>44764.458480023146</v>
      </c>
      <c r="P1082" s="11">
        <v>44764.458582245374</v>
      </c>
      <c r="Q1082" s="27">
        <f t="shared" si="48"/>
        <v>1.0222222772426903E-4</v>
      </c>
      <c r="R1082" s="65">
        <f t="shared" si="50"/>
        <v>6.373958385665901E-4</v>
      </c>
      <c r="S1082" s="2">
        <v>0</v>
      </c>
      <c r="T1082" s="2" t="s">
        <v>36</v>
      </c>
      <c r="U1082" s="2" t="s">
        <v>37</v>
      </c>
      <c r="V1082" s="2" t="s">
        <v>38</v>
      </c>
      <c r="W1082" s="2" t="s">
        <v>35</v>
      </c>
      <c r="X1082" s="2" t="s">
        <v>35</v>
      </c>
      <c r="Y1082" s="2" t="s">
        <v>35</v>
      </c>
      <c r="Z1082" s="2" t="b">
        <v>0</v>
      </c>
      <c r="AA1082" s="2" t="s">
        <v>35</v>
      </c>
      <c r="AB1082" s="2" t="s">
        <v>35</v>
      </c>
      <c r="AC1082" s="2" t="s">
        <v>35</v>
      </c>
      <c r="AD1082" s="2">
        <v>2</v>
      </c>
      <c r="AE1082" s="2" t="s">
        <v>3248</v>
      </c>
      <c r="AF1082" s="11">
        <v>44764.361111053244</v>
      </c>
      <c r="AG1082" s="53"/>
      <c r="AH1082" s="53" t="b">
        <f t="shared" si="49"/>
        <v>0</v>
      </c>
      <c r="AI1082" s="54" t="str" cm="1">
        <f t="array" ref="AI1082">TRANSPOSE(_xlfn._xlws.FILTER(images!L:L,images!F:F=Barrierenmessung!A1082, ""))</f>
        <v>https://captureandgo.cloudlab.zhaw.ch/uploads/image_3b21d03571.jpg</v>
      </c>
      <c r="AJ1082" s="2"/>
      <c r="AK1082" s="2"/>
      <c r="AL1082" s="2"/>
      <c r="AM1082" s="2"/>
      <c r="AN1082" s="2"/>
    </row>
    <row r="1083" spans="1:40" ht="16" x14ac:dyDescent="0.2">
      <c r="A1083" s="2" t="s">
        <v>3480</v>
      </c>
      <c r="B1083" s="46">
        <v>1082</v>
      </c>
      <c r="C1083" s="2" t="b">
        <v>0</v>
      </c>
      <c r="D1083" s="2" t="b">
        <v>0</v>
      </c>
      <c r="E1083" s="2" t="b">
        <v>0</v>
      </c>
      <c r="F1083" s="2" t="b">
        <v>0</v>
      </c>
      <c r="G1083" s="2" t="s">
        <v>31</v>
      </c>
      <c r="H1083" s="2" t="s">
        <v>3481</v>
      </c>
      <c r="I1083" s="2" t="s">
        <v>3482</v>
      </c>
      <c r="J1083" s="2" t="s">
        <v>675</v>
      </c>
      <c r="K1083" s="2" t="s">
        <v>35</v>
      </c>
      <c r="L1083" s="2" t="s">
        <v>35</v>
      </c>
      <c r="M1083" s="2" t="s">
        <v>35</v>
      </c>
      <c r="N1083" s="2" t="s">
        <v>35</v>
      </c>
      <c r="O1083" s="11">
        <v>44764.46405289352</v>
      </c>
      <c r="P1083" s="11">
        <v>44764.464233715276</v>
      </c>
      <c r="Q1083" s="27">
        <f t="shared" si="48"/>
        <v>1.8082175665767863E-4</v>
      </c>
      <c r="R1083" s="65">
        <f t="shared" si="50"/>
        <v>5.6514699026593007E-3</v>
      </c>
      <c r="S1083" s="2">
        <v>0</v>
      </c>
      <c r="T1083" s="2" t="s">
        <v>124</v>
      </c>
      <c r="U1083" s="2" t="s">
        <v>125</v>
      </c>
      <c r="V1083" s="2" t="s">
        <v>38</v>
      </c>
      <c r="W1083" s="2" t="s">
        <v>35</v>
      </c>
      <c r="X1083" s="2" t="s">
        <v>35</v>
      </c>
      <c r="Y1083" s="2" t="s">
        <v>35</v>
      </c>
      <c r="Z1083" s="2" t="b">
        <v>0</v>
      </c>
      <c r="AA1083" s="2" t="s">
        <v>35</v>
      </c>
      <c r="AB1083" s="2">
        <v>4</v>
      </c>
      <c r="AC1083" s="2" t="s">
        <v>35</v>
      </c>
      <c r="AD1083" s="2" t="s">
        <v>35</v>
      </c>
      <c r="AE1083" s="2" t="s">
        <v>3248</v>
      </c>
      <c r="AF1083" s="11">
        <v>44764.361111053244</v>
      </c>
      <c r="AG1083" s="53"/>
      <c r="AH1083" s="53" t="b">
        <f t="shared" si="49"/>
        <v>0</v>
      </c>
      <c r="AI1083" s="54" t="str" cm="1">
        <f t="array" ref="AI1083">TRANSPOSE(_xlfn._xlws.FILTER(images!L:L,images!F:F=Barrierenmessung!A1083, ""))</f>
        <v>https://captureandgo.cloudlab.zhaw.ch/uploads/image_7718323138.jpg</v>
      </c>
      <c r="AJ1083" s="2"/>
      <c r="AK1083" s="2"/>
      <c r="AL1083" s="2"/>
      <c r="AM1083" s="2"/>
      <c r="AN1083" s="2"/>
    </row>
    <row r="1084" spans="1:40" ht="16" x14ac:dyDescent="0.2">
      <c r="A1084" s="2" t="s">
        <v>3483</v>
      </c>
      <c r="B1084" s="46">
        <v>1083</v>
      </c>
      <c r="C1084" s="2" t="b">
        <v>0</v>
      </c>
      <c r="D1084" s="2" t="b">
        <v>0</v>
      </c>
      <c r="E1084" s="2" t="b">
        <v>0</v>
      </c>
      <c r="F1084" s="2" t="b">
        <v>0</v>
      </c>
      <c r="G1084" s="2" t="s">
        <v>31</v>
      </c>
      <c r="H1084" s="2" t="s">
        <v>3484</v>
      </c>
      <c r="I1084" s="2" t="s">
        <v>3485</v>
      </c>
      <c r="J1084" s="2" t="s">
        <v>35</v>
      </c>
      <c r="K1084" s="2" t="s">
        <v>35</v>
      </c>
      <c r="L1084" s="2" t="s">
        <v>35</v>
      </c>
      <c r="M1084" s="2">
        <v>2</v>
      </c>
      <c r="N1084" s="2">
        <v>12</v>
      </c>
      <c r="O1084" s="11">
        <v>44764.464874351848</v>
      </c>
      <c r="P1084" s="11">
        <v>44764.465045949073</v>
      </c>
      <c r="Q1084" s="27">
        <f t="shared" si="48"/>
        <v>1.7159722483484074E-4</v>
      </c>
      <c r="R1084" s="65">
        <f t="shared" si="50"/>
        <v>8.1223379675066099E-4</v>
      </c>
      <c r="S1084" s="2">
        <v>0</v>
      </c>
      <c r="T1084" s="2" t="s">
        <v>54</v>
      </c>
      <c r="U1084" s="2" t="s">
        <v>55</v>
      </c>
      <c r="V1084" s="2" t="s">
        <v>38</v>
      </c>
      <c r="W1084" s="2" t="s">
        <v>35</v>
      </c>
      <c r="X1084" s="2" t="s">
        <v>35</v>
      </c>
      <c r="Y1084" s="2" t="s">
        <v>35</v>
      </c>
      <c r="Z1084" s="2" t="b">
        <v>0</v>
      </c>
      <c r="AA1084" s="2" t="s">
        <v>35</v>
      </c>
      <c r="AB1084" s="2" t="s">
        <v>35</v>
      </c>
      <c r="AC1084" s="2" t="s">
        <v>35</v>
      </c>
      <c r="AD1084" s="2" t="s">
        <v>35</v>
      </c>
      <c r="AE1084" s="2" t="s">
        <v>3248</v>
      </c>
      <c r="AF1084" s="11">
        <v>44764.361111053244</v>
      </c>
      <c r="AG1084" s="53"/>
      <c r="AH1084" s="53" t="b">
        <f t="shared" si="49"/>
        <v>0</v>
      </c>
      <c r="AI1084" s="54" t="str" cm="1">
        <f t="array" ref="AI1084">TRANSPOSE(_xlfn._xlws.FILTER(images!L:L,images!F:F=Barrierenmessung!A1084, ""))</f>
        <v>https://captureandgo.cloudlab.zhaw.ch/uploads/image_e451efd8ef.jpg</v>
      </c>
      <c r="AJ1084" s="2"/>
      <c r="AK1084" s="2"/>
      <c r="AL1084" s="2"/>
      <c r="AM1084" s="2"/>
      <c r="AN1084" s="2"/>
    </row>
    <row r="1085" spans="1:40" ht="16" x14ac:dyDescent="0.2">
      <c r="A1085" s="2" t="s">
        <v>3486</v>
      </c>
      <c r="B1085" s="46">
        <v>1084</v>
      </c>
      <c r="C1085" s="2" t="b">
        <v>0</v>
      </c>
      <c r="D1085" s="2" t="b">
        <v>0</v>
      </c>
      <c r="E1085" s="2" t="b">
        <v>0</v>
      </c>
      <c r="F1085" s="2" t="b">
        <v>0</v>
      </c>
      <c r="G1085" s="2" t="s">
        <v>31</v>
      </c>
      <c r="H1085" s="2" t="s">
        <v>3487</v>
      </c>
      <c r="I1085" s="2" t="s">
        <v>3488</v>
      </c>
      <c r="J1085" s="2" t="s">
        <v>35</v>
      </c>
      <c r="K1085" s="2" t="s">
        <v>35</v>
      </c>
      <c r="L1085" s="2" t="s">
        <v>35</v>
      </c>
      <c r="M1085" s="2" t="s">
        <v>35</v>
      </c>
      <c r="N1085" s="2" t="s">
        <v>35</v>
      </c>
      <c r="O1085" s="11">
        <v>44764.470160069446</v>
      </c>
      <c r="P1085" s="11">
        <v>44764.470334745369</v>
      </c>
      <c r="Q1085" s="27">
        <f t="shared" si="48"/>
        <v>1.7467592260800302E-4</v>
      </c>
      <c r="R1085" s="65">
        <f t="shared" si="50"/>
        <v>5.2887962956447154E-3</v>
      </c>
      <c r="S1085" s="2">
        <v>0</v>
      </c>
      <c r="T1085" s="2" t="s">
        <v>36</v>
      </c>
      <c r="U1085" s="2" t="s">
        <v>37</v>
      </c>
      <c r="V1085" s="2" t="s">
        <v>38</v>
      </c>
      <c r="W1085" s="2" t="s">
        <v>35</v>
      </c>
      <c r="X1085" s="2" t="s">
        <v>35</v>
      </c>
      <c r="Y1085" s="2" t="s">
        <v>35</v>
      </c>
      <c r="Z1085" s="2" t="b">
        <v>0</v>
      </c>
      <c r="AA1085" s="2" t="s">
        <v>35</v>
      </c>
      <c r="AB1085" s="2" t="s">
        <v>35</v>
      </c>
      <c r="AC1085" s="2" t="s">
        <v>35</v>
      </c>
      <c r="AD1085" s="2">
        <v>2</v>
      </c>
      <c r="AE1085" s="2" t="s">
        <v>3248</v>
      </c>
      <c r="AF1085" s="11">
        <v>44764.361111053244</v>
      </c>
      <c r="AG1085" s="53"/>
      <c r="AH1085" s="53" t="b">
        <f t="shared" si="49"/>
        <v>0</v>
      </c>
      <c r="AI1085" s="54" t="str" cm="1">
        <f t="array" ref="AI1085">TRANSPOSE(_xlfn._xlws.FILTER(images!L:L,images!F:F=Barrierenmessung!A1085, ""))</f>
        <v>https://captureandgo.cloudlab.zhaw.ch/uploads/image_7e07f4d124.jpg</v>
      </c>
      <c r="AJ1085" s="2"/>
      <c r="AK1085" s="2"/>
      <c r="AL1085" s="2"/>
      <c r="AM1085" s="2"/>
      <c r="AN1085" s="2"/>
    </row>
    <row r="1086" spans="1:40" ht="16" x14ac:dyDescent="0.2">
      <c r="A1086" s="2" t="s">
        <v>3489</v>
      </c>
      <c r="B1086" s="46">
        <v>1085</v>
      </c>
      <c r="C1086" s="2" t="b">
        <v>0</v>
      </c>
      <c r="D1086" s="2" t="b">
        <v>0</v>
      </c>
      <c r="E1086" s="2" t="b">
        <v>0</v>
      </c>
      <c r="F1086" s="2" t="b">
        <v>0</v>
      </c>
      <c r="G1086" s="2" t="s">
        <v>31</v>
      </c>
      <c r="H1086" s="2" t="s">
        <v>3490</v>
      </c>
      <c r="I1086" s="2" t="s">
        <v>3491</v>
      </c>
      <c r="J1086" s="2" t="s">
        <v>35</v>
      </c>
      <c r="K1086" s="2" t="s">
        <v>35</v>
      </c>
      <c r="L1086" s="2" t="s">
        <v>35</v>
      </c>
      <c r="M1086" s="2" t="s">
        <v>35</v>
      </c>
      <c r="N1086" s="2" t="s">
        <v>35</v>
      </c>
      <c r="O1086" s="11">
        <v>44764.471404537035</v>
      </c>
      <c r="P1086" s="11">
        <v>44764.47154027778</v>
      </c>
      <c r="Q1086" s="27">
        <f t="shared" si="48"/>
        <v>1.3574074546340853E-4</v>
      </c>
      <c r="R1086" s="65">
        <f t="shared" si="50"/>
        <v>1.2055324114044197E-3</v>
      </c>
      <c r="S1086" s="2">
        <v>0</v>
      </c>
      <c r="T1086" s="2" t="s">
        <v>36</v>
      </c>
      <c r="U1086" s="2" t="s">
        <v>37</v>
      </c>
      <c r="V1086" s="2" t="s">
        <v>38</v>
      </c>
      <c r="W1086" s="2" t="s">
        <v>35</v>
      </c>
      <c r="X1086" s="2" t="s">
        <v>35</v>
      </c>
      <c r="Y1086" s="2" t="s">
        <v>35</v>
      </c>
      <c r="Z1086" s="2" t="b">
        <v>0</v>
      </c>
      <c r="AA1086" s="2" t="s">
        <v>35</v>
      </c>
      <c r="AB1086" s="2" t="s">
        <v>35</v>
      </c>
      <c r="AC1086" s="2" t="s">
        <v>35</v>
      </c>
      <c r="AD1086" s="2">
        <v>2</v>
      </c>
      <c r="AE1086" s="2" t="s">
        <v>3248</v>
      </c>
      <c r="AF1086" s="11">
        <v>44764.361111053244</v>
      </c>
      <c r="AG1086" s="53"/>
      <c r="AH1086" s="53" t="b">
        <f t="shared" si="49"/>
        <v>0</v>
      </c>
      <c r="AI1086" s="54" t="str" cm="1">
        <f t="array" ref="AI1086">TRANSPOSE(_xlfn._xlws.FILTER(images!L:L,images!F:F=Barrierenmessung!A1086, ""))</f>
        <v>https://captureandgo.cloudlab.zhaw.ch/uploads/image_98b34914ea.jpg</v>
      </c>
      <c r="AJ1086" s="2"/>
      <c r="AK1086" s="2"/>
      <c r="AL1086" s="2"/>
      <c r="AM1086" s="2"/>
      <c r="AN1086" s="2"/>
    </row>
    <row r="1087" spans="1:40" ht="16" x14ac:dyDescent="0.2">
      <c r="A1087" s="2" t="s">
        <v>3492</v>
      </c>
      <c r="B1087" s="46">
        <v>1086</v>
      </c>
      <c r="C1087" s="2" t="b">
        <v>0</v>
      </c>
      <c r="D1087" s="2" t="b">
        <v>0</v>
      </c>
      <c r="E1087" s="2" t="b">
        <v>0</v>
      </c>
      <c r="F1087" s="2" t="b">
        <v>0</v>
      </c>
      <c r="G1087" s="2" t="s">
        <v>31</v>
      </c>
      <c r="H1087" s="2" t="s">
        <v>3493</v>
      </c>
      <c r="I1087" s="2" t="s">
        <v>3494</v>
      </c>
      <c r="J1087" s="2" t="s">
        <v>35</v>
      </c>
      <c r="K1087" s="2" t="s">
        <v>35</v>
      </c>
      <c r="L1087" s="2" t="s">
        <v>35</v>
      </c>
      <c r="M1087" s="2" t="s">
        <v>35</v>
      </c>
      <c r="N1087" s="2" t="s">
        <v>35</v>
      </c>
      <c r="O1087" s="11">
        <v>44764.4740784838</v>
      </c>
      <c r="P1087" s="11">
        <v>44764.474240717595</v>
      </c>
      <c r="Q1087" s="27">
        <f t="shared" si="48"/>
        <v>1.6223379498114809E-4</v>
      </c>
      <c r="R1087" s="65">
        <f t="shared" si="50"/>
        <v>2.7004398143617436E-3</v>
      </c>
      <c r="S1087" s="2">
        <v>0</v>
      </c>
      <c r="T1087" s="2" t="s">
        <v>36</v>
      </c>
      <c r="U1087" s="2" t="s">
        <v>37</v>
      </c>
      <c r="V1087" s="2" t="s">
        <v>38</v>
      </c>
      <c r="W1087" s="2" t="s">
        <v>35</v>
      </c>
      <c r="X1087" s="2" t="s">
        <v>35</v>
      </c>
      <c r="Y1087" s="2" t="s">
        <v>35</v>
      </c>
      <c r="Z1087" s="2" t="b">
        <v>0</v>
      </c>
      <c r="AA1087" s="2" t="s">
        <v>35</v>
      </c>
      <c r="AB1087" s="2" t="s">
        <v>35</v>
      </c>
      <c r="AC1087" s="2" t="s">
        <v>35</v>
      </c>
      <c r="AD1087" s="2">
        <v>2</v>
      </c>
      <c r="AE1087" s="2" t="s">
        <v>3248</v>
      </c>
      <c r="AF1087" s="11">
        <v>44764.361111053244</v>
      </c>
      <c r="AG1087" s="53"/>
      <c r="AH1087" s="53" t="b">
        <f t="shared" si="49"/>
        <v>0</v>
      </c>
      <c r="AI1087" s="54" t="str" cm="1">
        <f t="array" ref="AI1087">TRANSPOSE(_xlfn._xlws.FILTER(images!L:L,images!F:F=Barrierenmessung!A1087, ""))</f>
        <v>https://captureandgo.cloudlab.zhaw.ch/uploads/image_0561a8703e.jpg</v>
      </c>
      <c r="AJ1087" s="2"/>
      <c r="AK1087" s="2"/>
      <c r="AL1087" s="2"/>
      <c r="AM1087" s="2"/>
      <c r="AN1087" s="2"/>
    </row>
    <row r="1088" spans="1:40" ht="16" x14ac:dyDescent="0.2">
      <c r="A1088" s="2" t="s">
        <v>3495</v>
      </c>
      <c r="B1088" s="46">
        <v>1087</v>
      </c>
      <c r="C1088" s="2" t="b">
        <v>0</v>
      </c>
      <c r="D1088" s="2" t="b">
        <v>0</v>
      </c>
      <c r="E1088" s="2" t="b">
        <v>0</v>
      </c>
      <c r="F1088" s="2" t="b">
        <v>0</v>
      </c>
      <c r="G1088" s="2" t="s">
        <v>31</v>
      </c>
      <c r="H1088" s="2" t="s">
        <v>3496</v>
      </c>
      <c r="I1088" s="2" t="s">
        <v>3497</v>
      </c>
      <c r="J1088" s="2" t="s">
        <v>35</v>
      </c>
      <c r="K1088" s="2" t="s">
        <v>35</v>
      </c>
      <c r="L1088" s="2" t="s">
        <v>35</v>
      </c>
      <c r="M1088" s="2" t="s">
        <v>35</v>
      </c>
      <c r="N1088" s="2" t="s">
        <v>35</v>
      </c>
      <c r="O1088" s="11">
        <v>44764.477676585651</v>
      </c>
      <c r="P1088" s="11">
        <v>44764.47784861111</v>
      </c>
      <c r="Q1088" s="27">
        <f t="shared" si="48"/>
        <v>1.7202545859618112E-4</v>
      </c>
      <c r="R1088" s="65">
        <f t="shared" si="50"/>
        <v>3.6078935154364444E-3</v>
      </c>
      <c r="S1088" s="2">
        <v>0</v>
      </c>
      <c r="T1088" s="2" t="s">
        <v>36</v>
      </c>
      <c r="U1088" s="2" t="s">
        <v>37</v>
      </c>
      <c r="V1088" s="2" t="s">
        <v>38</v>
      </c>
      <c r="W1088" s="2" t="s">
        <v>35</v>
      </c>
      <c r="X1088" s="2" t="s">
        <v>35</v>
      </c>
      <c r="Y1088" s="2" t="s">
        <v>35</v>
      </c>
      <c r="Z1088" s="2" t="b">
        <v>0</v>
      </c>
      <c r="AA1088" s="2" t="s">
        <v>35</v>
      </c>
      <c r="AB1088" s="2" t="s">
        <v>35</v>
      </c>
      <c r="AC1088" s="2" t="s">
        <v>35</v>
      </c>
      <c r="AD1088" s="2">
        <v>2</v>
      </c>
      <c r="AE1088" s="2" t="s">
        <v>3248</v>
      </c>
      <c r="AF1088" s="11">
        <v>44764.361111053244</v>
      </c>
      <c r="AG1088" s="53"/>
      <c r="AH1088" s="53" t="b">
        <f t="shared" si="49"/>
        <v>0</v>
      </c>
      <c r="AI1088" s="54" t="str" cm="1">
        <f t="array" ref="AI1088">TRANSPOSE(_xlfn._xlws.FILTER(images!L:L,images!F:F=Barrierenmessung!A1088, ""))</f>
        <v>https://captureandgo.cloudlab.zhaw.ch/uploads/image_d85ca1cf4d.jpg</v>
      </c>
      <c r="AJ1088" s="2"/>
      <c r="AK1088" s="2"/>
      <c r="AL1088" s="2"/>
      <c r="AM1088" s="2"/>
      <c r="AN1088" s="2"/>
    </row>
    <row r="1089" spans="1:40" ht="16" customHeight="1" x14ac:dyDescent="0.2">
      <c r="A1089" s="4" t="s">
        <v>3498</v>
      </c>
      <c r="B1089" s="4">
        <v>1088</v>
      </c>
      <c r="C1089" s="4" t="b">
        <v>0</v>
      </c>
      <c r="D1089" s="4" t="b">
        <v>0</v>
      </c>
      <c r="E1089" s="4" t="b">
        <v>0</v>
      </c>
      <c r="F1089" s="4" t="b">
        <v>0</v>
      </c>
      <c r="G1089" s="4" t="s">
        <v>121</v>
      </c>
      <c r="H1089" s="68" t="s">
        <v>149</v>
      </c>
      <c r="I1089" s="4" t="s">
        <v>3499</v>
      </c>
      <c r="J1089" s="4" t="s">
        <v>35</v>
      </c>
      <c r="K1089" s="4" t="s">
        <v>35</v>
      </c>
      <c r="L1089" s="4" t="s">
        <v>35</v>
      </c>
      <c r="M1089" s="4" t="s">
        <v>35</v>
      </c>
      <c r="N1089" s="4" t="s">
        <v>35</v>
      </c>
      <c r="O1089" s="13">
        <v>44769.385202129626</v>
      </c>
      <c r="P1089" s="13">
        <v>44769.38520478009</v>
      </c>
      <c r="Q1089" s="15">
        <f t="shared" si="48"/>
        <v>2.6504640118218958E-6</v>
      </c>
      <c r="R1089" s="15">
        <f t="shared" si="50"/>
        <v>4.8255786532536149E-4</v>
      </c>
      <c r="S1089" s="4">
        <v>0</v>
      </c>
      <c r="T1089" s="4" t="s">
        <v>124</v>
      </c>
      <c r="U1089" s="4" t="s">
        <v>125</v>
      </c>
      <c r="V1089" s="4" t="s">
        <v>38</v>
      </c>
      <c r="W1089" s="4" t="s">
        <v>35</v>
      </c>
      <c r="X1089" s="4" t="s">
        <v>35</v>
      </c>
      <c r="Y1089" s="4" t="s">
        <v>35</v>
      </c>
      <c r="Z1089" s="4" t="b">
        <v>0</v>
      </c>
      <c r="AA1089" s="4" t="s">
        <v>35</v>
      </c>
      <c r="AB1089" s="4" t="s">
        <v>35</v>
      </c>
      <c r="AC1089" s="4" t="s">
        <v>35</v>
      </c>
      <c r="AD1089" s="4" t="s">
        <v>35</v>
      </c>
      <c r="AE1089" s="4" t="s">
        <v>2840</v>
      </c>
      <c r="AF1089" s="13">
        <v>44769.384722222225</v>
      </c>
      <c r="AG1089" s="58"/>
      <c r="AH1089" s="58" t="str">
        <f t="shared" si="49"/>
        <v>TRUE</v>
      </c>
      <c r="AI1089" s="56" t="str" cm="1">
        <f t="array" ref="AI1089">TRANSPOSE(_xlfn._xlws.FILTER(images!L:L,images!F:F=Barrierenmessung!A1089, ""))</f>
        <v/>
      </c>
      <c r="AJ1089" s="4"/>
      <c r="AK1089" s="4"/>
      <c r="AL1089" s="4"/>
      <c r="AM1089" s="4"/>
      <c r="AN1089" s="4"/>
    </row>
    <row r="1090" spans="1:40" ht="16" x14ac:dyDescent="0.2">
      <c r="A1090" s="2" t="s">
        <v>3500</v>
      </c>
      <c r="B1090" s="46">
        <v>1089</v>
      </c>
      <c r="C1090" s="2" t="b">
        <v>0</v>
      </c>
      <c r="D1090" s="2" t="b">
        <v>0</v>
      </c>
      <c r="E1090" s="2" t="b">
        <v>0</v>
      </c>
      <c r="F1090" s="2" t="b">
        <v>0</v>
      </c>
      <c r="G1090" s="2" t="s">
        <v>31</v>
      </c>
      <c r="H1090" s="2" t="s">
        <v>3501</v>
      </c>
      <c r="I1090" s="2" t="s">
        <v>3502</v>
      </c>
      <c r="J1090" s="2" t="s">
        <v>35</v>
      </c>
      <c r="K1090" s="2" t="s">
        <v>35</v>
      </c>
      <c r="L1090" s="2" t="s">
        <v>35</v>
      </c>
      <c r="M1090" s="2" t="s">
        <v>35</v>
      </c>
      <c r="N1090" s="2" t="s">
        <v>35</v>
      </c>
      <c r="O1090" s="11">
        <v>44769.387163726853</v>
      </c>
      <c r="P1090" s="11">
        <v>44769.387744375003</v>
      </c>
      <c r="Q1090" s="27">
        <f t="shared" ref="Q1090:Q1153" si="51">P1090-O1090</f>
        <v>5.806481494801119E-4</v>
      </c>
      <c r="R1090" s="65">
        <f t="shared" si="50"/>
        <v>2.5395949123776518E-3</v>
      </c>
      <c r="S1090" s="2">
        <v>0</v>
      </c>
      <c r="T1090" s="2" t="s">
        <v>36</v>
      </c>
      <c r="U1090" s="2" t="s">
        <v>37</v>
      </c>
      <c r="V1090" s="2" t="s">
        <v>38</v>
      </c>
      <c r="W1090" s="2" t="s">
        <v>35</v>
      </c>
      <c r="X1090" s="2" t="s">
        <v>35</v>
      </c>
      <c r="Y1090" s="2" t="s">
        <v>35</v>
      </c>
      <c r="Z1090" s="2" t="b">
        <v>0</v>
      </c>
      <c r="AA1090" s="2" t="s">
        <v>2714</v>
      </c>
      <c r="AB1090" s="2" t="s">
        <v>35</v>
      </c>
      <c r="AC1090" s="2" t="s">
        <v>35</v>
      </c>
      <c r="AD1090" s="2" t="s">
        <v>35</v>
      </c>
      <c r="AE1090" s="2" t="s">
        <v>2840</v>
      </c>
      <c r="AF1090" s="11">
        <v>44769.384722222225</v>
      </c>
      <c r="AG1090" s="53"/>
      <c r="AH1090" s="53" t="b">
        <f t="shared" si="49"/>
        <v>0</v>
      </c>
      <c r="AI1090" s="54" t="str" cm="1">
        <f t="array" ref="AI1090">TRANSPOSE(_xlfn._xlws.FILTER(images!L:L,images!F:F=Barrierenmessung!A1090, ""))</f>
        <v>https://captureandgo.cloudlab.zhaw.ch/uploads/image_e869db83da.jpg</v>
      </c>
      <c r="AJ1090" s="2"/>
      <c r="AK1090" s="2"/>
      <c r="AL1090" s="2"/>
      <c r="AM1090" s="2"/>
      <c r="AN1090" s="2"/>
    </row>
    <row r="1091" spans="1:40" ht="16" x14ac:dyDescent="0.2">
      <c r="A1091" s="2" t="s">
        <v>3503</v>
      </c>
      <c r="B1091" s="46">
        <v>1090</v>
      </c>
      <c r="C1091" s="2" t="b">
        <v>0</v>
      </c>
      <c r="D1091" s="2" t="b">
        <v>0</v>
      </c>
      <c r="E1091" s="2" t="b">
        <v>0</v>
      </c>
      <c r="F1091" s="2" t="b">
        <v>0</v>
      </c>
      <c r="G1091" s="2" t="s">
        <v>31</v>
      </c>
      <c r="H1091" s="2" t="s">
        <v>3504</v>
      </c>
      <c r="I1091" s="2" t="s">
        <v>3505</v>
      </c>
      <c r="J1091" s="2" t="s">
        <v>35</v>
      </c>
      <c r="K1091" s="2" t="s">
        <v>35</v>
      </c>
      <c r="L1091" s="2" t="s">
        <v>35</v>
      </c>
      <c r="M1091" s="2">
        <v>3</v>
      </c>
      <c r="N1091" s="2">
        <v>13</v>
      </c>
      <c r="O1091" s="11">
        <v>44769.387984837966</v>
      </c>
      <c r="P1091" s="11">
        <v>44769.388273680554</v>
      </c>
      <c r="Q1091" s="27">
        <f t="shared" si="51"/>
        <v>2.888425879064016E-4</v>
      </c>
      <c r="R1091" s="65">
        <f t="shared" si="50"/>
        <v>5.2930555102648214E-4</v>
      </c>
      <c r="S1091" s="2">
        <v>0</v>
      </c>
      <c r="T1091" s="2" t="s">
        <v>54</v>
      </c>
      <c r="U1091" s="2" t="s">
        <v>55</v>
      </c>
      <c r="V1091" s="2" t="s">
        <v>38</v>
      </c>
      <c r="W1091" s="2" t="s">
        <v>35</v>
      </c>
      <c r="X1091" s="2" t="s">
        <v>35</v>
      </c>
      <c r="Y1091" s="2" t="s">
        <v>35</v>
      </c>
      <c r="Z1091" s="2" t="b">
        <v>0</v>
      </c>
      <c r="AA1091" s="2" t="s">
        <v>35</v>
      </c>
      <c r="AB1091" s="2" t="s">
        <v>35</v>
      </c>
      <c r="AC1091" s="2" t="s">
        <v>35</v>
      </c>
      <c r="AD1091" s="2" t="s">
        <v>35</v>
      </c>
      <c r="AE1091" s="2" t="s">
        <v>2840</v>
      </c>
      <c r="AF1091" s="11">
        <v>44769.384722222225</v>
      </c>
      <c r="AG1091" s="53"/>
      <c r="AH1091" s="53" t="b">
        <f t="shared" ref="AH1091:AH1154" si="52">IF(Q1091&lt;TIME(0,0,1),"TRUE")</f>
        <v>0</v>
      </c>
      <c r="AI1091" s="54" t="str" cm="1">
        <f t="array" ref="AI1091">TRANSPOSE(_xlfn._xlws.FILTER(images!L:L,images!F:F=Barrierenmessung!A1091, ""))</f>
        <v>https://captureandgo.cloudlab.zhaw.ch/uploads/image_f30322d4a1.jpg</v>
      </c>
      <c r="AJ1091" s="2"/>
      <c r="AK1091" s="2"/>
      <c r="AL1091" s="2"/>
      <c r="AM1091" s="2"/>
      <c r="AN1091" s="2"/>
    </row>
    <row r="1092" spans="1:40" ht="16" x14ac:dyDescent="0.2">
      <c r="A1092" s="2" t="s">
        <v>3506</v>
      </c>
      <c r="B1092" s="46">
        <v>1091</v>
      </c>
      <c r="C1092" s="2" t="b">
        <v>0</v>
      </c>
      <c r="D1092" s="2" t="b">
        <v>0</v>
      </c>
      <c r="E1092" s="2" t="b">
        <v>0</v>
      </c>
      <c r="F1092" s="2" t="b">
        <v>0</v>
      </c>
      <c r="G1092" s="2" t="s">
        <v>31</v>
      </c>
      <c r="H1092" s="2" t="s">
        <v>3507</v>
      </c>
      <c r="I1092" s="2" t="s">
        <v>3508</v>
      </c>
      <c r="J1092" s="2" t="s">
        <v>35</v>
      </c>
      <c r="K1092" s="2" t="s">
        <v>35</v>
      </c>
      <c r="L1092" s="2" t="s">
        <v>35</v>
      </c>
      <c r="M1092" s="2" t="s">
        <v>35</v>
      </c>
      <c r="N1092" s="2" t="s">
        <v>35</v>
      </c>
      <c r="O1092" s="11">
        <v>44769.388863101849</v>
      </c>
      <c r="P1092" s="11">
        <v>44769.389059456022</v>
      </c>
      <c r="Q1092" s="27">
        <f t="shared" si="51"/>
        <v>1.9635417265817523E-4</v>
      </c>
      <c r="R1092" s="65">
        <f t="shared" si="50"/>
        <v>7.857754681026563E-4</v>
      </c>
      <c r="S1092" s="2">
        <v>0</v>
      </c>
      <c r="T1092" s="2" t="s">
        <v>36</v>
      </c>
      <c r="U1092" s="2" t="s">
        <v>37</v>
      </c>
      <c r="V1092" s="2" t="s">
        <v>38</v>
      </c>
      <c r="W1092" s="2" t="s">
        <v>35</v>
      </c>
      <c r="X1092" s="2" t="s">
        <v>35</v>
      </c>
      <c r="Y1092" s="2" t="s">
        <v>35</v>
      </c>
      <c r="Z1092" s="2" t="b">
        <v>0</v>
      </c>
      <c r="AA1092" s="2" t="s">
        <v>35</v>
      </c>
      <c r="AB1092" s="2" t="s">
        <v>35</v>
      </c>
      <c r="AC1092" s="2" t="s">
        <v>35</v>
      </c>
      <c r="AD1092" s="2">
        <v>3</v>
      </c>
      <c r="AE1092" s="2" t="s">
        <v>2840</v>
      </c>
      <c r="AF1092" s="11">
        <v>44769.384722222225</v>
      </c>
      <c r="AG1092" s="53"/>
      <c r="AH1092" s="53" t="b">
        <f t="shared" si="52"/>
        <v>0</v>
      </c>
      <c r="AI1092" s="54" t="str" cm="1">
        <f t="array" ref="AI1092">TRANSPOSE(_xlfn._xlws.FILTER(images!L:L,images!F:F=Barrierenmessung!A1092, ""))</f>
        <v>https://captureandgo.cloudlab.zhaw.ch/uploads/image_7a558713ca.jpg</v>
      </c>
      <c r="AJ1092" s="2"/>
      <c r="AK1092" s="2"/>
      <c r="AL1092" s="2"/>
      <c r="AM1092" s="2"/>
      <c r="AN1092" s="2"/>
    </row>
    <row r="1093" spans="1:40" ht="16" x14ac:dyDescent="0.2">
      <c r="A1093" s="2" t="s">
        <v>3509</v>
      </c>
      <c r="B1093" s="46">
        <v>1092</v>
      </c>
      <c r="C1093" s="2" t="b">
        <v>0</v>
      </c>
      <c r="D1093" s="2" t="b">
        <v>0</v>
      </c>
      <c r="E1093" s="2" t="b">
        <v>0</v>
      </c>
      <c r="F1093" s="2" t="b">
        <v>0</v>
      </c>
      <c r="G1093" s="2" t="s">
        <v>31</v>
      </c>
      <c r="H1093" s="2" t="s">
        <v>3510</v>
      </c>
      <c r="I1093" s="2" t="s">
        <v>3511</v>
      </c>
      <c r="J1093" s="2" t="s">
        <v>3512</v>
      </c>
      <c r="K1093" s="2" t="s">
        <v>35</v>
      </c>
      <c r="L1093" s="2" t="s">
        <v>35</v>
      </c>
      <c r="M1093" s="2" t="s">
        <v>35</v>
      </c>
      <c r="N1093" s="2" t="s">
        <v>35</v>
      </c>
      <c r="O1093" s="11">
        <v>44769.389658622684</v>
      </c>
      <c r="P1093" s="11">
        <v>44769.390279930558</v>
      </c>
      <c r="Q1093" s="27">
        <f t="shared" si="51"/>
        <v>6.2130787409842014E-4</v>
      </c>
      <c r="R1093" s="65">
        <f t="shared" ref="R1093:R1156" si="53">MIN(P1093-P1092, P1093-AF1093)</f>
        <v>1.2204745362396352E-3</v>
      </c>
      <c r="S1093" s="2">
        <v>0</v>
      </c>
      <c r="T1093" s="2" t="s">
        <v>109</v>
      </c>
      <c r="U1093" s="2" t="s">
        <v>110</v>
      </c>
      <c r="V1093" s="2" t="s">
        <v>38</v>
      </c>
      <c r="W1093" s="2" t="s">
        <v>35</v>
      </c>
      <c r="X1093" s="2">
        <v>101</v>
      </c>
      <c r="Y1093" s="2" t="s">
        <v>35</v>
      </c>
      <c r="Z1093" s="2" t="b">
        <v>0</v>
      </c>
      <c r="AA1093" s="2" t="s">
        <v>35</v>
      </c>
      <c r="AB1093" s="2" t="s">
        <v>35</v>
      </c>
      <c r="AC1093" s="2" t="s">
        <v>35</v>
      </c>
      <c r="AD1093" s="2" t="s">
        <v>35</v>
      </c>
      <c r="AE1093" s="2" t="s">
        <v>2840</v>
      </c>
      <c r="AF1093" s="11">
        <v>44769.384722222225</v>
      </c>
      <c r="AG1093" s="53"/>
      <c r="AH1093" s="53" t="b">
        <f t="shared" si="52"/>
        <v>0</v>
      </c>
      <c r="AI1093" s="54" t="str" cm="1">
        <f t="array" ref="AI1093">TRANSPOSE(_xlfn._xlws.FILTER(images!L:L,images!F:F=Barrierenmessung!A1093, ""))</f>
        <v>https://captureandgo.cloudlab.zhaw.ch/uploads/image_1e99f85993.jpg</v>
      </c>
      <c r="AJ1093" s="2"/>
      <c r="AK1093" s="2"/>
      <c r="AL1093" s="2"/>
      <c r="AM1093" s="2"/>
      <c r="AN1093" s="2"/>
    </row>
    <row r="1094" spans="1:40" ht="16" x14ac:dyDescent="0.2">
      <c r="A1094" s="2" t="s">
        <v>3513</v>
      </c>
      <c r="B1094" s="46">
        <v>1093</v>
      </c>
      <c r="C1094" s="2" t="b">
        <v>0</v>
      </c>
      <c r="D1094" s="2" t="b">
        <v>0</v>
      </c>
      <c r="E1094" s="2" t="b">
        <v>0</v>
      </c>
      <c r="F1094" s="2" t="b">
        <v>0</v>
      </c>
      <c r="G1094" s="2" t="s">
        <v>31</v>
      </c>
      <c r="H1094" s="2" t="s">
        <v>3514</v>
      </c>
      <c r="I1094" s="2" t="s">
        <v>3515</v>
      </c>
      <c r="J1094" s="2" t="s">
        <v>35</v>
      </c>
      <c r="K1094" s="2" t="s">
        <v>35</v>
      </c>
      <c r="L1094" s="2" t="s">
        <v>35</v>
      </c>
      <c r="M1094" s="2" t="s">
        <v>35</v>
      </c>
      <c r="N1094" s="2" t="s">
        <v>35</v>
      </c>
      <c r="O1094" s="11">
        <v>44769.391652905091</v>
      </c>
      <c r="P1094" s="11">
        <v>44769.392152071756</v>
      </c>
      <c r="Q1094" s="27">
        <f t="shared" si="51"/>
        <v>4.9916666466742754E-4</v>
      </c>
      <c r="R1094" s="65">
        <f t="shared" si="53"/>
        <v>1.8721411979640834E-3</v>
      </c>
      <c r="S1094" s="2">
        <v>0</v>
      </c>
      <c r="T1094" s="2" t="s">
        <v>36</v>
      </c>
      <c r="U1094" s="2" t="s">
        <v>37</v>
      </c>
      <c r="V1094" s="2" t="s">
        <v>38</v>
      </c>
      <c r="W1094" s="2" t="s">
        <v>35</v>
      </c>
      <c r="X1094" s="2" t="s">
        <v>35</v>
      </c>
      <c r="Y1094" s="2" t="s">
        <v>35</v>
      </c>
      <c r="Z1094" s="2" t="b">
        <v>0</v>
      </c>
      <c r="AA1094" s="2" t="s">
        <v>3516</v>
      </c>
      <c r="AB1094" s="2" t="s">
        <v>35</v>
      </c>
      <c r="AC1094" s="2" t="s">
        <v>35</v>
      </c>
      <c r="AD1094" s="2" t="s">
        <v>35</v>
      </c>
      <c r="AE1094" s="2" t="s">
        <v>2840</v>
      </c>
      <c r="AF1094" s="11">
        <v>44769.384722222225</v>
      </c>
      <c r="AG1094" s="53"/>
      <c r="AH1094" s="53" t="b">
        <f t="shared" si="52"/>
        <v>0</v>
      </c>
      <c r="AI1094" s="54" t="str" cm="1">
        <f t="array" ref="AI1094">TRANSPOSE(_xlfn._xlws.FILTER(images!L:L,images!F:F=Barrierenmessung!A1094, ""))</f>
        <v>https://captureandgo.cloudlab.zhaw.ch/uploads/image_11e2c9f5e8.jpg</v>
      </c>
      <c r="AJ1094" s="2"/>
      <c r="AK1094" s="2"/>
      <c r="AL1094" s="2"/>
      <c r="AM1094" s="2"/>
      <c r="AN1094" s="2"/>
    </row>
    <row r="1095" spans="1:40" ht="16" x14ac:dyDescent="0.2">
      <c r="A1095" s="2" t="s">
        <v>3517</v>
      </c>
      <c r="B1095" s="46">
        <v>1094</v>
      </c>
      <c r="C1095" s="2" t="b">
        <v>0</v>
      </c>
      <c r="D1095" s="2" t="b">
        <v>0</v>
      </c>
      <c r="E1095" s="2" t="b">
        <v>0</v>
      </c>
      <c r="F1095" s="2" t="b">
        <v>0</v>
      </c>
      <c r="G1095" s="2" t="s">
        <v>31</v>
      </c>
      <c r="H1095" s="2" t="s">
        <v>3518</v>
      </c>
      <c r="I1095" s="2" t="s">
        <v>3519</v>
      </c>
      <c r="J1095" s="2" t="s">
        <v>3520</v>
      </c>
      <c r="K1095" s="2" t="s">
        <v>35</v>
      </c>
      <c r="L1095" s="2" t="s">
        <v>35</v>
      </c>
      <c r="M1095" s="2" t="s">
        <v>35</v>
      </c>
      <c r="N1095" s="2" t="s">
        <v>35</v>
      </c>
      <c r="O1095" s="11">
        <v>44769.392730081017</v>
      </c>
      <c r="P1095" s="11">
        <v>44769.392973831018</v>
      </c>
      <c r="Q1095" s="27">
        <f t="shared" si="51"/>
        <v>2.4375000066356733E-4</v>
      </c>
      <c r="R1095" s="65">
        <f t="shared" si="53"/>
        <v>8.217592621804215E-4</v>
      </c>
      <c r="S1095" s="2">
        <v>0</v>
      </c>
      <c r="T1095" s="2" t="s">
        <v>36</v>
      </c>
      <c r="U1095" s="2" t="s">
        <v>37</v>
      </c>
      <c r="V1095" s="2" t="s">
        <v>38</v>
      </c>
      <c r="W1095" s="2" t="s">
        <v>35</v>
      </c>
      <c r="X1095" s="2" t="s">
        <v>35</v>
      </c>
      <c r="Y1095" s="2" t="s">
        <v>35</v>
      </c>
      <c r="Z1095" s="2" t="b">
        <v>0</v>
      </c>
      <c r="AA1095" s="2" t="s">
        <v>35</v>
      </c>
      <c r="AB1095" s="2" t="s">
        <v>35</v>
      </c>
      <c r="AC1095" s="2">
        <v>5</v>
      </c>
      <c r="AD1095" s="2">
        <v>4</v>
      </c>
      <c r="AE1095" s="2" t="s">
        <v>2840</v>
      </c>
      <c r="AF1095" s="11">
        <v>44769.384722222225</v>
      </c>
      <c r="AG1095" s="53"/>
      <c r="AH1095" s="53" t="b">
        <f t="shared" si="52"/>
        <v>0</v>
      </c>
      <c r="AI1095" s="54" t="str" cm="1">
        <f t="array" ref="AI1095">TRANSPOSE(_xlfn._xlws.FILTER(images!L:L,images!F:F=Barrierenmessung!A1095, ""))</f>
        <v>https://captureandgo.cloudlab.zhaw.ch/uploads/image_445d324161.jpg</v>
      </c>
      <c r="AJ1095" s="2"/>
      <c r="AK1095" s="2"/>
      <c r="AL1095" s="2"/>
      <c r="AM1095" s="2"/>
      <c r="AN1095" s="2"/>
    </row>
    <row r="1096" spans="1:40" ht="16" x14ac:dyDescent="0.2">
      <c r="A1096" s="2" t="s">
        <v>3521</v>
      </c>
      <c r="B1096" s="46">
        <v>1095</v>
      </c>
      <c r="C1096" s="2" t="b">
        <v>0</v>
      </c>
      <c r="D1096" s="2" t="b">
        <v>0</v>
      </c>
      <c r="E1096" s="2" t="b">
        <v>0</v>
      </c>
      <c r="F1096" s="2" t="b">
        <v>0</v>
      </c>
      <c r="G1096" s="2" t="s">
        <v>31</v>
      </c>
      <c r="H1096" s="2" t="s">
        <v>3522</v>
      </c>
      <c r="I1096" s="2" t="s">
        <v>3523</v>
      </c>
      <c r="J1096" s="2" t="s">
        <v>3524</v>
      </c>
      <c r="K1096" s="2" t="s">
        <v>35</v>
      </c>
      <c r="L1096" s="2" t="s">
        <v>35</v>
      </c>
      <c r="M1096" s="2" t="s">
        <v>35</v>
      </c>
      <c r="N1096" s="2" t="s">
        <v>35</v>
      </c>
      <c r="O1096" s="11">
        <v>44769.393828182867</v>
      </c>
      <c r="P1096" s="11">
        <v>44769.39402965278</v>
      </c>
      <c r="Q1096" s="27">
        <f t="shared" si="51"/>
        <v>2.0146991300862283E-4</v>
      </c>
      <c r="R1096" s="65">
        <f t="shared" si="53"/>
        <v>1.0558217618381605E-3</v>
      </c>
      <c r="S1096" s="2">
        <v>0</v>
      </c>
      <c r="T1096" s="2" t="s">
        <v>36</v>
      </c>
      <c r="U1096" s="2" t="s">
        <v>37</v>
      </c>
      <c r="V1096" s="2" t="s">
        <v>38</v>
      </c>
      <c r="W1096" s="2" t="s">
        <v>35</v>
      </c>
      <c r="X1096" s="2" t="s">
        <v>35</v>
      </c>
      <c r="Y1096" s="2" t="s">
        <v>35</v>
      </c>
      <c r="Z1096" s="2" t="b">
        <v>0</v>
      </c>
      <c r="AA1096" s="2" t="s">
        <v>35</v>
      </c>
      <c r="AB1096" s="2" t="s">
        <v>35</v>
      </c>
      <c r="AC1096" s="2">
        <v>7</v>
      </c>
      <c r="AD1096" s="2" t="s">
        <v>35</v>
      </c>
      <c r="AE1096" s="2" t="s">
        <v>2840</v>
      </c>
      <c r="AF1096" s="11">
        <v>44769.384722222225</v>
      </c>
      <c r="AG1096" s="53"/>
      <c r="AH1096" s="53" t="b">
        <f t="shared" si="52"/>
        <v>0</v>
      </c>
      <c r="AI1096" s="54" t="str" cm="1">
        <f t="array" ref="AI1096">TRANSPOSE(_xlfn._xlws.FILTER(images!L:L,images!F:F=Barrierenmessung!A1096, ""))</f>
        <v>https://captureandgo.cloudlab.zhaw.ch/uploads/image_47dd5c8571.jpg</v>
      </c>
      <c r="AJ1096" s="2"/>
      <c r="AK1096" s="2"/>
      <c r="AL1096" s="2"/>
      <c r="AM1096" s="2"/>
      <c r="AN1096" s="2"/>
    </row>
    <row r="1097" spans="1:40" ht="16" x14ac:dyDescent="0.2">
      <c r="A1097" s="2" t="s">
        <v>3525</v>
      </c>
      <c r="B1097" s="46">
        <v>1096</v>
      </c>
      <c r="C1097" s="2" t="b">
        <v>0</v>
      </c>
      <c r="D1097" s="2" t="b">
        <v>0</v>
      </c>
      <c r="E1097" s="2" t="b">
        <v>0</v>
      </c>
      <c r="F1097" s="2" t="b">
        <v>0</v>
      </c>
      <c r="G1097" s="2" t="s">
        <v>31</v>
      </c>
      <c r="H1097" s="2" t="s">
        <v>3526</v>
      </c>
      <c r="I1097" s="2" t="s">
        <v>3527</v>
      </c>
      <c r="J1097" s="2" t="s">
        <v>35</v>
      </c>
      <c r="K1097" s="2" t="s">
        <v>35</v>
      </c>
      <c r="L1097" s="2" t="s">
        <v>35</v>
      </c>
      <c r="M1097" s="2" t="s">
        <v>35</v>
      </c>
      <c r="N1097" s="2" t="s">
        <v>35</v>
      </c>
      <c r="O1097" s="11">
        <v>44769.394138981479</v>
      </c>
      <c r="P1097" s="11">
        <v>44769.394299386571</v>
      </c>
      <c r="Q1097" s="27">
        <f t="shared" si="51"/>
        <v>1.604050921741873E-4</v>
      </c>
      <c r="R1097" s="65">
        <f t="shared" si="53"/>
        <v>2.6973379135597497E-4</v>
      </c>
      <c r="S1097" s="2">
        <v>0</v>
      </c>
      <c r="T1097" s="2" t="s">
        <v>36</v>
      </c>
      <c r="U1097" s="2" t="s">
        <v>37</v>
      </c>
      <c r="V1097" s="2" t="s">
        <v>38</v>
      </c>
      <c r="W1097" s="2" t="s">
        <v>35</v>
      </c>
      <c r="X1097" s="2" t="s">
        <v>35</v>
      </c>
      <c r="Y1097" s="2" t="s">
        <v>35</v>
      </c>
      <c r="Z1097" s="2" t="b">
        <v>0</v>
      </c>
      <c r="AA1097" s="2" t="s">
        <v>35</v>
      </c>
      <c r="AB1097" s="2" t="s">
        <v>35</v>
      </c>
      <c r="AC1097" s="2" t="s">
        <v>35</v>
      </c>
      <c r="AD1097" s="2">
        <v>4</v>
      </c>
      <c r="AE1097" s="2" t="s">
        <v>2840</v>
      </c>
      <c r="AF1097" s="11">
        <v>44769.384722222225</v>
      </c>
      <c r="AG1097" s="53"/>
      <c r="AH1097" s="53" t="b">
        <f t="shared" si="52"/>
        <v>0</v>
      </c>
      <c r="AI1097" s="54" t="str" cm="1">
        <f t="array" ref="AI1097">TRANSPOSE(_xlfn._xlws.FILTER(images!L:L,images!F:F=Barrierenmessung!A1097, ""))</f>
        <v>https://captureandgo.cloudlab.zhaw.ch/uploads/image_6ede3fb158.jpg</v>
      </c>
      <c r="AJ1097" s="2"/>
      <c r="AK1097" s="2"/>
      <c r="AL1097" s="2"/>
      <c r="AM1097" s="2"/>
      <c r="AN1097" s="2"/>
    </row>
    <row r="1098" spans="1:40" ht="16" x14ac:dyDescent="0.2">
      <c r="A1098" s="2" t="s">
        <v>3528</v>
      </c>
      <c r="B1098" s="46">
        <v>1097</v>
      </c>
      <c r="C1098" s="2" t="b">
        <v>0</v>
      </c>
      <c r="D1098" s="2" t="b">
        <v>0</v>
      </c>
      <c r="E1098" s="2" t="b">
        <v>0</v>
      </c>
      <c r="F1098" s="2" t="b">
        <v>0</v>
      </c>
      <c r="G1098" s="2" t="s">
        <v>31</v>
      </c>
      <c r="H1098" s="2" t="s">
        <v>3529</v>
      </c>
      <c r="I1098" s="2" t="s">
        <v>3530</v>
      </c>
      <c r="J1098" s="2" t="s">
        <v>35</v>
      </c>
      <c r="K1098" s="2" t="s">
        <v>35</v>
      </c>
      <c r="L1098" s="2" t="s">
        <v>35</v>
      </c>
      <c r="M1098" s="2" t="s">
        <v>35</v>
      </c>
      <c r="N1098" s="2" t="s">
        <v>35</v>
      </c>
      <c r="O1098" s="11">
        <v>44769.394814027779</v>
      </c>
      <c r="P1098" s="11">
        <v>44769.394962129627</v>
      </c>
      <c r="Q1098" s="27">
        <f t="shared" si="51"/>
        <v>1.4810184802627191E-4</v>
      </c>
      <c r="R1098" s="65">
        <f t="shared" si="53"/>
        <v>6.6274305572733283E-4</v>
      </c>
      <c r="S1098" s="2">
        <v>0</v>
      </c>
      <c r="T1098" s="2" t="s">
        <v>36</v>
      </c>
      <c r="U1098" s="2" t="s">
        <v>37</v>
      </c>
      <c r="V1098" s="2" t="s">
        <v>38</v>
      </c>
      <c r="W1098" s="2" t="s">
        <v>35</v>
      </c>
      <c r="X1098" s="2" t="s">
        <v>35</v>
      </c>
      <c r="Y1098" s="2" t="s">
        <v>35</v>
      </c>
      <c r="Z1098" s="2" t="b">
        <v>0</v>
      </c>
      <c r="AA1098" s="2" t="s">
        <v>35</v>
      </c>
      <c r="AB1098" s="2" t="s">
        <v>35</v>
      </c>
      <c r="AC1098" s="2" t="s">
        <v>35</v>
      </c>
      <c r="AD1098" s="2">
        <v>3</v>
      </c>
      <c r="AE1098" s="2" t="s">
        <v>2840</v>
      </c>
      <c r="AF1098" s="11">
        <v>44769.384722222225</v>
      </c>
      <c r="AG1098" s="53"/>
      <c r="AH1098" s="53" t="b">
        <f t="shared" si="52"/>
        <v>0</v>
      </c>
      <c r="AI1098" s="54" t="str" cm="1">
        <f t="array" ref="AI1098">TRANSPOSE(_xlfn._xlws.FILTER(images!L:L,images!F:F=Barrierenmessung!A1098, ""))</f>
        <v>https://captureandgo.cloudlab.zhaw.ch/uploads/image_44571de4b0.jpg</v>
      </c>
      <c r="AJ1098" s="2"/>
      <c r="AK1098" s="2"/>
      <c r="AL1098" s="2"/>
      <c r="AM1098" s="2"/>
      <c r="AN1098" s="2"/>
    </row>
    <row r="1099" spans="1:40" ht="16" x14ac:dyDescent="0.2">
      <c r="A1099" s="2" t="s">
        <v>3531</v>
      </c>
      <c r="B1099" s="46">
        <v>1098</v>
      </c>
      <c r="C1099" s="2" t="b">
        <v>0</v>
      </c>
      <c r="D1099" s="2" t="b">
        <v>0</v>
      </c>
      <c r="E1099" s="2" t="b">
        <v>0</v>
      </c>
      <c r="F1099" s="2" t="b">
        <v>0</v>
      </c>
      <c r="G1099" s="2" t="s">
        <v>31</v>
      </c>
      <c r="H1099" s="2" t="s">
        <v>3532</v>
      </c>
      <c r="I1099" s="2" t="s">
        <v>3533</v>
      </c>
      <c r="J1099" s="2" t="s">
        <v>3534</v>
      </c>
      <c r="K1099" s="2" t="s">
        <v>35</v>
      </c>
      <c r="L1099" s="2" t="s">
        <v>35</v>
      </c>
      <c r="M1099" s="2" t="s">
        <v>35</v>
      </c>
      <c r="N1099" s="2" t="s">
        <v>35</v>
      </c>
      <c r="O1099" s="11">
        <v>44769.396266307871</v>
      </c>
      <c r="P1099" s="11">
        <v>44769.396789548613</v>
      </c>
      <c r="Q1099" s="27">
        <f t="shared" si="51"/>
        <v>5.2324074204079807E-4</v>
      </c>
      <c r="R1099" s="65">
        <f t="shared" si="53"/>
        <v>1.8274189860676415E-3</v>
      </c>
      <c r="S1099" s="2">
        <v>0</v>
      </c>
      <c r="T1099" s="2" t="s">
        <v>36</v>
      </c>
      <c r="U1099" s="2" t="s">
        <v>37</v>
      </c>
      <c r="V1099" s="2" t="s">
        <v>38</v>
      </c>
      <c r="W1099" s="2" t="s">
        <v>35</v>
      </c>
      <c r="X1099" s="2" t="s">
        <v>35</v>
      </c>
      <c r="Y1099" s="2" t="s">
        <v>35</v>
      </c>
      <c r="Z1099" s="2" t="b">
        <v>0</v>
      </c>
      <c r="AA1099" s="2" t="s">
        <v>35</v>
      </c>
      <c r="AB1099" s="2" t="s">
        <v>35</v>
      </c>
      <c r="AC1099" s="2">
        <v>3</v>
      </c>
      <c r="AD1099" s="2" t="s">
        <v>35</v>
      </c>
      <c r="AE1099" s="2" t="s">
        <v>2840</v>
      </c>
      <c r="AF1099" s="11">
        <v>44769.384722222225</v>
      </c>
      <c r="AG1099" s="53"/>
      <c r="AH1099" s="53" t="b">
        <f t="shared" si="52"/>
        <v>0</v>
      </c>
      <c r="AI1099" s="54" t="str" cm="1">
        <f t="array" ref="AI1099:AK1099">TRANSPOSE(_xlfn._xlws.FILTER(images!L:L,images!F:F=Barrierenmessung!A1099, ""))</f>
        <v>https://captureandgo.cloudlab.zhaw.ch/uploads/image_5f6ad9164f.jpg</v>
      </c>
      <c r="AJ1099" s="2" t="str">
        <v>https://captureandgo.cloudlab.zhaw.ch/uploads/image_1313b36c01.jpg</v>
      </c>
      <c r="AK1099" s="2" t="str">
        <v>https://captureandgo.cloudlab.zhaw.ch/uploads/image_4dda1c22e2.jpg</v>
      </c>
      <c r="AL1099" s="2"/>
      <c r="AM1099" s="2"/>
      <c r="AN1099" s="2"/>
    </row>
    <row r="1100" spans="1:40" ht="16" x14ac:dyDescent="0.2">
      <c r="A1100" s="31" t="s">
        <v>3535</v>
      </c>
      <c r="B1100" s="31">
        <v>1099</v>
      </c>
      <c r="C1100" s="31" t="b">
        <v>0</v>
      </c>
      <c r="D1100" s="31" t="b">
        <v>0</v>
      </c>
      <c r="E1100" s="31" t="b">
        <v>0</v>
      </c>
      <c r="F1100" s="31" t="b">
        <v>0</v>
      </c>
      <c r="G1100" s="31" t="s">
        <v>31</v>
      </c>
      <c r="H1100" s="31" t="s">
        <v>3536</v>
      </c>
      <c r="I1100" s="31" t="s">
        <v>3537</v>
      </c>
      <c r="J1100" s="31" t="s">
        <v>35</v>
      </c>
      <c r="K1100" s="31" t="s">
        <v>35</v>
      </c>
      <c r="L1100" s="31" t="s">
        <v>35</v>
      </c>
      <c r="M1100" s="31" t="s">
        <v>35</v>
      </c>
      <c r="N1100" s="31" t="s">
        <v>35</v>
      </c>
      <c r="O1100" s="32">
        <v>44769.406836979164</v>
      </c>
      <c r="P1100" s="32">
        <v>44769.406995520832</v>
      </c>
      <c r="Q1100" s="30">
        <f t="shared" si="51"/>
        <v>1.5854166849749163E-4</v>
      </c>
      <c r="R1100" s="30">
        <f t="shared" si="53"/>
        <v>1.0205972219409887E-2</v>
      </c>
      <c r="S1100" s="31">
        <v>0</v>
      </c>
      <c r="T1100" s="31" t="s">
        <v>36</v>
      </c>
      <c r="U1100" s="31" t="s">
        <v>37</v>
      </c>
      <c r="V1100" s="31" t="s">
        <v>38</v>
      </c>
      <c r="W1100" s="31" t="s">
        <v>35</v>
      </c>
      <c r="X1100" s="31" t="s">
        <v>35</v>
      </c>
      <c r="Y1100" s="31" t="s">
        <v>35</v>
      </c>
      <c r="Z1100" s="31" t="b">
        <v>0</v>
      </c>
      <c r="AA1100" s="31" t="s">
        <v>3516</v>
      </c>
      <c r="AB1100" s="31" t="s">
        <v>35</v>
      </c>
      <c r="AC1100" s="31" t="s">
        <v>35</v>
      </c>
      <c r="AD1100" s="31">
        <v>3</v>
      </c>
      <c r="AE1100" s="31" t="s">
        <v>2840</v>
      </c>
      <c r="AF1100" s="32">
        <v>44769.384722222225</v>
      </c>
      <c r="AG1100" s="55" t="s">
        <v>9408</v>
      </c>
      <c r="AH1100" s="55" t="b">
        <f t="shared" si="52"/>
        <v>0</v>
      </c>
      <c r="AI1100" s="62" t="str" cm="1">
        <f t="array" ref="AI1100">TRANSPOSE(_xlfn._xlws.FILTER(images!L:L,images!F:F=Barrierenmessung!A1100, ""))</f>
        <v>https://captureandgo.cloudlab.zhaw.ch/uploads/image_4c1e301119.jpg</v>
      </c>
      <c r="AJ1100" s="31"/>
      <c r="AK1100" s="31"/>
      <c r="AL1100" s="31"/>
      <c r="AM1100" s="31"/>
      <c r="AN1100" s="31"/>
    </row>
    <row r="1101" spans="1:40" ht="16" x14ac:dyDescent="0.2">
      <c r="A1101" s="2" t="s">
        <v>3538</v>
      </c>
      <c r="B1101" s="46">
        <v>1100</v>
      </c>
      <c r="C1101" s="2" t="b">
        <v>0</v>
      </c>
      <c r="D1101" s="2" t="b">
        <v>0</v>
      </c>
      <c r="E1101" s="2" t="b">
        <v>0</v>
      </c>
      <c r="F1101" s="2" t="b">
        <v>0</v>
      </c>
      <c r="G1101" s="2" t="s">
        <v>31</v>
      </c>
      <c r="H1101" s="2" t="s">
        <v>3539</v>
      </c>
      <c r="I1101" s="2" t="s">
        <v>3540</v>
      </c>
      <c r="J1101" s="2" t="s">
        <v>35</v>
      </c>
      <c r="K1101" s="2" t="s">
        <v>35</v>
      </c>
      <c r="L1101" s="2" t="s">
        <v>35</v>
      </c>
      <c r="M1101" s="2" t="s">
        <v>35</v>
      </c>
      <c r="N1101" s="2" t="s">
        <v>35</v>
      </c>
      <c r="O1101" s="11">
        <v>44769.407415057867</v>
      </c>
      <c r="P1101" s="11">
        <v>44769.407590879629</v>
      </c>
      <c r="Q1101" s="27">
        <f t="shared" si="51"/>
        <v>1.7582176224095747E-4</v>
      </c>
      <c r="R1101" s="65">
        <f t="shared" si="53"/>
        <v>5.9535879699978977E-4</v>
      </c>
      <c r="S1101" s="2">
        <v>0</v>
      </c>
      <c r="T1101" s="2" t="s">
        <v>36</v>
      </c>
      <c r="U1101" s="2" t="s">
        <v>37</v>
      </c>
      <c r="V1101" s="2" t="s">
        <v>38</v>
      </c>
      <c r="W1101" s="2" t="s">
        <v>35</v>
      </c>
      <c r="X1101" s="2" t="s">
        <v>35</v>
      </c>
      <c r="Y1101" s="2" t="s">
        <v>35</v>
      </c>
      <c r="Z1101" s="2" t="b">
        <v>0</v>
      </c>
      <c r="AA1101" s="2" t="s">
        <v>3516</v>
      </c>
      <c r="AB1101" s="2" t="s">
        <v>35</v>
      </c>
      <c r="AC1101" s="2" t="s">
        <v>35</v>
      </c>
      <c r="AD1101" s="2">
        <v>2</v>
      </c>
      <c r="AE1101" s="2" t="s">
        <v>2840</v>
      </c>
      <c r="AF1101" s="11">
        <v>44769.384722222225</v>
      </c>
      <c r="AG1101" s="53"/>
      <c r="AH1101" s="53" t="b">
        <f t="shared" si="52"/>
        <v>0</v>
      </c>
      <c r="AI1101" s="54" t="str" cm="1">
        <f t="array" ref="AI1101">TRANSPOSE(_xlfn._xlws.FILTER(images!L:L,images!F:F=Barrierenmessung!A1101, ""))</f>
        <v>https://captureandgo.cloudlab.zhaw.ch/uploads/image_14dc808dad.jpg</v>
      </c>
      <c r="AJ1101" s="2"/>
      <c r="AK1101" s="2"/>
      <c r="AL1101" s="2"/>
      <c r="AM1101" s="2"/>
      <c r="AN1101" s="2"/>
    </row>
    <row r="1102" spans="1:40" ht="16" x14ac:dyDescent="0.2">
      <c r="A1102" s="2" t="s">
        <v>3541</v>
      </c>
      <c r="B1102" s="46">
        <v>1101</v>
      </c>
      <c r="C1102" s="2" t="b">
        <v>0</v>
      </c>
      <c r="D1102" s="2" t="b">
        <v>0</v>
      </c>
      <c r="E1102" s="2" t="b">
        <v>0</v>
      </c>
      <c r="F1102" s="2" t="b">
        <v>0</v>
      </c>
      <c r="G1102" s="2" t="s">
        <v>31</v>
      </c>
      <c r="H1102" s="2" t="s">
        <v>3542</v>
      </c>
      <c r="I1102" s="2" t="s">
        <v>3543</v>
      </c>
      <c r="J1102" s="2" t="s">
        <v>35</v>
      </c>
      <c r="K1102" s="2" t="s">
        <v>35</v>
      </c>
      <c r="L1102" s="2" t="s">
        <v>35</v>
      </c>
      <c r="M1102" s="2" t="s">
        <v>35</v>
      </c>
      <c r="N1102" s="2" t="s">
        <v>35</v>
      </c>
      <c r="O1102" s="11">
        <v>44769.408316631947</v>
      </c>
      <c r="P1102" s="11">
        <v>44769.408509560184</v>
      </c>
      <c r="Q1102" s="27">
        <f t="shared" si="51"/>
        <v>1.9292823708383366E-4</v>
      </c>
      <c r="R1102" s="65">
        <f t="shared" si="53"/>
        <v>9.1868055460508913E-4</v>
      </c>
      <c r="S1102" s="2">
        <v>0</v>
      </c>
      <c r="T1102" s="2" t="s">
        <v>36</v>
      </c>
      <c r="U1102" s="2" t="s">
        <v>37</v>
      </c>
      <c r="V1102" s="2" t="s">
        <v>38</v>
      </c>
      <c r="W1102" s="2" t="s">
        <v>35</v>
      </c>
      <c r="X1102" s="2" t="s">
        <v>35</v>
      </c>
      <c r="Y1102" s="2" t="s">
        <v>35</v>
      </c>
      <c r="Z1102" s="2" t="b">
        <v>0</v>
      </c>
      <c r="AA1102" s="2" t="s">
        <v>3516</v>
      </c>
      <c r="AB1102" s="2" t="s">
        <v>35</v>
      </c>
      <c r="AC1102" s="2" t="s">
        <v>35</v>
      </c>
      <c r="AD1102" s="2">
        <v>2</v>
      </c>
      <c r="AE1102" s="2" t="s">
        <v>2840</v>
      </c>
      <c r="AF1102" s="11">
        <v>44769.384722222225</v>
      </c>
      <c r="AG1102" s="53"/>
      <c r="AH1102" s="53" t="b">
        <f t="shared" si="52"/>
        <v>0</v>
      </c>
      <c r="AI1102" s="54" t="str" cm="1">
        <f t="array" ref="AI1102">TRANSPOSE(_xlfn._xlws.FILTER(images!L:L,images!F:F=Barrierenmessung!A1102, ""))</f>
        <v>https://captureandgo.cloudlab.zhaw.ch/uploads/image_0797b9faac.jpg</v>
      </c>
      <c r="AJ1102" s="2"/>
      <c r="AK1102" s="2"/>
      <c r="AL1102" s="2"/>
      <c r="AM1102" s="2"/>
      <c r="AN1102" s="2"/>
    </row>
    <row r="1103" spans="1:40" ht="16" x14ac:dyDescent="0.2">
      <c r="A1103" s="2" t="s">
        <v>3544</v>
      </c>
      <c r="B1103" s="46">
        <v>1102</v>
      </c>
      <c r="C1103" s="2" t="b">
        <v>0</v>
      </c>
      <c r="D1103" s="2" t="b">
        <v>0</v>
      </c>
      <c r="E1103" s="2" t="b">
        <v>0</v>
      </c>
      <c r="F1103" s="2" t="b">
        <v>0</v>
      </c>
      <c r="G1103" s="2" t="s">
        <v>31</v>
      </c>
      <c r="H1103" s="2" t="s">
        <v>3545</v>
      </c>
      <c r="I1103" s="2" t="s">
        <v>3546</v>
      </c>
      <c r="J1103" s="2" t="s">
        <v>675</v>
      </c>
      <c r="K1103" s="2" t="s">
        <v>35</v>
      </c>
      <c r="L1103" s="2" t="s">
        <v>35</v>
      </c>
      <c r="M1103" s="2" t="s">
        <v>35</v>
      </c>
      <c r="N1103" s="2" t="s">
        <v>35</v>
      </c>
      <c r="O1103" s="11">
        <v>44769.408863807868</v>
      </c>
      <c r="P1103" s="11">
        <v>44769.40912866898</v>
      </c>
      <c r="Q1103" s="27">
        <f t="shared" si="51"/>
        <v>2.6486111164558679E-4</v>
      </c>
      <c r="R1103" s="65">
        <f t="shared" si="53"/>
        <v>6.1910879594506696E-4</v>
      </c>
      <c r="S1103" s="2">
        <v>0</v>
      </c>
      <c r="T1103" s="2" t="s">
        <v>124</v>
      </c>
      <c r="U1103" s="2" t="s">
        <v>125</v>
      </c>
      <c r="V1103" s="2" t="s">
        <v>38</v>
      </c>
      <c r="W1103" s="2" t="s">
        <v>35</v>
      </c>
      <c r="X1103" s="2" t="s">
        <v>35</v>
      </c>
      <c r="Y1103" s="2" t="s">
        <v>35</v>
      </c>
      <c r="Z1103" s="2" t="b">
        <v>0</v>
      </c>
      <c r="AA1103" s="2" t="s">
        <v>35</v>
      </c>
      <c r="AB1103" s="2">
        <v>4</v>
      </c>
      <c r="AC1103" s="2" t="s">
        <v>35</v>
      </c>
      <c r="AD1103" s="2" t="s">
        <v>35</v>
      </c>
      <c r="AE1103" s="2" t="s">
        <v>2840</v>
      </c>
      <c r="AF1103" s="11">
        <v>44769.384722222225</v>
      </c>
      <c r="AG1103" s="53"/>
      <c r="AH1103" s="53" t="b">
        <f t="shared" si="52"/>
        <v>0</v>
      </c>
      <c r="AI1103" s="54" t="str" cm="1">
        <f t="array" ref="AI1103:AK1103">TRANSPOSE(_xlfn._xlws.FILTER(images!L:L,images!F:F=Barrierenmessung!A1103, ""))</f>
        <v>https://captureandgo.cloudlab.zhaw.ch/uploads/image_149faac7c7.jpg</v>
      </c>
      <c r="AJ1103" s="2" t="str">
        <v>https://captureandgo.cloudlab.zhaw.ch/uploads/image_4f2a3f1ba5.jpg</v>
      </c>
      <c r="AK1103" s="2" t="str">
        <v>https://captureandgo.cloudlab.zhaw.ch/uploads/image_c48b894691.jpg</v>
      </c>
      <c r="AL1103" s="2"/>
      <c r="AM1103" s="2"/>
      <c r="AN1103" s="2"/>
    </row>
    <row r="1104" spans="1:40" ht="16" x14ac:dyDescent="0.2">
      <c r="A1104" s="2" t="s">
        <v>3547</v>
      </c>
      <c r="B1104" s="46">
        <v>1103</v>
      </c>
      <c r="C1104" s="2" t="b">
        <v>0</v>
      </c>
      <c r="D1104" s="2" t="b">
        <v>0</v>
      </c>
      <c r="E1104" s="2" t="b">
        <v>0</v>
      </c>
      <c r="F1104" s="2" t="b">
        <v>0</v>
      </c>
      <c r="G1104" s="2" t="s">
        <v>31</v>
      </c>
      <c r="H1104" s="2" t="s">
        <v>3548</v>
      </c>
      <c r="I1104" s="2" t="s">
        <v>3549</v>
      </c>
      <c r="J1104" s="2" t="s">
        <v>35</v>
      </c>
      <c r="K1104" s="2" t="s">
        <v>35</v>
      </c>
      <c r="L1104" s="2" t="s">
        <v>35</v>
      </c>
      <c r="M1104" s="2" t="s">
        <v>35</v>
      </c>
      <c r="N1104" s="2" t="s">
        <v>35</v>
      </c>
      <c r="O1104" s="11">
        <v>44769.40920347222</v>
      </c>
      <c r="P1104" s="11">
        <v>44769.409343101855</v>
      </c>
      <c r="Q1104" s="27">
        <f t="shared" si="51"/>
        <v>1.3962963566882536E-4</v>
      </c>
      <c r="R1104" s="65">
        <f t="shared" si="53"/>
        <v>2.1443287550937384E-4</v>
      </c>
      <c r="S1104" s="2">
        <v>0</v>
      </c>
      <c r="T1104" s="2" t="s">
        <v>36</v>
      </c>
      <c r="U1104" s="2" t="s">
        <v>37</v>
      </c>
      <c r="V1104" s="2" t="s">
        <v>38</v>
      </c>
      <c r="W1104" s="2" t="s">
        <v>35</v>
      </c>
      <c r="X1104" s="2" t="s">
        <v>35</v>
      </c>
      <c r="Y1104" s="2" t="s">
        <v>35</v>
      </c>
      <c r="Z1104" s="2" t="b">
        <v>0</v>
      </c>
      <c r="AA1104" s="2" t="s">
        <v>35</v>
      </c>
      <c r="AB1104" s="2" t="s">
        <v>35</v>
      </c>
      <c r="AC1104" s="2" t="s">
        <v>35</v>
      </c>
      <c r="AD1104" s="2">
        <v>2</v>
      </c>
      <c r="AE1104" s="2" t="s">
        <v>2840</v>
      </c>
      <c r="AF1104" s="11">
        <v>44769.384722222225</v>
      </c>
      <c r="AG1104" s="53"/>
      <c r="AH1104" s="53" t="b">
        <f t="shared" si="52"/>
        <v>0</v>
      </c>
      <c r="AI1104" s="54" t="str" cm="1">
        <f t="array" ref="AI1104">TRANSPOSE(_xlfn._xlws.FILTER(images!L:L,images!F:F=Barrierenmessung!A1104, ""))</f>
        <v>https://captureandgo.cloudlab.zhaw.ch/uploads/image_af3940e65e.jpg</v>
      </c>
      <c r="AJ1104" s="2"/>
      <c r="AK1104" s="2"/>
      <c r="AL1104" s="2"/>
      <c r="AM1104" s="2"/>
      <c r="AN1104" s="2"/>
    </row>
    <row r="1105" spans="1:40" ht="16" x14ac:dyDescent="0.2">
      <c r="A1105" s="2" t="s">
        <v>3550</v>
      </c>
      <c r="B1105" s="46">
        <v>1104</v>
      </c>
      <c r="C1105" s="2" t="b">
        <v>0</v>
      </c>
      <c r="D1105" s="2" t="b">
        <v>0</v>
      </c>
      <c r="E1105" s="2" t="b">
        <v>0</v>
      </c>
      <c r="F1105" s="2" t="b">
        <v>0</v>
      </c>
      <c r="G1105" s="2" t="s">
        <v>31</v>
      </c>
      <c r="H1105" s="2" t="s">
        <v>3551</v>
      </c>
      <c r="I1105" s="2" t="s">
        <v>3552</v>
      </c>
      <c r="J1105" s="2" t="s">
        <v>35</v>
      </c>
      <c r="K1105" s="2" t="s">
        <v>35</v>
      </c>
      <c r="L1105" s="2" t="s">
        <v>35</v>
      </c>
      <c r="M1105" s="2" t="s">
        <v>35</v>
      </c>
      <c r="N1105" s="2" t="s">
        <v>35</v>
      </c>
      <c r="O1105" s="11">
        <v>44769.410011435182</v>
      </c>
      <c r="P1105" s="11">
        <v>44769.410130289354</v>
      </c>
      <c r="Q1105" s="27">
        <f t="shared" si="51"/>
        <v>1.188541718875058E-4</v>
      </c>
      <c r="R1105" s="65">
        <f t="shared" si="53"/>
        <v>7.8718749864492565E-4</v>
      </c>
      <c r="S1105" s="2">
        <v>0</v>
      </c>
      <c r="T1105" s="2" t="s">
        <v>36</v>
      </c>
      <c r="U1105" s="2" t="s">
        <v>37</v>
      </c>
      <c r="V1105" s="2" t="s">
        <v>38</v>
      </c>
      <c r="W1105" s="2" t="s">
        <v>35</v>
      </c>
      <c r="X1105" s="2" t="s">
        <v>35</v>
      </c>
      <c r="Y1105" s="2" t="s">
        <v>35</v>
      </c>
      <c r="Z1105" s="2" t="b">
        <v>0</v>
      </c>
      <c r="AA1105" s="2" t="s">
        <v>35</v>
      </c>
      <c r="AB1105" s="2" t="s">
        <v>35</v>
      </c>
      <c r="AC1105" s="2" t="s">
        <v>35</v>
      </c>
      <c r="AD1105" s="2">
        <v>2</v>
      </c>
      <c r="AE1105" s="2" t="s">
        <v>2840</v>
      </c>
      <c r="AF1105" s="11">
        <v>44769.384722222225</v>
      </c>
      <c r="AG1105" s="53"/>
      <c r="AH1105" s="53" t="b">
        <f t="shared" si="52"/>
        <v>0</v>
      </c>
      <c r="AI1105" s="54" t="str" cm="1">
        <f t="array" ref="AI1105">TRANSPOSE(_xlfn._xlws.FILTER(images!L:L,images!F:F=Barrierenmessung!A1105, ""))</f>
        <v>https://captureandgo.cloudlab.zhaw.ch/uploads/image_6b04ebbf83.jpg</v>
      </c>
      <c r="AJ1105" s="2"/>
      <c r="AK1105" s="2"/>
      <c r="AL1105" s="2"/>
      <c r="AM1105" s="2"/>
      <c r="AN1105" s="2"/>
    </row>
    <row r="1106" spans="1:40" ht="16" x14ac:dyDescent="0.2">
      <c r="A1106" s="2" t="s">
        <v>3553</v>
      </c>
      <c r="B1106" s="46">
        <v>1105</v>
      </c>
      <c r="C1106" s="2" t="b">
        <v>0</v>
      </c>
      <c r="D1106" s="2" t="b">
        <v>0</v>
      </c>
      <c r="E1106" s="2" t="b">
        <v>0</v>
      </c>
      <c r="F1106" s="2" t="b">
        <v>0</v>
      </c>
      <c r="G1106" s="2" t="s">
        <v>31</v>
      </c>
      <c r="H1106" s="2" t="s">
        <v>3554</v>
      </c>
      <c r="I1106" s="2" t="s">
        <v>3555</v>
      </c>
      <c r="J1106" s="2" t="s">
        <v>3105</v>
      </c>
      <c r="K1106" s="2" t="s">
        <v>35</v>
      </c>
      <c r="L1106" s="2" t="s">
        <v>35</v>
      </c>
      <c r="M1106" s="2" t="s">
        <v>35</v>
      </c>
      <c r="N1106" s="2" t="s">
        <v>35</v>
      </c>
      <c r="O1106" s="11">
        <v>44769.411410312503</v>
      </c>
      <c r="P1106" s="11">
        <v>44769.411672662034</v>
      </c>
      <c r="Q1106" s="27">
        <f t="shared" si="51"/>
        <v>2.6234953111270443E-4</v>
      </c>
      <c r="R1106" s="65">
        <f t="shared" si="53"/>
        <v>1.5423726799781434E-3</v>
      </c>
      <c r="S1106" s="2">
        <v>0</v>
      </c>
      <c r="T1106" s="2" t="s">
        <v>36</v>
      </c>
      <c r="U1106" s="2" t="s">
        <v>37</v>
      </c>
      <c r="V1106" s="2" t="s">
        <v>38</v>
      </c>
      <c r="W1106" s="2" t="s">
        <v>35</v>
      </c>
      <c r="X1106" s="2" t="s">
        <v>35</v>
      </c>
      <c r="Y1106" s="2" t="s">
        <v>35</v>
      </c>
      <c r="Z1106" s="2" t="b">
        <v>0</v>
      </c>
      <c r="AA1106" s="2" t="s">
        <v>35</v>
      </c>
      <c r="AB1106" s="2" t="s">
        <v>35</v>
      </c>
      <c r="AC1106" s="2">
        <v>3</v>
      </c>
      <c r="AD1106" s="2">
        <v>4</v>
      </c>
      <c r="AE1106" s="2" t="s">
        <v>2840</v>
      </c>
      <c r="AF1106" s="11">
        <v>44769.384722222225</v>
      </c>
      <c r="AG1106" s="53"/>
      <c r="AH1106" s="53" t="b">
        <f t="shared" si="52"/>
        <v>0</v>
      </c>
      <c r="AI1106" s="54" t="str" cm="1">
        <f t="array" ref="AI1106">TRANSPOSE(_xlfn._xlws.FILTER(images!L:L,images!F:F=Barrierenmessung!A1106, ""))</f>
        <v>https://captureandgo.cloudlab.zhaw.ch/uploads/image_78f04549d7.jpg</v>
      </c>
      <c r="AJ1106" s="2"/>
      <c r="AK1106" s="2"/>
      <c r="AL1106" s="2"/>
      <c r="AM1106" s="2"/>
      <c r="AN1106" s="2"/>
    </row>
    <row r="1107" spans="1:40" ht="16" x14ac:dyDescent="0.2">
      <c r="A1107" s="2" t="s">
        <v>3556</v>
      </c>
      <c r="B1107" s="46">
        <v>1106</v>
      </c>
      <c r="C1107" s="2" t="b">
        <v>0</v>
      </c>
      <c r="D1107" s="2" t="b">
        <v>0</v>
      </c>
      <c r="E1107" s="2" t="b">
        <v>0</v>
      </c>
      <c r="F1107" s="2" t="b">
        <v>0</v>
      </c>
      <c r="G1107" s="2" t="s">
        <v>31</v>
      </c>
      <c r="H1107" s="2" t="s">
        <v>3557</v>
      </c>
      <c r="I1107" s="2" t="s">
        <v>3558</v>
      </c>
      <c r="J1107" s="2" t="s">
        <v>3559</v>
      </c>
      <c r="K1107" s="2" t="s">
        <v>35</v>
      </c>
      <c r="L1107" s="2" t="s">
        <v>35</v>
      </c>
      <c r="M1107" s="2" t="s">
        <v>35</v>
      </c>
      <c r="N1107" s="2" t="s">
        <v>35</v>
      </c>
      <c r="O1107" s="11">
        <v>44769.412288715277</v>
      </c>
      <c r="P1107" s="11">
        <v>44769.412596261573</v>
      </c>
      <c r="Q1107" s="27">
        <f t="shared" si="51"/>
        <v>3.0754629551665857E-4</v>
      </c>
      <c r="R1107" s="65">
        <f t="shared" si="53"/>
        <v>9.2359953850973397E-4</v>
      </c>
      <c r="S1107" s="2">
        <v>0</v>
      </c>
      <c r="T1107" s="2" t="s">
        <v>36</v>
      </c>
      <c r="U1107" s="2" t="s">
        <v>37</v>
      </c>
      <c r="V1107" s="2" t="s">
        <v>38</v>
      </c>
      <c r="W1107" s="2" t="s">
        <v>35</v>
      </c>
      <c r="X1107" s="2" t="s">
        <v>35</v>
      </c>
      <c r="Y1107" s="2" t="s">
        <v>35</v>
      </c>
      <c r="Z1107" s="2" t="b">
        <v>0</v>
      </c>
      <c r="AA1107" s="2" t="s">
        <v>35</v>
      </c>
      <c r="AB1107" s="2" t="s">
        <v>35</v>
      </c>
      <c r="AC1107" s="2">
        <v>3</v>
      </c>
      <c r="AD1107" s="2">
        <v>2</v>
      </c>
      <c r="AE1107" s="2" t="s">
        <v>2840</v>
      </c>
      <c r="AF1107" s="11">
        <v>44769.384722222225</v>
      </c>
      <c r="AG1107" s="53"/>
      <c r="AH1107" s="53" t="b">
        <f t="shared" si="52"/>
        <v>0</v>
      </c>
      <c r="AI1107" s="54" t="str" cm="1">
        <f t="array" ref="AI1107">TRANSPOSE(_xlfn._xlws.FILTER(images!L:L,images!F:F=Barrierenmessung!A1107, ""))</f>
        <v>https://captureandgo.cloudlab.zhaw.ch/uploads/image_620e0d6bb1.jpg</v>
      </c>
      <c r="AJ1107" s="2"/>
      <c r="AK1107" s="2"/>
      <c r="AL1107" s="2"/>
      <c r="AM1107" s="2"/>
      <c r="AN1107" s="2"/>
    </row>
    <row r="1108" spans="1:40" ht="16" x14ac:dyDescent="0.2">
      <c r="A1108" s="2" t="s">
        <v>3560</v>
      </c>
      <c r="B1108" s="46">
        <v>1107</v>
      </c>
      <c r="C1108" s="2" t="b">
        <v>0</v>
      </c>
      <c r="D1108" s="2" t="b">
        <v>0</v>
      </c>
      <c r="E1108" s="2" t="b">
        <v>0</v>
      </c>
      <c r="F1108" s="2" t="b">
        <v>0</v>
      </c>
      <c r="G1108" s="2" t="s">
        <v>31</v>
      </c>
      <c r="H1108" s="2" t="s">
        <v>3561</v>
      </c>
      <c r="I1108" s="2" t="s">
        <v>3562</v>
      </c>
      <c r="J1108" s="2" t="s">
        <v>3559</v>
      </c>
      <c r="K1108" s="2" t="s">
        <v>35</v>
      </c>
      <c r="L1108" s="2" t="s">
        <v>35</v>
      </c>
      <c r="M1108" s="2" t="s">
        <v>35</v>
      </c>
      <c r="N1108" s="2" t="s">
        <v>35</v>
      </c>
      <c r="O1108" s="11">
        <v>44769.413108391207</v>
      </c>
      <c r="P1108" s="11">
        <v>44769.413377592595</v>
      </c>
      <c r="Q1108" s="27">
        <f t="shared" si="51"/>
        <v>2.6920138770947233E-4</v>
      </c>
      <c r="R1108" s="65">
        <f t="shared" si="53"/>
        <v>7.813310221536085E-4</v>
      </c>
      <c r="S1108" s="2">
        <v>0</v>
      </c>
      <c r="T1108" s="2" t="s">
        <v>36</v>
      </c>
      <c r="U1108" s="2" t="s">
        <v>37</v>
      </c>
      <c r="V1108" s="2" t="s">
        <v>38</v>
      </c>
      <c r="W1108" s="2" t="s">
        <v>35</v>
      </c>
      <c r="X1108" s="2" t="s">
        <v>35</v>
      </c>
      <c r="Y1108" s="2" t="s">
        <v>35</v>
      </c>
      <c r="Z1108" s="2" t="b">
        <v>0</v>
      </c>
      <c r="AA1108" s="2" t="s">
        <v>35</v>
      </c>
      <c r="AB1108" s="2" t="s">
        <v>35</v>
      </c>
      <c r="AC1108" s="2">
        <v>3</v>
      </c>
      <c r="AD1108" s="2" t="s">
        <v>35</v>
      </c>
      <c r="AE1108" s="2" t="s">
        <v>2840</v>
      </c>
      <c r="AF1108" s="11">
        <v>44769.384722222225</v>
      </c>
      <c r="AG1108" s="53"/>
      <c r="AH1108" s="53" t="b">
        <f t="shared" si="52"/>
        <v>0</v>
      </c>
      <c r="AI1108" s="54" t="str" cm="1">
        <f t="array" ref="AI1108">TRANSPOSE(_xlfn._xlws.FILTER(images!L:L,images!F:F=Barrierenmessung!A1108, ""))</f>
        <v>https://captureandgo.cloudlab.zhaw.ch/uploads/image_7fd3a27ccd.jpg</v>
      </c>
      <c r="AJ1108" s="2"/>
      <c r="AK1108" s="2"/>
      <c r="AL1108" s="2"/>
      <c r="AM1108" s="2"/>
      <c r="AN1108" s="2"/>
    </row>
    <row r="1109" spans="1:40" ht="16" x14ac:dyDescent="0.2">
      <c r="A1109" s="2" t="s">
        <v>3563</v>
      </c>
      <c r="B1109" s="46">
        <v>1108</v>
      </c>
      <c r="C1109" s="2" t="b">
        <v>0</v>
      </c>
      <c r="D1109" s="2" t="b">
        <v>0</v>
      </c>
      <c r="E1109" s="2" t="b">
        <v>0</v>
      </c>
      <c r="F1109" s="2" t="b">
        <v>0</v>
      </c>
      <c r="G1109" s="2" t="s">
        <v>31</v>
      </c>
      <c r="H1109" s="2" t="s">
        <v>3564</v>
      </c>
      <c r="I1109" s="2" t="s">
        <v>3565</v>
      </c>
      <c r="J1109" s="2" t="s">
        <v>3566</v>
      </c>
      <c r="K1109" s="2" t="s">
        <v>35</v>
      </c>
      <c r="L1109" s="2" t="s">
        <v>35</v>
      </c>
      <c r="M1109" s="2" t="s">
        <v>35</v>
      </c>
      <c r="N1109" s="2" t="s">
        <v>35</v>
      </c>
      <c r="O1109" s="11">
        <v>44769.414027534724</v>
      </c>
      <c r="P1109" s="11">
        <v>44769.414536319448</v>
      </c>
      <c r="Q1109" s="27">
        <f t="shared" si="51"/>
        <v>5.0878472393378615E-4</v>
      </c>
      <c r="R1109" s="65">
        <f t="shared" si="53"/>
        <v>1.1587268527364358E-3</v>
      </c>
      <c r="S1109" s="2">
        <v>0</v>
      </c>
      <c r="T1109" s="2" t="s">
        <v>36</v>
      </c>
      <c r="U1109" s="2" t="s">
        <v>37</v>
      </c>
      <c r="V1109" s="2" t="s">
        <v>38</v>
      </c>
      <c r="W1109" s="2" t="s">
        <v>35</v>
      </c>
      <c r="X1109" s="2" t="s">
        <v>35</v>
      </c>
      <c r="Y1109" s="2" t="s">
        <v>35</v>
      </c>
      <c r="Z1109" s="2" t="b">
        <v>0</v>
      </c>
      <c r="AA1109" s="2" t="s">
        <v>35</v>
      </c>
      <c r="AB1109" s="2" t="s">
        <v>35</v>
      </c>
      <c r="AC1109" s="2">
        <v>5</v>
      </c>
      <c r="AD1109" s="2" t="s">
        <v>35</v>
      </c>
      <c r="AE1109" s="2" t="s">
        <v>2840</v>
      </c>
      <c r="AF1109" s="11">
        <v>44769.384722222225</v>
      </c>
      <c r="AG1109" s="53"/>
      <c r="AH1109" s="53" t="b">
        <f t="shared" si="52"/>
        <v>0</v>
      </c>
      <c r="AI1109" s="54" t="str" cm="1">
        <f t="array" ref="AI1109">TRANSPOSE(_xlfn._xlws.FILTER(images!L:L,images!F:F=Barrierenmessung!A1109, ""))</f>
        <v>https://captureandgo.cloudlab.zhaw.ch/uploads/image_992cd63cc8.jpg</v>
      </c>
      <c r="AJ1109" s="2"/>
      <c r="AK1109" s="2"/>
      <c r="AL1109" s="2"/>
      <c r="AM1109" s="2"/>
      <c r="AN1109" s="2"/>
    </row>
    <row r="1110" spans="1:40" ht="16" x14ac:dyDescent="0.2">
      <c r="A1110" s="2" t="s">
        <v>3567</v>
      </c>
      <c r="B1110" s="46">
        <v>1109</v>
      </c>
      <c r="C1110" s="2" t="b">
        <v>0</v>
      </c>
      <c r="D1110" s="2" t="b">
        <v>0</v>
      </c>
      <c r="E1110" s="2" t="b">
        <v>0</v>
      </c>
      <c r="F1110" s="2" t="b">
        <v>0</v>
      </c>
      <c r="G1110" s="2" t="s">
        <v>31</v>
      </c>
      <c r="H1110" s="2" t="s">
        <v>3568</v>
      </c>
      <c r="I1110" s="2" t="s">
        <v>3569</v>
      </c>
      <c r="J1110" s="2" t="s">
        <v>35</v>
      </c>
      <c r="K1110" s="2" t="s">
        <v>35</v>
      </c>
      <c r="L1110" s="2" t="s">
        <v>35</v>
      </c>
      <c r="M1110" s="2" t="s">
        <v>35</v>
      </c>
      <c r="N1110" s="2" t="s">
        <v>35</v>
      </c>
      <c r="O1110" s="11">
        <v>44769.415085428242</v>
      </c>
      <c r="P1110" s="11">
        <v>44769.415363449072</v>
      </c>
      <c r="Q1110" s="27">
        <f t="shared" si="51"/>
        <v>2.7802083059214056E-4</v>
      </c>
      <c r="R1110" s="65">
        <f t="shared" si="53"/>
        <v>8.2712962466757745E-4</v>
      </c>
      <c r="S1110" s="2">
        <v>0</v>
      </c>
      <c r="T1110" s="2" t="s">
        <v>36</v>
      </c>
      <c r="U1110" s="2" t="s">
        <v>37</v>
      </c>
      <c r="V1110" s="2" t="s">
        <v>38</v>
      </c>
      <c r="W1110" s="2" t="s">
        <v>35</v>
      </c>
      <c r="X1110" s="2" t="s">
        <v>35</v>
      </c>
      <c r="Y1110" s="2" t="s">
        <v>35</v>
      </c>
      <c r="Z1110" s="2" t="b">
        <v>0</v>
      </c>
      <c r="AA1110" s="2" t="s">
        <v>35</v>
      </c>
      <c r="AB1110" s="2" t="s">
        <v>35</v>
      </c>
      <c r="AC1110" s="2" t="s">
        <v>35</v>
      </c>
      <c r="AD1110" s="2">
        <v>6</v>
      </c>
      <c r="AE1110" s="2" t="s">
        <v>2840</v>
      </c>
      <c r="AF1110" s="11">
        <v>44769.384722222225</v>
      </c>
      <c r="AG1110" s="53"/>
      <c r="AH1110" s="53" t="b">
        <f t="shared" si="52"/>
        <v>0</v>
      </c>
      <c r="AI1110" s="54" t="str" cm="1">
        <f t="array" ref="AI1110">TRANSPOSE(_xlfn._xlws.FILTER(images!L:L,images!F:F=Barrierenmessung!A1110, ""))</f>
        <v>https://captureandgo.cloudlab.zhaw.ch/uploads/image_670d694eb7.jpg</v>
      </c>
      <c r="AJ1110" s="2"/>
      <c r="AK1110" s="2"/>
      <c r="AL1110" s="2"/>
      <c r="AM1110" s="2"/>
      <c r="AN1110" s="2"/>
    </row>
    <row r="1111" spans="1:40" ht="16" x14ac:dyDescent="0.2">
      <c r="A1111" s="2" t="s">
        <v>3570</v>
      </c>
      <c r="B1111" s="46">
        <v>1110</v>
      </c>
      <c r="C1111" s="2" t="b">
        <v>0</v>
      </c>
      <c r="D1111" s="2" t="b">
        <v>0</v>
      </c>
      <c r="E1111" s="2" t="b">
        <v>0</v>
      </c>
      <c r="F1111" s="2" t="b">
        <v>0</v>
      </c>
      <c r="G1111" s="2" t="s">
        <v>31</v>
      </c>
      <c r="H1111" s="2" t="s">
        <v>3571</v>
      </c>
      <c r="I1111" s="2" t="s">
        <v>3572</v>
      </c>
      <c r="J1111" s="2" t="s">
        <v>3573</v>
      </c>
      <c r="K1111" s="2" t="s">
        <v>35</v>
      </c>
      <c r="L1111" s="2" t="s">
        <v>35</v>
      </c>
      <c r="M1111" s="2" t="s">
        <v>35</v>
      </c>
      <c r="N1111" s="2" t="s">
        <v>35</v>
      </c>
      <c r="O1111" s="11">
        <v>44769.415422708335</v>
      </c>
      <c r="P1111" s="11">
        <v>44769.415774733796</v>
      </c>
      <c r="Q1111" s="27">
        <f t="shared" si="51"/>
        <v>3.5202546132495627E-4</v>
      </c>
      <c r="R1111" s="65">
        <f t="shared" si="53"/>
        <v>4.1128472366835922E-4</v>
      </c>
      <c r="S1111" s="2">
        <v>0</v>
      </c>
      <c r="T1111" s="2" t="s">
        <v>109</v>
      </c>
      <c r="U1111" s="2" t="s">
        <v>110</v>
      </c>
      <c r="V1111" s="2" t="s">
        <v>38</v>
      </c>
      <c r="W1111" s="2" t="s">
        <v>35</v>
      </c>
      <c r="X1111" s="2">
        <v>0</v>
      </c>
      <c r="Y1111" s="2" t="s">
        <v>35</v>
      </c>
      <c r="Z1111" s="2" t="b">
        <v>0</v>
      </c>
      <c r="AA1111" s="2" t="s">
        <v>35</v>
      </c>
      <c r="AB1111" s="2" t="s">
        <v>35</v>
      </c>
      <c r="AC1111" s="2" t="s">
        <v>35</v>
      </c>
      <c r="AD1111" s="2" t="s">
        <v>35</v>
      </c>
      <c r="AE1111" s="2" t="s">
        <v>2840</v>
      </c>
      <c r="AF1111" s="11">
        <v>44769.384722222225</v>
      </c>
      <c r="AG1111" s="53"/>
      <c r="AH1111" s="53" t="b">
        <f t="shared" si="52"/>
        <v>0</v>
      </c>
      <c r="AI1111" s="54" t="str" cm="1">
        <f t="array" ref="AI1111">TRANSPOSE(_xlfn._xlws.FILTER(images!L:L,images!F:F=Barrierenmessung!A1111, ""))</f>
        <v>https://captureandgo.cloudlab.zhaw.ch/uploads/image_d38a4c4bf4.jpg</v>
      </c>
      <c r="AJ1111" s="2"/>
      <c r="AK1111" s="2"/>
      <c r="AL1111" s="2"/>
      <c r="AM1111" s="2"/>
      <c r="AN1111" s="2"/>
    </row>
    <row r="1112" spans="1:40" ht="16" x14ac:dyDescent="0.2">
      <c r="A1112" s="2" t="s">
        <v>3574</v>
      </c>
      <c r="B1112" s="46">
        <v>1111</v>
      </c>
      <c r="C1112" s="2" t="b">
        <v>0</v>
      </c>
      <c r="D1112" s="2" t="b">
        <v>0</v>
      </c>
      <c r="E1112" s="2" t="b">
        <v>0</v>
      </c>
      <c r="F1112" s="2" t="b">
        <v>0</v>
      </c>
      <c r="G1112" s="2" t="s">
        <v>31</v>
      </c>
      <c r="H1112" s="2" t="s">
        <v>3575</v>
      </c>
      <c r="I1112" s="2" t="s">
        <v>3576</v>
      </c>
      <c r="J1112" s="2" t="s">
        <v>3577</v>
      </c>
      <c r="K1112" s="2" t="s">
        <v>35</v>
      </c>
      <c r="L1112" s="2" t="s">
        <v>35</v>
      </c>
      <c r="M1112" s="2" t="s">
        <v>35</v>
      </c>
      <c r="N1112" s="2" t="s">
        <v>35</v>
      </c>
      <c r="O1112" s="11">
        <v>44769.416571041664</v>
      </c>
      <c r="P1112" s="11">
        <v>44769.416893159723</v>
      </c>
      <c r="Q1112" s="27">
        <f t="shared" si="51"/>
        <v>3.2211805955739692E-4</v>
      </c>
      <c r="R1112" s="65">
        <f t="shared" si="53"/>
        <v>1.1184259274159558E-3</v>
      </c>
      <c r="S1112" s="2">
        <v>0</v>
      </c>
      <c r="T1112" s="2" t="s">
        <v>36</v>
      </c>
      <c r="U1112" s="2" t="s">
        <v>37</v>
      </c>
      <c r="V1112" s="2" t="s">
        <v>38</v>
      </c>
      <c r="W1112" s="2" t="s">
        <v>35</v>
      </c>
      <c r="X1112" s="2" t="s">
        <v>35</v>
      </c>
      <c r="Y1112" s="2" t="s">
        <v>35</v>
      </c>
      <c r="Z1112" s="2" t="b">
        <v>0</v>
      </c>
      <c r="AA1112" s="2" t="s">
        <v>35</v>
      </c>
      <c r="AB1112" s="2" t="s">
        <v>35</v>
      </c>
      <c r="AC1112" s="2">
        <v>3</v>
      </c>
      <c r="AD1112" s="2">
        <v>3</v>
      </c>
      <c r="AE1112" s="2" t="s">
        <v>2840</v>
      </c>
      <c r="AF1112" s="11">
        <v>44769.384722222225</v>
      </c>
      <c r="AG1112" s="53"/>
      <c r="AH1112" s="53" t="b">
        <f t="shared" si="52"/>
        <v>0</v>
      </c>
      <c r="AI1112" s="54" t="str" cm="1">
        <f t="array" ref="AI1112">TRANSPOSE(_xlfn._xlws.FILTER(images!L:L,images!F:F=Barrierenmessung!A1112, ""))</f>
        <v>https://captureandgo.cloudlab.zhaw.ch/uploads/image_c73771031f.jpg</v>
      </c>
      <c r="AJ1112" s="2"/>
      <c r="AK1112" s="2"/>
      <c r="AL1112" s="2"/>
      <c r="AM1112" s="2"/>
      <c r="AN1112" s="2"/>
    </row>
    <row r="1113" spans="1:40" ht="16" x14ac:dyDescent="0.2">
      <c r="A1113" s="2" t="s">
        <v>3578</v>
      </c>
      <c r="B1113" s="46">
        <v>1112</v>
      </c>
      <c r="C1113" s="2" t="b">
        <v>0</v>
      </c>
      <c r="D1113" s="2" t="b">
        <v>0</v>
      </c>
      <c r="E1113" s="2" t="b">
        <v>0</v>
      </c>
      <c r="F1113" s="2" t="b">
        <v>0</v>
      </c>
      <c r="G1113" s="2" t="s">
        <v>31</v>
      </c>
      <c r="H1113" s="2" t="s">
        <v>3579</v>
      </c>
      <c r="I1113" s="2" t="s">
        <v>3580</v>
      </c>
      <c r="J1113" s="2" t="s">
        <v>1574</v>
      </c>
      <c r="K1113" s="2" t="s">
        <v>35</v>
      </c>
      <c r="L1113" s="2" t="s">
        <v>35</v>
      </c>
      <c r="M1113" s="2">
        <v>3</v>
      </c>
      <c r="N1113" s="2">
        <v>14</v>
      </c>
      <c r="O1113" s="11">
        <v>44769.417349699077</v>
      </c>
      <c r="P1113" s="11">
        <v>44769.417777002316</v>
      </c>
      <c r="Q1113" s="27">
        <f t="shared" si="51"/>
        <v>4.273032391211018E-4</v>
      </c>
      <c r="R1113" s="65">
        <f t="shared" si="53"/>
        <v>8.8384259288432077E-4</v>
      </c>
      <c r="S1113" s="2">
        <v>0</v>
      </c>
      <c r="T1113" s="2" t="s">
        <v>54</v>
      </c>
      <c r="U1113" s="2" t="s">
        <v>55</v>
      </c>
      <c r="V1113" s="2" t="s">
        <v>38</v>
      </c>
      <c r="W1113" s="2" t="s">
        <v>35</v>
      </c>
      <c r="X1113" s="2" t="s">
        <v>35</v>
      </c>
      <c r="Y1113" s="2" t="s">
        <v>35</v>
      </c>
      <c r="Z1113" s="2" t="b">
        <v>1</v>
      </c>
      <c r="AA1113" s="2" t="s">
        <v>35</v>
      </c>
      <c r="AB1113" s="2" t="s">
        <v>35</v>
      </c>
      <c r="AC1113" s="2" t="s">
        <v>35</v>
      </c>
      <c r="AD1113" s="2" t="s">
        <v>35</v>
      </c>
      <c r="AE1113" s="2" t="s">
        <v>2840</v>
      </c>
      <c r="AF1113" s="11">
        <v>44769.384722222225</v>
      </c>
      <c r="AG1113" s="53"/>
      <c r="AH1113" s="53" t="b">
        <f t="shared" si="52"/>
        <v>0</v>
      </c>
      <c r="AI1113" s="54" t="str" cm="1">
        <f t="array" ref="AI1113">TRANSPOSE(_xlfn._xlws.FILTER(images!L:L,images!F:F=Barrierenmessung!A1113, ""))</f>
        <v>https://captureandgo.cloudlab.zhaw.ch/uploads/image_97e17abbe7.jpg</v>
      </c>
      <c r="AJ1113" s="2"/>
      <c r="AK1113" s="2"/>
      <c r="AL1113" s="2"/>
      <c r="AM1113" s="2"/>
      <c r="AN1113" s="2"/>
    </row>
    <row r="1114" spans="1:40" ht="16" x14ac:dyDescent="0.2">
      <c r="A1114" s="2" t="s">
        <v>3581</v>
      </c>
      <c r="B1114" s="46">
        <v>1113</v>
      </c>
      <c r="C1114" s="2" t="b">
        <v>0</v>
      </c>
      <c r="D1114" s="2" t="b">
        <v>0</v>
      </c>
      <c r="E1114" s="2" t="b">
        <v>0</v>
      </c>
      <c r="F1114" s="2" t="b">
        <v>0</v>
      </c>
      <c r="G1114" s="2" t="s">
        <v>31</v>
      </c>
      <c r="H1114" s="2" t="s">
        <v>3582</v>
      </c>
      <c r="I1114" s="2" t="s">
        <v>3583</v>
      </c>
      <c r="J1114" s="2" t="s">
        <v>3559</v>
      </c>
      <c r="K1114" s="2" t="s">
        <v>35</v>
      </c>
      <c r="L1114" s="2" t="s">
        <v>35</v>
      </c>
      <c r="M1114" s="2" t="s">
        <v>35</v>
      </c>
      <c r="N1114" s="2" t="s">
        <v>35</v>
      </c>
      <c r="O1114" s="11">
        <v>44769.418306967593</v>
      </c>
      <c r="P1114" s="11">
        <v>44769.418742789348</v>
      </c>
      <c r="Q1114" s="27">
        <f t="shared" si="51"/>
        <v>4.3582175567280501E-4</v>
      </c>
      <c r="R1114" s="65">
        <f t="shared" si="53"/>
        <v>9.6578703232808039E-4</v>
      </c>
      <c r="S1114" s="2">
        <v>0</v>
      </c>
      <c r="T1114" s="2" t="s">
        <v>36</v>
      </c>
      <c r="U1114" s="2" t="s">
        <v>37</v>
      </c>
      <c r="V1114" s="2" t="s">
        <v>38</v>
      </c>
      <c r="W1114" s="2" t="s">
        <v>35</v>
      </c>
      <c r="X1114" s="2" t="s">
        <v>35</v>
      </c>
      <c r="Y1114" s="2" t="s">
        <v>35</v>
      </c>
      <c r="Z1114" s="2" t="b">
        <v>0</v>
      </c>
      <c r="AA1114" s="2" t="s">
        <v>35</v>
      </c>
      <c r="AB1114" s="2" t="s">
        <v>35</v>
      </c>
      <c r="AC1114" s="2">
        <v>5</v>
      </c>
      <c r="AD1114" s="2">
        <v>3</v>
      </c>
      <c r="AE1114" s="2" t="s">
        <v>2840</v>
      </c>
      <c r="AF1114" s="11">
        <v>44769.384722222225</v>
      </c>
      <c r="AG1114" s="53"/>
      <c r="AH1114" s="53" t="b">
        <f t="shared" si="52"/>
        <v>0</v>
      </c>
      <c r="AI1114" s="54" t="str" cm="1">
        <f t="array" ref="AI1114">TRANSPOSE(_xlfn._xlws.FILTER(images!L:L,images!F:F=Barrierenmessung!A1114, ""))</f>
        <v>https://captureandgo.cloudlab.zhaw.ch/uploads/image_8052a4fe15.jpg</v>
      </c>
      <c r="AJ1114" s="2"/>
      <c r="AK1114" s="2"/>
      <c r="AL1114" s="2"/>
      <c r="AM1114" s="2"/>
      <c r="AN1114" s="2"/>
    </row>
    <row r="1115" spans="1:40" ht="16" x14ac:dyDescent="0.2">
      <c r="A1115" s="2" t="s">
        <v>3584</v>
      </c>
      <c r="B1115" s="46">
        <v>1114</v>
      </c>
      <c r="C1115" s="2" t="b">
        <v>0</v>
      </c>
      <c r="D1115" s="2" t="b">
        <v>0</v>
      </c>
      <c r="E1115" s="2" t="b">
        <v>0</v>
      </c>
      <c r="F1115" s="2" t="b">
        <v>0</v>
      </c>
      <c r="G1115" s="2" t="s">
        <v>31</v>
      </c>
      <c r="H1115" s="2" t="s">
        <v>3585</v>
      </c>
      <c r="I1115" s="2" t="s">
        <v>3586</v>
      </c>
      <c r="J1115" s="2" t="s">
        <v>35</v>
      </c>
      <c r="K1115" s="2" t="s">
        <v>35</v>
      </c>
      <c r="L1115" s="2" t="s">
        <v>35</v>
      </c>
      <c r="M1115" s="2" t="s">
        <v>35</v>
      </c>
      <c r="N1115" s="2" t="s">
        <v>35</v>
      </c>
      <c r="O1115" s="11">
        <v>44769.419076782404</v>
      </c>
      <c r="P1115" s="11">
        <v>44769.419198553238</v>
      </c>
      <c r="Q1115" s="27">
        <f t="shared" si="51"/>
        <v>1.2177083408460021E-4</v>
      </c>
      <c r="R1115" s="65">
        <f t="shared" si="53"/>
        <v>4.5576388947665691E-4</v>
      </c>
      <c r="S1115" s="2">
        <v>0</v>
      </c>
      <c r="T1115" s="2" t="s">
        <v>100</v>
      </c>
      <c r="U1115" s="2" t="s">
        <v>101</v>
      </c>
      <c r="V1115" s="2" t="s">
        <v>38</v>
      </c>
      <c r="W1115" s="2" t="s">
        <v>35</v>
      </c>
      <c r="X1115" s="2">
        <v>110</v>
      </c>
      <c r="Y1115" s="2" t="s">
        <v>35</v>
      </c>
      <c r="Z1115" s="2" t="b">
        <v>0</v>
      </c>
      <c r="AA1115" s="2" t="s">
        <v>35</v>
      </c>
      <c r="AB1115" s="2" t="s">
        <v>35</v>
      </c>
      <c r="AC1115" s="2" t="s">
        <v>35</v>
      </c>
      <c r="AD1115" s="2" t="s">
        <v>35</v>
      </c>
      <c r="AE1115" s="2" t="s">
        <v>2840</v>
      </c>
      <c r="AF1115" s="11">
        <v>44769.384722222225</v>
      </c>
      <c r="AG1115" s="53"/>
      <c r="AH1115" s="53" t="b">
        <f t="shared" si="52"/>
        <v>0</v>
      </c>
      <c r="AI1115" s="54" t="str" cm="1">
        <f t="array" ref="AI1115">TRANSPOSE(_xlfn._xlws.FILTER(images!L:L,images!F:F=Barrierenmessung!A1115, ""))</f>
        <v>https://captureandgo.cloudlab.zhaw.ch/uploads/image_27309cd7d6.jpg</v>
      </c>
      <c r="AJ1115" s="2"/>
      <c r="AK1115" s="2"/>
      <c r="AL1115" s="2"/>
      <c r="AM1115" s="2"/>
      <c r="AN1115" s="2"/>
    </row>
    <row r="1116" spans="1:40" ht="16" x14ac:dyDescent="0.2">
      <c r="A1116" s="2" t="s">
        <v>3587</v>
      </c>
      <c r="B1116" s="46">
        <v>1115</v>
      </c>
      <c r="C1116" s="2" t="b">
        <v>0</v>
      </c>
      <c r="D1116" s="2" t="b">
        <v>0</v>
      </c>
      <c r="E1116" s="2" t="b">
        <v>0</v>
      </c>
      <c r="F1116" s="2" t="b">
        <v>0</v>
      </c>
      <c r="G1116" s="2" t="s">
        <v>31</v>
      </c>
      <c r="H1116" s="2" t="s">
        <v>3588</v>
      </c>
      <c r="I1116" s="2" t="s">
        <v>3589</v>
      </c>
      <c r="J1116" s="2" t="s">
        <v>3566</v>
      </c>
      <c r="K1116" s="2" t="s">
        <v>35</v>
      </c>
      <c r="L1116" s="2" t="s">
        <v>35</v>
      </c>
      <c r="M1116" s="2" t="s">
        <v>35</v>
      </c>
      <c r="N1116" s="2" t="s">
        <v>35</v>
      </c>
      <c r="O1116" s="11">
        <v>44769.41929020833</v>
      </c>
      <c r="P1116" s="11">
        <v>44769.419805173609</v>
      </c>
      <c r="Q1116" s="27">
        <f t="shared" si="51"/>
        <v>5.1496527885319665E-4</v>
      </c>
      <c r="R1116" s="65">
        <f t="shared" si="53"/>
        <v>6.0662037139991298E-4</v>
      </c>
      <c r="S1116" s="2">
        <v>0</v>
      </c>
      <c r="T1116" s="2" t="s">
        <v>36</v>
      </c>
      <c r="U1116" s="2" t="s">
        <v>37</v>
      </c>
      <c r="V1116" s="2" t="s">
        <v>38</v>
      </c>
      <c r="W1116" s="2" t="s">
        <v>35</v>
      </c>
      <c r="X1116" s="2" t="s">
        <v>35</v>
      </c>
      <c r="Y1116" s="2" t="s">
        <v>35</v>
      </c>
      <c r="Z1116" s="2" t="b">
        <v>0</v>
      </c>
      <c r="AA1116" s="2" t="s">
        <v>35</v>
      </c>
      <c r="AB1116" s="2" t="s">
        <v>35</v>
      </c>
      <c r="AC1116" s="2">
        <v>3</v>
      </c>
      <c r="AD1116" s="2" t="s">
        <v>35</v>
      </c>
      <c r="AE1116" s="2" t="s">
        <v>2840</v>
      </c>
      <c r="AF1116" s="11">
        <v>44769.384722222225</v>
      </c>
      <c r="AG1116" s="53"/>
      <c r="AH1116" s="53" t="b">
        <f t="shared" si="52"/>
        <v>0</v>
      </c>
      <c r="AI1116" s="54" t="str" cm="1">
        <f t="array" ref="AI1116:AK1116">TRANSPOSE(_xlfn._xlws.FILTER(images!L:L,images!F:F=Barrierenmessung!A1116, ""))</f>
        <v>https://captureandgo.cloudlab.zhaw.ch/uploads/image_2f09607a6f.jpg</v>
      </c>
      <c r="AJ1116" s="2" t="str">
        <v>https://captureandgo.cloudlab.zhaw.ch/uploads/image_fdc1770439.jpg</v>
      </c>
      <c r="AK1116" s="2" t="str">
        <v>https://captureandgo.cloudlab.zhaw.ch/uploads/image_085331b128.jpg</v>
      </c>
      <c r="AL1116" s="2"/>
      <c r="AM1116" s="2"/>
      <c r="AN1116" s="2"/>
    </row>
    <row r="1117" spans="1:40" ht="16" x14ac:dyDescent="0.2">
      <c r="A1117" s="2" t="s">
        <v>3590</v>
      </c>
      <c r="B1117" s="46">
        <v>1116</v>
      </c>
      <c r="C1117" s="2" t="b">
        <v>0</v>
      </c>
      <c r="D1117" s="2" t="b">
        <v>0</v>
      </c>
      <c r="E1117" s="2" t="b">
        <v>0</v>
      </c>
      <c r="F1117" s="2" t="b">
        <v>0</v>
      </c>
      <c r="G1117" s="2" t="s">
        <v>31</v>
      </c>
      <c r="H1117" s="2" t="s">
        <v>3591</v>
      </c>
      <c r="I1117" s="2" t="s">
        <v>3592</v>
      </c>
      <c r="J1117" s="2" t="s">
        <v>3593</v>
      </c>
      <c r="K1117" s="2" t="s">
        <v>35</v>
      </c>
      <c r="L1117" s="2" t="s">
        <v>35</v>
      </c>
      <c r="M1117" s="2" t="s">
        <v>35</v>
      </c>
      <c r="N1117" s="2" t="s">
        <v>35</v>
      </c>
      <c r="O1117" s="11">
        <v>44769.421749317131</v>
      </c>
      <c r="P1117" s="11">
        <v>44769.422252164353</v>
      </c>
      <c r="Q1117" s="27">
        <f t="shared" si="51"/>
        <v>5.0284722237847745E-4</v>
      </c>
      <c r="R1117" s="65">
        <f t="shared" si="53"/>
        <v>2.4469907439197414E-3</v>
      </c>
      <c r="S1117" s="2">
        <v>0</v>
      </c>
      <c r="T1117" s="2" t="s">
        <v>36</v>
      </c>
      <c r="U1117" s="2" t="s">
        <v>37</v>
      </c>
      <c r="V1117" s="2" t="s">
        <v>38</v>
      </c>
      <c r="W1117" s="2" t="s">
        <v>35</v>
      </c>
      <c r="X1117" s="2" t="s">
        <v>35</v>
      </c>
      <c r="Y1117" s="2" t="s">
        <v>35</v>
      </c>
      <c r="Z1117" s="2" t="b">
        <v>0</v>
      </c>
      <c r="AA1117" s="2" t="s">
        <v>35</v>
      </c>
      <c r="AB1117" s="2" t="s">
        <v>35</v>
      </c>
      <c r="AC1117" s="2">
        <v>3</v>
      </c>
      <c r="AD1117" s="2">
        <v>4</v>
      </c>
      <c r="AE1117" s="2" t="s">
        <v>2840</v>
      </c>
      <c r="AF1117" s="11">
        <v>44769.384722222225</v>
      </c>
      <c r="AG1117" s="53"/>
      <c r="AH1117" s="53" t="b">
        <f t="shared" si="52"/>
        <v>0</v>
      </c>
      <c r="AI1117" s="54" t="str" cm="1">
        <f t="array" ref="AI1117">TRANSPOSE(_xlfn._xlws.FILTER(images!L:L,images!F:F=Barrierenmessung!A1117, ""))</f>
        <v>https://captureandgo.cloudlab.zhaw.ch/uploads/image_2d91ed4e09.jpg</v>
      </c>
      <c r="AJ1117" s="2"/>
      <c r="AK1117" s="2"/>
      <c r="AL1117" s="2"/>
      <c r="AM1117" s="2"/>
      <c r="AN1117" s="2"/>
    </row>
    <row r="1118" spans="1:40" ht="16" x14ac:dyDescent="0.2">
      <c r="A1118" s="2" t="s">
        <v>3594</v>
      </c>
      <c r="B1118" s="46">
        <v>1117</v>
      </c>
      <c r="C1118" s="2" t="b">
        <v>0</v>
      </c>
      <c r="D1118" s="2" t="b">
        <v>0</v>
      </c>
      <c r="E1118" s="2" t="b">
        <v>0</v>
      </c>
      <c r="F1118" s="2" t="b">
        <v>0</v>
      </c>
      <c r="G1118" s="2" t="s">
        <v>31</v>
      </c>
      <c r="H1118" s="2" t="s">
        <v>3595</v>
      </c>
      <c r="I1118" s="2" t="s">
        <v>3596</v>
      </c>
      <c r="J1118" s="2" t="s">
        <v>3152</v>
      </c>
      <c r="K1118" s="2" t="s">
        <v>35</v>
      </c>
      <c r="L1118" s="2" t="s">
        <v>35</v>
      </c>
      <c r="M1118" s="2" t="s">
        <v>35</v>
      </c>
      <c r="N1118" s="2" t="s">
        <v>35</v>
      </c>
      <c r="O1118" s="11">
        <v>44769.423682511573</v>
      </c>
      <c r="P1118" s="11">
        <v>44769.424200162037</v>
      </c>
      <c r="Q1118" s="27">
        <f t="shared" si="51"/>
        <v>5.1765046373475343E-4</v>
      </c>
      <c r="R1118" s="65">
        <f t="shared" si="53"/>
        <v>1.9479976836009882E-3</v>
      </c>
      <c r="S1118" s="2">
        <v>0</v>
      </c>
      <c r="T1118" s="2" t="s">
        <v>36</v>
      </c>
      <c r="U1118" s="2" t="s">
        <v>37</v>
      </c>
      <c r="V1118" s="2" t="s">
        <v>38</v>
      </c>
      <c r="W1118" s="2" t="s">
        <v>35</v>
      </c>
      <c r="X1118" s="2" t="s">
        <v>35</v>
      </c>
      <c r="Y1118" s="2" t="s">
        <v>35</v>
      </c>
      <c r="Z1118" s="2" t="b">
        <v>0</v>
      </c>
      <c r="AA1118" s="2" t="s">
        <v>35</v>
      </c>
      <c r="AB1118" s="2" t="s">
        <v>35</v>
      </c>
      <c r="AC1118" s="2">
        <v>10</v>
      </c>
      <c r="AD1118" s="2" t="s">
        <v>35</v>
      </c>
      <c r="AE1118" s="2" t="s">
        <v>2840</v>
      </c>
      <c r="AF1118" s="11">
        <v>44769.384722222225</v>
      </c>
      <c r="AG1118" s="53"/>
      <c r="AH1118" s="53" t="b">
        <f t="shared" si="52"/>
        <v>0</v>
      </c>
      <c r="AI1118" s="54" t="str" cm="1">
        <f t="array" ref="AI1118">TRANSPOSE(_xlfn._xlws.FILTER(images!L:L,images!F:F=Barrierenmessung!A1118, ""))</f>
        <v>https://captureandgo.cloudlab.zhaw.ch/uploads/image_708bbc3531.jpg</v>
      </c>
      <c r="AJ1118" s="2"/>
      <c r="AK1118" s="2"/>
      <c r="AL1118" s="2"/>
      <c r="AM1118" s="2"/>
      <c r="AN1118" s="2"/>
    </row>
    <row r="1119" spans="1:40" ht="16" x14ac:dyDescent="0.2">
      <c r="A1119" s="2" t="s">
        <v>3597</v>
      </c>
      <c r="B1119" s="46">
        <v>1118</v>
      </c>
      <c r="C1119" s="2" t="b">
        <v>0</v>
      </c>
      <c r="D1119" s="2" t="b">
        <v>0</v>
      </c>
      <c r="E1119" s="2" t="b">
        <v>0</v>
      </c>
      <c r="F1119" s="2" t="b">
        <v>0</v>
      </c>
      <c r="G1119" s="2" t="s">
        <v>31</v>
      </c>
      <c r="H1119" s="2" t="s">
        <v>3598</v>
      </c>
      <c r="I1119" s="2" t="s">
        <v>3599</v>
      </c>
      <c r="J1119" s="2" t="s">
        <v>35</v>
      </c>
      <c r="K1119" s="2" t="s">
        <v>35</v>
      </c>
      <c r="L1119" s="2" t="s">
        <v>35</v>
      </c>
      <c r="M1119" s="2" t="s">
        <v>35</v>
      </c>
      <c r="N1119" s="2" t="s">
        <v>35</v>
      </c>
      <c r="O1119" s="11">
        <v>44769.425108692129</v>
      </c>
      <c r="P1119" s="11">
        <v>44769.425226562496</v>
      </c>
      <c r="Q1119" s="27">
        <f t="shared" si="51"/>
        <v>1.1787036783061922E-4</v>
      </c>
      <c r="R1119" s="65">
        <f t="shared" si="53"/>
        <v>1.0264004595228471E-3</v>
      </c>
      <c r="S1119" s="2">
        <v>0</v>
      </c>
      <c r="T1119" s="2" t="s">
        <v>36</v>
      </c>
      <c r="U1119" s="2" t="s">
        <v>37</v>
      </c>
      <c r="V1119" s="2" t="s">
        <v>38</v>
      </c>
      <c r="W1119" s="2" t="s">
        <v>35</v>
      </c>
      <c r="X1119" s="2" t="s">
        <v>35</v>
      </c>
      <c r="Y1119" s="2" t="s">
        <v>35</v>
      </c>
      <c r="Z1119" s="2" t="b">
        <v>0</v>
      </c>
      <c r="AA1119" s="2" t="s">
        <v>35</v>
      </c>
      <c r="AB1119" s="2" t="s">
        <v>35</v>
      </c>
      <c r="AC1119" s="2" t="s">
        <v>35</v>
      </c>
      <c r="AD1119" s="2">
        <v>6</v>
      </c>
      <c r="AE1119" s="2" t="s">
        <v>2840</v>
      </c>
      <c r="AF1119" s="11">
        <v>44769.384722222225</v>
      </c>
      <c r="AG1119" s="53"/>
      <c r="AH1119" s="53" t="b">
        <f t="shared" si="52"/>
        <v>0</v>
      </c>
      <c r="AI1119" s="54" t="str" cm="1">
        <f t="array" ref="AI1119">TRANSPOSE(_xlfn._xlws.FILTER(images!L:L,images!F:F=Barrierenmessung!A1119, ""))</f>
        <v>https://captureandgo.cloudlab.zhaw.ch/uploads/image_b01766bc3b.jpg</v>
      </c>
      <c r="AJ1119" s="2"/>
      <c r="AK1119" s="2"/>
      <c r="AL1119" s="2"/>
      <c r="AM1119" s="2"/>
      <c r="AN1119" s="2"/>
    </row>
    <row r="1120" spans="1:40" ht="16" x14ac:dyDescent="0.2">
      <c r="A1120" s="2" t="s">
        <v>3600</v>
      </c>
      <c r="B1120" s="46">
        <v>1119</v>
      </c>
      <c r="C1120" s="2" t="b">
        <v>0</v>
      </c>
      <c r="D1120" s="2" t="b">
        <v>0</v>
      </c>
      <c r="E1120" s="2" t="b">
        <v>0</v>
      </c>
      <c r="F1120" s="2" t="b">
        <v>0</v>
      </c>
      <c r="G1120" s="2" t="s">
        <v>31</v>
      </c>
      <c r="H1120" s="2" t="s">
        <v>3601</v>
      </c>
      <c r="I1120" s="2" t="s">
        <v>3602</v>
      </c>
      <c r="J1120" s="2" t="s">
        <v>3603</v>
      </c>
      <c r="K1120" s="2" t="s">
        <v>35</v>
      </c>
      <c r="L1120" s="2" t="s">
        <v>35</v>
      </c>
      <c r="M1120" s="2" t="s">
        <v>35</v>
      </c>
      <c r="N1120" s="2" t="s">
        <v>35</v>
      </c>
      <c r="O1120" s="11">
        <v>44769.425794212963</v>
      </c>
      <c r="P1120" s="11">
        <v>44769.426277025465</v>
      </c>
      <c r="Q1120" s="27">
        <f t="shared" si="51"/>
        <v>4.8281250201398507E-4</v>
      </c>
      <c r="R1120" s="65">
        <f t="shared" si="53"/>
        <v>1.0504629681236111E-3</v>
      </c>
      <c r="S1120" s="2">
        <v>0</v>
      </c>
      <c r="T1120" s="2" t="s">
        <v>416</v>
      </c>
      <c r="U1120" s="2" t="s">
        <v>417</v>
      </c>
      <c r="V1120" s="2" t="s">
        <v>38</v>
      </c>
      <c r="W1120" s="2" t="s">
        <v>35</v>
      </c>
      <c r="X1120" s="2">
        <v>0</v>
      </c>
      <c r="Y1120" s="2" t="s">
        <v>3604</v>
      </c>
      <c r="Z1120" s="2" t="b">
        <v>0</v>
      </c>
      <c r="AA1120" s="2" t="s">
        <v>35</v>
      </c>
      <c r="AB1120" s="2" t="s">
        <v>35</v>
      </c>
      <c r="AC1120" s="2" t="s">
        <v>35</v>
      </c>
      <c r="AD1120" s="2" t="s">
        <v>35</v>
      </c>
      <c r="AE1120" s="2" t="s">
        <v>2840</v>
      </c>
      <c r="AF1120" s="11">
        <v>44769.384722222225</v>
      </c>
      <c r="AG1120" s="53"/>
      <c r="AH1120" s="53" t="b">
        <f t="shared" si="52"/>
        <v>0</v>
      </c>
      <c r="AI1120" s="54" t="str" cm="1">
        <f t="array" ref="AI1120">TRANSPOSE(_xlfn._xlws.FILTER(images!L:L,images!F:F=Barrierenmessung!A1120, ""))</f>
        <v>https://captureandgo.cloudlab.zhaw.ch/uploads/image_27d521a0a6.jpg</v>
      </c>
      <c r="AJ1120" s="2"/>
      <c r="AK1120" s="2"/>
      <c r="AL1120" s="2"/>
      <c r="AM1120" s="2"/>
      <c r="AN1120" s="2"/>
    </row>
    <row r="1121" spans="1:40" ht="16" x14ac:dyDescent="0.2">
      <c r="A1121" s="2" t="s">
        <v>3605</v>
      </c>
      <c r="B1121" s="46">
        <v>1120</v>
      </c>
      <c r="C1121" s="2" t="b">
        <v>0</v>
      </c>
      <c r="D1121" s="2" t="b">
        <v>0</v>
      </c>
      <c r="E1121" s="2" t="b">
        <v>0</v>
      </c>
      <c r="F1121" s="2" t="b">
        <v>0</v>
      </c>
      <c r="G1121" s="2" t="s">
        <v>31</v>
      </c>
      <c r="H1121" s="2" t="s">
        <v>3606</v>
      </c>
      <c r="I1121" s="2" t="s">
        <v>3607</v>
      </c>
      <c r="J1121" s="2" t="s">
        <v>35</v>
      </c>
      <c r="K1121" s="2" t="s">
        <v>35</v>
      </c>
      <c r="L1121" s="2" t="s">
        <v>35</v>
      </c>
      <c r="M1121" s="2" t="s">
        <v>35</v>
      </c>
      <c r="N1121" s="2" t="s">
        <v>35</v>
      </c>
      <c r="O1121" s="11">
        <v>44769.426349247682</v>
      </c>
      <c r="P1121" s="11">
        <v>44769.426466249999</v>
      </c>
      <c r="Q1121" s="27">
        <f t="shared" si="51"/>
        <v>1.1700231698341668E-4</v>
      </c>
      <c r="R1121" s="65">
        <f t="shared" si="53"/>
        <v>1.8922453455161303E-4</v>
      </c>
      <c r="S1121" s="2">
        <v>0</v>
      </c>
      <c r="T1121" s="2" t="s">
        <v>36</v>
      </c>
      <c r="U1121" s="2" t="s">
        <v>37</v>
      </c>
      <c r="V1121" s="2" t="s">
        <v>38</v>
      </c>
      <c r="W1121" s="2" t="s">
        <v>35</v>
      </c>
      <c r="X1121" s="2" t="s">
        <v>35</v>
      </c>
      <c r="Y1121" s="2" t="s">
        <v>35</v>
      </c>
      <c r="Z1121" s="2" t="b">
        <v>0</v>
      </c>
      <c r="AA1121" s="2" t="s">
        <v>35</v>
      </c>
      <c r="AB1121" s="2" t="s">
        <v>35</v>
      </c>
      <c r="AC1121" s="2" t="s">
        <v>35</v>
      </c>
      <c r="AD1121" s="2">
        <v>2</v>
      </c>
      <c r="AE1121" s="2" t="s">
        <v>2840</v>
      </c>
      <c r="AF1121" s="11">
        <v>44769.384722222225</v>
      </c>
      <c r="AG1121" s="53"/>
      <c r="AH1121" s="53" t="b">
        <f t="shared" si="52"/>
        <v>0</v>
      </c>
      <c r="AI1121" s="54" t="str" cm="1">
        <f t="array" ref="AI1121">TRANSPOSE(_xlfn._xlws.FILTER(images!L:L,images!F:F=Barrierenmessung!A1121, ""))</f>
        <v>https://captureandgo.cloudlab.zhaw.ch/uploads/image_52e509f6e9.jpg</v>
      </c>
      <c r="AJ1121" s="2"/>
      <c r="AK1121" s="2"/>
      <c r="AL1121" s="2"/>
      <c r="AM1121" s="2"/>
      <c r="AN1121" s="2"/>
    </row>
    <row r="1122" spans="1:40" ht="16" x14ac:dyDescent="0.2">
      <c r="A1122" s="2" t="s">
        <v>3608</v>
      </c>
      <c r="B1122" s="46">
        <v>1121</v>
      </c>
      <c r="C1122" s="2" t="b">
        <v>0</v>
      </c>
      <c r="D1122" s="2" t="b">
        <v>0</v>
      </c>
      <c r="E1122" s="2" t="b">
        <v>0</v>
      </c>
      <c r="F1122" s="2" t="b">
        <v>0</v>
      </c>
      <c r="G1122" s="2" t="s">
        <v>31</v>
      </c>
      <c r="H1122" s="2" t="s">
        <v>3609</v>
      </c>
      <c r="I1122" s="2" t="s">
        <v>3610</v>
      </c>
      <c r="J1122" s="2" t="s">
        <v>35</v>
      </c>
      <c r="K1122" s="2" t="s">
        <v>35</v>
      </c>
      <c r="L1122" s="2" t="s">
        <v>35</v>
      </c>
      <c r="M1122" s="2" t="s">
        <v>35</v>
      </c>
      <c r="N1122" s="2" t="s">
        <v>35</v>
      </c>
      <c r="O1122" s="11">
        <v>44769.426812893522</v>
      </c>
      <c r="P1122" s="11">
        <v>44769.427076539352</v>
      </c>
      <c r="Q1122" s="27">
        <f t="shared" si="51"/>
        <v>2.6364583027316257E-4</v>
      </c>
      <c r="R1122" s="65">
        <f t="shared" si="53"/>
        <v>6.1028935306239873E-4</v>
      </c>
      <c r="S1122" s="2">
        <v>0</v>
      </c>
      <c r="T1122" s="2" t="s">
        <v>109</v>
      </c>
      <c r="U1122" s="2" t="s">
        <v>110</v>
      </c>
      <c r="V1122" s="2" t="s">
        <v>38</v>
      </c>
      <c r="W1122" s="2" t="s">
        <v>35</v>
      </c>
      <c r="X1122" s="2">
        <v>102</v>
      </c>
      <c r="Y1122" s="2" t="s">
        <v>35</v>
      </c>
      <c r="Z1122" s="2" t="b">
        <v>0</v>
      </c>
      <c r="AA1122" s="2" t="s">
        <v>35</v>
      </c>
      <c r="AB1122" s="2" t="s">
        <v>35</v>
      </c>
      <c r="AC1122" s="2" t="s">
        <v>35</v>
      </c>
      <c r="AD1122" s="2" t="s">
        <v>35</v>
      </c>
      <c r="AE1122" s="2" t="s">
        <v>2840</v>
      </c>
      <c r="AF1122" s="11">
        <v>44769.384722222225</v>
      </c>
      <c r="AG1122" s="53"/>
      <c r="AH1122" s="53" t="b">
        <f t="shared" si="52"/>
        <v>0</v>
      </c>
      <c r="AI1122" s="54" t="str" cm="1">
        <f t="array" ref="AI1122">TRANSPOSE(_xlfn._xlws.FILTER(images!L:L,images!F:F=Barrierenmessung!A1122, ""))</f>
        <v>https://captureandgo.cloudlab.zhaw.ch/uploads/image_184b478dea.jpg</v>
      </c>
      <c r="AJ1122" s="2"/>
      <c r="AK1122" s="2"/>
      <c r="AL1122" s="2"/>
      <c r="AM1122" s="2"/>
      <c r="AN1122" s="2"/>
    </row>
    <row r="1123" spans="1:40" ht="16" x14ac:dyDescent="0.2">
      <c r="A1123" s="2" t="s">
        <v>3611</v>
      </c>
      <c r="B1123" s="46">
        <v>1122</v>
      </c>
      <c r="C1123" s="2" t="b">
        <v>0</v>
      </c>
      <c r="D1123" s="2" t="b">
        <v>0</v>
      </c>
      <c r="E1123" s="2" t="b">
        <v>0</v>
      </c>
      <c r="F1123" s="2" t="b">
        <v>0</v>
      </c>
      <c r="G1123" s="2" t="s">
        <v>31</v>
      </c>
      <c r="H1123" s="2" t="s">
        <v>3612</v>
      </c>
      <c r="I1123" s="2" t="s">
        <v>3613</v>
      </c>
      <c r="J1123" s="2" t="s">
        <v>3559</v>
      </c>
      <c r="K1123" s="2" t="s">
        <v>35</v>
      </c>
      <c r="L1123" s="2" t="s">
        <v>35</v>
      </c>
      <c r="M1123" s="2" t="s">
        <v>35</v>
      </c>
      <c r="N1123" s="2" t="s">
        <v>35</v>
      </c>
      <c r="O1123" s="11">
        <v>44769.427583773147</v>
      </c>
      <c r="P1123" s="11">
        <v>44769.42779652778</v>
      </c>
      <c r="Q1123" s="27">
        <f t="shared" si="51"/>
        <v>2.1275463222991675E-4</v>
      </c>
      <c r="R1123" s="65">
        <f t="shared" si="53"/>
        <v>7.1998842759057879E-4</v>
      </c>
      <c r="S1123" s="2">
        <v>0</v>
      </c>
      <c r="T1123" s="2" t="s">
        <v>36</v>
      </c>
      <c r="U1123" s="2" t="s">
        <v>37</v>
      </c>
      <c r="V1123" s="2" t="s">
        <v>38</v>
      </c>
      <c r="W1123" s="2" t="s">
        <v>35</v>
      </c>
      <c r="X1123" s="2" t="s">
        <v>35</v>
      </c>
      <c r="Y1123" s="2" t="s">
        <v>35</v>
      </c>
      <c r="Z1123" s="2" t="b">
        <v>0</v>
      </c>
      <c r="AA1123" s="2" t="s">
        <v>35</v>
      </c>
      <c r="AB1123" s="2" t="s">
        <v>35</v>
      </c>
      <c r="AC1123" s="2">
        <v>5</v>
      </c>
      <c r="AD1123" s="2" t="s">
        <v>35</v>
      </c>
      <c r="AE1123" s="2" t="s">
        <v>2840</v>
      </c>
      <c r="AF1123" s="11">
        <v>44769.384722222225</v>
      </c>
      <c r="AG1123" s="53"/>
      <c r="AH1123" s="53" t="b">
        <f t="shared" si="52"/>
        <v>0</v>
      </c>
      <c r="AI1123" s="54" t="str" cm="1">
        <f t="array" ref="AI1123">TRANSPOSE(_xlfn._xlws.FILTER(images!L:L,images!F:F=Barrierenmessung!A1123, ""))</f>
        <v>https://captureandgo.cloudlab.zhaw.ch/uploads/image_481017d4a3.jpg</v>
      </c>
      <c r="AJ1123" s="2"/>
      <c r="AK1123" s="2"/>
      <c r="AL1123" s="2"/>
      <c r="AM1123" s="2"/>
      <c r="AN1123" s="2"/>
    </row>
    <row r="1124" spans="1:40" ht="16" x14ac:dyDescent="0.2">
      <c r="A1124" s="2" t="s">
        <v>3614</v>
      </c>
      <c r="B1124" s="46">
        <v>1123</v>
      </c>
      <c r="C1124" s="2" t="b">
        <v>0</v>
      </c>
      <c r="D1124" s="2" t="b">
        <v>0</v>
      </c>
      <c r="E1124" s="2" t="b">
        <v>0</v>
      </c>
      <c r="F1124" s="2" t="b">
        <v>0</v>
      </c>
      <c r="G1124" s="2" t="s">
        <v>31</v>
      </c>
      <c r="H1124" s="2" t="s">
        <v>3615</v>
      </c>
      <c r="I1124" s="2" t="s">
        <v>3616</v>
      </c>
      <c r="J1124" s="2" t="s">
        <v>35</v>
      </c>
      <c r="K1124" s="2" t="s">
        <v>35</v>
      </c>
      <c r="L1124" s="2" t="s">
        <v>35</v>
      </c>
      <c r="M1124" s="2" t="s">
        <v>35</v>
      </c>
      <c r="N1124" s="2" t="s">
        <v>35</v>
      </c>
      <c r="O1124" s="11">
        <v>44769.428820833331</v>
      </c>
      <c r="P1124" s="11">
        <v>44769.429044722223</v>
      </c>
      <c r="Q1124" s="27">
        <f t="shared" si="51"/>
        <v>2.2388889192370698E-4</v>
      </c>
      <c r="R1124" s="65">
        <f t="shared" si="53"/>
        <v>1.2481944431783631E-3</v>
      </c>
      <c r="S1124" s="2">
        <v>0</v>
      </c>
      <c r="T1124" s="2" t="s">
        <v>36</v>
      </c>
      <c r="U1124" s="2" t="s">
        <v>37</v>
      </c>
      <c r="V1124" s="2" t="s">
        <v>38</v>
      </c>
      <c r="W1124" s="2" t="s">
        <v>35</v>
      </c>
      <c r="X1124" s="2" t="s">
        <v>35</v>
      </c>
      <c r="Y1124" s="2" t="s">
        <v>35</v>
      </c>
      <c r="Z1124" s="2" t="b">
        <v>0</v>
      </c>
      <c r="AA1124" s="2" t="s">
        <v>35</v>
      </c>
      <c r="AB1124" s="2" t="s">
        <v>35</v>
      </c>
      <c r="AC1124" s="2" t="s">
        <v>35</v>
      </c>
      <c r="AD1124" s="2">
        <v>2</v>
      </c>
      <c r="AE1124" s="2" t="s">
        <v>2840</v>
      </c>
      <c r="AF1124" s="11">
        <v>44769.384722222225</v>
      </c>
      <c r="AG1124" s="53"/>
      <c r="AH1124" s="53" t="b">
        <f t="shared" si="52"/>
        <v>0</v>
      </c>
      <c r="AI1124" s="54" t="str" cm="1">
        <f t="array" ref="AI1124">TRANSPOSE(_xlfn._xlws.FILTER(images!L:L,images!F:F=Barrierenmessung!A1124, ""))</f>
        <v>https://captureandgo.cloudlab.zhaw.ch/uploads/image_c7931a65c1.jpg</v>
      </c>
      <c r="AJ1124" s="2"/>
      <c r="AK1124" s="2"/>
      <c r="AL1124" s="2"/>
      <c r="AM1124" s="2"/>
      <c r="AN1124" s="2"/>
    </row>
    <row r="1125" spans="1:40" ht="16" x14ac:dyDescent="0.2">
      <c r="A1125" s="2" t="s">
        <v>3617</v>
      </c>
      <c r="B1125" s="46">
        <v>1124</v>
      </c>
      <c r="C1125" s="2" t="b">
        <v>0</v>
      </c>
      <c r="D1125" s="2" t="b">
        <v>0</v>
      </c>
      <c r="E1125" s="2" t="b">
        <v>0</v>
      </c>
      <c r="F1125" s="2" t="b">
        <v>0</v>
      </c>
      <c r="G1125" s="2" t="s">
        <v>31</v>
      </c>
      <c r="H1125" s="2" t="s">
        <v>3618</v>
      </c>
      <c r="I1125" s="2" t="s">
        <v>3619</v>
      </c>
      <c r="J1125" s="2" t="s">
        <v>35</v>
      </c>
      <c r="K1125" s="2" t="s">
        <v>35</v>
      </c>
      <c r="L1125" s="2">
        <v>10</v>
      </c>
      <c r="M1125" s="2" t="s">
        <v>35</v>
      </c>
      <c r="N1125" s="2" t="s">
        <v>35</v>
      </c>
      <c r="O1125" s="11">
        <v>44769.429470752315</v>
      </c>
      <c r="P1125" s="11">
        <v>44769.429791608796</v>
      </c>
      <c r="Q1125" s="27">
        <f t="shared" si="51"/>
        <v>3.2085648126667365E-4</v>
      </c>
      <c r="R1125" s="65">
        <f t="shared" si="53"/>
        <v>7.4688657332444564E-4</v>
      </c>
      <c r="S1125" s="2">
        <v>0</v>
      </c>
      <c r="T1125" s="2" t="s">
        <v>265</v>
      </c>
      <c r="U1125" s="2" t="s">
        <v>266</v>
      </c>
      <c r="V1125" s="2" t="s">
        <v>38</v>
      </c>
      <c r="W1125" s="2" t="s">
        <v>35</v>
      </c>
      <c r="X1125" s="2" t="s">
        <v>35</v>
      </c>
      <c r="Y1125" s="2" t="s">
        <v>35</v>
      </c>
      <c r="Z1125" s="2" t="b">
        <v>0</v>
      </c>
      <c r="AA1125" s="2" t="s">
        <v>35</v>
      </c>
      <c r="AB1125" s="2" t="s">
        <v>35</v>
      </c>
      <c r="AC1125" s="2" t="s">
        <v>35</v>
      </c>
      <c r="AD1125" s="2" t="s">
        <v>35</v>
      </c>
      <c r="AE1125" s="2" t="s">
        <v>2840</v>
      </c>
      <c r="AF1125" s="11">
        <v>44769.384722222225</v>
      </c>
      <c r="AG1125" s="53"/>
      <c r="AH1125" s="53" t="b">
        <f t="shared" si="52"/>
        <v>0</v>
      </c>
      <c r="AI1125" s="54" t="str" cm="1">
        <f t="array" ref="AI1125">TRANSPOSE(_xlfn._xlws.FILTER(images!L:L,images!F:F=Barrierenmessung!A1125, ""))</f>
        <v>https://captureandgo.cloudlab.zhaw.ch/uploads/image_5674a5f047.jpg</v>
      </c>
      <c r="AJ1125" s="2"/>
      <c r="AK1125" s="2"/>
      <c r="AL1125" s="2"/>
      <c r="AM1125" s="2"/>
      <c r="AN1125" s="2"/>
    </row>
    <row r="1126" spans="1:40" ht="16" x14ac:dyDescent="0.2">
      <c r="A1126" s="2" t="s">
        <v>3620</v>
      </c>
      <c r="B1126" s="46">
        <v>1125</v>
      </c>
      <c r="C1126" s="2" t="b">
        <v>0</v>
      </c>
      <c r="D1126" s="2" t="b">
        <v>0</v>
      </c>
      <c r="E1126" s="2" t="b">
        <v>0</v>
      </c>
      <c r="F1126" s="2" t="b">
        <v>0</v>
      </c>
      <c r="G1126" s="2" t="s">
        <v>31</v>
      </c>
      <c r="H1126" s="2" t="s">
        <v>3621</v>
      </c>
      <c r="I1126" s="2" t="s">
        <v>3622</v>
      </c>
      <c r="J1126" s="2" t="s">
        <v>35</v>
      </c>
      <c r="K1126" s="2" t="s">
        <v>35</v>
      </c>
      <c r="L1126" s="2" t="s">
        <v>35</v>
      </c>
      <c r="M1126" s="2" t="s">
        <v>35</v>
      </c>
      <c r="N1126" s="2" t="s">
        <v>35</v>
      </c>
      <c r="O1126" s="11">
        <v>44769.430311678239</v>
      </c>
      <c r="P1126" s="11">
        <v>44769.430421446756</v>
      </c>
      <c r="Q1126" s="27">
        <f t="shared" si="51"/>
        <v>1.0976851626764983E-4</v>
      </c>
      <c r="R1126" s="65">
        <f t="shared" si="53"/>
        <v>6.2983795942272991E-4</v>
      </c>
      <c r="S1126" s="2">
        <v>0</v>
      </c>
      <c r="T1126" s="2" t="s">
        <v>36</v>
      </c>
      <c r="U1126" s="2" t="s">
        <v>37</v>
      </c>
      <c r="V1126" s="2" t="s">
        <v>38</v>
      </c>
      <c r="W1126" s="2" t="s">
        <v>35</v>
      </c>
      <c r="X1126" s="2" t="s">
        <v>35</v>
      </c>
      <c r="Y1126" s="2" t="s">
        <v>35</v>
      </c>
      <c r="Z1126" s="2" t="b">
        <v>0</v>
      </c>
      <c r="AA1126" s="2" t="s">
        <v>35</v>
      </c>
      <c r="AB1126" s="2" t="s">
        <v>35</v>
      </c>
      <c r="AC1126" s="2" t="s">
        <v>35</v>
      </c>
      <c r="AD1126" s="2">
        <v>3</v>
      </c>
      <c r="AE1126" s="2" t="s">
        <v>2840</v>
      </c>
      <c r="AF1126" s="11">
        <v>44769.384722222225</v>
      </c>
      <c r="AG1126" s="53"/>
      <c r="AH1126" s="53" t="b">
        <f t="shared" si="52"/>
        <v>0</v>
      </c>
      <c r="AI1126" s="54" t="str" cm="1">
        <f t="array" ref="AI1126">TRANSPOSE(_xlfn._xlws.FILTER(images!L:L,images!F:F=Barrierenmessung!A1126, ""))</f>
        <v>https://captureandgo.cloudlab.zhaw.ch/uploads/image_81711c1116.jpg</v>
      </c>
      <c r="AJ1126" s="2"/>
      <c r="AK1126" s="2"/>
      <c r="AL1126" s="2"/>
      <c r="AM1126" s="2"/>
      <c r="AN1126" s="2"/>
    </row>
    <row r="1127" spans="1:40" ht="16" x14ac:dyDescent="0.2">
      <c r="A1127" s="2" t="s">
        <v>3623</v>
      </c>
      <c r="B1127" s="46">
        <v>1126</v>
      </c>
      <c r="C1127" s="2" t="b">
        <v>0</v>
      </c>
      <c r="D1127" s="2" t="b">
        <v>0</v>
      </c>
      <c r="E1127" s="2" t="b">
        <v>0</v>
      </c>
      <c r="F1127" s="2" t="b">
        <v>0</v>
      </c>
      <c r="G1127" s="2" t="s">
        <v>31</v>
      </c>
      <c r="H1127" s="2" t="s">
        <v>3624</v>
      </c>
      <c r="I1127" s="2" t="s">
        <v>3625</v>
      </c>
      <c r="J1127" s="2" t="s">
        <v>3566</v>
      </c>
      <c r="K1127" s="2" t="s">
        <v>35</v>
      </c>
      <c r="L1127" s="2" t="s">
        <v>35</v>
      </c>
      <c r="M1127" s="2" t="s">
        <v>35</v>
      </c>
      <c r="N1127" s="2" t="s">
        <v>35</v>
      </c>
      <c r="O1127" s="11">
        <v>44769.431464120367</v>
      </c>
      <c r="P1127" s="11">
        <v>44769.43202940972</v>
      </c>
      <c r="Q1127" s="27">
        <f t="shared" si="51"/>
        <v>5.6528935238020495E-4</v>
      </c>
      <c r="R1127" s="65">
        <f t="shared" si="53"/>
        <v>1.6079629640444182E-3</v>
      </c>
      <c r="S1127" s="2">
        <v>0</v>
      </c>
      <c r="T1127" s="2" t="s">
        <v>36</v>
      </c>
      <c r="U1127" s="2" t="s">
        <v>37</v>
      </c>
      <c r="V1127" s="2" t="s">
        <v>38</v>
      </c>
      <c r="W1127" s="2" t="s">
        <v>35</v>
      </c>
      <c r="X1127" s="2" t="s">
        <v>35</v>
      </c>
      <c r="Y1127" s="2" t="s">
        <v>35</v>
      </c>
      <c r="Z1127" s="2" t="b">
        <v>0</v>
      </c>
      <c r="AA1127" s="2" t="s">
        <v>35</v>
      </c>
      <c r="AB1127" s="2" t="s">
        <v>35</v>
      </c>
      <c r="AC1127" s="2">
        <v>6</v>
      </c>
      <c r="AD1127" s="2" t="s">
        <v>35</v>
      </c>
      <c r="AE1127" s="2" t="s">
        <v>2840</v>
      </c>
      <c r="AF1127" s="11">
        <v>44769.384722222225</v>
      </c>
      <c r="AG1127" s="53"/>
      <c r="AH1127" s="53" t="b">
        <f t="shared" si="52"/>
        <v>0</v>
      </c>
      <c r="AI1127" s="54" t="str" cm="1">
        <f t="array" ref="AI1127">TRANSPOSE(_xlfn._xlws.FILTER(images!L:L,images!F:F=Barrierenmessung!A1127, ""))</f>
        <v>https://captureandgo.cloudlab.zhaw.ch/uploads/image_c3aa67478e.jpg</v>
      </c>
      <c r="AJ1127" s="2"/>
      <c r="AK1127" s="2"/>
      <c r="AL1127" s="2"/>
      <c r="AM1127" s="2"/>
      <c r="AN1127" s="2"/>
    </row>
    <row r="1128" spans="1:40" ht="16" x14ac:dyDescent="0.2">
      <c r="A1128" s="2" t="s">
        <v>3626</v>
      </c>
      <c r="B1128" s="46">
        <v>1127</v>
      </c>
      <c r="C1128" s="2" t="b">
        <v>0</v>
      </c>
      <c r="D1128" s="2" t="b">
        <v>0</v>
      </c>
      <c r="E1128" s="2" t="b">
        <v>0</v>
      </c>
      <c r="F1128" s="2" t="b">
        <v>0</v>
      </c>
      <c r="G1128" s="2" t="s">
        <v>31</v>
      </c>
      <c r="H1128" s="2" t="s">
        <v>3627</v>
      </c>
      <c r="I1128" s="2" t="s">
        <v>3628</v>
      </c>
      <c r="J1128" s="2" t="s">
        <v>3629</v>
      </c>
      <c r="K1128" s="2" t="s">
        <v>35</v>
      </c>
      <c r="L1128" s="2" t="s">
        <v>35</v>
      </c>
      <c r="M1128" s="2" t="s">
        <v>35</v>
      </c>
      <c r="N1128" s="2" t="s">
        <v>35</v>
      </c>
      <c r="O1128" s="11">
        <v>44769.43240391204</v>
      </c>
      <c r="P1128" s="11">
        <v>44769.432929178241</v>
      </c>
      <c r="Q1128" s="27">
        <f t="shared" si="51"/>
        <v>5.2526620129356161E-4</v>
      </c>
      <c r="R1128" s="65">
        <f t="shared" si="53"/>
        <v>8.9976852177642286E-4</v>
      </c>
      <c r="S1128" s="2">
        <v>0</v>
      </c>
      <c r="T1128" s="2" t="s">
        <v>36</v>
      </c>
      <c r="U1128" s="2" t="s">
        <v>37</v>
      </c>
      <c r="V1128" s="2" t="s">
        <v>38</v>
      </c>
      <c r="W1128" s="2" t="s">
        <v>35</v>
      </c>
      <c r="X1128" s="2" t="s">
        <v>35</v>
      </c>
      <c r="Y1128" s="2" t="s">
        <v>35</v>
      </c>
      <c r="Z1128" s="2" t="b">
        <v>0</v>
      </c>
      <c r="AA1128" s="2" t="s">
        <v>35</v>
      </c>
      <c r="AB1128" s="2" t="s">
        <v>35</v>
      </c>
      <c r="AC1128" s="2">
        <v>3</v>
      </c>
      <c r="AD1128" s="2">
        <v>3</v>
      </c>
      <c r="AE1128" s="2" t="s">
        <v>2840</v>
      </c>
      <c r="AF1128" s="11">
        <v>44769.384722222225</v>
      </c>
      <c r="AG1128" s="53"/>
      <c r="AH1128" s="53" t="b">
        <f t="shared" si="52"/>
        <v>0</v>
      </c>
      <c r="AI1128" s="54" t="str" cm="1">
        <f t="array" ref="AI1128">TRANSPOSE(_xlfn._xlws.FILTER(images!L:L,images!F:F=Barrierenmessung!A1128, ""))</f>
        <v>https://captureandgo.cloudlab.zhaw.ch/uploads/image_7003adb711.jpg</v>
      </c>
      <c r="AJ1128" s="2"/>
      <c r="AK1128" s="2"/>
      <c r="AL1128" s="2"/>
      <c r="AM1128" s="2"/>
      <c r="AN1128" s="2"/>
    </row>
    <row r="1129" spans="1:40" ht="16" x14ac:dyDescent="0.2">
      <c r="A1129" s="68" t="s">
        <v>3630</v>
      </c>
      <c r="B1129" s="68">
        <v>1128</v>
      </c>
      <c r="C1129" s="68" t="b">
        <v>0</v>
      </c>
      <c r="D1129" s="68" t="b">
        <v>0</v>
      </c>
      <c r="E1129" s="68" t="b">
        <v>0</v>
      </c>
      <c r="F1129" s="68" t="b">
        <v>0</v>
      </c>
      <c r="G1129" s="68" t="s">
        <v>31</v>
      </c>
      <c r="H1129" s="68" t="s">
        <v>149</v>
      </c>
      <c r="I1129" s="68" t="s">
        <v>3631</v>
      </c>
      <c r="J1129" s="68" t="s">
        <v>3566</v>
      </c>
      <c r="K1129" s="68" t="s">
        <v>35</v>
      </c>
      <c r="L1129" s="68" t="s">
        <v>35</v>
      </c>
      <c r="M1129" s="68" t="s">
        <v>35</v>
      </c>
      <c r="N1129" s="68" t="s">
        <v>35</v>
      </c>
      <c r="O1129" s="69">
        <v>44769.433386736113</v>
      </c>
      <c r="P1129" s="69">
        <v>44769.433668750004</v>
      </c>
      <c r="Q1129" s="70">
        <f t="shared" si="51"/>
        <v>2.8201389068271965E-4</v>
      </c>
      <c r="R1129" s="70">
        <f t="shared" si="53"/>
        <v>7.3957176209660247E-4</v>
      </c>
      <c r="S1129" s="68">
        <v>0</v>
      </c>
      <c r="T1129" s="68" t="s">
        <v>36</v>
      </c>
      <c r="U1129" s="68" t="s">
        <v>37</v>
      </c>
      <c r="V1129" s="68" t="s">
        <v>38</v>
      </c>
      <c r="W1129" s="68" t="s">
        <v>35</v>
      </c>
      <c r="X1129" s="68" t="s">
        <v>35</v>
      </c>
      <c r="Y1129" s="68" t="s">
        <v>35</v>
      </c>
      <c r="Z1129" s="68" t="b">
        <v>0</v>
      </c>
      <c r="AA1129" s="68" t="s">
        <v>35</v>
      </c>
      <c r="AB1129" s="68" t="s">
        <v>35</v>
      </c>
      <c r="AC1129" s="68">
        <v>6</v>
      </c>
      <c r="AD1129" s="68" t="s">
        <v>35</v>
      </c>
      <c r="AE1129" s="68" t="s">
        <v>2840</v>
      </c>
      <c r="AF1129" s="69">
        <v>44769.384722222225</v>
      </c>
      <c r="AG1129" s="71"/>
      <c r="AH1129" s="71" t="b">
        <f t="shared" si="52"/>
        <v>0</v>
      </c>
      <c r="AI1129" s="56" t="str" cm="1">
        <f t="array" ref="AI1129">TRANSPOSE(_xlfn._xlws.FILTER(images!L:L,images!F:F=Barrierenmessung!A1129, ""))</f>
        <v/>
      </c>
      <c r="AJ1129" s="68"/>
      <c r="AK1129" s="68"/>
      <c r="AL1129" s="68"/>
      <c r="AM1129" s="68"/>
      <c r="AN1129" s="68"/>
    </row>
    <row r="1130" spans="1:40" ht="16" x14ac:dyDescent="0.2">
      <c r="A1130" s="2" t="s">
        <v>3632</v>
      </c>
      <c r="B1130" s="46">
        <v>1129</v>
      </c>
      <c r="C1130" s="2" t="b">
        <v>0</v>
      </c>
      <c r="D1130" s="2" t="b">
        <v>0</v>
      </c>
      <c r="E1130" s="2" t="b">
        <v>0</v>
      </c>
      <c r="F1130" s="2" t="b">
        <v>0</v>
      </c>
      <c r="G1130" s="2" t="s">
        <v>31</v>
      </c>
      <c r="H1130" s="2" t="s">
        <v>3633</v>
      </c>
      <c r="I1130" s="2" t="s">
        <v>3634</v>
      </c>
      <c r="J1130" s="2" t="s">
        <v>35</v>
      </c>
      <c r="K1130" s="2" t="s">
        <v>35</v>
      </c>
      <c r="L1130" s="2" t="s">
        <v>35</v>
      </c>
      <c r="M1130" s="2" t="s">
        <v>35</v>
      </c>
      <c r="N1130" s="2" t="s">
        <v>35</v>
      </c>
      <c r="O1130" s="11">
        <v>44769.434217268521</v>
      </c>
      <c r="P1130" s="11">
        <v>44769.434353368059</v>
      </c>
      <c r="Q1130" s="27">
        <f t="shared" si="51"/>
        <v>1.3609953748527914E-4</v>
      </c>
      <c r="R1130" s="65">
        <f t="shared" si="53"/>
        <v>6.8461805494735017E-4</v>
      </c>
      <c r="S1130" s="2">
        <v>0</v>
      </c>
      <c r="T1130" s="2" t="s">
        <v>109</v>
      </c>
      <c r="U1130" s="2" t="s">
        <v>110</v>
      </c>
      <c r="V1130" s="2" t="s">
        <v>38</v>
      </c>
      <c r="W1130" s="2" t="s">
        <v>35</v>
      </c>
      <c r="X1130" s="2">
        <v>114</v>
      </c>
      <c r="Y1130" s="2" t="s">
        <v>35</v>
      </c>
      <c r="Z1130" s="2" t="b">
        <v>0</v>
      </c>
      <c r="AA1130" s="2" t="s">
        <v>35</v>
      </c>
      <c r="AB1130" s="2" t="s">
        <v>35</v>
      </c>
      <c r="AC1130" s="2" t="s">
        <v>35</v>
      </c>
      <c r="AD1130" s="2" t="s">
        <v>35</v>
      </c>
      <c r="AE1130" s="2" t="s">
        <v>2840</v>
      </c>
      <c r="AF1130" s="11">
        <v>44769.384722222225</v>
      </c>
      <c r="AG1130" s="53"/>
      <c r="AH1130" s="53" t="b">
        <f t="shared" si="52"/>
        <v>0</v>
      </c>
      <c r="AI1130" s="54" t="str" cm="1">
        <f t="array" ref="AI1130">TRANSPOSE(_xlfn._xlws.FILTER(images!L:L,images!F:F=Barrierenmessung!A1130, ""))</f>
        <v>https://captureandgo.cloudlab.zhaw.ch/uploads/image_c03393cdfc.jpg</v>
      </c>
      <c r="AJ1130" s="2"/>
      <c r="AK1130" s="2"/>
      <c r="AL1130" s="2"/>
      <c r="AM1130" s="2"/>
      <c r="AN1130" s="2"/>
    </row>
    <row r="1131" spans="1:40" ht="16" x14ac:dyDescent="0.2">
      <c r="A1131" s="2" t="s">
        <v>3635</v>
      </c>
      <c r="B1131" s="46">
        <v>1130</v>
      </c>
      <c r="C1131" s="2" t="b">
        <v>0</v>
      </c>
      <c r="D1131" s="2" t="b">
        <v>0</v>
      </c>
      <c r="E1131" s="2" t="b">
        <v>0</v>
      </c>
      <c r="F1131" s="2" t="b">
        <v>0</v>
      </c>
      <c r="G1131" s="2" t="s">
        <v>31</v>
      </c>
      <c r="H1131" s="2" t="s">
        <v>3636</v>
      </c>
      <c r="I1131" s="2" t="s">
        <v>3637</v>
      </c>
      <c r="J1131" s="2" t="s">
        <v>35</v>
      </c>
      <c r="K1131" s="2" t="s">
        <v>35</v>
      </c>
      <c r="L1131" s="2" t="s">
        <v>35</v>
      </c>
      <c r="M1131" s="2" t="s">
        <v>35</v>
      </c>
      <c r="N1131" s="2" t="s">
        <v>35</v>
      </c>
      <c r="O1131" s="11">
        <v>44769.435070462961</v>
      </c>
      <c r="P1131" s="11">
        <v>44769.43520832176</v>
      </c>
      <c r="Q1131" s="27">
        <f t="shared" si="51"/>
        <v>1.3785879855277017E-4</v>
      </c>
      <c r="R1131" s="65">
        <f t="shared" si="53"/>
        <v>8.5495370149146765E-4</v>
      </c>
      <c r="S1131" s="2">
        <v>0</v>
      </c>
      <c r="T1131" s="2" t="s">
        <v>109</v>
      </c>
      <c r="U1131" s="2" t="s">
        <v>110</v>
      </c>
      <c r="V1131" s="2" t="s">
        <v>38</v>
      </c>
      <c r="W1131" s="2" t="s">
        <v>35</v>
      </c>
      <c r="X1131" s="2">
        <v>95</v>
      </c>
      <c r="Y1131" s="2" t="s">
        <v>35</v>
      </c>
      <c r="Z1131" s="2" t="b">
        <v>0</v>
      </c>
      <c r="AA1131" s="2" t="s">
        <v>35</v>
      </c>
      <c r="AB1131" s="2" t="s">
        <v>35</v>
      </c>
      <c r="AC1131" s="2" t="s">
        <v>35</v>
      </c>
      <c r="AD1131" s="2" t="s">
        <v>35</v>
      </c>
      <c r="AE1131" s="2" t="s">
        <v>2840</v>
      </c>
      <c r="AF1131" s="11">
        <v>44769.384722222225</v>
      </c>
      <c r="AG1131" s="53"/>
      <c r="AH1131" s="53" t="b">
        <f t="shared" si="52"/>
        <v>0</v>
      </c>
      <c r="AI1131" s="54" t="str" cm="1">
        <f t="array" ref="AI1131">TRANSPOSE(_xlfn._xlws.FILTER(images!L:L,images!F:F=Barrierenmessung!A1131, ""))</f>
        <v>https://captureandgo.cloudlab.zhaw.ch/uploads/image_51d3b648b3.jpg</v>
      </c>
      <c r="AJ1131" s="2"/>
      <c r="AK1131" s="2"/>
      <c r="AL1131" s="2"/>
      <c r="AM1131" s="2"/>
      <c r="AN1131" s="2"/>
    </row>
    <row r="1132" spans="1:40" ht="16" x14ac:dyDescent="0.2">
      <c r="A1132" s="2" t="s">
        <v>3638</v>
      </c>
      <c r="B1132" s="46">
        <v>1131</v>
      </c>
      <c r="C1132" s="2" t="b">
        <v>0</v>
      </c>
      <c r="D1132" s="2" t="b">
        <v>0</v>
      </c>
      <c r="E1132" s="2" t="b">
        <v>0</v>
      </c>
      <c r="F1132" s="2" t="b">
        <v>0</v>
      </c>
      <c r="G1132" s="2" t="s">
        <v>31</v>
      </c>
      <c r="H1132" s="2" t="s">
        <v>3639</v>
      </c>
      <c r="I1132" s="2" t="s">
        <v>3640</v>
      </c>
      <c r="J1132" s="2" t="s">
        <v>3641</v>
      </c>
      <c r="K1132" s="2" t="s">
        <v>35</v>
      </c>
      <c r="L1132" s="2" t="s">
        <v>35</v>
      </c>
      <c r="M1132" s="2" t="s">
        <v>35</v>
      </c>
      <c r="N1132" s="2" t="s">
        <v>35</v>
      </c>
      <c r="O1132" s="11">
        <v>44769.435769351854</v>
      </c>
      <c r="P1132" s="11">
        <v>44769.436102638887</v>
      </c>
      <c r="Q1132" s="27">
        <f t="shared" si="51"/>
        <v>3.3328703284496441E-4</v>
      </c>
      <c r="R1132" s="65">
        <f t="shared" si="53"/>
        <v>8.9431712694931775E-4</v>
      </c>
      <c r="S1132" s="2">
        <v>0</v>
      </c>
      <c r="T1132" s="2" t="s">
        <v>36</v>
      </c>
      <c r="U1132" s="2" t="s">
        <v>37</v>
      </c>
      <c r="V1132" s="2" t="s">
        <v>38</v>
      </c>
      <c r="W1132" s="2" t="s">
        <v>35</v>
      </c>
      <c r="X1132" s="2" t="s">
        <v>35</v>
      </c>
      <c r="Y1132" s="2" t="s">
        <v>35</v>
      </c>
      <c r="Z1132" s="2" t="b">
        <v>0</v>
      </c>
      <c r="AA1132" s="2" t="s">
        <v>35</v>
      </c>
      <c r="AB1132" s="2" t="s">
        <v>35</v>
      </c>
      <c r="AC1132" s="2">
        <v>6</v>
      </c>
      <c r="AD1132" s="2" t="s">
        <v>35</v>
      </c>
      <c r="AE1132" s="2" t="s">
        <v>2840</v>
      </c>
      <c r="AF1132" s="11">
        <v>44769.384722222225</v>
      </c>
      <c r="AG1132" s="53"/>
      <c r="AH1132" s="53" t="b">
        <f t="shared" si="52"/>
        <v>0</v>
      </c>
      <c r="AI1132" s="54" t="str" cm="1">
        <f t="array" ref="AI1132">TRANSPOSE(_xlfn._xlws.FILTER(images!L:L,images!F:F=Barrierenmessung!A1132, ""))</f>
        <v>https://captureandgo.cloudlab.zhaw.ch/uploads/image_ee6498d9ad.jpg</v>
      </c>
      <c r="AJ1132" s="2"/>
      <c r="AK1132" s="2"/>
      <c r="AL1132" s="2"/>
      <c r="AM1132" s="2"/>
      <c r="AN1132" s="2"/>
    </row>
    <row r="1133" spans="1:40" ht="16" x14ac:dyDescent="0.2">
      <c r="A1133" s="2" t="s">
        <v>3642</v>
      </c>
      <c r="B1133" s="46">
        <v>1132</v>
      </c>
      <c r="C1133" s="2" t="b">
        <v>0</v>
      </c>
      <c r="D1133" s="2" t="b">
        <v>0</v>
      </c>
      <c r="E1133" s="2" t="b">
        <v>0</v>
      </c>
      <c r="F1133" s="2" t="b">
        <v>0</v>
      </c>
      <c r="G1133" s="2" t="s">
        <v>31</v>
      </c>
      <c r="H1133" s="2" t="s">
        <v>3643</v>
      </c>
      <c r="I1133" s="2" t="s">
        <v>3644</v>
      </c>
      <c r="J1133" s="2" t="s">
        <v>35</v>
      </c>
      <c r="K1133" s="2" t="s">
        <v>35</v>
      </c>
      <c r="L1133" s="2" t="s">
        <v>35</v>
      </c>
      <c r="M1133" s="2" t="s">
        <v>35</v>
      </c>
      <c r="N1133" s="2" t="s">
        <v>35</v>
      </c>
      <c r="O1133" s="11">
        <v>44769.438191817128</v>
      </c>
      <c r="P1133" s="11">
        <v>44769.438736400465</v>
      </c>
      <c r="Q1133" s="27">
        <f t="shared" si="51"/>
        <v>5.4458333761431277E-4</v>
      </c>
      <c r="R1133" s="65">
        <f t="shared" si="53"/>
        <v>2.6337615781812929E-3</v>
      </c>
      <c r="S1133" s="2">
        <v>0</v>
      </c>
      <c r="T1133" s="2" t="s">
        <v>36</v>
      </c>
      <c r="U1133" s="2" t="s">
        <v>37</v>
      </c>
      <c r="V1133" s="2" t="s">
        <v>38</v>
      </c>
      <c r="W1133" s="2" t="s">
        <v>35</v>
      </c>
      <c r="X1133" s="2" t="s">
        <v>35</v>
      </c>
      <c r="Y1133" s="2" t="s">
        <v>35</v>
      </c>
      <c r="Z1133" s="2" t="b">
        <v>0</v>
      </c>
      <c r="AA1133" s="2" t="s">
        <v>2933</v>
      </c>
      <c r="AB1133" s="2" t="s">
        <v>35</v>
      </c>
      <c r="AC1133" s="2">
        <v>12</v>
      </c>
      <c r="AD1133" s="2">
        <v>3</v>
      </c>
      <c r="AE1133" s="2" t="s">
        <v>2840</v>
      </c>
      <c r="AF1133" s="11">
        <v>44769.384722222225</v>
      </c>
      <c r="AG1133" s="53"/>
      <c r="AH1133" s="53" t="b">
        <f t="shared" si="52"/>
        <v>0</v>
      </c>
      <c r="AI1133" s="54" t="str" cm="1">
        <f t="array" ref="AI1133">TRANSPOSE(_xlfn._xlws.FILTER(images!L:L,images!F:F=Barrierenmessung!A1133, ""))</f>
        <v>https://captureandgo.cloudlab.zhaw.ch/uploads/image_f567eb733f.jpg</v>
      </c>
      <c r="AJ1133" s="2"/>
      <c r="AK1133" s="2"/>
      <c r="AL1133" s="2"/>
      <c r="AM1133" s="2"/>
      <c r="AN1133" s="2"/>
    </row>
    <row r="1134" spans="1:40" ht="16" x14ac:dyDescent="0.2">
      <c r="A1134" s="2" t="s">
        <v>3645</v>
      </c>
      <c r="B1134" s="46">
        <v>1133</v>
      </c>
      <c r="C1134" s="2" t="b">
        <v>0</v>
      </c>
      <c r="D1134" s="2" t="b">
        <v>0</v>
      </c>
      <c r="E1134" s="2" t="b">
        <v>0</v>
      </c>
      <c r="F1134" s="2" t="b">
        <v>0</v>
      </c>
      <c r="G1134" s="2" t="s">
        <v>31</v>
      </c>
      <c r="H1134" s="2" t="s">
        <v>3646</v>
      </c>
      <c r="I1134" s="2" t="s">
        <v>3647</v>
      </c>
      <c r="J1134" s="2" t="s">
        <v>35</v>
      </c>
      <c r="K1134" s="2" t="s">
        <v>35</v>
      </c>
      <c r="L1134" s="2">
        <v>14</v>
      </c>
      <c r="M1134" s="2" t="s">
        <v>35</v>
      </c>
      <c r="N1134" s="2" t="s">
        <v>35</v>
      </c>
      <c r="O1134" s="11">
        <v>44769.438772453701</v>
      </c>
      <c r="P1134" s="11">
        <v>44769.439982025462</v>
      </c>
      <c r="Q1134" s="27">
        <f t="shared" si="51"/>
        <v>1.2095717611373402E-3</v>
      </c>
      <c r="R1134" s="65">
        <f t="shared" si="53"/>
        <v>1.2456249969545752E-3</v>
      </c>
      <c r="S1134" s="2">
        <v>0</v>
      </c>
      <c r="T1134" s="2" t="s">
        <v>265</v>
      </c>
      <c r="U1134" s="2" t="s">
        <v>266</v>
      </c>
      <c r="V1134" s="2" t="s">
        <v>38</v>
      </c>
      <c r="W1134" s="2" t="s">
        <v>35</v>
      </c>
      <c r="X1134" s="2" t="s">
        <v>35</v>
      </c>
      <c r="Y1134" s="2" t="s">
        <v>35</v>
      </c>
      <c r="Z1134" s="2" t="b">
        <v>0</v>
      </c>
      <c r="AA1134" s="2" t="s">
        <v>35</v>
      </c>
      <c r="AB1134" s="2" t="s">
        <v>35</v>
      </c>
      <c r="AC1134" s="2" t="s">
        <v>35</v>
      </c>
      <c r="AD1134" s="2" t="s">
        <v>35</v>
      </c>
      <c r="AE1134" s="2" t="s">
        <v>2840</v>
      </c>
      <c r="AF1134" s="11">
        <v>44769.384722222225</v>
      </c>
      <c r="AG1134" s="53"/>
      <c r="AH1134" s="53" t="b">
        <f t="shared" si="52"/>
        <v>0</v>
      </c>
      <c r="AI1134" s="54" t="str" cm="1">
        <f t="array" ref="AI1134">TRANSPOSE(_xlfn._xlws.FILTER(images!L:L,images!F:F=Barrierenmessung!A1134, ""))</f>
        <v>https://captureandgo.cloudlab.zhaw.ch/uploads/image_aa33a8d4b4.jpg</v>
      </c>
      <c r="AJ1134" s="2"/>
      <c r="AK1134" s="2"/>
      <c r="AL1134" s="2"/>
      <c r="AM1134" s="2"/>
      <c r="AN1134" s="2"/>
    </row>
    <row r="1135" spans="1:40" ht="16" x14ac:dyDescent="0.2">
      <c r="A1135" s="2" t="s">
        <v>3648</v>
      </c>
      <c r="B1135" s="46">
        <v>1134</v>
      </c>
      <c r="C1135" s="2" t="b">
        <v>0</v>
      </c>
      <c r="D1135" s="2" t="b">
        <v>0</v>
      </c>
      <c r="E1135" s="2" t="b">
        <v>0</v>
      </c>
      <c r="F1135" s="2" t="b">
        <v>0</v>
      </c>
      <c r="G1135" s="2" t="s">
        <v>31</v>
      </c>
      <c r="H1135" s="2" t="s">
        <v>3649</v>
      </c>
      <c r="I1135" s="2" t="s">
        <v>3650</v>
      </c>
      <c r="J1135" s="2" t="s">
        <v>35</v>
      </c>
      <c r="K1135" s="2" t="s">
        <v>35</v>
      </c>
      <c r="L1135" s="2" t="s">
        <v>35</v>
      </c>
      <c r="M1135" s="2">
        <v>102</v>
      </c>
      <c r="N1135" s="2">
        <v>8</v>
      </c>
      <c r="O1135" s="11">
        <v>44769.440021006943</v>
      </c>
      <c r="P1135" s="11">
        <v>44769.441229560187</v>
      </c>
      <c r="Q1135" s="27">
        <f t="shared" si="51"/>
        <v>1.2085532434866764E-3</v>
      </c>
      <c r="R1135" s="65">
        <f t="shared" si="53"/>
        <v>1.2475347248255275E-3</v>
      </c>
      <c r="S1135" s="2">
        <v>0</v>
      </c>
      <c r="T1135" s="2" t="s">
        <v>54</v>
      </c>
      <c r="U1135" s="2" t="s">
        <v>55</v>
      </c>
      <c r="V1135" s="2" t="s">
        <v>38</v>
      </c>
      <c r="W1135" s="2" t="s">
        <v>35</v>
      </c>
      <c r="X1135" s="2" t="s">
        <v>35</v>
      </c>
      <c r="Y1135" s="2" t="s">
        <v>35</v>
      </c>
      <c r="Z1135" s="2" t="b">
        <v>0</v>
      </c>
      <c r="AA1135" s="2" t="s">
        <v>35</v>
      </c>
      <c r="AB1135" s="2" t="s">
        <v>35</v>
      </c>
      <c r="AC1135" s="2" t="s">
        <v>35</v>
      </c>
      <c r="AD1135" s="2" t="s">
        <v>35</v>
      </c>
      <c r="AE1135" s="2" t="s">
        <v>2840</v>
      </c>
      <c r="AF1135" s="11">
        <v>44769.384722222225</v>
      </c>
      <c r="AG1135" s="53"/>
      <c r="AH1135" s="53" t="b">
        <f t="shared" si="52"/>
        <v>0</v>
      </c>
      <c r="AI1135" s="54" t="str" cm="1">
        <f t="array" ref="AI1135">TRANSPOSE(_xlfn._xlws.FILTER(images!L:L,images!F:F=Barrierenmessung!A1135, ""))</f>
        <v>https://captureandgo.cloudlab.zhaw.ch/uploads/image_d3551a70db.jpg</v>
      </c>
      <c r="AJ1135" s="2"/>
      <c r="AK1135" s="2"/>
      <c r="AL1135" s="2"/>
      <c r="AM1135" s="2"/>
      <c r="AN1135" s="2"/>
    </row>
    <row r="1136" spans="1:40" ht="16" x14ac:dyDescent="0.2">
      <c r="A1136" s="2" t="s">
        <v>3651</v>
      </c>
      <c r="B1136" s="46">
        <v>1135</v>
      </c>
      <c r="C1136" s="2" t="b">
        <v>0</v>
      </c>
      <c r="D1136" s="2" t="b">
        <v>0</v>
      </c>
      <c r="E1136" s="2" t="b">
        <v>0</v>
      </c>
      <c r="F1136" s="2" t="b">
        <v>0</v>
      </c>
      <c r="G1136" s="2" t="s">
        <v>31</v>
      </c>
      <c r="H1136" s="2" t="s">
        <v>3652</v>
      </c>
      <c r="I1136" s="2" t="s">
        <v>3653</v>
      </c>
      <c r="J1136" s="2" t="s">
        <v>35</v>
      </c>
      <c r="K1136" s="2" t="s">
        <v>35</v>
      </c>
      <c r="L1136" s="2" t="s">
        <v>35</v>
      </c>
      <c r="M1136" s="2" t="s">
        <v>35</v>
      </c>
      <c r="N1136" s="2" t="s">
        <v>35</v>
      </c>
      <c r="O1136" s="11">
        <v>44769.441731481478</v>
      </c>
      <c r="P1136" s="11">
        <v>44769.441978530092</v>
      </c>
      <c r="Q1136" s="27">
        <f t="shared" si="51"/>
        <v>2.470486142556183E-4</v>
      </c>
      <c r="R1136" s="65">
        <f t="shared" si="53"/>
        <v>7.4896990554407239E-4</v>
      </c>
      <c r="S1136" s="2">
        <v>0</v>
      </c>
      <c r="T1136" s="2" t="s">
        <v>36</v>
      </c>
      <c r="U1136" s="2" t="s">
        <v>37</v>
      </c>
      <c r="V1136" s="2" t="s">
        <v>38</v>
      </c>
      <c r="W1136" s="2" t="s">
        <v>35</v>
      </c>
      <c r="X1136" s="2" t="s">
        <v>35</v>
      </c>
      <c r="Y1136" s="2" t="s">
        <v>35</v>
      </c>
      <c r="Z1136" s="2" t="b">
        <v>0</v>
      </c>
      <c r="AA1136" s="2" t="s">
        <v>35</v>
      </c>
      <c r="AB1136" s="2" t="s">
        <v>35</v>
      </c>
      <c r="AC1136" s="2" t="s">
        <v>35</v>
      </c>
      <c r="AD1136" s="2">
        <v>5</v>
      </c>
      <c r="AE1136" s="2" t="s">
        <v>2840</v>
      </c>
      <c r="AF1136" s="11">
        <v>44769.384722222225</v>
      </c>
      <c r="AG1136" s="53"/>
      <c r="AH1136" s="53" t="b">
        <f t="shared" si="52"/>
        <v>0</v>
      </c>
      <c r="AI1136" s="54" t="str" cm="1">
        <f t="array" ref="AI1136">TRANSPOSE(_xlfn._xlws.FILTER(images!L:L,images!F:F=Barrierenmessung!A1136, ""))</f>
        <v>https://captureandgo.cloudlab.zhaw.ch/uploads/image_76949eaef4.jpg</v>
      </c>
      <c r="AJ1136" s="2"/>
      <c r="AK1136" s="2"/>
      <c r="AL1136" s="2"/>
      <c r="AM1136" s="2"/>
      <c r="AN1136" s="2"/>
    </row>
    <row r="1137" spans="1:40" ht="16" x14ac:dyDescent="0.2">
      <c r="A1137" s="2" t="s">
        <v>3654</v>
      </c>
      <c r="B1137" s="46">
        <v>1136</v>
      </c>
      <c r="C1137" s="2" t="b">
        <v>0</v>
      </c>
      <c r="D1137" s="2" t="b">
        <v>0</v>
      </c>
      <c r="E1137" s="2" t="b">
        <v>0</v>
      </c>
      <c r="F1137" s="2" t="b">
        <v>0</v>
      </c>
      <c r="G1137" s="2" t="s">
        <v>31</v>
      </c>
      <c r="H1137" s="2" t="s">
        <v>3655</v>
      </c>
      <c r="I1137" s="2" t="s">
        <v>3656</v>
      </c>
      <c r="J1137" s="2" t="s">
        <v>3657</v>
      </c>
      <c r="K1137" s="2" t="s">
        <v>35</v>
      </c>
      <c r="L1137" s="2" t="s">
        <v>35</v>
      </c>
      <c r="M1137" s="2" t="s">
        <v>35</v>
      </c>
      <c r="N1137" s="2" t="s">
        <v>35</v>
      </c>
      <c r="O1137" s="11">
        <v>44769.442145370369</v>
      </c>
      <c r="P1137" s="11">
        <v>44769.442608043981</v>
      </c>
      <c r="Q1137" s="27">
        <f t="shared" si="51"/>
        <v>4.6267361176433042E-4</v>
      </c>
      <c r="R1137" s="65">
        <f t="shared" si="53"/>
        <v>6.2951388827059418E-4</v>
      </c>
      <c r="S1137" s="2">
        <v>0</v>
      </c>
      <c r="T1137" s="2" t="s">
        <v>36</v>
      </c>
      <c r="U1137" s="2" t="s">
        <v>37</v>
      </c>
      <c r="V1137" s="2" t="s">
        <v>38</v>
      </c>
      <c r="W1137" s="2" t="s">
        <v>35</v>
      </c>
      <c r="X1137" s="2" t="s">
        <v>35</v>
      </c>
      <c r="Y1137" s="2" t="s">
        <v>35</v>
      </c>
      <c r="Z1137" s="2" t="b">
        <v>0</v>
      </c>
      <c r="AA1137" s="2" t="s">
        <v>35</v>
      </c>
      <c r="AB1137" s="2" t="s">
        <v>35</v>
      </c>
      <c r="AC1137" s="2">
        <v>5</v>
      </c>
      <c r="AD1137" s="2" t="s">
        <v>35</v>
      </c>
      <c r="AE1137" s="2" t="s">
        <v>2840</v>
      </c>
      <c r="AF1137" s="11">
        <v>44769.384722222225</v>
      </c>
      <c r="AG1137" s="53"/>
      <c r="AH1137" s="53" t="b">
        <f t="shared" si="52"/>
        <v>0</v>
      </c>
      <c r="AI1137" s="54" t="str" cm="1">
        <f t="array" ref="AI1137">TRANSPOSE(_xlfn._xlws.FILTER(images!L:L,images!F:F=Barrierenmessung!A1137, ""))</f>
        <v>https://captureandgo.cloudlab.zhaw.ch/uploads/image_88329dcece.jpg</v>
      </c>
      <c r="AJ1137" s="2"/>
      <c r="AK1137" s="2"/>
      <c r="AL1137" s="2"/>
      <c r="AM1137" s="2"/>
      <c r="AN1137" s="2"/>
    </row>
    <row r="1138" spans="1:40" ht="16" x14ac:dyDescent="0.2">
      <c r="A1138" s="2" t="s">
        <v>3658</v>
      </c>
      <c r="B1138" s="46">
        <v>1137</v>
      </c>
      <c r="C1138" s="2" t="b">
        <v>0</v>
      </c>
      <c r="D1138" s="2" t="b">
        <v>0</v>
      </c>
      <c r="E1138" s="2" t="b">
        <v>0</v>
      </c>
      <c r="F1138" s="2" t="b">
        <v>0</v>
      </c>
      <c r="G1138" s="2" t="s">
        <v>31</v>
      </c>
      <c r="H1138" s="2" t="s">
        <v>3659</v>
      </c>
      <c r="I1138" s="2" t="s">
        <v>3660</v>
      </c>
      <c r="J1138" s="2" t="s">
        <v>35</v>
      </c>
      <c r="K1138" s="2" t="s">
        <v>35</v>
      </c>
      <c r="L1138" s="2" t="s">
        <v>35</v>
      </c>
      <c r="M1138" s="2">
        <v>8</v>
      </c>
      <c r="N1138" s="2">
        <v>20</v>
      </c>
      <c r="O1138" s="11">
        <v>44769.442821354169</v>
      </c>
      <c r="P1138" s="11">
        <v>44769.443028761576</v>
      </c>
      <c r="Q1138" s="27">
        <f t="shared" si="51"/>
        <v>2.0740740728797391E-4</v>
      </c>
      <c r="R1138" s="65">
        <f t="shared" si="53"/>
        <v>4.2071759526152164E-4</v>
      </c>
      <c r="S1138" s="2">
        <v>0</v>
      </c>
      <c r="T1138" s="2" t="s">
        <v>54</v>
      </c>
      <c r="U1138" s="2" t="s">
        <v>55</v>
      </c>
      <c r="V1138" s="2" t="s">
        <v>38</v>
      </c>
      <c r="W1138" s="2" t="s">
        <v>35</v>
      </c>
      <c r="X1138" s="2" t="s">
        <v>35</v>
      </c>
      <c r="Y1138" s="2" t="s">
        <v>35</v>
      </c>
      <c r="Z1138" s="2" t="b">
        <v>0</v>
      </c>
      <c r="AA1138" s="2" t="s">
        <v>35</v>
      </c>
      <c r="AB1138" s="2" t="s">
        <v>35</v>
      </c>
      <c r="AC1138" s="2" t="s">
        <v>35</v>
      </c>
      <c r="AD1138" s="2" t="s">
        <v>35</v>
      </c>
      <c r="AE1138" s="2" t="s">
        <v>2840</v>
      </c>
      <c r="AF1138" s="11">
        <v>44769.384722222225</v>
      </c>
      <c r="AG1138" s="53"/>
      <c r="AH1138" s="53" t="b">
        <f t="shared" si="52"/>
        <v>0</v>
      </c>
      <c r="AI1138" s="54" t="str" cm="1">
        <f t="array" ref="AI1138">TRANSPOSE(_xlfn._xlws.FILTER(images!L:L,images!F:F=Barrierenmessung!A1138, ""))</f>
        <v>https://captureandgo.cloudlab.zhaw.ch/uploads/image_7fb3c176ce.jpg</v>
      </c>
      <c r="AJ1138" s="2"/>
      <c r="AK1138" s="2"/>
      <c r="AL1138" s="2"/>
      <c r="AM1138" s="2"/>
      <c r="AN1138" s="2"/>
    </row>
    <row r="1139" spans="1:40" ht="16" x14ac:dyDescent="0.2">
      <c r="A1139" s="2" t="s">
        <v>3661</v>
      </c>
      <c r="B1139" s="46">
        <v>1138</v>
      </c>
      <c r="C1139" s="2" t="b">
        <v>0</v>
      </c>
      <c r="D1139" s="2" t="b">
        <v>0</v>
      </c>
      <c r="E1139" s="2" t="b">
        <v>0</v>
      </c>
      <c r="F1139" s="2" t="b">
        <v>0</v>
      </c>
      <c r="G1139" s="2" t="s">
        <v>31</v>
      </c>
      <c r="H1139" s="2" t="s">
        <v>3662</v>
      </c>
      <c r="I1139" s="2" t="s">
        <v>3663</v>
      </c>
      <c r="J1139" s="2" t="s">
        <v>3566</v>
      </c>
      <c r="K1139" s="2" t="s">
        <v>35</v>
      </c>
      <c r="L1139" s="2" t="s">
        <v>35</v>
      </c>
      <c r="M1139" s="2" t="s">
        <v>35</v>
      </c>
      <c r="N1139" s="2" t="s">
        <v>35</v>
      </c>
      <c r="O1139" s="11">
        <v>44769.443199629626</v>
      </c>
      <c r="P1139" s="11">
        <v>44769.444080775465</v>
      </c>
      <c r="Q1139" s="27">
        <f t="shared" si="51"/>
        <v>8.8114583923015743E-4</v>
      </c>
      <c r="R1139" s="65">
        <f t="shared" si="53"/>
        <v>1.0520138894207776E-3</v>
      </c>
      <c r="S1139" s="2">
        <v>0</v>
      </c>
      <c r="T1139" s="2" t="s">
        <v>36</v>
      </c>
      <c r="U1139" s="2" t="s">
        <v>37</v>
      </c>
      <c r="V1139" s="2" t="s">
        <v>38</v>
      </c>
      <c r="W1139" s="2" t="s">
        <v>35</v>
      </c>
      <c r="X1139" s="2" t="s">
        <v>35</v>
      </c>
      <c r="Y1139" s="2" t="s">
        <v>35</v>
      </c>
      <c r="Z1139" s="2" t="b">
        <v>0</v>
      </c>
      <c r="AA1139" s="2" t="s">
        <v>35</v>
      </c>
      <c r="AB1139" s="2">
        <v>105</v>
      </c>
      <c r="AC1139" s="2">
        <v>12</v>
      </c>
      <c r="AD1139" s="2" t="s">
        <v>35</v>
      </c>
      <c r="AE1139" s="2" t="s">
        <v>2840</v>
      </c>
      <c r="AF1139" s="11">
        <v>44769.384722222225</v>
      </c>
      <c r="AG1139" s="53"/>
      <c r="AH1139" s="53" t="b">
        <f t="shared" si="52"/>
        <v>0</v>
      </c>
      <c r="AI1139" s="54" t="str" cm="1">
        <f t="array" ref="AI1139">TRANSPOSE(_xlfn._xlws.FILTER(images!L:L,images!F:F=Barrierenmessung!A1139, ""))</f>
        <v>https://captureandgo.cloudlab.zhaw.ch/uploads/image_a71e3989df.jpg</v>
      </c>
      <c r="AJ1139" s="2"/>
      <c r="AK1139" s="2"/>
      <c r="AL1139" s="2"/>
      <c r="AM1139" s="2"/>
      <c r="AN1139" s="2"/>
    </row>
    <row r="1140" spans="1:40" ht="16" x14ac:dyDescent="0.2">
      <c r="A1140" s="2" t="s">
        <v>3664</v>
      </c>
      <c r="B1140" s="46">
        <v>1139</v>
      </c>
      <c r="C1140" s="2" t="b">
        <v>0</v>
      </c>
      <c r="D1140" s="2" t="b">
        <v>0</v>
      </c>
      <c r="E1140" s="2" t="b">
        <v>0</v>
      </c>
      <c r="F1140" s="2" t="b">
        <v>0</v>
      </c>
      <c r="G1140" s="2" t="s">
        <v>31</v>
      </c>
      <c r="H1140" s="2" t="s">
        <v>3665</v>
      </c>
      <c r="I1140" s="2" t="s">
        <v>3666</v>
      </c>
      <c r="J1140" s="2" t="s">
        <v>3667</v>
      </c>
      <c r="K1140" s="2" t="s">
        <v>35</v>
      </c>
      <c r="L1140" s="2" t="s">
        <v>35</v>
      </c>
      <c r="M1140" s="2" t="s">
        <v>35</v>
      </c>
      <c r="N1140" s="2" t="s">
        <v>35</v>
      </c>
      <c r="O1140" s="11">
        <v>44769.444126516202</v>
      </c>
      <c r="P1140" s="11">
        <v>44769.444703263885</v>
      </c>
      <c r="Q1140" s="27">
        <f t="shared" si="51"/>
        <v>5.767476832261309E-4</v>
      </c>
      <c r="R1140" s="65">
        <f t="shared" si="53"/>
        <v>6.2248842004919425E-4</v>
      </c>
      <c r="S1140" s="2">
        <v>0</v>
      </c>
      <c r="T1140" s="2" t="s">
        <v>109</v>
      </c>
      <c r="U1140" s="2" t="s">
        <v>110</v>
      </c>
      <c r="V1140" s="2" t="s">
        <v>38</v>
      </c>
      <c r="W1140" s="2" t="s">
        <v>35</v>
      </c>
      <c r="X1140" s="2">
        <v>65</v>
      </c>
      <c r="Y1140" s="2" t="s">
        <v>35</v>
      </c>
      <c r="Z1140" s="2" t="b">
        <v>0</v>
      </c>
      <c r="AA1140" s="2" t="s">
        <v>35</v>
      </c>
      <c r="AB1140" s="2" t="s">
        <v>35</v>
      </c>
      <c r="AC1140" s="2" t="s">
        <v>35</v>
      </c>
      <c r="AD1140" s="2" t="s">
        <v>35</v>
      </c>
      <c r="AE1140" s="2" t="s">
        <v>2840</v>
      </c>
      <c r="AF1140" s="11">
        <v>44769.384722222225</v>
      </c>
      <c r="AG1140" s="53"/>
      <c r="AH1140" s="53" t="b">
        <f t="shared" si="52"/>
        <v>0</v>
      </c>
      <c r="AI1140" s="54" t="str" cm="1">
        <f t="array" ref="AI1140">TRANSPOSE(_xlfn._xlws.FILTER(images!L:L,images!F:F=Barrierenmessung!A1140, ""))</f>
        <v>https://captureandgo.cloudlab.zhaw.ch/uploads/image_8e5eef1485.jpg</v>
      </c>
      <c r="AJ1140" s="2"/>
      <c r="AK1140" s="2"/>
      <c r="AL1140" s="2"/>
      <c r="AM1140" s="2"/>
      <c r="AN1140" s="2"/>
    </row>
    <row r="1141" spans="1:40" ht="16" x14ac:dyDescent="0.2">
      <c r="A1141" s="2" t="s">
        <v>3668</v>
      </c>
      <c r="B1141" s="46">
        <v>1140</v>
      </c>
      <c r="C1141" s="2" t="b">
        <v>0</v>
      </c>
      <c r="D1141" s="2" t="b">
        <v>0</v>
      </c>
      <c r="E1141" s="2" t="b">
        <v>0</v>
      </c>
      <c r="F1141" s="2" t="b">
        <v>0</v>
      </c>
      <c r="G1141" s="2" t="s">
        <v>31</v>
      </c>
      <c r="H1141" s="2" t="s">
        <v>3669</v>
      </c>
      <c r="I1141" s="2" t="s">
        <v>3670</v>
      </c>
      <c r="J1141" s="2" t="s">
        <v>35</v>
      </c>
      <c r="K1141" s="2" t="s">
        <v>35</v>
      </c>
      <c r="L1141" s="2" t="s">
        <v>35</v>
      </c>
      <c r="M1141" s="2">
        <v>101</v>
      </c>
      <c r="N1141" s="2">
        <v>8</v>
      </c>
      <c r="O1141" s="11">
        <v>44769.445514525461</v>
      </c>
      <c r="P1141" s="11">
        <v>44769.44659699074</v>
      </c>
      <c r="Q1141" s="27">
        <f t="shared" si="51"/>
        <v>1.0824652781593613E-3</v>
      </c>
      <c r="R1141" s="65">
        <f t="shared" si="53"/>
        <v>1.8937268541776575E-3</v>
      </c>
      <c r="S1141" s="2">
        <v>0</v>
      </c>
      <c r="T1141" s="2" t="s">
        <v>54</v>
      </c>
      <c r="U1141" s="2" t="s">
        <v>55</v>
      </c>
      <c r="V1141" s="2" t="s">
        <v>38</v>
      </c>
      <c r="W1141" s="2" t="s">
        <v>35</v>
      </c>
      <c r="X1141" s="2" t="s">
        <v>35</v>
      </c>
      <c r="Y1141" s="2" t="s">
        <v>35</v>
      </c>
      <c r="Z1141" s="2" t="b">
        <v>0</v>
      </c>
      <c r="AA1141" s="2" t="s">
        <v>35</v>
      </c>
      <c r="AB1141" s="2" t="s">
        <v>35</v>
      </c>
      <c r="AC1141" s="2" t="s">
        <v>35</v>
      </c>
      <c r="AD1141" s="2" t="s">
        <v>35</v>
      </c>
      <c r="AE1141" s="2" t="s">
        <v>2840</v>
      </c>
      <c r="AF1141" s="11">
        <v>44769.384722222225</v>
      </c>
      <c r="AG1141" s="53"/>
      <c r="AH1141" s="53" t="b">
        <f t="shared" si="52"/>
        <v>0</v>
      </c>
      <c r="AI1141" s="54" t="str" cm="1">
        <f t="array" ref="AI1141">TRANSPOSE(_xlfn._xlws.FILTER(images!L:L,images!F:F=Barrierenmessung!A1141, ""))</f>
        <v>https://captureandgo.cloudlab.zhaw.ch/uploads/image_25918770b7.jpg</v>
      </c>
      <c r="AJ1141" s="2"/>
      <c r="AK1141" s="2"/>
      <c r="AL1141" s="2"/>
      <c r="AM1141" s="2"/>
      <c r="AN1141" s="2"/>
    </row>
    <row r="1142" spans="1:40" ht="16" x14ac:dyDescent="0.2">
      <c r="A1142" s="2" t="s">
        <v>3671</v>
      </c>
      <c r="B1142" s="46">
        <v>1141</v>
      </c>
      <c r="C1142" s="2" t="b">
        <v>0</v>
      </c>
      <c r="D1142" s="2" t="b">
        <v>0</v>
      </c>
      <c r="E1142" s="2" t="b">
        <v>0</v>
      </c>
      <c r="F1142" s="2" t="b">
        <v>0</v>
      </c>
      <c r="G1142" s="2" t="s">
        <v>31</v>
      </c>
      <c r="H1142" s="2" t="s">
        <v>3672</v>
      </c>
      <c r="I1142" s="2" t="s">
        <v>3673</v>
      </c>
      <c r="J1142" s="2" t="s">
        <v>3629</v>
      </c>
      <c r="K1142" s="2" t="s">
        <v>35</v>
      </c>
      <c r="L1142" s="2" t="s">
        <v>35</v>
      </c>
      <c r="M1142" s="2" t="s">
        <v>35</v>
      </c>
      <c r="N1142" s="2" t="s">
        <v>35</v>
      </c>
      <c r="O1142" s="11">
        <v>44769.447237870372</v>
      </c>
      <c r="P1142" s="11">
        <v>44769.447429571759</v>
      </c>
      <c r="Q1142" s="27">
        <f t="shared" si="51"/>
        <v>1.917013869388029E-4</v>
      </c>
      <c r="R1142" s="65">
        <f t="shared" si="53"/>
        <v>8.3258101949468255E-4</v>
      </c>
      <c r="S1142" s="2">
        <v>0</v>
      </c>
      <c r="T1142" s="2" t="s">
        <v>36</v>
      </c>
      <c r="U1142" s="2" t="s">
        <v>37</v>
      </c>
      <c r="V1142" s="2" t="s">
        <v>38</v>
      </c>
      <c r="W1142" s="2" t="s">
        <v>35</v>
      </c>
      <c r="X1142" s="2" t="s">
        <v>35</v>
      </c>
      <c r="Y1142" s="2" t="s">
        <v>35</v>
      </c>
      <c r="Z1142" s="2" t="b">
        <v>0</v>
      </c>
      <c r="AA1142" s="2" t="s">
        <v>35</v>
      </c>
      <c r="AB1142" s="2" t="s">
        <v>35</v>
      </c>
      <c r="AC1142" s="2">
        <v>4</v>
      </c>
      <c r="AD1142" s="2" t="s">
        <v>35</v>
      </c>
      <c r="AE1142" s="2" t="s">
        <v>2840</v>
      </c>
      <c r="AF1142" s="11">
        <v>44769.384722222225</v>
      </c>
      <c r="AG1142" s="53"/>
      <c r="AH1142" s="53" t="b">
        <f t="shared" si="52"/>
        <v>0</v>
      </c>
      <c r="AI1142" s="54" t="str" cm="1">
        <f t="array" ref="AI1142">TRANSPOSE(_xlfn._xlws.FILTER(images!L:L,images!F:F=Barrierenmessung!A1142, ""))</f>
        <v>https://captureandgo.cloudlab.zhaw.ch/uploads/image_4bfee8a67f.jpg</v>
      </c>
      <c r="AJ1142" s="2"/>
      <c r="AK1142" s="2"/>
      <c r="AL1142" s="2"/>
      <c r="AM1142" s="2"/>
      <c r="AN1142" s="2"/>
    </row>
    <row r="1143" spans="1:40" ht="16" x14ac:dyDescent="0.2">
      <c r="A1143" s="2" t="s">
        <v>3674</v>
      </c>
      <c r="B1143" s="46">
        <v>1142</v>
      </c>
      <c r="C1143" s="2" t="b">
        <v>0</v>
      </c>
      <c r="D1143" s="2" t="b">
        <v>0</v>
      </c>
      <c r="E1143" s="2" t="b">
        <v>0</v>
      </c>
      <c r="F1143" s="2" t="b">
        <v>0</v>
      </c>
      <c r="G1143" s="2" t="s">
        <v>31</v>
      </c>
      <c r="H1143" s="2" t="s">
        <v>3675</v>
      </c>
      <c r="I1143" s="2" t="s">
        <v>3676</v>
      </c>
      <c r="J1143" s="2" t="s">
        <v>3629</v>
      </c>
      <c r="K1143" s="2" t="s">
        <v>35</v>
      </c>
      <c r="L1143" s="2" t="s">
        <v>35</v>
      </c>
      <c r="M1143" s="2" t="s">
        <v>35</v>
      </c>
      <c r="N1143" s="2" t="s">
        <v>35</v>
      </c>
      <c r="O1143" s="11">
        <v>44769.44782361111</v>
      </c>
      <c r="P1143" s="11">
        <v>44769.448044097226</v>
      </c>
      <c r="Q1143" s="27">
        <f t="shared" si="51"/>
        <v>2.2048611572245136E-4</v>
      </c>
      <c r="R1143" s="65">
        <f t="shared" si="53"/>
        <v>6.1452546651707962E-4</v>
      </c>
      <c r="S1143" s="2">
        <v>0</v>
      </c>
      <c r="T1143" s="2" t="s">
        <v>36</v>
      </c>
      <c r="U1143" s="2" t="s">
        <v>37</v>
      </c>
      <c r="V1143" s="2" t="s">
        <v>38</v>
      </c>
      <c r="W1143" s="2" t="s">
        <v>35</v>
      </c>
      <c r="X1143" s="2" t="s">
        <v>35</v>
      </c>
      <c r="Y1143" s="2" t="s">
        <v>35</v>
      </c>
      <c r="Z1143" s="2" t="b">
        <v>0</v>
      </c>
      <c r="AA1143" s="2" t="s">
        <v>35</v>
      </c>
      <c r="AB1143" s="2" t="s">
        <v>35</v>
      </c>
      <c r="AC1143" s="2">
        <v>7</v>
      </c>
      <c r="AD1143" s="2" t="s">
        <v>35</v>
      </c>
      <c r="AE1143" s="2" t="s">
        <v>2840</v>
      </c>
      <c r="AF1143" s="11">
        <v>44769.384722222225</v>
      </c>
      <c r="AG1143" s="53"/>
      <c r="AH1143" s="53" t="b">
        <f t="shared" si="52"/>
        <v>0</v>
      </c>
      <c r="AI1143" s="54" t="str" cm="1">
        <f t="array" ref="AI1143">TRANSPOSE(_xlfn._xlws.FILTER(images!L:L,images!F:F=Barrierenmessung!A1143, ""))</f>
        <v>https://captureandgo.cloudlab.zhaw.ch/uploads/image_bd1aedd9a5.jpg</v>
      </c>
      <c r="AJ1143" s="2"/>
      <c r="AK1143" s="2"/>
      <c r="AL1143" s="2"/>
      <c r="AM1143" s="2"/>
      <c r="AN1143" s="2"/>
    </row>
    <row r="1144" spans="1:40" ht="16" x14ac:dyDescent="0.2">
      <c r="A1144" s="2" t="s">
        <v>3677</v>
      </c>
      <c r="B1144" s="46">
        <v>1143</v>
      </c>
      <c r="C1144" s="2" t="b">
        <v>0</v>
      </c>
      <c r="D1144" s="2" t="b">
        <v>0</v>
      </c>
      <c r="E1144" s="2" t="b">
        <v>0</v>
      </c>
      <c r="F1144" s="2" t="b">
        <v>0</v>
      </c>
      <c r="G1144" s="2" t="s">
        <v>31</v>
      </c>
      <c r="H1144" s="2" t="s">
        <v>3678</v>
      </c>
      <c r="I1144" s="2" t="s">
        <v>3679</v>
      </c>
      <c r="J1144" s="2" t="s">
        <v>3680</v>
      </c>
      <c r="K1144" s="2" t="s">
        <v>35</v>
      </c>
      <c r="L1144" s="2" t="s">
        <v>35</v>
      </c>
      <c r="M1144" s="2" t="s">
        <v>35</v>
      </c>
      <c r="N1144" s="2" t="s">
        <v>35</v>
      </c>
      <c r="O1144" s="11">
        <v>44769.449519525464</v>
      </c>
      <c r="P1144" s="11">
        <v>44769.449972743052</v>
      </c>
      <c r="Q1144" s="27">
        <f t="shared" si="51"/>
        <v>4.5321758807403967E-4</v>
      </c>
      <c r="R1144" s="65">
        <f t="shared" si="53"/>
        <v>1.9286458264105022E-3</v>
      </c>
      <c r="S1144" s="2">
        <v>0</v>
      </c>
      <c r="T1144" s="2" t="s">
        <v>36</v>
      </c>
      <c r="U1144" s="2" t="s">
        <v>37</v>
      </c>
      <c r="V1144" s="2" t="s">
        <v>38</v>
      </c>
      <c r="W1144" s="2" t="s">
        <v>35</v>
      </c>
      <c r="X1144" s="2" t="s">
        <v>35</v>
      </c>
      <c r="Y1144" s="2" t="s">
        <v>35</v>
      </c>
      <c r="Z1144" s="2" t="b">
        <v>0</v>
      </c>
      <c r="AA1144" s="2" t="s">
        <v>35</v>
      </c>
      <c r="AB1144" s="2" t="s">
        <v>35</v>
      </c>
      <c r="AC1144" s="2">
        <v>8</v>
      </c>
      <c r="AD1144" s="2" t="s">
        <v>35</v>
      </c>
      <c r="AE1144" s="2" t="s">
        <v>2840</v>
      </c>
      <c r="AF1144" s="11">
        <v>44769.384722222225</v>
      </c>
      <c r="AG1144" s="53"/>
      <c r="AH1144" s="53" t="b">
        <f t="shared" si="52"/>
        <v>0</v>
      </c>
      <c r="AI1144" s="54" t="str" cm="1">
        <f t="array" ref="AI1144">TRANSPOSE(_xlfn._xlws.FILTER(images!L:L,images!F:F=Barrierenmessung!A1144, ""))</f>
        <v>https://captureandgo.cloudlab.zhaw.ch/uploads/image_2778fde2ac.jpg</v>
      </c>
      <c r="AJ1144" s="2"/>
      <c r="AK1144" s="2"/>
      <c r="AL1144" s="2"/>
      <c r="AM1144" s="2"/>
      <c r="AN1144" s="2"/>
    </row>
    <row r="1145" spans="1:40" ht="16" x14ac:dyDescent="0.2">
      <c r="A1145" s="2" t="s">
        <v>3681</v>
      </c>
      <c r="B1145" s="46">
        <v>1144</v>
      </c>
      <c r="C1145" s="2" t="b">
        <v>0</v>
      </c>
      <c r="D1145" s="2" t="b">
        <v>0</v>
      </c>
      <c r="E1145" s="2" t="b">
        <v>0</v>
      </c>
      <c r="F1145" s="2" t="b">
        <v>0</v>
      </c>
      <c r="G1145" s="2" t="s">
        <v>31</v>
      </c>
      <c r="H1145" s="2" t="s">
        <v>3682</v>
      </c>
      <c r="I1145" s="2" t="s">
        <v>3683</v>
      </c>
      <c r="J1145" s="2" t="s">
        <v>3680</v>
      </c>
      <c r="K1145" s="2" t="s">
        <v>35</v>
      </c>
      <c r="L1145" s="2" t="s">
        <v>35</v>
      </c>
      <c r="M1145" s="2" t="s">
        <v>35</v>
      </c>
      <c r="N1145" s="2" t="s">
        <v>35</v>
      </c>
      <c r="O1145" s="11">
        <v>44769.450413993058</v>
      </c>
      <c r="P1145" s="11">
        <v>44769.45074010417</v>
      </c>
      <c r="Q1145" s="27">
        <f t="shared" si="51"/>
        <v>3.261111123720184E-4</v>
      </c>
      <c r="R1145" s="65">
        <f t="shared" si="53"/>
        <v>7.673611180507578E-4</v>
      </c>
      <c r="S1145" s="2">
        <v>0</v>
      </c>
      <c r="T1145" s="2" t="s">
        <v>36</v>
      </c>
      <c r="U1145" s="2" t="s">
        <v>37</v>
      </c>
      <c r="V1145" s="2" t="s">
        <v>38</v>
      </c>
      <c r="W1145" s="2" t="s">
        <v>35</v>
      </c>
      <c r="X1145" s="2" t="s">
        <v>35</v>
      </c>
      <c r="Y1145" s="2" t="s">
        <v>35</v>
      </c>
      <c r="Z1145" s="2" t="b">
        <v>0</v>
      </c>
      <c r="AA1145" s="2" t="s">
        <v>35</v>
      </c>
      <c r="AB1145" s="2" t="s">
        <v>35</v>
      </c>
      <c r="AC1145" s="2">
        <v>6</v>
      </c>
      <c r="AD1145" s="2">
        <v>2</v>
      </c>
      <c r="AE1145" s="2" t="s">
        <v>2840</v>
      </c>
      <c r="AF1145" s="11">
        <v>44769.384722222225</v>
      </c>
      <c r="AG1145" s="53"/>
      <c r="AH1145" s="53" t="b">
        <f t="shared" si="52"/>
        <v>0</v>
      </c>
      <c r="AI1145" s="54" t="str" cm="1">
        <f t="array" ref="AI1145">TRANSPOSE(_xlfn._xlws.FILTER(images!L:L,images!F:F=Barrierenmessung!A1145, ""))</f>
        <v>https://captureandgo.cloudlab.zhaw.ch/uploads/image_5de30e4815.jpg</v>
      </c>
      <c r="AJ1145" s="2"/>
      <c r="AK1145" s="2"/>
      <c r="AL1145" s="2"/>
      <c r="AM1145" s="2"/>
      <c r="AN1145" s="2"/>
    </row>
    <row r="1146" spans="1:40" ht="16" x14ac:dyDescent="0.2">
      <c r="A1146" s="2" t="s">
        <v>3684</v>
      </c>
      <c r="B1146" s="46">
        <v>1145</v>
      </c>
      <c r="C1146" s="2" t="b">
        <v>0</v>
      </c>
      <c r="D1146" s="2" t="b">
        <v>0</v>
      </c>
      <c r="E1146" s="2" t="b">
        <v>0</v>
      </c>
      <c r="F1146" s="2" t="b">
        <v>0</v>
      </c>
      <c r="G1146" s="2" t="s">
        <v>31</v>
      </c>
      <c r="H1146" s="2" t="s">
        <v>3685</v>
      </c>
      <c r="I1146" s="2" t="s">
        <v>3686</v>
      </c>
      <c r="J1146" s="2" t="s">
        <v>3213</v>
      </c>
      <c r="K1146" s="2" t="s">
        <v>35</v>
      </c>
      <c r="L1146" s="2" t="s">
        <v>35</v>
      </c>
      <c r="M1146" s="2" t="s">
        <v>35</v>
      </c>
      <c r="N1146" s="2" t="s">
        <v>35</v>
      </c>
      <c r="O1146" s="11">
        <v>44769.452104699078</v>
      </c>
      <c r="P1146" s="11">
        <v>44769.452548854169</v>
      </c>
      <c r="Q1146" s="27">
        <f t="shared" si="51"/>
        <v>4.4415509182726964E-4</v>
      </c>
      <c r="R1146" s="65">
        <f t="shared" si="53"/>
        <v>1.8087499993271194E-3</v>
      </c>
      <c r="S1146" s="2">
        <v>0</v>
      </c>
      <c r="T1146" s="2" t="s">
        <v>36</v>
      </c>
      <c r="U1146" s="2" t="s">
        <v>37</v>
      </c>
      <c r="V1146" s="2" t="s">
        <v>38</v>
      </c>
      <c r="W1146" s="2" t="s">
        <v>35</v>
      </c>
      <c r="X1146" s="2" t="s">
        <v>35</v>
      </c>
      <c r="Y1146" s="2" t="s">
        <v>35</v>
      </c>
      <c r="Z1146" s="2" t="b">
        <v>0</v>
      </c>
      <c r="AA1146" s="2" t="s">
        <v>35</v>
      </c>
      <c r="AB1146" s="2" t="s">
        <v>35</v>
      </c>
      <c r="AC1146" s="2">
        <v>3</v>
      </c>
      <c r="AD1146" s="2" t="s">
        <v>35</v>
      </c>
      <c r="AE1146" s="2" t="s">
        <v>2840</v>
      </c>
      <c r="AF1146" s="11">
        <v>44769.384722222225</v>
      </c>
      <c r="AG1146" s="53"/>
      <c r="AH1146" s="53" t="b">
        <f t="shared" si="52"/>
        <v>0</v>
      </c>
      <c r="AI1146" s="54" t="str" cm="1">
        <f t="array" ref="AI1146:AK1146">TRANSPOSE(_xlfn._xlws.FILTER(images!L:L,images!F:F=Barrierenmessung!A1146, ""))</f>
        <v>https://captureandgo.cloudlab.zhaw.ch/uploads/image_b302e353e2.jpg</v>
      </c>
      <c r="AJ1146" s="2" t="str">
        <v>https://captureandgo.cloudlab.zhaw.ch/uploads/image_c0721ccf77.jpg</v>
      </c>
      <c r="AK1146" s="2" t="str">
        <v>https://captureandgo.cloudlab.zhaw.ch/uploads/image_4b5bb666b6.jpg</v>
      </c>
      <c r="AL1146" s="2"/>
      <c r="AM1146" s="2"/>
      <c r="AN1146" s="2"/>
    </row>
    <row r="1147" spans="1:40" ht="16" x14ac:dyDescent="0.2">
      <c r="A1147" s="2" t="s">
        <v>3687</v>
      </c>
      <c r="B1147" s="46">
        <v>1146</v>
      </c>
      <c r="C1147" s="2" t="b">
        <v>0</v>
      </c>
      <c r="D1147" s="2" t="b">
        <v>0</v>
      </c>
      <c r="E1147" s="2" t="b">
        <v>0</v>
      </c>
      <c r="F1147" s="2" t="b">
        <v>0</v>
      </c>
      <c r="G1147" s="2" t="s">
        <v>31</v>
      </c>
      <c r="H1147" s="2" t="s">
        <v>3688</v>
      </c>
      <c r="I1147" s="2" t="s">
        <v>3689</v>
      </c>
      <c r="J1147" s="2" t="s">
        <v>3657</v>
      </c>
      <c r="K1147" s="2" t="s">
        <v>35</v>
      </c>
      <c r="L1147" s="2" t="s">
        <v>35</v>
      </c>
      <c r="M1147" s="2" t="s">
        <v>35</v>
      </c>
      <c r="N1147" s="2" t="s">
        <v>35</v>
      </c>
      <c r="O1147" s="11">
        <v>44769.452707847224</v>
      </c>
      <c r="P1147" s="11">
        <v>44769.452991655089</v>
      </c>
      <c r="Q1147" s="27">
        <f t="shared" si="51"/>
        <v>2.8380786534398794E-4</v>
      </c>
      <c r="R1147" s="65">
        <f t="shared" si="53"/>
        <v>4.4280091969994828E-4</v>
      </c>
      <c r="S1147" s="2">
        <v>0</v>
      </c>
      <c r="T1147" s="2" t="s">
        <v>36</v>
      </c>
      <c r="U1147" s="2" t="s">
        <v>37</v>
      </c>
      <c r="V1147" s="2" t="s">
        <v>38</v>
      </c>
      <c r="W1147" s="2" t="s">
        <v>35</v>
      </c>
      <c r="X1147" s="2" t="s">
        <v>35</v>
      </c>
      <c r="Y1147" s="2" t="s">
        <v>35</v>
      </c>
      <c r="Z1147" s="2" t="b">
        <v>0</v>
      </c>
      <c r="AA1147" s="2" t="s">
        <v>35</v>
      </c>
      <c r="AB1147" s="2" t="s">
        <v>35</v>
      </c>
      <c r="AC1147" s="2">
        <v>6</v>
      </c>
      <c r="AD1147" s="2">
        <v>2</v>
      </c>
      <c r="AE1147" s="2" t="s">
        <v>2840</v>
      </c>
      <c r="AF1147" s="11">
        <v>44769.384722222225</v>
      </c>
      <c r="AG1147" s="53"/>
      <c r="AH1147" s="53" t="b">
        <f t="shared" si="52"/>
        <v>0</v>
      </c>
      <c r="AI1147" s="54" t="str" cm="1">
        <f t="array" ref="AI1147">TRANSPOSE(_xlfn._xlws.FILTER(images!L:L,images!F:F=Barrierenmessung!A1147, ""))</f>
        <v>https://captureandgo.cloudlab.zhaw.ch/uploads/image_74acebb4da.jpg</v>
      </c>
      <c r="AJ1147" s="2"/>
      <c r="AK1147" s="2"/>
      <c r="AL1147" s="2"/>
      <c r="AM1147" s="2"/>
      <c r="AN1147" s="2"/>
    </row>
    <row r="1148" spans="1:40" ht="16" x14ac:dyDescent="0.2">
      <c r="A1148" s="2" t="s">
        <v>3690</v>
      </c>
      <c r="B1148" s="46">
        <v>1147</v>
      </c>
      <c r="C1148" s="2" t="b">
        <v>0</v>
      </c>
      <c r="D1148" s="2" t="b">
        <v>0</v>
      </c>
      <c r="E1148" s="2" t="b">
        <v>0</v>
      </c>
      <c r="F1148" s="2" t="b">
        <v>0</v>
      </c>
      <c r="G1148" s="2" t="s">
        <v>31</v>
      </c>
      <c r="H1148" s="2" t="s">
        <v>3691</v>
      </c>
      <c r="I1148" s="2" t="s">
        <v>3692</v>
      </c>
      <c r="J1148" s="2" t="s">
        <v>584</v>
      </c>
      <c r="K1148" s="2" t="s">
        <v>35</v>
      </c>
      <c r="L1148" s="2" t="s">
        <v>35</v>
      </c>
      <c r="M1148" s="2" t="s">
        <v>35</v>
      </c>
      <c r="N1148" s="2" t="s">
        <v>35</v>
      </c>
      <c r="O1148" s="11">
        <v>44769.454748784723</v>
      </c>
      <c r="P1148" s="11">
        <v>44769.454964143515</v>
      </c>
      <c r="Q1148" s="27">
        <f t="shared" si="51"/>
        <v>2.1535879204748198E-4</v>
      </c>
      <c r="R1148" s="65">
        <f t="shared" si="53"/>
        <v>1.9724884259630926E-3</v>
      </c>
      <c r="S1148" s="2">
        <v>0</v>
      </c>
      <c r="T1148" s="2" t="s">
        <v>36</v>
      </c>
      <c r="U1148" s="2" t="s">
        <v>37</v>
      </c>
      <c r="V1148" s="2" t="s">
        <v>38</v>
      </c>
      <c r="W1148" s="2" t="s">
        <v>35</v>
      </c>
      <c r="X1148" s="2" t="s">
        <v>35</v>
      </c>
      <c r="Y1148" s="2" t="s">
        <v>35</v>
      </c>
      <c r="Z1148" s="2" t="b">
        <v>0</v>
      </c>
      <c r="AA1148" s="2" t="s">
        <v>35</v>
      </c>
      <c r="AB1148" s="2" t="s">
        <v>35</v>
      </c>
      <c r="AC1148" s="2">
        <v>4</v>
      </c>
      <c r="AD1148" s="2" t="s">
        <v>35</v>
      </c>
      <c r="AE1148" s="2" t="s">
        <v>2840</v>
      </c>
      <c r="AF1148" s="11">
        <v>44769.384722222225</v>
      </c>
      <c r="AG1148" s="53"/>
      <c r="AH1148" s="53" t="b">
        <f t="shared" si="52"/>
        <v>0</v>
      </c>
      <c r="AI1148" s="54" t="str" cm="1">
        <f t="array" ref="AI1148">TRANSPOSE(_xlfn._xlws.FILTER(images!L:L,images!F:F=Barrierenmessung!A1148, ""))</f>
        <v>https://captureandgo.cloudlab.zhaw.ch/uploads/image_ffcb5e490c.jpg</v>
      </c>
      <c r="AJ1148" s="2"/>
      <c r="AK1148" s="2"/>
      <c r="AL1148" s="2"/>
      <c r="AM1148" s="2"/>
      <c r="AN1148" s="2"/>
    </row>
    <row r="1149" spans="1:40" ht="16" x14ac:dyDescent="0.2">
      <c r="A1149" s="2" t="s">
        <v>3693</v>
      </c>
      <c r="B1149" s="46">
        <v>1148</v>
      </c>
      <c r="C1149" s="2" t="b">
        <v>0</v>
      </c>
      <c r="D1149" s="2" t="b">
        <v>0</v>
      </c>
      <c r="E1149" s="2" t="b">
        <v>0</v>
      </c>
      <c r="F1149" s="2" t="b">
        <v>0</v>
      </c>
      <c r="G1149" s="2" t="s">
        <v>31</v>
      </c>
      <c r="H1149" s="2" t="s">
        <v>3694</v>
      </c>
      <c r="I1149" s="2" t="s">
        <v>3695</v>
      </c>
      <c r="J1149" s="2" t="s">
        <v>584</v>
      </c>
      <c r="K1149" s="2" t="s">
        <v>35</v>
      </c>
      <c r="L1149" s="2" t="s">
        <v>35</v>
      </c>
      <c r="M1149" s="2" t="s">
        <v>35</v>
      </c>
      <c r="N1149" s="2" t="s">
        <v>35</v>
      </c>
      <c r="O1149" s="11">
        <v>44769.455731655093</v>
      </c>
      <c r="P1149" s="11">
        <v>44769.455939201391</v>
      </c>
      <c r="Q1149" s="27">
        <f t="shared" si="51"/>
        <v>2.0754629804287106E-4</v>
      </c>
      <c r="R1149" s="65">
        <f t="shared" si="53"/>
        <v>9.7505787562113255E-4</v>
      </c>
      <c r="S1149" s="2">
        <v>0</v>
      </c>
      <c r="T1149" s="2" t="s">
        <v>36</v>
      </c>
      <c r="U1149" s="2" t="s">
        <v>37</v>
      </c>
      <c r="V1149" s="2" t="s">
        <v>38</v>
      </c>
      <c r="W1149" s="2" t="s">
        <v>35</v>
      </c>
      <c r="X1149" s="2" t="s">
        <v>35</v>
      </c>
      <c r="Y1149" s="2" t="s">
        <v>35</v>
      </c>
      <c r="Z1149" s="2" t="b">
        <v>0</v>
      </c>
      <c r="AA1149" s="2" t="s">
        <v>35</v>
      </c>
      <c r="AB1149" s="2" t="s">
        <v>35</v>
      </c>
      <c r="AC1149" s="2">
        <v>3</v>
      </c>
      <c r="AD1149" s="2" t="s">
        <v>35</v>
      </c>
      <c r="AE1149" s="2" t="s">
        <v>2840</v>
      </c>
      <c r="AF1149" s="11">
        <v>44769.384722222225</v>
      </c>
      <c r="AG1149" s="53"/>
      <c r="AH1149" s="53" t="b">
        <f t="shared" si="52"/>
        <v>0</v>
      </c>
      <c r="AI1149" s="54" t="str" cm="1">
        <f t="array" ref="AI1149">TRANSPOSE(_xlfn._xlws.FILTER(images!L:L,images!F:F=Barrierenmessung!A1149, ""))</f>
        <v>https://captureandgo.cloudlab.zhaw.ch/uploads/image_5667c3e143.jpg</v>
      </c>
      <c r="AJ1149" s="2"/>
      <c r="AK1149" s="2"/>
      <c r="AL1149" s="2"/>
      <c r="AM1149" s="2"/>
      <c r="AN1149" s="2"/>
    </row>
    <row r="1150" spans="1:40" ht="16" x14ac:dyDescent="0.2">
      <c r="A1150" s="2" t="s">
        <v>3696</v>
      </c>
      <c r="B1150" s="46">
        <v>1149</v>
      </c>
      <c r="C1150" s="2" t="b">
        <v>0</v>
      </c>
      <c r="D1150" s="2" t="b">
        <v>0</v>
      </c>
      <c r="E1150" s="2" t="b">
        <v>0</v>
      </c>
      <c r="F1150" s="2" t="b">
        <v>0</v>
      </c>
      <c r="G1150" s="2" t="s">
        <v>31</v>
      </c>
      <c r="H1150" s="2" t="s">
        <v>3697</v>
      </c>
      <c r="I1150" s="2" t="s">
        <v>3698</v>
      </c>
      <c r="J1150" s="2" t="s">
        <v>35</v>
      </c>
      <c r="K1150" s="2" t="s">
        <v>35</v>
      </c>
      <c r="L1150" s="2" t="s">
        <v>35</v>
      </c>
      <c r="M1150" s="2" t="s">
        <v>35</v>
      </c>
      <c r="N1150" s="2" t="s">
        <v>35</v>
      </c>
      <c r="O1150" s="11">
        <v>44769.457876597226</v>
      </c>
      <c r="P1150" s="11">
        <v>44769.458026909721</v>
      </c>
      <c r="Q1150" s="27">
        <f t="shared" si="51"/>
        <v>1.5031249495223165E-4</v>
      </c>
      <c r="R1150" s="65">
        <f t="shared" si="53"/>
        <v>2.0877083297818899E-3</v>
      </c>
      <c r="S1150" s="2">
        <v>0</v>
      </c>
      <c r="T1150" s="2" t="s">
        <v>36</v>
      </c>
      <c r="U1150" s="2" t="s">
        <v>37</v>
      </c>
      <c r="V1150" s="2" t="s">
        <v>38</v>
      </c>
      <c r="W1150" s="2" t="s">
        <v>35</v>
      </c>
      <c r="X1150" s="2" t="s">
        <v>35</v>
      </c>
      <c r="Y1150" s="2" t="s">
        <v>35</v>
      </c>
      <c r="Z1150" s="2" t="b">
        <v>0</v>
      </c>
      <c r="AA1150" s="2" t="s">
        <v>35</v>
      </c>
      <c r="AB1150" s="2" t="s">
        <v>35</v>
      </c>
      <c r="AC1150" s="2" t="s">
        <v>35</v>
      </c>
      <c r="AD1150" s="2">
        <v>3</v>
      </c>
      <c r="AE1150" s="2" t="s">
        <v>2840</v>
      </c>
      <c r="AF1150" s="11">
        <v>44769.384722222225</v>
      </c>
      <c r="AG1150" s="53"/>
      <c r="AH1150" s="53" t="b">
        <f t="shared" si="52"/>
        <v>0</v>
      </c>
      <c r="AI1150" s="54" t="str" cm="1">
        <f t="array" ref="AI1150">TRANSPOSE(_xlfn._xlws.FILTER(images!L:L,images!F:F=Barrierenmessung!A1150, ""))</f>
        <v>https://captureandgo.cloudlab.zhaw.ch/uploads/image_108d5056cc.jpg</v>
      </c>
      <c r="AJ1150" s="2"/>
      <c r="AK1150" s="2"/>
      <c r="AL1150" s="2"/>
      <c r="AM1150" s="2"/>
      <c r="AN1150" s="2"/>
    </row>
    <row r="1151" spans="1:40" ht="16" x14ac:dyDescent="0.2">
      <c r="A1151" s="2" t="s">
        <v>3699</v>
      </c>
      <c r="B1151" s="46">
        <v>1150</v>
      </c>
      <c r="C1151" s="2" t="b">
        <v>0</v>
      </c>
      <c r="D1151" s="2" t="b">
        <v>0</v>
      </c>
      <c r="E1151" s="2" t="b">
        <v>0</v>
      </c>
      <c r="F1151" s="2" t="b">
        <v>0</v>
      </c>
      <c r="G1151" s="2" t="s">
        <v>31</v>
      </c>
      <c r="H1151" s="2" t="s">
        <v>3700</v>
      </c>
      <c r="I1151" s="2" t="s">
        <v>3701</v>
      </c>
      <c r="J1151" s="2" t="s">
        <v>35</v>
      </c>
      <c r="K1151" s="2" t="s">
        <v>35</v>
      </c>
      <c r="L1151" s="2" t="s">
        <v>35</v>
      </c>
      <c r="M1151" s="2" t="s">
        <v>35</v>
      </c>
      <c r="N1151" s="2" t="s">
        <v>35</v>
      </c>
      <c r="O1151" s="11">
        <v>44769.458786354167</v>
      </c>
      <c r="P1151" s="11">
        <v>44769.459646886571</v>
      </c>
      <c r="Q1151" s="27">
        <f t="shared" si="51"/>
        <v>8.6053240374894813E-4</v>
      </c>
      <c r="R1151" s="65">
        <f t="shared" si="53"/>
        <v>1.6199768506339751E-3</v>
      </c>
      <c r="S1151" s="2">
        <v>0</v>
      </c>
      <c r="T1151" s="2" t="s">
        <v>36</v>
      </c>
      <c r="U1151" s="2" t="s">
        <v>37</v>
      </c>
      <c r="V1151" s="2" t="s">
        <v>38</v>
      </c>
      <c r="W1151" s="2" t="s">
        <v>35</v>
      </c>
      <c r="X1151" s="2" t="s">
        <v>35</v>
      </c>
      <c r="Y1151" s="2" t="s">
        <v>35</v>
      </c>
      <c r="Z1151" s="2" t="b">
        <v>0</v>
      </c>
      <c r="AA1151" s="2" t="s">
        <v>35</v>
      </c>
      <c r="AB1151" s="2" t="s">
        <v>35</v>
      </c>
      <c r="AC1151" s="2" t="s">
        <v>35</v>
      </c>
      <c r="AD1151" s="2">
        <v>3</v>
      </c>
      <c r="AE1151" s="2" t="s">
        <v>2840</v>
      </c>
      <c r="AF1151" s="11">
        <v>44769.384722222225</v>
      </c>
      <c r="AG1151" s="53"/>
      <c r="AH1151" s="53" t="b">
        <f t="shared" si="52"/>
        <v>0</v>
      </c>
      <c r="AI1151" s="54" t="str" cm="1">
        <f t="array" ref="AI1151">TRANSPOSE(_xlfn._xlws.FILTER(images!L:L,images!F:F=Barrierenmessung!A1151, ""))</f>
        <v>https://captureandgo.cloudlab.zhaw.ch/uploads/image_e2821d1d7f.jpg</v>
      </c>
      <c r="AJ1151" s="2"/>
      <c r="AK1151" s="2"/>
      <c r="AL1151" s="2"/>
      <c r="AM1151" s="2"/>
      <c r="AN1151" s="2"/>
    </row>
    <row r="1152" spans="1:40" ht="16" x14ac:dyDescent="0.2">
      <c r="A1152" s="2" t="s">
        <v>3702</v>
      </c>
      <c r="B1152" s="46">
        <v>1151</v>
      </c>
      <c r="C1152" s="2" t="b">
        <v>0</v>
      </c>
      <c r="D1152" s="2" t="b">
        <v>0</v>
      </c>
      <c r="E1152" s="2" t="b">
        <v>0</v>
      </c>
      <c r="F1152" s="2" t="b">
        <v>0</v>
      </c>
      <c r="G1152" s="2" t="s">
        <v>31</v>
      </c>
      <c r="H1152" s="2" t="s">
        <v>3703</v>
      </c>
      <c r="I1152" s="2" t="s">
        <v>3704</v>
      </c>
      <c r="J1152" s="2" t="s">
        <v>35</v>
      </c>
      <c r="K1152" s="2" t="s">
        <v>35</v>
      </c>
      <c r="L1152" s="2" t="s">
        <v>35</v>
      </c>
      <c r="M1152" s="2" t="s">
        <v>35</v>
      </c>
      <c r="N1152" s="2" t="s">
        <v>35</v>
      </c>
      <c r="O1152" s="11">
        <v>44769.459994861114</v>
      </c>
      <c r="P1152" s="11">
        <v>44769.46009079861</v>
      </c>
      <c r="Q1152" s="27">
        <f t="shared" si="51"/>
        <v>9.5937495643738657E-5</v>
      </c>
      <c r="R1152" s="65">
        <f t="shared" si="53"/>
        <v>4.4391203846316785E-4</v>
      </c>
      <c r="S1152" s="2">
        <v>0</v>
      </c>
      <c r="T1152" s="2" t="s">
        <v>36</v>
      </c>
      <c r="U1152" s="2" t="s">
        <v>37</v>
      </c>
      <c r="V1152" s="2" t="s">
        <v>38</v>
      </c>
      <c r="W1152" s="2" t="s">
        <v>35</v>
      </c>
      <c r="X1152" s="2" t="s">
        <v>35</v>
      </c>
      <c r="Y1152" s="2" t="s">
        <v>35</v>
      </c>
      <c r="Z1152" s="2" t="b">
        <v>0</v>
      </c>
      <c r="AA1152" s="2" t="s">
        <v>35</v>
      </c>
      <c r="AB1152" s="2" t="s">
        <v>35</v>
      </c>
      <c r="AC1152" s="2" t="s">
        <v>35</v>
      </c>
      <c r="AD1152" s="2">
        <v>2</v>
      </c>
      <c r="AE1152" s="2" t="s">
        <v>2840</v>
      </c>
      <c r="AF1152" s="11">
        <v>44769.384722222225</v>
      </c>
      <c r="AG1152" s="53"/>
      <c r="AH1152" s="53" t="b">
        <f t="shared" si="52"/>
        <v>0</v>
      </c>
      <c r="AI1152" s="54" t="str" cm="1">
        <f t="array" ref="AI1152">TRANSPOSE(_xlfn._xlws.FILTER(images!L:L,images!F:F=Barrierenmessung!A1152, ""))</f>
        <v>https://captureandgo.cloudlab.zhaw.ch/uploads/image_f12446d66d.jpg</v>
      </c>
      <c r="AJ1152" s="2"/>
      <c r="AK1152" s="2"/>
      <c r="AL1152" s="2"/>
      <c r="AM1152" s="2"/>
      <c r="AN1152" s="2"/>
    </row>
    <row r="1153" spans="1:40" ht="16" x14ac:dyDescent="0.2">
      <c r="A1153" s="2" t="s">
        <v>3705</v>
      </c>
      <c r="B1153" s="46">
        <v>1152</v>
      </c>
      <c r="C1153" s="2" t="b">
        <v>0</v>
      </c>
      <c r="D1153" s="2" t="b">
        <v>0</v>
      </c>
      <c r="E1153" s="2" t="b">
        <v>0</v>
      </c>
      <c r="F1153" s="2" t="b">
        <v>0</v>
      </c>
      <c r="G1153" s="2" t="s">
        <v>31</v>
      </c>
      <c r="H1153" s="2" t="s">
        <v>3706</v>
      </c>
      <c r="I1153" s="2" t="s">
        <v>3707</v>
      </c>
      <c r="J1153" s="2" t="s">
        <v>35</v>
      </c>
      <c r="K1153" s="2" t="s">
        <v>35</v>
      </c>
      <c r="L1153" s="2" t="s">
        <v>35</v>
      </c>
      <c r="M1153" s="2" t="s">
        <v>35</v>
      </c>
      <c r="N1153" s="2" t="s">
        <v>35</v>
      </c>
      <c r="O1153" s="11">
        <v>44769.460586979163</v>
      </c>
      <c r="P1153" s="11">
        <v>44769.460821932873</v>
      </c>
      <c r="Q1153" s="27">
        <f t="shared" si="51"/>
        <v>2.3495370987802744E-4</v>
      </c>
      <c r="R1153" s="65">
        <f t="shared" si="53"/>
        <v>7.3113426333293319E-4</v>
      </c>
      <c r="S1153" s="2">
        <v>0</v>
      </c>
      <c r="T1153" s="2" t="s">
        <v>36</v>
      </c>
      <c r="U1153" s="2" t="s">
        <v>37</v>
      </c>
      <c r="V1153" s="2" t="s">
        <v>38</v>
      </c>
      <c r="W1153" s="2" t="s">
        <v>35</v>
      </c>
      <c r="X1153" s="2" t="s">
        <v>35</v>
      </c>
      <c r="Y1153" s="2" t="s">
        <v>35</v>
      </c>
      <c r="Z1153" s="2" t="b">
        <v>0</v>
      </c>
      <c r="AA1153" s="2" t="s">
        <v>35</v>
      </c>
      <c r="AB1153" s="2" t="s">
        <v>35</v>
      </c>
      <c r="AC1153" s="2" t="s">
        <v>35</v>
      </c>
      <c r="AD1153" s="2">
        <v>2</v>
      </c>
      <c r="AE1153" s="2" t="s">
        <v>2840</v>
      </c>
      <c r="AF1153" s="11">
        <v>44769.384722222225</v>
      </c>
      <c r="AG1153" s="53"/>
      <c r="AH1153" s="53" t="b">
        <f t="shared" si="52"/>
        <v>0</v>
      </c>
      <c r="AI1153" s="54" t="str" cm="1">
        <f t="array" ref="AI1153">TRANSPOSE(_xlfn._xlws.FILTER(images!L:L,images!F:F=Barrierenmessung!A1153, ""))</f>
        <v>https://captureandgo.cloudlab.zhaw.ch/uploads/image_ee936bfaf4.jpg</v>
      </c>
      <c r="AJ1153" s="2"/>
      <c r="AK1153" s="2"/>
      <c r="AL1153" s="2"/>
      <c r="AM1153" s="2"/>
      <c r="AN1153" s="2"/>
    </row>
    <row r="1154" spans="1:40" ht="16" x14ac:dyDescent="0.2">
      <c r="A1154" s="2" t="s">
        <v>3708</v>
      </c>
      <c r="B1154" s="46">
        <v>1153</v>
      </c>
      <c r="C1154" s="2" t="b">
        <v>0</v>
      </c>
      <c r="D1154" s="2" t="b">
        <v>0</v>
      </c>
      <c r="E1154" s="2" t="b">
        <v>0</v>
      </c>
      <c r="F1154" s="2" t="b">
        <v>0</v>
      </c>
      <c r="G1154" s="2" t="s">
        <v>31</v>
      </c>
      <c r="H1154" s="2" t="s">
        <v>3709</v>
      </c>
      <c r="I1154" s="2" t="s">
        <v>3710</v>
      </c>
      <c r="J1154" s="2" t="s">
        <v>35</v>
      </c>
      <c r="K1154" s="2" t="s">
        <v>35</v>
      </c>
      <c r="L1154" s="2" t="s">
        <v>35</v>
      </c>
      <c r="M1154" s="2" t="s">
        <v>35</v>
      </c>
      <c r="N1154" s="2" t="s">
        <v>35</v>
      </c>
      <c r="O1154" s="11">
        <v>44769.461184016203</v>
      </c>
      <c r="P1154" s="11">
        <v>44769.461447094909</v>
      </c>
      <c r="Q1154" s="27">
        <f t="shared" ref="Q1154:Q1168" si="54">P1154-O1154</f>
        <v>2.6307870575692505E-4</v>
      </c>
      <c r="R1154" s="65">
        <f t="shared" si="53"/>
        <v>6.2516203615814447E-4</v>
      </c>
      <c r="S1154" s="2">
        <v>0</v>
      </c>
      <c r="T1154" s="2" t="s">
        <v>109</v>
      </c>
      <c r="U1154" s="2" t="s">
        <v>110</v>
      </c>
      <c r="V1154" s="2" t="s">
        <v>38</v>
      </c>
      <c r="W1154" s="2" t="s">
        <v>35</v>
      </c>
      <c r="X1154" s="2">
        <v>112</v>
      </c>
      <c r="Y1154" s="2" t="s">
        <v>35</v>
      </c>
      <c r="Z1154" s="2" t="b">
        <v>0</v>
      </c>
      <c r="AA1154" s="2" t="s">
        <v>35</v>
      </c>
      <c r="AB1154" s="2" t="s">
        <v>35</v>
      </c>
      <c r="AC1154" s="2" t="s">
        <v>35</v>
      </c>
      <c r="AD1154" s="2" t="s">
        <v>35</v>
      </c>
      <c r="AE1154" s="2" t="s">
        <v>2840</v>
      </c>
      <c r="AF1154" s="11">
        <v>44769.384722222225</v>
      </c>
      <c r="AG1154" s="53"/>
      <c r="AH1154" s="53" t="b">
        <f t="shared" si="52"/>
        <v>0</v>
      </c>
      <c r="AI1154" s="54" t="str" cm="1">
        <f t="array" ref="AI1154">TRANSPOSE(_xlfn._xlws.FILTER(images!L:L,images!F:F=Barrierenmessung!A1154, ""))</f>
        <v>https://captureandgo.cloudlab.zhaw.ch/uploads/image_ba3e61f3fe.jpg</v>
      </c>
      <c r="AJ1154" s="2"/>
      <c r="AK1154" s="2"/>
      <c r="AL1154" s="2"/>
      <c r="AM1154" s="2"/>
      <c r="AN1154" s="2"/>
    </row>
    <row r="1155" spans="1:40" ht="16" x14ac:dyDescent="0.2">
      <c r="A1155" s="2" t="s">
        <v>3711</v>
      </c>
      <c r="B1155" s="46">
        <v>1154</v>
      </c>
      <c r="C1155" s="2" t="b">
        <v>0</v>
      </c>
      <c r="D1155" s="2" t="b">
        <v>0</v>
      </c>
      <c r="E1155" s="2" t="b">
        <v>0</v>
      </c>
      <c r="F1155" s="2" t="b">
        <v>0</v>
      </c>
      <c r="G1155" s="2" t="s">
        <v>31</v>
      </c>
      <c r="H1155" s="2" t="s">
        <v>3712</v>
      </c>
      <c r="I1155" s="2" t="s">
        <v>3713</v>
      </c>
      <c r="J1155" s="2" t="s">
        <v>1177</v>
      </c>
      <c r="K1155" s="2" t="s">
        <v>35</v>
      </c>
      <c r="L1155" s="2" t="s">
        <v>35</v>
      </c>
      <c r="M1155" s="2" t="s">
        <v>35</v>
      </c>
      <c r="N1155" s="2" t="s">
        <v>35</v>
      </c>
      <c r="O1155" s="11">
        <v>44769.461709722222</v>
      </c>
      <c r="P1155" s="11">
        <v>44769.462220578702</v>
      </c>
      <c r="Q1155" s="27">
        <f t="shared" si="54"/>
        <v>5.1085648010484874E-4</v>
      </c>
      <c r="R1155" s="65">
        <f t="shared" si="53"/>
        <v>7.7348379272734746E-4</v>
      </c>
      <c r="S1155" s="2">
        <v>0</v>
      </c>
      <c r="T1155" s="2" t="s">
        <v>36</v>
      </c>
      <c r="U1155" s="2" t="s">
        <v>37</v>
      </c>
      <c r="V1155" s="2" t="s">
        <v>38</v>
      </c>
      <c r="W1155" s="2" t="s">
        <v>35</v>
      </c>
      <c r="X1155" s="2" t="s">
        <v>35</v>
      </c>
      <c r="Y1155" s="2" t="s">
        <v>35</v>
      </c>
      <c r="Z1155" s="2" t="b">
        <v>0</v>
      </c>
      <c r="AA1155" s="2" t="s">
        <v>35</v>
      </c>
      <c r="AB1155" s="2" t="s">
        <v>35</v>
      </c>
      <c r="AC1155" s="2">
        <v>7</v>
      </c>
      <c r="AD1155" s="2">
        <v>3</v>
      </c>
      <c r="AE1155" s="2" t="s">
        <v>2840</v>
      </c>
      <c r="AF1155" s="11">
        <v>44769.384722222225</v>
      </c>
      <c r="AG1155" s="53"/>
      <c r="AH1155" s="53" t="b">
        <f t="shared" ref="AH1155:AH1168" si="55">IF(Q1155&lt;TIME(0,0,1),"TRUE")</f>
        <v>0</v>
      </c>
      <c r="AI1155" s="54" t="str" cm="1">
        <f t="array" ref="AI1155">TRANSPOSE(_xlfn._xlws.FILTER(images!L:L,images!F:F=Barrierenmessung!A1155, ""))</f>
        <v>https://captureandgo.cloudlab.zhaw.ch/uploads/image_8d8fbb9637.jpg</v>
      </c>
      <c r="AJ1155" s="2"/>
      <c r="AK1155" s="2"/>
      <c r="AL1155" s="2"/>
      <c r="AM1155" s="2"/>
      <c r="AN1155" s="2"/>
    </row>
    <row r="1156" spans="1:40" ht="16" x14ac:dyDescent="0.2">
      <c r="A1156" s="2" t="s">
        <v>3714</v>
      </c>
      <c r="B1156" s="46">
        <v>1155</v>
      </c>
      <c r="C1156" s="2" t="b">
        <v>0</v>
      </c>
      <c r="D1156" s="2" t="b">
        <v>0</v>
      </c>
      <c r="E1156" s="2" t="b">
        <v>0</v>
      </c>
      <c r="F1156" s="2" t="b">
        <v>0</v>
      </c>
      <c r="G1156" s="2" t="s">
        <v>31</v>
      </c>
      <c r="H1156" s="2" t="s">
        <v>3715</v>
      </c>
      <c r="I1156" s="2" t="s">
        <v>3716</v>
      </c>
      <c r="J1156" s="2" t="s">
        <v>1177</v>
      </c>
      <c r="K1156" s="2" t="s">
        <v>35</v>
      </c>
      <c r="L1156" s="2" t="s">
        <v>35</v>
      </c>
      <c r="M1156" s="2" t="s">
        <v>35</v>
      </c>
      <c r="N1156" s="2" t="s">
        <v>35</v>
      </c>
      <c r="O1156" s="11">
        <v>44769.462813009261</v>
      </c>
      <c r="P1156" s="11">
        <v>44769.463025069446</v>
      </c>
      <c r="Q1156" s="27">
        <f t="shared" si="54"/>
        <v>2.1206018573138863E-4</v>
      </c>
      <c r="R1156" s="65">
        <f t="shared" si="53"/>
        <v>8.0449074448551983E-4</v>
      </c>
      <c r="S1156" s="2">
        <v>0</v>
      </c>
      <c r="T1156" s="2" t="s">
        <v>36</v>
      </c>
      <c r="U1156" s="2" t="s">
        <v>37</v>
      </c>
      <c r="V1156" s="2" t="s">
        <v>38</v>
      </c>
      <c r="W1156" s="2" t="s">
        <v>35</v>
      </c>
      <c r="X1156" s="2" t="s">
        <v>35</v>
      </c>
      <c r="Y1156" s="2" t="s">
        <v>35</v>
      </c>
      <c r="Z1156" s="2" t="b">
        <v>0</v>
      </c>
      <c r="AA1156" s="2" t="s">
        <v>35</v>
      </c>
      <c r="AB1156" s="2" t="s">
        <v>35</v>
      </c>
      <c r="AC1156" s="2">
        <v>4</v>
      </c>
      <c r="AD1156" s="2" t="s">
        <v>35</v>
      </c>
      <c r="AE1156" s="2" t="s">
        <v>2840</v>
      </c>
      <c r="AF1156" s="11">
        <v>44769.384722222225</v>
      </c>
      <c r="AG1156" s="53"/>
      <c r="AH1156" s="53" t="b">
        <f t="shared" si="55"/>
        <v>0</v>
      </c>
      <c r="AI1156" s="54" t="str" cm="1">
        <f t="array" ref="AI1156">TRANSPOSE(_xlfn._xlws.FILTER(images!L:L,images!F:F=Barrierenmessung!A1156, ""))</f>
        <v>https://captureandgo.cloudlab.zhaw.ch/uploads/image_a0c47ca414.jpg</v>
      </c>
      <c r="AJ1156" s="2"/>
      <c r="AK1156" s="2"/>
      <c r="AL1156" s="2"/>
      <c r="AM1156" s="2"/>
      <c r="AN1156" s="2"/>
    </row>
    <row r="1157" spans="1:40" ht="16" x14ac:dyDescent="0.2">
      <c r="A1157" s="2" t="s">
        <v>3717</v>
      </c>
      <c r="B1157" s="46">
        <v>1156</v>
      </c>
      <c r="C1157" s="2" t="b">
        <v>0</v>
      </c>
      <c r="D1157" s="2" t="b">
        <v>0</v>
      </c>
      <c r="E1157" s="2" t="b">
        <v>0</v>
      </c>
      <c r="F1157" s="2" t="b">
        <v>0</v>
      </c>
      <c r="G1157" s="2" t="s">
        <v>31</v>
      </c>
      <c r="H1157" s="2" t="s">
        <v>3718</v>
      </c>
      <c r="I1157" s="2" t="s">
        <v>3719</v>
      </c>
      <c r="J1157" s="2" t="s">
        <v>35</v>
      </c>
      <c r="K1157" s="2" t="s">
        <v>35</v>
      </c>
      <c r="L1157" s="2" t="s">
        <v>35</v>
      </c>
      <c r="M1157" s="2" t="s">
        <v>35</v>
      </c>
      <c r="N1157" s="2" t="s">
        <v>35</v>
      </c>
      <c r="O1157" s="11">
        <v>44769.463447592592</v>
      </c>
      <c r="P1157" s="11">
        <v>44769.463786574073</v>
      </c>
      <c r="Q1157" s="27">
        <f t="shared" si="54"/>
        <v>3.3898148103617132E-4</v>
      </c>
      <c r="R1157" s="65">
        <f t="shared" ref="R1157:R1168" si="56">MIN(P1157-P1156, P1157-AF1157)</f>
        <v>7.6150462700752541E-4</v>
      </c>
      <c r="S1157" s="2">
        <v>0</v>
      </c>
      <c r="T1157" s="2" t="s">
        <v>109</v>
      </c>
      <c r="U1157" s="2" t="s">
        <v>110</v>
      </c>
      <c r="V1157" s="2" t="s">
        <v>38</v>
      </c>
      <c r="W1157" s="2" t="s">
        <v>35</v>
      </c>
      <c r="X1157" s="2">
        <v>96</v>
      </c>
      <c r="Y1157" s="2" t="s">
        <v>35</v>
      </c>
      <c r="Z1157" s="2" t="b">
        <v>0</v>
      </c>
      <c r="AA1157" s="2" t="s">
        <v>35</v>
      </c>
      <c r="AB1157" s="2" t="s">
        <v>35</v>
      </c>
      <c r="AC1157" s="2" t="s">
        <v>35</v>
      </c>
      <c r="AD1157" s="2" t="s">
        <v>35</v>
      </c>
      <c r="AE1157" s="2" t="s">
        <v>2840</v>
      </c>
      <c r="AF1157" s="11">
        <v>44769.384722222225</v>
      </c>
      <c r="AG1157" s="53"/>
      <c r="AH1157" s="53" t="b">
        <f t="shared" si="55"/>
        <v>0</v>
      </c>
      <c r="AI1157" s="54" t="str" cm="1">
        <f t="array" ref="AI1157">TRANSPOSE(_xlfn._xlws.FILTER(images!L:L,images!F:F=Barrierenmessung!A1157, ""))</f>
        <v>https://captureandgo.cloudlab.zhaw.ch/uploads/image_b2ee924824.jpg</v>
      </c>
      <c r="AJ1157" s="2"/>
      <c r="AK1157" s="2"/>
      <c r="AL1157" s="2"/>
      <c r="AM1157" s="2"/>
      <c r="AN1157" s="2"/>
    </row>
    <row r="1158" spans="1:40" ht="16" x14ac:dyDescent="0.2">
      <c r="A1158" s="2" t="s">
        <v>3720</v>
      </c>
      <c r="B1158" s="46">
        <v>1157</v>
      </c>
      <c r="C1158" s="2" t="b">
        <v>0</v>
      </c>
      <c r="D1158" s="2" t="b">
        <v>0</v>
      </c>
      <c r="E1158" s="2" t="b">
        <v>0</v>
      </c>
      <c r="F1158" s="2" t="b">
        <v>0</v>
      </c>
      <c r="G1158" s="2" t="s">
        <v>31</v>
      </c>
      <c r="H1158" s="2" t="s">
        <v>3721</v>
      </c>
      <c r="I1158" s="2" t="s">
        <v>3719</v>
      </c>
      <c r="J1158" s="2" t="s">
        <v>3657</v>
      </c>
      <c r="K1158" s="2" t="s">
        <v>35</v>
      </c>
      <c r="L1158" s="2" t="s">
        <v>35</v>
      </c>
      <c r="M1158" s="2" t="s">
        <v>35</v>
      </c>
      <c r="N1158" s="2" t="s">
        <v>35</v>
      </c>
      <c r="O1158" s="11">
        <v>44769.463815625</v>
      </c>
      <c r="P1158" s="11">
        <v>44769.464183622687</v>
      </c>
      <c r="Q1158" s="27">
        <f t="shared" si="54"/>
        <v>3.6799768713535741E-4</v>
      </c>
      <c r="R1158" s="65">
        <f t="shared" si="56"/>
        <v>3.9704861410427839E-4</v>
      </c>
      <c r="S1158" s="2">
        <v>0</v>
      </c>
      <c r="T1158" s="2" t="s">
        <v>36</v>
      </c>
      <c r="U1158" s="2" t="s">
        <v>37</v>
      </c>
      <c r="V1158" s="2" t="s">
        <v>38</v>
      </c>
      <c r="W1158" s="2" t="s">
        <v>35</v>
      </c>
      <c r="X1158" s="2" t="s">
        <v>35</v>
      </c>
      <c r="Y1158" s="2" t="s">
        <v>35</v>
      </c>
      <c r="Z1158" s="2" t="b">
        <v>0</v>
      </c>
      <c r="AA1158" s="2" t="s">
        <v>3722</v>
      </c>
      <c r="AB1158" s="2" t="s">
        <v>35</v>
      </c>
      <c r="AC1158" s="2">
        <v>5</v>
      </c>
      <c r="AD1158" s="2" t="s">
        <v>35</v>
      </c>
      <c r="AE1158" s="2" t="s">
        <v>2840</v>
      </c>
      <c r="AF1158" s="11">
        <v>44769.384722222225</v>
      </c>
      <c r="AG1158" s="53"/>
      <c r="AH1158" s="53" t="b">
        <f t="shared" si="55"/>
        <v>0</v>
      </c>
      <c r="AI1158" s="54" t="str" cm="1">
        <f t="array" ref="AI1158">TRANSPOSE(_xlfn._xlws.FILTER(images!L:L,images!F:F=Barrierenmessung!A1158, ""))</f>
        <v>https://captureandgo.cloudlab.zhaw.ch/uploads/image_9ba216fb37.jpg</v>
      </c>
      <c r="AJ1158" s="2"/>
      <c r="AK1158" s="2"/>
      <c r="AL1158" s="2"/>
      <c r="AM1158" s="2"/>
      <c r="AN1158" s="2"/>
    </row>
    <row r="1159" spans="1:40" ht="16" x14ac:dyDescent="0.2">
      <c r="A1159" s="2" t="s">
        <v>3723</v>
      </c>
      <c r="B1159" s="46">
        <v>1158</v>
      </c>
      <c r="C1159" s="2" t="b">
        <v>0</v>
      </c>
      <c r="D1159" s="2" t="b">
        <v>0</v>
      </c>
      <c r="E1159" s="2" t="b">
        <v>0</v>
      </c>
      <c r="F1159" s="2" t="b">
        <v>0</v>
      </c>
      <c r="G1159" s="2" t="s">
        <v>31</v>
      </c>
      <c r="H1159" s="2" t="s">
        <v>3724</v>
      </c>
      <c r="I1159" s="2" t="s">
        <v>3725</v>
      </c>
      <c r="J1159" s="2" t="s">
        <v>35</v>
      </c>
      <c r="K1159" s="2" t="s">
        <v>35</v>
      </c>
      <c r="L1159" s="2" t="s">
        <v>35</v>
      </c>
      <c r="M1159" s="2" t="s">
        <v>35</v>
      </c>
      <c r="N1159" s="2" t="s">
        <v>35</v>
      </c>
      <c r="O1159" s="11">
        <v>44769.464205358796</v>
      </c>
      <c r="P1159" s="11">
        <v>44769.464493402775</v>
      </c>
      <c r="Q1159" s="27">
        <f t="shared" si="54"/>
        <v>2.8804397879866883E-4</v>
      </c>
      <c r="R1159" s="65">
        <f t="shared" si="56"/>
        <v>3.0978008726378903E-4</v>
      </c>
      <c r="S1159" s="2">
        <v>0</v>
      </c>
      <c r="T1159" s="2" t="s">
        <v>36</v>
      </c>
      <c r="U1159" s="2" t="s">
        <v>37</v>
      </c>
      <c r="V1159" s="2" t="s">
        <v>38</v>
      </c>
      <c r="W1159" s="2" t="s">
        <v>35</v>
      </c>
      <c r="X1159" s="2" t="s">
        <v>35</v>
      </c>
      <c r="Y1159" s="2" t="s">
        <v>35</v>
      </c>
      <c r="Z1159" s="2" t="b">
        <v>0</v>
      </c>
      <c r="AA1159" s="2" t="s">
        <v>2284</v>
      </c>
      <c r="AB1159" s="2" t="s">
        <v>35</v>
      </c>
      <c r="AC1159" s="2" t="s">
        <v>35</v>
      </c>
      <c r="AD1159" s="2" t="s">
        <v>35</v>
      </c>
      <c r="AE1159" s="2" t="s">
        <v>2840</v>
      </c>
      <c r="AF1159" s="11">
        <v>44769.384722222225</v>
      </c>
      <c r="AG1159" s="53"/>
      <c r="AH1159" s="53" t="b">
        <f t="shared" si="55"/>
        <v>0</v>
      </c>
      <c r="AI1159" s="54" t="str" cm="1">
        <f t="array" ref="AI1159">TRANSPOSE(_xlfn._xlws.FILTER(images!L:L,images!F:F=Barrierenmessung!A1159, ""))</f>
        <v>https://captureandgo.cloudlab.zhaw.ch/uploads/image_489fa57636.jpg</v>
      </c>
      <c r="AJ1159" s="2"/>
      <c r="AK1159" s="2"/>
      <c r="AL1159" s="2"/>
      <c r="AM1159" s="2"/>
      <c r="AN1159" s="2"/>
    </row>
    <row r="1160" spans="1:40" ht="16" x14ac:dyDescent="0.2">
      <c r="A1160" s="2" t="s">
        <v>3726</v>
      </c>
      <c r="B1160" s="46">
        <v>1159</v>
      </c>
      <c r="C1160" s="2" t="b">
        <v>0</v>
      </c>
      <c r="D1160" s="2" t="b">
        <v>0</v>
      </c>
      <c r="E1160" s="2" t="b">
        <v>0</v>
      </c>
      <c r="F1160" s="2" t="b">
        <v>0</v>
      </c>
      <c r="G1160" s="2" t="s">
        <v>31</v>
      </c>
      <c r="H1160" s="2" t="s">
        <v>3727</v>
      </c>
      <c r="I1160" s="2" t="s">
        <v>3728</v>
      </c>
      <c r="J1160" s="2" t="s">
        <v>35</v>
      </c>
      <c r="K1160" s="2" t="s">
        <v>35</v>
      </c>
      <c r="L1160" s="2" t="s">
        <v>35</v>
      </c>
      <c r="M1160" s="2" t="s">
        <v>35</v>
      </c>
      <c r="N1160" s="2" t="s">
        <v>35</v>
      </c>
      <c r="O1160" s="11">
        <v>44769.464740405092</v>
      </c>
      <c r="P1160" s="11">
        <v>44769.464934814816</v>
      </c>
      <c r="Q1160" s="27">
        <f t="shared" si="54"/>
        <v>1.9440972391748801E-4</v>
      </c>
      <c r="R1160" s="65">
        <f t="shared" si="56"/>
        <v>4.4141204125480726E-4</v>
      </c>
      <c r="S1160" s="2">
        <v>0</v>
      </c>
      <c r="T1160" s="2" t="s">
        <v>36</v>
      </c>
      <c r="U1160" s="2" t="s">
        <v>37</v>
      </c>
      <c r="V1160" s="2" t="s">
        <v>38</v>
      </c>
      <c r="W1160" s="2" t="s">
        <v>35</v>
      </c>
      <c r="X1160" s="2" t="s">
        <v>35</v>
      </c>
      <c r="Y1160" s="2" t="s">
        <v>35</v>
      </c>
      <c r="Z1160" s="2" t="b">
        <v>0</v>
      </c>
      <c r="AA1160" s="2" t="s">
        <v>2284</v>
      </c>
      <c r="AB1160" s="2" t="s">
        <v>35</v>
      </c>
      <c r="AC1160" s="2" t="s">
        <v>35</v>
      </c>
      <c r="AD1160" s="2" t="s">
        <v>35</v>
      </c>
      <c r="AE1160" s="2" t="s">
        <v>2840</v>
      </c>
      <c r="AF1160" s="11">
        <v>44769.384722222225</v>
      </c>
      <c r="AG1160" s="53"/>
      <c r="AH1160" s="53" t="b">
        <f t="shared" si="55"/>
        <v>0</v>
      </c>
      <c r="AI1160" s="54" t="str" cm="1">
        <f t="array" ref="AI1160">TRANSPOSE(_xlfn._xlws.FILTER(images!L:L,images!F:F=Barrierenmessung!A1160, ""))</f>
        <v>https://captureandgo.cloudlab.zhaw.ch/uploads/image_5dd1534271.jpg</v>
      </c>
      <c r="AJ1160" s="2"/>
      <c r="AK1160" s="2"/>
      <c r="AL1160" s="2"/>
      <c r="AM1160" s="2"/>
      <c r="AN1160" s="2"/>
    </row>
    <row r="1161" spans="1:40" ht="16" x14ac:dyDescent="0.2">
      <c r="A1161" s="2" t="s">
        <v>3729</v>
      </c>
      <c r="B1161" s="46">
        <v>1160</v>
      </c>
      <c r="C1161" s="2" t="b">
        <v>0</v>
      </c>
      <c r="D1161" s="2" t="b">
        <v>0</v>
      </c>
      <c r="E1161" s="2" t="b">
        <v>0</v>
      </c>
      <c r="F1161" s="2" t="b">
        <v>0</v>
      </c>
      <c r="G1161" s="2" t="s">
        <v>31</v>
      </c>
      <c r="H1161" s="2" t="s">
        <v>3730</v>
      </c>
      <c r="I1161" s="2" t="s">
        <v>3731</v>
      </c>
      <c r="J1161" s="2" t="s">
        <v>35</v>
      </c>
      <c r="K1161" s="2" t="s">
        <v>35</v>
      </c>
      <c r="L1161" s="2" t="s">
        <v>35</v>
      </c>
      <c r="M1161" s="2">
        <v>3</v>
      </c>
      <c r="N1161" s="2">
        <v>15</v>
      </c>
      <c r="O1161" s="11">
        <v>44769.465067164354</v>
      </c>
      <c r="P1161" s="11">
        <v>44769.465323877317</v>
      </c>
      <c r="Q1161" s="27">
        <f t="shared" si="54"/>
        <v>2.5671296316431835E-4</v>
      </c>
      <c r="R1161" s="65">
        <f t="shared" si="56"/>
        <v>3.8906250119907781E-4</v>
      </c>
      <c r="S1161" s="2">
        <v>0</v>
      </c>
      <c r="T1161" s="2" t="s">
        <v>54</v>
      </c>
      <c r="U1161" s="2" t="s">
        <v>55</v>
      </c>
      <c r="V1161" s="2" t="s">
        <v>38</v>
      </c>
      <c r="W1161" s="2" t="s">
        <v>35</v>
      </c>
      <c r="X1161" s="2" t="s">
        <v>35</v>
      </c>
      <c r="Y1161" s="2" t="s">
        <v>35</v>
      </c>
      <c r="Z1161" s="2" t="b">
        <v>0</v>
      </c>
      <c r="AA1161" s="2" t="s">
        <v>35</v>
      </c>
      <c r="AB1161" s="2" t="s">
        <v>35</v>
      </c>
      <c r="AC1161" s="2" t="s">
        <v>35</v>
      </c>
      <c r="AD1161" s="2" t="s">
        <v>35</v>
      </c>
      <c r="AE1161" s="2" t="s">
        <v>2840</v>
      </c>
      <c r="AF1161" s="11">
        <v>44769.384722222225</v>
      </c>
      <c r="AG1161" s="53"/>
      <c r="AH1161" s="53" t="b">
        <f t="shared" si="55"/>
        <v>0</v>
      </c>
      <c r="AI1161" s="54" t="str" cm="1">
        <f t="array" ref="AI1161">TRANSPOSE(_xlfn._xlws.FILTER(images!L:L,images!F:F=Barrierenmessung!A1161, ""))</f>
        <v>https://captureandgo.cloudlab.zhaw.ch/uploads/image_ef688ef853.jpg</v>
      </c>
      <c r="AJ1161" s="2"/>
      <c r="AK1161" s="2"/>
      <c r="AL1161" s="2"/>
      <c r="AM1161" s="2"/>
      <c r="AN1161" s="2"/>
    </row>
    <row r="1162" spans="1:40" ht="16" x14ac:dyDescent="0.2">
      <c r="A1162" s="2" t="s">
        <v>3732</v>
      </c>
      <c r="B1162" s="46">
        <v>1161</v>
      </c>
      <c r="C1162" s="2" t="b">
        <v>0</v>
      </c>
      <c r="D1162" s="2" t="b">
        <v>0</v>
      </c>
      <c r="E1162" s="2" t="b">
        <v>0</v>
      </c>
      <c r="F1162" s="2" t="b">
        <v>0</v>
      </c>
      <c r="G1162" s="2" t="s">
        <v>31</v>
      </c>
      <c r="H1162" s="2" t="s">
        <v>3733</v>
      </c>
      <c r="I1162" s="2" t="s">
        <v>3734</v>
      </c>
      <c r="J1162" s="2" t="s">
        <v>35</v>
      </c>
      <c r="K1162" s="2" t="s">
        <v>35</v>
      </c>
      <c r="L1162" s="2" t="s">
        <v>35</v>
      </c>
      <c r="M1162" s="2">
        <v>3</v>
      </c>
      <c r="N1162" s="2">
        <v>15</v>
      </c>
      <c r="O1162" s="11">
        <v>44769.465501226849</v>
      </c>
      <c r="P1162" s="11">
        <v>44769.465612638887</v>
      </c>
      <c r="Q1162" s="27">
        <f t="shared" si="54"/>
        <v>1.1141203867737204E-4</v>
      </c>
      <c r="R1162" s="65">
        <f t="shared" si="56"/>
        <v>2.8876157011836767E-4</v>
      </c>
      <c r="S1162" s="2">
        <v>0</v>
      </c>
      <c r="T1162" s="2" t="s">
        <v>54</v>
      </c>
      <c r="U1162" s="2" t="s">
        <v>55</v>
      </c>
      <c r="V1162" s="2" t="s">
        <v>38</v>
      </c>
      <c r="W1162" s="2" t="s">
        <v>35</v>
      </c>
      <c r="X1162" s="2" t="s">
        <v>35</v>
      </c>
      <c r="Y1162" s="2" t="s">
        <v>35</v>
      </c>
      <c r="Z1162" s="2" t="b">
        <v>0</v>
      </c>
      <c r="AA1162" s="2" t="s">
        <v>35</v>
      </c>
      <c r="AB1162" s="2" t="s">
        <v>35</v>
      </c>
      <c r="AC1162" s="2" t="s">
        <v>35</v>
      </c>
      <c r="AD1162" s="2" t="s">
        <v>35</v>
      </c>
      <c r="AE1162" s="2" t="s">
        <v>2840</v>
      </c>
      <c r="AF1162" s="11">
        <v>44769.384722222225</v>
      </c>
      <c r="AG1162" s="53"/>
      <c r="AH1162" s="53" t="b">
        <f t="shared" si="55"/>
        <v>0</v>
      </c>
      <c r="AI1162" s="54" t="str" cm="1">
        <f t="array" ref="AI1162">TRANSPOSE(_xlfn._xlws.FILTER(images!L:L,images!F:F=Barrierenmessung!A1162, ""))</f>
        <v>https://captureandgo.cloudlab.zhaw.ch/uploads/image_00608e5706.jpg</v>
      </c>
      <c r="AJ1162" s="2"/>
      <c r="AK1162" s="2"/>
      <c r="AL1162" s="2"/>
      <c r="AM1162" s="2"/>
      <c r="AN1162" s="2"/>
    </row>
    <row r="1163" spans="1:40" ht="16" x14ac:dyDescent="0.2">
      <c r="A1163" s="2" t="s">
        <v>3735</v>
      </c>
      <c r="B1163" s="46">
        <v>1162</v>
      </c>
      <c r="C1163" s="2" t="b">
        <v>0</v>
      </c>
      <c r="D1163" s="2" t="b">
        <v>0</v>
      </c>
      <c r="E1163" s="2" t="b">
        <v>0</v>
      </c>
      <c r="F1163" s="2" t="b">
        <v>0</v>
      </c>
      <c r="G1163" s="2" t="s">
        <v>31</v>
      </c>
      <c r="H1163" s="2" t="s">
        <v>3736</v>
      </c>
      <c r="I1163" s="2" t="s">
        <v>3737</v>
      </c>
      <c r="J1163" s="2" t="s">
        <v>35</v>
      </c>
      <c r="K1163" s="2" t="s">
        <v>35</v>
      </c>
      <c r="L1163" s="2" t="s">
        <v>35</v>
      </c>
      <c r="M1163" s="2">
        <v>3</v>
      </c>
      <c r="N1163" s="2">
        <v>15</v>
      </c>
      <c r="O1163" s="11">
        <v>44769.46594253472</v>
      </c>
      <c r="P1163" s="11">
        <v>44769.466845219904</v>
      </c>
      <c r="Q1163" s="27">
        <f t="shared" si="54"/>
        <v>9.0268518397351727E-4</v>
      </c>
      <c r="R1163" s="65">
        <f t="shared" si="56"/>
        <v>1.2325810166657902E-3</v>
      </c>
      <c r="S1163" s="2">
        <v>0</v>
      </c>
      <c r="T1163" s="2" t="s">
        <v>54</v>
      </c>
      <c r="U1163" s="2" t="s">
        <v>55</v>
      </c>
      <c r="V1163" s="2" t="s">
        <v>38</v>
      </c>
      <c r="W1163" s="2" t="s">
        <v>35</v>
      </c>
      <c r="X1163" s="2" t="s">
        <v>35</v>
      </c>
      <c r="Y1163" s="2" t="s">
        <v>35</v>
      </c>
      <c r="Z1163" s="2" t="b">
        <v>0</v>
      </c>
      <c r="AA1163" s="2" t="s">
        <v>35</v>
      </c>
      <c r="AB1163" s="2" t="s">
        <v>35</v>
      </c>
      <c r="AC1163" s="2" t="s">
        <v>35</v>
      </c>
      <c r="AD1163" s="2" t="s">
        <v>35</v>
      </c>
      <c r="AE1163" s="2" t="s">
        <v>2840</v>
      </c>
      <c r="AF1163" s="11">
        <v>44769.384722222225</v>
      </c>
      <c r="AG1163" s="53"/>
      <c r="AH1163" s="53" t="b">
        <f t="shared" si="55"/>
        <v>0</v>
      </c>
      <c r="AI1163" s="54" t="str" cm="1">
        <f t="array" ref="AI1163">TRANSPOSE(_xlfn._xlws.FILTER(images!L:L,images!F:F=Barrierenmessung!A1163, ""))</f>
        <v>https://captureandgo.cloudlab.zhaw.ch/uploads/image_b4d8c56cf6.jpg</v>
      </c>
      <c r="AJ1163" s="2"/>
      <c r="AK1163" s="2"/>
      <c r="AL1163" s="2"/>
      <c r="AM1163" s="2"/>
      <c r="AN1163" s="2"/>
    </row>
    <row r="1164" spans="1:40" ht="16" x14ac:dyDescent="0.2">
      <c r="A1164" s="2" t="s">
        <v>3738</v>
      </c>
      <c r="B1164" s="46">
        <v>1163</v>
      </c>
      <c r="C1164" s="2" t="b">
        <v>0</v>
      </c>
      <c r="D1164" s="2" t="b">
        <v>0</v>
      </c>
      <c r="E1164" s="2" t="b">
        <v>0</v>
      </c>
      <c r="F1164" s="2" t="b">
        <v>0</v>
      </c>
      <c r="G1164" s="2" t="s">
        <v>31</v>
      </c>
      <c r="H1164" s="2" t="s">
        <v>3739</v>
      </c>
      <c r="I1164" s="2" t="s">
        <v>3740</v>
      </c>
      <c r="J1164" s="2" t="s">
        <v>1177</v>
      </c>
      <c r="K1164" s="2" t="s">
        <v>35</v>
      </c>
      <c r="L1164" s="2" t="s">
        <v>35</v>
      </c>
      <c r="M1164" s="2" t="s">
        <v>35</v>
      </c>
      <c r="N1164" s="2" t="s">
        <v>35</v>
      </c>
      <c r="O1164" s="11">
        <v>44769.467771203701</v>
      </c>
      <c r="P1164" s="11">
        <v>44769.468189421299</v>
      </c>
      <c r="Q1164" s="27">
        <f t="shared" si="54"/>
        <v>4.1821759805316105E-4</v>
      </c>
      <c r="R1164" s="65">
        <f t="shared" si="56"/>
        <v>1.3442013951134868E-3</v>
      </c>
      <c r="S1164" s="2">
        <v>0</v>
      </c>
      <c r="T1164" s="2" t="s">
        <v>36</v>
      </c>
      <c r="U1164" s="2" t="s">
        <v>37</v>
      </c>
      <c r="V1164" s="2" t="s">
        <v>38</v>
      </c>
      <c r="W1164" s="2" t="s">
        <v>35</v>
      </c>
      <c r="X1164" s="2" t="s">
        <v>35</v>
      </c>
      <c r="Y1164" s="2" t="s">
        <v>35</v>
      </c>
      <c r="Z1164" s="2" t="b">
        <v>0</v>
      </c>
      <c r="AA1164" s="2" t="s">
        <v>3516</v>
      </c>
      <c r="AB1164" s="2" t="s">
        <v>35</v>
      </c>
      <c r="AC1164" s="2">
        <v>8</v>
      </c>
      <c r="AD1164" s="2" t="s">
        <v>35</v>
      </c>
      <c r="AE1164" s="2" t="s">
        <v>2840</v>
      </c>
      <c r="AF1164" s="11">
        <v>44769.384722222225</v>
      </c>
      <c r="AG1164" s="53"/>
      <c r="AH1164" s="53" t="b">
        <f t="shared" si="55"/>
        <v>0</v>
      </c>
      <c r="AI1164" s="54" t="str" cm="1">
        <f t="array" ref="AI1164">TRANSPOSE(_xlfn._xlws.FILTER(images!L:L,images!F:F=Barrierenmessung!A1164, ""))</f>
        <v>https://captureandgo.cloudlab.zhaw.ch/uploads/image_2ad1d89e6b.jpg</v>
      </c>
      <c r="AJ1164" s="2"/>
      <c r="AK1164" s="2"/>
      <c r="AL1164" s="2"/>
      <c r="AM1164" s="2"/>
      <c r="AN1164" s="2"/>
    </row>
    <row r="1165" spans="1:40" ht="16" x14ac:dyDescent="0.2">
      <c r="A1165" s="2" t="s">
        <v>3741</v>
      </c>
      <c r="B1165" s="46">
        <v>1164</v>
      </c>
      <c r="C1165" s="2" t="b">
        <v>0</v>
      </c>
      <c r="D1165" s="2" t="b">
        <v>0</v>
      </c>
      <c r="E1165" s="2" t="b">
        <v>0</v>
      </c>
      <c r="F1165" s="2" t="b">
        <v>0</v>
      </c>
      <c r="G1165" s="2" t="s">
        <v>31</v>
      </c>
      <c r="H1165" s="2" t="s">
        <v>3742</v>
      </c>
      <c r="I1165" s="2" t="s">
        <v>3743</v>
      </c>
      <c r="J1165" s="2" t="s">
        <v>1177</v>
      </c>
      <c r="K1165" s="2" t="s">
        <v>35</v>
      </c>
      <c r="L1165" s="2" t="s">
        <v>35</v>
      </c>
      <c r="M1165" s="2" t="s">
        <v>35</v>
      </c>
      <c r="N1165" s="2" t="s">
        <v>35</v>
      </c>
      <c r="O1165" s="11">
        <v>44769.468694444447</v>
      </c>
      <c r="P1165" s="11">
        <v>44769.469047777777</v>
      </c>
      <c r="Q1165" s="27">
        <f t="shared" si="54"/>
        <v>3.5333332925802097E-4</v>
      </c>
      <c r="R1165" s="65">
        <f t="shared" si="56"/>
        <v>8.5835647769272327E-4</v>
      </c>
      <c r="S1165" s="2">
        <v>0</v>
      </c>
      <c r="T1165" s="2" t="s">
        <v>36</v>
      </c>
      <c r="U1165" s="2" t="s">
        <v>37</v>
      </c>
      <c r="V1165" s="2" t="s">
        <v>38</v>
      </c>
      <c r="W1165" s="2" t="s">
        <v>35</v>
      </c>
      <c r="X1165" s="2" t="s">
        <v>35</v>
      </c>
      <c r="Y1165" s="2" t="s">
        <v>35</v>
      </c>
      <c r="Z1165" s="2" t="b">
        <v>0</v>
      </c>
      <c r="AA1165" s="2" t="s">
        <v>35</v>
      </c>
      <c r="AB1165" s="2" t="s">
        <v>35</v>
      </c>
      <c r="AC1165" s="2">
        <v>4</v>
      </c>
      <c r="AD1165" s="2" t="s">
        <v>35</v>
      </c>
      <c r="AE1165" s="2" t="s">
        <v>2840</v>
      </c>
      <c r="AF1165" s="11">
        <v>44769.384722222225</v>
      </c>
      <c r="AG1165" s="53"/>
      <c r="AH1165" s="53" t="b">
        <f t="shared" si="55"/>
        <v>0</v>
      </c>
      <c r="AI1165" s="54" t="str" cm="1">
        <f t="array" ref="AI1165:AK1165">TRANSPOSE(_xlfn._xlws.FILTER(images!L:L,images!F:F=Barrierenmessung!A1165, ""))</f>
        <v>https://captureandgo.cloudlab.zhaw.ch/uploads/image_729a1cb2b0.jpg</v>
      </c>
      <c r="AJ1165" s="2" t="str">
        <v>https://captureandgo.cloudlab.zhaw.ch/uploads/image_fc242edcb6.jpg</v>
      </c>
      <c r="AK1165" s="2" t="str">
        <v>https://captureandgo.cloudlab.zhaw.ch/uploads/image_f4998b383b.jpg</v>
      </c>
      <c r="AL1165" s="2"/>
      <c r="AM1165" s="2"/>
      <c r="AN1165" s="2"/>
    </row>
    <row r="1166" spans="1:40" ht="16" x14ac:dyDescent="0.2">
      <c r="A1166" s="2" t="s">
        <v>3744</v>
      </c>
      <c r="B1166" s="46">
        <v>1165</v>
      </c>
      <c r="C1166" s="2" t="b">
        <v>0</v>
      </c>
      <c r="D1166" s="2" t="b">
        <v>0</v>
      </c>
      <c r="E1166" s="2" t="b">
        <v>0</v>
      </c>
      <c r="F1166" s="2" t="b">
        <v>0</v>
      </c>
      <c r="G1166" s="2" t="s">
        <v>31</v>
      </c>
      <c r="H1166" s="2" t="s">
        <v>3745</v>
      </c>
      <c r="I1166" s="2" t="s">
        <v>3746</v>
      </c>
      <c r="J1166" s="2" t="s">
        <v>35</v>
      </c>
      <c r="K1166" s="2" t="s">
        <v>35</v>
      </c>
      <c r="L1166" s="2" t="s">
        <v>35</v>
      </c>
      <c r="M1166" s="2" t="s">
        <v>35</v>
      </c>
      <c r="N1166" s="2" t="s">
        <v>35</v>
      </c>
      <c r="O1166" s="11">
        <v>44769.469774687503</v>
      </c>
      <c r="P1166" s="11">
        <v>44769.46993796296</v>
      </c>
      <c r="Q1166" s="27">
        <f t="shared" si="54"/>
        <v>1.6327545745298266E-4</v>
      </c>
      <c r="R1166" s="65">
        <f t="shared" si="56"/>
        <v>8.9018518337979913E-4</v>
      </c>
      <c r="S1166" s="2">
        <v>0</v>
      </c>
      <c r="T1166" s="2" t="s">
        <v>109</v>
      </c>
      <c r="U1166" s="2" t="s">
        <v>110</v>
      </c>
      <c r="V1166" s="2" t="s">
        <v>38</v>
      </c>
      <c r="W1166" s="2" t="s">
        <v>35</v>
      </c>
      <c r="X1166" s="2">
        <v>95</v>
      </c>
      <c r="Y1166" s="2" t="s">
        <v>35</v>
      </c>
      <c r="Z1166" s="2" t="b">
        <v>0</v>
      </c>
      <c r="AA1166" s="2" t="s">
        <v>35</v>
      </c>
      <c r="AB1166" s="2" t="s">
        <v>35</v>
      </c>
      <c r="AC1166" s="2" t="s">
        <v>35</v>
      </c>
      <c r="AD1166" s="2" t="s">
        <v>35</v>
      </c>
      <c r="AE1166" s="2" t="s">
        <v>2840</v>
      </c>
      <c r="AF1166" s="11">
        <v>44769.384722222225</v>
      </c>
      <c r="AG1166" s="53"/>
      <c r="AH1166" s="53" t="b">
        <f t="shared" si="55"/>
        <v>0</v>
      </c>
      <c r="AI1166" s="54" t="str" cm="1">
        <f t="array" ref="AI1166">TRANSPOSE(_xlfn._xlws.FILTER(images!L:L,images!F:F=Barrierenmessung!A1166, ""))</f>
        <v>https://captureandgo.cloudlab.zhaw.ch/uploads/image_52cfbe018b.jpg</v>
      </c>
      <c r="AJ1166" s="2"/>
      <c r="AK1166" s="2"/>
      <c r="AL1166" s="2"/>
      <c r="AM1166" s="2"/>
      <c r="AN1166" s="2"/>
    </row>
    <row r="1167" spans="1:40" ht="16" x14ac:dyDescent="0.2">
      <c r="A1167" s="2" t="s">
        <v>3747</v>
      </c>
      <c r="B1167" s="46">
        <v>1166</v>
      </c>
      <c r="C1167" s="2" t="b">
        <v>0</v>
      </c>
      <c r="D1167" s="2" t="b">
        <v>0</v>
      </c>
      <c r="E1167" s="2" t="b">
        <v>0</v>
      </c>
      <c r="F1167" s="2" t="b">
        <v>0</v>
      </c>
      <c r="G1167" s="2" t="s">
        <v>31</v>
      </c>
      <c r="H1167" s="2" t="s">
        <v>3748</v>
      </c>
      <c r="I1167" s="2" t="s">
        <v>3749</v>
      </c>
      <c r="J1167" s="2" t="s">
        <v>584</v>
      </c>
      <c r="K1167" s="2" t="s">
        <v>35</v>
      </c>
      <c r="L1167" s="2" t="s">
        <v>35</v>
      </c>
      <c r="M1167" s="2" t="s">
        <v>35</v>
      </c>
      <c r="N1167" s="2" t="s">
        <v>35</v>
      </c>
      <c r="O1167" s="11">
        <v>44769.470793587963</v>
      </c>
      <c r="P1167" s="11">
        <v>44769.471049976855</v>
      </c>
      <c r="Q1167" s="27">
        <f t="shared" si="54"/>
        <v>2.5638889201218262E-4</v>
      </c>
      <c r="R1167" s="65">
        <f t="shared" si="56"/>
        <v>1.1120138951810077E-3</v>
      </c>
      <c r="S1167" s="2">
        <v>0</v>
      </c>
      <c r="T1167" s="2" t="s">
        <v>36</v>
      </c>
      <c r="U1167" s="2" t="s">
        <v>37</v>
      </c>
      <c r="V1167" s="2" t="s">
        <v>38</v>
      </c>
      <c r="W1167" s="2" t="s">
        <v>35</v>
      </c>
      <c r="X1167" s="2" t="s">
        <v>35</v>
      </c>
      <c r="Y1167" s="2" t="s">
        <v>35</v>
      </c>
      <c r="Z1167" s="2" t="b">
        <v>0</v>
      </c>
      <c r="AA1167" s="2" t="s">
        <v>35</v>
      </c>
      <c r="AB1167" s="2" t="s">
        <v>35</v>
      </c>
      <c r="AC1167" s="2">
        <v>3</v>
      </c>
      <c r="AD1167" s="2" t="s">
        <v>35</v>
      </c>
      <c r="AE1167" s="2" t="s">
        <v>2840</v>
      </c>
      <c r="AF1167" s="11">
        <v>44769.384722222225</v>
      </c>
      <c r="AG1167" s="53"/>
      <c r="AH1167" s="53" t="b">
        <f t="shared" si="55"/>
        <v>0</v>
      </c>
      <c r="AI1167" s="54" t="str" cm="1">
        <f t="array" ref="AI1167">TRANSPOSE(_xlfn._xlws.FILTER(images!L:L,images!F:F=Barrierenmessung!A1167, ""))</f>
        <v>https://captureandgo.cloudlab.zhaw.ch/uploads/image_b15eef0945.jpg</v>
      </c>
      <c r="AJ1167" s="2"/>
      <c r="AK1167" s="2"/>
      <c r="AL1167" s="2"/>
      <c r="AM1167" s="2"/>
      <c r="AN1167" s="2"/>
    </row>
    <row r="1168" spans="1:40" ht="16" x14ac:dyDescent="0.2">
      <c r="A1168" s="2" t="s">
        <v>3750</v>
      </c>
      <c r="B1168" s="46">
        <v>1167</v>
      </c>
      <c r="C1168" s="2" t="b">
        <v>0</v>
      </c>
      <c r="D1168" s="2" t="b">
        <v>0</v>
      </c>
      <c r="E1168" s="2" t="b">
        <v>0</v>
      </c>
      <c r="F1168" s="2" t="b">
        <v>0</v>
      </c>
      <c r="G1168" s="2" t="s">
        <v>31</v>
      </c>
      <c r="H1168" s="2" t="s">
        <v>3751</v>
      </c>
      <c r="I1168" s="2" t="s">
        <v>3752</v>
      </c>
      <c r="J1168" s="2" t="s">
        <v>3753</v>
      </c>
      <c r="K1168" s="2" t="s">
        <v>35</v>
      </c>
      <c r="L1168" s="2" t="s">
        <v>35</v>
      </c>
      <c r="M1168" s="2" t="s">
        <v>35</v>
      </c>
      <c r="N1168" s="2" t="s">
        <v>35</v>
      </c>
      <c r="O1168" s="11">
        <v>44769.471733715276</v>
      </c>
      <c r="P1168" s="11">
        <v>44769.472099861108</v>
      </c>
      <c r="Q1168" s="27">
        <f t="shared" si="54"/>
        <v>3.6614583223126829E-4</v>
      </c>
      <c r="R1168" s="65">
        <f t="shared" si="56"/>
        <v>1.0498842530068941E-3</v>
      </c>
      <c r="S1168" s="2">
        <v>0</v>
      </c>
      <c r="T1168" s="2" t="s">
        <v>109</v>
      </c>
      <c r="U1168" s="2" t="s">
        <v>110</v>
      </c>
      <c r="V1168" s="2" t="s">
        <v>38</v>
      </c>
      <c r="W1168" s="2" t="s">
        <v>35</v>
      </c>
      <c r="X1168" s="2">
        <v>75</v>
      </c>
      <c r="Y1168" s="2" t="s">
        <v>3754</v>
      </c>
      <c r="Z1168" s="2" t="b">
        <v>0</v>
      </c>
      <c r="AA1168" s="2" t="s">
        <v>35</v>
      </c>
      <c r="AB1168" s="2" t="s">
        <v>35</v>
      </c>
      <c r="AC1168" s="2" t="s">
        <v>35</v>
      </c>
      <c r="AD1168" s="2" t="s">
        <v>35</v>
      </c>
      <c r="AE1168" s="2" t="s">
        <v>2840</v>
      </c>
      <c r="AF1168" s="11">
        <v>44769.384722222225</v>
      </c>
      <c r="AG1168" s="53"/>
      <c r="AH1168" s="53" t="b">
        <f t="shared" si="55"/>
        <v>0</v>
      </c>
      <c r="AI1168" s="54" t="str" cm="1">
        <f t="array" ref="AI1168">TRANSPOSE(_xlfn._xlws.FILTER(images!L:L,images!F:F=Barrierenmessung!A1168, ""))</f>
        <v>https://captureandgo.cloudlab.zhaw.ch/uploads/image_31e6f81f3b.jpg</v>
      </c>
      <c r="AJ1168" s="2"/>
      <c r="AK1168" s="2"/>
      <c r="AL1168" s="2"/>
      <c r="AM1168" s="2"/>
      <c r="AN1168" s="2"/>
    </row>
    <row r="1170" spans="1:34" x14ac:dyDescent="0.2">
      <c r="A1170" t="s">
        <v>9480</v>
      </c>
      <c r="AH1170" s="93" t="s">
        <v>10833</v>
      </c>
    </row>
    <row r="1171" spans="1:34" x14ac:dyDescent="0.2">
      <c r="A1171" s="5" t="s">
        <v>9481</v>
      </c>
    </row>
    <row r="1172" spans="1:34" x14ac:dyDescent="0.2">
      <c r="A1172" s="24" t="s">
        <v>9482</v>
      </c>
    </row>
    <row r="1173" spans="1:34" x14ac:dyDescent="0.2">
      <c r="A1173" s="33" t="s">
        <v>9479</v>
      </c>
      <c r="R1173" s="7"/>
      <c r="T1173" s="28"/>
    </row>
    <row r="1174" spans="1:34" x14ac:dyDescent="0.2">
      <c r="A1174" s="61" t="s">
        <v>9473</v>
      </c>
    </row>
  </sheetData>
  <autoFilter ref="A1:AN1168" xr:uid="{B475CD92-7FA1-F941-85E2-468ACD4B117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B2357-DB56-544F-8121-C954D7B7FA27}">
  <dimension ref="A1:AN1174"/>
  <sheetViews>
    <sheetView topLeftCell="AA1" zoomScaleNormal="85" workbookViewId="0">
      <pane ySplit="1" topLeftCell="A347" activePane="bottomLeft" state="frozen"/>
      <selection pane="bottomLeft" activeCell="AH322" sqref="AH322"/>
    </sheetView>
  </sheetViews>
  <sheetFormatPr baseColWidth="10" defaultColWidth="8.83203125" defaultRowHeight="15" x14ac:dyDescent="0.2"/>
  <cols>
    <col min="1" max="1" width="25.83203125" customWidth="1"/>
    <col min="2" max="2" width="7" customWidth="1"/>
    <col min="3" max="3" width="11.83203125" customWidth="1"/>
    <col min="4" max="4" width="13" customWidth="1"/>
    <col min="5" max="5" width="9.1640625" customWidth="1"/>
    <col min="6" max="6" width="9" customWidth="1"/>
    <col min="7" max="7" width="8.1640625" customWidth="1"/>
    <col min="8" max="8" width="28.5" customWidth="1"/>
    <col min="9" max="9" width="17.1640625" customWidth="1"/>
    <col min="10" max="10" width="66" customWidth="1"/>
    <col min="11" max="11" width="12.33203125" customWidth="1"/>
    <col min="12" max="12" width="8.6640625" customWidth="1"/>
    <col min="13" max="13" width="15.6640625" customWidth="1"/>
    <col min="14" max="14" width="12.1640625" customWidth="1"/>
    <col min="15" max="15" width="16.33203125" style="14" customWidth="1"/>
    <col min="16" max="17" width="17.5" style="14" customWidth="1"/>
    <col min="18" max="18" width="19.5" style="14" customWidth="1"/>
    <col min="19" max="23" width="15.33203125" customWidth="1"/>
    <col min="24" max="27" width="15.5" customWidth="1"/>
    <col min="28" max="29" width="15.33203125" customWidth="1"/>
    <col min="30" max="30" width="13.1640625" customWidth="1"/>
    <col min="31" max="32" width="15.5" customWidth="1"/>
    <col min="33" max="33" width="36.5" style="25" customWidth="1"/>
    <col min="34" max="34" width="18.83203125" style="25" customWidth="1"/>
    <col min="35" max="37" width="58.33203125" bestFit="1" customWidth="1"/>
    <col min="38" max="39" width="58.1640625" bestFit="1" customWidth="1"/>
    <col min="40" max="40" width="57.33203125" bestFit="1" customWidth="1"/>
  </cols>
  <sheetData>
    <row r="1" spans="1:40" ht="16" x14ac:dyDescent="0.2">
      <c r="A1" s="1" t="s">
        <v>0</v>
      </c>
      <c r="B1" s="1" t="s">
        <v>9452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2" t="s">
        <v>13</v>
      </c>
      <c r="P1" s="12" t="s">
        <v>14</v>
      </c>
      <c r="Q1" s="12" t="s">
        <v>9414</v>
      </c>
      <c r="R1" s="12" t="s">
        <v>9413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81" t="s">
        <v>9400</v>
      </c>
      <c r="AH1" s="81" t="s">
        <v>9410</v>
      </c>
      <c r="AI1" s="1" t="s">
        <v>29</v>
      </c>
      <c r="AJ1" s="2"/>
      <c r="AK1" s="2"/>
      <c r="AL1" s="2"/>
      <c r="AM1" s="2"/>
      <c r="AN1" s="2"/>
    </row>
    <row r="2" spans="1:40" ht="16" x14ac:dyDescent="0.2">
      <c r="A2" s="2" t="s">
        <v>2377</v>
      </c>
      <c r="B2" s="2">
        <v>735</v>
      </c>
      <c r="C2" s="2" t="b">
        <v>0</v>
      </c>
      <c r="D2" s="2" t="b">
        <v>0</v>
      </c>
      <c r="E2" s="2" t="b">
        <v>0</v>
      </c>
      <c r="F2" s="2" t="b">
        <v>0</v>
      </c>
      <c r="G2" s="2" t="s">
        <v>31</v>
      </c>
      <c r="H2" s="2" t="s">
        <v>2378</v>
      </c>
      <c r="I2" s="2" t="s">
        <v>2376</v>
      </c>
      <c r="J2" s="2" t="s">
        <v>2379</v>
      </c>
      <c r="K2" s="2" t="s">
        <v>35</v>
      </c>
      <c r="L2" s="2" t="s">
        <v>35</v>
      </c>
      <c r="M2" s="2" t="s">
        <v>35</v>
      </c>
      <c r="N2" s="2" t="s">
        <v>35</v>
      </c>
      <c r="O2" s="11">
        <v>44749.515555416663</v>
      </c>
      <c r="P2" s="11">
        <v>44749.516041215276</v>
      </c>
      <c r="Q2" s="27">
        <v>4.8611111111111104E-4</v>
      </c>
      <c r="R2" s="27">
        <v>5.3240740740740744E-4</v>
      </c>
      <c r="S2" s="2">
        <v>0</v>
      </c>
      <c r="T2" s="2" t="s">
        <v>2380</v>
      </c>
      <c r="U2" s="2" t="s">
        <v>2381</v>
      </c>
      <c r="V2" s="2" t="s">
        <v>38</v>
      </c>
      <c r="W2" s="2" t="s">
        <v>35</v>
      </c>
      <c r="X2" s="2" t="s">
        <v>35</v>
      </c>
      <c r="Y2" s="2" t="s">
        <v>35</v>
      </c>
      <c r="Z2" s="2" t="b">
        <v>0</v>
      </c>
      <c r="AA2" s="2" t="s">
        <v>35</v>
      </c>
      <c r="AB2" s="2" t="s">
        <v>35</v>
      </c>
      <c r="AC2" s="2" t="s">
        <v>35</v>
      </c>
      <c r="AD2" s="2" t="s">
        <v>35</v>
      </c>
      <c r="AE2" s="2" t="s">
        <v>2025</v>
      </c>
      <c r="AF2" s="11">
        <v>44749.40625</v>
      </c>
      <c r="AG2" s="53"/>
      <c r="AH2" s="53" t="b">
        <v>0</v>
      </c>
      <c r="AI2" s="115" t="s">
        <v>11097</v>
      </c>
      <c r="AJ2" s="2"/>
      <c r="AK2" s="2"/>
      <c r="AL2" s="2"/>
      <c r="AM2" s="2"/>
      <c r="AN2" s="2"/>
    </row>
    <row r="3" spans="1:40" ht="16" x14ac:dyDescent="0.2">
      <c r="A3" s="2" t="s">
        <v>2382</v>
      </c>
      <c r="B3" s="2">
        <v>736</v>
      </c>
      <c r="C3" s="2" t="b">
        <v>0</v>
      </c>
      <c r="D3" s="2" t="b">
        <v>0</v>
      </c>
      <c r="E3" s="2" t="b">
        <v>0</v>
      </c>
      <c r="F3" s="2" t="b">
        <v>0</v>
      </c>
      <c r="G3" s="2" t="s">
        <v>31</v>
      </c>
      <c r="H3" s="2" t="s">
        <v>2383</v>
      </c>
      <c r="I3" s="2" t="s">
        <v>2384</v>
      </c>
      <c r="J3" s="2" t="s">
        <v>2385</v>
      </c>
      <c r="K3" s="2" t="s">
        <v>35</v>
      </c>
      <c r="L3" s="2" t="s">
        <v>35</v>
      </c>
      <c r="M3" s="2" t="s">
        <v>35</v>
      </c>
      <c r="N3" s="2" t="s">
        <v>35</v>
      </c>
      <c r="O3" s="11">
        <v>44749.517808773147</v>
      </c>
      <c r="P3" s="11">
        <v>44749.518043240743</v>
      </c>
      <c r="Q3" s="27">
        <v>2.3148148148148146E-4</v>
      </c>
      <c r="R3" s="27">
        <v>2.0023148148148148E-3</v>
      </c>
      <c r="S3" s="2">
        <v>0</v>
      </c>
      <c r="T3" s="2" t="s">
        <v>2380</v>
      </c>
      <c r="U3" s="2" t="s">
        <v>2381</v>
      </c>
      <c r="V3" s="2" t="s">
        <v>38</v>
      </c>
      <c r="W3" s="2" t="s">
        <v>35</v>
      </c>
      <c r="X3" s="2" t="s">
        <v>35</v>
      </c>
      <c r="Y3" s="2" t="s">
        <v>35</v>
      </c>
      <c r="Z3" s="2" t="b">
        <v>0</v>
      </c>
      <c r="AA3" s="2" t="s">
        <v>35</v>
      </c>
      <c r="AB3" s="2" t="s">
        <v>35</v>
      </c>
      <c r="AC3" s="2" t="s">
        <v>35</v>
      </c>
      <c r="AD3" s="2" t="s">
        <v>35</v>
      </c>
      <c r="AE3" s="2" t="s">
        <v>2025</v>
      </c>
      <c r="AF3" s="11">
        <v>44749.40625</v>
      </c>
      <c r="AG3" s="53"/>
      <c r="AH3" s="53" t="b">
        <v>0</v>
      </c>
      <c r="AI3" s="116" t="s">
        <v>11098</v>
      </c>
      <c r="AJ3" s="2"/>
      <c r="AK3" s="2"/>
      <c r="AL3" s="2"/>
      <c r="AM3" s="2"/>
      <c r="AN3" s="2"/>
    </row>
    <row r="4" spans="1:40" ht="16" x14ac:dyDescent="0.2">
      <c r="A4" s="31" t="s">
        <v>97</v>
      </c>
      <c r="B4" s="31">
        <v>17</v>
      </c>
      <c r="C4" s="31" t="b">
        <v>0</v>
      </c>
      <c r="D4" s="31" t="b">
        <v>0</v>
      </c>
      <c r="E4" s="31" t="b">
        <v>0</v>
      </c>
      <c r="F4" s="31" t="b">
        <v>0</v>
      </c>
      <c r="G4" s="31" t="s">
        <v>31</v>
      </c>
      <c r="H4" s="31" t="s">
        <v>98</v>
      </c>
      <c r="I4" s="31" t="s">
        <v>99</v>
      </c>
      <c r="J4" s="31" t="s">
        <v>35</v>
      </c>
      <c r="K4" s="31" t="s">
        <v>35</v>
      </c>
      <c r="L4" s="31" t="s">
        <v>35</v>
      </c>
      <c r="M4" s="31" t="s">
        <v>35</v>
      </c>
      <c r="N4" s="31" t="s">
        <v>35</v>
      </c>
      <c r="O4" s="32">
        <v>44722.673215590279</v>
      </c>
      <c r="P4" s="32">
        <v>44722.67428175926</v>
      </c>
      <c r="Q4" s="30">
        <v>1.0661689811968245E-3</v>
      </c>
      <c r="R4" s="30">
        <v>8.3866319473600015E-3</v>
      </c>
      <c r="S4" s="31">
        <v>0</v>
      </c>
      <c r="T4" s="31" t="s">
        <v>100</v>
      </c>
      <c r="U4" s="31" t="s">
        <v>101</v>
      </c>
      <c r="V4" s="31" t="s">
        <v>38</v>
      </c>
      <c r="W4" s="31" t="s">
        <v>35</v>
      </c>
      <c r="X4" s="31">
        <v>94</v>
      </c>
      <c r="Y4" s="31" t="s">
        <v>35</v>
      </c>
      <c r="Z4" s="31" t="b">
        <v>0</v>
      </c>
      <c r="AA4" s="31" t="s">
        <v>35</v>
      </c>
      <c r="AB4" s="31" t="s">
        <v>35</v>
      </c>
      <c r="AC4" s="31" t="s">
        <v>35</v>
      </c>
      <c r="AD4" s="31" t="s">
        <v>35</v>
      </c>
      <c r="AE4" s="31" t="s">
        <v>39</v>
      </c>
      <c r="AF4" s="32">
        <v>44722.609722222223</v>
      </c>
      <c r="AG4" s="55" t="s">
        <v>9408</v>
      </c>
      <c r="AH4" s="53" t="b">
        <f t="shared" ref="AH4:AH9" si="0">IF(Q4&lt;TIME(0,0,5),"TRUE")</f>
        <v>0</v>
      </c>
      <c r="AI4" s="62" t="s">
        <v>9788</v>
      </c>
      <c r="AJ4" s="31"/>
      <c r="AK4" s="31"/>
      <c r="AL4" s="31"/>
      <c r="AM4" s="31"/>
      <c r="AN4" s="31"/>
    </row>
    <row r="5" spans="1:40" ht="16" x14ac:dyDescent="0.2">
      <c r="A5" s="2" t="s">
        <v>849</v>
      </c>
      <c r="B5" s="2">
        <v>254</v>
      </c>
      <c r="C5" s="2" t="b">
        <v>0</v>
      </c>
      <c r="D5" s="2" t="b">
        <v>0</v>
      </c>
      <c r="E5" s="2" t="b">
        <v>0</v>
      </c>
      <c r="F5" s="2" t="b">
        <v>0</v>
      </c>
      <c r="G5" s="2" t="s">
        <v>31</v>
      </c>
      <c r="H5" s="2" t="s">
        <v>850</v>
      </c>
      <c r="I5" s="2" t="s">
        <v>851</v>
      </c>
      <c r="J5" s="2" t="s">
        <v>852</v>
      </c>
      <c r="K5" s="2" t="s">
        <v>35</v>
      </c>
      <c r="L5" s="2" t="s">
        <v>35</v>
      </c>
      <c r="M5" s="2" t="s">
        <v>35</v>
      </c>
      <c r="N5" s="2" t="s">
        <v>35</v>
      </c>
      <c r="O5" s="11">
        <v>44737.501407766205</v>
      </c>
      <c r="P5" s="11">
        <v>44737.503135462961</v>
      </c>
      <c r="Q5" s="27">
        <v>1.7276967555517331E-3</v>
      </c>
      <c r="R5" s="27">
        <v>2.5754861126188189E-3</v>
      </c>
      <c r="S5" s="2">
        <v>0</v>
      </c>
      <c r="T5" s="2" t="s">
        <v>100</v>
      </c>
      <c r="U5" s="2" t="s">
        <v>101</v>
      </c>
      <c r="V5" s="2" t="s">
        <v>38</v>
      </c>
      <c r="W5" s="2" t="s">
        <v>35</v>
      </c>
      <c r="X5" s="2">
        <v>110</v>
      </c>
      <c r="Y5" s="2" t="s">
        <v>35</v>
      </c>
      <c r="Z5" s="2" t="b">
        <v>0</v>
      </c>
      <c r="AA5" s="2" t="s">
        <v>35</v>
      </c>
      <c r="AB5" s="2" t="s">
        <v>35</v>
      </c>
      <c r="AC5" s="2" t="s">
        <v>35</v>
      </c>
      <c r="AD5" s="2" t="s">
        <v>35</v>
      </c>
      <c r="AE5" s="2" t="s">
        <v>792</v>
      </c>
      <c r="AF5" s="11">
        <v>44737.463888831022</v>
      </c>
      <c r="AG5" s="53"/>
      <c r="AH5" s="53" t="b">
        <f t="shared" si="0"/>
        <v>0</v>
      </c>
      <c r="AI5" s="54" t="s">
        <v>9789</v>
      </c>
      <c r="AJ5" s="2" t="s">
        <v>9790</v>
      </c>
      <c r="AK5" s="2" t="s">
        <v>9791</v>
      </c>
      <c r="AL5" s="2" t="s">
        <v>9792</v>
      </c>
      <c r="AM5" s="2" t="s">
        <v>9793</v>
      </c>
      <c r="AN5" s="2"/>
    </row>
    <row r="6" spans="1:40" ht="16" x14ac:dyDescent="0.2">
      <c r="A6" s="2" t="s">
        <v>1077</v>
      </c>
      <c r="B6" s="2">
        <v>326</v>
      </c>
      <c r="C6" s="2" t="b">
        <v>0</v>
      </c>
      <c r="D6" s="2" t="b">
        <v>0</v>
      </c>
      <c r="E6" s="2" t="b">
        <v>0</v>
      </c>
      <c r="F6" s="2" t="b">
        <v>0</v>
      </c>
      <c r="G6" s="2" t="s">
        <v>31</v>
      </c>
      <c r="H6" s="2" t="s">
        <v>1078</v>
      </c>
      <c r="I6" s="2" t="s">
        <v>1079</v>
      </c>
      <c r="J6" s="2" t="s">
        <v>1080</v>
      </c>
      <c r="K6" s="2" t="s">
        <v>35</v>
      </c>
      <c r="L6" s="2" t="s">
        <v>35</v>
      </c>
      <c r="M6" s="2" t="s">
        <v>35</v>
      </c>
      <c r="N6" s="2" t="s">
        <v>35</v>
      </c>
      <c r="O6" s="11">
        <v>44740.520946053242</v>
      </c>
      <c r="P6" s="11">
        <v>44740.522066712962</v>
      </c>
      <c r="Q6" s="27">
        <v>1.1206597191630863E-3</v>
      </c>
      <c r="R6" s="27">
        <v>1.2454398165573366E-3</v>
      </c>
      <c r="S6" s="2">
        <v>0</v>
      </c>
      <c r="T6" s="2" t="s">
        <v>100</v>
      </c>
      <c r="U6" s="2" t="s">
        <v>101</v>
      </c>
      <c r="V6" s="2" t="s">
        <v>38</v>
      </c>
      <c r="W6" s="2" t="s">
        <v>35</v>
      </c>
      <c r="X6" s="2">
        <v>45</v>
      </c>
      <c r="Y6" s="2" t="s">
        <v>35</v>
      </c>
      <c r="Z6" s="2" t="b">
        <v>0</v>
      </c>
      <c r="AA6" s="2" t="s">
        <v>35</v>
      </c>
      <c r="AB6" s="2" t="s">
        <v>35</v>
      </c>
      <c r="AC6" s="2" t="s">
        <v>35</v>
      </c>
      <c r="AD6" s="2" t="s">
        <v>35</v>
      </c>
      <c r="AE6" s="2" t="s">
        <v>941</v>
      </c>
      <c r="AF6" s="11">
        <v>44740.448611053238</v>
      </c>
      <c r="AG6" s="53"/>
      <c r="AH6" s="53" t="b">
        <f t="shared" si="0"/>
        <v>0</v>
      </c>
      <c r="AI6" s="54" t="s">
        <v>9794</v>
      </c>
      <c r="AJ6" s="2"/>
      <c r="AK6" s="2"/>
      <c r="AL6" s="2"/>
      <c r="AM6" s="2"/>
      <c r="AN6" s="2"/>
    </row>
    <row r="7" spans="1:40" ht="16" x14ac:dyDescent="0.2">
      <c r="A7" s="2" t="s">
        <v>1132</v>
      </c>
      <c r="B7" s="2">
        <v>341</v>
      </c>
      <c r="C7" s="2" t="b">
        <v>0</v>
      </c>
      <c r="D7" s="2" t="b">
        <v>0</v>
      </c>
      <c r="E7" s="2" t="b">
        <v>0</v>
      </c>
      <c r="F7" s="2" t="b">
        <v>0</v>
      </c>
      <c r="G7" s="2" t="s">
        <v>31</v>
      </c>
      <c r="H7" s="2" t="s">
        <v>1133</v>
      </c>
      <c r="I7" s="2" t="s">
        <v>1134</v>
      </c>
      <c r="J7" s="2" t="s">
        <v>35</v>
      </c>
      <c r="K7" s="2" t="s">
        <v>35</v>
      </c>
      <c r="L7" s="2" t="s">
        <v>35</v>
      </c>
      <c r="M7" s="2" t="s">
        <v>35</v>
      </c>
      <c r="N7" s="2" t="s">
        <v>35</v>
      </c>
      <c r="O7" s="11">
        <v>44743.612293819446</v>
      </c>
      <c r="P7" s="11">
        <v>44743.612608263888</v>
      </c>
      <c r="Q7" s="27">
        <v>3.1444444175576791E-4</v>
      </c>
      <c r="R7" s="27">
        <v>1.2815277732443064E-3</v>
      </c>
      <c r="S7" s="2">
        <v>0</v>
      </c>
      <c r="T7" s="2" t="s">
        <v>100</v>
      </c>
      <c r="U7" s="2" t="s">
        <v>101</v>
      </c>
      <c r="V7" s="2" t="s">
        <v>38</v>
      </c>
      <c r="W7" s="2" t="s">
        <v>35</v>
      </c>
      <c r="X7" s="2">
        <v>113</v>
      </c>
      <c r="Y7" s="2" t="s">
        <v>35</v>
      </c>
      <c r="Z7" s="2" t="b">
        <v>0</v>
      </c>
      <c r="AA7" s="2" t="s">
        <v>35</v>
      </c>
      <c r="AB7" s="2" t="s">
        <v>35</v>
      </c>
      <c r="AC7" s="2" t="s">
        <v>35</v>
      </c>
      <c r="AD7" s="2" t="s">
        <v>35</v>
      </c>
      <c r="AE7" s="2" t="s">
        <v>1117</v>
      </c>
      <c r="AF7" s="11">
        <v>44743.590972164355</v>
      </c>
      <c r="AG7" s="53"/>
      <c r="AH7" s="53" t="b">
        <f t="shared" si="0"/>
        <v>0</v>
      </c>
      <c r="AI7" s="54" t="s">
        <v>9795</v>
      </c>
      <c r="AJ7" s="2"/>
      <c r="AK7" s="2"/>
      <c r="AL7" s="2"/>
      <c r="AM7" s="2"/>
      <c r="AN7" s="2"/>
    </row>
    <row r="8" spans="1:40" ht="16" x14ac:dyDescent="0.2">
      <c r="A8" s="2" t="s">
        <v>1135</v>
      </c>
      <c r="B8" s="2">
        <v>342</v>
      </c>
      <c r="C8" s="2" t="b">
        <v>0</v>
      </c>
      <c r="D8" s="2" t="b">
        <v>0</v>
      </c>
      <c r="E8" s="2" t="b">
        <v>0</v>
      </c>
      <c r="F8" s="2" t="b">
        <v>0</v>
      </c>
      <c r="G8" s="2" t="s">
        <v>31</v>
      </c>
      <c r="H8" s="2" t="s">
        <v>1136</v>
      </c>
      <c r="I8" s="2" t="s">
        <v>1137</v>
      </c>
      <c r="J8" s="2" t="s">
        <v>35</v>
      </c>
      <c r="K8" s="2" t="s">
        <v>35</v>
      </c>
      <c r="L8" s="2" t="s">
        <v>35</v>
      </c>
      <c r="M8" s="2" t="s">
        <v>35</v>
      </c>
      <c r="N8" s="2" t="s">
        <v>35</v>
      </c>
      <c r="O8" s="11">
        <v>44743.613095613429</v>
      </c>
      <c r="P8" s="11">
        <v>44743.613250844908</v>
      </c>
      <c r="Q8" s="27">
        <v>1.5523147885687649E-4</v>
      </c>
      <c r="R8" s="27">
        <v>6.4258102065650746E-4</v>
      </c>
      <c r="S8" s="2">
        <v>0</v>
      </c>
      <c r="T8" s="2" t="s">
        <v>100</v>
      </c>
      <c r="U8" s="2" t="s">
        <v>101</v>
      </c>
      <c r="V8" s="2" t="s">
        <v>38</v>
      </c>
      <c r="W8" s="2" t="s">
        <v>35</v>
      </c>
      <c r="X8" s="2">
        <v>113</v>
      </c>
      <c r="Y8" s="2" t="s">
        <v>35</v>
      </c>
      <c r="Z8" s="2" t="b">
        <v>0</v>
      </c>
      <c r="AA8" s="2" t="s">
        <v>35</v>
      </c>
      <c r="AB8" s="2" t="s">
        <v>35</v>
      </c>
      <c r="AC8" s="2" t="s">
        <v>35</v>
      </c>
      <c r="AD8" s="2" t="s">
        <v>35</v>
      </c>
      <c r="AE8" s="2" t="s">
        <v>1117</v>
      </c>
      <c r="AF8" s="11">
        <v>44743.590972164355</v>
      </c>
      <c r="AG8" s="53"/>
      <c r="AH8" s="53" t="b">
        <f t="shared" si="0"/>
        <v>0</v>
      </c>
      <c r="AI8" s="54" t="s">
        <v>9796</v>
      </c>
      <c r="AJ8" s="2"/>
      <c r="AK8" s="2"/>
      <c r="AL8" s="2"/>
      <c r="AM8" s="2"/>
      <c r="AN8" s="2"/>
    </row>
    <row r="9" spans="1:40" ht="16" x14ac:dyDescent="0.2">
      <c r="A9" s="2" t="s">
        <v>3584</v>
      </c>
      <c r="B9" s="2">
        <v>1114</v>
      </c>
      <c r="C9" s="2" t="b">
        <v>0</v>
      </c>
      <c r="D9" s="2" t="b">
        <v>0</v>
      </c>
      <c r="E9" s="2" t="b">
        <v>0</v>
      </c>
      <c r="F9" s="2" t="b">
        <v>0</v>
      </c>
      <c r="G9" s="2" t="s">
        <v>31</v>
      </c>
      <c r="H9" s="2" t="s">
        <v>3585</v>
      </c>
      <c r="I9" s="2" t="s">
        <v>3586</v>
      </c>
      <c r="J9" s="2" t="s">
        <v>35</v>
      </c>
      <c r="K9" s="2" t="s">
        <v>35</v>
      </c>
      <c r="L9" s="2" t="s">
        <v>35</v>
      </c>
      <c r="M9" s="2" t="s">
        <v>35</v>
      </c>
      <c r="N9" s="2" t="s">
        <v>35</v>
      </c>
      <c r="O9" s="11">
        <v>44769.419076782404</v>
      </c>
      <c r="P9" s="11">
        <v>44769.419198553238</v>
      </c>
      <c r="Q9" s="27">
        <v>1.2177083408460021E-4</v>
      </c>
      <c r="R9" s="27">
        <v>4.5576388947665691E-4</v>
      </c>
      <c r="S9" s="2">
        <v>0</v>
      </c>
      <c r="T9" s="2" t="s">
        <v>100</v>
      </c>
      <c r="U9" s="2" t="s">
        <v>101</v>
      </c>
      <c r="V9" s="2" t="s">
        <v>38</v>
      </c>
      <c r="W9" s="2" t="s">
        <v>35</v>
      </c>
      <c r="X9" s="2">
        <v>110</v>
      </c>
      <c r="Y9" s="2" t="s">
        <v>35</v>
      </c>
      <c r="Z9" s="2" t="b">
        <v>0</v>
      </c>
      <c r="AA9" s="2" t="s">
        <v>35</v>
      </c>
      <c r="AB9" s="2" t="s">
        <v>35</v>
      </c>
      <c r="AC9" s="2" t="s">
        <v>35</v>
      </c>
      <c r="AD9" s="2" t="s">
        <v>35</v>
      </c>
      <c r="AE9" s="2" t="s">
        <v>2840</v>
      </c>
      <c r="AF9" s="11">
        <v>44769.384722222225</v>
      </c>
      <c r="AG9" s="53"/>
      <c r="AH9" s="53" t="b">
        <f t="shared" si="0"/>
        <v>0</v>
      </c>
      <c r="AI9" s="54" t="s">
        <v>9797</v>
      </c>
      <c r="AJ9" s="2"/>
      <c r="AK9" s="2"/>
      <c r="AL9" s="2"/>
      <c r="AM9" s="2"/>
      <c r="AN9" s="2"/>
    </row>
    <row r="10" spans="1:40" ht="16" x14ac:dyDescent="0.2">
      <c r="A10" s="2" t="s">
        <v>261</v>
      </c>
      <c r="B10" s="2">
        <v>67</v>
      </c>
      <c r="C10" s="2" t="b">
        <v>0</v>
      </c>
      <c r="D10" s="2" t="b">
        <v>0</v>
      </c>
      <c r="E10" s="2" t="b">
        <v>0</v>
      </c>
      <c r="F10" s="2" t="b">
        <v>1</v>
      </c>
      <c r="G10" s="2" t="s">
        <v>31</v>
      </c>
      <c r="H10" s="2" t="s">
        <v>262</v>
      </c>
      <c r="I10" s="2" t="s">
        <v>263</v>
      </c>
      <c r="J10" s="2" t="s">
        <v>264</v>
      </c>
      <c r="K10" s="2" t="s">
        <v>35</v>
      </c>
      <c r="L10" s="2">
        <v>13</v>
      </c>
      <c r="M10" s="2" t="s">
        <v>35</v>
      </c>
      <c r="N10" s="2" t="s">
        <v>35</v>
      </c>
      <c r="O10" s="11">
        <v>44729.710955462964</v>
      </c>
      <c r="P10" s="11">
        <v>44729.712188124999</v>
      </c>
      <c r="Q10" s="27">
        <v>1.2326620344538242E-3</v>
      </c>
      <c r="R10" s="27">
        <v>4.291979166737292E-3</v>
      </c>
      <c r="S10" s="2">
        <v>0</v>
      </c>
      <c r="T10" s="2" t="s">
        <v>265</v>
      </c>
      <c r="U10" s="2" t="s">
        <v>266</v>
      </c>
      <c r="V10" s="2" t="s">
        <v>38</v>
      </c>
      <c r="W10" s="2" t="s">
        <v>35</v>
      </c>
      <c r="X10" s="2" t="s">
        <v>35</v>
      </c>
      <c r="Y10" s="2" t="s">
        <v>35</v>
      </c>
      <c r="Z10" s="2" t="b">
        <v>0</v>
      </c>
      <c r="AA10" s="2" t="s">
        <v>35</v>
      </c>
      <c r="AB10" s="2" t="s">
        <v>35</v>
      </c>
      <c r="AC10" s="2" t="s">
        <v>35</v>
      </c>
      <c r="AD10" s="2" t="s">
        <v>35</v>
      </c>
      <c r="AE10" s="2" t="s">
        <v>207</v>
      </c>
      <c r="AF10" s="11">
        <v>44729.65</v>
      </c>
      <c r="AG10" s="53"/>
      <c r="AH10" s="53" t="str">
        <f t="shared" ref="AH10:AH41" si="1">IF(Q10&gt;TIME(0,1,4),"TRUE")</f>
        <v>TRUE</v>
      </c>
      <c r="AI10" s="54" t="s">
        <v>9855</v>
      </c>
      <c r="AJ10" s="2"/>
      <c r="AK10" s="2"/>
      <c r="AL10" s="2"/>
      <c r="AM10" s="2"/>
      <c r="AN10" s="2"/>
    </row>
    <row r="11" spans="1:40" ht="16" x14ac:dyDescent="0.2">
      <c r="A11" s="2" t="s">
        <v>267</v>
      </c>
      <c r="B11" s="2">
        <v>68</v>
      </c>
      <c r="C11" s="2" t="b">
        <v>0</v>
      </c>
      <c r="D11" s="2" t="b">
        <v>0</v>
      </c>
      <c r="E11" s="2" t="b">
        <v>0</v>
      </c>
      <c r="F11" s="2" t="b">
        <v>1</v>
      </c>
      <c r="G11" s="2" t="s">
        <v>31</v>
      </c>
      <c r="H11" s="2" t="s">
        <v>268</v>
      </c>
      <c r="I11" s="2" t="s">
        <v>269</v>
      </c>
      <c r="J11" s="2" t="s">
        <v>270</v>
      </c>
      <c r="K11" s="2" t="s">
        <v>35</v>
      </c>
      <c r="L11" s="2">
        <v>11</v>
      </c>
      <c r="M11" s="2" t="s">
        <v>35</v>
      </c>
      <c r="N11" s="2" t="s">
        <v>35</v>
      </c>
      <c r="O11" s="11">
        <v>44729.71243378472</v>
      </c>
      <c r="P11" s="11">
        <v>44729.713172048614</v>
      </c>
      <c r="Q11" s="27">
        <v>7.3826389416353777E-4</v>
      </c>
      <c r="R11" s="27">
        <v>9.8392361542209983E-4</v>
      </c>
      <c r="S11" s="2">
        <v>0</v>
      </c>
      <c r="T11" s="2" t="s">
        <v>265</v>
      </c>
      <c r="U11" s="2" t="s">
        <v>266</v>
      </c>
      <c r="V11" s="2" t="s">
        <v>38</v>
      </c>
      <c r="W11" s="2" t="s">
        <v>35</v>
      </c>
      <c r="X11" s="2" t="s">
        <v>35</v>
      </c>
      <c r="Y11" s="2" t="s">
        <v>35</v>
      </c>
      <c r="Z11" s="2" t="b">
        <v>0</v>
      </c>
      <c r="AA11" s="2" t="s">
        <v>35</v>
      </c>
      <c r="AB11" s="2" t="s">
        <v>35</v>
      </c>
      <c r="AC11" s="2" t="s">
        <v>35</v>
      </c>
      <c r="AD11" s="2" t="s">
        <v>35</v>
      </c>
      <c r="AE11" s="2" t="s">
        <v>207</v>
      </c>
      <c r="AF11" s="11">
        <v>44729.65</v>
      </c>
      <c r="AG11" s="53"/>
      <c r="AH11" s="53" t="b">
        <f t="shared" si="1"/>
        <v>0</v>
      </c>
      <c r="AI11" s="54" t="s">
        <v>9856</v>
      </c>
      <c r="AJ11" s="2"/>
      <c r="AK11" s="2"/>
      <c r="AL11" s="2"/>
      <c r="AM11" s="2"/>
      <c r="AN11" s="2"/>
    </row>
    <row r="12" spans="1:40" ht="16" x14ac:dyDescent="0.2">
      <c r="A12" s="2" t="s">
        <v>275</v>
      </c>
      <c r="B12" s="2">
        <v>70</v>
      </c>
      <c r="C12" s="2" t="b">
        <v>0</v>
      </c>
      <c r="D12" s="2" t="b">
        <v>0</v>
      </c>
      <c r="E12" s="2" t="b">
        <v>0</v>
      </c>
      <c r="F12" s="2" t="b">
        <v>1</v>
      </c>
      <c r="G12" s="2" t="s">
        <v>31</v>
      </c>
      <c r="H12" s="2" t="s">
        <v>276</v>
      </c>
      <c r="I12" s="2" t="s">
        <v>277</v>
      </c>
      <c r="J12" s="2" t="s">
        <v>278</v>
      </c>
      <c r="K12" s="2" t="s">
        <v>35</v>
      </c>
      <c r="L12" s="2">
        <v>11</v>
      </c>
      <c r="M12" s="2" t="s">
        <v>35</v>
      </c>
      <c r="N12" s="2" t="s">
        <v>35</v>
      </c>
      <c r="O12" s="11">
        <v>44729.730478900463</v>
      </c>
      <c r="P12" s="11">
        <v>44729.730823391204</v>
      </c>
      <c r="Q12" s="27">
        <v>3.4449074155418202E-4</v>
      </c>
      <c r="R12" s="27">
        <v>4.7402083364431746E-3</v>
      </c>
      <c r="S12" s="2">
        <v>0</v>
      </c>
      <c r="T12" s="2" t="s">
        <v>265</v>
      </c>
      <c r="U12" s="2" t="s">
        <v>266</v>
      </c>
      <c r="V12" s="2" t="s">
        <v>38</v>
      </c>
      <c r="W12" s="2" t="s">
        <v>35</v>
      </c>
      <c r="X12" s="2" t="s">
        <v>35</v>
      </c>
      <c r="Y12" s="2" t="s">
        <v>35</v>
      </c>
      <c r="Z12" s="2" t="b">
        <v>0</v>
      </c>
      <c r="AA12" s="2" t="s">
        <v>35</v>
      </c>
      <c r="AB12" s="2" t="s">
        <v>35</v>
      </c>
      <c r="AC12" s="2" t="s">
        <v>35</v>
      </c>
      <c r="AD12" s="2" t="s">
        <v>35</v>
      </c>
      <c r="AE12" s="2" t="s">
        <v>207</v>
      </c>
      <c r="AF12" s="11">
        <v>44729.65</v>
      </c>
      <c r="AG12" s="53"/>
      <c r="AH12" s="53" t="b">
        <f t="shared" si="1"/>
        <v>0</v>
      </c>
      <c r="AI12" s="54" t="s">
        <v>9716</v>
      </c>
      <c r="AJ12" s="2"/>
      <c r="AK12" s="2"/>
      <c r="AL12" s="2"/>
      <c r="AM12" s="2"/>
      <c r="AN12" s="2"/>
    </row>
    <row r="13" spans="1:40" ht="16" x14ac:dyDescent="0.2">
      <c r="A13" s="2" t="s">
        <v>279</v>
      </c>
      <c r="B13" s="2">
        <v>71</v>
      </c>
      <c r="C13" s="2" t="b">
        <v>0</v>
      </c>
      <c r="D13" s="2" t="b">
        <v>0</v>
      </c>
      <c r="E13" s="2" t="b">
        <v>0</v>
      </c>
      <c r="F13" s="2" t="b">
        <v>1</v>
      </c>
      <c r="G13" s="2" t="s">
        <v>31</v>
      </c>
      <c r="H13" s="2" t="s">
        <v>280</v>
      </c>
      <c r="I13" s="2" t="s">
        <v>269</v>
      </c>
      <c r="J13" s="2" t="s">
        <v>281</v>
      </c>
      <c r="K13" s="2" t="s">
        <v>35</v>
      </c>
      <c r="L13" s="2">
        <v>13</v>
      </c>
      <c r="M13" s="2" t="s">
        <v>35</v>
      </c>
      <c r="N13" s="2" t="s">
        <v>35</v>
      </c>
      <c r="O13" s="11">
        <v>44729.730997638886</v>
      </c>
      <c r="P13" s="11">
        <v>44729.731314178243</v>
      </c>
      <c r="Q13" s="27">
        <v>3.1653935729991645E-4</v>
      </c>
      <c r="R13" s="27">
        <v>4.9078703887062147E-4</v>
      </c>
      <c r="S13" s="2">
        <v>0</v>
      </c>
      <c r="T13" s="2" t="s">
        <v>265</v>
      </c>
      <c r="U13" s="2" t="s">
        <v>266</v>
      </c>
      <c r="V13" s="2" t="s">
        <v>38</v>
      </c>
      <c r="W13" s="2" t="s">
        <v>35</v>
      </c>
      <c r="X13" s="2" t="s">
        <v>35</v>
      </c>
      <c r="Y13" s="2" t="s">
        <v>35</v>
      </c>
      <c r="Z13" s="2" t="b">
        <v>0</v>
      </c>
      <c r="AA13" s="2" t="s">
        <v>35</v>
      </c>
      <c r="AB13" s="2" t="s">
        <v>35</v>
      </c>
      <c r="AC13" s="2" t="s">
        <v>35</v>
      </c>
      <c r="AD13" s="2" t="s">
        <v>35</v>
      </c>
      <c r="AE13" s="2" t="s">
        <v>207</v>
      </c>
      <c r="AF13" s="11">
        <v>44729.65</v>
      </c>
      <c r="AG13" s="53"/>
      <c r="AH13" s="53" t="b">
        <f t="shared" si="1"/>
        <v>0</v>
      </c>
      <c r="AI13" s="54" t="s">
        <v>9857</v>
      </c>
      <c r="AJ13" s="2"/>
      <c r="AK13" s="2"/>
      <c r="AL13" s="2"/>
      <c r="AM13" s="2"/>
      <c r="AN13" s="2"/>
    </row>
    <row r="14" spans="1:40" ht="16" x14ac:dyDescent="0.2">
      <c r="A14" s="2" t="s">
        <v>282</v>
      </c>
      <c r="B14" s="2">
        <v>72</v>
      </c>
      <c r="C14" s="2" t="b">
        <v>0</v>
      </c>
      <c r="D14" s="2" t="b">
        <v>0</v>
      </c>
      <c r="E14" s="2" t="b">
        <v>0</v>
      </c>
      <c r="F14" s="2" t="b">
        <v>1</v>
      </c>
      <c r="G14" s="2" t="s">
        <v>31</v>
      </c>
      <c r="H14" s="2" t="s">
        <v>283</v>
      </c>
      <c r="I14" s="2" t="s">
        <v>284</v>
      </c>
      <c r="J14" s="2" t="s">
        <v>281</v>
      </c>
      <c r="K14" s="2" t="s">
        <v>35</v>
      </c>
      <c r="L14" s="2">
        <v>12</v>
      </c>
      <c r="M14" s="2" t="s">
        <v>35</v>
      </c>
      <c r="N14" s="2" t="s">
        <v>35</v>
      </c>
      <c r="O14" s="11">
        <v>44729.731803831019</v>
      </c>
      <c r="P14" s="11">
        <v>44729.732245902778</v>
      </c>
      <c r="Q14" s="27">
        <v>4.4207175960764289E-4</v>
      </c>
      <c r="R14" s="27">
        <v>9.3172453489387408E-4</v>
      </c>
      <c r="S14" s="2">
        <v>0</v>
      </c>
      <c r="T14" s="2" t="s">
        <v>265</v>
      </c>
      <c r="U14" s="2" t="s">
        <v>266</v>
      </c>
      <c r="V14" s="2" t="s">
        <v>38</v>
      </c>
      <c r="W14" s="2" t="s">
        <v>35</v>
      </c>
      <c r="X14" s="2" t="s">
        <v>35</v>
      </c>
      <c r="Y14" s="2" t="s">
        <v>35</v>
      </c>
      <c r="Z14" s="2" t="b">
        <v>0</v>
      </c>
      <c r="AA14" s="2" t="s">
        <v>35</v>
      </c>
      <c r="AB14" s="2" t="s">
        <v>35</v>
      </c>
      <c r="AC14" s="2" t="s">
        <v>35</v>
      </c>
      <c r="AD14" s="2" t="s">
        <v>35</v>
      </c>
      <c r="AE14" s="2" t="s">
        <v>207</v>
      </c>
      <c r="AF14" s="11">
        <v>44729.65</v>
      </c>
      <c r="AG14" s="53"/>
      <c r="AH14" s="53" t="b">
        <f t="shared" si="1"/>
        <v>0</v>
      </c>
      <c r="AI14" s="54" t="s">
        <v>9714</v>
      </c>
      <c r="AJ14" s="2"/>
      <c r="AK14" s="2"/>
      <c r="AL14" s="2"/>
      <c r="AM14" s="2"/>
      <c r="AN14" s="2"/>
    </row>
    <row r="15" spans="1:40" ht="16" x14ac:dyDescent="0.2">
      <c r="A15" s="2" t="s">
        <v>285</v>
      </c>
      <c r="B15" s="2">
        <v>73</v>
      </c>
      <c r="C15" s="2" t="b">
        <v>0</v>
      </c>
      <c r="D15" s="2" t="b">
        <v>0</v>
      </c>
      <c r="E15" s="2" t="b">
        <v>0</v>
      </c>
      <c r="F15" s="2" t="b">
        <v>1</v>
      </c>
      <c r="G15" s="2" t="s">
        <v>31</v>
      </c>
      <c r="H15" s="2" t="s">
        <v>286</v>
      </c>
      <c r="I15" s="2" t="s">
        <v>287</v>
      </c>
      <c r="J15" s="2" t="s">
        <v>281</v>
      </c>
      <c r="K15" s="2" t="s">
        <v>35</v>
      </c>
      <c r="L15" s="2">
        <v>11</v>
      </c>
      <c r="M15" s="2" t="s">
        <v>35</v>
      </c>
      <c r="N15" s="2" t="s">
        <v>35</v>
      </c>
      <c r="O15" s="11">
        <v>44729.732348101854</v>
      </c>
      <c r="P15" s="11">
        <v>44729.732645289354</v>
      </c>
      <c r="Q15" s="27">
        <v>2.971875001094304E-4</v>
      </c>
      <c r="R15" s="27">
        <v>3.993865757365711E-4</v>
      </c>
      <c r="S15" s="2">
        <v>0</v>
      </c>
      <c r="T15" s="2" t="s">
        <v>265</v>
      </c>
      <c r="U15" s="2" t="s">
        <v>266</v>
      </c>
      <c r="V15" s="2" t="s">
        <v>38</v>
      </c>
      <c r="W15" s="2" t="s">
        <v>35</v>
      </c>
      <c r="X15" s="2" t="s">
        <v>35</v>
      </c>
      <c r="Y15" s="2" t="s">
        <v>35</v>
      </c>
      <c r="Z15" s="2" t="b">
        <v>0</v>
      </c>
      <c r="AA15" s="2" t="s">
        <v>35</v>
      </c>
      <c r="AB15" s="2" t="s">
        <v>35</v>
      </c>
      <c r="AC15" s="2" t="s">
        <v>35</v>
      </c>
      <c r="AD15" s="2" t="s">
        <v>35</v>
      </c>
      <c r="AE15" s="2" t="s">
        <v>207</v>
      </c>
      <c r="AF15" s="11">
        <v>44729.65</v>
      </c>
      <c r="AG15" s="53"/>
      <c r="AH15" s="53" t="b">
        <f t="shared" si="1"/>
        <v>0</v>
      </c>
      <c r="AI15" s="54" t="s">
        <v>9858</v>
      </c>
      <c r="AJ15" s="2"/>
      <c r="AK15" s="2"/>
      <c r="AL15" s="2"/>
      <c r="AM15" s="2"/>
      <c r="AN15" s="2"/>
    </row>
    <row r="16" spans="1:40" ht="16" x14ac:dyDescent="0.2">
      <c r="A16" s="2" t="s">
        <v>307</v>
      </c>
      <c r="B16" s="2">
        <v>81</v>
      </c>
      <c r="C16" s="2" t="b">
        <v>0</v>
      </c>
      <c r="D16" s="2" t="b">
        <v>0</v>
      </c>
      <c r="E16" s="2" t="b">
        <v>0</v>
      </c>
      <c r="F16" s="2" t="b">
        <v>1</v>
      </c>
      <c r="G16" s="2" t="s">
        <v>31</v>
      </c>
      <c r="H16" s="2" t="s">
        <v>308</v>
      </c>
      <c r="I16" s="2" t="s">
        <v>309</v>
      </c>
      <c r="J16" s="2" t="s">
        <v>281</v>
      </c>
      <c r="K16" s="2" t="s">
        <v>35</v>
      </c>
      <c r="L16" s="2">
        <v>12</v>
      </c>
      <c r="M16" s="2" t="s">
        <v>35</v>
      </c>
      <c r="N16" s="2" t="s">
        <v>35</v>
      </c>
      <c r="O16" s="11">
        <v>44735.407535023151</v>
      </c>
      <c r="P16" s="11">
        <v>44735.408239444441</v>
      </c>
      <c r="Q16" s="27">
        <v>7.0442129072034732E-4</v>
      </c>
      <c r="R16" s="27">
        <v>1.0489467531442642E-3</v>
      </c>
      <c r="S16" s="2">
        <v>0</v>
      </c>
      <c r="T16" s="2" t="s">
        <v>265</v>
      </c>
      <c r="U16" s="2" t="s">
        <v>266</v>
      </c>
      <c r="V16" s="2" t="s">
        <v>38</v>
      </c>
      <c r="W16" s="2" t="s">
        <v>35</v>
      </c>
      <c r="X16" s="2" t="s">
        <v>35</v>
      </c>
      <c r="Y16" s="2" t="s">
        <v>35</v>
      </c>
      <c r="Z16" s="2" t="b">
        <v>0</v>
      </c>
      <c r="AA16" s="2" t="s">
        <v>35</v>
      </c>
      <c r="AB16" s="2" t="s">
        <v>35</v>
      </c>
      <c r="AC16" s="2" t="s">
        <v>35</v>
      </c>
      <c r="AD16" s="2" t="s">
        <v>35</v>
      </c>
      <c r="AE16" s="2" t="s">
        <v>207</v>
      </c>
      <c r="AF16" s="11">
        <v>44735.40625</v>
      </c>
      <c r="AG16" s="53"/>
      <c r="AH16" s="53" t="b">
        <f t="shared" si="1"/>
        <v>0</v>
      </c>
      <c r="AI16" s="54" t="s">
        <v>9713</v>
      </c>
      <c r="AJ16" s="2"/>
      <c r="AK16" s="2"/>
      <c r="AL16" s="2"/>
      <c r="AM16" s="2"/>
      <c r="AN16" s="2"/>
    </row>
    <row r="17" spans="1:40" ht="16" x14ac:dyDescent="0.2">
      <c r="A17" s="2" t="s">
        <v>314</v>
      </c>
      <c r="B17" s="2">
        <v>83</v>
      </c>
      <c r="C17" s="2" t="b">
        <v>0</v>
      </c>
      <c r="D17" s="2" t="b">
        <v>0</v>
      </c>
      <c r="E17" s="2" t="b">
        <v>0</v>
      </c>
      <c r="F17" s="2" t="b">
        <v>1</v>
      </c>
      <c r="G17" s="2" t="s">
        <v>31</v>
      </c>
      <c r="H17" s="2" t="s">
        <v>315</v>
      </c>
      <c r="I17" s="2" t="s">
        <v>316</v>
      </c>
      <c r="J17" s="2" t="s">
        <v>281</v>
      </c>
      <c r="K17" s="2" t="s">
        <v>35</v>
      </c>
      <c r="L17" s="2">
        <v>12</v>
      </c>
      <c r="M17" s="2" t="s">
        <v>35</v>
      </c>
      <c r="N17" s="2" t="s">
        <v>35</v>
      </c>
      <c r="O17" s="11">
        <v>44735.409953252318</v>
      </c>
      <c r="P17" s="11">
        <v>44735.410521412035</v>
      </c>
      <c r="Q17" s="27">
        <v>5.6815971765900031E-4</v>
      </c>
      <c r="R17" s="27">
        <v>7.1555555041413754E-4</v>
      </c>
      <c r="S17" s="2">
        <v>0</v>
      </c>
      <c r="T17" s="2" t="s">
        <v>265</v>
      </c>
      <c r="U17" s="2" t="s">
        <v>266</v>
      </c>
      <c r="V17" s="2" t="s">
        <v>38</v>
      </c>
      <c r="W17" s="2" t="s">
        <v>35</v>
      </c>
      <c r="X17" s="2" t="s">
        <v>35</v>
      </c>
      <c r="Y17" s="2" t="s">
        <v>35</v>
      </c>
      <c r="Z17" s="2" t="b">
        <v>0</v>
      </c>
      <c r="AA17" s="2" t="s">
        <v>35</v>
      </c>
      <c r="AB17" s="2" t="s">
        <v>35</v>
      </c>
      <c r="AC17" s="2" t="s">
        <v>35</v>
      </c>
      <c r="AD17" s="2" t="s">
        <v>35</v>
      </c>
      <c r="AE17" s="2" t="s">
        <v>207</v>
      </c>
      <c r="AF17" s="11">
        <v>44735.40625</v>
      </c>
      <c r="AG17" s="53"/>
      <c r="AH17" s="53" t="b">
        <f t="shared" si="1"/>
        <v>0</v>
      </c>
      <c r="AI17" s="54" t="s">
        <v>9859</v>
      </c>
      <c r="AJ17" s="2"/>
      <c r="AK17" s="2"/>
      <c r="AL17" s="2"/>
      <c r="AM17" s="2"/>
      <c r="AN17" s="2"/>
    </row>
    <row r="18" spans="1:40" ht="16" x14ac:dyDescent="0.2">
      <c r="A18" s="2" t="s">
        <v>493</v>
      </c>
      <c r="B18" s="2">
        <v>140</v>
      </c>
      <c r="C18" s="2" t="b">
        <v>0</v>
      </c>
      <c r="D18" s="2" t="b">
        <v>0</v>
      </c>
      <c r="E18" s="2" t="b">
        <v>0</v>
      </c>
      <c r="F18" s="2" t="b">
        <v>0</v>
      </c>
      <c r="G18" s="2" t="s">
        <v>31</v>
      </c>
      <c r="H18" s="2" t="s">
        <v>494</v>
      </c>
      <c r="I18" s="2" t="s">
        <v>495</v>
      </c>
      <c r="J18" s="2" t="s">
        <v>35</v>
      </c>
      <c r="K18" s="2" t="s">
        <v>35</v>
      </c>
      <c r="L18" s="2">
        <v>10</v>
      </c>
      <c r="M18" s="2" t="s">
        <v>35</v>
      </c>
      <c r="N18" s="2" t="s">
        <v>35</v>
      </c>
      <c r="O18" s="11">
        <v>44736.390081365738</v>
      </c>
      <c r="P18" s="11">
        <v>44736.390578275466</v>
      </c>
      <c r="Q18" s="27">
        <v>4.9690972809912637E-4</v>
      </c>
      <c r="R18" s="27">
        <v>1.9998726857011206E-3</v>
      </c>
      <c r="S18" s="2">
        <v>0</v>
      </c>
      <c r="T18" s="2" t="s">
        <v>265</v>
      </c>
      <c r="U18" s="2" t="s">
        <v>266</v>
      </c>
      <c r="V18" s="2" t="s">
        <v>38</v>
      </c>
      <c r="W18" s="2" t="s">
        <v>35</v>
      </c>
      <c r="X18" s="2" t="s">
        <v>35</v>
      </c>
      <c r="Y18" s="2" t="s">
        <v>35</v>
      </c>
      <c r="Z18" s="2" t="b">
        <v>0</v>
      </c>
      <c r="AA18" s="2" t="s">
        <v>35</v>
      </c>
      <c r="AB18" s="2" t="s">
        <v>35</v>
      </c>
      <c r="AC18" s="2" t="s">
        <v>35</v>
      </c>
      <c r="AD18" s="2" t="s">
        <v>35</v>
      </c>
      <c r="AE18" s="2" t="s">
        <v>492</v>
      </c>
      <c r="AF18" s="11">
        <v>44736.387499999997</v>
      </c>
      <c r="AG18" s="53"/>
      <c r="AH18" s="53" t="b">
        <f t="shared" si="1"/>
        <v>0</v>
      </c>
      <c r="AI18" s="54" t="s">
        <v>9712</v>
      </c>
      <c r="AJ18" s="2"/>
      <c r="AK18" s="2"/>
      <c r="AL18" s="2"/>
      <c r="AM18" s="2"/>
      <c r="AN18" s="2"/>
    </row>
    <row r="19" spans="1:40" ht="16" x14ac:dyDescent="0.2">
      <c r="A19" s="2" t="s">
        <v>496</v>
      </c>
      <c r="B19" s="2">
        <v>141</v>
      </c>
      <c r="C19" s="2" t="b">
        <v>0</v>
      </c>
      <c r="D19" s="2" t="b">
        <v>0</v>
      </c>
      <c r="E19" s="2" t="b">
        <v>0</v>
      </c>
      <c r="F19" s="2" t="b">
        <v>0</v>
      </c>
      <c r="G19" s="2" t="s">
        <v>31</v>
      </c>
      <c r="H19" s="2" t="s">
        <v>497</v>
      </c>
      <c r="I19" s="2" t="s">
        <v>498</v>
      </c>
      <c r="J19" s="2" t="s">
        <v>35</v>
      </c>
      <c r="K19" s="2" t="s">
        <v>35</v>
      </c>
      <c r="L19" s="2">
        <v>10</v>
      </c>
      <c r="M19" s="2" t="s">
        <v>35</v>
      </c>
      <c r="N19" s="2" t="s">
        <v>35</v>
      </c>
      <c r="O19" s="11">
        <v>44736.390620034719</v>
      </c>
      <c r="P19" s="11">
        <v>44736.391001053242</v>
      </c>
      <c r="Q19" s="27">
        <v>3.8101852260297164E-4</v>
      </c>
      <c r="R19" s="27">
        <v>4.2277777538402006E-4</v>
      </c>
      <c r="S19" s="2">
        <v>0</v>
      </c>
      <c r="T19" s="2" t="s">
        <v>265</v>
      </c>
      <c r="U19" s="2" t="s">
        <v>266</v>
      </c>
      <c r="V19" s="2" t="s">
        <v>38</v>
      </c>
      <c r="W19" s="2" t="s">
        <v>35</v>
      </c>
      <c r="X19" s="2" t="s">
        <v>35</v>
      </c>
      <c r="Y19" s="2" t="s">
        <v>35</v>
      </c>
      <c r="Z19" s="2" t="b">
        <v>0</v>
      </c>
      <c r="AA19" s="2" t="s">
        <v>35</v>
      </c>
      <c r="AB19" s="2" t="s">
        <v>35</v>
      </c>
      <c r="AC19" s="2" t="s">
        <v>35</v>
      </c>
      <c r="AD19" s="2" t="s">
        <v>35</v>
      </c>
      <c r="AE19" s="2" t="s">
        <v>492</v>
      </c>
      <c r="AF19" s="11">
        <v>44736.387499942131</v>
      </c>
      <c r="AG19" s="53"/>
      <c r="AH19" s="53" t="b">
        <f t="shared" si="1"/>
        <v>0</v>
      </c>
      <c r="AI19" s="54" t="s">
        <v>9860</v>
      </c>
      <c r="AJ19" s="2"/>
      <c r="AK19" s="2"/>
      <c r="AL19" s="2"/>
      <c r="AM19" s="2"/>
      <c r="AN19" s="2"/>
    </row>
    <row r="20" spans="1:40" ht="16" x14ac:dyDescent="0.2">
      <c r="A20" s="2" t="s">
        <v>502</v>
      </c>
      <c r="B20" s="2">
        <v>143</v>
      </c>
      <c r="C20" s="2" t="b">
        <v>0</v>
      </c>
      <c r="D20" s="2" t="b">
        <v>0</v>
      </c>
      <c r="E20" s="2" t="b">
        <v>0</v>
      </c>
      <c r="F20" s="2" t="b">
        <v>0</v>
      </c>
      <c r="G20" s="2" t="s">
        <v>31</v>
      </c>
      <c r="H20" s="2" t="s">
        <v>503</v>
      </c>
      <c r="I20" s="2" t="s">
        <v>504</v>
      </c>
      <c r="J20" s="2" t="s">
        <v>35</v>
      </c>
      <c r="K20" s="2" t="s">
        <v>35</v>
      </c>
      <c r="L20" s="2">
        <v>10</v>
      </c>
      <c r="M20" s="2" t="s">
        <v>35</v>
      </c>
      <c r="N20" s="2" t="s">
        <v>35</v>
      </c>
      <c r="O20" s="11">
        <v>44736.391525289349</v>
      </c>
      <c r="P20" s="11">
        <v>44736.391750925926</v>
      </c>
      <c r="Q20" s="27">
        <v>2.2563657694263384E-4</v>
      </c>
      <c r="R20" s="27">
        <v>4.9815972306532785E-4</v>
      </c>
      <c r="S20" s="2">
        <v>0</v>
      </c>
      <c r="T20" s="2" t="s">
        <v>265</v>
      </c>
      <c r="U20" s="2" t="s">
        <v>266</v>
      </c>
      <c r="V20" s="2" t="s">
        <v>38</v>
      </c>
      <c r="W20" s="2" t="s">
        <v>35</v>
      </c>
      <c r="X20" s="2" t="s">
        <v>35</v>
      </c>
      <c r="Y20" s="2" t="s">
        <v>35</v>
      </c>
      <c r="Z20" s="2" t="b">
        <v>0</v>
      </c>
      <c r="AA20" s="2" t="s">
        <v>35</v>
      </c>
      <c r="AB20" s="2" t="s">
        <v>35</v>
      </c>
      <c r="AC20" s="2" t="s">
        <v>35</v>
      </c>
      <c r="AD20" s="2" t="s">
        <v>35</v>
      </c>
      <c r="AE20" s="2" t="s">
        <v>492</v>
      </c>
      <c r="AF20" s="11">
        <v>44736.387499942131</v>
      </c>
      <c r="AG20" s="53"/>
      <c r="AH20" s="53" t="b">
        <f t="shared" si="1"/>
        <v>0</v>
      </c>
      <c r="AI20" s="54" t="s">
        <v>9861</v>
      </c>
      <c r="AJ20" s="2"/>
      <c r="AK20" s="2"/>
      <c r="AL20" s="2"/>
      <c r="AM20" s="2"/>
      <c r="AN20" s="2"/>
    </row>
    <row r="21" spans="1:40" ht="16" x14ac:dyDescent="0.2">
      <c r="A21" s="2" t="s">
        <v>508</v>
      </c>
      <c r="B21" s="2">
        <v>145</v>
      </c>
      <c r="C21" s="2" t="b">
        <v>0</v>
      </c>
      <c r="D21" s="2" t="b">
        <v>0</v>
      </c>
      <c r="E21" s="2" t="b">
        <v>0</v>
      </c>
      <c r="F21" s="2" t="b">
        <v>0</v>
      </c>
      <c r="G21" s="2" t="s">
        <v>31</v>
      </c>
      <c r="H21" s="2" t="s">
        <v>509</v>
      </c>
      <c r="I21" s="2" t="s">
        <v>510</v>
      </c>
      <c r="J21" s="2" t="s">
        <v>35</v>
      </c>
      <c r="K21" s="2" t="s">
        <v>35</v>
      </c>
      <c r="L21" s="2">
        <v>10</v>
      </c>
      <c r="M21" s="2" t="s">
        <v>35</v>
      </c>
      <c r="N21" s="2" t="s">
        <v>35</v>
      </c>
      <c r="O21" s="11">
        <v>44736.392065532411</v>
      </c>
      <c r="P21" s="11">
        <v>44736.392364803243</v>
      </c>
      <c r="Q21" s="27">
        <v>2.9927083232905716E-4</v>
      </c>
      <c r="R21" s="27">
        <v>3.695833365782164E-4</v>
      </c>
      <c r="S21" s="2">
        <v>0</v>
      </c>
      <c r="T21" s="2" t="s">
        <v>265</v>
      </c>
      <c r="U21" s="2" t="s">
        <v>266</v>
      </c>
      <c r="V21" s="2" t="s">
        <v>38</v>
      </c>
      <c r="W21" s="2" t="s">
        <v>35</v>
      </c>
      <c r="X21" s="2" t="s">
        <v>35</v>
      </c>
      <c r="Y21" s="2" t="s">
        <v>35</v>
      </c>
      <c r="Z21" s="2" t="b">
        <v>0</v>
      </c>
      <c r="AA21" s="2" t="s">
        <v>35</v>
      </c>
      <c r="AB21" s="2" t="s">
        <v>35</v>
      </c>
      <c r="AC21" s="2" t="s">
        <v>35</v>
      </c>
      <c r="AD21" s="2" t="s">
        <v>35</v>
      </c>
      <c r="AE21" s="2" t="s">
        <v>492</v>
      </c>
      <c r="AF21" s="11">
        <v>44736.387499942131</v>
      </c>
      <c r="AG21" s="53"/>
      <c r="AH21" s="53" t="b">
        <f t="shared" si="1"/>
        <v>0</v>
      </c>
      <c r="AI21" s="54" t="s">
        <v>9862</v>
      </c>
      <c r="AJ21" s="2"/>
      <c r="AK21" s="2"/>
      <c r="AL21" s="2"/>
      <c r="AM21" s="2"/>
      <c r="AN21" s="2"/>
    </row>
    <row r="22" spans="1:40" ht="16" x14ac:dyDescent="0.2">
      <c r="A22" s="2" t="s">
        <v>531</v>
      </c>
      <c r="B22" s="2">
        <v>152</v>
      </c>
      <c r="C22" s="2" t="b">
        <v>0</v>
      </c>
      <c r="D22" s="2" t="b">
        <v>0</v>
      </c>
      <c r="E22" s="2" t="b">
        <v>0</v>
      </c>
      <c r="F22" s="2" t="b">
        <v>1</v>
      </c>
      <c r="G22" s="2" t="s">
        <v>31</v>
      </c>
      <c r="H22" s="2" t="s">
        <v>532</v>
      </c>
      <c r="I22" s="2" t="s">
        <v>533</v>
      </c>
      <c r="J22" s="2" t="s">
        <v>281</v>
      </c>
      <c r="K22" s="2" t="s">
        <v>35</v>
      </c>
      <c r="L22" s="2">
        <v>11</v>
      </c>
      <c r="M22" s="2" t="s">
        <v>35</v>
      </c>
      <c r="N22" s="2" t="s">
        <v>35</v>
      </c>
      <c r="O22" s="11">
        <v>44736.39724395833</v>
      </c>
      <c r="P22" s="11">
        <v>44736.397790104165</v>
      </c>
      <c r="Q22" s="27">
        <v>5.4614583496004343E-4</v>
      </c>
      <c r="R22" s="27">
        <v>9.4201388856163248E-4</v>
      </c>
      <c r="S22" s="2">
        <v>0</v>
      </c>
      <c r="T22" s="2" t="s">
        <v>265</v>
      </c>
      <c r="U22" s="2" t="s">
        <v>266</v>
      </c>
      <c r="V22" s="2" t="s">
        <v>38</v>
      </c>
      <c r="W22" s="2" t="s">
        <v>35</v>
      </c>
      <c r="X22" s="2" t="s">
        <v>35</v>
      </c>
      <c r="Y22" s="2" t="s">
        <v>35</v>
      </c>
      <c r="Z22" s="2" t="b">
        <v>0</v>
      </c>
      <c r="AA22" s="2" t="s">
        <v>35</v>
      </c>
      <c r="AB22" s="2" t="s">
        <v>35</v>
      </c>
      <c r="AC22" s="2" t="s">
        <v>35</v>
      </c>
      <c r="AD22" s="2" t="s">
        <v>35</v>
      </c>
      <c r="AE22" s="2" t="s">
        <v>492</v>
      </c>
      <c r="AF22" s="11">
        <v>44736.387499942131</v>
      </c>
      <c r="AG22" s="53"/>
      <c r="AH22" s="53" t="b">
        <f t="shared" si="1"/>
        <v>0</v>
      </c>
      <c r="AI22" s="54" t="s">
        <v>9863</v>
      </c>
      <c r="AJ22" s="2"/>
      <c r="AK22" s="2"/>
      <c r="AL22" s="2"/>
      <c r="AM22" s="2"/>
      <c r="AN22" s="2"/>
    </row>
    <row r="23" spans="1:40" ht="16" x14ac:dyDescent="0.2">
      <c r="A23" s="2" t="s">
        <v>537</v>
      </c>
      <c r="B23" s="2">
        <v>154</v>
      </c>
      <c r="C23" s="2" t="b">
        <v>0</v>
      </c>
      <c r="D23" s="2" t="b">
        <v>0</v>
      </c>
      <c r="E23" s="2" t="b">
        <v>0</v>
      </c>
      <c r="F23" s="2" t="b">
        <v>1</v>
      </c>
      <c r="G23" s="2" t="s">
        <v>31</v>
      </c>
      <c r="H23" s="2" t="s">
        <v>538</v>
      </c>
      <c r="I23" s="2" t="s">
        <v>539</v>
      </c>
      <c r="J23" s="2" t="s">
        <v>540</v>
      </c>
      <c r="K23" s="2" t="s">
        <v>35</v>
      </c>
      <c r="L23" s="2">
        <v>11</v>
      </c>
      <c r="M23" s="2" t="s">
        <v>35</v>
      </c>
      <c r="N23" s="2" t="s">
        <v>35</v>
      </c>
      <c r="O23" s="11">
        <v>44736.398390150462</v>
      </c>
      <c r="P23" s="11">
        <v>44736.398998379627</v>
      </c>
      <c r="Q23" s="27">
        <v>6.0822916566394269E-4</v>
      </c>
      <c r="R23" s="27">
        <v>6.4157407177845016E-4</v>
      </c>
      <c r="S23" s="2">
        <v>0</v>
      </c>
      <c r="T23" s="2" t="s">
        <v>265</v>
      </c>
      <c r="U23" s="2" t="s">
        <v>266</v>
      </c>
      <c r="V23" s="2" t="s">
        <v>38</v>
      </c>
      <c r="W23" s="2" t="s">
        <v>35</v>
      </c>
      <c r="X23" s="2" t="s">
        <v>35</v>
      </c>
      <c r="Y23" s="2" t="s">
        <v>35</v>
      </c>
      <c r="Z23" s="2" t="b">
        <v>0</v>
      </c>
      <c r="AA23" s="2" t="s">
        <v>35</v>
      </c>
      <c r="AB23" s="2" t="s">
        <v>35</v>
      </c>
      <c r="AC23" s="2" t="s">
        <v>35</v>
      </c>
      <c r="AD23" s="2" t="s">
        <v>35</v>
      </c>
      <c r="AE23" s="2" t="s">
        <v>492</v>
      </c>
      <c r="AF23" s="11">
        <v>44736.387499942131</v>
      </c>
      <c r="AG23" s="53"/>
      <c r="AH23" s="53" t="b">
        <f t="shared" si="1"/>
        <v>0</v>
      </c>
      <c r="AI23" s="54" t="s">
        <v>9864</v>
      </c>
      <c r="AJ23" s="2"/>
      <c r="AK23" s="2"/>
      <c r="AL23" s="2"/>
      <c r="AM23" s="2"/>
      <c r="AN23" s="2"/>
    </row>
    <row r="24" spans="1:40" ht="16" x14ac:dyDescent="0.2">
      <c r="A24" s="2" t="s">
        <v>544</v>
      </c>
      <c r="B24" s="2">
        <v>156</v>
      </c>
      <c r="C24" s="2" t="b">
        <v>0</v>
      </c>
      <c r="D24" s="2" t="b">
        <v>0</v>
      </c>
      <c r="E24" s="2" t="b">
        <v>0</v>
      </c>
      <c r="F24" s="2" t="b">
        <v>0</v>
      </c>
      <c r="G24" s="2" t="s">
        <v>31</v>
      </c>
      <c r="H24" s="2" t="s">
        <v>545</v>
      </c>
      <c r="I24" s="2" t="s">
        <v>546</v>
      </c>
      <c r="J24" s="2" t="s">
        <v>35</v>
      </c>
      <c r="K24" s="2" t="s">
        <v>35</v>
      </c>
      <c r="L24" s="2">
        <v>11</v>
      </c>
      <c r="M24" s="2" t="s">
        <v>35</v>
      </c>
      <c r="N24" s="2" t="s">
        <v>35</v>
      </c>
      <c r="O24" s="11">
        <v>44736.40037369213</v>
      </c>
      <c r="P24" s="11">
        <v>44736.400668298615</v>
      </c>
      <c r="Q24" s="27">
        <v>2.9460648511303589E-4</v>
      </c>
      <c r="R24" s="27">
        <v>4.7687500045867637E-4</v>
      </c>
      <c r="S24" s="2">
        <v>0</v>
      </c>
      <c r="T24" s="2" t="s">
        <v>265</v>
      </c>
      <c r="U24" s="2" t="s">
        <v>266</v>
      </c>
      <c r="V24" s="2" t="s">
        <v>38</v>
      </c>
      <c r="W24" s="2" t="s">
        <v>35</v>
      </c>
      <c r="X24" s="2" t="s">
        <v>35</v>
      </c>
      <c r="Y24" s="2" t="s">
        <v>35</v>
      </c>
      <c r="Z24" s="2" t="b">
        <v>0</v>
      </c>
      <c r="AA24" s="2" t="s">
        <v>35</v>
      </c>
      <c r="AB24" s="2" t="s">
        <v>35</v>
      </c>
      <c r="AC24" s="2" t="s">
        <v>35</v>
      </c>
      <c r="AD24" s="2" t="s">
        <v>35</v>
      </c>
      <c r="AE24" s="2" t="s">
        <v>492</v>
      </c>
      <c r="AF24" s="11">
        <v>44736.387499942131</v>
      </c>
      <c r="AG24" s="53"/>
      <c r="AH24" s="53" t="b">
        <f t="shared" si="1"/>
        <v>0</v>
      </c>
      <c r="AI24" s="54" t="s">
        <v>9865</v>
      </c>
      <c r="AJ24" s="2"/>
      <c r="AK24" s="2"/>
      <c r="AL24" s="2"/>
      <c r="AM24" s="2"/>
      <c r="AN24" s="2"/>
    </row>
    <row r="25" spans="1:40" ht="16" x14ac:dyDescent="0.2">
      <c r="A25" s="2" t="s">
        <v>799</v>
      </c>
      <c r="B25" s="2">
        <v>237</v>
      </c>
      <c r="C25" s="2" t="b">
        <v>0</v>
      </c>
      <c r="D25" s="2" t="b">
        <v>0</v>
      </c>
      <c r="E25" s="2" t="b">
        <v>0</v>
      </c>
      <c r="F25" s="2" t="b">
        <v>0</v>
      </c>
      <c r="G25" s="2" t="s">
        <v>31</v>
      </c>
      <c r="H25" s="2" t="s">
        <v>800</v>
      </c>
      <c r="I25" s="2" t="s">
        <v>801</v>
      </c>
      <c r="J25" s="2" t="s">
        <v>35</v>
      </c>
      <c r="K25" s="2" t="s">
        <v>35</v>
      </c>
      <c r="L25" s="2">
        <v>4</v>
      </c>
      <c r="M25" s="2" t="s">
        <v>35</v>
      </c>
      <c r="N25" s="2" t="s">
        <v>35</v>
      </c>
      <c r="O25" s="11">
        <v>44737.467515405093</v>
      </c>
      <c r="P25" s="11">
        <v>44737.467977152781</v>
      </c>
      <c r="Q25" s="27">
        <v>4.6174768795026466E-4</v>
      </c>
      <c r="R25" s="27">
        <v>6.7186343221692368E-4</v>
      </c>
      <c r="S25" s="2">
        <v>0</v>
      </c>
      <c r="T25" s="2" t="s">
        <v>265</v>
      </c>
      <c r="U25" s="2" t="s">
        <v>266</v>
      </c>
      <c r="V25" s="2" t="s">
        <v>38</v>
      </c>
      <c r="W25" s="2" t="s">
        <v>35</v>
      </c>
      <c r="X25" s="2" t="s">
        <v>35</v>
      </c>
      <c r="Y25" s="2" t="s">
        <v>35</v>
      </c>
      <c r="Z25" s="2" t="b">
        <v>0</v>
      </c>
      <c r="AA25" s="2" t="s">
        <v>35</v>
      </c>
      <c r="AB25" s="2" t="s">
        <v>35</v>
      </c>
      <c r="AC25" s="2" t="s">
        <v>35</v>
      </c>
      <c r="AD25" s="2" t="s">
        <v>35</v>
      </c>
      <c r="AE25" s="2" t="s">
        <v>792</v>
      </c>
      <c r="AF25" s="11">
        <v>44737.463888831022</v>
      </c>
      <c r="AG25" s="53"/>
      <c r="AH25" s="53" t="b">
        <f t="shared" si="1"/>
        <v>0</v>
      </c>
      <c r="AI25" s="54" t="s">
        <v>9866</v>
      </c>
      <c r="AJ25" s="2"/>
      <c r="AK25" s="2"/>
      <c r="AL25" s="2"/>
      <c r="AM25" s="2"/>
      <c r="AN25" s="2"/>
    </row>
    <row r="26" spans="1:40" ht="16" x14ac:dyDescent="0.2">
      <c r="A26" s="2" t="s">
        <v>853</v>
      </c>
      <c r="B26" s="2">
        <v>255</v>
      </c>
      <c r="C26" s="2" t="b">
        <v>0</v>
      </c>
      <c r="D26" s="2" t="b">
        <v>0</v>
      </c>
      <c r="E26" s="2" t="b">
        <v>0</v>
      </c>
      <c r="F26" s="2" t="b">
        <v>0</v>
      </c>
      <c r="G26" s="2" t="s">
        <v>31</v>
      </c>
      <c r="H26" s="2" t="s">
        <v>854</v>
      </c>
      <c r="I26" s="2" t="s">
        <v>855</v>
      </c>
      <c r="J26" s="2" t="s">
        <v>35</v>
      </c>
      <c r="K26" s="2" t="s">
        <v>35</v>
      </c>
      <c r="L26" s="2">
        <v>10</v>
      </c>
      <c r="M26" s="2" t="s">
        <v>35</v>
      </c>
      <c r="N26" s="2" t="s">
        <v>35</v>
      </c>
      <c r="O26" s="11">
        <v>44737.506398194448</v>
      </c>
      <c r="P26" s="11">
        <v>44737.506841921298</v>
      </c>
      <c r="Q26" s="27">
        <v>4.4372685078997165E-4</v>
      </c>
      <c r="R26" s="27">
        <v>3.7064583375467919E-3</v>
      </c>
      <c r="S26" s="2">
        <v>0</v>
      </c>
      <c r="T26" s="2" t="s">
        <v>265</v>
      </c>
      <c r="U26" s="2" t="s">
        <v>266</v>
      </c>
      <c r="V26" s="2" t="s">
        <v>38</v>
      </c>
      <c r="W26" s="2" t="s">
        <v>35</v>
      </c>
      <c r="X26" s="2" t="s">
        <v>35</v>
      </c>
      <c r="Y26" s="2" t="s">
        <v>35</v>
      </c>
      <c r="Z26" s="2" t="b">
        <v>0</v>
      </c>
      <c r="AA26" s="2" t="s">
        <v>35</v>
      </c>
      <c r="AB26" s="2" t="s">
        <v>35</v>
      </c>
      <c r="AC26" s="2" t="s">
        <v>35</v>
      </c>
      <c r="AD26" s="2" t="s">
        <v>35</v>
      </c>
      <c r="AE26" s="2" t="s">
        <v>792</v>
      </c>
      <c r="AF26" s="11">
        <v>44737.463888831022</v>
      </c>
      <c r="AG26" s="53"/>
      <c r="AH26" s="53" t="b">
        <f t="shared" si="1"/>
        <v>0</v>
      </c>
      <c r="AI26" s="54" t="s">
        <v>9711</v>
      </c>
      <c r="AJ26" s="2"/>
      <c r="AK26" s="2"/>
      <c r="AL26" s="2"/>
      <c r="AM26" s="2"/>
      <c r="AN26" s="2"/>
    </row>
    <row r="27" spans="1:40" ht="16" x14ac:dyDescent="0.2">
      <c r="A27" s="2" t="s">
        <v>859</v>
      </c>
      <c r="B27" s="2">
        <v>257</v>
      </c>
      <c r="C27" s="2" t="b">
        <v>0</v>
      </c>
      <c r="D27" s="2" t="b">
        <v>0</v>
      </c>
      <c r="E27" s="2" t="b">
        <v>0</v>
      </c>
      <c r="F27" s="2" t="b">
        <v>0</v>
      </c>
      <c r="G27" s="2" t="s">
        <v>31</v>
      </c>
      <c r="H27" s="2" t="s">
        <v>860</v>
      </c>
      <c r="I27" s="2" t="s">
        <v>861</v>
      </c>
      <c r="J27" s="2" t="s">
        <v>35</v>
      </c>
      <c r="K27" s="2" t="s">
        <v>35</v>
      </c>
      <c r="L27" s="2">
        <v>10</v>
      </c>
      <c r="M27" s="2" t="s">
        <v>35</v>
      </c>
      <c r="N27" s="2" t="s">
        <v>35</v>
      </c>
      <c r="O27" s="11">
        <v>44737.507577847224</v>
      </c>
      <c r="P27" s="11">
        <v>44737.507999456022</v>
      </c>
      <c r="Q27" s="27">
        <v>4.2160879820585251E-4</v>
      </c>
      <c r="R27" s="27">
        <v>5.8525463100522757E-4</v>
      </c>
      <c r="S27" s="2">
        <v>0</v>
      </c>
      <c r="T27" s="2" t="s">
        <v>265</v>
      </c>
      <c r="U27" s="2" t="s">
        <v>266</v>
      </c>
      <c r="V27" s="2" t="s">
        <v>38</v>
      </c>
      <c r="W27" s="2" t="s">
        <v>35</v>
      </c>
      <c r="X27" s="2" t="s">
        <v>35</v>
      </c>
      <c r="Y27" s="2" t="s">
        <v>35</v>
      </c>
      <c r="Z27" s="2" t="b">
        <v>0</v>
      </c>
      <c r="AA27" s="2" t="s">
        <v>35</v>
      </c>
      <c r="AB27" s="2" t="s">
        <v>35</v>
      </c>
      <c r="AC27" s="2" t="s">
        <v>35</v>
      </c>
      <c r="AD27" s="2" t="s">
        <v>35</v>
      </c>
      <c r="AE27" s="2" t="s">
        <v>792</v>
      </c>
      <c r="AF27" s="11">
        <v>44737.463888831022</v>
      </c>
      <c r="AG27" s="53"/>
      <c r="AH27" s="53" t="b">
        <f t="shared" si="1"/>
        <v>0</v>
      </c>
      <c r="AI27" s="54" t="s">
        <v>9867</v>
      </c>
      <c r="AJ27" s="2"/>
      <c r="AK27" s="2"/>
      <c r="AL27" s="2"/>
      <c r="AM27" s="2"/>
      <c r="AN27" s="2"/>
    </row>
    <row r="28" spans="1:40" ht="16" x14ac:dyDescent="0.2">
      <c r="A28" s="2" t="s">
        <v>877</v>
      </c>
      <c r="B28" s="2">
        <v>263</v>
      </c>
      <c r="C28" s="2" t="b">
        <v>0</v>
      </c>
      <c r="D28" s="2" t="b">
        <v>0</v>
      </c>
      <c r="E28" s="2" t="b">
        <v>0</v>
      </c>
      <c r="F28" s="2" t="b">
        <v>0</v>
      </c>
      <c r="G28" s="2" t="s">
        <v>31</v>
      </c>
      <c r="H28" s="2" t="s">
        <v>878</v>
      </c>
      <c r="I28" s="2" t="s">
        <v>879</v>
      </c>
      <c r="J28" s="2" t="s">
        <v>880</v>
      </c>
      <c r="K28" s="2" t="s">
        <v>35</v>
      </c>
      <c r="L28" s="2">
        <v>0</v>
      </c>
      <c r="M28" s="2" t="s">
        <v>35</v>
      </c>
      <c r="N28" s="2" t="s">
        <v>35</v>
      </c>
      <c r="O28" s="11">
        <v>44737.515680104167</v>
      </c>
      <c r="P28" s="11">
        <v>44737.516476759258</v>
      </c>
      <c r="Q28" s="27">
        <v>7.9665509110782295E-4</v>
      </c>
      <c r="R28" s="27">
        <v>8.3083333447575569E-4</v>
      </c>
      <c r="S28" s="2">
        <v>0</v>
      </c>
      <c r="T28" s="2" t="s">
        <v>265</v>
      </c>
      <c r="U28" s="2" t="s">
        <v>266</v>
      </c>
      <c r="V28" s="2" t="s">
        <v>38</v>
      </c>
      <c r="W28" s="2" t="s">
        <v>35</v>
      </c>
      <c r="X28" s="2" t="s">
        <v>35</v>
      </c>
      <c r="Y28" s="2" t="s">
        <v>35</v>
      </c>
      <c r="Z28" s="2" t="b">
        <v>0</v>
      </c>
      <c r="AA28" s="2" t="s">
        <v>35</v>
      </c>
      <c r="AB28" s="2" t="s">
        <v>35</v>
      </c>
      <c r="AC28" s="2" t="s">
        <v>35</v>
      </c>
      <c r="AD28" s="2" t="s">
        <v>35</v>
      </c>
      <c r="AE28" s="2" t="s">
        <v>792</v>
      </c>
      <c r="AF28" s="11">
        <v>44737.463888831022</v>
      </c>
      <c r="AG28" s="53"/>
      <c r="AH28" s="53" t="str">
        <f t="shared" si="1"/>
        <v>TRUE</v>
      </c>
      <c r="AI28" s="54" t="s">
        <v>9868</v>
      </c>
      <c r="AJ28" s="2"/>
      <c r="AK28" s="2"/>
      <c r="AL28" s="2"/>
      <c r="AM28" s="2"/>
      <c r="AN28" s="2"/>
    </row>
    <row r="29" spans="1:40" ht="16" x14ac:dyDescent="0.2">
      <c r="A29" s="2" t="s">
        <v>1055</v>
      </c>
      <c r="B29" s="2">
        <v>318</v>
      </c>
      <c r="C29" s="2" t="b">
        <v>0</v>
      </c>
      <c r="D29" s="2" t="b">
        <v>0</v>
      </c>
      <c r="E29" s="2" t="b">
        <v>0</v>
      </c>
      <c r="F29" s="2" t="b">
        <v>0</v>
      </c>
      <c r="G29" s="2" t="s">
        <v>31</v>
      </c>
      <c r="H29" s="2" t="s">
        <v>1056</v>
      </c>
      <c r="I29" s="2" t="s">
        <v>1057</v>
      </c>
      <c r="J29" s="2" t="s">
        <v>35</v>
      </c>
      <c r="K29" s="2" t="s">
        <v>35</v>
      </c>
      <c r="L29" s="2">
        <v>8</v>
      </c>
      <c r="M29" s="2" t="s">
        <v>35</v>
      </c>
      <c r="N29" s="2" t="s">
        <v>35</v>
      </c>
      <c r="O29" s="11">
        <v>44740.506985706015</v>
      </c>
      <c r="P29" s="11">
        <v>44740.507235543984</v>
      </c>
      <c r="Q29" s="27">
        <v>2.4983796902233735E-4</v>
      </c>
      <c r="R29" s="27">
        <v>3.0836805672151968E-4</v>
      </c>
      <c r="S29" s="2">
        <v>0</v>
      </c>
      <c r="T29" s="2" t="s">
        <v>265</v>
      </c>
      <c r="U29" s="2" t="s">
        <v>266</v>
      </c>
      <c r="V29" s="2" t="s">
        <v>38</v>
      </c>
      <c r="W29" s="2" t="s">
        <v>35</v>
      </c>
      <c r="X29" s="2" t="s">
        <v>35</v>
      </c>
      <c r="Y29" s="2" t="s">
        <v>35</v>
      </c>
      <c r="Z29" s="2" t="b">
        <v>0</v>
      </c>
      <c r="AA29" s="2" t="s">
        <v>35</v>
      </c>
      <c r="AB29" s="2" t="s">
        <v>35</v>
      </c>
      <c r="AC29" s="2" t="s">
        <v>35</v>
      </c>
      <c r="AD29" s="2" t="s">
        <v>35</v>
      </c>
      <c r="AE29" s="2" t="s">
        <v>941</v>
      </c>
      <c r="AF29" s="11">
        <v>44740.448611053238</v>
      </c>
      <c r="AG29" s="53"/>
      <c r="AH29" s="53" t="b">
        <f t="shared" si="1"/>
        <v>0</v>
      </c>
      <c r="AI29" s="54" t="s">
        <v>9710</v>
      </c>
      <c r="AJ29" s="2"/>
      <c r="AK29" s="2"/>
      <c r="AL29" s="2"/>
      <c r="AM29" s="2"/>
      <c r="AN29" s="2"/>
    </row>
    <row r="30" spans="1:40" ht="16" x14ac:dyDescent="0.2">
      <c r="A30" s="2" t="s">
        <v>1061</v>
      </c>
      <c r="B30" s="2">
        <v>320</v>
      </c>
      <c r="C30" s="2" t="b">
        <v>0</v>
      </c>
      <c r="D30" s="2" t="b">
        <v>0</v>
      </c>
      <c r="E30" s="2" t="b">
        <v>0</v>
      </c>
      <c r="F30" s="2" t="b">
        <v>0</v>
      </c>
      <c r="G30" s="2" t="s">
        <v>31</v>
      </c>
      <c r="H30" s="2" t="s">
        <v>1062</v>
      </c>
      <c r="I30" s="2" t="s">
        <v>1063</v>
      </c>
      <c r="J30" s="2" t="s">
        <v>35</v>
      </c>
      <c r="K30" s="2" t="s">
        <v>35</v>
      </c>
      <c r="L30" s="2">
        <v>10</v>
      </c>
      <c r="M30" s="2" t="s">
        <v>35</v>
      </c>
      <c r="N30" s="2" t="s">
        <v>35</v>
      </c>
      <c r="O30" s="11">
        <v>44740.509225266207</v>
      </c>
      <c r="P30" s="11">
        <v>44740.509412858795</v>
      </c>
      <c r="Q30" s="27">
        <v>1.8759258819045499E-4</v>
      </c>
      <c r="R30" s="27">
        <v>2.3464120022254065E-4</v>
      </c>
      <c r="S30" s="2">
        <v>0</v>
      </c>
      <c r="T30" s="2" t="s">
        <v>265</v>
      </c>
      <c r="U30" s="2" t="s">
        <v>266</v>
      </c>
      <c r="V30" s="2" t="s">
        <v>38</v>
      </c>
      <c r="W30" s="2" t="s">
        <v>35</v>
      </c>
      <c r="X30" s="2" t="s">
        <v>35</v>
      </c>
      <c r="Y30" s="2" t="s">
        <v>35</v>
      </c>
      <c r="Z30" s="2" t="b">
        <v>0</v>
      </c>
      <c r="AA30" s="2" t="s">
        <v>35</v>
      </c>
      <c r="AB30" s="2" t="s">
        <v>35</v>
      </c>
      <c r="AC30" s="2" t="s">
        <v>35</v>
      </c>
      <c r="AD30" s="2" t="s">
        <v>35</v>
      </c>
      <c r="AE30" s="2" t="s">
        <v>941</v>
      </c>
      <c r="AF30" s="11">
        <v>44740.448611053238</v>
      </c>
      <c r="AG30" s="53"/>
      <c r="AH30" s="53" t="b">
        <f t="shared" si="1"/>
        <v>0</v>
      </c>
      <c r="AI30" s="54" t="s">
        <v>9869</v>
      </c>
      <c r="AJ30" s="2"/>
      <c r="AK30" s="2"/>
      <c r="AL30" s="2"/>
      <c r="AM30" s="2"/>
      <c r="AN30" s="2"/>
    </row>
    <row r="31" spans="1:40" ht="16" x14ac:dyDescent="0.2">
      <c r="A31" s="2" t="s">
        <v>1067</v>
      </c>
      <c r="B31" s="2">
        <v>322</v>
      </c>
      <c r="C31" s="2" t="b">
        <v>0</v>
      </c>
      <c r="D31" s="2" t="b">
        <v>0</v>
      </c>
      <c r="E31" s="2" t="b">
        <v>0</v>
      </c>
      <c r="F31" s="2" t="b">
        <v>0</v>
      </c>
      <c r="G31" s="2" t="s">
        <v>31</v>
      </c>
      <c r="H31" s="2" t="s">
        <v>1068</v>
      </c>
      <c r="I31" s="2" t="s">
        <v>1066</v>
      </c>
      <c r="J31" s="2" t="s">
        <v>35</v>
      </c>
      <c r="K31" s="2" t="s">
        <v>35</v>
      </c>
      <c r="L31" s="2">
        <v>8</v>
      </c>
      <c r="M31" s="2" t="s">
        <v>35</v>
      </c>
      <c r="N31" s="2" t="s">
        <v>35</v>
      </c>
      <c r="O31" s="11">
        <v>44740.511101956021</v>
      </c>
      <c r="P31" s="11">
        <v>44740.511341990743</v>
      </c>
      <c r="Q31" s="27">
        <v>2.4003472208278254E-4</v>
      </c>
      <c r="R31" s="27">
        <v>3.2243055466096848E-4</v>
      </c>
      <c r="S31" s="2">
        <v>0</v>
      </c>
      <c r="T31" s="2" t="s">
        <v>265</v>
      </c>
      <c r="U31" s="2" t="s">
        <v>266</v>
      </c>
      <c r="V31" s="2" t="s">
        <v>38</v>
      </c>
      <c r="W31" s="2" t="s">
        <v>35</v>
      </c>
      <c r="X31" s="2" t="s">
        <v>35</v>
      </c>
      <c r="Y31" s="2" t="s">
        <v>35</v>
      </c>
      <c r="Z31" s="2" t="b">
        <v>0</v>
      </c>
      <c r="AA31" s="2" t="s">
        <v>35</v>
      </c>
      <c r="AB31" s="2" t="s">
        <v>35</v>
      </c>
      <c r="AC31" s="2" t="s">
        <v>35</v>
      </c>
      <c r="AD31" s="2" t="s">
        <v>35</v>
      </c>
      <c r="AE31" s="2" t="s">
        <v>941</v>
      </c>
      <c r="AF31" s="11">
        <v>44740.448611053238</v>
      </c>
      <c r="AG31" s="53"/>
      <c r="AH31" s="53" t="b">
        <f t="shared" si="1"/>
        <v>0</v>
      </c>
      <c r="AI31" s="54" t="s">
        <v>9870</v>
      </c>
      <c r="AJ31" s="2"/>
      <c r="AK31" s="2"/>
      <c r="AL31" s="2"/>
      <c r="AM31" s="2"/>
      <c r="AN31" s="2"/>
    </row>
    <row r="32" spans="1:40" ht="16" x14ac:dyDescent="0.2">
      <c r="A32" s="2" t="s">
        <v>1081</v>
      </c>
      <c r="B32" s="2">
        <v>327</v>
      </c>
      <c r="C32" s="2" t="b">
        <v>0</v>
      </c>
      <c r="D32" s="2" t="b">
        <v>0</v>
      </c>
      <c r="E32" s="2" t="b">
        <v>0</v>
      </c>
      <c r="F32" s="2" t="b">
        <v>1</v>
      </c>
      <c r="G32" s="2" t="s">
        <v>31</v>
      </c>
      <c r="H32" s="2" t="s">
        <v>1082</v>
      </c>
      <c r="I32" s="2" t="s">
        <v>1083</v>
      </c>
      <c r="J32" s="2" t="s">
        <v>1084</v>
      </c>
      <c r="K32" s="2" t="s">
        <v>35</v>
      </c>
      <c r="L32" s="2">
        <v>8</v>
      </c>
      <c r="M32" s="2" t="s">
        <v>35</v>
      </c>
      <c r="N32" s="2" t="s">
        <v>35</v>
      </c>
      <c r="O32" s="11">
        <v>44740.525639050924</v>
      </c>
      <c r="P32" s="11">
        <v>44740.526760486115</v>
      </c>
      <c r="Q32" s="27">
        <v>1.1214351907256059E-3</v>
      </c>
      <c r="R32" s="27">
        <v>4.6937731531215832E-3</v>
      </c>
      <c r="S32" s="2">
        <v>0</v>
      </c>
      <c r="T32" s="2" t="s">
        <v>265</v>
      </c>
      <c r="U32" s="2" t="s">
        <v>266</v>
      </c>
      <c r="V32" s="2" t="s">
        <v>38</v>
      </c>
      <c r="W32" s="2" t="s">
        <v>35</v>
      </c>
      <c r="X32" s="2" t="s">
        <v>35</v>
      </c>
      <c r="Y32" s="2" t="s">
        <v>35</v>
      </c>
      <c r="Z32" s="2" t="b">
        <v>0</v>
      </c>
      <c r="AA32" s="2" t="s">
        <v>35</v>
      </c>
      <c r="AB32" s="2" t="s">
        <v>35</v>
      </c>
      <c r="AC32" s="2" t="s">
        <v>35</v>
      </c>
      <c r="AD32" s="2" t="s">
        <v>35</v>
      </c>
      <c r="AE32" s="2" t="s">
        <v>941</v>
      </c>
      <c r="AF32" s="11">
        <v>44740.448611053238</v>
      </c>
      <c r="AG32" s="53"/>
      <c r="AH32" s="53" t="str">
        <f t="shared" si="1"/>
        <v>TRUE</v>
      </c>
      <c r="AI32" s="54" t="s">
        <v>9709</v>
      </c>
      <c r="AJ32" s="2"/>
      <c r="AK32" s="2"/>
      <c r="AL32" s="2"/>
      <c r="AM32" s="2"/>
      <c r="AN32" s="2"/>
    </row>
    <row r="33" spans="1:40" ht="16" x14ac:dyDescent="0.2">
      <c r="A33" s="2" t="s">
        <v>1092</v>
      </c>
      <c r="B33" s="2">
        <v>330</v>
      </c>
      <c r="C33" s="2" t="b">
        <v>0</v>
      </c>
      <c r="D33" s="2" t="b">
        <v>0</v>
      </c>
      <c r="E33" s="2" t="b">
        <v>0</v>
      </c>
      <c r="F33" s="2" t="b">
        <v>1</v>
      </c>
      <c r="G33" s="2" t="s">
        <v>31</v>
      </c>
      <c r="H33" s="2" t="s">
        <v>1093</v>
      </c>
      <c r="I33" s="2" t="s">
        <v>1094</v>
      </c>
      <c r="J33" s="2" t="s">
        <v>1095</v>
      </c>
      <c r="K33" s="2" t="s">
        <v>35</v>
      </c>
      <c r="L33" s="2">
        <v>15</v>
      </c>
      <c r="M33" s="2" t="s">
        <v>35</v>
      </c>
      <c r="N33" s="2" t="s">
        <v>35</v>
      </c>
      <c r="O33" s="11">
        <v>44740.530813067133</v>
      </c>
      <c r="P33" s="11">
        <v>44740.531299525464</v>
      </c>
      <c r="Q33" s="27">
        <v>4.8645833157934248E-4</v>
      </c>
      <c r="R33" s="27">
        <v>1.8969675948028453E-3</v>
      </c>
      <c r="S33" s="2">
        <v>0</v>
      </c>
      <c r="T33" s="2" t="s">
        <v>265</v>
      </c>
      <c r="U33" s="2" t="s">
        <v>266</v>
      </c>
      <c r="V33" s="2" t="s">
        <v>38</v>
      </c>
      <c r="W33" s="2" t="s">
        <v>35</v>
      </c>
      <c r="X33" s="2" t="s">
        <v>35</v>
      </c>
      <c r="Y33" s="2" t="s">
        <v>35</v>
      </c>
      <c r="Z33" s="2" t="b">
        <v>0</v>
      </c>
      <c r="AA33" s="2" t="s">
        <v>35</v>
      </c>
      <c r="AB33" s="2" t="s">
        <v>35</v>
      </c>
      <c r="AC33" s="2" t="s">
        <v>35</v>
      </c>
      <c r="AD33" s="2" t="s">
        <v>35</v>
      </c>
      <c r="AE33" s="2" t="s">
        <v>941</v>
      </c>
      <c r="AF33" s="11">
        <v>44740.448611053238</v>
      </c>
      <c r="AG33" s="53"/>
      <c r="AH33" s="53" t="b">
        <f t="shared" si="1"/>
        <v>0</v>
      </c>
      <c r="AI33" s="54" t="s">
        <v>9871</v>
      </c>
      <c r="AJ33" s="2"/>
      <c r="AK33" s="2"/>
      <c r="AL33" s="2"/>
      <c r="AM33" s="2"/>
      <c r="AN33" s="2"/>
    </row>
    <row r="34" spans="1:40" ht="16" x14ac:dyDescent="0.2">
      <c r="A34" s="2" t="s">
        <v>1148</v>
      </c>
      <c r="B34" s="2">
        <v>346</v>
      </c>
      <c r="C34" s="2" t="b">
        <v>0</v>
      </c>
      <c r="D34" s="2" t="b">
        <v>0</v>
      </c>
      <c r="E34" s="2" t="b">
        <v>0</v>
      </c>
      <c r="F34" s="2" t="b">
        <v>0</v>
      </c>
      <c r="G34" s="2" t="s">
        <v>31</v>
      </c>
      <c r="H34" s="2" t="s">
        <v>1149</v>
      </c>
      <c r="I34" s="2" t="s">
        <v>1150</v>
      </c>
      <c r="J34" s="2" t="s">
        <v>35</v>
      </c>
      <c r="K34" s="2" t="s">
        <v>35</v>
      </c>
      <c r="L34" s="2">
        <v>5</v>
      </c>
      <c r="M34" s="2" t="s">
        <v>35</v>
      </c>
      <c r="N34" s="2" t="s">
        <v>35</v>
      </c>
      <c r="O34" s="11">
        <v>44743.617322916667</v>
      </c>
      <c r="P34" s="11">
        <v>44743.617508460651</v>
      </c>
      <c r="Q34" s="27">
        <v>1.8554398411652073E-4</v>
      </c>
      <c r="R34" s="27">
        <v>7.8642361768288538E-4</v>
      </c>
      <c r="S34" s="2">
        <v>0</v>
      </c>
      <c r="T34" s="2" t="s">
        <v>265</v>
      </c>
      <c r="U34" s="2" t="s">
        <v>266</v>
      </c>
      <c r="V34" s="2" t="s">
        <v>38</v>
      </c>
      <c r="W34" s="2" t="s">
        <v>35</v>
      </c>
      <c r="X34" s="2" t="s">
        <v>35</v>
      </c>
      <c r="Y34" s="2" t="s">
        <v>35</v>
      </c>
      <c r="Z34" s="2" t="b">
        <v>0</v>
      </c>
      <c r="AA34" s="2" t="s">
        <v>35</v>
      </c>
      <c r="AB34" s="2" t="s">
        <v>35</v>
      </c>
      <c r="AC34" s="2" t="s">
        <v>35</v>
      </c>
      <c r="AD34" s="2" t="s">
        <v>35</v>
      </c>
      <c r="AE34" s="2" t="s">
        <v>1117</v>
      </c>
      <c r="AF34" s="11">
        <v>44743.590972164355</v>
      </c>
      <c r="AG34" s="53"/>
      <c r="AH34" s="53" t="b">
        <f t="shared" si="1"/>
        <v>0</v>
      </c>
      <c r="AI34" s="54" t="s">
        <v>9872</v>
      </c>
      <c r="AJ34" s="2"/>
      <c r="AK34" s="2"/>
      <c r="AL34" s="2"/>
      <c r="AM34" s="2"/>
      <c r="AN34" s="2"/>
    </row>
    <row r="35" spans="1:40" ht="16" x14ac:dyDescent="0.2">
      <c r="A35" s="2" t="s">
        <v>1222</v>
      </c>
      <c r="B35" s="2">
        <v>368</v>
      </c>
      <c r="C35" s="2" t="b">
        <v>0</v>
      </c>
      <c r="D35" s="2" t="b">
        <v>0</v>
      </c>
      <c r="E35" s="2" t="b">
        <v>0</v>
      </c>
      <c r="F35" s="2" t="b">
        <v>0</v>
      </c>
      <c r="G35" s="2" t="s">
        <v>31</v>
      </c>
      <c r="H35" s="2" t="s">
        <v>1223</v>
      </c>
      <c r="I35" s="2" t="s">
        <v>1224</v>
      </c>
      <c r="J35" s="2" t="s">
        <v>35</v>
      </c>
      <c r="K35" s="2" t="s">
        <v>35</v>
      </c>
      <c r="L35" s="2">
        <v>4</v>
      </c>
      <c r="M35" s="2" t="s">
        <v>35</v>
      </c>
      <c r="N35" s="2" t="s">
        <v>35</v>
      </c>
      <c r="O35" s="11">
        <v>44743.66974164352</v>
      </c>
      <c r="P35" s="11">
        <v>44743.670108009261</v>
      </c>
      <c r="Q35" s="27">
        <v>3.6636574077419937E-4</v>
      </c>
      <c r="R35" s="27">
        <v>1.1326388921588659E-3</v>
      </c>
      <c r="S35" s="2">
        <v>0</v>
      </c>
      <c r="T35" s="2" t="s">
        <v>265</v>
      </c>
      <c r="U35" s="2" t="s">
        <v>266</v>
      </c>
      <c r="V35" s="2" t="s">
        <v>38</v>
      </c>
      <c r="W35" s="2" t="s">
        <v>35</v>
      </c>
      <c r="X35" s="2" t="s">
        <v>35</v>
      </c>
      <c r="Y35" s="2" t="s">
        <v>35</v>
      </c>
      <c r="Z35" s="2" t="b">
        <v>0</v>
      </c>
      <c r="AA35" s="2" t="s">
        <v>35</v>
      </c>
      <c r="AB35" s="2" t="s">
        <v>35</v>
      </c>
      <c r="AC35" s="2" t="s">
        <v>35</v>
      </c>
      <c r="AD35" s="2" t="s">
        <v>35</v>
      </c>
      <c r="AE35" s="2" t="s">
        <v>1117</v>
      </c>
      <c r="AF35" s="11">
        <v>44743.590972164355</v>
      </c>
      <c r="AG35" s="53"/>
      <c r="AH35" s="53" t="b">
        <f t="shared" si="1"/>
        <v>0</v>
      </c>
      <c r="AI35" s="54" t="s">
        <v>9708</v>
      </c>
      <c r="AJ35" s="2" t="s">
        <v>9707</v>
      </c>
      <c r="AK35" s="2" t="s">
        <v>9706</v>
      </c>
      <c r="AL35" s="2"/>
      <c r="AM35" s="2"/>
      <c r="AN35" s="2"/>
    </row>
    <row r="36" spans="1:40" ht="16" x14ac:dyDescent="0.2">
      <c r="A36" s="2" t="s">
        <v>1244</v>
      </c>
      <c r="B36" s="2">
        <v>375</v>
      </c>
      <c r="C36" s="2" t="b">
        <v>0</v>
      </c>
      <c r="D36" s="2" t="b">
        <v>0</v>
      </c>
      <c r="E36" s="2" t="b">
        <v>0</v>
      </c>
      <c r="F36" s="2" t="b">
        <v>0</v>
      </c>
      <c r="G36" s="2" t="s">
        <v>31</v>
      </c>
      <c r="H36" s="2" t="s">
        <v>1245</v>
      </c>
      <c r="I36" s="2" t="s">
        <v>1246</v>
      </c>
      <c r="J36" s="2" t="s">
        <v>35</v>
      </c>
      <c r="K36" s="2" t="s">
        <v>35</v>
      </c>
      <c r="L36" s="2">
        <v>12</v>
      </c>
      <c r="M36" s="2" t="s">
        <v>35</v>
      </c>
      <c r="N36" s="2" t="s">
        <v>35</v>
      </c>
      <c r="O36" s="11">
        <v>44743.678023368055</v>
      </c>
      <c r="P36" s="11">
        <v>44743.678249884259</v>
      </c>
      <c r="Q36" s="27">
        <v>2.2651620383840054E-4</v>
      </c>
      <c r="R36" s="27">
        <v>5.3714120440417901E-4</v>
      </c>
      <c r="S36" s="2">
        <v>0</v>
      </c>
      <c r="T36" s="2" t="s">
        <v>265</v>
      </c>
      <c r="U36" s="2" t="s">
        <v>266</v>
      </c>
      <c r="V36" s="2" t="s">
        <v>38</v>
      </c>
      <c r="W36" s="2" t="s">
        <v>35</v>
      </c>
      <c r="X36" s="2" t="s">
        <v>35</v>
      </c>
      <c r="Y36" s="2" t="s">
        <v>35</v>
      </c>
      <c r="Z36" s="2" t="b">
        <v>0</v>
      </c>
      <c r="AA36" s="2" t="s">
        <v>35</v>
      </c>
      <c r="AB36" s="2" t="s">
        <v>35</v>
      </c>
      <c r="AC36" s="2" t="s">
        <v>35</v>
      </c>
      <c r="AD36" s="2" t="s">
        <v>35</v>
      </c>
      <c r="AE36" s="2" t="s">
        <v>1117</v>
      </c>
      <c r="AF36" s="11">
        <v>44743.590972164355</v>
      </c>
      <c r="AG36" s="53"/>
      <c r="AH36" s="53" t="b">
        <f t="shared" si="1"/>
        <v>0</v>
      </c>
      <c r="AI36" s="54" t="s">
        <v>9873</v>
      </c>
      <c r="AJ36" s="2"/>
      <c r="AK36" s="2"/>
      <c r="AL36" s="2"/>
      <c r="AM36" s="2"/>
      <c r="AN36" s="2"/>
    </row>
    <row r="37" spans="1:40" ht="16" x14ac:dyDescent="0.2">
      <c r="A37" s="2" t="s">
        <v>1327</v>
      </c>
      <c r="B37" s="2">
        <v>401</v>
      </c>
      <c r="C37" s="2" t="b">
        <v>0</v>
      </c>
      <c r="D37" s="2" t="b">
        <v>0</v>
      </c>
      <c r="E37" s="2" t="b">
        <v>0</v>
      </c>
      <c r="F37" s="2" t="b">
        <v>0</v>
      </c>
      <c r="G37" s="2" t="s">
        <v>31</v>
      </c>
      <c r="H37" s="2" t="s">
        <v>1328</v>
      </c>
      <c r="I37" s="2" t="s">
        <v>1329</v>
      </c>
      <c r="J37" s="2" t="s">
        <v>35</v>
      </c>
      <c r="K37" s="2" t="s">
        <v>35</v>
      </c>
      <c r="L37" s="2">
        <v>6</v>
      </c>
      <c r="M37" s="2" t="s">
        <v>35</v>
      </c>
      <c r="N37" s="2" t="s">
        <v>35</v>
      </c>
      <c r="O37" s="11">
        <v>44743.709633622682</v>
      </c>
      <c r="P37" s="11">
        <v>44743.709786111111</v>
      </c>
      <c r="Q37" s="27">
        <v>1.5248842828441411E-4</v>
      </c>
      <c r="R37" s="27">
        <v>1.6585763878538273E-3</v>
      </c>
      <c r="S37" s="2">
        <v>0</v>
      </c>
      <c r="T37" s="2" t="s">
        <v>265</v>
      </c>
      <c r="U37" s="2" t="s">
        <v>266</v>
      </c>
      <c r="V37" s="2" t="s">
        <v>38</v>
      </c>
      <c r="W37" s="2" t="s">
        <v>35</v>
      </c>
      <c r="X37" s="2" t="s">
        <v>35</v>
      </c>
      <c r="Y37" s="2" t="s">
        <v>35</v>
      </c>
      <c r="Z37" s="2" t="b">
        <v>0</v>
      </c>
      <c r="AA37" s="2" t="s">
        <v>35</v>
      </c>
      <c r="AB37" s="2" t="s">
        <v>35</v>
      </c>
      <c r="AC37" s="2" t="s">
        <v>35</v>
      </c>
      <c r="AD37" s="2" t="s">
        <v>35</v>
      </c>
      <c r="AE37" s="2" t="s">
        <v>1117</v>
      </c>
      <c r="AF37" s="11">
        <v>44743.590972164355</v>
      </c>
      <c r="AG37" s="53"/>
      <c r="AH37" s="53" t="b">
        <f t="shared" si="1"/>
        <v>0</v>
      </c>
      <c r="AI37" s="54" t="s">
        <v>9874</v>
      </c>
      <c r="AJ37" s="2"/>
      <c r="AK37" s="2"/>
      <c r="AL37" s="2"/>
      <c r="AM37" s="2"/>
      <c r="AN37" s="2"/>
    </row>
    <row r="38" spans="1:40" ht="16" x14ac:dyDescent="0.2">
      <c r="A38" s="2" t="s">
        <v>1330</v>
      </c>
      <c r="B38" s="2">
        <v>402</v>
      </c>
      <c r="C38" s="2" t="b">
        <v>0</v>
      </c>
      <c r="D38" s="2" t="b">
        <v>0</v>
      </c>
      <c r="E38" s="2" t="b">
        <v>0</v>
      </c>
      <c r="F38" s="2" t="b">
        <v>0</v>
      </c>
      <c r="G38" s="2" t="s">
        <v>31</v>
      </c>
      <c r="H38" s="2" t="s">
        <v>1331</v>
      </c>
      <c r="I38" s="2" t="s">
        <v>1332</v>
      </c>
      <c r="J38" s="2" t="s">
        <v>35</v>
      </c>
      <c r="K38" s="2" t="s">
        <v>35</v>
      </c>
      <c r="L38" s="2">
        <v>5</v>
      </c>
      <c r="M38" s="2" t="s">
        <v>35</v>
      </c>
      <c r="N38" s="2" t="s">
        <v>35</v>
      </c>
      <c r="O38" s="11">
        <v>44743.70996847222</v>
      </c>
      <c r="P38" s="11">
        <v>44743.710147372687</v>
      </c>
      <c r="Q38" s="27">
        <v>1.7890046729007736E-4</v>
      </c>
      <c r="R38" s="27">
        <v>3.6126157647231594E-4</v>
      </c>
      <c r="S38" s="2">
        <v>0</v>
      </c>
      <c r="T38" s="2" t="s">
        <v>265</v>
      </c>
      <c r="U38" s="2" t="s">
        <v>266</v>
      </c>
      <c r="V38" s="2" t="s">
        <v>38</v>
      </c>
      <c r="W38" s="2" t="s">
        <v>35</v>
      </c>
      <c r="X38" s="2" t="s">
        <v>35</v>
      </c>
      <c r="Y38" s="2" t="s">
        <v>35</v>
      </c>
      <c r="Z38" s="2" t="b">
        <v>0</v>
      </c>
      <c r="AA38" s="2" t="s">
        <v>35</v>
      </c>
      <c r="AB38" s="2" t="s">
        <v>35</v>
      </c>
      <c r="AC38" s="2" t="s">
        <v>35</v>
      </c>
      <c r="AD38" s="2" t="s">
        <v>35</v>
      </c>
      <c r="AE38" s="2" t="s">
        <v>1117</v>
      </c>
      <c r="AF38" s="11">
        <v>44743.590972164355</v>
      </c>
      <c r="AG38" s="53"/>
      <c r="AH38" s="53" t="b">
        <f t="shared" si="1"/>
        <v>0</v>
      </c>
      <c r="AI38" s="54" t="s">
        <v>9875</v>
      </c>
      <c r="AJ38" s="2"/>
      <c r="AK38" s="2"/>
      <c r="AL38" s="2"/>
      <c r="AM38" s="2"/>
      <c r="AN38" s="2"/>
    </row>
    <row r="39" spans="1:40" ht="16" x14ac:dyDescent="0.2">
      <c r="A39" s="2" t="s">
        <v>1425</v>
      </c>
      <c r="B39" s="2">
        <v>433</v>
      </c>
      <c r="C39" s="2" t="b">
        <v>0</v>
      </c>
      <c r="D39" s="2" t="b">
        <v>0</v>
      </c>
      <c r="E39" s="2" t="b">
        <v>0</v>
      </c>
      <c r="F39" s="2" t="b">
        <v>0</v>
      </c>
      <c r="G39" s="2" t="s">
        <v>31</v>
      </c>
      <c r="H39" s="2" t="s">
        <v>1426</v>
      </c>
      <c r="I39" s="2" t="s">
        <v>1427</v>
      </c>
      <c r="J39" s="2" t="s">
        <v>35</v>
      </c>
      <c r="K39" s="2" t="s">
        <v>35</v>
      </c>
      <c r="L39" s="2">
        <v>6</v>
      </c>
      <c r="M39" s="2" t="s">
        <v>35</v>
      </c>
      <c r="N39" s="2" t="s">
        <v>35</v>
      </c>
      <c r="O39" s="11">
        <v>44747.397095925924</v>
      </c>
      <c r="P39" s="11">
        <v>44747.397422430557</v>
      </c>
      <c r="Q39" s="27">
        <v>3.2650463253958151E-4</v>
      </c>
      <c r="R39" s="27">
        <v>5.2549768588505685E-4</v>
      </c>
      <c r="S39" s="2">
        <v>0</v>
      </c>
      <c r="T39" s="2" t="s">
        <v>265</v>
      </c>
      <c r="U39" s="2" t="s">
        <v>266</v>
      </c>
      <c r="V39" s="2" t="s">
        <v>38</v>
      </c>
      <c r="W39" s="2" t="s">
        <v>35</v>
      </c>
      <c r="X39" s="2" t="s">
        <v>35</v>
      </c>
      <c r="Y39" s="2" t="s">
        <v>35</v>
      </c>
      <c r="Z39" s="2" t="b">
        <v>0</v>
      </c>
      <c r="AA39" s="2" t="s">
        <v>35</v>
      </c>
      <c r="AB39" s="2" t="s">
        <v>35</v>
      </c>
      <c r="AC39" s="2" t="s">
        <v>35</v>
      </c>
      <c r="AD39" s="2" t="s">
        <v>35</v>
      </c>
      <c r="AE39" s="2" t="s">
        <v>688</v>
      </c>
      <c r="AF39" s="11">
        <v>44747.395138888889</v>
      </c>
      <c r="AG39" s="53"/>
      <c r="AH39" s="53" t="b">
        <f t="shared" si="1"/>
        <v>0</v>
      </c>
      <c r="AI39" s="54" t="s">
        <v>9876</v>
      </c>
      <c r="AJ39" s="2"/>
      <c r="AK39" s="2"/>
      <c r="AL39" s="2"/>
      <c r="AM39" s="2"/>
      <c r="AN39" s="2"/>
    </row>
    <row r="40" spans="1:40" ht="16" x14ac:dyDescent="0.2">
      <c r="A40" s="2" t="s">
        <v>1469</v>
      </c>
      <c r="B40" s="2">
        <v>446</v>
      </c>
      <c r="C40" s="2" t="b">
        <v>0</v>
      </c>
      <c r="D40" s="2" t="b">
        <v>0</v>
      </c>
      <c r="E40" s="2" t="b">
        <v>0</v>
      </c>
      <c r="F40" s="2" t="b">
        <v>0</v>
      </c>
      <c r="G40" s="2" t="s">
        <v>31</v>
      </c>
      <c r="H40" s="2" t="s">
        <v>1470</v>
      </c>
      <c r="I40" s="2" t="s">
        <v>1471</v>
      </c>
      <c r="J40" s="2" t="s">
        <v>35</v>
      </c>
      <c r="K40" s="2" t="s">
        <v>35</v>
      </c>
      <c r="L40" s="2">
        <v>14</v>
      </c>
      <c r="M40" s="2" t="s">
        <v>35</v>
      </c>
      <c r="N40" s="2" t="s">
        <v>35</v>
      </c>
      <c r="O40" s="11">
        <v>44747.427976099534</v>
      </c>
      <c r="P40" s="11">
        <v>44747.428400775461</v>
      </c>
      <c r="Q40" s="27">
        <v>4.2467592720640823E-4</v>
      </c>
      <c r="R40" s="27">
        <v>5.9372685063863173E-4</v>
      </c>
      <c r="S40" s="2">
        <v>0</v>
      </c>
      <c r="T40" s="2" t="s">
        <v>265</v>
      </c>
      <c r="U40" s="2" t="s">
        <v>266</v>
      </c>
      <c r="V40" s="2" t="s">
        <v>38</v>
      </c>
      <c r="W40" s="2" t="s">
        <v>35</v>
      </c>
      <c r="X40" s="2" t="s">
        <v>35</v>
      </c>
      <c r="Y40" s="2" t="s">
        <v>35</v>
      </c>
      <c r="Z40" s="2" t="b">
        <v>0</v>
      </c>
      <c r="AA40" s="2" t="s">
        <v>35</v>
      </c>
      <c r="AB40" s="2" t="s">
        <v>35</v>
      </c>
      <c r="AC40" s="2" t="s">
        <v>35</v>
      </c>
      <c r="AD40" s="2" t="s">
        <v>35</v>
      </c>
      <c r="AE40" s="2" t="s">
        <v>1464</v>
      </c>
      <c r="AF40" s="11">
        <v>44747.425694386577</v>
      </c>
      <c r="AG40" s="53"/>
      <c r="AH40" s="53" t="b">
        <f t="shared" si="1"/>
        <v>0</v>
      </c>
      <c r="AI40" s="54" t="s">
        <v>9877</v>
      </c>
      <c r="AJ40" s="2"/>
      <c r="AK40" s="2"/>
      <c r="AL40" s="2"/>
      <c r="AM40" s="2"/>
      <c r="AN40" s="2"/>
    </row>
    <row r="41" spans="1:40" ht="16" x14ac:dyDescent="0.2">
      <c r="A41" s="2" t="s">
        <v>1482</v>
      </c>
      <c r="B41" s="2">
        <v>450</v>
      </c>
      <c r="C41" s="2" t="b">
        <v>0</v>
      </c>
      <c r="D41" s="2" t="b">
        <v>0</v>
      </c>
      <c r="E41" s="2" t="b">
        <v>0</v>
      </c>
      <c r="F41" s="2" t="b">
        <v>0</v>
      </c>
      <c r="G41" s="2" t="s">
        <v>31</v>
      </c>
      <c r="H41" s="2" t="s">
        <v>1483</v>
      </c>
      <c r="I41" s="2" t="s">
        <v>1484</v>
      </c>
      <c r="J41" s="2" t="s">
        <v>35</v>
      </c>
      <c r="K41" s="2" t="s">
        <v>35</v>
      </c>
      <c r="L41" s="2">
        <v>12</v>
      </c>
      <c r="M41" s="2" t="s">
        <v>35</v>
      </c>
      <c r="N41" s="2" t="s">
        <v>35</v>
      </c>
      <c r="O41" s="11">
        <v>44747.430406979169</v>
      </c>
      <c r="P41" s="11">
        <v>44747.430869074073</v>
      </c>
      <c r="Q41" s="27">
        <v>4.6209490392357111E-4</v>
      </c>
      <c r="R41" s="27">
        <v>7.1383101749233902E-4</v>
      </c>
      <c r="S41" s="2">
        <v>0</v>
      </c>
      <c r="T41" s="2" t="s">
        <v>265</v>
      </c>
      <c r="U41" s="2" t="s">
        <v>266</v>
      </c>
      <c r="V41" s="2" t="s">
        <v>38</v>
      </c>
      <c r="W41" s="2" t="s">
        <v>35</v>
      </c>
      <c r="X41" s="2" t="s">
        <v>35</v>
      </c>
      <c r="Y41" s="2" t="s">
        <v>35</v>
      </c>
      <c r="Z41" s="2" t="b">
        <v>0</v>
      </c>
      <c r="AA41" s="2" t="s">
        <v>35</v>
      </c>
      <c r="AB41" s="2" t="s">
        <v>35</v>
      </c>
      <c r="AC41" s="2" t="s">
        <v>35</v>
      </c>
      <c r="AD41" s="2" t="s">
        <v>35</v>
      </c>
      <c r="AE41" s="2" t="s">
        <v>1464</v>
      </c>
      <c r="AF41" s="11">
        <v>44747.425694386577</v>
      </c>
      <c r="AG41" s="53"/>
      <c r="AH41" s="53" t="b">
        <f t="shared" si="1"/>
        <v>0</v>
      </c>
      <c r="AI41" s="54" t="s">
        <v>9705</v>
      </c>
      <c r="AJ41" s="2"/>
      <c r="AK41" s="2"/>
      <c r="AL41" s="2"/>
      <c r="AM41" s="2"/>
      <c r="AN41" s="2"/>
    </row>
    <row r="42" spans="1:40" ht="16" x14ac:dyDescent="0.2">
      <c r="A42" s="2" t="s">
        <v>1509</v>
      </c>
      <c r="B42" s="2">
        <v>459</v>
      </c>
      <c r="C42" s="2" t="b">
        <v>0</v>
      </c>
      <c r="D42" s="2" t="b">
        <v>0</v>
      </c>
      <c r="E42" s="2" t="b">
        <v>0</v>
      </c>
      <c r="F42" s="2" t="b">
        <v>0</v>
      </c>
      <c r="G42" s="2" t="s">
        <v>31</v>
      </c>
      <c r="H42" s="2" t="s">
        <v>1510</v>
      </c>
      <c r="I42" s="2" t="s">
        <v>1511</v>
      </c>
      <c r="J42" s="2" t="s">
        <v>35</v>
      </c>
      <c r="K42" s="2" t="s">
        <v>35</v>
      </c>
      <c r="L42" s="2">
        <v>10</v>
      </c>
      <c r="M42" s="2" t="s">
        <v>35</v>
      </c>
      <c r="N42" s="2" t="s">
        <v>35</v>
      </c>
      <c r="O42" s="11">
        <v>44747.442645567127</v>
      </c>
      <c r="P42" s="11">
        <v>44747.442898252317</v>
      </c>
      <c r="Q42" s="27">
        <v>2.5268518947996199E-4</v>
      </c>
      <c r="R42" s="27">
        <v>3.0847222660668194E-4</v>
      </c>
      <c r="S42" s="2">
        <v>0</v>
      </c>
      <c r="T42" s="2" t="s">
        <v>265</v>
      </c>
      <c r="U42" s="2" t="s">
        <v>266</v>
      </c>
      <c r="V42" s="2" t="s">
        <v>38</v>
      </c>
      <c r="W42" s="2" t="s">
        <v>35</v>
      </c>
      <c r="X42" s="2" t="s">
        <v>35</v>
      </c>
      <c r="Y42" s="2" t="s">
        <v>35</v>
      </c>
      <c r="Z42" s="2" t="b">
        <v>0</v>
      </c>
      <c r="AA42" s="2" t="s">
        <v>35</v>
      </c>
      <c r="AB42" s="2" t="s">
        <v>35</v>
      </c>
      <c r="AC42" s="2" t="s">
        <v>35</v>
      </c>
      <c r="AD42" s="2" t="s">
        <v>35</v>
      </c>
      <c r="AE42" s="2" t="s">
        <v>1464</v>
      </c>
      <c r="AF42" s="11">
        <v>44747.425694386577</v>
      </c>
      <c r="AG42" s="53"/>
      <c r="AH42" s="53" t="b">
        <f t="shared" ref="AH42:AH73" si="2">IF(Q42&gt;TIME(0,1,4),"TRUE")</f>
        <v>0</v>
      </c>
      <c r="AI42" s="54" t="s">
        <v>9704</v>
      </c>
      <c r="AJ42" s="2"/>
      <c r="AK42" s="2"/>
      <c r="AL42" s="2"/>
      <c r="AM42" s="2"/>
      <c r="AN42" s="2"/>
    </row>
    <row r="43" spans="1:40" ht="16" x14ac:dyDescent="0.2">
      <c r="A43" s="2" t="s">
        <v>1538</v>
      </c>
      <c r="B43" s="2">
        <v>468</v>
      </c>
      <c r="C43" s="2" t="b">
        <v>0</v>
      </c>
      <c r="D43" s="2" t="b">
        <v>0</v>
      </c>
      <c r="E43" s="2" t="b">
        <v>0</v>
      </c>
      <c r="F43" s="2" t="b">
        <v>0</v>
      </c>
      <c r="G43" s="2" t="s">
        <v>31</v>
      </c>
      <c r="H43" s="2" t="s">
        <v>1539</v>
      </c>
      <c r="I43" s="2" t="s">
        <v>1540</v>
      </c>
      <c r="J43" s="2" t="s">
        <v>35</v>
      </c>
      <c r="K43" s="2" t="s">
        <v>35</v>
      </c>
      <c r="L43" s="2">
        <v>9</v>
      </c>
      <c r="M43" s="2" t="s">
        <v>35</v>
      </c>
      <c r="N43" s="2" t="s">
        <v>35</v>
      </c>
      <c r="O43" s="11">
        <v>44747.45253505787</v>
      </c>
      <c r="P43" s="11">
        <v>44747.452775949074</v>
      </c>
      <c r="Q43" s="27">
        <v>2.4089120415737852E-4</v>
      </c>
      <c r="R43" s="27">
        <v>1.2050347213516943E-3</v>
      </c>
      <c r="S43" s="2">
        <v>0</v>
      </c>
      <c r="T43" s="2" t="s">
        <v>265</v>
      </c>
      <c r="U43" s="2" t="s">
        <v>266</v>
      </c>
      <c r="V43" s="2" t="s">
        <v>38</v>
      </c>
      <c r="W43" s="2" t="s">
        <v>35</v>
      </c>
      <c r="X43" s="2" t="s">
        <v>35</v>
      </c>
      <c r="Y43" s="2" t="s">
        <v>35</v>
      </c>
      <c r="Z43" s="2" t="b">
        <v>0</v>
      </c>
      <c r="AA43" s="2" t="s">
        <v>35</v>
      </c>
      <c r="AB43" s="2" t="s">
        <v>35</v>
      </c>
      <c r="AC43" s="2" t="s">
        <v>35</v>
      </c>
      <c r="AD43" s="2" t="s">
        <v>35</v>
      </c>
      <c r="AE43" s="2" t="s">
        <v>1464</v>
      </c>
      <c r="AF43" s="11">
        <v>44747.425694386577</v>
      </c>
      <c r="AG43" s="53"/>
      <c r="AH43" s="53" t="b">
        <f t="shared" si="2"/>
        <v>0</v>
      </c>
      <c r="AI43" s="54" t="s">
        <v>9878</v>
      </c>
      <c r="AJ43" s="2"/>
      <c r="AK43" s="2"/>
      <c r="AL43" s="2"/>
      <c r="AM43" s="2"/>
      <c r="AN43" s="2"/>
    </row>
    <row r="44" spans="1:40" ht="16" x14ac:dyDescent="0.2">
      <c r="A44" s="2" t="s">
        <v>1541</v>
      </c>
      <c r="B44" s="2">
        <v>469</v>
      </c>
      <c r="C44" s="2" t="b">
        <v>0</v>
      </c>
      <c r="D44" s="2" t="b">
        <v>0</v>
      </c>
      <c r="E44" s="2" t="b">
        <v>0</v>
      </c>
      <c r="F44" s="2" t="b">
        <v>0</v>
      </c>
      <c r="G44" s="2" t="s">
        <v>31</v>
      </c>
      <c r="H44" s="2" t="s">
        <v>1542</v>
      </c>
      <c r="I44" s="2" t="s">
        <v>1543</v>
      </c>
      <c r="J44" s="2" t="s">
        <v>35</v>
      </c>
      <c r="K44" s="2" t="s">
        <v>35</v>
      </c>
      <c r="L44" s="2">
        <v>9</v>
      </c>
      <c r="M44" s="2" t="s">
        <v>35</v>
      </c>
      <c r="N44" s="2" t="s">
        <v>35</v>
      </c>
      <c r="O44" s="11">
        <v>44747.452876979165</v>
      </c>
      <c r="P44" s="11">
        <v>44747.453079189814</v>
      </c>
      <c r="Q44" s="27">
        <v>2.0221064914949238E-4</v>
      </c>
      <c r="R44" s="27">
        <v>3.0324074032250792E-4</v>
      </c>
      <c r="S44" s="2">
        <v>0</v>
      </c>
      <c r="T44" s="2" t="s">
        <v>265</v>
      </c>
      <c r="U44" s="2" t="s">
        <v>266</v>
      </c>
      <c r="V44" s="2" t="s">
        <v>38</v>
      </c>
      <c r="W44" s="2" t="s">
        <v>35</v>
      </c>
      <c r="X44" s="2" t="s">
        <v>35</v>
      </c>
      <c r="Y44" s="2" t="s">
        <v>35</v>
      </c>
      <c r="Z44" s="2" t="b">
        <v>0</v>
      </c>
      <c r="AA44" s="2" t="s">
        <v>35</v>
      </c>
      <c r="AB44" s="2" t="s">
        <v>35</v>
      </c>
      <c r="AC44" s="2" t="s">
        <v>35</v>
      </c>
      <c r="AD44" s="2" t="s">
        <v>35</v>
      </c>
      <c r="AE44" s="2" t="s">
        <v>1464</v>
      </c>
      <c r="AF44" s="11">
        <v>44747.425694386577</v>
      </c>
      <c r="AG44" s="53"/>
      <c r="AH44" s="53" t="b">
        <f t="shared" si="2"/>
        <v>0</v>
      </c>
      <c r="AI44" s="54" t="s">
        <v>9879</v>
      </c>
      <c r="AJ44" s="2"/>
      <c r="AK44" s="2"/>
      <c r="AL44" s="2"/>
      <c r="AM44" s="2"/>
      <c r="AN44" s="2"/>
    </row>
    <row r="45" spans="1:40" ht="16" x14ac:dyDescent="0.2">
      <c r="A45" s="2" t="s">
        <v>1605</v>
      </c>
      <c r="B45" s="2">
        <v>488</v>
      </c>
      <c r="C45" s="2" t="b">
        <v>0</v>
      </c>
      <c r="D45" s="2" t="b">
        <v>0</v>
      </c>
      <c r="E45" s="2" t="b">
        <v>0</v>
      </c>
      <c r="F45" s="2" t="b">
        <v>0</v>
      </c>
      <c r="G45" s="2" t="s">
        <v>31</v>
      </c>
      <c r="H45" s="2" t="s">
        <v>1606</v>
      </c>
      <c r="I45" s="2" t="s">
        <v>1607</v>
      </c>
      <c r="J45" s="2" t="s">
        <v>35</v>
      </c>
      <c r="K45" s="2" t="s">
        <v>35</v>
      </c>
      <c r="L45" s="2">
        <v>9</v>
      </c>
      <c r="M45" s="2" t="s">
        <v>35</v>
      </c>
      <c r="N45" s="2" t="s">
        <v>35</v>
      </c>
      <c r="O45" s="11">
        <v>44747.479011006944</v>
      </c>
      <c r="P45" s="11">
        <v>44747.479247847223</v>
      </c>
      <c r="Q45" s="27">
        <v>2.3684027837589383E-4</v>
      </c>
      <c r="R45" s="27">
        <v>7.5766204099636525E-4</v>
      </c>
      <c r="S45" s="2">
        <v>0</v>
      </c>
      <c r="T45" s="2" t="s">
        <v>265</v>
      </c>
      <c r="U45" s="2" t="s">
        <v>266</v>
      </c>
      <c r="V45" s="2" t="s">
        <v>38</v>
      </c>
      <c r="W45" s="2" t="s">
        <v>35</v>
      </c>
      <c r="X45" s="2" t="s">
        <v>35</v>
      </c>
      <c r="Y45" s="2" t="s">
        <v>35</v>
      </c>
      <c r="Z45" s="2" t="b">
        <v>0</v>
      </c>
      <c r="AA45" s="2" t="s">
        <v>35</v>
      </c>
      <c r="AB45" s="2" t="s">
        <v>35</v>
      </c>
      <c r="AC45" s="2" t="s">
        <v>35</v>
      </c>
      <c r="AD45" s="2" t="s">
        <v>35</v>
      </c>
      <c r="AE45" s="2" t="s">
        <v>1464</v>
      </c>
      <c r="AF45" s="11">
        <v>44747.425694386577</v>
      </c>
      <c r="AG45" s="53"/>
      <c r="AH45" s="53" t="b">
        <f t="shared" si="2"/>
        <v>0</v>
      </c>
      <c r="AI45" s="54" t="s">
        <v>9703</v>
      </c>
      <c r="AJ45" s="2"/>
      <c r="AK45" s="2"/>
      <c r="AL45" s="2"/>
      <c r="AM45" s="2"/>
      <c r="AN45" s="2"/>
    </row>
    <row r="46" spans="1:40" ht="16" x14ac:dyDescent="0.2">
      <c r="A46" s="2" t="s">
        <v>1669</v>
      </c>
      <c r="B46" s="2">
        <v>507</v>
      </c>
      <c r="C46" s="2" t="b">
        <v>0</v>
      </c>
      <c r="D46" s="2" t="b">
        <v>0</v>
      </c>
      <c r="E46" s="2" t="b">
        <v>0</v>
      </c>
      <c r="F46" s="2" t="b">
        <v>0</v>
      </c>
      <c r="G46" s="2" t="s">
        <v>31</v>
      </c>
      <c r="H46" s="2" t="s">
        <v>1670</v>
      </c>
      <c r="I46" s="2" t="s">
        <v>1671</v>
      </c>
      <c r="J46" s="2" t="s">
        <v>35</v>
      </c>
      <c r="K46" s="2" t="s">
        <v>35</v>
      </c>
      <c r="L46" s="2">
        <v>7</v>
      </c>
      <c r="M46" s="2" t="s">
        <v>35</v>
      </c>
      <c r="N46" s="2" t="s">
        <v>35</v>
      </c>
      <c r="O46" s="11">
        <v>44747.502715833332</v>
      </c>
      <c r="P46" s="11">
        <v>44747.503007187501</v>
      </c>
      <c r="Q46" s="27">
        <v>2.9135416843928397E-4</v>
      </c>
      <c r="R46" s="27">
        <v>1.2238773124408908E-3</v>
      </c>
      <c r="S46" s="2">
        <v>0</v>
      </c>
      <c r="T46" s="2" t="s">
        <v>265</v>
      </c>
      <c r="U46" s="2" t="s">
        <v>266</v>
      </c>
      <c r="V46" s="2" t="s">
        <v>38</v>
      </c>
      <c r="W46" s="2" t="s">
        <v>35</v>
      </c>
      <c r="X46" s="2" t="s">
        <v>35</v>
      </c>
      <c r="Y46" s="2" t="s">
        <v>35</v>
      </c>
      <c r="Z46" s="2" t="b">
        <v>0</v>
      </c>
      <c r="AA46" s="2" t="s">
        <v>35</v>
      </c>
      <c r="AB46" s="2" t="s">
        <v>35</v>
      </c>
      <c r="AC46" s="2" t="s">
        <v>35</v>
      </c>
      <c r="AD46" s="2" t="s">
        <v>35</v>
      </c>
      <c r="AE46" s="2" t="s">
        <v>1464</v>
      </c>
      <c r="AF46" s="11">
        <v>44747.425694386577</v>
      </c>
      <c r="AG46" s="53"/>
      <c r="AH46" s="53" t="b">
        <f t="shared" si="2"/>
        <v>0</v>
      </c>
      <c r="AI46" s="54" t="s">
        <v>9880</v>
      </c>
      <c r="AJ46" s="2"/>
      <c r="AK46" s="2"/>
      <c r="AL46" s="2"/>
      <c r="AM46" s="2"/>
      <c r="AN46" s="2"/>
    </row>
    <row r="47" spans="1:40" ht="16" x14ac:dyDescent="0.2">
      <c r="A47" s="2" t="s">
        <v>1672</v>
      </c>
      <c r="B47" s="2">
        <v>508</v>
      </c>
      <c r="C47" s="2" t="b">
        <v>0</v>
      </c>
      <c r="D47" s="2" t="b">
        <v>0</v>
      </c>
      <c r="E47" s="2" t="b">
        <v>0</v>
      </c>
      <c r="F47" s="2" t="b">
        <v>0</v>
      </c>
      <c r="G47" s="2" t="s">
        <v>31</v>
      </c>
      <c r="H47" s="2" t="s">
        <v>1673</v>
      </c>
      <c r="I47" s="2" t="s">
        <v>1674</v>
      </c>
      <c r="J47" s="2" t="s">
        <v>35</v>
      </c>
      <c r="K47" s="2" t="s">
        <v>35</v>
      </c>
      <c r="L47" s="2">
        <v>5</v>
      </c>
      <c r="M47" s="2" t="s">
        <v>35</v>
      </c>
      <c r="N47" s="2" t="s">
        <v>35</v>
      </c>
      <c r="O47" s="11">
        <v>44747.503137662039</v>
      </c>
      <c r="P47" s="11">
        <v>44747.503344606484</v>
      </c>
      <c r="Q47" s="27">
        <v>2.0694444538094103E-4</v>
      </c>
      <c r="R47" s="27">
        <v>3.3741898369044065E-4</v>
      </c>
      <c r="S47" s="2">
        <v>0</v>
      </c>
      <c r="T47" s="2" t="s">
        <v>265</v>
      </c>
      <c r="U47" s="2" t="s">
        <v>266</v>
      </c>
      <c r="V47" s="2" t="s">
        <v>38</v>
      </c>
      <c r="W47" s="2" t="s">
        <v>35</v>
      </c>
      <c r="X47" s="2" t="s">
        <v>35</v>
      </c>
      <c r="Y47" s="2" t="s">
        <v>35</v>
      </c>
      <c r="Z47" s="2" t="b">
        <v>0</v>
      </c>
      <c r="AA47" s="2" t="s">
        <v>35</v>
      </c>
      <c r="AB47" s="2" t="s">
        <v>35</v>
      </c>
      <c r="AC47" s="2" t="s">
        <v>35</v>
      </c>
      <c r="AD47" s="2" t="s">
        <v>35</v>
      </c>
      <c r="AE47" s="2" t="s">
        <v>1464</v>
      </c>
      <c r="AF47" s="11">
        <v>44747.425694386577</v>
      </c>
      <c r="AG47" s="53"/>
      <c r="AH47" s="53" t="b">
        <f t="shared" si="2"/>
        <v>0</v>
      </c>
      <c r="AI47" s="54" t="s">
        <v>9881</v>
      </c>
      <c r="AJ47" s="2"/>
      <c r="AK47" s="2"/>
      <c r="AL47" s="2"/>
      <c r="AM47" s="2"/>
      <c r="AN47" s="2"/>
    </row>
    <row r="48" spans="1:40" ht="16" x14ac:dyDescent="0.2">
      <c r="A48" s="2" t="s">
        <v>1807</v>
      </c>
      <c r="B48" s="2">
        <v>552</v>
      </c>
      <c r="C48" s="2" t="b">
        <v>0</v>
      </c>
      <c r="D48" s="2" t="b">
        <v>0</v>
      </c>
      <c r="E48" s="2" t="b">
        <v>0</v>
      </c>
      <c r="F48" s="2" t="b">
        <v>1</v>
      </c>
      <c r="G48" s="2" t="s">
        <v>31</v>
      </c>
      <c r="H48" s="2" t="s">
        <v>1808</v>
      </c>
      <c r="I48" s="2" t="s">
        <v>1809</v>
      </c>
      <c r="J48" s="2" t="s">
        <v>1810</v>
      </c>
      <c r="K48" s="2" t="s">
        <v>35</v>
      </c>
      <c r="L48" s="2">
        <v>15</v>
      </c>
      <c r="M48" s="2" t="s">
        <v>35</v>
      </c>
      <c r="N48" s="2" t="s">
        <v>35</v>
      </c>
      <c r="O48" s="11">
        <v>44748.612043310182</v>
      </c>
      <c r="P48" s="11">
        <v>44748.613276701391</v>
      </c>
      <c r="Q48" s="27">
        <v>1.2333912090980448E-3</v>
      </c>
      <c r="R48" s="27">
        <v>1.3203009293647483E-3</v>
      </c>
      <c r="S48" s="2">
        <v>0</v>
      </c>
      <c r="T48" s="2" t="s">
        <v>265</v>
      </c>
      <c r="U48" s="2" t="s">
        <v>266</v>
      </c>
      <c r="V48" s="2" t="s">
        <v>38</v>
      </c>
      <c r="W48" s="2" t="s">
        <v>35</v>
      </c>
      <c r="X48" s="2" t="s">
        <v>35</v>
      </c>
      <c r="Y48" s="2" t="s">
        <v>35</v>
      </c>
      <c r="Z48" s="2" t="b">
        <v>0</v>
      </c>
      <c r="AA48" s="2" t="s">
        <v>35</v>
      </c>
      <c r="AB48" s="2" t="s">
        <v>35</v>
      </c>
      <c r="AC48" s="2" t="s">
        <v>35</v>
      </c>
      <c r="AD48" s="2" t="s">
        <v>35</v>
      </c>
      <c r="AE48" s="2" t="s">
        <v>941</v>
      </c>
      <c r="AF48" s="11">
        <v>44748.587500000001</v>
      </c>
      <c r="AG48" s="53"/>
      <c r="AH48" s="53" t="str">
        <f t="shared" si="2"/>
        <v>TRUE</v>
      </c>
      <c r="AI48" s="54" t="s">
        <v>9702</v>
      </c>
      <c r="AJ48" s="2"/>
      <c r="AK48" s="2"/>
      <c r="AL48" s="2"/>
      <c r="AM48" s="2"/>
      <c r="AN48" s="2"/>
    </row>
    <row r="49" spans="1:40" ht="16" x14ac:dyDescent="0.2">
      <c r="A49" s="2" t="s">
        <v>1921</v>
      </c>
      <c r="B49" s="2">
        <v>592</v>
      </c>
      <c r="C49" s="2" t="b">
        <v>0</v>
      </c>
      <c r="D49" s="2" t="b">
        <v>0</v>
      </c>
      <c r="E49" s="2" t="b">
        <v>0</v>
      </c>
      <c r="F49" s="2" t="b">
        <v>0</v>
      </c>
      <c r="G49" s="2" t="s">
        <v>31</v>
      </c>
      <c r="H49" s="2" t="s">
        <v>1922</v>
      </c>
      <c r="I49" s="2" t="s">
        <v>1923</v>
      </c>
      <c r="J49" s="2" t="s">
        <v>35</v>
      </c>
      <c r="K49" s="2" t="s">
        <v>35</v>
      </c>
      <c r="L49" s="2">
        <v>13</v>
      </c>
      <c r="M49" s="2" t="s">
        <v>35</v>
      </c>
      <c r="N49" s="2" t="s">
        <v>35</v>
      </c>
      <c r="O49" s="11">
        <v>44748.677755856479</v>
      </c>
      <c r="P49" s="11">
        <v>44748.677963078706</v>
      </c>
      <c r="Q49" s="27">
        <v>2.0722222689073533E-4</v>
      </c>
      <c r="R49" s="27">
        <v>1.1048611122532748E-3</v>
      </c>
      <c r="S49" s="2">
        <v>0</v>
      </c>
      <c r="T49" s="2" t="s">
        <v>265</v>
      </c>
      <c r="U49" s="2" t="s">
        <v>266</v>
      </c>
      <c r="V49" s="2" t="s">
        <v>38</v>
      </c>
      <c r="W49" s="2" t="s">
        <v>35</v>
      </c>
      <c r="X49" s="2" t="s">
        <v>35</v>
      </c>
      <c r="Y49" s="2" t="s">
        <v>35</v>
      </c>
      <c r="Z49" s="2" t="b">
        <v>0</v>
      </c>
      <c r="AA49" s="2" t="s">
        <v>35</v>
      </c>
      <c r="AB49" s="2" t="s">
        <v>35</v>
      </c>
      <c r="AC49" s="2" t="s">
        <v>35</v>
      </c>
      <c r="AD49" s="2" t="s">
        <v>35</v>
      </c>
      <c r="AE49" s="2" t="s">
        <v>1826</v>
      </c>
      <c r="AF49" s="11">
        <v>44748.629166608793</v>
      </c>
      <c r="AG49" s="53"/>
      <c r="AH49" s="53" t="b">
        <f t="shared" si="2"/>
        <v>0</v>
      </c>
      <c r="AI49" s="54" t="s">
        <v>9882</v>
      </c>
      <c r="AJ49" s="2"/>
      <c r="AK49" s="2"/>
      <c r="AL49" s="2"/>
      <c r="AM49" s="2"/>
      <c r="AN49" s="2"/>
    </row>
    <row r="50" spans="1:40" ht="16" x14ac:dyDescent="0.2">
      <c r="A50" s="2" t="s">
        <v>1960</v>
      </c>
      <c r="B50" s="2">
        <v>606</v>
      </c>
      <c r="C50" s="2" t="b">
        <v>0</v>
      </c>
      <c r="D50" s="2" t="b">
        <v>0</v>
      </c>
      <c r="E50" s="2" t="b">
        <v>0</v>
      </c>
      <c r="F50" s="2" t="b">
        <v>0</v>
      </c>
      <c r="G50" s="2" t="s">
        <v>31</v>
      </c>
      <c r="H50" s="2" t="s">
        <v>1961</v>
      </c>
      <c r="I50" s="2" t="s">
        <v>1962</v>
      </c>
      <c r="J50" s="2" t="s">
        <v>35</v>
      </c>
      <c r="K50" s="2" t="s">
        <v>35</v>
      </c>
      <c r="L50" s="2">
        <v>10</v>
      </c>
      <c r="M50" s="2" t="s">
        <v>35</v>
      </c>
      <c r="N50" s="2" t="s">
        <v>35</v>
      </c>
      <c r="O50" s="11">
        <v>44748.702035856484</v>
      </c>
      <c r="P50" s="11">
        <v>44748.702286134256</v>
      </c>
      <c r="Q50" s="27">
        <v>2.5027777155628428E-4</v>
      </c>
      <c r="R50" s="27">
        <v>9.2119212786201388E-4</v>
      </c>
      <c r="S50" s="2">
        <v>0</v>
      </c>
      <c r="T50" s="2" t="s">
        <v>265</v>
      </c>
      <c r="U50" s="2" t="s">
        <v>266</v>
      </c>
      <c r="V50" s="2" t="s">
        <v>38</v>
      </c>
      <c r="W50" s="2" t="s">
        <v>35</v>
      </c>
      <c r="X50" s="2" t="s">
        <v>35</v>
      </c>
      <c r="Y50" s="2" t="s">
        <v>35</v>
      </c>
      <c r="Z50" s="2" t="b">
        <v>0</v>
      </c>
      <c r="AA50" s="2" t="s">
        <v>35</v>
      </c>
      <c r="AB50" s="2" t="s">
        <v>35</v>
      </c>
      <c r="AC50" s="2" t="s">
        <v>35</v>
      </c>
      <c r="AD50" s="2" t="s">
        <v>35</v>
      </c>
      <c r="AE50" s="2" t="s">
        <v>1945</v>
      </c>
      <c r="AF50" s="11">
        <v>44748.697222222225</v>
      </c>
      <c r="AG50" s="53"/>
      <c r="AH50" s="53" t="b">
        <f t="shared" si="2"/>
        <v>0</v>
      </c>
      <c r="AI50" s="54" t="s">
        <v>9883</v>
      </c>
      <c r="AJ50" s="2"/>
      <c r="AK50" s="2"/>
      <c r="AL50" s="2"/>
      <c r="AM50" s="2"/>
      <c r="AN50" s="2"/>
    </row>
    <row r="51" spans="1:40" ht="16" x14ac:dyDescent="0.2">
      <c r="A51" s="2" t="s">
        <v>1965</v>
      </c>
      <c r="B51" s="2">
        <v>608</v>
      </c>
      <c r="C51" s="2" t="b">
        <v>0</v>
      </c>
      <c r="D51" s="2" t="b">
        <v>0</v>
      </c>
      <c r="E51" s="2" t="b">
        <v>0</v>
      </c>
      <c r="F51" s="2" t="b">
        <v>0</v>
      </c>
      <c r="G51" s="2" t="s">
        <v>31</v>
      </c>
      <c r="H51" s="2" t="s">
        <v>1966</v>
      </c>
      <c r="I51" s="2" t="s">
        <v>1967</v>
      </c>
      <c r="J51" s="2" t="s">
        <v>35</v>
      </c>
      <c r="K51" s="2" t="s">
        <v>35</v>
      </c>
      <c r="L51" s="2">
        <v>5</v>
      </c>
      <c r="M51" s="2" t="s">
        <v>35</v>
      </c>
      <c r="N51" s="2" t="s">
        <v>35</v>
      </c>
      <c r="O51" s="11">
        <v>44748.70306201389</v>
      </c>
      <c r="P51" s="11">
        <v>44748.703284363422</v>
      </c>
      <c r="Q51" s="27">
        <v>2.2234953212318942E-4</v>
      </c>
      <c r="R51" s="27">
        <v>7.0862268330529332E-4</v>
      </c>
      <c r="S51" s="2">
        <v>0</v>
      </c>
      <c r="T51" s="2" t="s">
        <v>265</v>
      </c>
      <c r="U51" s="2" t="s">
        <v>266</v>
      </c>
      <c r="V51" s="2" t="s">
        <v>38</v>
      </c>
      <c r="W51" s="2" t="s">
        <v>35</v>
      </c>
      <c r="X51" s="2" t="s">
        <v>35</v>
      </c>
      <c r="Y51" s="2" t="s">
        <v>35</v>
      </c>
      <c r="Z51" s="2" t="b">
        <v>0</v>
      </c>
      <c r="AA51" s="2" t="s">
        <v>35</v>
      </c>
      <c r="AB51" s="2" t="s">
        <v>35</v>
      </c>
      <c r="AC51" s="2" t="s">
        <v>35</v>
      </c>
      <c r="AD51" s="2" t="s">
        <v>35</v>
      </c>
      <c r="AE51" s="2" t="s">
        <v>1945</v>
      </c>
      <c r="AF51" s="11">
        <v>44748.697222222225</v>
      </c>
      <c r="AG51" s="53"/>
      <c r="AH51" s="53" t="b">
        <f t="shared" si="2"/>
        <v>0</v>
      </c>
      <c r="AI51" s="54" t="s">
        <v>9884</v>
      </c>
      <c r="AJ51" s="2"/>
      <c r="AK51" s="2"/>
      <c r="AL51" s="2"/>
      <c r="AM51" s="2"/>
      <c r="AN51" s="2"/>
    </row>
    <row r="52" spans="1:40" ht="16" x14ac:dyDescent="0.2">
      <c r="A52" s="68" t="s">
        <v>1968</v>
      </c>
      <c r="B52" s="68">
        <v>609</v>
      </c>
      <c r="C52" s="68" t="b">
        <v>0</v>
      </c>
      <c r="D52" s="68" t="b">
        <v>0</v>
      </c>
      <c r="E52" s="68" t="b">
        <v>0</v>
      </c>
      <c r="F52" s="68" t="b">
        <v>0</v>
      </c>
      <c r="G52" s="68" t="s">
        <v>31</v>
      </c>
      <c r="H52" s="68" t="s">
        <v>149</v>
      </c>
      <c r="I52" s="68" t="s">
        <v>1969</v>
      </c>
      <c r="J52" s="68" t="s">
        <v>35</v>
      </c>
      <c r="K52" s="68" t="s">
        <v>35</v>
      </c>
      <c r="L52" s="68">
        <v>6</v>
      </c>
      <c r="M52" s="68" t="s">
        <v>35</v>
      </c>
      <c r="N52" s="68" t="s">
        <v>35</v>
      </c>
      <c r="O52" s="69">
        <v>44748.703539131944</v>
      </c>
      <c r="P52" s="69">
        <v>44748.703709699075</v>
      </c>
      <c r="Q52" s="70">
        <v>1.7056713113561273E-4</v>
      </c>
      <c r="R52" s="70">
        <v>4.2533565283520147E-4</v>
      </c>
      <c r="S52" s="68">
        <v>0</v>
      </c>
      <c r="T52" s="68" t="s">
        <v>265</v>
      </c>
      <c r="U52" s="68" t="s">
        <v>266</v>
      </c>
      <c r="V52" s="68" t="s">
        <v>38</v>
      </c>
      <c r="W52" s="68" t="s">
        <v>35</v>
      </c>
      <c r="X52" s="68" t="s">
        <v>35</v>
      </c>
      <c r="Y52" s="68" t="s">
        <v>35</v>
      </c>
      <c r="Z52" s="68" t="b">
        <v>0</v>
      </c>
      <c r="AA52" s="68" t="s">
        <v>35</v>
      </c>
      <c r="AB52" s="68" t="s">
        <v>35</v>
      </c>
      <c r="AC52" s="68" t="s">
        <v>35</v>
      </c>
      <c r="AD52" s="68" t="s">
        <v>35</v>
      </c>
      <c r="AE52" s="68" t="s">
        <v>1945</v>
      </c>
      <c r="AF52" s="69">
        <v>44748.697222222225</v>
      </c>
      <c r="AG52" s="71"/>
      <c r="AH52" s="53" t="b">
        <f t="shared" si="2"/>
        <v>0</v>
      </c>
      <c r="AI52" s="56" t="s">
        <v>35</v>
      </c>
      <c r="AJ52" s="68"/>
      <c r="AK52" s="68"/>
      <c r="AL52" s="68"/>
      <c r="AM52" s="68"/>
      <c r="AN52" s="68"/>
    </row>
    <row r="53" spans="1:40" ht="16" x14ac:dyDescent="0.2">
      <c r="A53" s="68" t="s">
        <v>1987</v>
      </c>
      <c r="B53" s="68">
        <v>616</v>
      </c>
      <c r="C53" s="68" t="b">
        <v>0</v>
      </c>
      <c r="D53" s="68" t="b">
        <v>0</v>
      </c>
      <c r="E53" s="68" t="b">
        <v>0</v>
      </c>
      <c r="F53" s="68" t="b">
        <v>0</v>
      </c>
      <c r="G53" s="68" t="s">
        <v>31</v>
      </c>
      <c r="H53" s="68" t="s">
        <v>149</v>
      </c>
      <c r="I53" s="68" t="s">
        <v>1988</v>
      </c>
      <c r="J53" s="68" t="s">
        <v>35</v>
      </c>
      <c r="K53" s="68" t="s">
        <v>35</v>
      </c>
      <c r="L53" s="68">
        <v>4</v>
      </c>
      <c r="M53" s="68" t="s">
        <v>35</v>
      </c>
      <c r="N53" s="68" t="s">
        <v>35</v>
      </c>
      <c r="O53" s="69">
        <v>44748.707020578702</v>
      </c>
      <c r="P53" s="69">
        <v>44748.707210775465</v>
      </c>
      <c r="Q53" s="70">
        <v>1.9019676255993545E-4</v>
      </c>
      <c r="R53" s="70">
        <v>4.4251157669350505E-4</v>
      </c>
      <c r="S53" s="68">
        <v>0</v>
      </c>
      <c r="T53" s="68" t="s">
        <v>265</v>
      </c>
      <c r="U53" s="68" t="s">
        <v>266</v>
      </c>
      <c r="V53" s="68" t="s">
        <v>38</v>
      </c>
      <c r="W53" s="68" t="s">
        <v>35</v>
      </c>
      <c r="X53" s="68" t="s">
        <v>35</v>
      </c>
      <c r="Y53" s="68" t="s">
        <v>35</v>
      </c>
      <c r="Z53" s="68" t="b">
        <v>0</v>
      </c>
      <c r="AA53" s="68" t="s">
        <v>35</v>
      </c>
      <c r="AB53" s="68" t="s">
        <v>35</v>
      </c>
      <c r="AC53" s="68" t="s">
        <v>35</v>
      </c>
      <c r="AD53" s="68" t="s">
        <v>35</v>
      </c>
      <c r="AE53" s="68" t="s">
        <v>1945</v>
      </c>
      <c r="AF53" s="69">
        <v>44748.697222222225</v>
      </c>
      <c r="AG53" s="71"/>
      <c r="AH53" s="53" t="b">
        <f t="shared" si="2"/>
        <v>0</v>
      </c>
      <c r="AI53" s="56" t="s">
        <v>35</v>
      </c>
      <c r="AJ53" s="68"/>
      <c r="AK53" s="68"/>
      <c r="AL53" s="68"/>
      <c r="AM53" s="68"/>
      <c r="AN53" s="68"/>
    </row>
    <row r="54" spans="1:40" ht="16" x14ac:dyDescent="0.2">
      <c r="A54" s="2" t="s">
        <v>2032</v>
      </c>
      <c r="B54" s="2">
        <v>629</v>
      </c>
      <c r="C54" s="2" t="b">
        <v>0</v>
      </c>
      <c r="D54" s="2" t="b">
        <v>0</v>
      </c>
      <c r="E54" s="2" t="b">
        <v>0</v>
      </c>
      <c r="F54" s="2" t="b">
        <v>0</v>
      </c>
      <c r="G54" s="2" t="s">
        <v>31</v>
      </c>
      <c r="H54" s="2" t="s">
        <v>2033</v>
      </c>
      <c r="I54" s="2" t="s">
        <v>2034</v>
      </c>
      <c r="J54" s="2" t="s">
        <v>2035</v>
      </c>
      <c r="K54" s="2" t="s">
        <v>35</v>
      </c>
      <c r="L54" s="2">
        <v>8</v>
      </c>
      <c r="M54" s="2" t="s">
        <v>35</v>
      </c>
      <c r="N54" s="2" t="s">
        <v>35</v>
      </c>
      <c r="O54" s="11">
        <v>44749.410464039349</v>
      </c>
      <c r="P54" s="11">
        <v>44749.410875833331</v>
      </c>
      <c r="Q54" s="27">
        <v>4.1179398249369115E-4</v>
      </c>
      <c r="R54" s="27">
        <v>1.0479282354936004E-3</v>
      </c>
      <c r="S54" s="2">
        <v>0</v>
      </c>
      <c r="T54" s="2" t="s">
        <v>265</v>
      </c>
      <c r="U54" s="2" t="s">
        <v>266</v>
      </c>
      <c r="V54" s="2" t="s">
        <v>38</v>
      </c>
      <c r="W54" s="2" t="s">
        <v>35</v>
      </c>
      <c r="X54" s="2" t="s">
        <v>35</v>
      </c>
      <c r="Y54" s="2" t="s">
        <v>35</v>
      </c>
      <c r="Z54" s="2" t="b">
        <v>0</v>
      </c>
      <c r="AA54" s="2" t="s">
        <v>35</v>
      </c>
      <c r="AB54" s="2" t="s">
        <v>35</v>
      </c>
      <c r="AC54" s="2" t="s">
        <v>35</v>
      </c>
      <c r="AD54" s="2" t="s">
        <v>35</v>
      </c>
      <c r="AE54" s="2" t="s">
        <v>2025</v>
      </c>
      <c r="AF54" s="11">
        <v>44749.40625</v>
      </c>
      <c r="AG54" s="53"/>
      <c r="AH54" s="53" t="b">
        <f t="shared" si="2"/>
        <v>0</v>
      </c>
      <c r="AI54" s="54" t="s">
        <v>9700</v>
      </c>
      <c r="AJ54" s="2"/>
      <c r="AK54" s="2"/>
      <c r="AL54" s="2"/>
      <c r="AM54" s="2"/>
      <c r="AN54" s="2"/>
    </row>
    <row r="55" spans="1:40" ht="16" x14ac:dyDescent="0.2">
      <c r="A55" s="2" t="s">
        <v>2115</v>
      </c>
      <c r="B55" s="2">
        <v>653</v>
      </c>
      <c r="C55" s="2" t="b">
        <v>0</v>
      </c>
      <c r="D55" s="2" t="b">
        <v>0</v>
      </c>
      <c r="E55" s="2" t="b">
        <v>0</v>
      </c>
      <c r="F55" s="2" t="b">
        <v>0</v>
      </c>
      <c r="G55" s="2" t="s">
        <v>31</v>
      </c>
      <c r="H55" s="2" t="s">
        <v>2116</v>
      </c>
      <c r="I55" s="2" t="s">
        <v>2117</v>
      </c>
      <c r="J55" s="2" t="s">
        <v>2035</v>
      </c>
      <c r="K55" s="2" t="s">
        <v>35</v>
      </c>
      <c r="L55" s="2">
        <v>15</v>
      </c>
      <c r="M55" s="2" t="s">
        <v>35</v>
      </c>
      <c r="N55" s="2" t="s">
        <v>35</v>
      </c>
      <c r="O55" s="11">
        <v>44749.43996427083</v>
      </c>
      <c r="P55" s="11">
        <v>44749.440303819443</v>
      </c>
      <c r="Q55" s="27">
        <v>3.3954861282836646E-4</v>
      </c>
      <c r="R55" s="27">
        <v>3.6606481444323435E-4</v>
      </c>
      <c r="S55" s="2">
        <v>0</v>
      </c>
      <c r="T55" s="2" t="s">
        <v>265</v>
      </c>
      <c r="U55" s="2" t="s">
        <v>266</v>
      </c>
      <c r="V55" s="2" t="s">
        <v>38</v>
      </c>
      <c r="W55" s="2" t="s">
        <v>35</v>
      </c>
      <c r="X55" s="2" t="s">
        <v>35</v>
      </c>
      <c r="Y55" s="2" t="s">
        <v>35</v>
      </c>
      <c r="Z55" s="2" t="b">
        <v>0</v>
      </c>
      <c r="AA55" s="2" t="s">
        <v>35</v>
      </c>
      <c r="AB55" s="2" t="s">
        <v>35</v>
      </c>
      <c r="AC55" s="2" t="s">
        <v>35</v>
      </c>
      <c r="AD55" s="2" t="s">
        <v>35</v>
      </c>
      <c r="AE55" s="2" t="s">
        <v>2025</v>
      </c>
      <c r="AF55" s="11">
        <v>44749.40625</v>
      </c>
      <c r="AG55" s="53"/>
      <c r="AH55" s="53" t="b">
        <f t="shared" si="2"/>
        <v>0</v>
      </c>
      <c r="AI55" s="54" t="s">
        <v>9885</v>
      </c>
      <c r="AJ55" s="2"/>
      <c r="AK55" s="2"/>
      <c r="AL55" s="2"/>
      <c r="AM55" s="2"/>
      <c r="AN55" s="2"/>
    </row>
    <row r="56" spans="1:40" ht="16" x14ac:dyDescent="0.2">
      <c r="A56" s="2" t="s">
        <v>2178</v>
      </c>
      <c r="B56" s="2">
        <v>672</v>
      </c>
      <c r="C56" s="2" t="b">
        <v>0</v>
      </c>
      <c r="D56" s="2" t="b">
        <v>0</v>
      </c>
      <c r="E56" s="2" t="b">
        <v>0</v>
      </c>
      <c r="F56" s="2" t="b">
        <v>0</v>
      </c>
      <c r="G56" s="2" t="s">
        <v>121</v>
      </c>
      <c r="H56" s="2" t="s">
        <v>2179</v>
      </c>
      <c r="I56" s="2" t="s">
        <v>2180</v>
      </c>
      <c r="J56" s="2" t="s">
        <v>35</v>
      </c>
      <c r="K56" s="2" t="s">
        <v>35</v>
      </c>
      <c r="L56" s="2" t="s">
        <v>35</v>
      </c>
      <c r="M56" s="2" t="s">
        <v>35</v>
      </c>
      <c r="N56" s="2" t="s">
        <v>35</v>
      </c>
      <c r="O56" s="11">
        <v>44749.458896828706</v>
      </c>
      <c r="P56" s="11">
        <v>44749.458961921293</v>
      </c>
      <c r="Q56" s="27">
        <v>6.5092586737591773E-5</v>
      </c>
      <c r="R56" s="27">
        <v>5.2156249876134098E-4</v>
      </c>
      <c r="S56" s="2">
        <v>0</v>
      </c>
      <c r="T56" s="2" t="s">
        <v>265</v>
      </c>
      <c r="U56" s="2" t="s">
        <v>266</v>
      </c>
      <c r="V56" s="2" t="s">
        <v>38</v>
      </c>
      <c r="W56" s="2" t="s">
        <v>35</v>
      </c>
      <c r="X56" s="2" t="s">
        <v>35</v>
      </c>
      <c r="Y56" s="2" t="s">
        <v>35</v>
      </c>
      <c r="Z56" s="2" t="b">
        <v>0</v>
      </c>
      <c r="AA56" s="2" t="s">
        <v>35</v>
      </c>
      <c r="AB56" s="2" t="s">
        <v>35</v>
      </c>
      <c r="AC56" s="2" t="s">
        <v>35</v>
      </c>
      <c r="AD56" s="2" t="s">
        <v>35</v>
      </c>
      <c r="AE56" s="2" t="s">
        <v>2025</v>
      </c>
      <c r="AF56" s="11">
        <v>44749.40625</v>
      </c>
      <c r="AG56" s="53"/>
      <c r="AH56" s="53" t="b">
        <f t="shared" si="2"/>
        <v>0</v>
      </c>
      <c r="AI56" s="54" t="s">
        <v>9886</v>
      </c>
      <c r="AJ56" s="2"/>
      <c r="AK56" s="2"/>
      <c r="AL56" s="2"/>
      <c r="AM56" s="2"/>
      <c r="AN56" s="2"/>
    </row>
    <row r="57" spans="1:40" ht="16" x14ac:dyDescent="0.2">
      <c r="A57" s="2" t="s">
        <v>2181</v>
      </c>
      <c r="B57" s="2">
        <v>673</v>
      </c>
      <c r="C57" s="2" t="b">
        <v>0</v>
      </c>
      <c r="D57" s="2" t="b">
        <v>0</v>
      </c>
      <c r="E57" s="2" t="b">
        <v>0</v>
      </c>
      <c r="F57" s="2" t="b">
        <v>0</v>
      </c>
      <c r="G57" s="2" t="s">
        <v>31</v>
      </c>
      <c r="H57" s="2" t="s">
        <v>2182</v>
      </c>
      <c r="I57" s="2" t="s">
        <v>2183</v>
      </c>
      <c r="J57" s="2" t="s">
        <v>2035</v>
      </c>
      <c r="K57" s="2" t="s">
        <v>35</v>
      </c>
      <c r="L57" s="2">
        <v>13</v>
      </c>
      <c r="M57" s="2" t="s">
        <v>35</v>
      </c>
      <c r="N57" s="2" t="s">
        <v>35</v>
      </c>
      <c r="O57" s="11">
        <v>44749.459373912039</v>
      </c>
      <c r="P57" s="11">
        <v>44749.459601678238</v>
      </c>
      <c r="Q57" s="27">
        <v>2.2776619880460203E-4</v>
      </c>
      <c r="R57" s="27">
        <v>6.3975694502005354E-4</v>
      </c>
      <c r="S57" s="2">
        <v>0</v>
      </c>
      <c r="T57" s="2" t="s">
        <v>265</v>
      </c>
      <c r="U57" s="2" t="s">
        <v>266</v>
      </c>
      <c r="V57" s="2" t="s">
        <v>38</v>
      </c>
      <c r="W57" s="2" t="s">
        <v>35</v>
      </c>
      <c r="X57" s="2" t="s">
        <v>35</v>
      </c>
      <c r="Y57" s="2" t="s">
        <v>35</v>
      </c>
      <c r="Z57" s="2" t="b">
        <v>0</v>
      </c>
      <c r="AA57" s="2" t="s">
        <v>35</v>
      </c>
      <c r="AB57" s="2" t="s">
        <v>35</v>
      </c>
      <c r="AC57" s="2" t="s">
        <v>35</v>
      </c>
      <c r="AD57" s="2" t="s">
        <v>35</v>
      </c>
      <c r="AE57" s="2" t="s">
        <v>2025</v>
      </c>
      <c r="AF57" s="11">
        <v>44749.40625</v>
      </c>
      <c r="AG57" s="53"/>
      <c r="AH57" s="53" t="b">
        <f t="shared" si="2"/>
        <v>0</v>
      </c>
      <c r="AI57" s="54" t="s">
        <v>9699</v>
      </c>
      <c r="AJ57" s="2"/>
      <c r="AK57" s="2"/>
      <c r="AL57" s="2"/>
      <c r="AM57" s="2"/>
      <c r="AN57" s="2"/>
    </row>
    <row r="58" spans="1:40" ht="16" x14ac:dyDescent="0.2">
      <c r="A58" s="2" t="s">
        <v>2240</v>
      </c>
      <c r="B58" s="2">
        <v>692</v>
      </c>
      <c r="C58" s="2" t="b">
        <v>0</v>
      </c>
      <c r="D58" s="2" t="b">
        <v>0</v>
      </c>
      <c r="E58" s="2" t="b">
        <v>0</v>
      </c>
      <c r="F58" s="2" t="b">
        <v>0</v>
      </c>
      <c r="G58" s="2" t="s">
        <v>31</v>
      </c>
      <c r="H58" s="2" t="s">
        <v>2241</v>
      </c>
      <c r="I58" s="2" t="s">
        <v>2242</v>
      </c>
      <c r="J58" s="2" t="s">
        <v>35</v>
      </c>
      <c r="K58" s="2" t="s">
        <v>35</v>
      </c>
      <c r="L58" s="2">
        <v>5</v>
      </c>
      <c r="M58" s="2" t="s">
        <v>35</v>
      </c>
      <c r="N58" s="2" t="s">
        <v>35</v>
      </c>
      <c r="O58" s="11">
        <v>44749.475365625003</v>
      </c>
      <c r="P58" s="11">
        <v>44749.475480937501</v>
      </c>
      <c r="Q58" s="27">
        <v>1.1531249765539542E-4</v>
      </c>
      <c r="R58" s="27">
        <v>3.198379636160098E-4</v>
      </c>
      <c r="S58" s="2">
        <v>0</v>
      </c>
      <c r="T58" s="2" t="s">
        <v>265</v>
      </c>
      <c r="U58" s="2" t="s">
        <v>266</v>
      </c>
      <c r="V58" s="2" t="s">
        <v>38</v>
      </c>
      <c r="W58" s="2" t="s">
        <v>35</v>
      </c>
      <c r="X58" s="2" t="s">
        <v>35</v>
      </c>
      <c r="Y58" s="2" t="s">
        <v>35</v>
      </c>
      <c r="Z58" s="2" t="b">
        <v>0</v>
      </c>
      <c r="AA58" s="2" t="s">
        <v>35</v>
      </c>
      <c r="AB58" s="2" t="s">
        <v>35</v>
      </c>
      <c r="AC58" s="2" t="s">
        <v>35</v>
      </c>
      <c r="AD58" s="2" t="s">
        <v>35</v>
      </c>
      <c r="AE58" s="2" t="s">
        <v>2025</v>
      </c>
      <c r="AF58" s="11">
        <v>44749.40625</v>
      </c>
      <c r="AG58" s="53"/>
      <c r="AH58" s="53" t="b">
        <f t="shared" si="2"/>
        <v>0</v>
      </c>
      <c r="AI58" s="54" t="s">
        <v>9698</v>
      </c>
      <c r="AJ58" s="2"/>
      <c r="AK58" s="2"/>
      <c r="AL58" s="2"/>
      <c r="AM58" s="2"/>
      <c r="AN58" s="2"/>
    </row>
    <row r="59" spans="1:40" ht="16" x14ac:dyDescent="0.2">
      <c r="A59" s="2" t="s">
        <v>2250</v>
      </c>
      <c r="B59" s="2">
        <v>695</v>
      </c>
      <c r="C59" s="2" t="b">
        <v>0</v>
      </c>
      <c r="D59" s="2" t="b">
        <v>0</v>
      </c>
      <c r="E59" s="2" t="b">
        <v>0</v>
      </c>
      <c r="F59" s="2" t="b">
        <v>0</v>
      </c>
      <c r="G59" s="2" t="s">
        <v>31</v>
      </c>
      <c r="H59" s="2" t="s">
        <v>2251</v>
      </c>
      <c r="I59" s="2" t="s">
        <v>2252</v>
      </c>
      <c r="J59" s="2" t="s">
        <v>35</v>
      </c>
      <c r="K59" s="2" t="s">
        <v>35</v>
      </c>
      <c r="L59" s="2">
        <v>5</v>
      </c>
      <c r="M59" s="2" t="s">
        <v>35</v>
      </c>
      <c r="N59" s="2" t="s">
        <v>35</v>
      </c>
      <c r="O59" s="11">
        <v>44749.477673136571</v>
      </c>
      <c r="P59" s="11">
        <v>44749.47783358796</v>
      </c>
      <c r="Q59" s="27">
        <v>1.6045138909248635E-4</v>
      </c>
      <c r="R59" s="27">
        <v>8.0261573748430237E-4</v>
      </c>
      <c r="S59" s="2">
        <v>0</v>
      </c>
      <c r="T59" s="2" t="s">
        <v>265</v>
      </c>
      <c r="U59" s="2" t="s">
        <v>266</v>
      </c>
      <c r="V59" s="2" t="s">
        <v>38</v>
      </c>
      <c r="W59" s="2" t="s">
        <v>35</v>
      </c>
      <c r="X59" s="2" t="s">
        <v>35</v>
      </c>
      <c r="Y59" s="2" t="s">
        <v>35</v>
      </c>
      <c r="Z59" s="2" t="b">
        <v>0</v>
      </c>
      <c r="AA59" s="2" t="s">
        <v>35</v>
      </c>
      <c r="AB59" s="2" t="s">
        <v>35</v>
      </c>
      <c r="AC59" s="2" t="s">
        <v>35</v>
      </c>
      <c r="AD59" s="2" t="s">
        <v>35</v>
      </c>
      <c r="AE59" s="2" t="s">
        <v>2025</v>
      </c>
      <c r="AF59" s="11">
        <v>44749.40625</v>
      </c>
      <c r="AG59" s="53"/>
      <c r="AH59" s="53" t="b">
        <f t="shared" si="2"/>
        <v>0</v>
      </c>
      <c r="AI59" s="54" t="s">
        <v>9887</v>
      </c>
      <c r="AJ59" s="2"/>
      <c r="AK59" s="2"/>
      <c r="AL59" s="2"/>
      <c r="AM59" s="2"/>
      <c r="AN59" s="2"/>
    </row>
    <row r="60" spans="1:40" ht="16" x14ac:dyDescent="0.2">
      <c r="A60" s="2" t="s">
        <v>2288</v>
      </c>
      <c r="B60" s="2">
        <v>706</v>
      </c>
      <c r="C60" s="2" t="b">
        <v>0</v>
      </c>
      <c r="D60" s="2" t="b">
        <v>0</v>
      </c>
      <c r="E60" s="2" t="b">
        <v>0</v>
      </c>
      <c r="F60" s="2" t="b">
        <v>0</v>
      </c>
      <c r="G60" s="2" t="s">
        <v>31</v>
      </c>
      <c r="H60" s="2" t="s">
        <v>2289</v>
      </c>
      <c r="I60" s="2" t="s">
        <v>2290</v>
      </c>
      <c r="J60" s="2" t="s">
        <v>2035</v>
      </c>
      <c r="K60" s="2" t="s">
        <v>35</v>
      </c>
      <c r="L60" s="2">
        <v>7</v>
      </c>
      <c r="M60" s="2" t="s">
        <v>35</v>
      </c>
      <c r="N60" s="2" t="s">
        <v>35</v>
      </c>
      <c r="O60" s="11">
        <v>44749.485531643521</v>
      </c>
      <c r="P60" s="11">
        <v>44749.485698298609</v>
      </c>
      <c r="Q60" s="27">
        <v>1.6665508883306757E-4</v>
      </c>
      <c r="R60" s="27">
        <v>4.6491897956002504E-4</v>
      </c>
      <c r="S60" s="2">
        <v>0</v>
      </c>
      <c r="T60" s="2" t="s">
        <v>265</v>
      </c>
      <c r="U60" s="2" t="s">
        <v>266</v>
      </c>
      <c r="V60" s="2" t="s">
        <v>38</v>
      </c>
      <c r="W60" s="2" t="s">
        <v>35</v>
      </c>
      <c r="X60" s="2" t="s">
        <v>35</v>
      </c>
      <c r="Y60" s="2" t="s">
        <v>35</v>
      </c>
      <c r="Z60" s="2" t="b">
        <v>0</v>
      </c>
      <c r="AA60" s="2" t="s">
        <v>35</v>
      </c>
      <c r="AB60" s="2" t="s">
        <v>35</v>
      </c>
      <c r="AC60" s="2" t="s">
        <v>35</v>
      </c>
      <c r="AD60" s="2" t="s">
        <v>35</v>
      </c>
      <c r="AE60" s="2" t="s">
        <v>2025</v>
      </c>
      <c r="AF60" s="11">
        <v>44749.40625</v>
      </c>
      <c r="AG60" s="53"/>
      <c r="AH60" s="53" t="b">
        <f t="shared" si="2"/>
        <v>0</v>
      </c>
      <c r="AI60" s="54" t="s">
        <v>9697</v>
      </c>
      <c r="AJ60" s="2"/>
      <c r="AK60" s="2"/>
      <c r="AL60" s="2"/>
      <c r="AM60" s="2"/>
      <c r="AN60" s="2"/>
    </row>
    <row r="61" spans="1:40" ht="16" x14ac:dyDescent="0.2">
      <c r="A61" s="2" t="s">
        <v>2374</v>
      </c>
      <c r="B61" s="2">
        <v>734</v>
      </c>
      <c r="C61" s="2" t="b">
        <v>0</v>
      </c>
      <c r="D61" s="2" t="b">
        <v>0</v>
      </c>
      <c r="E61" s="2" t="b">
        <v>0</v>
      </c>
      <c r="F61" s="2" t="b">
        <v>0</v>
      </c>
      <c r="G61" s="2" t="s">
        <v>31</v>
      </c>
      <c r="H61" s="2" t="s">
        <v>2375</v>
      </c>
      <c r="I61" s="2" t="s">
        <v>2376</v>
      </c>
      <c r="J61" s="2" t="s">
        <v>35</v>
      </c>
      <c r="K61" s="2" t="s">
        <v>35</v>
      </c>
      <c r="L61" s="2">
        <v>10</v>
      </c>
      <c r="M61" s="2" t="s">
        <v>35</v>
      </c>
      <c r="N61" s="2" t="s">
        <v>35</v>
      </c>
      <c r="O61" s="11">
        <v>44749.514479467594</v>
      </c>
      <c r="P61" s="11">
        <v>44749.51550652778</v>
      </c>
      <c r="Q61" s="27">
        <v>1.0270601851516403E-3</v>
      </c>
      <c r="R61" s="27">
        <v>1.2803819481632672E-3</v>
      </c>
      <c r="S61" s="2">
        <v>0</v>
      </c>
      <c r="T61" s="2" t="s">
        <v>265</v>
      </c>
      <c r="U61" s="2" t="s">
        <v>266</v>
      </c>
      <c r="V61" s="2" t="s">
        <v>38</v>
      </c>
      <c r="W61" s="2" t="s">
        <v>35</v>
      </c>
      <c r="X61" s="2" t="s">
        <v>35</v>
      </c>
      <c r="Y61" s="2" t="s">
        <v>35</v>
      </c>
      <c r="Z61" s="2" t="b">
        <v>0</v>
      </c>
      <c r="AA61" s="2" t="s">
        <v>35</v>
      </c>
      <c r="AB61" s="2" t="s">
        <v>35</v>
      </c>
      <c r="AC61" s="2" t="s">
        <v>35</v>
      </c>
      <c r="AD61" s="2" t="s">
        <v>35</v>
      </c>
      <c r="AE61" s="2" t="s">
        <v>2025</v>
      </c>
      <c r="AF61" s="11">
        <v>44749.40625</v>
      </c>
      <c r="AG61" s="53"/>
      <c r="AH61" s="53" t="str">
        <f t="shared" si="2"/>
        <v>TRUE</v>
      </c>
      <c r="AI61" s="54" t="s">
        <v>9888</v>
      </c>
      <c r="AJ61" s="2" t="s">
        <v>9889</v>
      </c>
      <c r="AK61" s="2" t="s">
        <v>9890</v>
      </c>
      <c r="AL61" s="2"/>
      <c r="AM61" s="2"/>
      <c r="AN61" s="2"/>
    </row>
    <row r="62" spans="1:40" ht="16" x14ac:dyDescent="0.2">
      <c r="A62" s="2" t="s">
        <v>2407</v>
      </c>
      <c r="B62" s="2">
        <v>743</v>
      </c>
      <c r="C62" s="2" t="b">
        <v>0</v>
      </c>
      <c r="D62" s="2" t="b">
        <v>0</v>
      </c>
      <c r="E62" s="2" t="b">
        <v>0</v>
      </c>
      <c r="F62" s="2" t="b">
        <v>0</v>
      </c>
      <c r="G62" s="2" t="s">
        <v>31</v>
      </c>
      <c r="H62" s="2" t="s">
        <v>2408</v>
      </c>
      <c r="I62" s="2" t="s">
        <v>2409</v>
      </c>
      <c r="J62" s="2" t="s">
        <v>35</v>
      </c>
      <c r="K62" s="2" t="s">
        <v>35</v>
      </c>
      <c r="L62" s="2">
        <v>4</v>
      </c>
      <c r="M62" s="2" t="s">
        <v>35</v>
      </c>
      <c r="N62" s="2" t="s">
        <v>35</v>
      </c>
      <c r="O62" s="11">
        <v>44753.412162546294</v>
      </c>
      <c r="P62" s="11">
        <v>44753.412435266204</v>
      </c>
      <c r="Q62" s="27">
        <v>2.7271990984445438E-4</v>
      </c>
      <c r="R62" s="27">
        <v>1.142731482104864E-3</v>
      </c>
      <c r="S62" s="2">
        <v>0</v>
      </c>
      <c r="T62" s="2" t="s">
        <v>265</v>
      </c>
      <c r="U62" s="2" t="s">
        <v>266</v>
      </c>
      <c r="V62" s="2" t="s">
        <v>38</v>
      </c>
      <c r="W62" s="2" t="s">
        <v>35</v>
      </c>
      <c r="X62" s="2" t="s">
        <v>35</v>
      </c>
      <c r="Y62" s="2" t="s">
        <v>35</v>
      </c>
      <c r="Z62" s="2" t="b">
        <v>0</v>
      </c>
      <c r="AA62" s="2" t="s">
        <v>35</v>
      </c>
      <c r="AB62" s="2" t="s">
        <v>35</v>
      </c>
      <c r="AC62" s="2" t="s">
        <v>35</v>
      </c>
      <c r="AD62" s="2" t="s">
        <v>35</v>
      </c>
      <c r="AE62" s="2" t="s">
        <v>2406</v>
      </c>
      <c r="AF62" s="11">
        <v>44753.409722222219</v>
      </c>
      <c r="AG62" s="53"/>
      <c r="AH62" s="53" t="b">
        <f t="shared" si="2"/>
        <v>0</v>
      </c>
      <c r="AI62" s="54" t="s">
        <v>9891</v>
      </c>
      <c r="AJ62" s="2"/>
      <c r="AK62" s="2"/>
      <c r="AL62" s="2"/>
      <c r="AM62" s="2"/>
      <c r="AN62" s="2"/>
    </row>
    <row r="63" spans="1:40" ht="16" x14ac:dyDescent="0.2">
      <c r="A63" s="2" t="s">
        <v>2410</v>
      </c>
      <c r="B63" s="2">
        <v>744</v>
      </c>
      <c r="C63" s="2" t="b">
        <v>0</v>
      </c>
      <c r="D63" s="2" t="b">
        <v>0</v>
      </c>
      <c r="E63" s="2" t="b">
        <v>0</v>
      </c>
      <c r="F63" s="2" t="b">
        <v>0</v>
      </c>
      <c r="G63" s="2" t="s">
        <v>31</v>
      </c>
      <c r="H63" s="2" t="s">
        <v>2411</v>
      </c>
      <c r="I63" s="2" t="s">
        <v>2412</v>
      </c>
      <c r="J63" s="2" t="s">
        <v>35</v>
      </c>
      <c r="K63" s="2" t="s">
        <v>35</v>
      </c>
      <c r="L63" s="2">
        <v>4</v>
      </c>
      <c r="M63" s="2" t="s">
        <v>35</v>
      </c>
      <c r="N63" s="2" t="s">
        <v>35</v>
      </c>
      <c r="O63" s="11">
        <v>44753.412827939814</v>
      </c>
      <c r="P63" s="11">
        <v>44753.413004108799</v>
      </c>
      <c r="Q63" s="27">
        <v>1.7616898549022153E-4</v>
      </c>
      <c r="R63" s="27">
        <v>5.6884259538492188E-4</v>
      </c>
      <c r="S63" s="2">
        <v>0</v>
      </c>
      <c r="T63" s="2" t="s">
        <v>265</v>
      </c>
      <c r="U63" s="2" t="s">
        <v>266</v>
      </c>
      <c r="V63" s="2" t="s">
        <v>38</v>
      </c>
      <c r="W63" s="2" t="s">
        <v>35</v>
      </c>
      <c r="X63" s="2" t="s">
        <v>35</v>
      </c>
      <c r="Y63" s="2" t="s">
        <v>35</v>
      </c>
      <c r="Z63" s="2" t="b">
        <v>0</v>
      </c>
      <c r="AA63" s="2" t="s">
        <v>35</v>
      </c>
      <c r="AB63" s="2" t="s">
        <v>35</v>
      </c>
      <c r="AC63" s="2" t="s">
        <v>35</v>
      </c>
      <c r="AD63" s="2" t="s">
        <v>35</v>
      </c>
      <c r="AE63" s="2" t="s">
        <v>2406</v>
      </c>
      <c r="AF63" s="11">
        <v>44753.409722164353</v>
      </c>
      <c r="AG63" s="53"/>
      <c r="AH63" s="53" t="b">
        <f t="shared" si="2"/>
        <v>0</v>
      </c>
      <c r="AI63" s="54" t="s">
        <v>9892</v>
      </c>
      <c r="AJ63" s="2"/>
      <c r="AK63" s="2"/>
      <c r="AL63" s="2"/>
      <c r="AM63" s="2"/>
      <c r="AN63" s="2"/>
    </row>
    <row r="64" spans="1:40" ht="16" x14ac:dyDescent="0.2">
      <c r="A64" s="2" t="s">
        <v>2471</v>
      </c>
      <c r="B64" s="2">
        <v>763</v>
      </c>
      <c r="C64" s="2" t="b">
        <v>0</v>
      </c>
      <c r="D64" s="2" t="b">
        <v>0</v>
      </c>
      <c r="E64" s="2" t="b">
        <v>0</v>
      </c>
      <c r="F64" s="2" t="b">
        <v>0</v>
      </c>
      <c r="G64" s="2" t="s">
        <v>31</v>
      </c>
      <c r="H64" s="2" t="s">
        <v>2472</v>
      </c>
      <c r="I64" s="2" t="s">
        <v>2473</v>
      </c>
      <c r="J64" s="2" t="s">
        <v>35</v>
      </c>
      <c r="K64" s="2" t="s">
        <v>35</v>
      </c>
      <c r="L64" s="2">
        <v>9</v>
      </c>
      <c r="M64" s="2" t="s">
        <v>35</v>
      </c>
      <c r="N64" s="2" t="s">
        <v>35</v>
      </c>
      <c r="O64" s="11">
        <v>44753.440089629628</v>
      </c>
      <c r="P64" s="11">
        <v>44753.440329398145</v>
      </c>
      <c r="Q64" s="27">
        <v>2.3976851662155241E-4</v>
      </c>
      <c r="R64" s="27">
        <v>5.6498842604923993E-4</v>
      </c>
      <c r="S64" s="2">
        <v>0</v>
      </c>
      <c r="T64" s="2" t="s">
        <v>265</v>
      </c>
      <c r="U64" s="2" t="s">
        <v>266</v>
      </c>
      <c r="V64" s="2" t="s">
        <v>38</v>
      </c>
      <c r="W64" s="2" t="s">
        <v>35</v>
      </c>
      <c r="X64" s="2" t="s">
        <v>35</v>
      </c>
      <c r="Y64" s="2" t="s">
        <v>35</v>
      </c>
      <c r="Z64" s="2" t="b">
        <v>0</v>
      </c>
      <c r="AA64" s="2" t="s">
        <v>35</v>
      </c>
      <c r="AB64" s="2" t="s">
        <v>35</v>
      </c>
      <c r="AC64" s="2" t="s">
        <v>35</v>
      </c>
      <c r="AD64" s="2" t="s">
        <v>35</v>
      </c>
      <c r="AE64" s="2" t="s">
        <v>2406</v>
      </c>
      <c r="AF64" s="11">
        <v>44753.409722164353</v>
      </c>
      <c r="AG64" s="53"/>
      <c r="AH64" s="53" t="b">
        <f t="shared" si="2"/>
        <v>0</v>
      </c>
      <c r="AI64" s="54" t="s">
        <v>9893</v>
      </c>
      <c r="AJ64" s="2"/>
      <c r="AK64" s="2"/>
      <c r="AL64" s="2"/>
      <c r="AM64" s="2"/>
      <c r="AN64" s="2"/>
    </row>
    <row r="65" spans="1:40" ht="16" x14ac:dyDescent="0.2">
      <c r="A65" s="2" t="s">
        <v>2474</v>
      </c>
      <c r="B65" s="2">
        <v>764</v>
      </c>
      <c r="C65" s="2" t="b">
        <v>0</v>
      </c>
      <c r="D65" s="2" t="b">
        <v>0</v>
      </c>
      <c r="E65" s="2" t="b">
        <v>0</v>
      </c>
      <c r="F65" s="2" t="b">
        <v>0</v>
      </c>
      <c r="G65" s="2" t="s">
        <v>31</v>
      </c>
      <c r="H65" s="2" t="s">
        <v>2475</v>
      </c>
      <c r="I65" s="2" t="s">
        <v>2476</v>
      </c>
      <c r="J65" s="2" t="s">
        <v>35</v>
      </c>
      <c r="K65" s="2" t="s">
        <v>35</v>
      </c>
      <c r="L65" s="2">
        <v>5</v>
      </c>
      <c r="M65" s="2" t="s">
        <v>35</v>
      </c>
      <c r="N65" s="2" t="s">
        <v>35</v>
      </c>
      <c r="O65" s="11">
        <v>44753.440454328702</v>
      </c>
      <c r="P65" s="11">
        <v>44753.440632418984</v>
      </c>
      <c r="Q65" s="27">
        <v>1.7809028213378042E-4</v>
      </c>
      <c r="R65" s="27">
        <v>3.0302083905553445E-4</v>
      </c>
      <c r="S65" s="2">
        <v>0</v>
      </c>
      <c r="T65" s="2" t="s">
        <v>265</v>
      </c>
      <c r="U65" s="2" t="s">
        <v>266</v>
      </c>
      <c r="V65" s="2" t="s">
        <v>38</v>
      </c>
      <c r="W65" s="2" t="s">
        <v>35</v>
      </c>
      <c r="X65" s="2" t="s">
        <v>35</v>
      </c>
      <c r="Y65" s="2" t="s">
        <v>35</v>
      </c>
      <c r="Z65" s="2" t="b">
        <v>0</v>
      </c>
      <c r="AA65" s="2" t="s">
        <v>35</v>
      </c>
      <c r="AB65" s="2" t="s">
        <v>35</v>
      </c>
      <c r="AC65" s="2" t="s">
        <v>35</v>
      </c>
      <c r="AD65" s="2" t="s">
        <v>35</v>
      </c>
      <c r="AE65" s="2" t="s">
        <v>2406</v>
      </c>
      <c r="AF65" s="11">
        <v>44753.409722164353</v>
      </c>
      <c r="AG65" s="53"/>
      <c r="AH65" s="53" t="b">
        <f t="shared" si="2"/>
        <v>0</v>
      </c>
      <c r="AI65" s="54" t="s">
        <v>9696</v>
      </c>
      <c r="AJ65" s="2"/>
      <c r="AK65" s="2"/>
      <c r="AL65" s="2"/>
      <c r="AM65" s="2"/>
      <c r="AN65" s="2"/>
    </row>
    <row r="66" spans="1:40" ht="16" x14ac:dyDescent="0.2">
      <c r="A66" s="2" t="s">
        <v>2482</v>
      </c>
      <c r="B66" s="2">
        <v>767</v>
      </c>
      <c r="C66" s="2" t="b">
        <v>0</v>
      </c>
      <c r="D66" s="2" t="b">
        <v>0</v>
      </c>
      <c r="E66" s="2" t="b">
        <v>0</v>
      </c>
      <c r="F66" s="2" t="b">
        <v>0</v>
      </c>
      <c r="G66" s="2" t="s">
        <v>31</v>
      </c>
      <c r="H66" s="2" t="s">
        <v>2483</v>
      </c>
      <c r="I66" s="2" t="s">
        <v>2484</v>
      </c>
      <c r="J66" s="2" t="s">
        <v>35</v>
      </c>
      <c r="K66" s="2" t="s">
        <v>35</v>
      </c>
      <c r="L66" s="2">
        <v>9</v>
      </c>
      <c r="M66" s="2" t="s">
        <v>35</v>
      </c>
      <c r="N66" s="2" t="s">
        <v>35</v>
      </c>
      <c r="O66" s="11">
        <v>44753.450437650463</v>
      </c>
      <c r="P66" s="11">
        <v>44753.450802604166</v>
      </c>
      <c r="Q66" s="27">
        <v>3.649537029559724E-4</v>
      </c>
      <c r="R66" s="27">
        <v>4.0314814395969734E-4</v>
      </c>
      <c r="S66" s="2">
        <v>0</v>
      </c>
      <c r="T66" s="2" t="s">
        <v>265</v>
      </c>
      <c r="U66" s="2" t="s">
        <v>266</v>
      </c>
      <c r="V66" s="2" t="s">
        <v>38</v>
      </c>
      <c r="W66" s="2" t="s">
        <v>35</v>
      </c>
      <c r="X66" s="2" t="s">
        <v>35</v>
      </c>
      <c r="Y66" s="2" t="s">
        <v>35</v>
      </c>
      <c r="Z66" s="2" t="b">
        <v>0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2406</v>
      </c>
      <c r="AF66" s="11">
        <v>44753.409722164353</v>
      </c>
      <c r="AG66" s="53"/>
      <c r="AH66" s="53" t="b">
        <f t="shared" si="2"/>
        <v>0</v>
      </c>
      <c r="AI66" s="54" t="s">
        <v>9894</v>
      </c>
      <c r="AJ66" s="2"/>
      <c r="AK66" s="2"/>
      <c r="AL66" s="2"/>
      <c r="AM66" s="2"/>
      <c r="AN66" s="2"/>
    </row>
    <row r="67" spans="1:40" ht="16" x14ac:dyDescent="0.2">
      <c r="A67" s="2" t="s">
        <v>2485</v>
      </c>
      <c r="B67" s="2">
        <v>768</v>
      </c>
      <c r="C67" s="2" t="b">
        <v>0</v>
      </c>
      <c r="D67" s="2" t="b">
        <v>0</v>
      </c>
      <c r="E67" s="2" t="b">
        <v>0</v>
      </c>
      <c r="F67" s="2" t="b">
        <v>0</v>
      </c>
      <c r="G67" s="2" t="s">
        <v>31</v>
      </c>
      <c r="H67" s="2" t="s">
        <v>2486</v>
      </c>
      <c r="I67" s="2" t="s">
        <v>2487</v>
      </c>
      <c r="J67" s="2" t="s">
        <v>35</v>
      </c>
      <c r="K67" s="2" t="s">
        <v>35</v>
      </c>
      <c r="L67" s="2">
        <v>9</v>
      </c>
      <c r="M67" s="2" t="s">
        <v>35</v>
      </c>
      <c r="N67" s="2" t="s">
        <v>35</v>
      </c>
      <c r="O67" s="11">
        <v>44753.450864687497</v>
      </c>
      <c r="P67" s="11">
        <v>44753.451260405091</v>
      </c>
      <c r="Q67" s="27">
        <v>3.9571759407408535E-4</v>
      </c>
      <c r="R67" s="27">
        <v>4.5780092477798462E-4</v>
      </c>
      <c r="S67" s="2">
        <v>0</v>
      </c>
      <c r="T67" s="2" t="s">
        <v>265</v>
      </c>
      <c r="U67" s="2" t="s">
        <v>266</v>
      </c>
      <c r="V67" s="2" t="s">
        <v>38</v>
      </c>
      <c r="W67" s="2" t="s">
        <v>35</v>
      </c>
      <c r="X67" s="2" t="s">
        <v>35</v>
      </c>
      <c r="Y67" s="2" t="s">
        <v>35</v>
      </c>
      <c r="Z67" s="2" t="b">
        <v>0</v>
      </c>
      <c r="AA67" s="2" t="s">
        <v>35</v>
      </c>
      <c r="AB67" s="2" t="s">
        <v>35</v>
      </c>
      <c r="AC67" s="2" t="s">
        <v>35</v>
      </c>
      <c r="AD67" s="2" t="s">
        <v>35</v>
      </c>
      <c r="AE67" s="2" t="s">
        <v>2406</v>
      </c>
      <c r="AF67" s="11">
        <v>44753.409722164353</v>
      </c>
      <c r="AG67" s="53"/>
      <c r="AH67" s="53" t="b">
        <f t="shared" si="2"/>
        <v>0</v>
      </c>
      <c r="AI67" s="54" t="s">
        <v>9895</v>
      </c>
      <c r="AJ67" s="2"/>
      <c r="AK67" s="2"/>
      <c r="AL67" s="2"/>
      <c r="AM67" s="2"/>
      <c r="AN67" s="2"/>
    </row>
    <row r="68" spans="1:40" ht="16" x14ac:dyDescent="0.2">
      <c r="A68" s="2" t="s">
        <v>2681</v>
      </c>
      <c r="B68" s="2">
        <v>830</v>
      </c>
      <c r="C68" s="2" t="b">
        <v>0</v>
      </c>
      <c r="D68" s="2" t="b">
        <v>0</v>
      </c>
      <c r="E68" s="2" t="b">
        <v>0</v>
      </c>
      <c r="F68" s="2" t="b">
        <v>1</v>
      </c>
      <c r="G68" s="2" t="s">
        <v>31</v>
      </c>
      <c r="H68" s="2" t="s">
        <v>2682</v>
      </c>
      <c r="I68" s="2" t="s">
        <v>2683</v>
      </c>
      <c r="J68" s="2" t="s">
        <v>2684</v>
      </c>
      <c r="K68" s="2" t="s">
        <v>35</v>
      </c>
      <c r="L68" s="2">
        <v>4</v>
      </c>
      <c r="M68" s="2" t="s">
        <v>35</v>
      </c>
      <c r="N68" s="2" t="s">
        <v>35</v>
      </c>
      <c r="O68" s="11">
        <v>44755.401713032406</v>
      </c>
      <c r="P68" s="11">
        <v>44755.40224452546</v>
      </c>
      <c r="Q68" s="27">
        <v>5.3149305313127115E-4</v>
      </c>
      <c r="R68" s="27">
        <v>1.8576041620690376E-3</v>
      </c>
      <c r="S68" s="2">
        <v>0</v>
      </c>
      <c r="T68" s="2" t="s">
        <v>265</v>
      </c>
      <c r="U68" s="2" t="s">
        <v>266</v>
      </c>
      <c r="V68" s="2" t="s">
        <v>38</v>
      </c>
      <c r="W68" s="2" t="s">
        <v>35</v>
      </c>
      <c r="X68" s="2" t="s">
        <v>35</v>
      </c>
      <c r="Y68" s="2" t="s">
        <v>35</v>
      </c>
      <c r="Z68" s="2" t="b">
        <v>0</v>
      </c>
      <c r="AA68" s="2" t="s">
        <v>35</v>
      </c>
      <c r="AB68" s="2" t="s">
        <v>35</v>
      </c>
      <c r="AC68" s="2" t="s">
        <v>35</v>
      </c>
      <c r="AD68" s="2" t="s">
        <v>35</v>
      </c>
      <c r="AE68" s="2" t="s">
        <v>2650</v>
      </c>
      <c r="AF68" s="11">
        <v>44755.386805555558</v>
      </c>
      <c r="AG68" s="53"/>
      <c r="AH68" s="53" t="b">
        <f t="shared" si="2"/>
        <v>0</v>
      </c>
      <c r="AI68" s="54" t="s">
        <v>9695</v>
      </c>
      <c r="AJ68" s="2"/>
      <c r="AK68" s="2"/>
      <c r="AL68" s="2"/>
      <c r="AM68" s="2"/>
      <c r="AN68" s="2"/>
    </row>
    <row r="69" spans="1:40" ht="16" x14ac:dyDescent="0.2">
      <c r="A69" s="2" t="s">
        <v>2738</v>
      </c>
      <c r="B69" s="2">
        <v>847</v>
      </c>
      <c r="C69" s="2" t="b">
        <v>0</v>
      </c>
      <c r="D69" s="2" t="b">
        <v>0</v>
      </c>
      <c r="E69" s="2" t="b">
        <v>0</v>
      </c>
      <c r="F69" s="2" t="b">
        <v>0</v>
      </c>
      <c r="G69" s="2" t="s">
        <v>31</v>
      </c>
      <c r="H69" s="2" t="s">
        <v>2739</v>
      </c>
      <c r="I69" s="2" t="s">
        <v>2740</v>
      </c>
      <c r="J69" s="2" t="s">
        <v>35</v>
      </c>
      <c r="K69" s="2" t="s">
        <v>35</v>
      </c>
      <c r="L69" s="2">
        <v>5</v>
      </c>
      <c r="M69" s="2" t="s">
        <v>35</v>
      </c>
      <c r="N69" s="2" t="s">
        <v>35</v>
      </c>
      <c r="O69" s="11">
        <v>44755.418940648146</v>
      </c>
      <c r="P69" s="11">
        <v>44755.419152754628</v>
      </c>
      <c r="Q69" s="27">
        <v>2.1210648264968768E-4</v>
      </c>
      <c r="R69" s="27">
        <v>3.9792824100004509E-4</v>
      </c>
      <c r="S69" s="2">
        <v>0</v>
      </c>
      <c r="T69" s="2" t="s">
        <v>265</v>
      </c>
      <c r="U69" s="2" t="s">
        <v>266</v>
      </c>
      <c r="V69" s="2" t="s">
        <v>38</v>
      </c>
      <c r="W69" s="2" t="s">
        <v>35</v>
      </c>
      <c r="X69" s="2" t="s">
        <v>35</v>
      </c>
      <c r="Y69" s="2" t="s">
        <v>35</v>
      </c>
      <c r="Z69" s="2" t="b">
        <v>0</v>
      </c>
      <c r="AA69" s="2" t="s">
        <v>35</v>
      </c>
      <c r="AB69" s="2" t="s">
        <v>35</v>
      </c>
      <c r="AC69" s="2" t="s">
        <v>35</v>
      </c>
      <c r="AD69" s="2" t="s">
        <v>35</v>
      </c>
      <c r="AE69" s="2" t="s">
        <v>2650</v>
      </c>
      <c r="AF69" s="11">
        <v>44755.386805555558</v>
      </c>
      <c r="AG69" s="53"/>
      <c r="AH69" s="53" t="b">
        <f t="shared" si="2"/>
        <v>0</v>
      </c>
      <c r="AI69" s="54" t="s">
        <v>9896</v>
      </c>
      <c r="AJ69" s="2"/>
      <c r="AK69" s="2"/>
      <c r="AL69" s="2"/>
      <c r="AM69" s="2"/>
      <c r="AN69" s="2"/>
    </row>
    <row r="70" spans="1:40" ht="16" x14ac:dyDescent="0.2">
      <c r="A70" s="2" t="s">
        <v>2761</v>
      </c>
      <c r="B70" s="2">
        <v>854</v>
      </c>
      <c r="C70" s="2" t="b">
        <v>0</v>
      </c>
      <c r="D70" s="2" t="b">
        <v>0</v>
      </c>
      <c r="E70" s="2" t="b">
        <v>0</v>
      </c>
      <c r="F70" s="2" t="b">
        <v>0</v>
      </c>
      <c r="G70" s="2" t="s">
        <v>31</v>
      </c>
      <c r="H70" s="2" t="s">
        <v>2762</v>
      </c>
      <c r="I70" s="2" t="s">
        <v>2763</v>
      </c>
      <c r="J70" s="2" t="s">
        <v>35</v>
      </c>
      <c r="K70" s="2" t="s">
        <v>35</v>
      </c>
      <c r="L70" s="2">
        <v>6</v>
      </c>
      <c r="M70" s="2" t="s">
        <v>35</v>
      </c>
      <c r="N70" s="2" t="s">
        <v>35</v>
      </c>
      <c r="O70" s="11">
        <v>44755.430949641202</v>
      </c>
      <c r="P70" s="11">
        <v>44755.431193495373</v>
      </c>
      <c r="Q70" s="27">
        <v>2.438541705487296E-4</v>
      </c>
      <c r="R70" s="27">
        <v>1.1361342621967196E-3</v>
      </c>
      <c r="S70" s="2">
        <v>0</v>
      </c>
      <c r="T70" s="2" t="s">
        <v>265</v>
      </c>
      <c r="U70" s="2" t="s">
        <v>266</v>
      </c>
      <c r="V70" s="2" t="s">
        <v>38</v>
      </c>
      <c r="W70" s="2" t="s">
        <v>35</v>
      </c>
      <c r="X70" s="2" t="s">
        <v>35</v>
      </c>
      <c r="Y70" s="2" t="s">
        <v>35</v>
      </c>
      <c r="Z70" s="2" t="b">
        <v>0</v>
      </c>
      <c r="AA70" s="2" t="s">
        <v>35</v>
      </c>
      <c r="AB70" s="2" t="s">
        <v>35</v>
      </c>
      <c r="AC70" s="2" t="s">
        <v>35</v>
      </c>
      <c r="AD70" s="2" t="s">
        <v>35</v>
      </c>
      <c r="AE70" s="2" t="s">
        <v>2650</v>
      </c>
      <c r="AF70" s="11">
        <v>44755.386805555558</v>
      </c>
      <c r="AG70" s="53"/>
      <c r="AH70" s="53" t="b">
        <f t="shared" si="2"/>
        <v>0</v>
      </c>
      <c r="AI70" s="54" t="s">
        <v>9693</v>
      </c>
      <c r="AJ70" s="2"/>
      <c r="AK70" s="2"/>
      <c r="AL70" s="2"/>
      <c r="AM70" s="2"/>
      <c r="AN70" s="2"/>
    </row>
    <row r="71" spans="1:40" ht="16" x14ac:dyDescent="0.2">
      <c r="A71" s="2" t="s">
        <v>2764</v>
      </c>
      <c r="B71" s="2">
        <v>855</v>
      </c>
      <c r="C71" s="2" t="b">
        <v>0</v>
      </c>
      <c r="D71" s="2" t="b">
        <v>0</v>
      </c>
      <c r="E71" s="2" t="b">
        <v>0</v>
      </c>
      <c r="F71" s="2" t="b">
        <v>0</v>
      </c>
      <c r="G71" s="2" t="s">
        <v>31</v>
      </c>
      <c r="H71" s="2" t="s">
        <v>2765</v>
      </c>
      <c r="I71" s="2" t="s">
        <v>2766</v>
      </c>
      <c r="J71" s="2" t="s">
        <v>2767</v>
      </c>
      <c r="K71" s="2" t="s">
        <v>35</v>
      </c>
      <c r="L71" s="2">
        <v>7</v>
      </c>
      <c r="M71" s="2" t="s">
        <v>35</v>
      </c>
      <c r="N71" s="2" t="s">
        <v>35</v>
      </c>
      <c r="O71" s="11">
        <v>44755.432382604165</v>
      </c>
      <c r="P71" s="11">
        <v>44755.432831076389</v>
      </c>
      <c r="Q71" s="27">
        <v>4.4847222306998447E-4</v>
      </c>
      <c r="R71" s="27">
        <v>1.6375810155295767E-3</v>
      </c>
      <c r="S71" s="2">
        <v>0</v>
      </c>
      <c r="T71" s="2" t="s">
        <v>265</v>
      </c>
      <c r="U71" s="2" t="s">
        <v>266</v>
      </c>
      <c r="V71" s="2" t="s">
        <v>38</v>
      </c>
      <c r="W71" s="2" t="s">
        <v>35</v>
      </c>
      <c r="X71" s="2" t="s">
        <v>35</v>
      </c>
      <c r="Y71" s="2" t="s">
        <v>35</v>
      </c>
      <c r="Z71" s="2" t="b">
        <v>0</v>
      </c>
      <c r="AA71" s="2" t="s">
        <v>35</v>
      </c>
      <c r="AB71" s="2" t="s">
        <v>35</v>
      </c>
      <c r="AC71" s="2" t="s">
        <v>35</v>
      </c>
      <c r="AD71" s="2" t="s">
        <v>35</v>
      </c>
      <c r="AE71" s="2" t="s">
        <v>2650</v>
      </c>
      <c r="AF71" s="11">
        <v>44755.386805555558</v>
      </c>
      <c r="AG71" s="53"/>
      <c r="AH71" s="53" t="b">
        <f t="shared" si="2"/>
        <v>0</v>
      </c>
      <c r="AI71" s="54" t="s">
        <v>9897</v>
      </c>
      <c r="AJ71" s="2"/>
      <c r="AK71" s="2"/>
      <c r="AL71" s="2"/>
      <c r="AM71" s="2"/>
      <c r="AN71" s="2"/>
    </row>
    <row r="72" spans="1:40" ht="16" x14ac:dyDescent="0.2">
      <c r="A72" s="2" t="s">
        <v>2778</v>
      </c>
      <c r="B72" s="2">
        <v>859</v>
      </c>
      <c r="C72" s="2" t="b">
        <v>0</v>
      </c>
      <c r="D72" s="2" t="b">
        <v>0</v>
      </c>
      <c r="E72" s="2" t="b">
        <v>0</v>
      </c>
      <c r="F72" s="2" t="b">
        <v>0</v>
      </c>
      <c r="G72" s="2" t="s">
        <v>31</v>
      </c>
      <c r="H72" s="2" t="s">
        <v>2779</v>
      </c>
      <c r="I72" s="2" t="s">
        <v>2780</v>
      </c>
      <c r="J72" s="2" t="s">
        <v>35</v>
      </c>
      <c r="K72" s="2" t="s">
        <v>35</v>
      </c>
      <c r="L72" s="2">
        <v>5</v>
      </c>
      <c r="M72" s="2" t="s">
        <v>35</v>
      </c>
      <c r="N72" s="2" t="s">
        <v>35</v>
      </c>
      <c r="O72" s="11">
        <v>44755.436243020835</v>
      </c>
      <c r="P72" s="11">
        <v>44755.436537442132</v>
      </c>
      <c r="Q72" s="27">
        <v>2.9442129743983969E-4</v>
      </c>
      <c r="R72" s="27">
        <v>7.3888889164663851E-4</v>
      </c>
      <c r="S72" s="2">
        <v>0</v>
      </c>
      <c r="T72" s="2" t="s">
        <v>265</v>
      </c>
      <c r="U72" s="2" t="s">
        <v>266</v>
      </c>
      <c r="V72" s="2" t="s">
        <v>38</v>
      </c>
      <c r="W72" s="2" t="s">
        <v>35</v>
      </c>
      <c r="X72" s="2" t="s">
        <v>35</v>
      </c>
      <c r="Y72" s="2" t="s">
        <v>35</v>
      </c>
      <c r="Z72" s="2" t="b">
        <v>0</v>
      </c>
      <c r="AA72" s="2" t="s">
        <v>35</v>
      </c>
      <c r="AB72" s="2" t="s">
        <v>35</v>
      </c>
      <c r="AC72" s="2" t="s">
        <v>35</v>
      </c>
      <c r="AD72" s="2" t="s">
        <v>35</v>
      </c>
      <c r="AE72" s="2" t="s">
        <v>2650</v>
      </c>
      <c r="AF72" s="11">
        <v>44755.386805555558</v>
      </c>
      <c r="AG72" s="53"/>
      <c r="AH72" s="53" t="b">
        <f t="shared" si="2"/>
        <v>0</v>
      </c>
      <c r="AI72" s="54" t="s">
        <v>9692</v>
      </c>
      <c r="AJ72" s="2"/>
      <c r="AK72" s="2"/>
      <c r="AL72" s="2"/>
      <c r="AM72" s="2"/>
      <c r="AN72" s="2"/>
    </row>
    <row r="73" spans="1:40" ht="16" x14ac:dyDescent="0.2">
      <c r="A73" s="2" t="s">
        <v>2817</v>
      </c>
      <c r="B73" s="2">
        <v>872</v>
      </c>
      <c r="C73" s="2" t="b">
        <v>0</v>
      </c>
      <c r="D73" s="2" t="b">
        <v>0</v>
      </c>
      <c r="E73" s="2" t="b">
        <v>0</v>
      </c>
      <c r="F73" s="2" t="b">
        <v>0</v>
      </c>
      <c r="G73" s="2" t="s">
        <v>31</v>
      </c>
      <c r="H73" s="2" t="s">
        <v>2818</v>
      </c>
      <c r="I73" s="2" t="s">
        <v>2819</v>
      </c>
      <c r="J73" s="2" t="s">
        <v>35</v>
      </c>
      <c r="K73" s="2" t="s">
        <v>35</v>
      </c>
      <c r="L73" s="2">
        <v>7</v>
      </c>
      <c r="M73" s="2" t="s">
        <v>35</v>
      </c>
      <c r="N73" s="2" t="s">
        <v>35</v>
      </c>
      <c r="O73" s="11">
        <v>44755.450192662036</v>
      </c>
      <c r="P73" s="11">
        <v>44755.450399259258</v>
      </c>
      <c r="Q73" s="27">
        <v>2.0659722213167697E-4</v>
      </c>
      <c r="R73" s="27">
        <v>5.8662037190515548E-4</v>
      </c>
      <c r="S73" s="2">
        <v>0</v>
      </c>
      <c r="T73" s="2" t="s">
        <v>265</v>
      </c>
      <c r="U73" s="2" t="s">
        <v>266</v>
      </c>
      <c r="V73" s="2" t="s">
        <v>38</v>
      </c>
      <c r="W73" s="2" t="s">
        <v>35</v>
      </c>
      <c r="X73" s="2" t="s">
        <v>35</v>
      </c>
      <c r="Y73" s="2" t="s">
        <v>35</v>
      </c>
      <c r="Z73" s="2" t="b">
        <v>0</v>
      </c>
      <c r="AA73" s="2" t="s">
        <v>35</v>
      </c>
      <c r="AB73" s="2" t="s">
        <v>35</v>
      </c>
      <c r="AC73" s="2" t="s">
        <v>35</v>
      </c>
      <c r="AD73" s="2" t="s">
        <v>35</v>
      </c>
      <c r="AE73" s="2" t="s">
        <v>2650</v>
      </c>
      <c r="AF73" s="11">
        <v>44755.386805555558</v>
      </c>
      <c r="AG73" s="53"/>
      <c r="AH73" s="53" t="b">
        <f t="shared" si="2"/>
        <v>0</v>
      </c>
      <c r="AI73" s="54" t="s">
        <v>9898</v>
      </c>
      <c r="AJ73" s="2"/>
      <c r="AK73" s="2"/>
      <c r="AL73" s="2"/>
      <c r="AM73" s="2"/>
      <c r="AN73" s="2"/>
    </row>
    <row r="74" spans="1:40" ht="16" x14ac:dyDescent="0.2">
      <c r="A74" s="2" t="s">
        <v>2841</v>
      </c>
      <c r="B74" s="2">
        <v>879</v>
      </c>
      <c r="C74" s="2" t="b">
        <v>0</v>
      </c>
      <c r="D74" s="2" t="b">
        <v>0</v>
      </c>
      <c r="E74" s="2" t="b">
        <v>0</v>
      </c>
      <c r="F74" s="2" t="b">
        <v>0</v>
      </c>
      <c r="G74" s="2" t="s">
        <v>31</v>
      </c>
      <c r="H74" s="2" t="s">
        <v>2842</v>
      </c>
      <c r="I74" s="2" t="s">
        <v>2843</v>
      </c>
      <c r="J74" s="2" t="s">
        <v>35</v>
      </c>
      <c r="K74" s="2" t="s">
        <v>35</v>
      </c>
      <c r="L74" s="2">
        <v>16</v>
      </c>
      <c r="M74" s="2" t="s">
        <v>35</v>
      </c>
      <c r="N74" s="2" t="s">
        <v>35</v>
      </c>
      <c r="O74" s="11">
        <v>44762.352912627313</v>
      </c>
      <c r="P74" s="11">
        <v>44762.353275960646</v>
      </c>
      <c r="Q74" s="27">
        <v>3.6333333264337853E-4</v>
      </c>
      <c r="R74" s="27">
        <v>1.3813425903208554E-3</v>
      </c>
      <c r="S74" s="2">
        <v>0</v>
      </c>
      <c r="T74" s="2" t="s">
        <v>265</v>
      </c>
      <c r="U74" s="2" t="s">
        <v>266</v>
      </c>
      <c r="V74" s="2" t="s">
        <v>38</v>
      </c>
      <c r="W74" s="2" t="s">
        <v>35</v>
      </c>
      <c r="X74" s="2" t="s">
        <v>35</v>
      </c>
      <c r="Y74" s="2" t="s">
        <v>35</v>
      </c>
      <c r="Z74" s="2" t="b">
        <v>0</v>
      </c>
      <c r="AA74" s="2" t="s">
        <v>35</v>
      </c>
      <c r="AB74" s="2" t="s">
        <v>35</v>
      </c>
      <c r="AC74" s="2" t="s">
        <v>35</v>
      </c>
      <c r="AD74" s="2" t="s">
        <v>35</v>
      </c>
      <c r="AE74" s="2" t="s">
        <v>2840</v>
      </c>
      <c r="AF74" s="11">
        <v>44762.350694444445</v>
      </c>
      <c r="AG74" s="53"/>
      <c r="AH74" s="53" t="b">
        <f t="shared" ref="AH74:AH98" si="3">IF(Q74&gt;TIME(0,1,4),"TRUE")</f>
        <v>0</v>
      </c>
      <c r="AI74" s="54" t="s">
        <v>9899</v>
      </c>
      <c r="AJ74" s="2"/>
      <c r="AK74" s="2"/>
      <c r="AL74" s="2"/>
      <c r="AM74" s="2"/>
      <c r="AN74" s="2"/>
    </row>
    <row r="75" spans="1:40" ht="16" x14ac:dyDescent="0.2">
      <c r="A75" s="2" t="s">
        <v>2850</v>
      </c>
      <c r="B75" s="2">
        <v>882</v>
      </c>
      <c r="C75" s="2" t="b">
        <v>0</v>
      </c>
      <c r="D75" s="2" t="b">
        <v>0</v>
      </c>
      <c r="E75" s="2" t="b">
        <v>0</v>
      </c>
      <c r="F75" s="2" t="b">
        <v>0</v>
      </c>
      <c r="G75" s="2" t="s">
        <v>31</v>
      </c>
      <c r="H75" s="2" t="s">
        <v>2851</v>
      </c>
      <c r="I75" s="2" t="s">
        <v>2852</v>
      </c>
      <c r="J75" s="2" t="s">
        <v>35</v>
      </c>
      <c r="K75" s="2" t="s">
        <v>35</v>
      </c>
      <c r="L75" s="2">
        <v>20</v>
      </c>
      <c r="M75" s="2" t="s">
        <v>35</v>
      </c>
      <c r="N75" s="2" t="s">
        <v>35</v>
      </c>
      <c r="O75" s="11">
        <v>44762.355308287035</v>
      </c>
      <c r="P75" s="11">
        <v>44762.355536886571</v>
      </c>
      <c r="Q75" s="27">
        <v>2.285995360580273E-4</v>
      </c>
      <c r="R75" s="27">
        <v>9.9076388869434595E-4</v>
      </c>
      <c r="S75" s="2">
        <v>0</v>
      </c>
      <c r="T75" s="2" t="s">
        <v>265</v>
      </c>
      <c r="U75" s="2" t="s">
        <v>266</v>
      </c>
      <c r="V75" s="2" t="s">
        <v>38</v>
      </c>
      <c r="W75" s="2" t="s">
        <v>35</v>
      </c>
      <c r="X75" s="2" t="s">
        <v>35</v>
      </c>
      <c r="Y75" s="2" t="s">
        <v>35</v>
      </c>
      <c r="Z75" s="2" t="b">
        <v>0</v>
      </c>
      <c r="AA75" s="2" t="s">
        <v>35</v>
      </c>
      <c r="AB75" s="2" t="s">
        <v>35</v>
      </c>
      <c r="AC75" s="2" t="s">
        <v>35</v>
      </c>
      <c r="AD75" s="2" t="s">
        <v>35</v>
      </c>
      <c r="AE75" s="2" t="s">
        <v>2840</v>
      </c>
      <c r="AF75" s="11">
        <v>44762.350694444445</v>
      </c>
      <c r="AG75" s="53"/>
      <c r="AH75" s="53" t="b">
        <f t="shared" si="3"/>
        <v>0</v>
      </c>
      <c r="AI75" s="54" t="s">
        <v>9900</v>
      </c>
      <c r="AJ75" s="2"/>
      <c r="AK75" s="2"/>
      <c r="AL75" s="2"/>
      <c r="AM75" s="2"/>
      <c r="AN75" s="2"/>
    </row>
    <row r="76" spans="1:40" ht="16" x14ac:dyDescent="0.2">
      <c r="A76" s="2" t="s">
        <v>2962</v>
      </c>
      <c r="B76" s="2">
        <v>917</v>
      </c>
      <c r="C76" s="2" t="b">
        <v>0</v>
      </c>
      <c r="D76" s="2" t="b">
        <v>0</v>
      </c>
      <c r="E76" s="2" t="b">
        <v>0</v>
      </c>
      <c r="F76" s="2" t="b">
        <v>0</v>
      </c>
      <c r="G76" s="2" t="s">
        <v>121</v>
      </c>
      <c r="H76" s="2" t="s">
        <v>2963</v>
      </c>
      <c r="I76" s="2" t="s">
        <v>2964</v>
      </c>
      <c r="J76" s="2" t="s">
        <v>35</v>
      </c>
      <c r="K76" s="2" t="s">
        <v>35</v>
      </c>
      <c r="L76" s="2" t="s">
        <v>35</v>
      </c>
      <c r="M76" s="2" t="s">
        <v>35</v>
      </c>
      <c r="N76" s="2" t="s">
        <v>35</v>
      </c>
      <c r="O76" s="11">
        <v>44762.385913449078</v>
      </c>
      <c r="P76" s="11">
        <v>44762.386015671298</v>
      </c>
      <c r="Q76" s="27">
        <v>1.0222222044831142E-4</v>
      </c>
      <c r="R76" s="27">
        <v>1.7649305664235726E-4</v>
      </c>
      <c r="S76" s="2">
        <v>0</v>
      </c>
      <c r="T76" s="2" t="s">
        <v>265</v>
      </c>
      <c r="U76" s="2" t="s">
        <v>266</v>
      </c>
      <c r="V76" s="2" t="s">
        <v>38</v>
      </c>
      <c r="W76" s="2" t="s">
        <v>35</v>
      </c>
      <c r="X76" s="2" t="s">
        <v>35</v>
      </c>
      <c r="Y76" s="2" t="s">
        <v>35</v>
      </c>
      <c r="Z76" s="2" t="b">
        <v>0</v>
      </c>
      <c r="AA76" s="2" t="s">
        <v>35</v>
      </c>
      <c r="AB76" s="2" t="s">
        <v>35</v>
      </c>
      <c r="AC76" s="2" t="s">
        <v>35</v>
      </c>
      <c r="AD76" s="2" t="s">
        <v>35</v>
      </c>
      <c r="AE76" s="2" t="s">
        <v>2840</v>
      </c>
      <c r="AF76" s="11">
        <v>44762.350694444445</v>
      </c>
      <c r="AG76" s="53"/>
      <c r="AH76" s="53" t="b">
        <f t="shared" si="3"/>
        <v>0</v>
      </c>
      <c r="AI76" s="54" t="s">
        <v>9901</v>
      </c>
      <c r="AJ76" s="2"/>
      <c r="AK76" s="2"/>
      <c r="AL76" s="2"/>
      <c r="AM76" s="2"/>
      <c r="AN76" s="2"/>
    </row>
    <row r="77" spans="1:40" ht="16" x14ac:dyDescent="0.2">
      <c r="A77" s="2" t="s">
        <v>2999</v>
      </c>
      <c r="B77" s="2">
        <v>929</v>
      </c>
      <c r="C77" s="2" t="b">
        <v>0</v>
      </c>
      <c r="D77" s="2" t="b">
        <v>0</v>
      </c>
      <c r="E77" s="2" t="b">
        <v>0</v>
      </c>
      <c r="F77" s="2" t="b">
        <v>0</v>
      </c>
      <c r="G77" s="2" t="s">
        <v>31</v>
      </c>
      <c r="H77" s="2" t="s">
        <v>3000</v>
      </c>
      <c r="I77" s="2" t="s">
        <v>3001</v>
      </c>
      <c r="J77" s="2" t="s">
        <v>35</v>
      </c>
      <c r="K77" s="2" t="s">
        <v>35</v>
      </c>
      <c r="L77" s="2">
        <v>9</v>
      </c>
      <c r="M77" s="2" t="s">
        <v>35</v>
      </c>
      <c r="N77" s="2" t="s">
        <v>35</v>
      </c>
      <c r="O77" s="11">
        <v>44762.397977858796</v>
      </c>
      <c r="P77" s="11">
        <v>44762.39830591435</v>
      </c>
      <c r="Q77" s="27">
        <v>3.28055553836748E-4</v>
      </c>
      <c r="R77" s="27">
        <v>4.1462962690275162E-4</v>
      </c>
      <c r="S77" s="2">
        <v>0</v>
      </c>
      <c r="T77" s="2" t="s">
        <v>265</v>
      </c>
      <c r="U77" s="2" t="s">
        <v>266</v>
      </c>
      <c r="V77" s="2" t="s">
        <v>38</v>
      </c>
      <c r="W77" s="2" t="s">
        <v>35</v>
      </c>
      <c r="X77" s="2" t="s">
        <v>35</v>
      </c>
      <c r="Y77" s="2" t="s">
        <v>35</v>
      </c>
      <c r="Z77" s="2" t="b">
        <v>0</v>
      </c>
      <c r="AA77" s="2" t="s">
        <v>35</v>
      </c>
      <c r="AB77" s="2" t="s">
        <v>35</v>
      </c>
      <c r="AC77" s="2" t="s">
        <v>35</v>
      </c>
      <c r="AD77" s="2" t="s">
        <v>35</v>
      </c>
      <c r="AE77" s="2" t="s">
        <v>2840</v>
      </c>
      <c r="AF77" s="11">
        <v>44762.350694444445</v>
      </c>
      <c r="AG77" s="53"/>
      <c r="AH77" s="53" t="b">
        <f t="shared" si="3"/>
        <v>0</v>
      </c>
      <c r="AI77" s="54" t="s">
        <v>9902</v>
      </c>
      <c r="AJ77" s="2"/>
      <c r="AK77" s="2"/>
      <c r="AL77" s="2"/>
      <c r="AM77" s="2"/>
      <c r="AN77" s="2"/>
    </row>
    <row r="78" spans="1:40" ht="16" x14ac:dyDescent="0.2">
      <c r="A78" s="2" t="s">
        <v>3039</v>
      </c>
      <c r="B78" s="2">
        <v>942</v>
      </c>
      <c r="C78" s="2" t="b">
        <v>0</v>
      </c>
      <c r="D78" s="2" t="b">
        <v>0</v>
      </c>
      <c r="E78" s="2" t="b">
        <v>0</v>
      </c>
      <c r="F78" s="2" t="b">
        <v>0</v>
      </c>
      <c r="G78" s="2" t="s">
        <v>31</v>
      </c>
      <c r="H78" s="2" t="s">
        <v>3040</v>
      </c>
      <c r="I78" s="2" t="s">
        <v>3041</v>
      </c>
      <c r="J78" s="2" t="s">
        <v>35</v>
      </c>
      <c r="K78" s="2" t="s">
        <v>35</v>
      </c>
      <c r="L78" s="2">
        <v>14</v>
      </c>
      <c r="M78" s="2" t="s">
        <v>35</v>
      </c>
      <c r="N78" s="2" t="s">
        <v>35</v>
      </c>
      <c r="O78" s="11">
        <v>44762.413060694445</v>
      </c>
      <c r="P78" s="11">
        <v>44762.413368414353</v>
      </c>
      <c r="Q78" s="27">
        <v>3.0771990714129061E-4</v>
      </c>
      <c r="R78" s="27">
        <v>6.2457175954477862E-4</v>
      </c>
      <c r="S78" s="2">
        <v>0</v>
      </c>
      <c r="T78" s="2" t="s">
        <v>265</v>
      </c>
      <c r="U78" s="2" t="s">
        <v>266</v>
      </c>
      <c r="V78" s="2" t="s">
        <v>38</v>
      </c>
      <c r="W78" s="2" t="s">
        <v>35</v>
      </c>
      <c r="X78" s="2" t="s">
        <v>35</v>
      </c>
      <c r="Y78" s="2" t="s">
        <v>35</v>
      </c>
      <c r="Z78" s="2" t="b">
        <v>0</v>
      </c>
      <c r="AA78" s="2" t="s">
        <v>35</v>
      </c>
      <c r="AB78" s="2" t="s">
        <v>35</v>
      </c>
      <c r="AC78" s="2" t="s">
        <v>35</v>
      </c>
      <c r="AD78" s="2" t="s">
        <v>35</v>
      </c>
      <c r="AE78" s="2" t="s">
        <v>2840</v>
      </c>
      <c r="AF78" s="11">
        <v>44762.350694444445</v>
      </c>
      <c r="AG78" s="53"/>
      <c r="AH78" s="53" t="b">
        <f t="shared" si="3"/>
        <v>0</v>
      </c>
      <c r="AI78" s="54" t="s">
        <v>9903</v>
      </c>
      <c r="AJ78" s="2"/>
      <c r="AK78" s="2"/>
      <c r="AL78" s="2"/>
      <c r="AM78" s="2"/>
      <c r="AN78" s="2"/>
    </row>
    <row r="79" spans="1:40" ht="16" x14ac:dyDescent="0.2">
      <c r="A79" s="2" t="s">
        <v>3042</v>
      </c>
      <c r="B79" s="2">
        <v>943</v>
      </c>
      <c r="C79" s="2" t="b">
        <v>0</v>
      </c>
      <c r="D79" s="2" t="b">
        <v>0</v>
      </c>
      <c r="E79" s="2" t="b">
        <v>0</v>
      </c>
      <c r="F79" s="2" t="b">
        <v>0</v>
      </c>
      <c r="G79" s="2" t="s">
        <v>31</v>
      </c>
      <c r="H79" s="2" t="s">
        <v>3043</v>
      </c>
      <c r="I79" s="2" t="s">
        <v>3044</v>
      </c>
      <c r="J79" s="2" t="s">
        <v>35</v>
      </c>
      <c r="K79" s="2" t="s">
        <v>35</v>
      </c>
      <c r="L79" s="2">
        <v>13</v>
      </c>
      <c r="M79" s="2" t="s">
        <v>35</v>
      </c>
      <c r="N79" s="2" t="s">
        <v>35</v>
      </c>
      <c r="O79" s="11">
        <v>44762.413397951386</v>
      </c>
      <c r="P79" s="11">
        <v>44762.413576631945</v>
      </c>
      <c r="Q79" s="27">
        <v>1.7868055874714628E-4</v>
      </c>
      <c r="R79" s="27">
        <v>2.0821759244427085E-4</v>
      </c>
      <c r="S79" s="2">
        <v>0</v>
      </c>
      <c r="T79" s="2" t="s">
        <v>265</v>
      </c>
      <c r="U79" s="2" t="s">
        <v>266</v>
      </c>
      <c r="V79" s="2" t="s">
        <v>38</v>
      </c>
      <c r="W79" s="2" t="s">
        <v>35</v>
      </c>
      <c r="X79" s="2" t="s">
        <v>35</v>
      </c>
      <c r="Y79" s="2" t="s">
        <v>35</v>
      </c>
      <c r="Z79" s="2" t="b">
        <v>0</v>
      </c>
      <c r="AA79" s="2" t="s">
        <v>35</v>
      </c>
      <c r="AB79" s="2" t="s">
        <v>35</v>
      </c>
      <c r="AC79" s="2" t="s">
        <v>35</v>
      </c>
      <c r="AD79" s="2" t="s">
        <v>35</v>
      </c>
      <c r="AE79" s="2" t="s">
        <v>2840</v>
      </c>
      <c r="AF79" s="11">
        <v>44762.350694444445</v>
      </c>
      <c r="AG79" s="53"/>
      <c r="AH79" s="53" t="b">
        <f t="shared" si="3"/>
        <v>0</v>
      </c>
      <c r="AI79" s="54" t="s">
        <v>9690</v>
      </c>
      <c r="AJ79" s="2"/>
      <c r="AK79" s="2"/>
      <c r="AL79" s="2"/>
      <c r="AM79" s="2"/>
      <c r="AN79" s="2"/>
    </row>
    <row r="80" spans="1:40" ht="16" x14ac:dyDescent="0.2">
      <c r="A80" s="2" t="s">
        <v>3065</v>
      </c>
      <c r="B80" s="2">
        <v>950</v>
      </c>
      <c r="C80" s="2" t="b">
        <v>0</v>
      </c>
      <c r="D80" s="2" t="b">
        <v>0</v>
      </c>
      <c r="E80" s="2" t="b">
        <v>0</v>
      </c>
      <c r="F80" s="2" t="b">
        <v>0</v>
      </c>
      <c r="G80" s="2" t="s">
        <v>31</v>
      </c>
      <c r="H80" s="2" t="s">
        <v>3066</v>
      </c>
      <c r="I80" s="2" t="s">
        <v>3067</v>
      </c>
      <c r="J80" s="2" t="s">
        <v>35</v>
      </c>
      <c r="K80" s="2" t="s">
        <v>35</v>
      </c>
      <c r="L80" s="2">
        <v>10</v>
      </c>
      <c r="M80" s="2" t="s">
        <v>35</v>
      </c>
      <c r="N80" s="2" t="s">
        <v>35</v>
      </c>
      <c r="O80" s="11">
        <v>44762.423521319448</v>
      </c>
      <c r="P80" s="11">
        <v>44762.423691006945</v>
      </c>
      <c r="Q80" s="27">
        <v>1.6968749696388841E-4</v>
      </c>
      <c r="R80" s="27">
        <v>1.6900231494219042E-3</v>
      </c>
      <c r="S80" s="2">
        <v>0</v>
      </c>
      <c r="T80" s="2" t="s">
        <v>265</v>
      </c>
      <c r="U80" s="2" t="s">
        <v>266</v>
      </c>
      <c r="V80" s="2" t="s">
        <v>38</v>
      </c>
      <c r="W80" s="2" t="s">
        <v>35</v>
      </c>
      <c r="X80" s="2" t="s">
        <v>35</v>
      </c>
      <c r="Y80" s="2" t="s">
        <v>35</v>
      </c>
      <c r="Z80" s="2" t="b">
        <v>0</v>
      </c>
      <c r="AA80" s="2" t="s">
        <v>35</v>
      </c>
      <c r="AB80" s="2" t="s">
        <v>35</v>
      </c>
      <c r="AC80" s="2" t="s">
        <v>35</v>
      </c>
      <c r="AD80" s="2" t="s">
        <v>35</v>
      </c>
      <c r="AE80" s="2" t="s">
        <v>2840</v>
      </c>
      <c r="AF80" s="11">
        <v>44762.350694444445</v>
      </c>
      <c r="AG80" s="53"/>
      <c r="AH80" s="53" t="b">
        <f t="shared" si="3"/>
        <v>0</v>
      </c>
      <c r="AI80" s="54" t="s">
        <v>9689</v>
      </c>
      <c r="AJ80" s="2"/>
      <c r="AK80" s="2"/>
      <c r="AL80" s="2"/>
      <c r="AM80" s="2"/>
      <c r="AN80" s="2"/>
    </row>
    <row r="81" spans="1:40" ht="16" x14ac:dyDescent="0.2">
      <c r="A81" s="2" t="s">
        <v>3081</v>
      </c>
      <c r="B81" s="2">
        <v>955</v>
      </c>
      <c r="C81" s="2" t="b">
        <v>0</v>
      </c>
      <c r="D81" s="2" t="b">
        <v>0</v>
      </c>
      <c r="E81" s="2" t="b">
        <v>0</v>
      </c>
      <c r="F81" s="2" t="b">
        <v>0</v>
      </c>
      <c r="G81" s="2" t="s">
        <v>31</v>
      </c>
      <c r="H81" s="2" t="s">
        <v>3082</v>
      </c>
      <c r="I81" s="2" t="s">
        <v>3083</v>
      </c>
      <c r="J81" s="2" t="s">
        <v>35</v>
      </c>
      <c r="K81" s="2" t="s">
        <v>35</v>
      </c>
      <c r="L81" s="2">
        <v>9</v>
      </c>
      <c r="M81" s="2" t="s">
        <v>35</v>
      </c>
      <c r="N81" s="2" t="s">
        <v>35</v>
      </c>
      <c r="O81" s="11">
        <v>44762.428362615741</v>
      </c>
      <c r="P81" s="11">
        <v>44762.428795914355</v>
      </c>
      <c r="Q81" s="27">
        <v>4.3329861364327371E-4</v>
      </c>
      <c r="R81" s="27">
        <v>9.9061342916684225E-4</v>
      </c>
      <c r="S81" s="2">
        <v>0</v>
      </c>
      <c r="T81" s="2" t="s">
        <v>265</v>
      </c>
      <c r="U81" s="2" t="s">
        <v>266</v>
      </c>
      <c r="V81" s="2" t="s">
        <v>38</v>
      </c>
      <c r="W81" s="2" t="s">
        <v>35</v>
      </c>
      <c r="X81" s="2" t="s">
        <v>35</v>
      </c>
      <c r="Y81" s="2" t="s">
        <v>35</v>
      </c>
      <c r="Z81" s="2" t="b">
        <v>0</v>
      </c>
      <c r="AA81" s="2" t="s">
        <v>35</v>
      </c>
      <c r="AB81" s="2" t="s">
        <v>35</v>
      </c>
      <c r="AC81" s="2" t="s">
        <v>35</v>
      </c>
      <c r="AD81" s="2" t="s">
        <v>35</v>
      </c>
      <c r="AE81" s="2" t="s">
        <v>2840</v>
      </c>
      <c r="AF81" s="11">
        <v>44762.350694444445</v>
      </c>
      <c r="AG81" s="53"/>
      <c r="AH81" s="53" t="b">
        <f t="shared" si="3"/>
        <v>0</v>
      </c>
      <c r="AI81" s="54" t="s">
        <v>9904</v>
      </c>
      <c r="AJ81" s="2"/>
      <c r="AK81" s="2"/>
      <c r="AL81" s="2"/>
      <c r="AM81" s="2"/>
      <c r="AN81" s="2"/>
    </row>
    <row r="82" spans="1:40" ht="16" x14ac:dyDescent="0.2">
      <c r="A82" s="2" t="s">
        <v>3217</v>
      </c>
      <c r="B82" s="2">
        <v>997</v>
      </c>
      <c r="C82" s="2" t="b">
        <v>0</v>
      </c>
      <c r="D82" s="2" t="b">
        <v>0</v>
      </c>
      <c r="E82" s="2" t="b">
        <v>0</v>
      </c>
      <c r="F82" s="2" t="b">
        <v>0</v>
      </c>
      <c r="G82" s="2" t="s">
        <v>31</v>
      </c>
      <c r="H82" s="2" t="s">
        <v>3218</v>
      </c>
      <c r="I82" s="2" t="s">
        <v>3219</v>
      </c>
      <c r="J82" s="2" t="s">
        <v>35</v>
      </c>
      <c r="K82" s="2" t="s">
        <v>35</v>
      </c>
      <c r="L82" s="2">
        <v>10</v>
      </c>
      <c r="M82" s="2" t="s">
        <v>35</v>
      </c>
      <c r="N82" s="2" t="s">
        <v>35</v>
      </c>
      <c r="O82" s="11">
        <v>44762.506003252318</v>
      </c>
      <c r="P82" s="11">
        <v>44762.506352812503</v>
      </c>
      <c r="Q82" s="27">
        <v>3.4956018498633057E-4</v>
      </c>
      <c r="R82" s="27">
        <v>6.3806713296798989E-4</v>
      </c>
      <c r="S82" s="2">
        <v>0</v>
      </c>
      <c r="T82" s="2" t="s">
        <v>265</v>
      </c>
      <c r="U82" s="2" t="s">
        <v>266</v>
      </c>
      <c r="V82" s="2" t="s">
        <v>38</v>
      </c>
      <c r="W82" s="2" t="s">
        <v>35</v>
      </c>
      <c r="X82" s="2" t="s">
        <v>35</v>
      </c>
      <c r="Y82" s="2" t="s">
        <v>35</v>
      </c>
      <c r="Z82" s="2" t="b">
        <v>0</v>
      </c>
      <c r="AA82" s="2" t="s">
        <v>35</v>
      </c>
      <c r="AB82" s="2" t="s">
        <v>35</v>
      </c>
      <c r="AC82" s="2" t="s">
        <v>35</v>
      </c>
      <c r="AD82" s="2" t="s">
        <v>35</v>
      </c>
      <c r="AE82" s="2" t="s">
        <v>2840</v>
      </c>
      <c r="AF82" s="11">
        <v>44762.350694444445</v>
      </c>
      <c r="AG82" s="53"/>
      <c r="AH82" s="53" t="b">
        <f t="shared" si="3"/>
        <v>0</v>
      </c>
      <c r="AI82" s="54" t="s">
        <v>9688</v>
      </c>
      <c r="AJ82" s="2"/>
      <c r="AK82" s="2"/>
      <c r="AL82" s="2"/>
      <c r="AM82" s="2"/>
      <c r="AN82" s="2"/>
    </row>
    <row r="83" spans="1:40" ht="16" x14ac:dyDescent="0.2">
      <c r="A83" s="2" t="s">
        <v>3220</v>
      </c>
      <c r="B83" s="2">
        <v>998</v>
      </c>
      <c r="C83" s="2" t="b">
        <v>0</v>
      </c>
      <c r="D83" s="2" t="b">
        <v>0</v>
      </c>
      <c r="E83" s="2" t="b">
        <v>0</v>
      </c>
      <c r="F83" s="2" t="b">
        <v>0</v>
      </c>
      <c r="G83" s="2" t="s">
        <v>31</v>
      </c>
      <c r="H83" s="2" t="s">
        <v>3221</v>
      </c>
      <c r="I83" s="2" t="s">
        <v>3222</v>
      </c>
      <c r="J83" s="2" t="s">
        <v>35</v>
      </c>
      <c r="K83" s="2" t="s">
        <v>35</v>
      </c>
      <c r="L83" s="2">
        <v>6</v>
      </c>
      <c r="M83" s="2" t="s">
        <v>35</v>
      </c>
      <c r="N83" s="2" t="s">
        <v>35</v>
      </c>
      <c r="O83" s="11">
        <v>44762.509189641205</v>
      </c>
      <c r="P83" s="11">
        <v>44762.509383206016</v>
      </c>
      <c r="Q83" s="27">
        <v>1.9356481061549857E-4</v>
      </c>
      <c r="R83" s="27">
        <v>3.0303935127449222E-3</v>
      </c>
      <c r="S83" s="2">
        <v>0</v>
      </c>
      <c r="T83" s="2" t="s">
        <v>265</v>
      </c>
      <c r="U83" s="2" t="s">
        <v>266</v>
      </c>
      <c r="V83" s="2" t="s">
        <v>38</v>
      </c>
      <c r="W83" s="2" t="s">
        <v>35</v>
      </c>
      <c r="X83" s="2" t="s">
        <v>35</v>
      </c>
      <c r="Y83" s="2" t="s">
        <v>35</v>
      </c>
      <c r="Z83" s="2" t="b">
        <v>0</v>
      </c>
      <c r="AA83" s="2" t="s">
        <v>35</v>
      </c>
      <c r="AB83" s="2" t="s">
        <v>35</v>
      </c>
      <c r="AC83" s="2" t="s">
        <v>35</v>
      </c>
      <c r="AD83" s="2" t="s">
        <v>35</v>
      </c>
      <c r="AE83" s="2" t="s">
        <v>2840</v>
      </c>
      <c r="AF83" s="11">
        <v>44762.350694444445</v>
      </c>
      <c r="AG83" s="53"/>
      <c r="AH83" s="53" t="b">
        <f t="shared" si="3"/>
        <v>0</v>
      </c>
      <c r="AI83" s="54" t="s">
        <v>9905</v>
      </c>
      <c r="AJ83" s="2"/>
      <c r="AK83" s="2"/>
      <c r="AL83" s="2"/>
      <c r="AM83" s="2"/>
      <c r="AN83" s="2"/>
    </row>
    <row r="84" spans="1:40" ht="16" x14ac:dyDescent="0.2">
      <c r="A84" s="2" t="s">
        <v>3227</v>
      </c>
      <c r="B84" s="2">
        <v>1000</v>
      </c>
      <c r="C84" s="2" t="b">
        <v>0</v>
      </c>
      <c r="D84" s="2" t="b">
        <v>0</v>
      </c>
      <c r="E84" s="2" t="b">
        <v>0</v>
      </c>
      <c r="F84" s="2" t="b">
        <v>0</v>
      </c>
      <c r="G84" s="2" t="s">
        <v>31</v>
      </c>
      <c r="H84" s="2" t="s">
        <v>3228</v>
      </c>
      <c r="I84" s="2" t="s">
        <v>3229</v>
      </c>
      <c r="J84" s="2" t="s">
        <v>35</v>
      </c>
      <c r="K84" s="2" t="s">
        <v>35</v>
      </c>
      <c r="L84" s="2">
        <v>12</v>
      </c>
      <c r="M84" s="2" t="s">
        <v>35</v>
      </c>
      <c r="N84" s="2" t="s">
        <v>35</v>
      </c>
      <c r="O84" s="11">
        <v>44762.509965532408</v>
      </c>
      <c r="P84" s="11">
        <v>44762.510119363425</v>
      </c>
      <c r="Q84" s="27">
        <v>1.538310170872137E-4</v>
      </c>
      <c r="R84" s="27">
        <v>2.6513888587942347E-4</v>
      </c>
      <c r="S84" s="2">
        <v>0</v>
      </c>
      <c r="T84" s="2" t="s">
        <v>265</v>
      </c>
      <c r="U84" s="2" t="s">
        <v>266</v>
      </c>
      <c r="V84" s="2" t="s">
        <v>38</v>
      </c>
      <c r="W84" s="2" t="s">
        <v>35</v>
      </c>
      <c r="X84" s="2" t="s">
        <v>35</v>
      </c>
      <c r="Y84" s="2" t="s">
        <v>35</v>
      </c>
      <c r="Z84" s="2" t="b">
        <v>0</v>
      </c>
      <c r="AA84" s="2" t="s">
        <v>35</v>
      </c>
      <c r="AB84" s="2" t="s">
        <v>35</v>
      </c>
      <c r="AC84" s="2" t="s">
        <v>35</v>
      </c>
      <c r="AD84" s="2" t="s">
        <v>35</v>
      </c>
      <c r="AE84" s="2" t="s">
        <v>2840</v>
      </c>
      <c r="AF84" s="11">
        <v>44762.350694444445</v>
      </c>
      <c r="AG84" s="53"/>
      <c r="AH84" s="53" t="b">
        <f t="shared" si="3"/>
        <v>0</v>
      </c>
      <c r="AI84" s="54" t="s">
        <v>9906</v>
      </c>
      <c r="AJ84" s="2"/>
      <c r="AK84" s="2"/>
      <c r="AL84" s="2"/>
      <c r="AM84" s="2"/>
      <c r="AN84" s="2"/>
    </row>
    <row r="85" spans="1:40" ht="16" x14ac:dyDescent="0.2">
      <c r="A85" s="2" t="s">
        <v>3236</v>
      </c>
      <c r="B85" s="2">
        <v>1003</v>
      </c>
      <c r="C85" s="2" t="b">
        <v>0</v>
      </c>
      <c r="D85" s="2" t="b">
        <v>0</v>
      </c>
      <c r="E85" s="2" t="b">
        <v>0</v>
      </c>
      <c r="F85" s="2" t="b">
        <v>0</v>
      </c>
      <c r="G85" s="2" t="s">
        <v>31</v>
      </c>
      <c r="H85" s="2" t="s">
        <v>3237</v>
      </c>
      <c r="I85" s="2" t="s">
        <v>3238</v>
      </c>
      <c r="J85" s="2" t="s">
        <v>35</v>
      </c>
      <c r="K85" s="2" t="s">
        <v>35</v>
      </c>
      <c r="L85" s="2">
        <v>10</v>
      </c>
      <c r="M85" s="2" t="s">
        <v>35</v>
      </c>
      <c r="N85" s="2" t="s">
        <v>35</v>
      </c>
      <c r="O85" s="11">
        <v>44762.510767164349</v>
      </c>
      <c r="P85" s="11">
        <v>44762.511014710646</v>
      </c>
      <c r="Q85" s="27">
        <v>2.4754629703238606E-4</v>
      </c>
      <c r="R85" s="27">
        <v>3.4718749520834535E-4</v>
      </c>
      <c r="S85" s="2">
        <v>0</v>
      </c>
      <c r="T85" s="2" t="s">
        <v>265</v>
      </c>
      <c r="U85" s="2" t="s">
        <v>266</v>
      </c>
      <c r="V85" s="2" t="s">
        <v>38</v>
      </c>
      <c r="W85" s="2" t="s">
        <v>35</v>
      </c>
      <c r="X85" s="2" t="s">
        <v>35</v>
      </c>
      <c r="Y85" s="2" t="s">
        <v>35</v>
      </c>
      <c r="Z85" s="2" t="b">
        <v>0</v>
      </c>
      <c r="AA85" s="2" t="s">
        <v>35</v>
      </c>
      <c r="AB85" s="2" t="s">
        <v>35</v>
      </c>
      <c r="AC85" s="2" t="s">
        <v>35</v>
      </c>
      <c r="AD85" s="2" t="s">
        <v>35</v>
      </c>
      <c r="AE85" s="2" t="s">
        <v>2840</v>
      </c>
      <c r="AF85" s="11">
        <v>44762.350694444445</v>
      </c>
      <c r="AG85" s="53"/>
      <c r="AH85" s="53" t="b">
        <f t="shared" si="3"/>
        <v>0</v>
      </c>
      <c r="AI85" s="54" t="s">
        <v>9687</v>
      </c>
      <c r="AJ85" s="2"/>
      <c r="AK85" s="2"/>
      <c r="AL85" s="2"/>
      <c r="AM85" s="2"/>
      <c r="AN85" s="2"/>
    </row>
    <row r="86" spans="1:40" ht="16" x14ac:dyDescent="0.2">
      <c r="A86" s="2" t="s">
        <v>3305</v>
      </c>
      <c r="B86" s="2">
        <v>1026</v>
      </c>
      <c r="C86" s="2" t="b">
        <v>0</v>
      </c>
      <c r="D86" s="2" t="b">
        <v>0</v>
      </c>
      <c r="E86" s="2" t="b">
        <v>0</v>
      </c>
      <c r="F86" s="2" t="b">
        <v>0</v>
      </c>
      <c r="G86" s="2" t="s">
        <v>31</v>
      </c>
      <c r="H86" s="2" t="s">
        <v>3306</v>
      </c>
      <c r="I86" s="2" t="s">
        <v>3307</v>
      </c>
      <c r="J86" s="2" t="s">
        <v>35</v>
      </c>
      <c r="K86" s="2" t="s">
        <v>35</v>
      </c>
      <c r="L86" s="2">
        <v>7</v>
      </c>
      <c r="M86" s="2" t="s">
        <v>35</v>
      </c>
      <c r="N86" s="2" t="s">
        <v>35</v>
      </c>
      <c r="O86" s="11">
        <v>44764.380612280096</v>
      </c>
      <c r="P86" s="11">
        <v>44764.380788368057</v>
      </c>
      <c r="Q86" s="27">
        <v>1.7608796042622998E-4</v>
      </c>
      <c r="R86" s="27">
        <v>1.7629630019655451E-4</v>
      </c>
      <c r="S86" s="2">
        <v>0</v>
      </c>
      <c r="T86" s="2" t="s">
        <v>265</v>
      </c>
      <c r="U86" s="2" t="s">
        <v>266</v>
      </c>
      <c r="V86" s="2" t="s">
        <v>38</v>
      </c>
      <c r="W86" s="2" t="s">
        <v>35</v>
      </c>
      <c r="X86" s="2" t="s">
        <v>35</v>
      </c>
      <c r="Y86" s="2" t="s">
        <v>35</v>
      </c>
      <c r="Z86" s="2" t="b">
        <v>0</v>
      </c>
      <c r="AA86" s="2" t="s">
        <v>35</v>
      </c>
      <c r="AB86" s="2" t="s">
        <v>35</v>
      </c>
      <c r="AC86" s="2" t="s">
        <v>35</v>
      </c>
      <c r="AD86" s="2" t="s">
        <v>35</v>
      </c>
      <c r="AE86" s="2" t="s">
        <v>3248</v>
      </c>
      <c r="AF86" s="11">
        <v>44764.361111053244</v>
      </c>
      <c r="AG86" s="53"/>
      <c r="AH86" s="53" t="b">
        <f t="shared" si="3"/>
        <v>0</v>
      </c>
      <c r="AI86" s="54" t="s">
        <v>9907</v>
      </c>
      <c r="AJ86" s="2"/>
      <c r="AK86" s="2"/>
      <c r="AL86" s="2"/>
      <c r="AM86" s="2"/>
      <c r="AN86" s="2"/>
    </row>
    <row r="87" spans="1:40" ht="16" x14ac:dyDescent="0.2">
      <c r="A87" s="2" t="s">
        <v>3338</v>
      </c>
      <c r="B87" s="2">
        <v>1037</v>
      </c>
      <c r="C87" s="2" t="b">
        <v>0</v>
      </c>
      <c r="D87" s="2" t="b">
        <v>0</v>
      </c>
      <c r="E87" s="2" t="b">
        <v>0</v>
      </c>
      <c r="F87" s="2" t="b">
        <v>0</v>
      </c>
      <c r="G87" s="2" t="s">
        <v>31</v>
      </c>
      <c r="H87" s="2" t="s">
        <v>3339</v>
      </c>
      <c r="I87" s="2" t="s">
        <v>3340</v>
      </c>
      <c r="J87" s="2" t="s">
        <v>35</v>
      </c>
      <c r="K87" s="2" t="s">
        <v>35</v>
      </c>
      <c r="L87" s="2">
        <v>15</v>
      </c>
      <c r="M87" s="2" t="s">
        <v>35</v>
      </c>
      <c r="N87" s="2" t="s">
        <v>35</v>
      </c>
      <c r="O87" s="11">
        <v>44764.393488368056</v>
      </c>
      <c r="P87" s="11">
        <v>44764.39385197917</v>
      </c>
      <c r="Q87" s="27">
        <v>3.6361111415317282E-4</v>
      </c>
      <c r="R87" s="27">
        <v>4.2545139149297029E-4</v>
      </c>
      <c r="S87" s="2">
        <v>0</v>
      </c>
      <c r="T87" s="2" t="s">
        <v>265</v>
      </c>
      <c r="U87" s="2" t="s">
        <v>266</v>
      </c>
      <c r="V87" s="2" t="s">
        <v>38</v>
      </c>
      <c r="W87" s="2" t="s">
        <v>35</v>
      </c>
      <c r="X87" s="2" t="s">
        <v>35</v>
      </c>
      <c r="Y87" s="2" t="s">
        <v>35</v>
      </c>
      <c r="Z87" s="2" t="b">
        <v>0</v>
      </c>
      <c r="AA87" s="2" t="s">
        <v>35</v>
      </c>
      <c r="AB87" s="2" t="s">
        <v>35</v>
      </c>
      <c r="AC87" s="2" t="s">
        <v>35</v>
      </c>
      <c r="AD87" s="2" t="s">
        <v>35</v>
      </c>
      <c r="AE87" s="2" t="s">
        <v>3248</v>
      </c>
      <c r="AF87" s="11">
        <v>44764.361111053244</v>
      </c>
      <c r="AG87" s="53"/>
      <c r="AH87" s="53" t="b">
        <f t="shared" si="3"/>
        <v>0</v>
      </c>
      <c r="AI87" s="54" t="s">
        <v>9908</v>
      </c>
      <c r="AJ87" s="2"/>
      <c r="AK87" s="2"/>
      <c r="AL87" s="2"/>
      <c r="AM87" s="2"/>
      <c r="AN87" s="2"/>
    </row>
    <row r="88" spans="1:40" ht="16" x14ac:dyDescent="0.2">
      <c r="A88" s="2" t="s">
        <v>3341</v>
      </c>
      <c r="B88" s="2">
        <v>1038</v>
      </c>
      <c r="C88" s="2" t="b">
        <v>0</v>
      </c>
      <c r="D88" s="2" t="b">
        <v>0</v>
      </c>
      <c r="E88" s="2" t="b">
        <v>0</v>
      </c>
      <c r="F88" s="2" t="b">
        <v>0</v>
      </c>
      <c r="G88" s="2" t="s">
        <v>31</v>
      </c>
      <c r="H88" s="2" t="s">
        <v>3342</v>
      </c>
      <c r="I88" s="2" t="s">
        <v>3343</v>
      </c>
      <c r="J88" s="2" t="s">
        <v>35</v>
      </c>
      <c r="K88" s="2" t="s">
        <v>35</v>
      </c>
      <c r="L88" s="2">
        <v>15</v>
      </c>
      <c r="M88" s="2" t="s">
        <v>35</v>
      </c>
      <c r="N88" s="2" t="s">
        <v>35</v>
      </c>
      <c r="O88" s="11">
        <v>44764.394013923615</v>
      </c>
      <c r="P88" s="11">
        <v>44764.394560335648</v>
      </c>
      <c r="Q88" s="27">
        <v>5.4641203314531595E-4</v>
      </c>
      <c r="R88" s="27">
        <v>7.0835647784406319E-4</v>
      </c>
      <c r="S88" s="2">
        <v>0</v>
      </c>
      <c r="T88" s="2" t="s">
        <v>265</v>
      </c>
      <c r="U88" s="2" t="s">
        <v>266</v>
      </c>
      <c r="V88" s="2" t="s">
        <v>38</v>
      </c>
      <c r="W88" s="2" t="s">
        <v>35</v>
      </c>
      <c r="X88" s="2" t="s">
        <v>35</v>
      </c>
      <c r="Y88" s="2" t="s">
        <v>35</v>
      </c>
      <c r="Z88" s="2" t="b">
        <v>0</v>
      </c>
      <c r="AA88" s="2" t="s">
        <v>35</v>
      </c>
      <c r="AB88" s="2" t="s">
        <v>35</v>
      </c>
      <c r="AC88" s="2" t="s">
        <v>35</v>
      </c>
      <c r="AD88" s="2" t="s">
        <v>35</v>
      </c>
      <c r="AE88" s="2" t="s">
        <v>3248</v>
      </c>
      <c r="AF88" s="11">
        <v>44764.361111053244</v>
      </c>
      <c r="AG88" s="53"/>
      <c r="AH88" s="53" t="b">
        <f t="shared" si="3"/>
        <v>0</v>
      </c>
      <c r="AI88" s="54" t="s">
        <v>9909</v>
      </c>
      <c r="AJ88" s="2"/>
      <c r="AK88" s="2"/>
      <c r="AL88" s="2"/>
      <c r="AM88" s="2"/>
      <c r="AN88" s="2"/>
    </row>
    <row r="89" spans="1:40" ht="16" x14ac:dyDescent="0.2">
      <c r="A89" s="2" t="s">
        <v>3378</v>
      </c>
      <c r="B89" s="2">
        <v>1050</v>
      </c>
      <c r="C89" s="2" t="b">
        <v>0</v>
      </c>
      <c r="D89" s="2" t="b">
        <v>0</v>
      </c>
      <c r="E89" s="2" t="b">
        <v>0</v>
      </c>
      <c r="F89" s="2" t="b">
        <v>0</v>
      </c>
      <c r="G89" s="2" t="s">
        <v>31</v>
      </c>
      <c r="H89" s="2" t="s">
        <v>3379</v>
      </c>
      <c r="I89" s="2" t="s">
        <v>3380</v>
      </c>
      <c r="J89" s="2" t="s">
        <v>35</v>
      </c>
      <c r="K89" s="2" t="s">
        <v>35</v>
      </c>
      <c r="L89" s="2">
        <v>11</v>
      </c>
      <c r="M89" s="2" t="s">
        <v>35</v>
      </c>
      <c r="N89" s="2" t="s">
        <v>35</v>
      </c>
      <c r="O89" s="11">
        <v>44764.422138252317</v>
      </c>
      <c r="P89" s="11">
        <v>44764.422392789354</v>
      </c>
      <c r="Q89" s="27">
        <v>2.545370371080935E-4</v>
      </c>
      <c r="R89" s="27">
        <v>5.4183912070584483E-3</v>
      </c>
      <c r="S89" s="2">
        <v>0</v>
      </c>
      <c r="T89" s="2" t="s">
        <v>265</v>
      </c>
      <c r="U89" s="2" t="s">
        <v>266</v>
      </c>
      <c r="V89" s="2" t="s">
        <v>38</v>
      </c>
      <c r="W89" s="2" t="s">
        <v>35</v>
      </c>
      <c r="X89" s="2" t="s">
        <v>35</v>
      </c>
      <c r="Y89" s="2" t="s">
        <v>35</v>
      </c>
      <c r="Z89" s="2" t="b">
        <v>0</v>
      </c>
      <c r="AA89" s="2" t="s">
        <v>35</v>
      </c>
      <c r="AB89" s="2" t="s">
        <v>35</v>
      </c>
      <c r="AC89" s="2" t="s">
        <v>35</v>
      </c>
      <c r="AD89" s="2" t="s">
        <v>35</v>
      </c>
      <c r="AE89" s="2" t="s">
        <v>3248</v>
      </c>
      <c r="AF89" s="11">
        <v>44764.361111053244</v>
      </c>
      <c r="AG89" s="53"/>
      <c r="AH89" s="53" t="b">
        <f t="shared" si="3"/>
        <v>0</v>
      </c>
      <c r="AI89" s="54" t="s">
        <v>9686</v>
      </c>
      <c r="AJ89" s="2"/>
      <c r="AK89" s="2"/>
      <c r="AL89" s="2"/>
      <c r="AM89" s="2"/>
      <c r="AN89" s="2"/>
    </row>
    <row r="90" spans="1:40" ht="16" x14ac:dyDescent="0.2">
      <c r="A90" s="2" t="s">
        <v>3381</v>
      </c>
      <c r="B90" s="2">
        <v>1051</v>
      </c>
      <c r="C90" s="2" t="b">
        <v>0</v>
      </c>
      <c r="D90" s="2" t="b">
        <v>0</v>
      </c>
      <c r="E90" s="2" t="b">
        <v>0</v>
      </c>
      <c r="F90" s="2" t="b">
        <v>0</v>
      </c>
      <c r="G90" s="2" t="s">
        <v>31</v>
      </c>
      <c r="H90" s="2" t="s">
        <v>3382</v>
      </c>
      <c r="I90" s="2" t="s">
        <v>3383</v>
      </c>
      <c r="J90" s="2" t="s">
        <v>35</v>
      </c>
      <c r="K90" s="2" t="s">
        <v>35</v>
      </c>
      <c r="L90" s="2">
        <v>9</v>
      </c>
      <c r="M90" s="2" t="s">
        <v>35</v>
      </c>
      <c r="N90" s="2" t="s">
        <v>35</v>
      </c>
      <c r="O90" s="11">
        <v>44764.422566944442</v>
      </c>
      <c r="P90" s="11">
        <v>44764.422810949072</v>
      </c>
      <c r="Q90" s="27">
        <v>2.440046300762333E-4</v>
      </c>
      <c r="R90" s="27">
        <v>4.1815971781034023E-4</v>
      </c>
      <c r="S90" s="2">
        <v>0</v>
      </c>
      <c r="T90" s="2" t="s">
        <v>265</v>
      </c>
      <c r="U90" s="2" t="s">
        <v>266</v>
      </c>
      <c r="V90" s="2" t="s">
        <v>38</v>
      </c>
      <c r="W90" s="2" t="s">
        <v>35</v>
      </c>
      <c r="X90" s="2" t="s">
        <v>35</v>
      </c>
      <c r="Y90" s="2" t="s">
        <v>35</v>
      </c>
      <c r="Z90" s="2" t="b">
        <v>0</v>
      </c>
      <c r="AA90" s="2" t="s">
        <v>35</v>
      </c>
      <c r="AB90" s="2" t="s">
        <v>35</v>
      </c>
      <c r="AC90" s="2" t="s">
        <v>35</v>
      </c>
      <c r="AD90" s="2" t="s">
        <v>35</v>
      </c>
      <c r="AE90" s="2" t="s">
        <v>3248</v>
      </c>
      <c r="AF90" s="11">
        <v>44764.361111053244</v>
      </c>
      <c r="AG90" s="53"/>
      <c r="AH90" s="53" t="b">
        <f t="shared" si="3"/>
        <v>0</v>
      </c>
      <c r="AI90" s="54" t="s">
        <v>9910</v>
      </c>
      <c r="AJ90" s="2"/>
      <c r="AK90" s="2"/>
      <c r="AL90" s="2"/>
      <c r="AM90" s="2"/>
      <c r="AN90" s="2"/>
    </row>
    <row r="91" spans="1:40" ht="16" x14ac:dyDescent="0.2">
      <c r="A91" s="2" t="s">
        <v>3391</v>
      </c>
      <c r="B91" s="2">
        <v>1054</v>
      </c>
      <c r="C91" s="2" t="b">
        <v>0</v>
      </c>
      <c r="D91" s="2" t="b">
        <v>0</v>
      </c>
      <c r="E91" s="2" t="b">
        <v>0</v>
      </c>
      <c r="F91" s="2" t="b">
        <v>0</v>
      </c>
      <c r="G91" s="2" t="s">
        <v>31</v>
      </c>
      <c r="H91" s="2" t="s">
        <v>3392</v>
      </c>
      <c r="I91" s="2" t="s">
        <v>3393</v>
      </c>
      <c r="J91" s="2" t="s">
        <v>35</v>
      </c>
      <c r="K91" s="2" t="s">
        <v>35</v>
      </c>
      <c r="L91" s="2">
        <v>4</v>
      </c>
      <c r="M91" s="2" t="s">
        <v>35</v>
      </c>
      <c r="N91" s="2" t="s">
        <v>35</v>
      </c>
      <c r="O91" s="11">
        <v>44764.42969921296</v>
      </c>
      <c r="P91" s="11">
        <v>44764.431942222225</v>
      </c>
      <c r="Q91" s="27">
        <v>2.2430092649301514E-3</v>
      </c>
      <c r="R91" s="27">
        <v>4.7615393559681252E-3</v>
      </c>
      <c r="S91" s="2">
        <v>0</v>
      </c>
      <c r="T91" s="2" t="s">
        <v>265</v>
      </c>
      <c r="U91" s="2" t="s">
        <v>266</v>
      </c>
      <c r="V91" s="2" t="s">
        <v>38</v>
      </c>
      <c r="W91" s="2" t="s">
        <v>35</v>
      </c>
      <c r="X91" s="2" t="s">
        <v>35</v>
      </c>
      <c r="Y91" s="2" t="s">
        <v>35</v>
      </c>
      <c r="Z91" s="2" t="b">
        <v>0</v>
      </c>
      <c r="AA91" s="2" t="s">
        <v>35</v>
      </c>
      <c r="AB91" s="2" t="s">
        <v>35</v>
      </c>
      <c r="AC91" s="2" t="s">
        <v>35</v>
      </c>
      <c r="AD91" s="2" t="s">
        <v>35</v>
      </c>
      <c r="AE91" s="2" t="s">
        <v>3248</v>
      </c>
      <c r="AF91" s="11">
        <v>44764.361111053244</v>
      </c>
      <c r="AG91" s="53"/>
      <c r="AH91" s="53" t="str">
        <f t="shared" si="3"/>
        <v>TRUE</v>
      </c>
      <c r="AI91" s="54" t="s">
        <v>9684</v>
      </c>
      <c r="AJ91" s="2" t="s">
        <v>9683</v>
      </c>
      <c r="AK91" s="2"/>
      <c r="AL91" s="2"/>
      <c r="AM91" s="2"/>
      <c r="AN91" s="2"/>
    </row>
    <row r="92" spans="1:40" ht="16" x14ac:dyDescent="0.2">
      <c r="A92" s="2" t="s">
        <v>3436</v>
      </c>
      <c r="B92" s="2">
        <v>1069</v>
      </c>
      <c r="C92" s="2" t="b">
        <v>0</v>
      </c>
      <c r="D92" s="2" t="b">
        <v>0</v>
      </c>
      <c r="E92" s="2" t="b">
        <v>0</v>
      </c>
      <c r="F92" s="2" t="b">
        <v>0</v>
      </c>
      <c r="G92" s="2" t="s">
        <v>31</v>
      </c>
      <c r="H92" s="2" t="s">
        <v>3437</v>
      </c>
      <c r="I92" s="2" t="s">
        <v>3438</v>
      </c>
      <c r="J92" s="2" t="s">
        <v>35</v>
      </c>
      <c r="K92" s="2" t="s">
        <v>35</v>
      </c>
      <c r="L92" s="2">
        <v>11</v>
      </c>
      <c r="M92" s="2" t="s">
        <v>35</v>
      </c>
      <c r="N92" s="2" t="s">
        <v>35</v>
      </c>
      <c r="O92" s="11">
        <v>44764.443183194446</v>
      </c>
      <c r="P92" s="11">
        <v>44764.443481585651</v>
      </c>
      <c r="Q92" s="27">
        <v>2.9839120543329045E-4</v>
      </c>
      <c r="R92" s="27">
        <v>4.8020833492046222E-4</v>
      </c>
      <c r="S92" s="2">
        <v>0</v>
      </c>
      <c r="T92" s="2" t="s">
        <v>265</v>
      </c>
      <c r="U92" s="2" t="s">
        <v>266</v>
      </c>
      <c r="V92" s="2" t="s">
        <v>38</v>
      </c>
      <c r="W92" s="2" t="s">
        <v>35</v>
      </c>
      <c r="X92" s="2" t="s">
        <v>35</v>
      </c>
      <c r="Y92" s="2" t="s">
        <v>35</v>
      </c>
      <c r="Z92" s="2" t="b">
        <v>0</v>
      </c>
      <c r="AA92" s="2" t="s">
        <v>35</v>
      </c>
      <c r="AB92" s="2" t="s">
        <v>35</v>
      </c>
      <c r="AC92" s="2" t="s">
        <v>35</v>
      </c>
      <c r="AD92" s="2" t="s">
        <v>35</v>
      </c>
      <c r="AE92" s="2" t="s">
        <v>3248</v>
      </c>
      <c r="AF92" s="11">
        <v>44764.361111053244</v>
      </c>
      <c r="AG92" s="53"/>
      <c r="AH92" s="53" t="b">
        <f t="shared" si="3"/>
        <v>0</v>
      </c>
      <c r="AI92" s="54" t="s">
        <v>9911</v>
      </c>
      <c r="AJ92" s="2"/>
      <c r="AK92" s="2"/>
      <c r="AL92" s="2"/>
      <c r="AM92" s="2"/>
      <c r="AN92" s="2"/>
    </row>
    <row r="93" spans="1:40" ht="16" x14ac:dyDescent="0.2">
      <c r="A93" s="2" t="s">
        <v>3439</v>
      </c>
      <c r="B93" s="2">
        <v>1070</v>
      </c>
      <c r="C93" s="2" t="b">
        <v>0</v>
      </c>
      <c r="D93" s="2" t="b">
        <v>0</v>
      </c>
      <c r="E93" s="2" t="b">
        <v>0</v>
      </c>
      <c r="F93" s="2" t="b">
        <v>0</v>
      </c>
      <c r="G93" s="2" t="s">
        <v>31</v>
      </c>
      <c r="H93" s="2" t="s">
        <v>3440</v>
      </c>
      <c r="I93" s="2" t="s">
        <v>3441</v>
      </c>
      <c r="J93" s="2" t="s">
        <v>35</v>
      </c>
      <c r="K93" s="2" t="s">
        <v>35</v>
      </c>
      <c r="L93" s="2">
        <v>11</v>
      </c>
      <c r="M93" s="2" t="s">
        <v>35</v>
      </c>
      <c r="N93" s="2" t="s">
        <v>35</v>
      </c>
      <c r="O93" s="11">
        <v>44764.443624872685</v>
      </c>
      <c r="P93" s="11">
        <v>44764.443810509256</v>
      </c>
      <c r="Q93" s="27">
        <v>1.8563657067716122E-4</v>
      </c>
      <c r="R93" s="27">
        <v>3.2892360468395054E-4</v>
      </c>
      <c r="S93" s="2">
        <v>0</v>
      </c>
      <c r="T93" s="2" t="s">
        <v>265</v>
      </c>
      <c r="U93" s="2" t="s">
        <v>266</v>
      </c>
      <c r="V93" s="2" t="s">
        <v>38</v>
      </c>
      <c r="W93" s="2" t="s">
        <v>35</v>
      </c>
      <c r="X93" s="2" t="s">
        <v>35</v>
      </c>
      <c r="Y93" s="2" t="s">
        <v>35</v>
      </c>
      <c r="Z93" s="2" t="b">
        <v>0</v>
      </c>
      <c r="AA93" s="2" t="s">
        <v>35</v>
      </c>
      <c r="AB93" s="2" t="s">
        <v>35</v>
      </c>
      <c r="AC93" s="2" t="s">
        <v>35</v>
      </c>
      <c r="AD93" s="2" t="s">
        <v>35</v>
      </c>
      <c r="AE93" s="2" t="s">
        <v>3248</v>
      </c>
      <c r="AF93" s="11">
        <v>44764.361111053244</v>
      </c>
      <c r="AG93" s="53"/>
      <c r="AH93" s="53" t="b">
        <f t="shared" si="3"/>
        <v>0</v>
      </c>
      <c r="AI93" s="54" t="s">
        <v>9682</v>
      </c>
      <c r="AJ93" s="2"/>
      <c r="AK93" s="2"/>
      <c r="AL93" s="2"/>
      <c r="AM93" s="2"/>
      <c r="AN93" s="2"/>
    </row>
    <row r="94" spans="1:40" ht="16" x14ac:dyDescent="0.2">
      <c r="A94" s="2" t="s">
        <v>3442</v>
      </c>
      <c r="B94" s="2">
        <v>1071</v>
      </c>
      <c r="C94" s="2" t="b">
        <v>0</v>
      </c>
      <c r="D94" s="2" t="b">
        <v>0</v>
      </c>
      <c r="E94" s="2" t="b">
        <v>0</v>
      </c>
      <c r="F94" s="2" t="b">
        <v>0</v>
      </c>
      <c r="G94" s="2" t="s">
        <v>31</v>
      </c>
      <c r="H94" s="2" t="s">
        <v>3443</v>
      </c>
      <c r="I94" s="2" t="s">
        <v>3444</v>
      </c>
      <c r="J94" s="2" t="s">
        <v>35</v>
      </c>
      <c r="K94" s="2" t="s">
        <v>35</v>
      </c>
      <c r="L94" s="2">
        <v>4</v>
      </c>
      <c r="M94" s="2" t="s">
        <v>35</v>
      </c>
      <c r="N94" s="2" t="s">
        <v>35</v>
      </c>
      <c r="O94" s="11">
        <v>44764.44503516204</v>
      </c>
      <c r="P94" s="11">
        <v>44764.445282719906</v>
      </c>
      <c r="Q94" s="27">
        <v>2.4755786580499262E-4</v>
      </c>
      <c r="R94" s="27">
        <v>1.4722106498084031E-3</v>
      </c>
      <c r="S94" s="2">
        <v>0</v>
      </c>
      <c r="T94" s="2" t="s">
        <v>265</v>
      </c>
      <c r="U94" s="2" t="s">
        <v>266</v>
      </c>
      <c r="V94" s="2" t="s">
        <v>38</v>
      </c>
      <c r="W94" s="2" t="s">
        <v>35</v>
      </c>
      <c r="X94" s="2" t="s">
        <v>35</v>
      </c>
      <c r="Y94" s="2" t="s">
        <v>35</v>
      </c>
      <c r="Z94" s="2" t="b">
        <v>0</v>
      </c>
      <c r="AA94" s="2" t="s">
        <v>35</v>
      </c>
      <c r="AB94" s="2" t="s">
        <v>35</v>
      </c>
      <c r="AC94" s="2" t="s">
        <v>35</v>
      </c>
      <c r="AD94" s="2" t="s">
        <v>35</v>
      </c>
      <c r="AE94" s="2" t="s">
        <v>3248</v>
      </c>
      <c r="AF94" s="11">
        <v>44764.361111053244</v>
      </c>
      <c r="AG94" s="53"/>
      <c r="AH94" s="53" t="b">
        <f t="shared" si="3"/>
        <v>0</v>
      </c>
      <c r="AI94" s="54" t="s">
        <v>9912</v>
      </c>
      <c r="AJ94" s="2"/>
      <c r="AK94" s="2"/>
      <c r="AL94" s="2"/>
      <c r="AM94" s="2"/>
      <c r="AN94" s="2"/>
    </row>
    <row r="95" spans="1:40" ht="16" x14ac:dyDescent="0.2">
      <c r="A95" s="2" t="s">
        <v>3445</v>
      </c>
      <c r="B95" s="2">
        <v>1072</v>
      </c>
      <c r="C95" s="2" t="b">
        <v>0</v>
      </c>
      <c r="D95" s="2" t="b">
        <v>0</v>
      </c>
      <c r="E95" s="2" t="b">
        <v>0</v>
      </c>
      <c r="F95" s="2" t="b">
        <v>0</v>
      </c>
      <c r="G95" s="2" t="s">
        <v>31</v>
      </c>
      <c r="H95" s="2" t="s">
        <v>3446</v>
      </c>
      <c r="I95" s="2" t="s">
        <v>3447</v>
      </c>
      <c r="J95" s="2" t="s">
        <v>35</v>
      </c>
      <c r="K95" s="2" t="s">
        <v>35</v>
      </c>
      <c r="L95" s="2">
        <v>4</v>
      </c>
      <c r="M95" s="2" t="s">
        <v>35</v>
      </c>
      <c r="N95" s="2" t="s">
        <v>35</v>
      </c>
      <c r="O95" s="11">
        <v>44764.445385659725</v>
      </c>
      <c r="P95" s="11">
        <v>44764.445555092592</v>
      </c>
      <c r="Q95" s="27">
        <v>1.6943286755122244E-4</v>
      </c>
      <c r="R95" s="27">
        <v>2.7237268659519032E-4</v>
      </c>
      <c r="S95" s="2">
        <v>0</v>
      </c>
      <c r="T95" s="2" t="s">
        <v>265</v>
      </c>
      <c r="U95" s="2" t="s">
        <v>266</v>
      </c>
      <c r="V95" s="2" t="s">
        <v>38</v>
      </c>
      <c r="W95" s="2" t="s">
        <v>35</v>
      </c>
      <c r="X95" s="2" t="s">
        <v>35</v>
      </c>
      <c r="Y95" s="2" t="s">
        <v>35</v>
      </c>
      <c r="Z95" s="2" t="b">
        <v>0</v>
      </c>
      <c r="AA95" s="2" t="s">
        <v>35</v>
      </c>
      <c r="AB95" s="2" t="s">
        <v>35</v>
      </c>
      <c r="AC95" s="2" t="s">
        <v>35</v>
      </c>
      <c r="AD95" s="2" t="s">
        <v>35</v>
      </c>
      <c r="AE95" s="2" t="s">
        <v>3248</v>
      </c>
      <c r="AF95" s="11">
        <v>44764.361111053244</v>
      </c>
      <c r="AG95" s="53"/>
      <c r="AH95" s="53" t="b">
        <f t="shared" si="3"/>
        <v>0</v>
      </c>
      <c r="AI95" s="54" t="s">
        <v>9913</v>
      </c>
      <c r="AJ95" s="2"/>
      <c r="AK95" s="2"/>
      <c r="AL95" s="2"/>
      <c r="AM95" s="2"/>
      <c r="AN95" s="2"/>
    </row>
    <row r="96" spans="1:40" ht="16" x14ac:dyDescent="0.2">
      <c r="A96" s="2" t="s">
        <v>3448</v>
      </c>
      <c r="B96" s="2">
        <v>1073</v>
      </c>
      <c r="C96" s="2" t="b">
        <v>0</v>
      </c>
      <c r="D96" s="2" t="b">
        <v>0</v>
      </c>
      <c r="E96" s="2" t="b">
        <v>0</v>
      </c>
      <c r="F96" s="2" t="b">
        <v>0</v>
      </c>
      <c r="G96" s="2" t="s">
        <v>31</v>
      </c>
      <c r="H96" s="2" t="s">
        <v>3449</v>
      </c>
      <c r="I96" s="2" t="s">
        <v>3450</v>
      </c>
      <c r="J96" s="2" t="s">
        <v>35</v>
      </c>
      <c r="K96" s="2" t="s">
        <v>35</v>
      </c>
      <c r="L96" s="2">
        <v>11</v>
      </c>
      <c r="M96" s="2" t="s">
        <v>35</v>
      </c>
      <c r="N96" s="2" t="s">
        <v>35</v>
      </c>
      <c r="O96" s="11">
        <v>44764.44576372685</v>
      </c>
      <c r="P96" s="11">
        <v>44764.445891261574</v>
      </c>
      <c r="Q96" s="27">
        <v>1.2753472401527688E-4</v>
      </c>
      <c r="R96" s="27">
        <v>3.3616898144828156E-4</v>
      </c>
      <c r="S96" s="2">
        <v>0</v>
      </c>
      <c r="T96" s="2" t="s">
        <v>265</v>
      </c>
      <c r="U96" s="2" t="s">
        <v>266</v>
      </c>
      <c r="V96" s="2" t="s">
        <v>38</v>
      </c>
      <c r="W96" s="2" t="s">
        <v>35</v>
      </c>
      <c r="X96" s="2" t="s">
        <v>35</v>
      </c>
      <c r="Y96" s="2" t="s">
        <v>35</v>
      </c>
      <c r="Z96" s="2" t="b">
        <v>0</v>
      </c>
      <c r="AA96" s="2" t="s">
        <v>35</v>
      </c>
      <c r="AB96" s="2" t="s">
        <v>35</v>
      </c>
      <c r="AC96" s="2" t="s">
        <v>35</v>
      </c>
      <c r="AD96" s="2" t="s">
        <v>35</v>
      </c>
      <c r="AE96" s="2" t="s">
        <v>3248</v>
      </c>
      <c r="AF96" s="11">
        <v>44764.361111053244</v>
      </c>
      <c r="AG96" s="53"/>
      <c r="AH96" s="53" t="b">
        <f t="shared" si="3"/>
        <v>0</v>
      </c>
      <c r="AI96" s="54" t="s">
        <v>9680</v>
      </c>
      <c r="AJ96" s="2"/>
      <c r="AK96" s="2"/>
      <c r="AL96" s="2"/>
      <c r="AM96" s="2"/>
      <c r="AN96" s="2"/>
    </row>
    <row r="97" spans="1:40" ht="16" x14ac:dyDescent="0.2">
      <c r="A97" s="2" t="s">
        <v>3617</v>
      </c>
      <c r="B97" s="2">
        <v>1124</v>
      </c>
      <c r="C97" s="2" t="b">
        <v>0</v>
      </c>
      <c r="D97" s="2" t="b">
        <v>0</v>
      </c>
      <c r="E97" s="2" t="b">
        <v>0</v>
      </c>
      <c r="F97" s="2" t="b">
        <v>0</v>
      </c>
      <c r="G97" s="2" t="s">
        <v>31</v>
      </c>
      <c r="H97" s="2" t="s">
        <v>3618</v>
      </c>
      <c r="I97" s="2" t="s">
        <v>3619</v>
      </c>
      <c r="J97" s="2" t="s">
        <v>35</v>
      </c>
      <c r="K97" s="2" t="s">
        <v>35</v>
      </c>
      <c r="L97" s="2">
        <v>10</v>
      </c>
      <c r="M97" s="2" t="s">
        <v>35</v>
      </c>
      <c r="N97" s="2" t="s">
        <v>35</v>
      </c>
      <c r="O97" s="11">
        <v>44769.429470752315</v>
      </c>
      <c r="P97" s="11">
        <v>44769.429791608796</v>
      </c>
      <c r="Q97" s="27">
        <v>3.2085648126667365E-4</v>
      </c>
      <c r="R97" s="27">
        <v>7.4688657332444564E-4</v>
      </c>
      <c r="S97" s="2">
        <v>0</v>
      </c>
      <c r="T97" s="2" t="s">
        <v>265</v>
      </c>
      <c r="U97" s="2" t="s">
        <v>266</v>
      </c>
      <c r="V97" s="2" t="s">
        <v>38</v>
      </c>
      <c r="W97" s="2" t="s">
        <v>35</v>
      </c>
      <c r="X97" s="2" t="s">
        <v>35</v>
      </c>
      <c r="Y97" s="2" t="s">
        <v>35</v>
      </c>
      <c r="Z97" s="2" t="b">
        <v>0</v>
      </c>
      <c r="AA97" s="2" t="s">
        <v>35</v>
      </c>
      <c r="AB97" s="2" t="s">
        <v>35</v>
      </c>
      <c r="AC97" s="2" t="s">
        <v>35</v>
      </c>
      <c r="AD97" s="2" t="s">
        <v>35</v>
      </c>
      <c r="AE97" s="2" t="s">
        <v>2840</v>
      </c>
      <c r="AF97" s="11">
        <v>44769.384722222225</v>
      </c>
      <c r="AG97" s="53"/>
      <c r="AH97" s="53" t="b">
        <f t="shared" si="3"/>
        <v>0</v>
      </c>
      <c r="AI97" s="54" t="s">
        <v>9679</v>
      </c>
      <c r="AJ97" s="2"/>
      <c r="AK97" s="2"/>
      <c r="AL97" s="2"/>
      <c r="AM97" s="2"/>
      <c r="AN97" s="2"/>
    </row>
    <row r="98" spans="1:40" ht="16" x14ac:dyDescent="0.2">
      <c r="A98" s="2" t="s">
        <v>3645</v>
      </c>
      <c r="B98" s="2">
        <v>1133</v>
      </c>
      <c r="C98" s="2" t="b">
        <v>0</v>
      </c>
      <c r="D98" s="2" t="b">
        <v>0</v>
      </c>
      <c r="E98" s="2" t="b">
        <v>0</v>
      </c>
      <c r="F98" s="2" t="b">
        <v>0</v>
      </c>
      <c r="G98" s="2" t="s">
        <v>31</v>
      </c>
      <c r="H98" s="2" t="s">
        <v>3646</v>
      </c>
      <c r="I98" s="2" t="s">
        <v>3647</v>
      </c>
      <c r="J98" s="2" t="s">
        <v>35</v>
      </c>
      <c r="K98" s="2" t="s">
        <v>35</v>
      </c>
      <c r="L98" s="2">
        <v>14</v>
      </c>
      <c r="M98" s="2" t="s">
        <v>35</v>
      </c>
      <c r="N98" s="2" t="s">
        <v>35</v>
      </c>
      <c r="O98" s="11">
        <v>44769.438772453701</v>
      </c>
      <c r="P98" s="11">
        <v>44769.439982025462</v>
      </c>
      <c r="Q98" s="27">
        <v>1.2095717611373402E-3</v>
      </c>
      <c r="R98" s="27">
        <v>1.2456249969545752E-3</v>
      </c>
      <c r="S98" s="2">
        <v>0</v>
      </c>
      <c r="T98" s="2" t="s">
        <v>265</v>
      </c>
      <c r="U98" s="2" t="s">
        <v>266</v>
      </c>
      <c r="V98" s="2" t="s">
        <v>38</v>
      </c>
      <c r="W98" s="2" t="s">
        <v>35</v>
      </c>
      <c r="X98" s="2" t="s">
        <v>35</v>
      </c>
      <c r="Y98" s="2" t="s">
        <v>35</v>
      </c>
      <c r="Z98" s="2" t="b">
        <v>0</v>
      </c>
      <c r="AA98" s="2" t="s">
        <v>35</v>
      </c>
      <c r="AB98" s="2" t="s">
        <v>35</v>
      </c>
      <c r="AC98" s="2" t="s">
        <v>35</v>
      </c>
      <c r="AD98" s="2" t="s">
        <v>35</v>
      </c>
      <c r="AE98" s="2" t="s">
        <v>2840</v>
      </c>
      <c r="AF98" s="11">
        <v>44769.384722222225</v>
      </c>
      <c r="AG98" s="53"/>
      <c r="AH98" s="53" t="str">
        <f t="shared" si="3"/>
        <v>TRUE</v>
      </c>
      <c r="AI98" s="54" t="s">
        <v>9914</v>
      </c>
      <c r="AJ98" s="2"/>
      <c r="AK98" s="2"/>
      <c r="AL98" s="2"/>
      <c r="AM98" s="2"/>
      <c r="AN98" s="2"/>
    </row>
    <row r="99" spans="1:40" ht="16" x14ac:dyDescent="0.2">
      <c r="A99" s="2" t="s">
        <v>51</v>
      </c>
      <c r="B99" s="2">
        <v>5</v>
      </c>
      <c r="C99" s="2" t="b">
        <v>0</v>
      </c>
      <c r="D99" s="2" t="b">
        <v>0</v>
      </c>
      <c r="E99" s="2" t="b">
        <v>0</v>
      </c>
      <c r="F99" s="2" t="b">
        <v>0</v>
      </c>
      <c r="G99" s="2" t="s">
        <v>31</v>
      </c>
      <c r="H99" s="2" t="s">
        <v>52</v>
      </c>
      <c r="I99" s="2" t="s">
        <v>53</v>
      </c>
      <c r="J99" s="2" t="s">
        <v>35</v>
      </c>
      <c r="K99" s="2" t="s">
        <v>35</v>
      </c>
      <c r="L99" s="2" t="s">
        <v>35</v>
      </c>
      <c r="M99" s="2">
        <v>21</v>
      </c>
      <c r="N99" s="2">
        <v>15</v>
      </c>
      <c r="O99" s="11">
        <v>44722.633086111113</v>
      </c>
      <c r="P99" s="11">
        <v>44722.633641793982</v>
      </c>
      <c r="Q99" s="27">
        <v>5.556828691624105E-4</v>
      </c>
      <c r="R99" s="27">
        <v>2.1283217574818991E-3</v>
      </c>
      <c r="S99" s="2">
        <v>0</v>
      </c>
      <c r="T99" s="2" t="s">
        <v>54</v>
      </c>
      <c r="U99" s="2" t="s">
        <v>55</v>
      </c>
      <c r="V99" s="2" t="s">
        <v>38</v>
      </c>
      <c r="W99" s="2" t="s">
        <v>35</v>
      </c>
      <c r="X99" s="2" t="s">
        <v>35</v>
      </c>
      <c r="Y99" s="2" t="s">
        <v>35</v>
      </c>
      <c r="Z99" s="2" t="b">
        <v>0</v>
      </c>
      <c r="AA99" s="2" t="s">
        <v>35</v>
      </c>
      <c r="AB99" s="2" t="s">
        <v>35</v>
      </c>
      <c r="AC99" s="2" t="s">
        <v>35</v>
      </c>
      <c r="AD99" s="2" t="s">
        <v>35</v>
      </c>
      <c r="AE99" s="2" t="s">
        <v>39</v>
      </c>
      <c r="AF99" s="11">
        <v>44722.609722222223</v>
      </c>
      <c r="AG99" s="53"/>
      <c r="AH99" s="53" t="b">
        <f t="shared" ref="AH99:AH162" si="4">IF(Q99&gt;TIME(0,1,19),"TRUE")</f>
        <v>0</v>
      </c>
      <c r="AI99" s="54" t="s">
        <v>9915</v>
      </c>
      <c r="AJ99" s="2"/>
      <c r="AK99" s="2"/>
      <c r="AL99" s="2"/>
      <c r="AM99" s="2"/>
      <c r="AN99" s="2"/>
    </row>
    <row r="100" spans="1:40" ht="16" x14ac:dyDescent="0.2">
      <c r="A100" s="2" t="s">
        <v>136</v>
      </c>
      <c r="B100" s="2">
        <v>26</v>
      </c>
      <c r="C100" s="2" t="b">
        <v>0</v>
      </c>
      <c r="D100" s="2" t="b">
        <v>0</v>
      </c>
      <c r="E100" s="2" t="b">
        <v>0</v>
      </c>
      <c r="F100" s="2" t="b">
        <v>0</v>
      </c>
      <c r="G100" s="2" t="s">
        <v>31</v>
      </c>
      <c r="H100" s="2" t="s">
        <v>137</v>
      </c>
      <c r="I100" s="2" t="s">
        <v>138</v>
      </c>
      <c r="J100" s="2" t="s">
        <v>35</v>
      </c>
      <c r="K100" s="2" t="s">
        <v>35</v>
      </c>
      <c r="L100" s="2" t="s">
        <v>35</v>
      </c>
      <c r="M100" s="2">
        <v>2</v>
      </c>
      <c r="N100" s="2">
        <v>16.5</v>
      </c>
      <c r="O100" s="11">
        <v>44725.678030868054</v>
      </c>
      <c r="P100" s="11">
        <v>44725.678487627316</v>
      </c>
      <c r="Q100" s="27">
        <v>4.5675926230615005E-4</v>
      </c>
      <c r="R100" s="27">
        <v>8.5325231339083984E-4</v>
      </c>
      <c r="S100" s="2">
        <v>0</v>
      </c>
      <c r="T100" s="2" t="s">
        <v>54</v>
      </c>
      <c r="U100" s="2" t="s">
        <v>55</v>
      </c>
      <c r="V100" s="2" t="s">
        <v>38</v>
      </c>
      <c r="W100" s="2" t="s">
        <v>35</v>
      </c>
      <c r="X100" s="2" t="s">
        <v>35</v>
      </c>
      <c r="Y100" s="2" t="s">
        <v>35</v>
      </c>
      <c r="Z100" s="2" t="b">
        <v>0</v>
      </c>
      <c r="AA100" s="2" t="s">
        <v>35</v>
      </c>
      <c r="AB100" s="2" t="s">
        <v>35</v>
      </c>
      <c r="AC100" s="2" t="s">
        <v>35</v>
      </c>
      <c r="AD100" s="2" t="s">
        <v>35</v>
      </c>
      <c r="AE100" s="2" t="s">
        <v>115</v>
      </c>
      <c r="AF100" s="11">
        <v>44725.654166666667</v>
      </c>
      <c r="AG100" s="53"/>
      <c r="AH100" s="53" t="b">
        <f t="shared" si="4"/>
        <v>0</v>
      </c>
      <c r="AI100" s="54" t="s">
        <v>9599</v>
      </c>
      <c r="AJ100" s="2"/>
      <c r="AK100" s="2"/>
      <c r="AL100" s="2"/>
      <c r="AM100" s="2"/>
      <c r="AN100" s="2"/>
    </row>
    <row r="101" spans="1:40" ht="16" x14ac:dyDescent="0.2">
      <c r="A101" s="2" t="s">
        <v>139</v>
      </c>
      <c r="B101" s="2">
        <v>27</v>
      </c>
      <c r="C101" s="2" t="b">
        <v>0</v>
      </c>
      <c r="D101" s="2" t="b">
        <v>0</v>
      </c>
      <c r="E101" s="2" t="b">
        <v>0</v>
      </c>
      <c r="F101" s="2" t="b">
        <v>0</v>
      </c>
      <c r="G101" s="2" t="s">
        <v>31</v>
      </c>
      <c r="H101" s="2" t="s">
        <v>140</v>
      </c>
      <c r="I101" s="2" t="s">
        <v>141</v>
      </c>
      <c r="J101" s="2" t="s">
        <v>35</v>
      </c>
      <c r="K101" s="2" t="s">
        <v>35</v>
      </c>
      <c r="L101" s="2" t="s">
        <v>35</v>
      </c>
      <c r="M101" s="2">
        <v>13</v>
      </c>
      <c r="N101" s="2">
        <v>15.5</v>
      </c>
      <c r="O101" s="11">
        <v>44725.679164745372</v>
      </c>
      <c r="P101" s="11">
        <v>44725.679810289352</v>
      </c>
      <c r="Q101" s="27">
        <v>6.4554397977190092E-4</v>
      </c>
      <c r="R101" s="27">
        <v>1.3226620358182117E-3</v>
      </c>
      <c r="S101" s="2">
        <v>0</v>
      </c>
      <c r="T101" s="2" t="s">
        <v>54</v>
      </c>
      <c r="U101" s="2" t="s">
        <v>55</v>
      </c>
      <c r="V101" s="2" t="s">
        <v>38</v>
      </c>
      <c r="W101" s="2" t="s">
        <v>35</v>
      </c>
      <c r="X101" s="2" t="s">
        <v>35</v>
      </c>
      <c r="Y101" s="2" t="s">
        <v>35</v>
      </c>
      <c r="Z101" s="2" t="b">
        <v>0</v>
      </c>
      <c r="AA101" s="2" t="s">
        <v>35</v>
      </c>
      <c r="AB101" s="2" t="s">
        <v>35</v>
      </c>
      <c r="AC101" s="2" t="s">
        <v>35</v>
      </c>
      <c r="AD101" s="2" t="s">
        <v>35</v>
      </c>
      <c r="AE101" s="2" t="s">
        <v>115</v>
      </c>
      <c r="AF101" s="11">
        <v>44725.654166666667</v>
      </c>
      <c r="AG101" s="53"/>
      <c r="AH101" s="53" t="b">
        <f t="shared" si="4"/>
        <v>0</v>
      </c>
      <c r="AI101" s="54" t="s">
        <v>9916</v>
      </c>
      <c r="AJ101" s="2"/>
      <c r="AK101" s="2"/>
      <c r="AL101" s="2"/>
      <c r="AM101" s="2"/>
      <c r="AN101" s="2"/>
    </row>
    <row r="102" spans="1:40" ht="16" x14ac:dyDescent="0.2">
      <c r="A102" s="2" t="s">
        <v>142</v>
      </c>
      <c r="B102" s="2">
        <v>28</v>
      </c>
      <c r="C102" s="2" t="b">
        <v>0</v>
      </c>
      <c r="D102" s="2" t="b">
        <v>0</v>
      </c>
      <c r="E102" s="2" t="b">
        <v>0</v>
      </c>
      <c r="F102" s="2" t="b">
        <v>0</v>
      </c>
      <c r="G102" s="2" t="s">
        <v>31</v>
      </c>
      <c r="H102" s="2" t="s">
        <v>143</v>
      </c>
      <c r="I102" s="2" t="s">
        <v>144</v>
      </c>
      <c r="J102" s="2" t="s">
        <v>35</v>
      </c>
      <c r="K102" s="2" t="s">
        <v>35</v>
      </c>
      <c r="L102" s="2" t="s">
        <v>35</v>
      </c>
      <c r="M102" s="2">
        <v>12</v>
      </c>
      <c r="N102" s="2">
        <v>16</v>
      </c>
      <c r="O102" s="11">
        <v>44725.679970671299</v>
      </c>
      <c r="P102" s="11">
        <v>44725.680365983797</v>
      </c>
      <c r="Q102" s="27">
        <v>3.9531249785795808E-4</v>
      </c>
      <c r="R102" s="27">
        <v>5.5569444521097466E-4</v>
      </c>
      <c r="S102" s="2">
        <v>0</v>
      </c>
      <c r="T102" s="2" t="s">
        <v>54</v>
      </c>
      <c r="U102" s="2" t="s">
        <v>55</v>
      </c>
      <c r="V102" s="2" t="s">
        <v>38</v>
      </c>
      <c r="W102" s="2" t="s">
        <v>35</v>
      </c>
      <c r="X102" s="2" t="s">
        <v>35</v>
      </c>
      <c r="Y102" s="2" t="s">
        <v>35</v>
      </c>
      <c r="Z102" s="2" t="b">
        <v>0</v>
      </c>
      <c r="AA102" s="2" t="s">
        <v>35</v>
      </c>
      <c r="AB102" s="2" t="s">
        <v>35</v>
      </c>
      <c r="AC102" s="2" t="s">
        <v>35</v>
      </c>
      <c r="AD102" s="2" t="s">
        <v>35</v>
      </c>
      <c r="AE102" s="2" t="s">
        <v>115</v>
      </c>
      <c r="AF102" s="11">
        <v>44725.654166666667</v>
      </c>
      <c r="AG102" s="53"/>
      <c r="AH102" s="53" t="b">
        <f t="shared" si="4"/>
        <v>0</v>
      </c>
      <c r="AI102" s="54" t="s">
        <v>9917</v>
      </c>
      <c r="AJ102" s="2"/>
      <c r="AK102" s="2"/>
      <c r="AL102" s="2"/>
      <c r="AM102" s="2"/>
      <c r="AN102" s="2"/>
    </row>
    <row r="103" spans="1:40" ht="16" x14ac:dyDescent="0.2">
      <c r="A103" s="2" t="s">
        <v>145</v>
      </c>
      <c r="B103" s="2">
        <v>29</v>
      </c>
      <c r="C103" s="2" t="b">
        <v>0</v>
      </c>
      <c r="D103" s="2" t="b">
        <v>0</v>
      </c>
      <c r="E103" s="2" t="b">
        <v>0</v>
      </c>
      <c r="F103" s="2" t="b">
        <v>0</v>
      </c>
      <c r="G103" s="2" t="s">
        <v>31</v>
      </c>
      <c r="H103" s="2" t="s">
        <v>146</v>
      </c>
      <c r="I103" s="2" t="s">
        <v>147</v>
      </c>
      <c r="J103" s="2" t="s">
        <v>35</v>
      </c>
      <c r="K103" s="2" t="s">
        <v>35</v>
      </c>
      <c r="L103" s="2" t="s">
        <v>35</v>
      </c>
      <c r="M103" s="2">
        <v>10</v>
      </c>
      <c r="N103" s="2">
        <v>15</v>
      </c>
      <c r="O103" s="11">
        <v>44725.682471192129</v>
      </c>
      <c r="P103" s="11">
        <v>44725.682810532409</v>
      </c>
      <c r="Q103" s="27">
        <v>3.3934028033399954E-4</v>
      </c>
      <c r="R103" s="27">
        <v>2.4445486124022864E-3</v>
      </c>
      <c r="S103" s="2">
        <v>0</v>
      </c>
      <c r="T103" s="2" t="s">
        <v>54</v>
      </c>
      <c r="U103" s="2" t="s">
        <v>55</v>
      </c>
      <c r="V103" s="2" t="s">
        <v>38</v>
      </c>
      <c r="W103" s="2" t="s">
        <v>35</v>
      </c>
      <c r="X103" s="2" t="s">
        <v>35</v>
      </c>
      <c r="Y103" s="2" t="s">
        <v>35</v>
      </c>
      <c r="Z103" s="2" t="b">
        <v>0</v>
      </c>
      <c r="AA103" s="2" t="s">
        <v>35</v>
      </c>
      <c r="AB103" s="2" t="s">
        <v>35</v>
      </c>
      <c r="AC103" s="2" t="s">
        <v>35</v>
      </c>
      <c r="AD103" s="2" t="s">
        <v>35</v>
      </c>
      <c r="AE103" s="2" t="s">
        <v>115</v>
      </c>
      <c r="AF103" s="11">
        <v>44725.654166666667</v>
      </c>
      <c r="AG103" s="53"/>
      <c r="AH103" s="53" t="b">
        <f t="shared" si="4"/>
        <v>0</v>
      </c>
      <c r="AI103" s="54" t="s">
        <v>9918</v>
      </c>
      <c r="AJ103" s="2"/>
      <c r="AK103" s="2"/>
      <c r="AL103" s="2"/>
      <c r="AM103" s="2"/>
      <c r="AN103" s="2"/>
    </row>
    <row r="104" spans="1:40" x14ac:dyDescent="0.2">
      <c r="A104" s="68" t="s">
        <v>148</v>
      </c>
      <c r="B104" s="68">
        <v>30</v>
      </c>
      <c r="C104" s="68" t="b">
        <v>0</v>
      </c>
      <c r="D104" s="68" t="b">
        <v>0</v>
      </c>
      <c r="E104" s="68" t="b">
        <v>0</v>
      </c>
      <c r="F104" s="68" t="b">
        <v>0</v>
      </c>
      <c r="G104" s="68" t="s">
        <v>31</v>
      </c>
      <c r="H104" s="68" t="s">
        <v>149</v>
      </c>
      <c r="I104" s="68" t="s">
        <v>150</v>
      </c>
      <c r="J104" s="68" t="s">
        <v>35</v>
      </c>
      <c r="K104" s="68" t="s">
        <v>35</v>
      </c>
      <c r="L104" s="68" t="s">
        <v>35</v>
      </c>
      <c r="M104" s="68">
        <v>19</v>
      </c>
      <c r="N104" s="68">
        <v>20</v>
      </c>
      <c r="O104" s="69">
        <v>44725.68485769676</v>
      </c>
      <c r="P104" s="69">
        <v>44725.685125034724</v>
      </c>
      <c r="Q104" s="70">
        <v>2.6733796403277665E-4</v>
      </c>
      <c r="R104" s="70">
        <v>2.3145023151300848E-3</v>
      </c>
      <c r="S104" s="68">
        <v>0</v>
      </c>
      <c r="T104" s="68" t="s">
        <v>54</v>
      </c>
      <c r="U104" s="68" t="s">
        <v>55</v>
      </c>
      <c r="V104" s="68" t="s">
        <v>38</v>
      </c>
      <c r="W104" s="68" t="s">
        <v>35</v>
      </c>
      <c r="X104" s="68" t="s">
        <v>35</v>
      </c>
      <c r="Y104" s="68" t="s">
        <v>35</v>
      </c>
      <c r="Z104" s="68" t="b">
        <v>0</v>
      </c>
      <c r="AA104" s="68" t="s">
        <v>35</v>
      </c>
      <c r="AB104" s="68" t="s">
        <v>35</v>
      </c>
      <c r="AC104" s="68" t="s">
        <v>35</v>
      </c>
      <c r="AD104" s="68" t="s">
        <v>35</v>
      </c>
      <c r="AE104" s="68" t="s">
        <v>115</v>
      </c>
      <c r="AF104" s="69">
        <v>44725.654166666667</v>
      </c>
      <c r="AG104" s="71"/>
      <c r="AH104" s="53" t="b">
        <f t="shared" si="4"/>
        <v>0</v>
      </c>
      <c r="AI104" s="56"/>
      <c r="AJ104" s="68"/>
      <c r="AK104" s="68"/>
      <c r="AL104" s="68"/>
      <c r="AM104" s="68"/>
      <c r="AN104" s="68"/>
    </row>
    <row r="105" spans="1:40" ht="16" x14ac:dyDescent="0.2">
      <c r="A105" s="2" t="s">
        <v>151</v>
      </c>
      <c r="B105" s="2">
        <v>31</v>
      </c>
      <c r="C105" s="2" t="b">
        <v>0</v>
      </c>
      <c r="D105" s="2" t="b">
        <v>0</v>
      </c>
      <c r="E105" s="2" t="b">
        <v>0</v>
      </c>
      <c r="F105" s="2" t="b">
        <v>0</v>
      </c>
      <c r="G105" s="2" t="s">
        <v>31</v>
      </c>
      <c r="H105" s="2" t="s">
        <v>152</v>
      </c>
      <c r="I105" s="2" t="s">
        <v>153</v>
      </c>
      <c r="J105" s="2" t="s">
        <v>35</v>
      </c>
      <c r="K105" s="2" t="s">
        <v>35</v>
      </c>
      <c r="L105" s="2" t="s">
        <v>35</v>
      </c>
      <c r="M105" s="2">
        <v>4</v>
      </c>
      <c r="N105" s="2">
        <v>15</v>
      </c>
      <c r="O105" s="11">
        <v>44725.685316967596</v>
      </c>
      <c r="P105" s="11">
        <v>44725.685593425929</v>
      </c>
      <c r="Q105" s="27">
        <v>2.7645833324640989E-4</v>
      </c>
      <c r="R105" s="27">
        <v>4.6839120477670804E-4</v>
      </c>
      <c r="S105" s="2">
        <v>0</v>
      </c>
      <c r="T105" s="2" t="s">
        <v>54</v>
      </c>
      <c r="U105" s="2" t="s">
        <v>55</v>
      </c>
      <c r="V105" s="2" t="s">
        <v>38</v>
      </c>
      <c r="W105" s="2" t="s">
        <v>35</v>
      </c>
      <c r="X105" s="2" t="s">
        <v>35</v>
      </c>
      <c r="Y105" s="2" t="s">
        <v>35</v>
      </c>
      <c r="Z105" s="2" t="b">
        <v>0</v>
      </c>
      <c r="AA105" s="2" t="s">
        <v>35</v>
      </c>
      <c r="AB105" s="2" t="s">
        <v>35</v>
      </c>
      <c r="AC105" s="2" t="s">
        <v>35</v>
      </c>
      <c r="AD105" s="2" t="s">
        <v>35</v>
      </c>
      <c r="AE105" s="2" t="s">
        <v>115</v>
      </c>
      <c r="AF105" s="11">
        <v>44725.654166666667</v>
      </c>
      <c r="AG105" s="53"/>
      <c r="AH105" s="53" t="b">
        <f t="shared" si="4"/>
        <v>0</v>
      </c>
      <c r="AI105" s="54" t="s">
        <v>9919</v>
      </c>
      <c r="AJ105" s="2"/>
      <c r="AK105" s="2"/>
      <c r="AL105" s="2"/>
      <c r="AM105" s="2"/>
      <c r="AN105" s="2"/>
    </row>
    <row r="106" spans="1:40" ht="16" x14ac:dyDescent="0.2">
      <c r="A106" s="2" t="s">
        <v>154</v>
      </c>
      <c r="B106" s="2">
        <v>32</v>
      </c>
      <c r="C106" s="2" t="b">
        <v>0</v>
      </c>
      <c r="D106" s="2" t="b">
        <v>0</v>
      </c>
      <c r="E106" s="2" t="b">
        <v>0</v>
      </c>
      <c r="F106" s="2" t="b">
        <v>0</v>
      </c>
      <c r="G106" s="2" t="s">
        <v>31</v>
      </c>
      <c r="H106" s="2" t="s">
        <v>155</v>
      </c>
      <c r="I106" s="2" t="s">
        <v>156</v>
      </c>
      <c r="J106" s="2" t="s">
        <v>157</v>
      </c>
      <c r="K106" s="2" t="s">
        <v>35</v>
      </c>
      <c r="L106" s="2" t="s">
        <v>35</v>
      </c>
      <c r="M106" s="2">
        <v>27</v>
      </c>
      <c r="N106" s="2">
        <v>16</v>
      </c>
      <c r="O106" s="11">
        <v>44725.68569510417</v>
      </c>
      <c r="P106" s="11">
        <v>44725.687256134261</v>
      </c>
      <c r="Q106" s="27">
        <v>1.5610300906701013E-3</v>
      </c>
      <c r="R106" s="27">
        <v>1.662708331423346E-3</v>
      </c>
      <c r="S106" s="2">
        <v>0</v>
      </c>
      <c r="T106" s="2" t="s">
        <v>54</v>
      </c>
      <c r="U106" s="2" t="s">
        <v>55</v>
      </c>
      <c r="V106" s="2" t="s">
        <v>38</v>
      </c>
      <c r="W106" s="2" t="s">
        <v>35</v>
      </c>
      <c r="X106" s="2" t="s">
        <v>35</v>
      </c>
      <c r="Y106" s="2" t="s">
        <v>35</v>
      </c>
      <c r="Z106" s="2" t="b">
        <v>0</v>
      </c>
      <c r="AA106" s="2" t="s">
        <v>35</v>
      </c>
      <c r="AB106" s="2" t="s">
        <v>35</v>
      </c>
      <c r="AC106" s="2" t="s">
        <v>35</v>
      </c>
      <c r="AD106" s="2" t="s">
        <v>35</v>
      </c>
      <c r="AE106" s="2" t="s">
        <v>115</v>
      </c>
      <c r="AF106" s="11">
        <v>44725.654166666667</v>
      </c>
      <c r="AG106" s="53"/>
      <c r="AH106" s="53" t="str">
        <f t="shared" si="4"/>
        <v>TRUE</v>
      </c>
      <c r="AI106" s="54" t="s">
        <v>9920</v>
      </c>
      <c r="AJ106" s="2" t="s">
        <v>9921</v>
      </c>
      <c r="AK106" s="2" t="s">
        <v>9922</v>
      </c>
      <c r="AL106" s="2" t="s">
        <v>9923</v>
      </c>
      <c r="AM106" s="2" t="s">
        <v>9924</v>
      </c>
      <c r="AN106" s="2" t="s">
        <v>9925</v>
      </c>
    </row>
    <row r="107" spans="1:40" ht="16" x14ac:dyDescent="0.2">
      <c r="A107" s="2" t="s">
        <v>191</v>
      </c>
      <c r="B107" s="2">
        <v>43</v>
      </c>
      <c r="C107" s="2" t="b">
        <v>0</v>
      </c>
      <c r="D107" s="2" t="b">
        <v>0</v>
      </c>
      <c r="E107" s="2" t="b">
        <v>0</v>
      </c>
      <c r="F107" s="2" t="b">
        <v>0</v>
      </c>
      <c r="G107" s="2" t="s">
        <v>31</v>
      </c>
      <c r="H107" s="2" t="s">
        <v>192</v>
      </c>
      <c r="I107" s="2" t="s">
        <v>193</v>
      </c>
      <c r="J107" s="2" t="s">
        <v>35</v>
      </c>
      <c r="K107" s="2" t="s">
        <v>35</v>
      </c>
      <c r="L107" s="2" t="s">
        <v>35</v>
      </c>
      <c r="M107" s="2">
        <v>22</v>
      </c>
      <c r="N107" s="2">
        <v>15</v>
      </c>
      <c r="O107" s="11">
        <v>44725.733683229169</v>
      </c>
      <c r="P107" s="11">
        <v>44725.734361469906</v>
      </c>
      <c r="Q107" s="27">
        <v>6.7824073630617931E-4</v>
      </c>
      <c r="R107" s="27">
        <v>1.1905208302778192E-3</v>
      </c>
      <c r="S107" s="2">
        <v>0</v>
      </c>
      <c r="T107" s="2" t="s">
        <v>54</v>
      </c>
      <c r="U107" s="2" t="s">
        <v>55</v>
      </c>
      <c r="V107" s="2" t="s">
        <v>38</v>
      </c>
      <c r="W107" s="2" t="s">
        <v>35</v>
      </c>
      <c r="X107" s="2" t="s">
        <v>35</v>
      </c>
      <c r="Y107" s="2" t="s">
        <v>35</v>
      </c>
      <c r="Z107" s="2" t="b">
        <v>0</v>
      </c>
      <c r="AA107" s="2" t="s">
        <v>35</v>
      </c>
      <c r="AB107" s="2" t="s">
        <v>35</v>
      </c>
      <c r="AC107" s="2" t="s">
        <v>35</v>
      </c>
      <c r="AD107" s="2" t="s">
        <v>35</v>
      </c>
      <c r="AE107" s="2" t="s">
        <v>115</v>
      </c>
      <c r="AF107" s="11">
        <v>44725.654166666667</v>
      </c>
      <c r="AG107" s="53"/>
      <c r="AH107" s="53" t="b">
        <f t="shared" si="4"/>
        <v>0</v>
      </c>
      <c r="AI107" s="54" t="s">
        <v>9598</v>
      </c>
      <c r="AJ107" s="2"/>
      <c r="AK107" s="2"/>
      <c r="AL107" s="2"/>
      <c r="AM107" s="2"/>
      <c r="AN107" s="2"/>
    </row>
    <row r="108" spans="1:40" ht="16" x14ac:dyDescent="0.2">
      <c r="A108" s="31" t="s">
        <v>208</v>
      </c>
      <c r="B108" s="31">
        <v>48</v>
      </c>
      <c r="C108" s="31" t="b">
        <v>0</v>
      </c>
      <c r="D108" s="31" t="b">
        <v>0</v>
      </c>
      <c r="E108" s="31" t="b">
        <v>0</v>
      </c>
      <c r="F108" s="31" t="b">
        <v>0</v>
      </c>
      <c r="G108" s="31" t="s">
        <v>31</v>
      </c>
      <c r="H108" s="31" t="s">
        <v>209</v>
      </c>
      <c r="I108" s="31" t="s">
        <v>210</v>
      </c>
      <c r="J108" s="31" t="s">
        <v>35</v>
      </c>
      <c r="K108" s="31" t="s">
        <v>35</v>
      </c>
      <c r="L108" s="31" t="s">
        <v>35</v>
      </c>
      <c r="M108" s="31">
        <v>61</v>
      </c>
      <c r="N108" s="31">
        <v>15</v>
      </c>
      <c r="O108" s="32">
        <v>44729.659901620369</v>
      </c>
      <c r="P108" s="32">
        <v>44729.660275972223</v>
      </c>
      <c r="Q108" s="30">
        <v>3.7435185367939994E-4</v>
      </c>
      <c r="R108" s="30">
        <v>1.0275972221279517E-2</v>
      </c>
      <c r="S108" s="31">
        <v>0</v>
      </c>
      <c r="T108" s="31" t="s">
        <v>54</v>
      </c>
      <c r="U108" s="31" t="s">
        <v>55</v>
      </c>
      <c r="V108" s="31" t="s">
        <v>38</v>
      </c>
      <c r="W108" s="31" t="s">
        <v>35</v>
      </c>
      <c r="X108" s="31" t="s">
        <v>35</v>
      </c>
      <c r="Y108" s="31" t="s">
        <v>35</v>
      </c>
      <c r="Z108" s="31" t="b">
        <v>0</v>
      </c>
      <c r="AA108" s="31" t="s">
        <v>35</v>
      </c>
      <c r="AB108" s="31" t="s">
        <v>35</v>
      </c>
      <c r="AC108" s="31" t="s">
        <v>35</v>
      </c>
      <c r="AD108" s="31" t="s">
        <v>35</v>
      </c>
      <c r="AE108" s="31" t="s">
        <v>207</v>
      </c>
      <c r="AF108" s="32">
        <v>44729.65</v>
      </c>
      <c r="AG108" s="55" t="s">
        <v>9408</v>
      </c>
      <c r="AH108" s="53" t="b">
        <f t="shared" si="4"/>
        <v>0</v>
      </c>
      <c r="AI108" s="62" t="s">
        <v>9926</v>
      </c>
      <c r="AJ108" s="31"/>
      <c r="AK108" s="31"/>
      <c r="AL108" s="31"/>
      <c r="AM108" s="31"/>
      <c r="AN108" s="31"/>
    </row>
    <row r="109" spans="1:40" ht="16" x14ac:dyDescent="0.2">
      <c r="A109" s="2" t="s">
        <v>211</v>
      </c>
      <c r="B109" s="2">
        <v>49</v>
      </c>
      <c r="C109" s="2" t="b">
        <v>0</v>
      </c>
      <c r="D109" s="2" t="b">
        <v>0</v>
      </c>
      <c r="E109" s="2" t="b">
        <v>0</v>
      </c>
      <c r="F109" s="2" t="b">
        <v>0</v>
      </c>
      <c r="G109" s="2" t="s">
        <v>31</v>
      </c>
      <c r="H109" s="2" t="s">
        <v>212</v>
      </c>
      <c r="I109" s="2" t="s">
        <v>213</v>
      </c>
      <c r="J109" s="2" t="s">
        <v>35</v>
      </c>
      <c r="K109" s="2" t="s">
        <v>35</v>
      </c>
      <c r="L109" s="2" t="s">
        <v>35</v>
      </c>
      <c r="M109" s="2">
        <v>14</v>
      </c>
      <c r="N109" s="2">
        <v>17</v>
      </c>
      <c r="O109" s="11">
        <v>44729.662650775463</v>
      </c>
      <c r="P109" s="11">
        <v>44729.662938020832</v>
      </c>
      <c r="Q109" s="27">
        <v>2.8724536969093606E-4</v>
      </c>
      <c r="R109" s="27">
        <v>2.6620486096362583E-3</v>
      </c>
      <c r="S109" s="2">
        <v>0</v>
      </c>
      <c r="T109" s="2" t="s">
        <v>54</v>
      </c>
      <c r="U109" s="2" t="s">
        <v>55</v>
      </c>
      <c r="V109" s="2" t="s">
        <v>38</v>
      </c>
      <c r="W109" s="2" t="s">
        <v>35</v>
      </c>
      <c r="X109" s="2" t="s">
        <v>35</v>
      </c>
      <c r="Y109" s="2" t="s">
        <v>35</v>
      </c>
      <c r="Z109" s="2" t="b">
        <v>0</v>
      </c>
      <c r="AA109" s="2" t="s">
        <v>35</v>
      </c>
      <c r="AB109" s="2" t="s">
        <v>35</v>
      </c>
      <c r="AC109" s="2" t="s">
        <v>35</v>
      </c>
      <c r="AD109" s="2" t="s">
        <v>35</v>
      </c>
      <c r="AE109" s="2" t="s">
        <v>207</v>
      </c>
      <c r="AF109" s="11">
        <v>44729.65</v>
      </c>
      <c r="AG109" s="53"/>
      <c r="AH109" s="53" t="b">
        <f t="shared" si="4"/>
        <v>0</v>
      </c>
      <c r="AI109" s="54" t="s">
        <v>9927</v>
      </c>
      <c r="AJ109" s="2"/>
      <c r="AK109" s="2"/>
      <c r="AL109" s="2"/>
      <c r="AM109" s="2"/>
      <c r="AN109" s="2"/>
    </row>
    <row r="110" spans="1:40" ht="16" x14ac:dyDescent="0.2">
      <c r="A110" s="2" t="s">
        <v>236</v>
      </c>
      <c r="B110" s="2">
        <v>59</v>
      </c>
      <c r="C110" s="2" t="b">
        <v>0</v>
      </c>
      <c r="D110" s="2" t="b">
        <v>0</v>
      </c>
      <c r="E110" s="2" t="b">
        <v>0</v>
      </c>
      <c r="F110" s="2" t="b">
        <v>0</v>
      </c>
      <c r="G110" s="2" t="s">
        <v>31</v>
      </c>
      <c r="H110" s="2" t="s">
        <v>237</v>
      </c>
      <c r="I110" s="2" t="s">
        <v>238</v>
      </c>
      <c r="J110" s="2" t="s">
        <v>35</v>
      </c>
      <c r="K110" s="2" t="s">
        <v>35</v>
      </c>
      <c r="L110" s="2" t="s">
        <v>35</v>
      </c>
      <c r="M110" s="2">
        <v>28</v>
      </c>
      <c r="N110" s="2">
        <v>15</v>
      </c>
      <c r="O110" s="11">
        <v>44729.692116886574</v>
      </c>
      <c r="P110" s="11">
        <v>44729.692878379632</v>
      </c>
      <c r="Q110" s="27">
        <v>7.6149305823491886E-4</v>
      </c>
      <c r="R110" s="27">
        <v>7.6086806075181812E-4</v>
      </c>
      <c r="S110" s="2">
        <v>0</v>
      </c>
      <c r="T110" s="2" t="s">
        <v>54</v>
      </c>
      <c r="U110" s="2" t="s">
        <v>55</v>
      </c>
      <c r="V110" s="2" t="s">
        <v>38</v>
      </c>
      <c r="W110" s="2" t="s">
        <v>35</v>
      </c>
      <c r="X110" s="2" t="s">
        <v>35</v>
      </c>
      <c r="Y110" s="2" t="s">
        <v>35</v>
      </c>
      <c r="Z110" s="2" t="b">
        <v>0</v>
      </c>
      <c r="AA110" s="2" t="s">
        <v>35</v>
      </c>
      <c r="AB110" s="2" t="s">
        <v>35</v>
      </c>
      <c r="AC110" s="2" t="s">
        <v>35</v>
      </c>
      <c r="AD110" s="2" t="s">
        <v>35</v>
      </c>
      <c r="AE110" s="2" t="s">
        <v>207</v>
      </c>
      <c r="AF110" s="11">
        <v>44729.65</v>
      </c>
      <c r="AG110" s="53" t="s">
        <v>9403</v>
      </c>
      <c r="AH110" s="53" t="b">
        <f t="shared" si="4"/>
        <v>0</v>
      </c>
      <c r="AI110" s="54" t="s">
        <v>9928</v>
      </c>
      <c r="AJ110" s="2"/>
      <c r="AK110" s="2"/>
      <c r="AL110" s="2"/>
      <c r="AM110" s="2"/>
      <c r="AN110" s="2"/>
    </row>
    <row r="111" spans="1:40" ht="16" x14ac:dyDescent="0.2">
      <c r="A111" s="2" t="s">
        <v>239</v>
      </c>
      <c r="B111" s="2">
        <v>60</v>
      </c>
      <c r="C111" s="2" t="b">
        <v>0</v>
      </c>
      <c r="D111" s="2" t="b">
        <v>0</v>
      </c>
      <c r="E111" s="2" t="b">
        <v>0</v>
      </c>
      <c r="F111" s="2" t="b">
        <v>0</v>
      </c>
      <c r="G111" s="2" t="s">
        <v>31</v>
      </c>
      <c r="H111" s="2" t="s">
        <v>240</v>
      </c>
      <c r="I111" s="2" t="s">
        <v>241</v>
      </c>
      <c r="J111" s="2" t="s">
        <v>35</v>
      </c>
      <c r="K111" s="2" t="s">
        <v>35</v>
      </c>
      <c r="L111" s="2" t="s">
        <v>35</v>
      </c>
      <c r="M111" s="2">
        <v>11</v>
      </c>
      <c r="N111" s="2">
        <v>15</v>
      </c>
      <c r="O111" s="11">
        <v>44729.69323675926</v>
      </c>
      <c r="P111" s="11">
        <v>44729.693588634262</v>
      </c>
      <c r="Q111" s="27">
        <v>3.5187500179745257E-4</v>
      </c>
      <c r="R111" s="27">
        <v>7.1025462966645136E-4</v>
      </c>
      <c r="S111" s="2">
        <v>0</v>
      </c>
      <c r="T111" s="2" t="s">
        <v>54</v>
      </c>
      <c r="U111" s="2" t="s">
        <v>55</v>
      </c>
      <c r="V111" s="2" t="s">
        <v>38</v>
      </c>
      <c r="W111" s="2" t="s">
        <v>35</v>
      </c>
      <c r="X111" s="2" t="s">
        <v>35</v>
      </c>
      <c r="Y111" s="2" t="s">
        <v>35</v>
      </c>
      <c r="Z111" s="2" t="b">
        <v>0</v>
      </c>
      <c r="AA111" s="2" t="s">
        <v>35</v>
      </c>
      <c r="AB111" s="2" t="s">
        <v>35</v>
      </c>
      <c r="AC111" s="2" t="s">
        <v>35</v>
      </c>
      <c r="AD111" s="2" t="s">
        <v>35</v>
      </c>
      <c r="AE111" s="2" t="s">
        <v>207</v>
      </c>
      <c r="AF111" s="11">
        <v>44729.65</v>
      </c>
      <c r="AG111" s="53"/>
      <c r="AH111" s="53" t="b">
        <f t="shared" si="4"/>
        <v>0</v>
      </c>
      <c r="AI111" s="54" t="s">
        <v>9929</v>
      </c>
      <c r="AJ111" s="2"/>
      <c r="AK111" s="2"/>
      <c r="AL111" s="2"/>
      <c r="AM111" s="2"/>
      <c r="AN111" s="2"/>
    </row>
    <row r="112" spans="1:40" ht="16" x14ac:dyDescent="0.2">
      <c r="A112" s="2" t="s">
        <v>346</v>
      </c>
      <c r="B112" s="2">
        <v>94</v>
      </c>
      <c r="C112" s="2" t="b">
        <v>0</v>
      </c>
      <c r="D112" s="2" t="b">
        <v>0</v>
      </c>
      <c r="E112" s="2" t="b">
        <v>0</v>
      </c>
      <c r="F112" s="2" t="b">
        <v>0</v>
      </c>
      <c r="G112" s="2" t="s">
        <v>31</v>
      </c>
      <c r="H112" s="2" t="s">
        <v>347</v>
      </c>
      <c r="I112" s="2" t="s">
        <v>348</v>
      </c>
      <c r="J112" s="2" t="s">
        <v>35</v>
      </c>
      <c r="K112" s="2" t="s">
        <v>35</v>
      </c>
      <c r="L112" s="2" t="s">
        <v>35</v>
      </c>
      <c r="M112" s="2">
        <v>61</v>
      </c>
      <c r="N112" s="2">
        <v>15</v>
      </c>
      <c r="O112" s="11">
        <v>44735.47098204861</v>
      </c>
      <c r="P112" s="11">
        <v>44735.471405208336</v>
      </c>
      <c r="Q112" s="27">
        <v>4.2315972677897662E-4</v>
      </c>
      <c r="R112" s="27">
        <v>6.2144791663740762E-3</v>
      </c>
      <c r="S112" s="2">
        <v>0</v>
      </c>
      <c r="T112" s="2" t="s">
        <v>54</v>
      </c>
      <c r="U112" s="2" t="s">
        <v>55</v>
      </c>
      <c r="V112" s="2" t="s">
        <v>38</v>
      </c>
      <c r="W112" s="2" t="s">
        <v>35</v>
      </c>
      <c r="X112" s="2" t="s">
        <v>35</v>
      </c>
      <c r="Y112" s="2" t="s">
        <v>35</v>
      </c>
      <c r="Z112" s="2" t="b">
        <v>0</v>
      </c>
      <c r="AA112" s="2" t="s">
        <v>35</v>
      </c>
      <c r="AB112" s="2" t="s">
        <v>35</v>
      </c>
      <c r="AC112" s="2" t="s">
        <v>35</v>
      </c>
      <c r="AD112" s="2" t="s">
        <v>35</v>
      </c>
      <c r="AE112" s="2" t="s">
        <v>207</v>
      </c>
      <c r="AF112" s="11">
        <v>44735.40625</v>
      </c>
      <c r="AG112" s="53"/>
      <c r="AH112" s="53" t="b">
        <f t="shared" si="4"/>
        <v>0</v>
      </c>
      <c r="AI112" s="54" t="s">
        <v>9597</v>
      </c>
      <c r="AJ112" s="2"/>
      <c r="AK112" s="2"/>
      <c r="AL112" s="2"/>
      <c r="AM112" s="2"/>
      <c r="AN112" s="2"/>
    </row>
    <row r="113" spans="1:40" ht="16" x14ac:dyDescent="0.2">
      <c r="A113" s="2" t="s">
        <v>418</v>
      </c>
      <c r="B113" s="2">
        <v>116</v>
      </c>
      <c r="C113" s="2" t="b">
        <v>0</v>
      </c>
      <c r="D113" s="2" t="b">
        <v>0</v>
      </c>
      <c r="E113" s="2" t="b">
        <v>0</v>
      </c>
      <c r="F113" s="2" t="b">
        <v>0</v>
      </c>
      <c r="G113" s="2" t="s">
        <v>31</v>
      </c>
      <c r="H113" s="2" t="s">
        <v>419</v>
      </c>
      <c r="I113" s="2" t="s">
        <v>420</v>
      </c>
      <c r="J113" s="2" t="s">
        <v>35</v>
      </c>
      <c r="K113" s="2" t="s">
        <v>35</v>
      </c>
      <c r="L113" s="2" t="s">
        <v>35</v>
      </c>
      <c r="M113" s="2">
        <v>8</v>
      </c>
      <c r="N113" s="2">
        <v>5</v>
      </c>
      <c r="O113" s="11">
        <v>44735.503993009261</v>
      </c>
      <c r="P113" s="11">
        <v>44735.504813692132</v>
      </c>
      <c r="Q113" s="27">
        <v>8.2068287156289443E-4</v>
      </c>
      <c r="R113" s="27">
        <v>9.7508102044230327E-4</v>
      </c>
      <c r="S113" s="2">
        <v>0</v>
      </c>
      <c r="T113" s="2" t="s">
        <v>54</v>
      </c>
      <c r="U113" s="2" t="s">
        <v>55</v>
      </c>
      <c r="V113" s="2" t="s">
        <v>38</v>
      </c>
      <c r="W113" s="2" t="s">
        <v>35</v>
      </c>
      <c r="X113" s="2" t="s">
        <v>35</v>
      </c>
      <c r="Y113" s="2" t="s">
        <v>35</v>
      </c>
      <c r="Z113" s="2" t="b">
        <v>1</v>
      </c>
      <c r="AA113" s="2" t="s">
        <v>35</v>
      </c>
      <c r="AB113" s="2" t="s">
        <v>35</v>
      </c>
      <c r="AC113" s="2" t="s">
        <v>35</v>
      </c>
      <c r="AD113" s="2" t="s">
        <v>35</v>
      </c>
      <c r="AE113" s="2" t="s">
        <v>207</v>
      </c>
      <c r="AF113" s="11">
        <v>44735.40625</v>
      </c>
      <c r="AG113" s="53"/>
      <c r="AH113" s="53" t="b">
        <f t="shared" si="4"/>
        <v>0</v>
      </c>
      <c r="AI113" s="54" t="s">
        <v>9930</v>
      </c>
      <c r="AJ113" s="2"/>
      <c r="AK113" s="2"/>
      <c r="AL113" s="2"/>
      <c r="AM113" s="2"/>
      <c r="AN113" s="2"/>
    </row>
    <row r="114" spans="1:40" ht="16" x14ac:dyDescent="0.2">
      <c r="A114" s="68" t="s">
        <v>424</v>
      </c>
      <c r="B114" s="68">
        <v>118</v>
      </c>
      <c r="C114" s="68" t="b">
        <v>0</v>
      </c>
      <c r="D114" s="68" t="b">
        <v>0</v>
      </c>
      <c r="E114" s="68" t="b">
        <v>0</v>
      </c>
      <c r="F114" s="68" t="b">
        <v>0</v>
      </c>
      <c r="G114" s="68" t="s">
        <v>31</v>
      </c>
      <c r="H114" s="68" t="s">
        <v>149</v>
      </c>
      <c r="I114" s="68" t="s">
        <v>425</v>
      </c>
      <c r="J114" s="68" t="s">
        <v>35</v>
      </c>
      <c r="K114" s="68" t="s">
        <v>35</v>
      </c>
      <c r="L114" s="68" t="s">
        <v>35</v>
      </c>
      <c r="M114" s="68">
        <v>20</v>
      </c>
      <c r="N114" s="68">
        <v>15</v>
      </c>
      <c r="O114" s="69">
        <v>44735.507324050923</v>
      </c>
      <c r="P114" s="69">
        <v>44735.507817569443</v>
      </c>
      <c r="Q114" s="70">
        <v>4.935185206704773E-4</v>
      </c>
      <c r="R114" s="70">
        <v>1.5176851811702363E-3</v>
      </c>
      <c r="S114" s="68">
        <v>0</v>
      </c>
      <c r="T114" s="68" t="s">
        <v>54</v>
      </c>
      <c r="U114" s="68" t="s">
        <v>55</v>
      </c>
      <c r="V114" s="68" t="s">
        <v>38</v>
      </c>
      <c r="W114" s="68" t="s">
        <v>35</v>
      </c>
      <c r="X114" s="68" t="s">
        <v>35</v>
      </c>
      <c r="Y114" s="68" t="s">
        <v>35</v>
      </c>
      <c r="Z114" s="68" t="b">
        <v>0</v>
      </c>
      <c r="AA114" s="68" t="s">
        <v>35</v>
      </c>
      <c r="AB114" s="68" t="s">
        <v>35</v>
      </c>
      <c r="AC114" s="68" t="s">
        <v>35</v>
      </c>
      <c r="AD114" s="68" t="s">
        <v>35</v>
      </c>
      <c r="AE114" s="68" t="s">
        <v>207</v>
      </c>
      <c r="AF114" s="69">
        <v>44735.40625</v>
      </c>
      <c r="AG114" s="72" t="s">
        <v>9478</v>
      </c>
      <c r="AH114" s="53" t="b">
        <f t="shared" si="4"/>
        <v>0</v>
      </c>
      <c r="AI114" s="56"/>
      <c r="AJ114" s="68"/>
      <c r="AK114" s="68"/>
      <c r="AL114" s="68"/>
      <c r="AM114" s="68"/>
      <c r="AN114" s="68"/>
    </row>
    <row r="115" spans="1:40" ht="16" x14ac:dyDescent="0.2">
      <c r="A115" s="2" t="s">
        <v>455</v>
      </c>
      <c r="B115" s="2">
        <v>128</v>
      </c>
      <c r="C115" s="2" t="b">
        <v>0</v>
      </c>
      <c r="D115" s="2" t="b">
        <v>0</v>
      </c>
      <c r="E115" s="2" t="b">
        <v>0</v>
      </c>
      <c r="F115" s="2" t="b">
        <v>0</v>
      </c>
      <c r="G115" s="2" t="s">
        <v>31</v>
      </c>
      <c r="H115" s="2" t="s">
        <v>456</v>
      </c>
      <c r="I115" s="2" t="s">
        <v>457</v>
      </c>
      <c r="J115" s="2" t="s">
        <v>35</v>
      </c>
      <c r="K115" s="2" t="s">
        <v>35</v>
      </c>
      <c r="L115" s="2" t="s">
        <v>35</v>
      </c>
      <c r="M115" s="2">
        <v>116</v>
      </c>
      <c r="N115" s="2">
        <v>10</v>
      </c>
      <c r="O115" s="11">
        <v>44735.518321736112</v>
      </c>
      <c r="P115" s="11">
        <v>44735.520466296293</v>
      </c>
      <c r="Q115" s="27">
        <v>2.1445601814775728E-3</v>
      </c>
      <c r="R115" s="27">
        <v>3.3816319410107099E-3</v>
      </c>
      <c r="S115" s="2">
        <v>0</v>
      </c>
      <c r="T115" s="2" t="s">
        <v>54</v>
      </c>
      <c r="U115" s="2" t="s">
        <v>55</v>
      </c>
      <c r="V115" s="2" t="s">
        <v>38</v>
      </c>
      <c r="W115" s="2" t="s">
        <v>35</v>
      </c>
      <c r="X115" s="2" t="s">
        <v>35</v>
      </c>
      <c r="Y115" s="2" t="s">
        <v>35</v>
      </c>
      <c r="Z115" s="2" t="b">
        <v>1</v>
      </c>
      <c r="AA115" s="2" t="s">
        <v>35</v>
      </c>
      <c r="AB115" s="2" t="s">
        <v>35</v>
      </c>
      <c r="AC115" s="2" t="s">
        <v>35</v>
      </c>
      <c r="AD115" s="2" t="s">
        <v>35</v>
      </c>
      <c r="AE115" s="2" t="s">
        <v>207</v>
      </c>
      <c r="AF115" s="11">
        <v>44735.40625</v>
      </c>
      <c r="AG115" s="53"/>
      <c r="AH115" s="53" t="str">
        <f t="shared" si="4"/>
        <v>TRUE</v>
      </c>
      <c r="AI115" s="54" t="s">
        <v>9931</v>
      </c>
      <c r="AJ115" s="2" t="s">
        <v>9932</v>
      </c>
      <c r="AK115" s="2" t="s">
        <v>9933</v>
      </c>
      <c r="AL115" s="2"/>
      <c r="AM115" s="2"/>
      <c r="AN115" s="2"/>
    </row>
    <row r="116" spans="1:40" ht="16" x14ac:dyDescent="0.2">
      <c r="A116" s="2" t="s">
        <v>458</v>
      </c>
      <c r="B116" s="2">
        <v>129</v>
      </c>
      <c r="C116" s="2" t="b">
        <v>0</v>
      </c>
      <c r="D116" s="2" t="b">
        <v>0</v>
      </c>
      <c r="E116" s="2" t="b">
        <v>0</v>
      </c>
      <c r="F116" s="2" t="b">
        <v>0</v>
      </c>
      <c r="G116" s="2" t="s">
        <v>31</v>
      </c>
      <c r="H116" s="2" t="s">
        <v>459</v>
      </c>
      <c r="I116" s="2" t="s">
        <v>460</v>
      </c>
      <c r="J116" s="2" t="s">
        <v>35</v>
      </c>
      <c r="K116" s="2" t="s">
        <v>35</v>
      </c>
      <c r="L116" s="2" t="s">
        <v>35</v>
      </c>
      <c r="M116" s="2">
        <v>25</v>
      </c>
      <c r="N116" s="2">
        <v>14</v>
      </c>
      <c r="O116" s="11">
        <v>44735.520526064814</v>
      </c>
      <c r="P116" s="11">
        <v>44735.521136388888</v>
      </c>
      <c r="Q116" s="27">
        <v>6.1032407393213362E-4</v>
      </c>
      <c r="R116" s="27">
        <v>6.7009259510086849E-4</v>
      </c>
      <c r="S116" s="2">
        <v>0</v>
      </c>
      <c r="T116" s="2" t="s">
        <v>54</v>
      </c>
      <c r="U116" s="2" t="s">
        <v>55</v>
      </c>
      <c r="V116" s="2" t="s">
        <v>38</v>
      </c>
      <c r="W116" s="2" t="s">
        <v>35</v>
      </c>
      <c r="X116" s="2" t="s">
        <v>35</v>
      </c>
      <c r="Y116" s="2" t="s">
        <v>35</v>
      </c>
      <c r="Z116" s="2" t="b">
        <v>0</v>
      </c>
      <c r="AA116" s="2" t="s">
        <v>35</v>
      </c>
      <c r="AB116" s="2" t="s">
        <v>35</v>
      </c>
      <c r="AC116" s="2" t="s">
        <v>35</v>
      </c>
      <c r="AD116" s="2" t="s">
        <v>35</v>
      </c>
      <c r="AE116" s="2" t="s">
        <v>207</v>
      </c>
      <c r="AF116" s="11">
        <v>44735.40625</v>
      </c>
      <c r="AG116" s="53"/>
      <c r="AH116" s="53" t="b">
        <f t="shared" si="4"/>
        <v>0</v>
      </c>
      <c r="AI116" s="54" t="s">
        <v>9934</v>
      </c>
      <c r="AJ116" s="2"/>
      <c r="AK116" s="2"/>
      <c r="AL116" s="2"/>
      <c r="AM116" s="2"/>
      <c r="AN116" s="2"/>
    </row>
    <row r="117" spans="1:40" ht="16" x14ac:dyDescent="0.2">
      <c r="A117" s="68" t="s">
        <v>467</v>
      </c>
      <c r="B117" s="68">
        <v>132</v>
      </c>
      <c r="C117" s="68" t="b">
        <v>0</v>
      </c>
      <c r="D117" s="68" t="b">
        <v>0</v>
      </c>
      <c r="E117" s="68" t="b">
        <v>0</v>
      </c>
      <c r="F117" s="68" t="b">
        <v>0</v>
      </c>
      <c r="G117" s="68" t="s">
        <v>31</v>
      </c>
      <c r="H117" s="68" t="s">
        <v>149</v>
      </c>
      <c r="I117" s="68" t="s">
        <v>468</v>
      </c>
      <c r="J117" s="68" t="s">
        <v>35</v>
      </c>
      <c r="K117" s="68" t="s">
        <v>35</v>
      </c>
      <c r="L117" s="68" t="s">
        <v>35</v>
      </c>
      <c r="M117" s="68">
        <v>10</v>
      </c>
      <c r="N117" s="68">
        <v>15</v>
      </c>
      <c r="O117" s="69">
        <v>44735.527854201391</v>
      </c>
      <c r="P117" s="69">
        <v>44735.528068622683</v>
      </c>
      <c r="Q117" s="70">
        <v>2.1442129218485206E-4</v>
      </c>
      <c r="R117" s="70">
        <v>7.2614583041286096E-4</v>
      </c>
      <c r="S117" s="68">
        <v>0</v>
      </c>
      <c r="T117" s="68" t="s">
        <v>54</v>
      </c>
      <c r="U117" s="68" t="s">
        <v>55</v>
      </c>
      <c r="V117" s="68" t="s">
        <v>38</v>
      </c>
      <c r="W117" s="68" t="s">
        <v>35</v>
      </c>
      <c r="X117" s="68" t="s">
        <v>35</v>
      </c>
      <c r="Y117" s="68" t="s">
        <v>35</v>
      </c>
      <c r="Z117" s="68" t="b">
        <v>0</v>
      </c>
      <c r="AA117" s="68" t="s">
        <v>35</v>
      </c>
      <c r="AB117" s="68" t="s">
        <v>35</v>
      </c>
      <c r="AC117" s="68" t="s">
        <v>35</v>
      </c>
      <c r="AD117" s="68" t="s">
        <v>35</v>
      </c>
      <c r="AE117" s="68" t="s">
        <v>207</v>
      </c>
      <c r="AF117" s="69">
        <v>44735.40625</v>
      </c>
      <c r="AG117" s="71" t="s">
        <v>9478</v>
      </c>
      <c r="AH117" s="53" t="b">
        <f t="shared" si="4"/>
        <v>0</v>
      </c>
      <c r="AI117" s="56"/>
      <c r="AJ117" s="68"/>
      <c r="AK117" s="68"/>
      <c r="AL117" s="68"/>
      <c r="AM117" s="68"/>
      <c r="AN117" s="68"/>
    </row>
    <row r="118" spans="1:40" ht="16" x14ac:dyDescent="0.2">
      <c r="A118" s="2" t="s">
        <v>480</v>
      </c>
      <c r="B118" s="2">
        <v>136</v>
      </c>
      <c r="C118" s="2" t="b">
        <v>0</v>
      </c>
      <c r="D118" s="2" t="b">
        <v>0</v>
      </c>
      <c r="E118" s="2" t="b">
        <v>0</v>
      </c>
      <c r="F118" s="2" t="b">
        <v>0</v>
      </c>
      <c r="G118" s="2" t="s">
        <v>31</v>
      </c>
      <c r="H118" s="2" t="s">
        <v>481</v>
      </c>
      <c r="I118" s="2" t="s">
        <v>482</v>
      </c>
      <c r="J118" s="2" t="s">
        <v>35</v>
      </c>
      <c r="K118" s="2" t="s">
        <v>35</v>
      </c>
      <c r="L118" s="2" t="s">
        <v>35</v>
      </c>
      <c r="M118" s="2">
        <v>33</v>
      </c>
      <c r="N118" s="2">
        <v>14</v>
      </c>
      <c r="O118" s="11">
        <v>44735.534803171293</v>
      </c>
      <c r="P118" s="11">
        <v>44735.53550395833</v>
      </c>
      <c r="Q118" s="27">
        <v>7.0078703720355406E-4</v>
      </c>
      <c r="R118" s="27">
        <v>3.9655902728554793E-3</v>
      </c>
      <c r="S118" s="2">
        <v>0</v>
      </c>
      <c r="T118" s="2" t="s">
        <v>54</v>
      </c>
      <c r="U118" s="2" t="s">
        <v>55</v>
      </c>
      <c r="V118" s="2" t="s">
        <v>38</v>
      </c>
      <c r="W118" s="2" t="s">
        <v>35</v>
      </c>
      <c r="X118" s="2" t="s">
        <v>35</v>
      </c>
      <c r="Y118" s="2" t="s">
        <v>35</v>
      </c>
      <c r="Z118" s="2" t="b">
        <v>0</v>
      </c>
      <c r="AA118" s="2" t="s">
        <v>35</v>
      </c>
      <c r="AB118" s="2" t="s">
        <v>35</v>
      </c>
      <c r="AC118" s="2" t="s">
        <v>35</v>
      </c>
      <c r="AD118" s="2" t="s">
        <v>35</v>
      </c>
      <c r="AE118" s="2" t="s">
        <v>207</v>
      </c>
      <c r="AF118" s="11">
        <v>44735.40625</v>
      </c>
      <c r="AG118" s="53"/>
      <c r="AH118" s="53" t="b">
        <f t="shared" si="4"/>
        <v>0</v>
      </c>
      <c r="AI118" s="54" t="s">
        <v>9935</v>
      </c>
      <c r="AJ118" s="2"/>
      <c r="AK118" s="2"/>
      <c r="AL118" s="2"/>
      <c r="AM118" s="2"/>
      <c r="AN118" s="2"/>
    </row>
    <row r="119" spans="1:40" ht="16" x14ac:dyDescent="0.2">
      <c r="A119" s="2" t="s">
        <v>483</v>
      </c>
      <c r="B119" s="2">
        <v>137</v>
      </c>
      <c r="C119" s="2" t="b">
        <v>0</v>
      </c>
      <c r="D119" s="2" t="b">
        <v>0</v>
      </c>
      <c r="E119" s="2" t="b">
        <v>0</v>
      </c>
      <c r="F119" s="2" t="b">
        <v>0</v>
      </c>
      <c r="G119" s="2" t="s">
        <v>31</v>
      </c>
      <c r="H119" s="2" t="s">
        <v>484</v>
      </c>
      <c r="I119" s="2" t="s">
        <v>485</v>
      </c>
      <c r="J119" s="2" t="s">
        <v>35</v>
      </c>
      <c r="K119" s="2" t="s">
        <v>35</v>
      </c>
      <c r="L119" s="2" t="s">
        <v>35</v>
      </c>
      <c r="M119" s="2">
        <v>5</v>
      </c>
      <c r="N119" s="2">
        <v>15</v>
      </c>
      <c r="O119" s="11">
        <v>44735.535563414349</v>
      </c>
      <c r="P119" s="11">
        <v>44735.535874212961</v>
      </c>
      <c r="Q119" s="27">
        <v>3.1079861219041049E-4</v>
      </c>
      <c r="R119" s="27">
        <v>3.7025463097961619E-4</v>
      </c>
      <c r="S119" s="2">
        <v>0</v>
      </c>
      <c r="T119" s="2" t="s">
        <v>54</v>
      </c>
      <c r="U119" s="2" t="s">
        <v>55</v>
      </c>
      <c r="V119" s="2" t="s">
        <v>38</v>
      </c>
      <c r="W119" s="2" t="s">
        <v>35</v>
      </c>
      <c r="X119" s="2" t="s">
        <v>35</v>
      </c>
      <c r="Y119" s="2" t="s">
        <v>35</v>
      </c>
      <c r="Z119" s="2" t="b">
        <v>0</v>
      </c>
      <c r="AA119" s="2" t="s">
        <v>35</v>
      </c>
      <c r="AB119" s="2" t="s">
        <v>35</v>
      </c>
      <c r="AC119" s="2" t="s">
        <v>35</v>
      </c>
      <c r="AD119" s="2" t="s">
        <v>35</v>
      </c>
      <c r="AE119" s="2" t="s">
        <v>207</v>
      </c>
      <c r="AF119" s="11">
        <v>44735.40625</v>
      </c>
      <c r="AG119" s="53"/>
      <c r="AH119" s="53" t="b">
        <f t="shared" si="4"/>
        <v>0</v>
      </c>
      <c r="AI119" s="54" t="s">
        <v>9936</v>
      </c>
      <c r="AJ119" s="2"/>
      <c r="AK119" s="2"/>
      <c r="AL119" s="2"/>
      <c r="AM119" s="2"/>
      <c r="AN119" s="2"/>
    </row>
    <row r="120" spans="1:40" ht="16" x14ac:dyDescent="0.2">
      <c r="A120" s="2" t="s">
        <v>565</v>
      </c>
      <c r="B120" s="2">
        <v>163</v>
      </c>
      <c r="C120" s="2" t="b">
        <v>0</v>
      </c>
      <c r="D120" s="2" t="b">
        <v>0</v>
      </c>
      <c r="E120" s="2" t="b">
        <v>0</v>
      </c>
      <c r="F120" s="2" t="b">
        <v>0</v>
      </c>
      <c r="G120" s="2" t="s">
        <v>31</v>
      </c>
      <c r="H120" s="2" t="s">
        <v>566</v>
      </c>
      <c r="I120" s="2" t="s">
        <v>567</v>
      </c>
      <c r="J120" s="2" t="s">
        <v>35</v>
      </c>
      <c r="K120" s="2" t="s">
        <v>35</v>
      </c>
      <c r="L120" s="2" t="s">
        <v>35</v>
      </c>
      <c r="M120" s="2">
        <v>17</v>
      </c>
      <c r="N120" s="2">
        <v>17</v>
      </c>
      <c r="O120" s="11">
        <v>44736.410451574076</v>
      </c>
      <c r="P120" s="11">
        <v>44736.410649768521</v>
      </c>
      <c r="Q120" s="27">
        <v>1.9819444423774257E-4</v>
      </c>
      <c r="R120" s="27">
        <v>6.3304398645414039E-4</v>
      </c>
      <c r="S120" s="2">
        <v>0</v>
      </c>
      <c r="T120" s="2" t="s">
        <v>54</v>
      </c>
      <c r="U120" s="2" t="s">
        <v>55</v>
      </c>
      <c r="V120" s="2" t="s">
        <v>38</v>
      </c>
      <c r="W120" s="2" t="s">
        <v>35</v>
      </c>
      <c r="X120" s="2" t="s">
        <v>35</v>
      </c>
      <c r="Y120" s="2" t="s">
        <v>35</v>
      </c>
      <c r="Z120" s="2" t="b">
        <v>0</v>
      </c>
      <c r="AA120" s="2" t="s">
        <v>35</v>
      </c>
      <c r="AB120" s="2" t="s">
        <v>35</v>
      </c>
      <c r="AC120" s="2" t="s">
        <v>35</v>
      </c>
      <c r="AD120" s="2" t="s">
        <v>35</v>
      </c>
      <c r="AE120" s="2" t="s">
        <v>492</v>
      </c>
      <c r="AF120" s="11">
        <v>44736.387499942131</v>
      </c>
      <c r="AG120" s="53"/>
      <c r="AH120" s="53" t="b">
        <f t="shared" si="4"/>
        <v>0</v>
      </c>
      <c r="AI120" s="54" t="s">
        <v>9937</v>
      </c>
      <c r="AJ120" s="2"/>
      <c r="AK120" s="2"/>
      <c r="AL120" s="2"/>
      <c r="AM120" s="2"/>
      <c r="AN120" s="2"/>
    </row>
    <row r="121" spans="1:40" ht="16" x14ac:dyDescent="0.2">
      <c r="A121" s="2" t="s">
        <v>622</v>
      </c>
      <c r="B121" s="2">
        <v>181</v>
      </c>
      <c r="C121" s="2" t="b">
        <v>0</v>
      </c>
      <c r="D121" s="2" t="b">
        <v>0</v>
      </c>
      <c r="E121" s="2" t="b">
        <v>0</v>
      </c>
      <c r="F121" s="2" t="b">
        <v>0</v>
      </c>
      <c r="G121" s="2" t="s">
        <v>31</v>
      </c>
      <c r="H121" s="2" t="s">
        <v>623</v>
      </c>
      <c r="I121" s="2" t="s">
        <v>624</v>
      </c>
      <c r="J121" s="2" t="s">
        <v>625</v>
      </c>
      <c r="K121" s="2" t="s">
        <v>35</v>
      </c>
      <c r="L121" s="2" t="s">
        <v>35</v>
      </c>
      <c r="M121" s="2">
        <v>25</v>
      </c>
      <c r="N121" s="2">
        <v>7</v>
      </c>
      <c r="O121" s="11">
        <v>44736.430470902778</v>
      </c>
      <c r="P121" s="11">
        <v>44736.431572824076</v>
      </c>
      <c r="Q121" s="27">
        <v>1.101921297959052E-3</v>
      </c>
      <c r="R121" s="27">
        <v>1.1646643542917445E-3</v>
      </c>
      <c r="S121" s="2">
        <v>0</v>
      </c>
      <c r="T121" s="2" t="s">
        <v>54</v>
      </c>
      <c r="U121" s="2" t="s">
        <v>55</v>
      </c>
      <c r="V121" s="2" t="s">
        <v>38</v>
      </c>
      <c r="W121" s="2" t="s">
        <v>35</v>
      </c>
      <c r="X121" s="2" t="s">
        <v>35</v>
      </c>
      <c r="Y121" s="2" t="s">
        <v>35</v>
      </c>
      <c r="Z121" s="2" t="b">
        <v>1</v>
      </c>
      <c r="AA121" s="2" t="s">
        <v>35</v>
      </c>
      <c r="AB121" s="2" t="s">
        <v>35</v>
      </c>
      <c r="AC121" s="2" t="s">
        <v>35</v>
      </c>
      <c r="AD121" s="2" t="s">
        <v>35</v>
      </c>
      <c r="AE121" s="2" t="s">
        <v>492</v>
      </c>
      <c r="AF121" s="11">
        <v>44736.387499942131</v>
      </c>
      <c r="AG121" s="53"/>
      <c r="AH121" s="53" t="str">
        <f t="shared" si="4"/>
        <v>TRUE</v>
      </c>
      <c r="AI121" s="54" t="s">
        <v>9596</v>
      </c>
      <c r="AJ121" s="2"/>
      <c r="AK121" s="2"/>
      <c r="AL121" s="2"/>
      <c r="AM121" s="2"/>
      <c r="AN121" s="2"/>
    </row>
    <row r="122" spans="1:40" ht="16" x14ac:dyDescent="0.2">
      <c r="A122" s="68" t="s">
        <v>685</v>
      </c>
      <c r="B122" s="68">
        <v>201</v>
      </c>
      <c r="C122" s="68" t="b">
        <v>0</v>
      </c>
      <c r="D122" s="68" t="b">
        <v>0</v>
      </c>
      <c r="E122" s="68" t="b">
        <v>0</v>
      </c>
      <c r="F122" s="68" t="b">
        <v>0</v>
      </c>
      <c r="G122" s="68" t="s">
        <v>31</v>
      </c>
      <c r="H122" s="68" t="s">
        <v>149</v>
      </c>
      <c r="I122" s="68" t="s">
        <v>686</v>
      </c>
      <c r="J122" s="68" t="s">
        <v>687</v>
      </c>
      <c r="K122" s="68" t="s">
        <v>35</v>
      </c>
      <c r="L122" s="68" t="s">
        <v>35</v>
      </c>
      <c r="M122" s="68">
        <v>6</v>
      </c>
      <c r="N122" s="68">
        <v>15</v>
      </c>
      <c r="O122" s="69">
        <v>44737.416616076385</v>
      </c>
      <c r="P122" s="69">
        <v>44737.416830949071</v>
      </c>
      <c r="Q122" s="70">
        <v>2.1487268531927839E-4</v>
      </c>
      <c r="R122" s="70">
        <v>2.2476157391793095E-3</v>
      </c>
      <c r="S122" s="68">
        <v>0</v>
      </c>
      <c r="T122" s="68" t="s">
        <v>54</v>
      </c>
      <c r="U122" s="68" t="s">
        <v>55</v>
      </c>
      <c r="V122" s="68" t="s">
        <v>38</v>
      </c>
      <c r="W122" s="68" t="s">
        <v>35</v>
      </c>
      <c r="X122" s="68" t="s">
        <v>35</v>
      </c>
      <c r="Y122" s="68" t="s">
        <v>35</v>
      </c>
      <c r="Z122" s="68" t="b">
        <v>0</v>
      </c>
      <c r="AA122" s="68" t="s">
        <v>35</v>
      </c>
      <c r="AB122" s="68" t="s">
        <v>35</v>
      </c>
      <c r="AC122" s="68" t="s">
        <v>35</v>
      </c>
      <c r="AD122" s="68" t="s">
        <v>35</v>
      </c>
      <c r="AE122" s="68" t="s">
        <v>688</v>
      </c>
      <c r="AF122" s="69">
        <v>44737.414583333331</v>
      </c>
      <c r="AG122" s="71"/>
      <c r="AH122" s="53" t="b">
        <f t="shared" si="4"/>
        <v>0</v>
      </c>
      <c r="AI122" s="56" t="s">
        <v>35</v>
      </c>
      <c r="AJ122" s="68"/>
      <c r="AK122" s="68"/>
      <c r="AL122" s="68"/>
      <c r="AM122" s="68"/>
      <c r="AN122" s="68"/>
    </row>
    <row r="123" spans="1:40" ht="16" x14ac:dyDescent="0.2">
      <c r="A123" s="2" t="s">
        <v>731</v>
      </c>
      <c r="B123" s="2">
        <v>216</v>
      </c>
      <c r="C123" s="2" t="b">
        <v>0</v>
      </c>
      <c r="D123" s="2" t="b">
        <v>0</v>
      </c>
      <c r="E123" s="2" t="b">
        <v>0</v>
      </c>
      <c r="F123" s="2" t="b">
        <v>0</v>
      </c>
      <c r="G123" s="2" t="s">
        <v>31</v>
      </c>
      <c r="H123" s="2" t="s">
        <v>732</v>
      </c>
      <c r="I123" s="2" t="s">
        <v>733</v>
      </c>
      <c r="J123" s="2" t="s">
        <v>35</v>
      </c>
      <c r="K123" s="2" t="s">
        <v>35</v>
      </c>
      <c r="L123" s="2" t="s">
        <v>35</v>
      </c>
      <c r="M123" s="2">
        <v>53</v>
      </c>
      <c r="N123" s="2">
        <v>9</v>
      </c>
      <c r="O123" s="11">
        <v>44737.433453379628</v>
      </c>
      <c r="P123" s="11">
        <v>44737.433721504633</v>
      </c>
      <c r="Q123" s="27">
        <v>2.6812500436790287E-4</v>
      </c>
      <c r="R123" s="27">
        <v>2.6899074073298834E-3</v>
      </c>
      <c r="S123" s="2">
        <v>0</v>
      </c>
      <c r="T123" s="2" t="s">
        <v>54</v>
      </c>
      <c r="U123" s="2" t="s">
        <v>55</v>
      </c>
      <c r="V123" s="2" t="s">
        <v>38</v>
      </c>
      <c r="W123" s="2" t="s">
        <v>35</v>
      </c>
      <c r="X123" s="2" t="s">
        <v>35</v>
      </c>
      <c r="Y123" s="2" t="s">
        <v>35</v>
      </c>
      <c r="Z123" s="2" t="b">
        <v>1</v>
      </c>
      <c r="AA123" s="2" t="s">
        <v>35</v>
      </c>
      <c r="AB123" s="2" t="s">
        <v>35</v>
      </c>
      <c r="AC123" s="2" t="s">
        <v>35</v>
      </c>
      <c r="AD123" s="2" t="s">
        <v>35</v>
      </c>
      <c r="AE123" s="2" t="s">
        <v>688</v>
      </c>
      <c r="AF123" s="11">
        <v>44737.414583275466</v>
      </c>
      <c r="AG123" s="53"/>
      <c r="AH123" s="53" t="b">
        <f t="shared" si="4"/>
        <v>0</v>
      </c>
      <c r="AI123" s="54" t="s">
        <v>9938</v>
      </c>
      <c r="AJ123" s="2"/>
      <c r="AK123" s="2"/>
      <c r="AL123" s="2"/>
      <c r="AM123" s="2"/>
      <c r="AN123" s="2"/>
    </row>
    <row r="124" spans="1:40" ht="16" x14ac:dyDescent="0.2">
      <c r="A124" s="2" t="s">
        <v>774</v>
      </c>
      <c r="B124" s="2">
        <v>229</v>
      </c>
      <c r="C124" s="2" t="b">
        <v>0</v>
      </c>
      <c r="D124" s="2" t="b">
        <v>0</v>
      </c>
      <c r="E124" s="2" t="b">
        <v>0</v>
      </c>
      <c r="F124" s="2" t="b">
        <v>0</v>
      </c>
      <c r="G124" s="2" t="s">
        <v>31</v>
      </c>
      <c r="H124" s="2" t="s">
        <v>775</v>
      </c>
      <c r="I124" s="2" t="s">
        <v>776</v>
      </c>
      <c r="J124" s="2" t="s">
        <v>35</v>
      </c>
      <c r="K124" s="2" t="s">
        <v>35</v>
      </c>
      <c r="L124" s="2" t="s">
        <v>35</v>
      </c>
      <c r="M124" s="2">
        <v>56</v>
      </c>
      <c r="N124" s="2">
        <v>15</v>
      </c>
      <c r="O124" s="11">
        <v>44737.452346006947</v>
      </c>
      <c r="P124" s="11">
        <v>44737.453287881945</v>
      </c>
      <c r="Q124" s="27">
        <v>9.4187499780673534E-4</v>
      </c>
      <c r="R124" s="27">
        <v>1.5921875019557774E-3</v>
      </c>
      <c r="S124" s="2">
        <v>0</v>
      </c>
      <c r="T124" s="2" t="s">
        <v>54</v>
      </c>
      <c r="U124" s="2" t="s">
        <v>55</v>
      </c>
      <c r="V124" s="2" t="s">
        <v>38</v>
      </c>
      <c r="W124" s="2" t="s">
        <v>35</v>
      </c>
      <c r="X124" s="2" t="s">
        <v>35</v>
      </c>
      <c r="Y124" s="2" t="s">
        <v>35</v>
      </c>
      <c r="Z124" s="2" t="b">
        <v>0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2" t="s">
        <v>688</v>
      </c>
      <c r="AF124" s="11">
        <v>44737.414583275466</v>
      </c>
      <c r="AG124" s="53"/>
      <c r="AH124" s="53" t="str">
        <f t="shared" si="4"/>
        <v>TRUE</v>
      </c>
      <c r="AI124" s="54" t="s">
        <v>9939</v>
      </c>
      <c r="AJ124" s="2"/>
      <c r="AK124" s="2"/>
      <c r="AL124" s="2"/>
      <c r="AM124" s="2"/>
      <c r="AN124" s="2"/>
    </row>
    <row r="125" spans="1:40" ht="16" x14ac:dyDescent="0.2">
      <c r="A125" s="2" t="s">
        <v>780</v>
      </c>
      <c r="B125" s="2">
        <v>231</v>
      </c>
      <c r="C125" s="2" t="b">
        <v>0</v>
      </c>
      <c r="D125" s="2" t="b">
        <v>0</v>
      </c>
      <c r="E125" s="2" t="b">
        <v>0</v>
      </c>
      <c r="F125" s="2" t="b">
        <v>0</v>
      </c>
      <c r="G125" s="2" t="s">
        <v>31</v>
      </c>
      <c r="H125" s="2" t="s">
        <v>781</v>
      </c>
      <c r="I125" s="2" t="s">
        <v>782</v>
      </c>
      <c r="J125" s="2" t="s">
        <v>35</v>
      </c>
      <c r="K125" s="2" t="s">
        <v>35</v>
      </c>
      <c r="L125" s="2" t="s">
        <v>35</v>
      </c>
      <c r="M125" s="2">
        <v>30</v>
      </c>
      <c r="N125" s="2">
        <v>14</v>
      </c>
      <c r="O125" s="11">
        <v>44737.456030428242</v>
      </c>
      <c r="P125" s="11">
        <v>44737.456588564812</v>
      </c>
      <c r="Q125" s="27">
        <v>5.5813656945247203E-4</v>
      </c>
      <c r="R125" s="27">
        <v>7.2128471947507933E-4</v>
      </c>
      <c r="S125" s="2">
        <v>0</v>
      </c>
      <c r="T125" s="2" t="s">
        <v>54</v>
      </c>
      <c r="U125" s="2" t="s">
        <v>55</v>
      </c>
      <c r="V125" s="2" t="s">
        <v>38</v>
      </c>
      <c r="W125" s="2" t="s">
        <v>35</v>
      </c>
      <c r="X125" s="2" t="s">
        <v>35</v>
      </c>
      <c r="Y125" s="2" t="s">
        <v>35</v>
      </c>
      <c r="Z125" s="2" t="b">
        <v>0</v>
      </c>
      <c r="AA125" s="2" t="s">
        <v>35</v>
      </c>
      <c r="AB125" s="2" t="s">
        <v>35</v>
      </c>
      <c r="AC125" s="2" t="s">
        <v>35</v>
      </c>
      <c r="AD125" s="2" t="s">
        <v>35</v>
      </c>
      <c r="AE125" s="2" t="s">
        <v>688</v>
      </c>
      <c r="AF125" s="11">
        <v>44737.414583275466</v>
      </c>
      <c r="AG125" s="53"/>
      <c r="AH125" s="53" t="b">
        <f t="shared" si="4"/>
        <v>0</v>
      </c>
      <c r="AI125" s="54" t="s">
        <v>9940</v>
      </c>
      <c r="AJ125" s="2"/>
      <c r="AK125" s="2"/>
      <c r="AL125" s="2"/>
      <c r="AM125" s="2"/>
      <c r="AN125" s="2"/>
    </row>
    <row r="126" spans="1:40" ht="16" x14ac:dyDescent="0.2">
      <c r="A126" s="2" t="s">
        <v>813</v>
      </c>
      <c r="B126" s="2">
        <v>242</v>
      </c>
      <c r="C126" s="2" t="b">
        <v>0</v>
      </c>
      <c r="D126" s="2" t="b">
        <v>0</v>
      </c>
      <c r="E126" s="2" t="b">
        <v>0</v>
      </c>
      <c r="F126" s="2" t="b">
        <v>0</v>
      </c>
      <c r="G126" s="2" t="s">
        <v>31</v>
      </c>
      <c r="H126" s="2" t="s">
        <v>814</v>
      </c>
      <c r="I126" s="2" t="s">
        <v>815</v>
      </c>
      <c r="J126" s="2" t="s">
        <v>35</v>
      </c>
      <c r="K126" s="2" t="s">
        <v>35</v>
      </c>
      <c r="L126" s="2" t="s">
        <v>35</v>
      </c>
      <c r="M126" s="2">
        <v>9</v>
      </c>
      <c r="N126" s="2">
        <v>13</v>
      </c>
      <c r="O126" s="11">
        <v>44737.477272881944</v>
      </c>
      <c r="P126" s="11">
        <v>44737.477657719908</v>
      </c>
      <c r="Q126" s="27">
        <v>3.8483796379296109E-4</v>
      </c>
      <c r="R126" s="27">
        <v>5.7944444415625185E-4</v>
      </c>
      <c r="S126" s="2">
        <v>0</v>
      </c>
      <c r="T126" s="2" t="s">
        <v>54</v>
      </c>
      <c r="U126" s="2" t="s">
        <v>55</v>
      </c>
      <c r="V126" s="2" t="s">
        <v>38</v>
      </c>
      <c r="W126" s="2" t="s">
        <v>35</v>
      </c>
      <c r="X126" s="2" t="s">
        <v>35</v>
      </c>
      <c r="Y126" s="2" t="s">
        <v>35</v>
      </c>
      <c r="Z126" s="2" t="b">
        <v>0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2" t="s">
        <v>792</v>
      </c>
      <c r="AF126" s="11">
        <v>44737.463888831022</v>
      </c>
      <c r="AG126" s="53"/>
      <c r="AH126" s="53" t="b">
        <f t="shared" si="4"/>
        <v>0</v>
      </c>
      <c r="AI126" s="54" t="s">
        <v>9941</v>
      </c>
      <c r="AJ126" s="2"/>
      <c r="AK126" s="2"/>
      <c r="AL126" s="2"/>
      <c r="AM126" s="2"/>
      <c r="AN126" s="2"/>
    </row>
    <row r="127" spans="1:40" ht="16" x14ac:dyDescent="0.2">
      <c r="A127" s="2" t="s">
        <v>827</v>
      </c>
      <c r="B127" s="2">
        <v>247</v>
      </c>
      <c r="C127" s="2" t="b">
        <v>0</v>
      </c>
      <c r="D127" s="2" t="b">
        <v>0</v>
      </c>
      <c r="E127" s="2" t="b">
        <v>0</v>
      </c>
      <c r="F127" s="2" t="b">
        <v>0</v>
      </c>
      <c r="G127" s="2" t="s">
        <v>31</v>
      </c>
      <c r="H127" s="2" t="s">
        <v>828</v>
      </c>
      <c r="I127" s="2" t="s">
        <v>829</v>
      </c>
      <c r="J127" s="2" t="s">
        <v>35</v>
      </c>
      <c r="K127" s="2" t="s">
        <v>35</v>
      </c>
      <c r="L127" s="2" t="s">
        <v>35</v>
      </c>
      <c r="M127" s="2">
        <v>18</v>
      </c>
      <c r="N127" s="2">
        <v>13</v>
      </c>
      <c r="O127" s="11">
        <v>44737.482520104168</v>
      </c>
      <c r="P127" s="11">
        <v>44737.48296050926</v>
      </c>
      <c r="Q127" s="27">
        <v>4.4040509237674996E-4</v>
      </c>
      <c r="R127" s="27">
        <v>1.7895370401674882E-3</v>
      </c>
      <c r="S127" s="2">
        <v>0</v>
      </c>
      <c r="T127" s="2" t="s">
        <v>54</v>
      </c>
      <c r="U127" s="2" t="s">
        <v>55</v>
      </c>
      <c r="V127" s="2" t="s">
        <v>38</v>
      </c>
      <c r="W127" s="2" t="s">
        <v>35</v>
      </c>
      <c r="X127" s="2" t="s">
        <v>35</v>
      </c>
      <c r="Y127" s="2" t="s">
        <v>35</v>
      </c>
      <c r="Z127" s="2" t="b">
        <v>0</v>
      </c>
      <c r="AA127" s="2" t="s">
        <v>35</v>
      </c>
      <c r="AB127" s="2" t="s">
        <v>35</v>
      </c>
      <c r="AC127" s="2" t="s">
        <v>35</v>
      </c>
      <c r="AD127" s="2" t="s">
        <v>35</v>
      </c>
      <c r="AE127" s="2" t="s">
        <v>792</v>
      </c>
      <c r="AF127" s="11">
        <v>44737.463888831022</v>
      </c>
      <c r="AG127" s="53"/>
      <c r="AH127" s="53" t="b">
        <f t="shared" si="4"/>
        <v>0</v>
      </c>
      <c r="AI127" s="54" t="s">
        <v>9942</v>
      </c>
      <c r="AJ127" s="2"/>
      <c r="AK127" s="2"/>
      <c r="AL127" s="2"/>
      <c r="AM127" s="2"/>
      <c r="AN127" s="2"/>
    </row>
    <row r="128" spans="1:40" ht="16" x14ac:dyDescent="0.2">
      <c r="A128" s="2" t="s">
        <v>830</v>
      </c>
      <c r="B128" s="2">
        <v>248</v>
      </c>
      <c r="C128" s="2" t="b">
        <v>0</v>
      </c>
      <c r="D128" s="2" t="b">
        <v>0</v>
      </c>
      <c r="E128" s="2" t="b">
        <v>0</v>
      </c>
      <c r="F128" s="2" t="b">
        <v>0</v>
      </c>
      <c r="G128" s="2" t="s">
        <v>31</v>
      </c>
      <c r="H128" s="2" t="s">
        <v>831</v>
      </c>
      <c r="I128" s="2" t="s">
        <v>832</v>
      </c>
      <c r="J128" s="2" t="s">
        <v>35</v>
      </c>
      <c r="K128" s="2" t="s">
        <v>35</v>
      </c>
      <c r="L128" s="2" t="s">
        <v>35</v>
      </c>
      <c r="M128" s="2">
        <v>13</v>
      </c>
      <c r="N128" s="2">
        <v>15</v>
      </c>
      <c r="O128" s="11">
        <v>44737.483042106483</v>
      </c>
      <c r="P128" s="11">
        <v>44737.483380254627</v>
      </c>
      <c r="Q128" s="27">
        <v>3.3814814378274605E-4</v>
      </c>
      <c r="R128" s="27">
        <v>4.1974536725319922E-4</v>
      </c>
      <c r="S128" s="2">
        <v>0</v>
      </c>
      <c r="T128" s="2" t="s">
        <v>54</v>
      </c>
      <c r="U128" s="2" t="s">
        <v>55</v>
      </c>
      <c r="V128" s="2" t="s">
        <v>38</v>
      </c>
      <c r="W128" s="2" t="s">
        <v>35</v>
      </c>
      <c r="X128" s="2" t="s">
        <v>35</v>
      </c>
      <c r="Y128" s="2" t="s">
        <v>35</v>
      </c>
      <c r="Z128" s="2" t="b">
        <v>0</v>
      </c>
      <c r="AA128" s="2" t="s">
        <v>35</v>
      </c>
      <c r="AB128" s="2" t="s">
        <v>35</v>
      </c>
      <c r="AC128" s="2" t="s">
        <v>35</v>
      </c>
      <c r="AD128" s="2" t="s">
        <v>35</v>
      </c>
      <c r="AE128" s="2" t="s">
        <v>792</v>
      </c>
      <c r="AF128" s="11">
        <v>44737.463888831022</v>
      </c>
      <c r="AG128" s="53"/>
      <c r="AH128" s="53" t="b">
        <f t="shared" si="4"/>
        <v>0</v>
      </c>
      <c r="AI128" s="54" t="s">
        <v>9943</v>
      </c>
      <c r="AJ128" s="2"/>
      <c r="AK128" s="2"/>
      <c r="AL128" s="2"/>
      <c r="AM128" s="2"/>
      <c r="AN128" s="2"/>
    </row>
    <row r="129" spans="1:40" ht="16" x14ac:dyDescent="0.2">
      <c r="A129" s="68" t="s">
        <v>907</v>
      </c>
      <c r="B129" s="68">
        <v>272</v>
      </c>
      <c r="C129" s="68" t="b">
        <v>0</v>
      </c>
      <c r="D129" s="68" t="b">
        <v>0</v>
      </c>
      <c r="E129" s="68" t="b">
        <v>0</v>
      </c>
      <c r="F129" s="68" t="b">
        <v>0</v>
      </c>
      <c r="G129" s="68" t="s">
        <v>31</v>
      </c>
      <c r="H129" s="68" t="s">
        <v>149</v>
      </c>
      <c r="I129" s="68" t="s">
        <v>908</v>
      </c>
      <c r="J129" s="68" t="s">
        <v>35</v>
      </c>
      <c r="K129" s="68" t="s">
        <v>35</v>
      </c>
      <c r="L129" s="68" t="s">
        <v>35</v>
      </c>
      <c r="M129" s="68">
        <v>15</v>
      </c>
      <c r="N129" s="68">
        <v>15</v>
      </c>
      <c r="O129" s="69">
        <v>44737.524007858796</v>
      </c>
      <c r="P129" s="69">
        <v>44737.524369988423</v>
      </c>
      <c r="Q129" s="70">
        <v>3.6212962731951848E-4</v>
      </c>
      <c r="R129" s="70">
        <v>6.1784721765434369E-4</v>
      </c>
      <c r="S129" s="68">
        <v>0</v>
      </c>
      <c r="T129" s="68" t="s">
        <v>54</v>
      </c>
      <c r="U129" s="68" t="s">
        <v>55</v>
      </c>
      <c r="V129" s="68" t="s">
        <v>38</v>
      </c>
      <c r="W129" s="68" t="s">
        <v>35</v>
      </c>
      <c r="X129" s="68" t="s">
        <v>35</v>
      </c>
      <c r="Y129" s="68" t="s">
        <v>35</v>
      </c>
      <c r="Z129" s="68" t="b">
        <v>0</v>
      </c>
      <c r="AA129" s="68" t="s">
        <v>35</v>
      </c>
      <c r="AB129" s="68" t="s">
        <v>35</v>
      </c>
      <c r="AC129" s="68" t="s">
        <v>35</v>
      </c>
      <c r="AD129" s="68" t="s">
        <v>35</v>
      </c>
      <c r="AE129" s="68" t="s">
        <v>792</v>
      </c>
      <c r="AF129" s="69">
        <v>44737.463888831022</v>
      </c>
      <c r="AG129" s="71"/>
      <c r="AH129" s="53" t="b">
        <f t="shared" si="4"/>
        <v>0</v>
      </c>
      <c r="AI129" s="56" t="s">
        <v>35</v>
      </c>
      <c r="AJ129" s="68"/>
      <c r="AK129" s="68"/>
      <c r="AL129" s="68"/>
      <c r="AM129" s="68"/>
      <c r="AN129" s="68"/>
    </row>
    <row r="130" spans="1:40" ht="16" x14ac:dyDescent="0.2">
      <c r="A130" s="2" t="s">
        <v>921</v>
      </c>
      <c r="B130" s="2">
        <v>277</v>
      </c>
      <c r="C130" s="2" t="b">
        <v>0</v>
      </c>
      <c r="D130" s="2" t="b">
        <v>0</v>
      </c>
      <c r="E130" s="2" t="b">
        <v>0</v>
      </c>
      <c r="F130" s="2" t="b">
        <v>0</v>
      </c>
      <c r="G130" s="2" t="s">
        <v>31</v>
      </c>
      <c r="H130" s="2" t="s">
        <v>922</v>
      </c>
      <c r="I130" s="2" t="s">
        <v>923</v>
      </c>
      <c r="J130" s="2" t="s">
        <v>35</v>
      </c>
      <c r="K130" s="2" t="s">
        <v>35</v>
      </c>
      <c r="L130" s="2" t="s">
        <v>35</v>
      </c>
      <c r="M130" s="2">
        <v>31</v>
      </c>
      <c r="N130" s="2">
        <v>15</v>
      </c>
      <c r="O130" s="11">
        <v>44737.52978921296</v>
      </c>
      <c r="P130" s="11">
        <v>44737.53038621528</v>
      </c>
      <c r="Q130" s="27">
        <v>5.9700231940951198E-4</v>
      </c>
      <c r="R130" s="27">
        <v>1.1198379652341828E-3</v>
      </c>
      <c r="S130" s="2">
        <v>0</v>
      </c>
      <c r="T130" s="2" t="s">
        <v>54</v>
      </c>
      <c r="U130" s="2" t="s">
        <v>55</v>
      </c>
      <c r="V130" s="2" t="s">
        <v>38</v>
      </c>
      <c r="W130" s="2" t="s">
        <v>35</v>
      </c>
      <c r="X130" s="2" t="s">
        <v>35</v>
      </c>
      <c r="Y130" s="2" t="s">
        <v>35</v>
      </c>
      <c r="Z130" s="2" t="b">
        <v>0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2" t="s">
        <v>792</v>
      </c>
      <c r="AF130" s="11">
        <v>44737.463888831022</v>
      </c>
      <c r="AG130" s="53"/>
      <c r="AH130" s="53" t="b">
        <f t="shared" si="4"/>
        <v>0</v>
      </c>
      <c r="AI130" s="54" t="s">
        <v>9944</v>
      </c>
      <c r="AJ130" s="2"/>
      <c r="AK130" s="2"/>
      <c r="AL130" s="2"/>
      <c r="AM130" s="2"/>
      <c r="AN130" s="2"/>
    </row>
    <row r="131" spans="1:40" ht="16" x14ac:dyDescent="0.2">
      <c r="A131" s="2" t="s">
        <v>924</v>
      </c>
      <c r="B131" s="2">
        <v>278</v>
      </c>
      <c r="C131" s="2" t="b">
        <v>0</v>
      </c>
      <c r="D131" s="2" t="b">
        <v>0</v>
      </c>
      <c r="E131" s="2" t="b">
        <v>0</v>
      </c>
      <c r="F131" s="2" t="b">
        <v>0</v>
      </c>
      <c r="G131" s="2" t="s">
        <v>31</v>
      </c>
      <c r="H131" s="2" t="s">
        <v>925</v>
      </c>
      <c r="I131" s="2" t="s">
        <v>926</v>
      </c>
      <c r="J131" s="2" t="s">
        <v>927</v>
      </c>
      <c r="K131" s="2" t="s">
        <v>35</v>
      </c>
      <c r="L131" s="2" t="s">
        <v>35</v>
      </c>
      <c r="M131" s="2" t="s">
        <v>35</v>
      </c>
      <c r="N131" s="2" t="s">
        <v>35</v>
      </c>
      <c r="O131" s="11">
        <v>44737.530469282407</v>
      </c>
      <c r="P131" s="11">
        <v>44737.530909502311</v>
      </c>
      <c r="Q131" s="27">
        <v>4.4021990470355377E-4</v>
      </c>
      <c r="R131" s="27">
        <v>5.232870316831395E-4</v>
      </c>
      <c r="S131" s="2">
        <v>0</v>
      </c>
      <c r="T131" s="2" t="s">
        <v>54</v>
      </c>
      <c r="U131" s="2" t="s">
        <v>55</v>
      </c>
      <c r="V131" s="2" t="s">
        <v>38</v>
      </c>
      <c r="W131" s="2" t="s">
        <v>35</v>
      </c>
      <c r="X131" s="2" t="s">
        <v>35</v>
      </c>
      <c r="Y131" s="2" t="s">
        <v>35</v>
      </c>
      <c r="Z131" s="2" t="b">
        <v>0</v>
      </c>
      <c r="AA131" s="2" t="s">
        <v>35</v>
      </c>
      <c r="AB131" s="2" t="s">
        <v>35</v>
      </c>
      <c r="AC131" s="2" t="s">
        <v>35</v>
      </c>
      <c r="AD131" s="2" t="s">
        <v>35</v>
      </c>
      <c r="AE131" s="2" t="s">
        <v>792</v>
      </c>
      <c r="AF131" s="11">
        <v>44737.463888831022</v>
      </c>
      <c r="AG131" s="53"/>
      <c r="AH131" s="53" t="b">
        <f t="shared" si="4"/>
        <v>0</v>
      </c>
      <c r="AI131" s="54" t="s">
        <v>9945</v>
      </c>
      <c r="AJ131" s="2"/>
      <c r="AK131" s="2"/>
      <c r="AL131" s="2"/>
      <c r="AM131" s="2"/>
      <c r="AN131" s="2"/>
    </row>
    <row r="132" spans="1:40" ht="16" x14ac:dyDescent="0.2">
      <c r="A132" s="2" t="s">
        <v>931</v>
      </c>
      <c r="B132" s="2">
        <v>280</v>
      </c>
      <c r="C132" s="2" t="b">
        <v>0</v>
      </c>
      <c r="D132" s="2" t="b">
        <v>0</v>
      </c>
      <c r="E132" s="2" t="b">
        <v>0</v>
      </c>
      <c r="F132" s="2" t="b">
        <v>0</v>
      </c>
      <c r="G132" s="2" t="s">
        <v>31</v>
      </c>
      <c r="H132" s="2" t="s">
        <v>932</v>
      </c>
      <c r="I132" s="2" t="s">
        <v>933</v>
      </c>
      <c r="J132" s="2" t="s">
        <v>35</v>
      </c>
      <c r="K132" s="2" t="s">
        <v>35</v>
      </c>
      <c r="L132" s="2" t="s">
        <v>35</v>
      </c>
      <c r="M132" s="2">
        <v>29</v>
      </c>
      <c r="N132" s="2">
        <v>16</v>
      </c>
      <c r="O132" s="11">
        <v>44737.532494965279</v>
      </c>
      <c r="P132" s="11">
        <v>44737.533045694443</v>
      </c>
      <c r="Q132" s="27">
        <v>5.5072916438803077E-4</v>
      </c>
      <c r="R132" s="27">
        <v>8.2309027493465692E-4</v>
      </c>
      <c r="S132" s="2">
        <v>0</v>
      </c>
      <c r="T132" s="2" t="s">
        <v>54</v>
      </c>
      <c r="U132" s="2" t="s">
        <v>55</v>
      </c>
      <c r="V132" s="2" t="s">
        <v>38</v>
      </c>
      <c r="W132" s="2" t="s">
        <v>35</v>
      </c>
      <c r="X132" s="2" t="s">
        <v>35</v>
      </c>
      <c r="Y132" s="2" t="s">
        <v>35</v>
      </c>
      <c r="Z132" s="2" t="b">
        <v>0</v>
      </c>
      <c r="AA132" s="2" t="s">
        <v>35</v>
      </c>
      <c r="AB132" s="2" t="s">
        <v>35</v>
      </c>
      <c r="AC132" s="2" t="s">
        <v>35</v>
      </c>
      <c r="AD132" s="2" t="s">
        <v>35</v>
      </c>
      <c r="AE132" s="2" t="s">
        <v>792</v>
      </c>
      <c r="AF132" s="11">
        <v>44737.463888831022</v>
      </c>
      <c r="AG132" s="53"/>
      <c r="AH132" s="53" t="b">
        <f t="shared" si="4"/>
        <v>0</v>
      </c>
      <c r="AI132" s="54" t="s">
        <v>9946</v>
      </c>
      <c r="AJ132" s="2"/>
      <c r="AK132" s="2"/>
      <c r="AL132" s="2"/>
      <c r="AM132" s="2"/>
      <c r="AN132" s="2"/>
    </row>
    <row r="133" spans="1:40" ht="16" x14ac:dyDescent="0.2">
      <c r="A133" s="2" t="s">
        <v>934</v>
      </c>
      <c r="B133" s="2">
        <v>281</v>
      </c>
      <c r="C133" s="2" t="b">
        <v>0</v>
      </c>
      <c r="D133" s="2" t="b">
        <v>0</v>
      </c>
      <c r="E133" s="2" t="b">
        <v>0</v>
      </c>
      <c r="F133" s="2" t="b">
        <v>0</v>
      </c>
      <c r="G133" s="2" t="s">
        <v>31</v>
      </c>
      <c r="H133" s="2" t="s">
        <v>935</v>
      </c>
      <c r="I133" s="2" t="s">
        <v>936</v>
      </c>
      <c r="J133" s="2" t="s">
        <v>35</v>
      </c>
      <c r="K133" s="2" t="s">
        <v>35</v>
      </c>
      <c r="L133" s="2" t="s">
        <v>35</v>
      </c>
      <c r="M133" s="2">
        <v>29</v>
      </c>
      <c r="N133" s="2">
        <v>15</v>
      </c>
      <c r="O133" s="11">
        <v>44737.533099421293</v>
      </c>
      <c r="P133" s="11">
        <v>44737.533664710645</v>
      </c>
      <c r="Q133" s="27">
        <v>5.6528935238020495E-4</v>
      </c>
      <c r="R133" s="27">
        <v>6.1901620210846886E-4</v>
      </c>
      <c r="S133" s="2">
        <v>0</v>
      </c>
      <c r="T133" s="2" t="s">
        <v>54</v>
      </c>
      <c r="U133" s="2" t="s">
        <v>55</v>
      </c>
      <c r="V133" s="2" t="s">
        <v>38</v>
      </c>
      <c r="W133" s="2" t="s">
        <v>35</v>
      </c>
      <c r="X133" s="2" t="s">
        <v>35</v>
      </c>
      <c r="Y133" s="2" t="s">
        <v>35</v>
      </c>
      <c r="Z133" s="2" t="b">
        <v>0</v>
      </c>
      <c r="AA133" s="2" t="s">
        <v>35</v>
      </c>
      <c r="AB133" s="2" t="s">
        <v>35</v>
      </c>
      <c r="AC133" s="2" t="s">
        <v>35</v>
      </c>
      <c r="AD133" s="2" t="s">
        <v>35</v>
      </c>
      <c r="AE133" s="2" t="s">
        <v>792</v>
      </c>
      <c r="AF133" s="11">
        <v>44737.463888831022</v>
      </c>
      <c r="AG133" s="53"/>
      <c r="AH133" s="53" t="b">
        <f t="shared" si="4"/>
        <v>0</v>
      </c>
      <c r="AI133" s="54" t="s">
        <v>9947</v>
      </c>
      <c r="AJ133" s="2"/>
      <c r="AK133" s="2"/>
      <c r="AL133" s="2"/>
      <c r="AM133" s="2"/>
      <c r="AN133" s="2"/>
    </row>
    <row r="134" spans="1:40" ht="16" x14ac:dyDescent="0.2">
      <c r="A134" s="2" t="s">
        <v>973</v>
      </c>
      <c r="B134" s="2">
        <v>293</v>
      </c>
      <c r="C134" s="2" t="b">
        <v>0</v>
      </c>
      <c r="D134" s="2" t="b">
        <v>0</v>
      </c>
      <c r="E134" s="2" t="b">
        <v>0</v>
      </c>
      <c r="F134" s="2" t="b">
        <v>0</v>
      </c>
      <c r="G134" s="2" t="s">
        <v>31</v>
      </c>
      <c r="H134" s="2" t="s">
        <v>974</v>
      </c>
      <c r="I134" s="2" t="s">
        <v>975</v>
      </c>
      <c r="J134" s="2" t="s">
        <v>35</v>
      </c>
      <c r="K134" s="2" t="s">
        <v>35</v>
      </c>
      <c r="L134" s="2" t="s">
        <v>35</v>
      </c>
      <c r="M134" s="2">
        <v>25</v>
      </c>
      <c r="N134" s="2">
        <v>16</v>
      </c>
      <c r="O134" s="11">
        <v>44740.462459942129</v>
      </c>
      <c r="P134" s="11">
        <v>44740.46523021991</v>
      </c>
      <c r="Q134" s="27">
        <v>2.7702777806553058E-3</v>
      </c>
      <c r="R134" s="27">
        <v>4.4895486134919338E-3</v>
      </c>
      <c r="S134" s="2">
        <v>0</v>
      </c>
      <c r="T134" s="2" t="s">
        <v>54</v>
      </c>
      <c r="U134" s="2" t="s">
        <v>55</v>
      </c>
      <c r="V134" s="2" t="s">
        <v>38</v>
      </c>
      <c r="W134" s="2" t="s">
        <v>35</v>
      </c>
      <c r="X134" s="2" t="s">
        <v>35</v>
      </c>
      <c r="Y134" s="2" t="s">
        <v>35</v>
      </c>
      <c r="Z134" s="2" t="b">
        <v>0</v>
      </c>
      <c r="AA134" s="2" t="s">
        <v>35</v>
      </c>
      <c r="AB134" s="2" t="s">
        <v>35</v>
      </c>
      <c r="AC134" s="2" t="s">
        <v>35</v>
      </c>
      <c r="AD134" s="2" t="s">
        <v>35</v>
      </c>
      <c r="AE134" s="2" t="s">
        <v>941</v>
      </c>
      <c r="AF134" s="11">
        <v>44740.448611053238</v>
      </c>
      <c r="AG134" s="53"/>
      <c r="AH134" s="53" t="str">
        <f t="shared" si="4"/>
        <v>TRUE</v>
      </c>
      <c r="AI134" s="54" t="s">
        <v>9595</v>
      </c>
      <c r="AJ134" s="2"/>
      <c r="AK134" s="2"/>
      <c r="AL134" s="2"/>
      <c r="AM134" s="2"/>
      <c r="AN134" s="2"/>
    </row>
    <row r="135" spans="1:40" ht="16" x14ac:dyDescent="0.2">
      <c r="A135" s="2" t="s">
        <v>1017</v>
      </c>
      <c r="B135" s="2">
        <v>306</v>
      </c>
      <c r="C135" s="2" t="b">
        <v>0</v>
      </c>
      <c r="D135" s="2" t="b">
        <v>0</v>
      </c>
      <c r="E135" s="2" t="b">
        <v>0</v>
      </c>
      <c r="F135" s="2" t="b">
        <v>0</v>
      </c>
      <c r="G135" s="2" t="s">
        <v>31</v>
      </c>
      <c r="H135" s="2" t="s">
        <v>1018</v>
      </c>
      <c r="I135" s="2" t="s">
        <v>1019</v>
      </c>
      <c r="J135" s="2" t="s">
        <v>1020</v>
      </c>
      <c r="K135" s="2" t="s">
        <v>35</v>
      </c>
      <c r="L135" s="2" t="s">
        <v>35</v>
      </c>
      <c r="M135" s="2">
        <v>10</v>
      </c>
      <c r="N135" s="2">
        <v>15</v>
      </c>
      <c r="O135" s="11">
        <v>44740.489992303243</v>
      </c>
      <c r="P135" s="11">
        <v>44740.491162789353</v>
      </c>
      <c r="Q135" s="27">
        <v>1.1704861099133268E-3</v>
      </c>
      <c r="R135" s="27">
        <v>5.0419444451108575E-3</v>
      </c>
      <c r="S135" s="2">
        <v>0</v>
      </c>
      <c r="T135" s="2" t="s">
        <v>54</v>
      </c>
      <c r="U135" s="2" t="s">
        <v>55</v>
      </c>
      <c r="V135" s="2" t="s">
        <v>38</v>
      </c>
      <c r="W135" s="2" t="s">
        <v>35</v>
      </c>
      <c r="X135" s="2" t="s">
        <v>35</v>
      </c>
      <c r="Y135" s="2" t="s">
        <v>35</v>
      </c>
      <c r="Z135" s="2" t="b">
        <v>0</v>
      </c>
      <c r="AA135" s="2" t="s">
        <v>35</v>
      </c>
      <c r="AB135" s="2" t="s">
        <v>35</v>
      </c>
      <c r="AC135" s="2" t="s">
        <v>35</v>
      </c>
      <c r="AD135" s="2" t="s">
        <v>35</v>
      </c>
      <c r="AE135" s="2" t="s">
        <v>941</v>
      </c>
      <c r="AF135" s="11">
        <v>44740.448611053238</v>
      </c>
      <c r="AG135" s="53"/>
      <c r="AH135" s="53" t="str">
        <f t="shared" si="4"/>
        <v>TRUE</v>
      </c>
      <c r="AI135" s="54" t="s">
        <v>9948</v>
      </c>
      <c r="AJ135" s="2"/>
      <c r="AK135" s="2"/>
      <c r="AL135" s="2"/>
      <c r="AM135" s="2"/>
      <c r="AN135" s="2"/>
    </row>
    <row r="136" spans="1:40" ht="16" x14ac:dyDescent="0.2">
      <c r="A136" s="68" t="s">
        <v>1021</v>
      </c>
      <c r="B136" s="68">
        <v>307</v>
      </c>
      <c r="C136" s="68" t="b">
        <v>0</v>
      </c>
      <c r="D136" s="68" t="b">
        <v>0</v>
      </c>
      <c r="E136" s="68" t="b">
        <v>0</v>
      </c>
      <c r="F136" s="68" t="b">
        <v>0</v>
      </c>
      <c r="G136" s="68" t="s">
        <v>31</v>
      </c>
      <c r="H136" s="68" t="s">
        <v>149</v>
      </c>
      <c r="I136" s="68" t="s">
        <v>1022</v>
      </c>
      <c r="J136" s="68" t="s">
        <v>1023</v>
      </c>
      <c r="K136" s="68" t="s">
        <v>35</v>
      </c>
      <c r="L136" s="68" t="s">
        <v>35</v>
      </c>
      <c r="M136" s="68">
        <v>3</v>
      </c>
      <c r="N136" s="68">
        <v>25</v>
      </c>
      <c r="O136" s="69">
        <v>44740.491403287037</v>
      </c>
      <c r="P136" s="69">
        <v>44740.491937824074</v>
      </c>
      <c r="Q136" s="70">
        <v>5.3453703731065616E-4</v>
      </c>
      <c r="R136" s="70">
        <v>7.7503472130047157E-4</v>
      </c>
      <c r="S136" s="68">
        <v>0</v>
      </c>
      <c r="T136" s="68" t="s">
        <v>54</v>
      </c>
      <c r="U136" s="68" t="s">
        <v>55</v>
      </c>
      <c r="V136" s="68" t="s">
        <v>38</v>
      </c>
      <c r="W136" s="68" t="s">
        <v>35</v>
      </c>
      <c r="X136" s="68" t="s">
        <v>35</v>
      </c>
      <c r="Y136" s="68" t="s">
        <v>35</v>
      </c>
      <c r="Z136" s="68" t="b">
        <v>0</v>
      </c>
      <c r="AA136" s="68" t="s">
        <v>35</v>
      </c>
      <c r="AB136" s="68" t="s">
        <v>35</v>
      </c>
      <c r="AC136" s="68" t="s">
        <v>35</v>
      </c>
      <c r="AD136" s="68" t="s">
        <v>35</v>
      </c>
      <c r="AE136" s="68" t="s">
        <v>941</v>
      </c>
      <c r="AF136" s="69">
        <v>44740.448611053238</v>
      </c>
      <c r="AG136" s="71"/>
      <c r="AH136" s="53" t="b">
        <f t="shared" si="4"/>
        <v>0</v>
      </c>
      <c r="AI136" s="56" t="s">
        <v>35</v>
      </c>
      <c r="AJ136" s="68"/>
      <c r="AK136" s="68"/>
      <c r="AL136" s="68"/>
      <c r="AM136" s="68"/>
      <c r="AN136" s="68"/>
    </row>
    <row r="137" spans="1:40" ht="16" x14ac:dyDescent="0.2">
      <c r="A137" s="2" t="s">
        <v>1052</v>
      </c>
      <c r="B137" s="2">
        <v>317</v>
      </c>
      <c r="C137" s="2" t="b">
        <v>0</v>
      </c>
      <c r="D137" s="2" t="b">
        <v>0</v>
      </c>
      <c r="E137" s="2" t="b">
        <v>0</v>
      </c>
      <c r="F137" s="2" t="b">
        <v>0</v>
      </c>
      <c r="G137" s="2" t="s">
        <v>31</v>
      </c>
      <c r="H137" s="2" t="s">
        <v>1053</v>
      </c>
      <c r="I137" s="2" t="s">
        <v>1054</v>
      </c>
      <c r="J137" s="2" t="s">
        <v>35</v>
      </c>
      <c r="K137" s="2" t="s">
        <v>35</v>
      </c>
      <c r="L137" s="2" t="s">
        <v>35</v>
      </c>
      <c r="M137" s="2">
        <v>3</v>
      </c>
      <c r="N137" s="2">
        <v>15</v>
      </c>
      <c r="O137" s="11">
        <v>44740.506672291667</v>
      </c>
      <c r="P137" s="11">
        <v>44740.506927175928</v>
      </c>
      <c r="Q137" s="27">
        <v>2.5488426035735756E-4</v>
      </c>
      <c r="R137" s="27">
        <v>2.3994212970137596E-3</v>
      </c>
      <c r="S137" s="2">
        <v>0</v>
      </c>
      <c r="T137" s="2" t="s">
        <v>54</v>
      </c>
      <c r="U137" s="2" t="s">
        <v>55</v>
      </c>
      <c r="V137" s="2" t="s">
        <v>38</v>
      </c>
      <c r="W137" s="2" t="s">
        <v>35</v>
      </c>
      <c r="X137" s="2" t="s">
        <v>35</v>
      </c>
      <c r="Y137" s="2" t="s">
        <v>35</v>
      </c>
      <c r="Z137" s="2" t="b">
        <v>0</v>
      </c>
      <c r="AA137" s="2" t="s">
        <v>35</v>
      </c>
      <c r="AB137" s="2" t="s">
        <v>35</v>
      </c>
      <c r="AC137" s="2" t="s">
        <v>35</v>
      </c>
      <c r="AD137" s="2" t="s">
        <v>35</v>
      </c>
      <c r="AE137" s="2" t="s">
        <v>941</v>
      </c>
      <c r="AF137" s="11">
        <v>44740.448611053238</v>
      </c>
      <c r="AG137" s="53"/>
      <c r="AH137" s="53" t="b">
        <f t="shared" si="4"/>
        <v>0</v>
      </c>
      <c r="AI137" s="54" t="s">
        <v>9949</v>
      </c>
      <c r="AJ137" s="2"/>
      <c r="AK137" s="2"/>
      <c r="AL137" s="2"/>
      <c r="AM137" s="2"/>
      <c r="AN137" s="2"/>
    </row>
    <row r="138" spans="1:40" ht="16" x14ac:dyDescent="0.2">
      <c r="A138" s="2" t="s">
        <v>1058</v>
      </c>
      <c r="B138" s="2">
        <v>319</v>
      </c>
      <c r="C138" s="2" t="b">
        <v>0</v>
      </c>
      <c r="D138" s="2" t="b">
        <v>0</v>
      </c>
      <c r="E138" s="2" t="b">
        <v>0</v>
      </c>
      <c r="F138" s="2" t="b">
        <v>0</v>
      </c>
      <c r="G138" s="2" t="s">
        <v>31</v>
      </c>
      <c r="H138" s="2" t="s">
        <v>1059</v>
      </c>
      <c r="I138" s="2" t="s">
        <v>1060</v>
      </c>
      <c r="J138" s="2" t="s">
        <v>35</v>
      </c>
      <c r="K138" s="2" t="s">
        <v>35</v>
      </c>
      <c r="L138" s="2" t="s">
        <v>35</v>
      </c>
      <c r="M138" s="2">
        <v>3</v>
      </c>
      <c r="N138" s="2">
        <v>15</v>
      </c>
      <c r="O138" s="11">
        <v>44740.508977511578</v>
      </c>
      <c r="P138" s="11">
        <v>44740.509178217595</v>
      </c>
      <c r="Q138" s="27">
        <v>2.0070601749466732E-4</v>
      </c>
      <c r="R138" s="27">
        <v>1.9426736107561737E-3</v>
      </c>
      <c r="S138" s="2">
        <v>0</v>
      </c>
      <c r="T138" s="2" t="s">
        <v>54</v>
      </c>
      <c r="U138" s="2" t="s">
        <v>55</v>
      </c>
      <c r="V138" s="2" t="s">
        <v>38</v>
      </c>
      <c r="W138" s="2" t="s">
        <v>35</v>
      </c>
      <c r="X138" s="2" t="s">
        <v>35</v>
      </c>
      <c r="Y138" s="2" t="s">
        <v>35</v>
      </c>
      <c r="Z138" s="2" t="b">
        <v>0</v>
      </c>
      <c r="AA138" s="2" t="s">
        <v>35</v>
      </c>
      <c r="AB138" s="2" t="s">
        <v>35</v>
      </c>
      <c r="AC138" s="2" t="s">
        <v>35</v>
      </c>
      <c r="AD138" s="2" t="s">
        <v>35</v>
      </c>
      <c r="AE138" s="2" t="s">
        <v>941</v>
      </c>
      <c r="AF138" s="11">
        <v>44740.448611053238</v>
      </c>
      <c r="AG138" s="53"/>
      <c r="AH138" s="53" t="b">
        <f t="shared" si="4"/>
        <v>0</v>
      </c>
      <c r="AI138" s="54" t="s">
        <v>9950</v>
      </c>
      <c r="AJ138" s="2"/>
      <c r="AK138" s="2"/>
      <c r="AL138" s="2"/>
      <c r="AM138" s="2"/>
      <c r="AN138" s="2"/>
    </row>
    <row r="139" spans="1:40" ht="16" x14ac:dyDescent="0.2">
      <c r="A139" s="2" t="s">
        <v>1064</v>
      </c>
      <c r="B139" s="2">
        <v>321</v>
      </c>
      <c r="C139" s="2" t="b">
        <v>0</v>
      </c>
      <c r="D139" s="2" t="b">
        <v>0</v>
      </c>
      <c r="E139" s="2" t="b">
        <v>0</v>
      </c>
      <c r="F139" s="2" t="b">
        <v>0</v>
      </c>
      <c r="G139" s="2" t="s">
        <v>31</v>
      </c>
      <c r="H139" s="2" t="s">
        <v>1065</v>
      </c>
      <c r="I139" s="2" t="s">
        <v>1066</v>
      </c>
      <c r="J139" s="2" t="s">
        <v>35</v>
      </c>
      <c r="K139" s="2" t="s">
        <v>35</v>
      </c>
      <c r="L139" s="2" t="s">
        <v>35</v>
      </c>
      <c r="M139" s="2">
        <v>2</v>
      </c>
      <c r="N139" s="2">
        <v>16</v>
      </c>
      <c r="O139" s="11">
        <v>44740.510803761572</v>
      </c>
      <c r="P139" s="11">
        <v>44740.511019560188</v>
      </c>
      <c r="Q139" s="27">
        <v>2.1579861640930176E-4</v>
      </c>
      <c r="R139" s="27">
        <v>1.6067013930296525E-3</v>
      </c>
      <c r="S139" s="2">
        <v>0</v>
      </c>
      <c r="T139" s="2" t="s">
        <v>54</v>
      </c>
      <c r="U139" s="2" t="s">
        <v>55</v>
      </c>
      <c r="V139" s="2" t="s">
        <v>38</v>
      </c>
      <c r="W139" s="2" t="s">
        <v>35</v>
      </c>
      <c r="X139" s="2" t="s">
        <v>35</v>
      </c>
      <c r="Y139" s="2" t="s">
        <v>35</v>
      </c>
      <c r="Z139" s="2" t="b">
        <v>0</v>
      </c>
      <c r="AA139" s="2" t="s">
        <v>35</v>
      </c>
      <c r="AB139" s="2" t="s">
        <v>35</v>
      </c>
      <c r="AC139" s="2" t="s">
        <v>35</v>
      </c>
      <c r="AD139" s="2" t="s">
        <v>35</v>
      </c>
      <c r="AE139" s="2" t="s">
        <v>941</v>
      </c>
      <c r="AF139" s="11">
        <v>44740.448611053238</v>
      </c>
      <c r="AG139" s="53"/>
      <c r="AH139" s="53" t="b">
        <f t="shared" si="4"/>
        <v>0</v>
      </c>
      <c r="AI139" s="54" t="s">
        <v>9951</v>
      </c>
      <c r="AJ139" s="2"/>
      <c r="AK139" s="2"/>
      <c r="AL139" s="2"/>
      <c r="AM139" s="2"/>
      <c r="AN139" s="2"/>
    </row>
    <row r="140" spans="1:40" ht="16" x14ac:dyDescent="0.2">
      <c r="A140" s="2" t="s">
        <v>1111</v>
      </c>
      <c r="B140" s="2">
        <v>335</v>
      </c>
      <c r="C140" s="2" t="b">
        <v>0</v>
      </c>
      <c r="D140" s="2" t="b">
        <v>0</v>
      </c>
      <c r="E140" s="2" t="b">
        <v>0</v>
      </c>
      <c r="F140" s="2" t="b">
        <v>0</v>
      </c>
      <c r="G140" s="2" t="s">
        <v>31</v>
      </c>
      <c r="H140" s="2" t="s">
        <v>1112</v>
      </c>
      <c r="I140" s="2" t="s">
        <v>1113</v>
      </c>
      <c r="J140" s="2" t="s">
        <v>35</v>
      </c>
      <c r="K140" s="2" t="s">
        <v>35</v>
      </c>
      <c r="L140" s="2" t="s">
        <v>35</v>
      </c>
      <c r="M140" s="2">
        <v>10</v>
      </c>
      <c r="N140" s="2">
        <v>15</v>
      </c>
      <c r="O140" s="11">
        <v>44740.538316435188</v>
      </c>
      <c r="P140" s="11">
        <v>44740.538740069445</v>
      </c>
      <c r="Q140" s="27">
        <v>4.2363425745861605E-4</v>
      </c>
      <c r="R140" s="27">
        <v>4.8648148367647082E-4</v>
      </c>
      <c r="S140" s="2">
        <v>0</v>
      </c>
      <c r="T140" s="2" t="s">
        <v>54</v>
      </c>
      <c r="U140" s="2" t="s">
        <v>55</v>
      </c>
      <c r="V140" s="2" t="s">
        <v>38</v>
      </c>
      <c r="W140" s="2" t="s">
        <v>35</v>
      </c>
      <c r="X140" s="2" t="s">
        <v>35</v>
      </c>
      <c r="Y140" s="2" t="s">
        <v>35</v>
      </c>
      <c r="Z140" s="2" t="b">
        <v>1</v>
      </c>
      <c r="AA140" s="2" t="s">
        <v>35</v>
      </c>
      <c r="AB140" s="2" t="s">
        <v>35</v>
      </c>
      <c r="AC140" s="2" t="s">
        <v>35</v>
      </c>
      <c r="AD140" s="2" t="s">
        <v>35</v>
      </c>
      <c r="AE140" s="2" t="s">
        <v>941</v>
      </c>
      <c r="AF140" s="11">
        <v>44740.448611053238</v>
      </c>
      <c r="AG140" s="53"/>
      <c r="AH140" s="53" t="b">
        <f t="shared" si="4"/>
        <v>0</v>
      </c>
      <c r="AI140" s="54" t="s">
        <v>9594</v>
      </c>
      <c r="AJ140" s="2"/>
      <c r="AK140" s="2"/>
      <c r="AL140" s="2"/>
      <c r="AM140" s="2"/>
      <c r="AN140" s="2"/>
    </row>
    <row r="141" spans="1:40" ht="16" x14ac:dyDescent="0.2">
      <c r="A141" s="2" t="s">
        <v>1145</v>
      </c>
      <c r="B141" s="2">
        <v>345</v>
      </c>
      <c r="C141" s="2" t="b">
        <v>0</v>
      </c>
      <c r="D141" s="2" t="b">
        <v>0</v>
      </c>
      <c r="E141" s="2" t="b">
        <v>0</v>
      </c>
      <c r="F141" s="2" t="b">
        <v>0</v>
      </c>
      <c r="G141" s="2" t="s">
        <v>31</v>
      </c>
      <c r="H141" s="2" t="s">
        <v>1146</v>
      </c>
      <c r="I141" s="2" t="s">
        <v>1147</v>
      </c>
      <c r="J141" s="2" t="s">
        <v>35</v>
      </c>
      <c r="K141" s="2" t="s">
        <v>35</v>
      </c>
      <c r="L141" s="2" t="s">
        <v>35</v>
      </c>
      <c r="M141" s="2">
        <v>15</v>
      </c>
      <c r="N141" s="2">
        <v>17</v>
      </c>
      <c r="O141" s="11">
        <v>44743.616460011574</v>
      </c>
      <c r="P141" s="11">
        <v>44743.616722037033</v>
      </c>
      <c r="Q141" s="27">
        <v>2.620254599605687E-4</v>
      </c>
      <c r="R141" s="27">
        <v>3.4494212741265073E-4</v>
      </c>
      <c r="S141" s="2">
        <v>0</v>
      </c>
      <c r="T141" s="2" t="s">
        <v>54</v>
      </c>
      <c r="U141" s="2" t="s">
        <v>55</v>
      </c>
      <c r="V141" s="2" t="s">
        <v>38</v>
      </c>
      <c r="W141" s="2" t="s">
        <v>35</v>
      </c>
      <c r="X141" s="2" t="s">
        <v>35</v>
      </c>
      <c r="Y141" s="2" t="s">
        <v>35</v>
      </c>
      <c r="Z141" s="2" t="b">
        <v>0</v>
      </c>
      <c r="AA141" s="2" t="s">
        <v>35</v>
      </c>
      <c r="AB141" s="2" t="s">
        <v>35</v>
      </c>
      <c r="AC141" s="2" t="s">
        <v>35</v>
      </c>
      <c r="AD141" s="2" t="s">
        <v>35</v>
      </c>
      <c r="AE141" s="2" t="s">
        <v>1117</v>
      </c>
      <c r="AF141" s="11">
        <v>44743.590972164355</v>
      </c>
      <c r="AG141" s="53"/>
      <c r="AH141" s="53" t="b">
        <f t="shared" si="4"/>
        <v>0</v>
      </c>
      <c r="AI141" s="54" t="s">
        <v>9592</v>
      </c>
      <c r="AJ141" s="2"/>
      <c r="AK141" s="2"/>
      <c r="AL141" s="2"/>
      <c r="AM141" s="2"/>
      <c r="AN141" s="2"/>
    </row>
    <row r="142" spans="1:40" ht="16" x14ac:dyDescent="0.2">
      <c r="A142" s="2" t="s">
        <v>1166</v>
      </c>
      <c r="B142" s="2">
        <v>352</v>
      </c>
      <c r="C142" s="2" t="b">
        <v>0</v>
      </c>
      <c r="D142" s="2" t="b">
        <v>0</v>
      </c>
      <c r="E142" s="2" t="b">
        <v>0</v>
      </c>
      <c r="F142" s="2" t="b">
        <v>0</v>
      </c>
      <c r="G142" s="2" t="s">
        <v>31</v>
      </c>
      <c r="H142" s="2" t="s">
        <v>1167</v>
      </c>
      <c r="I142" s="2" t="s">
        <v>1168</v>
      </c>
      <c r="J142" s="2" t="s">
        <v>1169</v>
      </c>
      <c r="K142" s="2" t="s">
        <v>35</v>
      </c>
      <c r="L142" s="2" t="s">
        <v>35</v>
      </c>
      <c r="M142" s="2">
        <v>17</v>
      </c>
      <c r="N142" s="2">
        <v>9</v>
      </c>
      <c r="O142" s="11">
        <v>44743.625651770832</v>
      </c>
      <c r="P142" s="11">
        <v>44743.626227754627</v>
      </c>
      <c r="Q142" s="27">
        <v>5.7598379498813301E-4</v>
      </c>
      <c r="R142" s="27">
        <v>7.2560185071779415E-4</v>
      </c>
      <c r="S142" s="2">
        <v>0</v>
      </c>
      <c r="T142" s="2" t="s">
        <v>54</v>
      </c>
      <c r="U142" s="2" t="s">
        <v>55</v>
      </c>
      <c r="V142" s="2" t="s">
        <v>38</v>
      </c>
      <c r="W142" s="2" t="s">
        <v>35</v>
      </c>
      <c r="X142" s="2" t="s">
        <v>35</v>
      </c>
      <c r="Y142" s="2" t="s">
        <v>35</v>
      </c>
      <c r="Z142" s="2" t="b">
        <v>1</v>
      </c>
      <c r="AA142" s="2" t="s">
        <v>35</v>
      </c>
      <c r="AB142" s="2" t="s">
        <v>35</v>
      </c>
      <c r="AC142" s="2" t="s">
        <v>35</v>
      </c>
      <c r="AD142" s="2" t="s">
        <v>35</v>
      </c>
      <c r="AE142" s="2" t="s">
        <v>1117</v>
      </c>
      <c r="AF142" s="11">
        <v>44743.590972164355</v>
      </c>
      <c r="AG142" s="53"/>
      <c r="AH142" s="53" t="b">
        <f t="shared" si="4"/>
        <v>0</v>
      </c>
      <c r="AI142" s="54" t="s">
        <v>9952</v>
      </c>
      <c r="AJ142" s="2"/>
      <c r="AK142" s="2"/>
      <c r="AL142" s="2"/>
      <c r="AM142" s="2"/>
      <c r="AN142" s="2"/>
    </row>
    <row r="143" spans="1:40" ht="16" x14ac:dyDescent="0.2">
      <c r="A143" s="2" t="s">
        <v>1178</v>
      </c>
      <c r="B143" s="2">
        <v>355</v>
      </c>
      <c r="C143" s="2" t="b">
        <v>0</v>
      </c>
      <c r="D143" s="2" t="b">
        <v>0</v>
      </c>
      <c r="E143" s="2" t="b">
        <v>0</v>
      </c>
      <c r="F143" s="2" t="b">
        <v>0</v>
      </c>
      <c r="G143" s="2" t="s">
        <v>31</v>
      </c>
      <c r="H143" s="2" t="s">
        <v>1179</v>
      </c>
      <c r="I143" s="2" t="s">
        <v>1180</v>
      </c>
      <c r="J143" s="2" t="s">
        <v>1181</v>
      </c>
      <c r="K143" s="2" t="s">
        <v>35</v>
      </c>
      <c r="L143" s="2" t="s">
        <v>35</v>
      </c>
      <c r="M143" s="2">
        <v>13</v>
      </c>
      <c r="N143" s="2">
        <v>13</v>
      </c>
      <c r="O143" s="11">
        <v>44743.628727523152</v>
      </c>
      <c r="P143" s="11">
        <v>44743.629452800924</v>
      </c>
      <c r="Q143" s="27">
        <v>7.2527777228970081E-4</v>
      </c>
      <c r="R143" s="27">
        <v>1.2228124978719279E-3</v>
      </c>
      <c r="S143" s="2">
        <v>0</v>
      </c>
      <c r="T143" s="2" t="s">
        <v>54</v>
      </c>
      <c r="U143" s="2" t="s">
        <v>55</v>
      </c>
      <c r="V143" s="2" t="s">
        <v>38</v>
      </c>
      <c r="W143" s="2" t="s">
        <v>35</v>
      </c>
      <c r="X143" s="2" t="s">
        <v>35</v>
      </c>
      <c r="Y143" s="2" t="s">
        <v>35</v>
      </c>
      <c r="Z143" s="2" t="b">
        <v>1</v>
      </c>
      <c r="AA143" s="2" t="s">
        <v>35</v>
      </c>
      <c r="AB143" s="2" t="s">
        <v>35</v>
      </c>
      <c r="AC143" s="2" t="s">
        <v>35</v>
      </c>
      <c r="AD143" s="2" t="s">
        <v>35</v>
      </c>
      <c r="AE143" s="2" t="s">
        <v>1117</v>
      </c>
      <c r="AF143" s="11">
        <v>44743.590972164355</v>
      </c>
      <c r="AG143" s="53"/>
      <c r="AH143" s="53" t="b">
        <f t="shared" si="4"/>
        <v>0</v>
      </c>
      <c r="AI143" s="54" t="s">
        <v>9953</v>
      </c>
      <c r="AJ143" s="2"/>
      <c r="AK143" s="2"/>
      <c r="AL143" s="2"/>
      <c r="AM143" s="2"/>
      <c r="AN143" s="2"/>
    </row>
    <row r="144" spans="1:40" ht="16" x14ac:dyDescent="0.2">
      <c r="A144" s="2" t="s">
        <v>1211</v>
      </c>
      <c r="B144" s="2">
        <v>365</v>
      </c>
      <c r="C144" s="2" t="b">
        <v>0</v>
      </c>
      <c r="D144" s="2" t="b">
        <v>0</v>
      </c>
      <c r="E144" s="2" t="b">
        <v>0</v>
      </c>
      <c r="F144" s="2" t="b">
        <v>0</v>
      </c>
      <c r="G144" s="2" t="s">
        <v>31</v>
      </c>
      <c r="H144" s="2" t="s">
        <v>1212</v>
      </c>
      <c r="I144" s="2" t="s">
        <v>1213</v>
      </c>
      <c r="J144" s="2" t="s">
        <v>35</v>
      </c>
      <c r="K144" s="2" t="s">
        <v>35</v>
      </c>
      <c r="L144" s="2" t="s">
        <v>35</v>
      </c>
      <c r="M144" s="2">
        <v>2</v>
      </c>
      <c r="N144" s="2">
        <v>25</v>
      </c>
      <c r="O144" s="11">
        <v>44743.639991458331</v>
      </c>
      <c r="P144" s="11">
        <v>44743.640206539349</v>
      </c>
      <c r="Q144" s="27">
        <v>2.150810178136453E-4</v>
      </c>
      <c r="R144" s="27">
        <v>3.0091434746282175E-4</v>
      </c>
      <c r="S144" s="2">
        <v>0</v>
      </c>
      <c r="T144" s="2" t="s">
        <v>54</v>
      </c>
      <c r="U144" s="2" t="s">
        <v>55</v>
      </c>
      <c r="V144" s="2" t="s">
        <v>38</v>
      </c>
      <c r="W144" s="2" t="s">
        <v>35</v>
      </c>
      <c r="X144" s="2" t="s">
        <v>35</v>
      </c>
      <c r="Y144" s="2" t="s">
        <v>35</v>
      </c>
      <c r="Z144" s="2" t="b">
        <v>0</v>
      </c>
      <c r="AA144" s="2" t="s">
        <v>35</v>
      </c>
      <c r="AB144" s="2" t="s">
        <v>35</v>
      </c>
      <c r="AC144" s="2" t="s">
        <v>35</v>
      </c>
      <c r="AD144" s="2" t="s">
        <v>35</v>
      </c>
      <c r="AE144" s="2" t="s">
        <v>1117</v>
      </c>
      <c r="AF144" s="11">
        <v>44743.590972164355</v>
      </c>
      <c r="AG144" s="53"/>
      <c r="AH144" s="53" t="b">
        <f t="shared" si="4"/>
        <v>0</v>
      </c>
      <c r="AI144" s="54" t="s">
        <v>9954</v>
      </c>
      <c r="AJ144" s="2"/>
      <c r="AK144" s="2"/>
      <c r="AL144" s="2"/>
      <c r="AM144" s="2"/>
      <c r="AN144" s="2"/>
    </row>
    <row r="145" spans="1:40" ht="16" x14ac:dyDescent="0.2">
      <c r="A145" s="2" t="s">
        <v>1225</v>
      </c>
      <c r="B145" s="2">
        <v>369</v>
      </c>
      <c r="C145" s="2" t="b">
        <v>0</v>
      </c>
      <c r="D145" s="2" t="b">
        <v>0</v>
      </c>
      <c r="E145" s="2" t="b">
        <v>0</v>
      </c>
      <c r="F145" s="2" t="b">
        <v>0</v>
      </c>
      <c r="G145" s="2" t="s">
        <v>31</v>
      </c>
      <c r="H145" s="2" t="s">
        <v>1226</v>
      </c>
      <c r="I145" s="2" t="s">
        <v>1227</v>
      </c>
      <c r="J145" s="2" t="s">
        <v>35</v>
      </c>
      <c r="K145" s="2" t="s">
        <v>35</v>
      </c>
      <c r="L145" s="2" t="s">
        <v>35</v>
      </c>
      <c r="M145" s="2">
        <v>14</v>
      </c>
      <c r="N145" s="2">
        <v>11</v>
      </c>
      <c r="O145" s="11">
        <v>44743.670317384262</v>
      </c>
      <c r="P145" s="11">
        <v>44743.670825624999</v>
      </c>
      <c r="Q145" s="27">
        <v>5.0824073696276173E-4</v>
      </c>
      <c r="R145" s="27">
        <v>7.1761573781259358E-4</v>
      </c>
      <c r="S145" s="2">
        <v>0</v>
      </c>
      <c r="T145" s="2" t="s">
        <v>54</v>
      </c>
      <c r="U145" s="2" t="s">
        <v>55</v>
      </c>
      <c r="V145" s="2" t="s">
        <v>38</v>
      </c>
      <c r="W145" s="2" t="s">
        <v>35</v>
      </c>
      <c r="X145" s="2" t="s">
        <v>35</v>
      </c>
      <c r="Y145" s="2" t="s">
        <v>35</v>
      </c>
      <c r="Z145" s="2" t="b">
        <v>0</v>
      </c>
      <c r="AA145" s="2" t="s">
        <v>35</v>
      </c>
      <c r="AB145" s="2" t="s">
        <v>35</v>
      </c>
      <c r="AC145" s="2" t="s">
        <v>35</v>
      </c>
      <c r="AD145" s="2" t="s">
        <v>35</v>
      </c>
      <c r="AE145" s="2" t="s">
        <v>1117</v>
      </c>
      <c r="AF145" s="11">
        <v>44743.590972164355</v>
      </c>
      <c r="AG145" s="53"/>
      <c r="AH145" s="53" t="b">
        <f t="shared" si="4"/>
        <v>0</v>
      </c>
      <c r="AI145" s="54" t="s">
        <v>9955</v>
      </c>
      <c r="AJ145" s="2"/>
      <c r="AK145" s="2"/>
      <c r="AL145" s="2"/>
      <c r="AM145" s="2"/>
      <c r="AN145" s="2"/>
    </row>
    <row r="146" spans="1:40" ht="16" x14ac:dyDescent="0.2">
      <c r="A146" s="2" t="s">
        <v>1247</v>
      </c>
      <c r="B146" s="2">
        <v>376</v>
      </c>
      <c r="C146" s="2" t="b">
        <v>0</v>
      </c>
      <c r="D146" s="2" t="b">
        <v>0</v>
      </c>
      <c r="E146" s="2" t="b">
        <v>0</v>
      </c>
      <c r="F146" s="2" t="b">
        <v>0</v>
      </c>
      <c r="G146" s="2" t="s">
        <v>31</v>
      </c>
      <c r="H146" s="2" t="s">
        <v>1248</v>
      </c>
      <c r="I146" s="2" t="s">
        <v>1249</v>
      </c>
      <c r="J146" s="2" t="s">
        <v>35</v>
      </c>
      <c r="K146" s="2" t="s">
        <v>35</v>
      </c>
      <c r="L146" s="2" t="s">
        <v>35</v>
      </c>
      <c r="M146" s="2">
        <v>10</v>
      </c>
      <c r="N146" s="2">
        <v>15</v>
      </c>
      <c r="O146" s="11">
        <v>44743.678674189818</v>
      </c>
      <c r="P146" s="11">
        <v>44743.678824456016</v>
      </c>
      <c r="Q146" s="27">
        <v>1.502661980339326E-4</v>
      </c>
      <c r="R146" s="27">
        <v>5.7457175716990605E-4</v>
      </c>
      <c r="S146" s="2">
        <v>0</v>
      </c>
      <c r="T146" s="2" t="s">
        <v>54</v>
      </c>
      <c r="U146" s="2" t="s">
        <v>55</v>
      </c>
      <c r="V146" s="2" t="s">
        <v>38</v>
      </c>
      <c r="W146" s="2" t="s">
        <v>35</v>
      </c>
      <c r="X146" s="2" t="s">
        <v>35</v>
      </c>
      <c r="Y146" s="2" t="s">
        <v>35</v>
      </c>
      <c r="Z146" s="2" t="b">
        <v>0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2" t="s">
        <v>1117</v>
      </c>
      <c r="AF146" s="11">
        <v>44743.590972164355</v>
      </c>
      <c r="AG146" s="53"/>
      <c r="AH146" s="53" t="b">
        <f t="shared" si="4"/>
        <v>0</v>
      </c>
      <c r="AI146" s="54" t="s">
        <v>9956</v>
      </c>
      <c r="AJ146" s="2"/>
      <c r="AK146" s="2"/>
      <c r="AL146" s="2"/>
      <c r="AM146" s="2"/>
      <c r="AN146" s="2"/>
    </row>
    <row r="147" spans="1:40" ht="16" x14ac:dyDescent="0.2">
      <c r="A147" s="2" t="s">
        <v>1253</v>
      </c>
      <c r="B147" s="2">
        <v>378</v>
      </c>
      <c r="C147" s="2" t="b">
        <v>0</v>
      </c>
      <c r="D147" s="2" t="b">
        <v>0</v>
      </c>
      <c r="E147" s="2" t="b">
        <v>0</v>
      </c>
      <c r="F147" s="2" t="b">
        <v>0</v>
      </c>
      <c r="G147" s="2" t="s">
        <v>31</v>
      </c>
      <c r="H147" s="2" t="s">
        <v>1254</v>
      </c>
      <c r="I147" s="2" t="s">
        <v>1255</v>
      </c>
      <c r="J147" s="2" t="s">
        <v>35</v>
      </c>
      <c r="K147" s="2" t="s">
        <v>35</v>
      </c>
      <c r="L147" s="2" t="s">
        <v>35</v>
      </c>
      <c r="M147" s="2">
        <v>21</v>
      </c>
      <c r="N147" s="2">
        <v>18</v>
      </c>
      <c r="O147" s="11">
        <v>44743.681235914351</v>
      </c>
      <c r="P147" s="11">
        <v>44743.681601921293</v>
      </c>
      <c r="Q147" s="27">
        <v>3.6600694147637114E-4</v>
      </c>
      <c r="R147" s="27">
        <v>9.146064767264761E-4</v>
      </c>
      <c r="S147" s="2">
        <v>0</v>
      </c>
      <c r="T147" s="2" t="s">
        <v>54</v>
      </c>
      <c r="U147" s="2" t="s">
        <v>55</v>
      </c>
      <c r="V147" s="2" t="s">
        <v>38</v>
      </c>
      <c r="W147" s="2" t="s">
        <v>35</v>
      </c>
      <c r="X147" s="2" t="s">
        <v>35</v>
      </c>
      <c r="Y147" s="2" t="s">
        <v>35</v>
      </c>
      <c r="Z147" s="2" t="b">
        <v>0</v>
      </c>
      <c r="AA147" s="2" t="s">
        <v>35</v>
      </c>
      <c r="AB147" s="2" t="s">
        <v>35</v>
      </c>
      <c r="AC147" s="2" t="s">
        <v>35</v>
      </c>
      <c r="AD147" s="2" t="s">
        <v>35</v>
      </c>
      <c r="AE147" s="2" t="s">
        <v>1117</v>
      </c>
      <c r="AF147" s="11">
        <v>44743.590972164355</v>
      </c>
      <c r="AG147" s="53"/>
      <c r="AH147" s="53" t="b">
        <f t="shared" si="4"/>
        <v>0</v>
      </c>
      <c r="AI147" s="54" t="s">
        <v>9957</v>
      </c>
      <c r="AJ147" s="2"/>
      <c r="AK147" s="2"/>
      <c r="AL147" s="2"/>
      <c r="AM147" s="2"/>
      <c r="AN147" s="2"/>
    </row>
    <row r="148" spans="1:40" ht="16" x14ac:dyDescent="0.2">
      <c r="A148" s="2" t="s">
        <v>1288</v>
      </c>
      <c r="B148" s="2">
        <v>389</v>
      </c>
      <c r="C148" s="2" t="b">
        <v>0</v>
      </c>
      <c r="D148" s="2" t="b">
        <v>0</v>
      </c>
      <c r="E148" s="2" t="b">
        <v>0</v>
      </c>
      <c r="F148" s="2" t="b">
        <v>0</v>
      </c>
      <c r="G148" s="2" t="s">
        <v>31</v>
      </c>
      <c r="H148" s="2" t="s">
        <v>1289</v>
      </c>
      <c r="I148" s="2" t="s">
        <v>1290</v>
      </c>
      <c r="J148" s="2" t="s">
        <v>1291</v>
      </c>
      <c r="K148" s="2" t="s">
        <v>35</v>
      </c>
      <c r="L148" s="2" t="s">
        <v>35</v>
      </c>
      <c r="M148" s="2">
        <v>3</v>
      </c>
      <c r="N148" s="2">
        <v>14</v>
      </c>
      <c r="O148" s="11">
        <v>44743.692953310187</v>
      </c>
      <c r="P148" s="11">
        <v>44743.693367569445</v>
      </c>
      <c r="Q148" s="27">
        <v>4.1425925883231685E-4</v>
      </c>
      <c r="R148" s="27">
        <v>6.6596065153134987E-4</v>
      </c>
      <c r="S148" s="2">
        <v>0</v>
      </c>
      <c r="T148" s="2" t="s">
        <v>54</v>
      </c>
      <c r="U148" s="2" t="s">
        <v>55</v>
      </c>
      <c r="V148" s="2" t="s">
        <v>38</v>
      </c>
      <c r="W148" s="2" t="s">
        <v>35</v>
      </c>
      <c r="X148" s="2" t="s">
        <v>35</v>
      </c>
      <c r="Y148" s="2" t="s">
        <v>35</v>
      </c>
      <c r="Z148" s="2" t="b">
        <v>1</v>
      </c>
      <c r="AA148" s="2" t="s">
        <v>35</v>
      </c>
      <c r="AB148" s="2" t="s">
        <v>35</v>
      </c>
      <c r="AC148" s="2" t="s">
        <v>35</v>
      </c>
      <c r="AD148" s="2" t="s">
        <v>35</v>
      </c>
      <c r="AE148" s="2" t="s">
        <v>1117</v>
      </c>
      <c r="AF148" s="11">
        <v>44743.590972164355</v>
      </c>
      <c r="AG148" s="53"/>
      <c r="AH148" s="53" t="b">
        <f t="shared" si="4"/>
        <v>0</v>
      </c>
      <c r="AI148" s="54" t="s">
        <v>9958</v>
      </c>
      <c r="AJ148" s="2"/>
      <c r="AK148" s="2"/>
      <c r="AL148" s="2"/>
      <c r="AM148" s="2"/>
      <c r="AN148" s="2"/>
    </row>
    <row r="149" spans="1:40" ht="16" x14ac:dyDescent="0.2">
      <c r="A149" s="2" t="s">
        <v>1295</v>
      </c>
      <c r="B149" s="2">
        <v>391</v>
      </c>
      <c r="C149" s="2" t="b">
        <v>0</v>
      </c>
      <c r="D149" s="2" t="b">
        <v>0</v>
      </c>
      <c r="E149" s="2" t="b">
        <v>0</v>
      </c>
      <c r="F149" s="2" t="b">
        <v>0</v>
      </c>
      <c r="G149" s="2" t="s">
        <v>31</v>
      </c>
      <c r="H149" s="2" t="s">
        <v>1296</v>
      </c>
      <c r="I149" s="2" t="s">
        <v>1297</v>
      </c>
      <c r="J149" s="2" t="s">
        <v>35</v>
      </c>
      <c r="K149" s="2" t="s">
        <v>35</v>
      </c>
      <c r="L149" s="2" t="s">
        <v>35</v>
      </c>
      <c r="M149" s="2">
        <v>7</v>
      </c>
      <c r="N149" s="2">
        <v>16</v>
      </c>
      <c r="O149" s="11">
        <v>44743.699578564818</v>
      </c>
      <c r="P149" s="11">
        <v>44743.699752685185</v>
      </c>
      <c r="Q149" s="27">
        <v>1.7412036686437204E-4</v>
      </c>
      <c r="R149" s="27">
        <v>3.5083333204966038E-4</v>
      </c>
      <c r="S149" s="2">
        <v>0</v>
      </c>
      <c r="T149" s="2" t="s">
        <v>54</v>
      </c>
      <c r="U149" s="2" t="s">
        <v>55</v>
      </c>
      <c r="V149" s="2" t="s">
        <v>38</v>
      </c>
      <c r="W149" s="2" t="s">
        <v>35</v>
      </c>
      <c r="X149" s="2" t="s">
        <v>35</v>
      </c>
      <c r="Y149" s="2" t="s">
        <v>35</v>
      </c>
      <c r="Z149" s="2" t="b">
        <v>0</v>
      </c>
      <c r="AA149" s="2" t="s">
        <v>35</v>
      </c>
      <c r="AB149" s="2" t="s">
        <v>35</v>
      </c>
      <c r="AC149" s="2" t="s">
        <v>35</v>
      </c>
      <c r="AD149" s="2" t="s">
        <v>35</v>
      </c>
      <c r="AE149" s="2" t="s">
        <v>1117</v>
      </c>
      <c r="AF149" s="11">
        <v>44743.590972164355</v>
      </c>
      <c r="AG149" s="53"/>
      <c r="AH149" s="53" t="b">
        <f t="shared" si="4"/>
        <v>0</v>
      </c>
      <c r="AI149" s="54" t="s">
        <v>9959</v>
      </c>
      <c r="AJ149" s="2"/>
      <c r="AK149" s="2"/>
      <c r="AL149" s="2"/>
      <c r="AM149" s="2"/>
      <c r="AN149" s="2"/>
    </row>
    <row r="150" spans="1:40" ht="16" x14ac:dyDescent="0.2">
      <c r="A150" s="2" t="s">
        <v>1298</v>
      </c>
      <c r="B150" s="2">
        <v>392</v>
      </c>
      <c r="C150" s="2" t="b">
        <v>0</v>
      </c>
      <c r="D150" s="2" t="b">
        <v>0</v>
      </c>
      <c r="E150" s="2" t="b">
        <v>0</v>
      </c>
      <c r="F150" s="2" t="b">
        <v>0</v>
      </c>
      <c r="G150" s="2" t="s">
        <v>31</v>
      </c>
      <c r="H150" s="2" t="s">
        <v>1299</v>
      </c>
      <c r="I150" s="2" t="s">
        <v>1300</v>
      </c>
      <c r="J150" s="2" t="s">
        <v>35</v>
      </c>
      <c r="K150" s="2" t="s">
        <v>35</v>
      </c>
      <c r="L150" s="2" t="s">
        <v>35</v>
      </c>
      <c r="M150" s="2">
        <v>5</v>
      </c>
      <c r="N150" s="2">
        <v>15</v>
      </c>
      <c r="O150" s="11">
        <v>44743.699873344907</v>
      </c>
      <c r="P150" s="11">
        <v>44743.700046111109</v>
      </c>
      <c r="Q150" s="27">
        <v>1.727662020130083E-4</v>
      </c>
      <c r="R150" s="27">
        <v>2.9342592461034656E-4</v>
      </c>
      <c r="S150" s="2">
        <v>0</v>
      </c>
      <c r="T150" s="2" t="s">
        <v>54</v>
      </c>
      <c r="U150" s="2" t="s">
        <v>55</v>
      </c>
      <c r="V150" s="2" t="s">
        <v>38</v>
      </c>
      <c r="W150" s="2" t="s">
        <v>35</v>
      </c>
      <c r="X150" s="2" t="s">
        <v>35</v>
      </c>
      <c r="Y150" s="2" t="s">
        <v>35</v>
      </c>
      <c r="Z150" s="2" t="b">
        <v>0</v>
      </c>
      <c r="AA150" s="2" t="s">
        <v>35</v>
      </c>
      <c r="AB150" s="2" t="s">
        <v>35</v>
      </c>
      <c r="AC150" s="2" t="s">
        <v>35</v>
      </c>
      <c r="AD150" s="2" t="s">
        <v>35</v>
      </c>
      <c r="AE150" s="2" t="s">
        <v>1117</v>
      </c>
      <c r="AF150" s="11">
        <v>44743.590972164355</v>
      </c>
      <c r="AG150" s="53"/>
      <c r="AH150" s="53" t="b">
        <f t="shared" si="4"/>
        <v>0</v>
      </c>
      <c r="AI150" s="54" t="s">
        <v>9960</v>
      </c>
      <c r="AJ150" s="2"/>
      <c r="AK150" s="2"/>
      <c r="AL150" s="2"/>
      <c r="AM150" s="2"/>
      <c r="AN150" s="2"/>
    </row>
    <row r="151" spans="1:40" ht="16" x14ac:dyDescent="0.2">
      <c r="A151" s="2" t="s">
        <v>1314</v>
      </c>
      <c r="B151" s="2">
        <v>397</v>
      </c>
      <c r="C151" s="2" t="b">
        <v>0</v>
      </c>
      <c r="D151" s="2" t="b">
        <v>0</v>
      </c>
      <c r="E151" s="2" t="b">
        <v>0</v>
      </c>
      <c r="F151" s="2" t="b">
        <v>0</v>
      </c>
      <c r="G151" s="2" t="s">
        <v>31</v>
      </c>
      <c r="H151" s="2" t="s">
        <v>1315</v>
      </c>
      <c r="I151" s="2" t="s">
        <v>1316</v>
      </c>
      <c r="J151" s="2" t="s">
        <v>1291</v>
      </c>
      <c r="K151" s="2" t="s">
        <v>35</v>
      </c>
      <c r="L151" s="2" t="s">
        <v>35</v>
      </c>
      <c r="M151" s="2">
        <v>23</v>
      </c>
      <c r="N151" s="2">
        <v>9</v>
      </c>
      <c r="O151" s="11">
        <v>44743.705134282405</v>
      </c>
      <c r="P151" s="11">
        <v>44743.705715011572</v>
      </c>
      <c r="Q151" s="27">
        <v>5.8072916726814583E-4</v>
      </c>
      <c r="R151" s="27">
        <v>7.2870370058808476E-4</v>
      </c>
      <c r="S151" s="2">
        <v>0</v>
      </c>
      <c r="T151" s="2" t="s">
        <v>54</v>
      </c>
      <c r="U151" s="2" t="s">
        <v>55</v>
      </c>
      <c r="V151" s="2" t="s">
        <v>38</v>
      </c>
      <c r="W151" s="2" t="s">
        <v>35</v>
      </c>
      <c r="X151" s="2" t="s">
        <v>35</v>
      </c>
      <c r="Y151" s="2" t="s">
        <v>35</v>
      </c>
      <c r="Z151" s="2" t="b">
        <v>1</v>
      </c>
      <c r="AA151" s="2" t="s">
        <v>35</v>
      </c>
      <c r="AB151" s="2" t="s">
        <v>35</v>
      </c>
      <c r="AC151" s="2" t="s">
        <v>35</v>
      </c>
      <c r="AD151" s="2" t="s">
        <v>35</v>
      </c>
      <c r="AE151" s="2" t="s">
        <v>1117</v>
      </c>
      <c r="AF151" s="11">
        <v>44743.590972164355</v>
      </c>
      <c r="AG151" s="53"/>
      <c r="AH151" s="53" t="b">
        <f t="shared" si="4"/>
        <v>0</v>
      </c>
      <c r="AI151" s="54" t="s">
        <v>9961</v>
      </c>
      <c r="AJ151" s="2"/>
      <c r="AK151" s="2"/>
      <c r="AL151" s="2"/>
      <c r="AM151" s="2"/>
      <c r="AN151" s="2"/>
    </row>
    <row r="152" spans="1:40" ht="16" x14ac:dyDescent="0.2">
      <c r="A152" s="2" t="s">
        <v>1320</v>
      </c>
      <c r="B152" s="2">
        <v>399</v>
      </c>
      <c r="C152" s="2" t="b">
        <v>0</v>
      </c>
      <c r="D152" s="2" t="b">
        <v>0</v>
      </c>
      <c r="E152" s="2" t="b">
        <v>0</v>
      </c>
      <c r="F152" s="2" t="b">
        <v>0</v>
      </c>
      <c r="G152" s="2" t="s">
        <v>31</v>
      </c>
      <c r="H152" s="2" t="s">
        <v>1321</v>
      </c>
      <c r="I152" s="2" t="s">
        <v>1322</v>
      </c>
      <c r="J152" s="2" t="s">
        <v>35</v>
      </c>
      <c r="K152" s="2" t="s">
        <v>35</v>
      </c>
      <c r="L152" s="2" t="s">
        <v>35</v>
      </c>
      <c r="M152" s="2">
        <v>7</v>
      </c>
      <c r="N152" s="2">
        <v>14</v>
      </c>
      <c r="O152" s="11">
        <v>44743.706496724539</v>
      </c>
      <c r="P152" s="11">
        <v>44743.706642523146</v>
      </c>
      <c r="Q152" s="27">
        <v>1.4579860726371408E-4</v>
      </c>
      <c r="R152" s="27">
        <v>2.0583333389367908E-4</v>
      </c>
      <c r="S152" s="2">
        <v>0</v>
      </c>
      <c r="T152" s="2" t="s">
        <v>54</v>
      </c>
      <c r="U152" s="2" t="s">
        <v>55</v>
      </c>
      <c r="V152" s="2" t="s">
        <v>38</v>
      </c>
      <c r="W152" s="2" t="s">
        <v>35</v>
      </c>
      <c r="X152" s="2" t="s">
        <v>35</v>
      </c>
      <c r="Y152" s="2" t="s">
        <v>35</v>
      </c>
      <c r="Z152" s="2" t="b">
        <v>0</v>
      </c>
      <c r="AA152" s="2" t="s">
        <v>35</v>
      </c>
      <c r="AB152" s="2" t="s">
        <v>35</v>
      </c>
      <c r="AC152" s="2" t="s">
        <v>35</v>
      </c>
      <c r="AD152" s="2" t="s">
        <v>35</v>
      </c>
      <c r="AE152" s="2" t="s">
        <v>1117</v>
      </c>
      <c r="AF152" s="11">
        <v>44743.590972164355</v>
      </c>
      <c r="AG152" s="53"/>
      <c r="AH152" s="53" t="b">
        <f t="shared" si="4"/>
        <v>0</v>
      </c>
      <c r="AI152" s="54" t="s">
        <v>9962</v>
      </c>
      <c r="AJ152" s="2"/>
      <c r="AK152" s="2"/>
      <c r="AL152" s="2"/>
      <c r="AM152" s="2"/>
      <c r="AN152" s="2"/>
    </row>
    <row r="153" spans="1:40" ht="16" x14ac:dyDescent="0.2">
      <c r="A153" s="2" t="s">
        <v>1323</v>
      </c>
      <c r="B153" s="2">
        <v>400</v>
      </c>
      <c r="C153" s="2" t="b">
        <v>0</v>
      </c>
      <c r="D153" s="2" t="b">
        <v>0</v>
      </c>
      <c r="E153" s="2" t="b">
        <v>0</v>
      </c>
      <c r="F153" s="2" t="b">
        <v>0</v>
      </c>
      <c r="G153" s="2" t="s">
        <v>31</v>
      </c>
      <c r="H153" s="2" t="s">
        <v>1324</v>
      </c>
      <c r="I153" s="2" t="s">
        <v>1325</v>
      </c>
      <c r="J153" s="2" t="s">
        <v>1326</v>
      </c>
      <c r="K153" s="2" t="s">
        <v>35</v>
      </c>
      <c r="L153" s="2" t="s">
        <v>35</v>
      </c>
      <c r="M153" s="2">
        <v>2</v>
      </c>
      <c r="N153" s="2">
        <v>16</v>
      </c>
      <c r="O153" s="11">
        <v>44743.707727881942</v>
      </c>
      <c r="P153" s="11">
        <v>44743.708127534723</v>
      </c>
      <c r="Q153" s="27">
        <v>3.9965278119780123E-4</v>
      </c>
      <c r="R153" s="27">
        <v>1.4850115767330863E-3</v>
      </c>
      <c r="S153" s="2">
        <v>0</v>
      </c>
      <c r="T153" s="2" t="s">
        <v>54</v>
      </c>
      <c r="U153" s="2" t="s">
        <v>55</v>
      </c>
      <c r="V153" s="2" t="s">
        <v>38</v>
      </c>
      <c r="W153" s="2" t="s">
        <v>35</v>
      </c>
      <c r="X153" s="2" t="s">
        <v>35</v>
      </c>
      <c r="Y153" s="2" t="s">
        <v>35</v>
      </c>
      <c r="Z153" s="2" t="b">
        <v>1</v>
      </c>
      <c r="AA153" s="2" t="s">
        <v>35</v>
      </c>
      <c r="AB153" s="2" t="s">
        <v>35</v>
      </c>
      <c r="AC153" s="2" t="s">
        <v>35</v>
      </c>
      <c r="AD153" s="2" t="s">
        <v>35</v>
      </c>
      <c r="AE153" s="2" t="s">
        <v>1117</v>
      </c>
      <c r="AF153" s="11">
        <v>44743.590972164355</v>
      </c>
      <c r="AG153" s="53"/>
      <c r="AH153" s="53" t="b">
        <f t="shared" si="4"/>
        <v>0</v>
      </c>
      <c r="AI153" s="54" t="s">
        <v>9963</v>
      </c>
      <c r="AJ153" s="2"/>
      <c r="AK153" s="2"/>
      <c r="AL153" s="2"/>
      <c r="AM153" s="2"/>
      <c r="AN153" s="2"/>
    </row>
    <row r="154" spans="1:40" ht="16" x14ac:dyDescent="0.2">
      <c r="A154" s="2" t="s">
        <v>1340</v>
      </c>
      <c r="B154" s="2">
        <v>405</v>
      </c>
      <c r="C154" s="2" t="b">
        <v>0</v>
      </c>
      <c r="D154" s="2" t="b">
        <v>0</v>
      </c>
      <c r="E154" s="2" t="b">
        <v>0</v>
      </c>
      <c r="F154" s="2" t="b">
        <v>0</v>
      </c>
      <c r="G154" s="2" t="s">
        <v>31</v>
      </c>
      <c r="H154" s="2" t="s">
        <v>1341</v>
      </c>
      <c r="I154" s="2" t="s">
        <v>1342</v>
      </c>
      <c r="J154" s="2" t="s">
        <v>35</v>
      </c>
      <c r="K154" s="2" t="s">
        <v>35</v>
      </c>
      <c r="L154" s="2" t="s">
        <v>35</v>
      </c>
      <c r="M154" s="2">
        <v>3</v>
      </c>
      <c r="N154" s="2">
        <v>15</v>
      </c>
      <c r="O154" s="11">
        <v>44743.711597326386</v>
      </c>
      <c r="P154" s="11">
        <v>44743.711746423614</v>
      </c>
      <c r="Q154" s="27">
        <v>1.4909722813172266E-4</v>
      </c>
      <c r="R154" s="27">
        <v>3.0945602338761091E-4</v>
      </c>
      <c r="S154" s="2">
        <v>0</v>
      </c>
      <c r="T154" s="2" t="s">
        <v>54</v>
      </c>
      <c r="U154" s="2" t="s">
        <v>55</v>
      </c>
      <c r="V154" s="2" t="s">
        <v>38</v>
      </c>
      <c r="W154" s="2" t="s">
        <v>35</v>
      </c>
      <c r="X154" s="2" t="s">
        <v>35</v>
      </c>
      <c r="Y154" s="2" t="s">
        <v>35</v>
      </c>
      <c r="Z154" s="2" t="b">
        <v>0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2" t="s">
        <v>1117</v>
      </c>
      <c r="AF154" s="11">
        <v>44743.590972164355</v>
      </c>
      <c r="AG154" s="53"/>
      <c r="AH154" s="53" t="b">
        <f t="shared" si="4"/>
        <v>0</v>
      </c>
      <c r="AI154" s="54" t="s">
        <v>9964</v>
      </c>
      <c r="AJ154" s="2"/>
      <c r="AK154" s="2"/>
      <c r="AL154" s="2"/>
      <c r="AM154" s="2"/>
      <c r="AN154" s="2"/>
    </row>
    <row r="155" spans="1:40" ht="16" x14ac:dyDescent="0.2">
      <c r="A155" s="2" t="s">
        <v>1343</v>
      </c>
      <c r="B155" s="2">
        <v>406</v>
      </c>
      <c r="C155" s="2" t="b">
        <v>0</v>
      </c>
      <c r="D155" s="2" t="b">
        <v>0</v>
      </c>
      <c r="E155" s="2" t="b">
        <v>0</v>
      </c>
      <c r="F155" s="2" t="b">
        <v>0</v>
      </c>
      <c r="G155" s="2" t="s">
        <v>31</v>
      </c>
      <c r="H155" s="2" t="s">
        <v>1344</v>
      </c>
      <c r="I155" s="2" t="s">
        <v>1345</v>
      </c>
      <c r="J155" s="2" t="s">
        <v>35</v>
      </c>
      <c r="K155" s="2" t="s">
        <v>35</v>
      </c>
      <c r="L155" s="2" t="s">
        <v>35</v>
      </c>
      <c r="M155" s="2">
        <v>6</v>
      </c>
      <c r="N155" s="2">
        <v>15</v>
      </c>
      <c r="O155" s="11">
        <v>44743.712067499997</v>
      </c>
      <c r="P155" s="11">
        <v>44743.71236420139</v>
      </c>
      <c r="Q155" s="27">
        <v>2.9670139338122681E-4</v>
      </c>
      <c r="R155" s="27">
        <v>6.1777777591487393E-4</v>
      </c>
      <c r="S155" s="2">
        <v>0</v>
      </c>
      <c r="T155" s="2" t="s">
        <v>54</v>
      </c>
      <c r="U155" s="2" t="s">
        <v>55</v>
      </c>
      <c r="V155" s="2" t="s">
        <v>38</v>
      </c>
      <c r="W155" s="2" t="s">
        <v>35</v>
      </c>
      <c r="X155" s="2" t="s">
        <v>35</v>
      </c>
      <c r="Y155" s="2" t="s">
        <v>35</v>
      </c>
      <c r="Z155" s="2" t="b">
        <v>0</v>
      </c>
      <c r="AA155" s="2" t="s">
        <v>35</v>
      </c>
      <c r="AB155" s="2" t="s">
        <v>35</v>
      </c>
      <c r="AC155" s="2" t="s">
        <v>35</v>
      </c>
      <c r="AD155" s="2" t="s">
        <v>35</v>
      </c>
      <c r="AE155" s="2" t="s">
        <v>1117</v>
      </c>
      <c r="AF155" s="11">
        <v>44743.590972164355</v>
      </c>
      <c r="AG155" s="53"/>
      <c r="AH155" s="53" t="b">
        <f t="shared" si="4"/>
        <v>0</v>
      </c>
      <c r="AI155" s="54" t="s">
        <v>9965</v>
      </c>
      <c r="AJ155" s="2"/>
      <c r="AK155" s="2"/>
      <c r="AL155" s="2"/>
      <c r="AM155" s="2"/>
      <c r="AN155" s="2"/>
    </row>
    <row r="156" spans="1:40" ht="16" x14ac:dyDescent="0.2">
      <c r="A156" s="2" t="s">
        <v>1350</v>
      </c>
      <c r="B156" s="2">
        <v>408</v>
      </c>
      <c r="C156" s="2" t="b">
        <v>0</v>
      </c>
      <c r="D156" s="2" t="b">
        <v>0</v>
      </c>
      <c r="E156" s="2" t="b">
        <v>0</v>
      </c>
      <c r="F156" s="2" t="b">
        <v>0</v>
      </c>
      <c r="G156" s="2" t="s">
        <v>31</v>
      </c>
      <c r="H156" s="2" t="s">
        <v>1351</v>
      </c>
      <c r="I156" s="2" t="s">
        <v>1352</v>
      </c>
      <c r="J156" s="2" t="s">
        <v>35</v>
      </c>
      <c r="K156" s="2" t="s">
        <v>35</v>
      </c>
      <c r="L156" s="2" t="s">
        <v>35</v>
      </c>
      <c r="M156" s="2">
        <v>2</v>
      </c>
      <c r="N156" s="2">
        <v>13</v>
      </c>
      <c r="O156" s="11">
        <v>44743.713824456019</v>
      </c>
      <c r="P156" s="11">
        <v>44743.714252685182</v>
      </c>
      <c r="Q156" s="27">
        <v>4.2822916293516755E-4</v>
      </c>
      <c r="R156" s="27">
        <v>5.8914351393468678E-4</v>
      </c>
      <c r="S156" s="2">
        <v>0</v>
      </c>
      <c r="T156" s="2" t="s">
        <v>54</v>
      </c>
      <c r="U156" s="2" t="s">
        <v>55</v>
      </c>
      <c r="V156" s="2" t="s">
        <v>38</v>
      </c>
      <c r="W156" s="2" t="s">
        <v>35</v>
      </c>
      <c r="X156" s="2" t="s">
        <v>35</v>
      </c>
      <c r="Y156" s="2" t="s">
        <v>35</v>
      </c>
      <c r="Z156" s="2" t="b">
        <v>0</v>
      </c>
      <c r="AA156" s="2" t="s">
        <v>35</v>
      </c>
      <c r="AB156" s="2" t="s">
        <v>35</v>
      </c>
      <c r="AC156" s="2" t="s">
        <v>35</v>
      </c>
      <c r="AD156" s="2" t="s">
        <v>35</v>
      </c>
      <c r="AE156" s="2" t="s">
        <v>1117</v>
      </c>
      <c r="AF156" s="11">
        <v>44743.590972164355</v>
      </c>
      <c r="AG156" s="53"/>
      <c r="AH156" s="53" t="b">
        <f t="shared" si="4"/>
        <v>0</v>
      </c>
      <c r="AI156" s="54" t="s">
        <v>9966</v>
      </c>
      <c r="AJ156" s="2"/>
      <c r="AK156" s="2"/>
      <c r="AL156" s="2"/>
      <c r="AM156" s="2"/>
      <c r="AN156" s="2"/>
    </row>
    <row r="157" spans="1:40" ht="16" x14ac:dyDescent="0.2">
      <c r="A157" s="68" t="s">
        <v>1410</v>
      </c>
      <c r="B157" s="68">
        <v>428</v>
      </c>
      <c r="C157" s="68" t="b">
        <v>0</v>
      </c>
      <c r="D157" s="68" t="b">
        <v>0</v>
      </c>
      <c r="E157" s="68" t="b">
        <v>0</v>
      </c>
      <c r="F157" s="68" t="b">
        <v>0</v>
      </c>
      <c r="G157" s="68" t="s">
        <v>31</v>
      </c>
      <c r="H157" s="68" t="s">
        <v>149</v>
      </c>
      <c r="I157" s="68" t="s">
        <v>1411</v>
      </c>
      <c r="J157" s="68" t="s">
        <v>1412</v>
      </c>
      <c r="K157" s="68" t="s">
        <v>35</v>
      </c>
      <c r="L157" s="68" t="s">
        <v>35</v>
      </c>
      <c r="M157" s="68">
        <v>4</v>
      </c>
      <c r="N157" s="68">
        <v>16</v>
      </c>
      <c r="O157" s="69">
        <v>44743.73374408565</v>
      </c>
      <c r="P157" s="69">
        <v>44743.734294490743</v>
      </c>
      <c r="Q157" s="70">
        <v>5.5040509323589504E-4</v>
      </c>
      <c r="R157" s="70">
        <v>1.4717013909830712E-3</v>
      </c>
      <c r="S157" s="68">
        <v>0</v>
      </c>
      <c r="T157" s="68" t="s">
        <v>54</v>
      </c>
      <c r="U157" s="68" t="s">
        <v>55</v>
      </c>
      <c r="V157" s="68" t="s">
        <v>38</v>
      </c>
      <c r="W157" s="68" t="s">
        <v>35</v>
      </c>
      <c r="X157" s="68" t="s">
        <v>35</v>
      </c>
      <c r="Y157" s="68" t="s">
        <v>35</v>
      </c>
      <c r="Z157" s="68" t="b">
        <v>1</v>
      </c>
      <c r="AA157" s="68" t="s">
        <v>35</v>
      </c>
      <c r="AB157" s="68" t="s">
        <v>35</v>
      </c>
      <c r="AC157" s="68" t="s">
        <v>35</v>
      </c>
      <c r="AD157" s="68" t="s">
        <v>35</v>
      </c>
      <c r="AE157" s="68" t="s">
        <v>1117</v>
      </c>
      <c r="AF157" s="69">
        <v>44743.590972164355</v>
      </c>
      <c r="AG157" s="71"/>
      <c r="AH157" s="53" t="b">
        <f t="shared" si="4"/>
        <v>0</v>
      </c>
      <c r="AI157" s="56" t="s">
        <v>35</v>
      </c>
      <c r="AJ157" s="68"/>
      <c r="AK157" s="68"/>
      <c r="AL157" s="68"/>
      <c r="AM157" s="68"/>
      <c r="AN157" s="68"/>
    </row>
    <row r="158" spans="1:40" ht="16" x14ac:dyDescent="0.2">
      <c r="A158" s="2" t="s">
        <v>1413</v>
      </c>
      <c r="B158" s="2">
        <v>429</v>
      </c>
      <c r="C158" s="2" t="b">
        <v>0</v>
      </c>
      <c r="D158" s="2" t="b">
        <v>0</v>
      </c>
      <c r="E158" s="2" t="b">
        <v>0</v>
      </c>
      <c r="F158" s="2" t="b">
        <v>0</v>
      </c>
      <c r="G158" s="2" t="s">
        <v>31</v>
      </c>
      <c r="H158" s="2" t="s">
        <v>1414</v>
      </c>
      <c r="I158" s="2" t="s">
        <v>1415</v>
      </c>
      <c r="J158" s="2" t="s">
        <v>35</v>
      </c>
      <c r="K158" s="2" t="s">
        <v>35</v>
      </c>
      <c r="L158" s="2" t="s">
        <v>35</v>
      </c>
      <c r="M158" s="2">
        <v>7</v>
      </c>
      <c r="N158" s="2">
        <v>16</v>
      </c>
      <c r="O158" s="11">
        <v>44743.734587569445</v>
      </c>
      <c r="P158" s="11">
        <v>44743.735328807874</v>
      </c>
      <c r="Q158" s="27">
        <v>7.412384293274954E-4</v>
      </c>
      <c r="R158" s="27">
        <v>1.0343171306885779E-3</v>
      </c>
      <c r="S158" s="2">
        <v>0</v>
      </c>
      <c r="T158" s="2" t="s">
        <v>54</v>
      </c>
      <c r="U158" s="2" t="s">
        <v>55</v>
      </c>
      <c r="V158" s="2" t="s">
        <v>38</v>
      </c>
      <c r="W158" s="2" t="s">
        <v>35</v>
      </c>
      <c r="X158" s="2" t="s">
        <v>35</v>
      </c>
      <c r="Y158" s="2" t="s">
        <v>35</v>
      </c>
      <c r="Z158" s="2" t="b">
        <v>0</v>
      </c>
      <c r="AA158" s="2" t="s">
        <v>35</v>
      </c>
      <c r="AB158" s="2" t="s">
        <v>35</v>
      </c>
      <c r="AC158" s="2" t="s">
        <v>35</v>
      </c>
      <c r="AD158" s="2" t="s">
        <v>35</v>
      </c>
      <c r="AE158" s="2" t="s">
        <v>1117</v>
      </c>
      <c r="AF158" s="11">
        <v>44743.590972164355</v>
      </c>
      <c r="AG158" s="53"/>
      <c r="AH158" s="53" t="b">
        <f t="shared" si="4"/>
        <v>0</v>
      </c>
      <c r="AI158" s="54" t="s">
        <v>9967</v>
      </c>
      <c r="AJ158" s="2" t="s">
        <v>9968</v>
      </c>
      <c r="AK158" s="2" t="s">
        <v>9969</v>
      </c>
      <c r="AL158" s="2"/>
      <c r="AM158" s="2"/>
      <c r="AN158" s="2"/>
    </row>
    <row r="159" spans="1:40" ht="16" x14ac:dyDescent="0.2">
      <c r="A159" s="2" t="s">
        <v>1416</v>
      </c>
      <c r="B159" s="2">
        <v>430</v>
      </c>
      <c r="C159" s="2" t="b">
        <v>0</v>
      </c>
      <c r="D159" s="2" t="b">
        <v>0</v>
      </c>
      <c r="E159" s="2" t="b">
        <v>0</v>
      </c>
      <c r="F159" s="2" t="b">
        <v>0</v>
      </c>
      <c r="G159" s="2" t="s">
        <v>31</v>
      </c>
      <c r="H159" s="2" t="s">
        <v>1417</v>
      </c>
      <c r="I159" s="2" t="s">
        <v>1418</v>
      </c>
      <c r="J159" s="2" t="s">
        <v>35</v>
      </c>
      <c r="K159" s="2" t="s">
        <v>35</v>
      </c>
      <c r="L159" s="2" t="s">
        <v>35</v>
      </c>
      <c r="M159" s="2">
        <v>5</v>
      </c>
      <c r="N159" s="2">
        <v>16</v>
      </c>
      <c r="O159" s="11">
        <v>44743.736324305559</v>
      </c>
      <c r="P159" s="11">
        <v>44743.736570439818</v>
      </c>
      <c r="Q159" s="27">
        <v>2.461342592141591E-4</v>
      </c>
      <c r="R159" s="27">
        <v>1.2416319441399537E-3</v>
      </c>
      <c r="S159" s="2">
        <v>0</v>
      </c>
      <c r="T159" s="2" t="s">
        <v>54</v>
      </c>
      <c r="U159" s="2" t="s">
        <v>55</v>
      </c>
      <c r="V159" s="2" t="s">
        <v>38</v>
      </c>
      <c r="W159" s="2" t="s">
        <v>35</v>
      </c>
      <c r="X159" s="2" t="s">
        <v>35</v>
      </c>
      <c r="Y159" s="2" t="s">
        <v>35</v>
      </c>
      <c r="Z159" s="2" t="b">
        <v>0</v>
      </c>
      <c r="AA159" s="2" t="s">
        <v>35</v>
      </c>
      <c r="AB159" s="2" t="s">
        <v>35</v>
      </c>
      <c r="AC159" s="2" t="s">
        <v>35</v>
      </c>
      <c r="AD159" s="2" t="s">
        <v>35</v>
      </c>
      <c r="AE159" s="2" t="s">
        <v>1117</v>
      </c>
      <c r="AF159" s="11">
        <v>44743.590972164355</v>
      </c>
      <c r="AG159" s="53"/>
      <c r="AH159" s="53" t="b">
        <f t="shared" si="4"/>
        <v>0</v>
      </c>
      <c r="AI159" s="54" t="s">
        <v>9970</v>
      </c>
      <c r="AJ159" s="2"/>
      <c r="AK159" s="2"/>
      <c r="AL159" s="2"/>
      <c r="AM159" s="2"/>
      <c r="AN159" s="2"/>
    </row>
    <row r="160" spans="1:40" ht="16" x14ac:dyDescent="0.2">
      <c r="A160" s="2" t="s">
        <v>1419</v>
      </c>
      <c r="B160" s="2">
        <v>431</v>
      </c>
      <c r="C160" s="2" t="b">
        <v>0</v>
      </c>
      <c r="D160" s="2" t="b">
        <v>0</v>
      </c>
      <c r="E160" s="2" t="b">
        <v>0</v>
      </c>
      <c r="F160" s="2" t="b">
        <v>0</v>
      </c>
      <c r="G160" s="2" t="s">
        <v>31</v>
      </c>
      <c r="H160" s="2" t="s">
        <v>1420</v>
      </c>
      <c r="I160" s="2" t="s">
        <v>1421</v>
      </c>
      <c r="J160" s="2" t="s">
        <v>35</v>
      </c>
      <c r="K160" s="2" t="s">
        <v>35</v>
      </c>
      <c r="L160" s="2" t="s">
        <v>35</v>
      </c>
      <c r="M160" s="2">
        <v>5</v>
      </c>
      <c r="N160" s="2">
        <v>16</v>
      </c>
      <c r="O160" s="11">
        <v>44743.736669791666</v>
      </c>
      <c r="P160" s="11">
        <v>44743.736952754633</v>
      </c>
      <c r="Q160" s="27">
        <v>2.8296296659391373E-4</v>
      </c>
      <c r="R160" s="27">
        <v>3.8231481448747218E-4</v>
      </c>
      <c r="S160" s="2">
        <v>0</v>
      </c>
      <c r="T160" s="2" t="s">
        <v>54</v>
      </c>
      <c r="U160" s="2" t="s">
        <v>55</v>
      </c>
      <c r="V160" s="2" t="s">
        <v>38</v>
      </c>
      <c r="W160" s="2" t="s">
        <v>35</v>
      </c>
      <c r="X160" s="2" t="s">
        <v>35</v>
      </c>
      <c r="Y160" s="2" t="s">
        <v>35</v>
      </c>
      <c r="Z160" s="2" t="b">
        <v>0</v>
      </c>
      <c r="AA160" s="2" t="s">
        <v>35</v>
      </c>
      <c r="AB160" s="2" t="s">
        <v>35</v>
      </c>
      <c r="AC160" s="2" t="s">
        <v>35</v>
      </c>
      <c r="AD160" s="2" t="s">
        <v>35</v>
      </c>
      <c r="AE160" s="2" t="s">
        <v>1117</v>
      </c>
      <c r="AF160" s="11">
        <v>44743.590972164355</v>
      </c>
      <c r="AG160" s="53"/>
      <c r="AH160" s="53" t="b">
        <f t="shared" si="4"/>
        <v>0</v>
      </c>
      <c r="AI160" s="54" t="s">
        <v>9971</v>
      </c>
      <c r="AJ160" s="2"/>
      <c r="AK160" s="2"/>
      <c r="AL160" s="2"/>
      <c r="AM160" s="2"/>
      <c r="AN160" s="2"/>
    </row>
    <row r="161" spans="1:40" ht="16" x14ac:dyDescent="0.2">
      <c r="A161" s="2" t="s">
        <v>1431</v>
      </c>
      <c r="B161" s="2">
        <v>435</v>
      </c>
      <c r="C161" s="2" t="b">
        <v>0</v>
      </c>
      <c r="D161" s="2" t="b">
        <v>0</v>
      </c>
      <c r="E161" s="2" t="b">
        <v>0</v>
      </c>
      <c r="F161" s="2" t="b">
        <v>0</v>
      </c>
      <c r="G161" s="2" t="s">
        <v>31</v>
      </c>
      <c r="H161" s="2" t="s">
        <v>1432</v>
      </c>
      <c r="I161" s="2" t="s">
        <v>1433</v>
      </c>
      <c r="J161" s="2" t="s">
        <v>35</v>
      </c>
      <c r="K161" s="2" t="s">
        <v>35</v>
      </c>
      <c r="L161" s="2" t="s">
        <v>35</v>
      </c>
      <c r="M161" s="2">
        <v>58</v>
      </c>
      <c r="N161" s="2">
        <v>15</v>
      </c>
      <c r="O161" s="11">
        <v>44747.398316423612</v>
      </c>
      <c r="P161" s="11">
        <v>44747.399309745371</v>
      </c>
      <c r="Q161" s="27">
        <v>9.9332175886956975E-4</v>
      </c>
      <c r="R161" s="27">
        <v>1.0522337979637086E-3</v>
      </c>
      <c r="S161" s="2">
        <v>0</v>
      </c>
      <c r="T161" s="2" t="s">
        <v>54</v>
      </c>
      <c r="U161" s="2" t="s">
        <v>55</v>
      </c>
      <c r="V161" s="2" t="s">
        <v>38</v>
      </c>
      <c r="W161" s="2" t="s">
        <v>35</v>
      </c>
      <c r="X161" s="2" t="s">
        <v>35</v>
      </c>
      <c r="Y161" s="2" t="s">
        <v>35</v>
      </c>
      <c r="Z161" s="2" t="b">
        <v>0</v>
      </c>
      <c r="AA161" s="2" t="s">
        <v>35</v>
      </c>
      <c r="AB161" s="2" t="s">
        <v>35</v>
      </c>
      <c r="AC161" s="2" t="s">
        <v>35</v>
      </c>
      <c r="AD161" s="2" t="s">
        <v>35</v>
      </c>
      <c r="AE161" s="2" t="s">
        <v>688</v>
      </c>
      <c r="AF161" s="11">
        <v>44747.395138888889</v>
      </c>
      <c r="AG161" s="53"/>
      <c r="AH161" s="53" t="str">
        <f t="shared" si="4"/>
        <v>TRUE</v>
      </c>
      <c r="AI161" s="54" t="s">
        <v>9591</v>
      </c>
      <c r="AJ161" s="2"/>
      <c r="AK161" s="2"/>
      <c r="AL161" s="2"/>
      <c r="AM161" s="2"/>
      <c r="AN161" s="2"/>
    </row>
    <row r="162" spans="1:40" ht="16" x14ac:dyDescent="0.2">
      <c r="A162" s="2" t="s">
        <v>1445</v>
      </c>
      <c r="B162" s="2">
        <v>439</v>
      </c>
      <c r="C162" s="2" t="b">
        <v>0</v>
      </c>
      <c r="D162" s="2" t="b">
        <v>0</v>
      </c>
      <c r="E162" s="2" t="b">
        <v>0</v>
      </c>
      <c r="F162" s="2" t="b">
        <v>0</v>
      </c>
      <c r="G162" s="2" t="s">
        <v>31</v>
      </c>
      <c r="H162" s="2" t="s">
        <v>1446</v>
      </c>
      <c r="I162" s="2" t="s">
        <v>1447</v>
      </c>
      <c r="J162" s="2" t="s">
        <v>35</v>
      </c>
      <c r="K162" s="2" t="s">
        <v>35</v>
      </c>
      <c r="L162" s="2" t="s">
        <v>35</v>
      </c>
      <c r="M162" s="2">
        <v>12</v>
      </c>
      <c r="N162" s="2">
        <v>17</v>
      </c>
      <c r="O162" s="11">
        <v>44747.404944421294</v>
      </c>
      <c r="P162" s="11">
        <v>44747.405394780093</v>
      </c>
      <c r="Q162" s="27">
        <v>4.5035879884380847E-4</v>
      </c>
      <c r="R162" s="27">
        <v>1.1324421284371056E-3</v>
      </c>
      <c r="S162" s="2">
        <v>0</v>
      </c>
      <c r="T162" s="2" t="s">
        <v>54</v>
      </c>
      <c r="U162" s="2" t="s">
        <v>55</v>
      </c>
      <c r="V162" s="2" t="s">
        <v>38</v>
      </c>
      <c r="W162" s="2" t="s">
        <v>35</v>
      </c>
      <c r="X162" s="2" t="s">
        <v>35</v>
      </c>
      <c r="Y162" s="2" t="s">
        <v>35</v>
      </c>
      <c r="Z162" s="2" t="b">
        <v>0</v>
      </c>
      <c r="AA162" s="2" t="s">
        <v>35</v>
      </c>
      <c r="AB162" s="2" t="s">
        <v>35</v>
      </c>
      <c r="AC162" s="2" t="s">
        <v>35</v>
      </c>
      <c r="AD162" s="2" t="s">
        <v>35</v>
      </c>
      <c r="AE162" s="2" t="s">
        <v>688</v>
      </c>
      <c r="AF162" s="11">
        <v>44747.395138888889</v>
      </c>
      <c r="AG162" s="53"/>
      <c r="AH162" s="53" t="b">
        <f t="shared" si="4"/>
        <v>0</v>
      </c>
      <c r="AI162" s="54" t="s">
        <v>9972</v>
      </c>
      <c r="AJ162" s="2"/>
      <c r="AK162" s="2"/>
      <c r="AL162" s="2"/>
      <c r="AM162" s="2"/>
      <c r="AN162" s="2"/>
    </row>
    <row r="163" spans="1:40" ht="16" x14ac:dyDescent="0.2">
      <c r="A163" s="2" t="s">
        <v>1448</v>
      </c>
      <c r="B163" s="2">
        <v>440</v>
      </c>
      <c r="C163" s="2" t="b">
        <v>0</v>
      </c>
      <c r="D163" s="2" t="b">
        <v>0</v>
      </c>
      <c r="E163" s="2" t="b">
        <v>0</v>
      </c>
      <c r="F163" s="2" t="b">
        <v>0</v>
      </c>
      <c r="G163" s="2" t="s">
        <v>31</v>
      </c>
      <c r="H163" s="2" t="s">
        <v>1449</v>
      </c>
      <c r="I163" s="2" t="s">
        <v>1450</v>
      </c>
      <c r="J163" s="2" t="s">
        <v>35</v>
      </c>
      <c r="K163" s="2" t="s">
        <v>35</v>
      </c>
      <c r="L163" s="2" t="s">
        <v>35</v>
      </c>
      <c r="M163" s="2">
        <v>19</v>
      </c>
      <c r="N163" s="2">
        <v>16</v>
      </c>
      <c r="O163" s="11">
        <v>44747.405451481478</v>
      </c>
      <c r="P163" s="11">
        <v>44747.405873402779</v>
      </c>
      <c r="Q163" s="27">
        <v>4.2192130058538169E-4</v>
      </c>
      <c r="R163" s="27">
        <v>4.7862268547760323E-4</v>
      </c>
      <c r="S163" s="2">
        <v>0</v>
      </c>
      <c r="T163" s="2" t="s">
        <v>54</v>
      </c>
      <c r="U163" s="2" t="s">
        <v>55</v>
      </c>
      <c r="V163" s="2" t="s">
        <v>38</v>
      </c>
      <c r="W163" s="2" t="s">
        <v>35</v>
      </c>
      <c r="X163" s="2" t="s">
        <v>35</v>
      </c>
      <c r="Y163" s="2" t="s">
        <v>35</v>
      </c>
      <c r="Z163" s="2" t="b">
        <v>0</v>
      </c>
      <c r="AA163" s="2" t="s">
        <v>35</v>
      </c>
      <c r="AB163" s="2" t="s">
        <v>35</v>
      </c>
      <c r="AC163" s="2" t="s">
        <v>35</v>
      </c>
      <c r="AD163" s="2" t="s">
        <v>35</v>
      </c>
      <c r="AE163" s="2" t="s">
        <v>688</v>
      </c>
      <c r="AF163" s="11">
        <v>44747.395138888889</v>
      </c>
      <c r="AG163" s="53"/>
      <c r="AH163" s="53" t="b">
        <f t="shared" ref="AH163:AH226" si="5">IF(Q163&gt;TIME(0,1,19),"TRUE")</f>
        <v>0</v>
      </c>
      <c r="AI163" s="54" t="s">
        <v>9973</v>
      </c>
      <c r="AJ163" s="2"/>
      <c r="AK163" s="2"/>
      <c r="AL163" s="2"/>
      <c r="AM163" s="2"/>
      <c r="AN163" s="2"/>
    </row>
    <row r="164" spans="1:40" ht="16" x14ac:dyDescent="0.2">
      <c r="A164" s="2" t="s">
        <v>1522</v>
      </c>
      <c r="B164" s="2">
        <v>463</v>
      </c>
      <c r="C164" s="2" t="b">
        <v>0</v>
      </c>
      <c r="D164" s="2" t="b">
        <v>0</v>
      </c>
      <c r="E164" s="2" t="b">
        <v>0</v>
      </c>
      <c r="F164" s="2" t="b">
        <v>0</v>
      </c>
      <c r="G164" s="2" t="s">
        <v>31</v>
      </c>
      <c r="H164" s="2" t="s">
        <v>1523</v>
      </c>
      <c r="I164" s="2" t="s">
        <v>1524</v>
      </c>
      <c r="J164" s="2" t="s">
        <v>35</v>
      </c>
      <c r="K164" s="2" t="s">
        <v>35</v>
      </c>
      <c r="L164" s="2" t="s">
        <v>35</v>
      </c>
      <c r="M164" s="2">
        <v>3</v>
      </c>
      <c r="N164" s="2">
        <v>15</v>
      </c>
      <c r="O164" s="11">
        <v>44747.44724509259</v>
      </c>
      <c r="P164" s="11">
        <v>44747.447511168983</v>
      </c>
      <c r="Q164" s="27">
        <v>2.66076393018011E-4</v>
      </c>
      <c r="R164" s="27">
        <v>8.4819444600725546E-4</v>
      </c>
      <c r="S164" s="2">
        <v>0</v>
      </c>
      <c r="T164" s="2" t="s">
        <v>54</v>
      </c>
      <c r="U164" s="2" t="s">
        <v>55</v>
      </c>
      <c r="V164" s="2" t="s">
        <v>38</v>
      </c>
      <c r="W164" s="2" t="s">
        <v>35</v>
      </c>
      <c r="X164" s="2" t="s">
        <v>35</v>
      </c>
      <c r="Y164" s="2" t="s">
        <v>35</v>
      </c>
      <c r="Z164" s="2" t="b">
        <v>0</v>
      </c>
      <c r="AA164" s="2" t="s">
        <v>35</v>
      </c>
      <c r="AB164" s="2" t="s">
        <v>35</v>
      </c>
      <c r="AC164" s="2" t="s">
        <v>35</v>
      </c>
      <c r="AD164" s="2" t="s">
        <v>35</v>
      </c>
      <c r="AE164" s="2" t="s">
        <v>1464</v>
      </c>
      <c r="AF164" s="11">
        <v>44747.425694386577</v>
      </c>
      <c r="AG164" s="53"/>
      <c r="AH164" s="53" t="b">
        <f t="shared" si="5"/>
        <v>0</v>
      </c>
      <c r="AI164" s="54" t="s">
        <v>9974</v>
      </c>
      <c r="AJ164" s="2"/>
      <c r="AK164" s="2"/>
      <c r="AL164" s="2"/>
      <c r="AM164" s="2"/>
      <c r="AN164" s="2"/>
    </row>
    <row r="165" spans="1:40" ht="16" x14ac:dyDescent="0.2">
      <c r="A165" s="2" t="s">
        <v>1525</v>
      </c>
      <c r="B165" s="2">
        <v>464</v>
      </c>
      <c r="C165" s="2" t="b">
        <v>0</v>
      </c>
      <c r="D165" s="2" t="b">
        <v>0</v>
      </c>
      <c r="E165" s="2" t="b">
        <v>0</v>
      </c>
      <c r="F165" s="2" t="b">
        <v>0</v>
      </c>
      <c r="G165" s="2" t="s">
        <v>31</v>
      </c>
      <c r="H165" s="2" t="s">
        <v>1526</v>
      </c>
      <c r="I165" s="2" t="s">
        <v>1527</v>
      </c>
      <c r="J165" s="2" t="s">
        <v>1528</v>
      </c>
      <c r="K165" s="2" t="s">
        <v>35</v>
      </c>
      <c r="L165" s="2" t="s">
        <v>35</v>
      </c>
      <c r="M165" s="2">
        <v>3</v>
      </c>
      <c r="N165" s="2">
        <v>15</v>
      </c>
      <c r="O165" s="11">
        <v>44747.447781886571</v>
      </c>
      <c r="P165" s="11">
        <v>44747.448049548613</v>
      </c>
      <c r="Q165" s="27">
        <v>2.6766204246087E-4</v>
      </c>
      <c r="R165" s="27">
        <v>5.3837963059777394E-4</v>
      </c>
      <c r="S165" s="2">
        <v>0</v>
      </c>
      <c r="T165" s="2" t="s">
        <v>54</v>
      </c>
      <c r="U165" s="2" t="s">
        <v>55</v>
      </c>
      <c r="V165" s="2" t="s">
        <v>38</v>
      </c>
      <c r="W165" s="2" t="s">
        <v>35</v>
      </c>
      <c r="X165" s="2" t="s">
        <v>35</v>
      </c>
      <c r="Y165" s="2" t="s">
        <v>35</v>
      </c>
      <c r="Z165" s="2" t="b">
        <v>1</v>
      </c>
      <c r="AA165" s="2" t="s">
        <v>35</v>
      </c>
      <c r="AB165" s="2" t="s">
        <v>35</v>
      </c>
      <c r="AC165" s="2" t="s">
        <v>35</v>
      </c>
      <c r="AD165" s="2" t="s">
        <v>35</v>
      </c>
      <c r="AE165" s="2" t="s">
        <v>1464</v>
      </c>
      <c r="AF165" s="11">
        <v>44747.425694386577</v>
      </c>
      <c r="AG165" s="53"/>
      <c r="AH165" s="53" t="b">
        <f t="shared" si="5"/>
        <v>0</v>
      </c>
      <c r="AI165" s="54" t="s">
        <v>9975</v>
      </c>
      <c r="AJ165" s="2"/>
      <c r="AK165" s="2"/>
      <c r="AL165" s="2"/>
      <c r="AM165" s="2"/>
      <c r="AN165" s="2"/>
    </row>
    <row r="166" spans="1:40" ht="16" x14ac:dyDescent="0.2">
      <c r="A166" s="2" t="s">
        <v>1571</v>
      </c>
      <c r="B166" s="2">
        <v>478</v>
      </c>
      <c r="C166" s="2" t="b">
        <v>0</v>
      </c>
      <c r="D166" s="2" t="b">
        <v>0</v>
      </c>
      <c r="E166" s="2" t="b">
        <v>0</v>
      </c>
      <c r="F166" s="2" t="b">
        <v>0</v>
      </c>
      <c r="G166" s="2" t="s">
        <v>31</v>
      </c>
      <c r="H166" s="2" t="s">
        <v>1572</v>
      </c>
      <c r="I166" s="2" t="s">
        <v>1573</v>
      </c>
      <c r="J166" s="2" t="s">
        <v>1574</v>
      </c>
      <c r="K166" s="2" t="s">
        <v>35</v>
      </c>
      <c r="L166" s="2" t="s">
        <v>35</v>
      </c>
      <c r="M166" s="2">
        <v>9</v>
      </c>
      <c r="N166" s="2">
        <v>12</v>
      </c>
      <c r="O166" s="11">
        <v>44747.466081365739</v>
      </c>
      <c r="P166" s="11">
        <v>44747.466709884262</v>
      </c>
      <c r="Q166" s="27">
        <v>6.2851852271705866E-4</v>
      </c>
      <c r="R166" s="27">
        <v>7.2077546792570502E-4</v>
      </c>
      <c r="S166" s="2">
        <v>0</v>
      </c>
      <c r="T166" s="2" t="s">
        <v>54</v>
      </c>
      <c r="U166" s="2" t="s">
        <v>55</v>
      </c>
      <c r="V166" s="2" t="s">
        <v>38</v>
      </c>
      <c r="W166" s="2" t="s">
        <v>35</v>
      </c>
      <c r="X166" s="2" t="s">
        <v>35</v>
      </c>
      <c r="Y166" s="2" t="s">
        <v>35</v>
      </c>
      <c r="Z166" s="2" t="b">
        <v>1</v>
      </c>
      <c r="AA166" s="2" t="s">
        <v>35</v>
      </c>
      <c r="AB166" s="2" t="s">
        <v>35</v>
      </c>
      <c r="AC166" s="2" t="s">
        <v>35</v>
      </c>
      <c r="AD166" s="2" t="s">
        <v>35</v>
      </c>
      <c r="AE166" s="2" t="s">
        <v>1464</v>
      </c>
      <c r="AF166" s="11">
        <v>44747.425694386577</v>
      </c>
      <c r="AG166" s="53"/>
      <c r="AH166" s="53" t="b">
        <f t="shared" si="5"/>
        <v>0</v>
      </c>
      <c r="AI166" s="54" t="s">
        <v>9976</v>
      </c>
      <c r="AJ166" s="2"/>
      <c r="AK166" s="2"/>
      <c r="AL166" s="2"/>
      <c r="AM166" s="2"/>
      <c r="AN166" s="2"/>
    </row>
    <row r="167" spans="1:40" ht="16" x14ac:dyDescent="0.2">
      <c r="A167" s="2" t="s">
        <v>1588</v>
      </c>
      <c r="B167" s="2">
        <v>483</v>
      </c>
      <c r="C167" s="2" t="b">
        <v>0</v>
      </c>
      <c r="D167" s="2" t="b">
        <v>0</v>
      </c>
      <c r="E167" s="2" t="b">
        <v>0</v>
      </c>
      <c r="F167" s="2" t="b">
        <v>0</v>
      </c>
      <c r="G167" s="2" t="s">
        <v>31</v>
      </c>
      <c r="H167" s="2" t="s">
        <v>1589</v>
      </c>
      <c r="I167" s="2" t="s">
        <v>1590</v>
      </c>
      <c r="J167" s="2" t="s">
        <v>35</v>
      </c>
      <c r="K167" s="2" t="s">
        <v>35</v>
      </c>
      <c r="L167" s="2" t="s">
        <v>35</v>
      </c>
      <c r="M167" s="2">
        <v>5</v>
      </c>
      <c r="N167" s="2">
        <v>15</v>
      </c>
      <c r="O167" s="11">
        <v>44747.4751196875</v>
      </c>
      <c r="P167" s="11">
        <v>44747.475560833336</v>
      </c>
      <c r="Q167" s="27">
        <v>4.4114583579357713E-4</v>
      </c>
      <c r="R167" s="27">
        <v>4.720844910480082E-3</v>
      </c>
      <c r="S167" s="2">
        <v>0</v>
      </c>
      <c r="T167" s="2" t="s">
        <v>54</v>
      </c>
      <c r="U167" s="2" t="s">
        <v>55</v>
      </c>
      <c r="V167" s="2" t="s">
        <v>38</v>
      </c>
      <c r="W167" s="2" t="s">
        <v>35</v>
      </c>
      <c r="X167" s="2" t="s">
        <v>35</v>
      </c>
      <c r="Y167" s="2" t="s">
        <v>35</v>
      </c>
      <c r="Z167" s="2" t="b">
        <v>0</v>
      </c>
      <c r="AA167" s="2" t="s">
        <v>35</v>
      </c>
      <c r="AB167" s="2" t="s">
        <v>35</v>
      </c>
      <c r="AC167" s="2" t="s">
        <v>35</v>
      </c>
      <c r="AD167" s="2" t="s">
        <v>35</v>
      </c>
      <c r="AE167" s="2" t="s">
        <v>1464</v>
      </c>
      <c r="AF167" s="11">
        <v>44747.425694386577</v>
      </c>
      <c r="AG167" s="53"/>
      <c r="AH167" s="53" t="b">
        <f t="shared" si="5"/>
        <v>0</v>
      </c>
      <c r="AI167" s="54" t="s">
        <v>9977</v>
      </c>
      <c r="AJ167" s="2" t="s">
        <v>9978</v>
      </c>
      <c r="AK167" s="2" t="s">
        <v>9979</v>
      </c>
      <c r="AL167" s="2"/>
      <c r="AM167" s="2"/>
      <c r="AN167" s="2"/>
    </row>
    <row r="168" spans="1:40" ht="16" x14ac:dyDescent="0.2">
      <c r="A168" s="2" t="s">
        <v>1599</v>
      </c>
      <c r="B168" s="2">
        <v>486</v>
      </c>
      <c r="C168" s="2" t="b">
        <v>0</v>
      </c>
      <c r="D168" s="2" t="b">
        <v>0</v>
      </c>
      <c r="E168" s="2" t="b">
        <v>0</v>
      </c>
      <c r="F168" s="2" t="b">
        <v>0</v>
      </c>
      <c r="G168" s="2" t="s">
        <v>31</v>
      </c>
      <c r="H168" s="2" t="s">
        <v>1600</v>
      </c>
      <c r="I168" s="2" t="s">
        <v>1601</v>
      </c>
      <c r="J168" s="2" t="s">
        <v>35</v>
      </c>
      <c r="K168" s="2" t="s">
        <v>35</v>
      </c>
      <c r="L168" s="2" t="s">
        <v>35</v>
      </c>
      <c r="M168" s="2">
        <v>25</v>
      </c>
      <c r="N168" s="2">
        <v>16</v>
      </c>
      <c r="O168" s="11">
        <v>44747.477818541665</v>
      </c>
      <c r="P168" s="11">
        <v>44747.47805996528</v>
      </c>
      <c r="Q168" s="27">
        <v>2.4142361507983878E-4</v>
      </c>
      <c r="R168" s="27">
        <v>9.6523148386040702E-4</v>
      </c>
      <c r="S168" s="2">
        <v>0</v>
      </c>
      <c r="T168" s="2" t="s">
        <v>54</v>
      </c>
      <c r="U168" s="2" t="s">
        <v>55</v>
      </c>
      <c r="V168" s="2" t="s">
        <v>38</v>
      </c>
      <c r="W168" s="2" t="s">
        <v>35</v>
      </c>
      <c r="X168" s="2" t="s">
        <v>35</v>
      </c>
      <c r="Y168" s="2" t="s">
        <v>35</v>
      </c>
      <c r="Z168" s="2" t="b">
        <v>0</v>
      </c>
      <c r="AA168" s="2" t="s">
        <v>35</v>
      </c>
      <c r="AB168" s="2" t="s">
        <v>35</v>
      </c>
      <c r="AC168" s="2" t="s">
        <v>35</v>
      </c>
      <c r="AD168" s="2" t="s">
        <v>35</v>
      </c>
      <c r="AE168" s="2" t="s">
        <v>1464</v>
      </c>
      <c r="AF168" s="11">
        <v>44747.425694386577</v>
      </c>
      <c r="AG168" s="53"/>
      <c r="AH168" s="53" t="b">
        <f t="shared" si="5"/>
        <v>0</v>
      </c>
      <c r="AI168" s="54" t="s">
        <v>9590</v>
      </c>
      <c r="AJ168" s="2"/>
      <c r="AK168" s="2"/>
      <c r="AL168" s="2"/>
      <c r="AM168" s="2"/>
      <c r="AN168" s="2"/>
    </row>
    <row r="169" spans="1:40" ht="16" x14ac:dyDescent="0.2">
      <c r="A169" s="2" t="s">
        <v>1602</v>
      </c>
      <c r="B169" s="2">
        <v>487</v>
      </c>
      <c r="C169" s="2" t="b">
        <v>0</v>
      </c>
      <c r="D169" s="2" t="b">
        <v>0</v>
      </c>
      <c r="E169" s="2" t="b">
        <v>0</v>
      </c>
      <c r="F169" s="2" t="b">
        <v>0</v>
      </c>
      <c r="G169" s="2" t="s">
        <v>31</v>
      </c>
      <c r="H169" s="2" t="s">
        <v>1603</v>
      </c>
      <c r="I169" s="2" t="s">
        <v>1604</v>
      </c>
      <c r="J169" s="2" t="s">
        <v>35</v>
      </c>
      <c r="K169" s="2" t="s">
        <v>35</v>
      </c>
      <c r="L169" s="2" t="s">
        <v>35</v>
      </c>
      <c r="M169" s="2">
        <v>19</v>
      </c>
      <c r="N169" s="2">
        <v>15</v>
      </c>
      <c r="O169" s="11">
        <v>44747.478108900461</v>
      </c>
      <c r="P169" s="11">
        <v>44747.478490185182</v>
      </c>
      <c r="Q169" s="27">
        <v>3.8128472078824416E-4</v>
      </c>
      <c r="R169" s="27">
        <v>4.3021990131819621E-4</v>
      </c>
      <c r="S169" s="2">
        <v>0</v>
      </c>
      <c r="T169" s="2" t="s">
        <v>54</v>
      </c>
      <c r="U169" s="2" t="s">
        <v>55</v>
      </c>
      <c r="V169" s="2" t="s">
        <v>38</v>
      </c>
      <c r="W169" s="2" t="s">
        <v>35</v>
      </c>
      <c r="X169" s="2" t="s">
        <v>35</v>
      </c>
      <c r="Y169" s="2" t="s">
        <v>35</v>
      </c>
      <c r="Z169" s="2" t="b">
        <v>0</v>
      </c>
      <c r="AA169" s="2" t="s">
        <v>35</v>
      </c>
      <c r="AB169" s="2" t="s">
        <v>35</v>
      </c>
      <c r="AC169" s="2" t="s">
        <v>35</v>
      </c>
      <c r="AD169" s="2" t="s">
        <v>35</v>
      </c>
      <c r="AE169" s="2" t="s">
        <v>1464</v>
      </c>
      <c r="AF169" s="11">
        <v>44747.425694386577</v>
      </c>
      <c r="AG169" s="53"/>
      <c r="AH169" s="53" t="b">
        <f t="shared" si="5"/>
        <v>0</v>
      </c>
      <c r="AI169" s="54" t="s">
        <v>9980</v>
      </c>
      <c r="AJ169" s="2"/>
      <c r="AK169" s="2"/>
      <c r="AL169" s="2"/>
      <c r="AM169" s="2"/>
      <c r="AN169" s="2"/>
    </row>
    <row r="170" spans="1:40" ht="16" x14ac:dyDescent="0.2">
      <c r="A170" s="2" t="s">
        <v>1624</v>
      </c>
      <c r="B170" s="2">
        <v>494</v>
      </c>
      <c r="C170" s="2" t="b">
        <v>0</v>
      </c>
      <c r="D170" s="2" t="b">
        <v>0</v>
      </c>
      <c r="E170" s="2" t="b">
        <v>0</v>
      </c>
      <c r="F170" s="2" t="b">
        <v>0</v>
      </c>
      <c r="G170" s="2" t="s">
        <v>31</v>
      </c>
      <c r="H170" s="2" t="s">
        <v>1625</v>
      </c>
      <c r="I170" s="2" t="s">
        <v>1626</v>
      </c>
      <c r="J170" s="2" t="s">
        <v>1627</v>
      </c>
      <c r="K170" s="2" t="s">
        <v>35</v>
      </c>
      <c r="L170" s="2" t="s">
        <v>35</v>
      </c>
      <c r="M170" s="2">
        <v>2</v>
      </c>
      <c r="N170" s="2">
        <v>15</v>
      </c>
      <c r="O170" s="11">
        <v>44747.486218078702</v>
      </c>
      <c r="P170" s="11">
        <v>44747.4868221875</v>
      </c>
      <c r="Q170" s="27">
        <v>6.0410879814298823E-4</v>
      </c>
      <c r="R170" s="27">
        <v>8.8630786922294647E-4</v>
      </c>
      <c r="S170" s="2">
        <v>0</v>
      </c>
      <c r="T170" s="2" t="s">
        <v>54</v>
      </c>
      <c r="U170" s="2" t="s">
        <v>55</v>
      </c>
      <c r="V170" s="2" t="s">
        <v>38</v>
      </c>
      <c r="W170" s="2" t="s">
        <v>35</v>
      </c>
      <c r="X170" s="2" t="s">
        <v>35</v>
      </c>
      <c r="Y170" s="2" t="s">
        <v>35</v>
      </c>
      <c r="Z170" s="2" t="b">
        <v>1</v>
      </c>
      <c r="AA170" s="2" t="s">
        <v>35</v>
      </c>
      <c r="AB170" s="2" t="s">
        <v>35</v>
      </c>
      <c r="AC170" s="2" t="s">
        <v>35</v>
      </c>
      <c r="AD170" s="2" t="s">
        <v>35</v>
      </c>
      <c r="AE170" s="2" t="s">
        <v>1464</v>
      </c>
      <c r="AF170" s="11">
        <v>44747.425694386577</v>
      </c>
      <c r="AG170" s="53"/>
      <c r="AH170" s="53" t="b">
        <f t="shared" si="5"/>
        <v>0</v>
      </c>
      <c r="AI170" s="54" t="s">
        <v>9981</v>
      </c>
      <c r="AJ170" s="2"/>
      <c r="AK170" s="2"/>
      <c r="AL170" s="2"/>
      <c r="AM170" s="2"/>
      <c r="AN170" s="2"/>
    </row>
    <row r="171" spans="1:40" ht="16" x14ac:dyDescent="0.2">
      <c r="A171" s="2" t="s">
        <v>1655</v>
      </c>
      <c r="B171" s="2">
        <v>503</v>
      </c>
      <c r="C171" s="2" t="b">
        <v>0</v>
      </c>
      <c r="D171" s="2" t="b">
        <v>0</v>
      </c>
      <c r="E171" s="2" t="b">
        <v>0</v>
      </c>
      <c r="F171" s="2" t="b">
        <v>0</v>
      </c>
      <c r="G171" s="2" t="s">
        <v>31</v>
      </c>
      <c r="H171" s="2" t="s">
        <v>1656</v>
      </c>
      <c r="I171" s="2" t="s">
        <v>1657</v>
      </c>
      <c r="J171" s="2" t="s">
        <v>1658</v>
      </c>
      <c r="K171" s="2" t="s">
        <v>35</v>
      </c>
      <c r="L171" s="2" t="s">
        <v>35</v>
      </c>
      <c r="M171" s="2">
        <v>3</v>
      </c>
      <c r="N171" s="2">
        <v>13</v>
      </c>
      <c r="O171" s="11">
        <v>44747.499291759261</v>
      </c>
      <c r="P171" s="11">
        <v>44747.499661909722</v>
      </c>
      <c r="Q171" s="27">
        <v>3.7015046109445393E-4</v>
      </c>
      <c r="R171" s="27">
        <v>1.0394791679573245E-3</v>
      </c>
      <c r="S171" s="2">
        <v>0</v>
      </c>
      <c r="T171" s="2" t="s">
        <v>54</v>
      </c>
      <c r="U171" s="2" t="s">
        <v>55</v>
      </c>
      <c r="V171" s="2" t="s">
        <v>38</v>
      </c>
      <c r="W171" s="2" t="s">
        <v>35</v>
      </c>
      <c r="X171" s="2" t="s">
        <v>35</v>
      </c>
      <c r="Y171" s="2" t="s">
        <v>35</v>
      </c>
      <c r="Z171" s="2" t="b">
        <v>1</v>
      </c>
      <c r="AA171" s="2" t="s">
        <v>35</v>
      </c>
      <c r="AB171" s="2" t="s">
        <v>35</v>
      </c>
      <c r="AC171" s="2" t="s">
        <v>35</v>
      </c>
      <c r="AD171" s="2" t="s">
        <v>35</v>
      </c>
      <c r="AE171" s="2" t="s">
        <v>1464</v>
      </c>
      <c r="AF171" s="11">
        <v>44747.425694386577</v>
      </c>
      <c r="AG171" s="53"/>
      <c r="AH171" s="53" t="b">
        <f t="shared" si="5"/>
        <v>0</v>
      </c>
      <c r="AI171" s="54" t="s">
        <v>9982</v>
      </c>
      <c r="AJ171" s="2"/>
      <c r="AK171" s="2"/>
      <c r="AL171" s="2"/>
      <c r="AM171" s="2"/>
      <c r="AN171" s="2"/>
    </row>
    <row r="172" spans="1:40" ht="16" x14ac:dyDescent="0.2">
      <c r="A172" s="2" t="s">
        <v>1659</v>
      </c>
      <c r="B172" s="2">
        <v>504</v>
      </c>
      <c r="C172" s="2" t="b">
        <v>0</v>
      </c>
      <c r="D172" s="2" t="b">
        <v>0</v>
      </c>
      <c r="E172" s="2" t="b">
        <v>0</v>
      </c>
      <c r="F172" s="2" t="b">
        <v>0</v>
      </c>
      <c r="G172" s="2" t="s">
        <v>31</v>
      </c>
      <c r="H172" s="2" t="s">
        <v>1660</v>
      </c>
      <c r="I172" s="2" t="s">
        <v>1661</v>
      </c>
      <c r="J172" s="2" t="s">
        <v>35</v>
      </c>
      <c r="K172" s="2" t="s">
        <v>35</v>
      </c>
      <c r="L172" s="2" t="s">
        <v>35</v>
      </c>
      <c r="M172" s="2">
        <v>23</v>
      </c>
      <c r="N172" s="2">
        <v>15</v>
      </c>
      <c r="O172" s="11">
        <v>44747.500143819445</v>
      </c>
      <c r="P172" s="11">
        <v>44747.500591793978</v>
      </c>
      <c r="Q172" s="27">
        <v>4.4797453301725909E-4</v>
      </c>
      <c r="R172" s="27">
        <v>9.2988425603834912E-4</v>
      </c>
      <c r="S172" s="2">
        <v>0</v>
      </c>
      <c r="T172" s="2" t="s">
        <v>54</v>
      </c>
      <c r="U172" s="2" t="s">
        <v>55</v>
      </c>
      <c r="V172" s="2" t="s">
        <v>38</v>
      </c>
      <c r="W172" s="2" t="s">
        <v>35</v>
      </c>
      <c r="X172" s="2" t="s">
        <v>35</v>
      </c>
      <c r="Y172" s="2" t="s">
        <v>35</v>
      </c>
      <c r="Z172" s="2" t="b">
        <v>0</v>
      </c>
      <c r="AA172" s="2" t="s">
        <v>35</v>
      </c>
      <c r="AB172" s="2" t="s">
        <v>35</v>
      </c>
      <c r="AC172" s="2" t="s">
        <v>35</v>
      </c>
      <c r="AD172" s="2" t="s">
        <v>35</v>
      </c>
      <c r="AE172" s="2" t="s">
        <v>1464</v>
      </c>
      <c r="AF172" s="11">
        <v>44747.425694386577</v>
      </c>
      <c r="AG172" s="53"/>
      <c r="AH172" s="53" t="b">
        <f t="shared" si="5"/>
        <v>0</v>
      </c>
      <c r="AI172" s="54" t="s">
        <v>9983</v>
      </c>
      <c r="AJ172" s="2"/>
      <c r="AK172" s="2"/>
      <c r="AL172" s="2"/>
      <c r="AM172" s="2"/>
      <c r="AN172" s="2"/>
    </row>
    <row r="173" spans="1:40" ht="16" x14ac:dyDescent="0.2">
      <c r="A173" s="2" t="s">
        <v>1662</v>
      </c>
      <c r="B173" s="2">
        <v>505</v>
      </c>
      <c r="C173" s="2" t="b">
        <v>0</v>
      </c>
      <c r="D173" s="2" t="b">
        <v>0</v>
      </c>
      <c r="E173" s="2" t="b">
        <v>0</v>
      </c>
      <c r="F173" s="2" t="b">
        <v>0</v>
      </c>
      <c r="G173" s="2" t="s">
        <v>31</v>
      </c>
      <c r="H173" s="2" t="s">
        <v>1663</v>
      </c>
      <c r="I173" s="2" t="s">
        <v>1664</v>
      </c>
      <c r="J173" s="2" t="s">
        <v>35</v>
      </c>
      <c r="K173" s="2" t="s">
        <v>35</v>
      </c>
      <c r="L173" s="2" t="s">
        <v>35</v>
      </c>
      <c r="M173" s="2">
        <v>2</v>
      </c>
      <c r="N173" s="2">
        <v>15</v>
      </c>
      <c r="O173" s="11">
        <v>44747.500716828705</v>
      </c>
      <c r="P173" s="11">
        <v>44747.500906469904</v>
      </c>
      <c r="Q173" s="27">
        <v>1.8964119954034686E-4</v>
      </c>
      <c r="R173" s="27">
        <v>3.1467592634726316E-4</v>
      </c>
      <c r="S173" s="2">
        <v>0</v>
      </c>
      <c r="T173" s="2" t="s">
        <v>54</v>
      </c>
      <c r="U173" s="2" t="s">
        <v>55</v>
      </c>
      <c r="V173" s="2" t="s">
        <v>38</v>
      </c>
      <c r="W173" s="2" t="s">
        <v>35</v>
      </c>
      <c r="X173" s="2" t="s">
        <v>35</v>
      </c>
      <c r="Y173" s="2" t="s">
        <v>35</v>
      </c>
      <c r="Z173" s="2" t="b">
        <v>0</v>
      </c>
      <c r="AA173" s="2" t="s">
        <v>35</v>
      </c>
      <c r="AB173" s="2" t="s">
        <v>35</v>
      </c>
      <c r="AC173" s="2" t="s">
        <v>35</v>
      </c>
      <c r="AD173" s="2" t="s">
        <v>35</v>
      </c>
      <c r="AE173" s="2" t="s">
        <v>1464</v>
      </c>
      <c r="AF173" s="11">
        <v>44747.425694386577</v>
      </c>
      <c r="AG173" s="53"/>
      <c r="AH173" s="53" t="b">
        <f t="shared" si="5"/>
        <v>0</v>
      </c>
      <c r="AI173" s="54" t="s">
        <v>9984</v>
      </c>
      <c r="AJ173" s="2"/>
      <c r="AK173" s="2"/>
      <c r="AL173" s="2"/>
      <c r="AM173" s="2"/>
      <c r="AN173" s="2"/>
    </row>
    <row r="174" spans="1:40" ht="16" x14ac:dyDescent="0.2">
      <c r="A174" s="2" t="s">
        <v>1684</v>
      </c>
      <c r="B174" s="2">
        <v>512</v>
      </c>
      <c r="C174" s="2" t="b">
        <v>0</v>
      </c>
      <c r="D174" s="2" t="b">
        <v>0</v>
      </c>
      <c r="E174" s="2" t="b">
        <v>0</v>
      </c>
      <c r="F174" s="2" t="b">
        <v>0</v>
      </c>
      <c r="G174" s="2" t="s">
        <v>31</v>
      </c>
      <c r="H174" s="2" t="s">
        <v>1685</v>
      </c>
      <c r="I174" s="2" t="s">
        <v>1686</v>
      </c>
      <c r="J174" s="2" t="s">
        <v>35</v>
      </c>
      <c r="K174" s="2" t="s">
        <v>35</v>
      </c>
      <c r="L174" s="2" t="s">
        <v>35</v>
      </c>
      <c r="M174" s="2">
        <v>2</v>
      </c>
      <c r="N174" s="2">
        <v>15</v>
      </c>
      <c r="O174" s="11">
        <v>44747.50688724537</v>
      </c>
      <c r="P174" s="11">
        <v>44747.50722939815</v>
      </c>
      <c r="Q174" s="27">
        <v>3.4215277992188931E-4</v>
      </c>
      <c r="R174" s="27">
        <v>1.1809027782874182E-3</v>
      </c>
      <c r="S174" s="2">
        <v>0</v>
      </c>
      <c r="T174" s="2" t="s">
        <v>54</v>
      </c>
      <c r="U174" s="2" t="s">
        <v>55</v>
      </c>
      <c r="V174" s="2" t="s">
        <v>38</v>
      </c>
      <c r="W174" s="2" t="s">
        <v>35</v>
      </c>
      <c r="X174" s="2" t="s">
        <v>35</v>
      </c>
      <c r="Y174" s="2" t="s">
        <v>35</v>
      </c>
      <c r="Z174" s="2" t="b">
        <v>0</v>
      </c>
      <c r="AA174" s="2" t="s">
        <v>35</v>
      </c>
      <c r="AB174" s="2" t="s">
        <v>35</v>
      </c>
      <c r="AC174" s="2" t="s">
        <v>35</v>
      </c>
      <c r="AD174" s="2" t="s">
        <v>35</v>
      </c>
      <c r="AE174" s="2" t="s">
        <v>1464</v>
      </c>
      <c r="AF174" s="11">
        <v>44747.425694386577</v>
      </c>
      <c r="AG174" s="53"/>
      <c r="AH174" s="53" t="b">
        <f t="shared" si="5"/>
        <v>0</v>
      </c>
      <c r="AI174" s="54" t="s">
        <v>9985</v>
      </c>
      <c r="AJ174" s="2"/>
      <c r="AK174" s="2"/>
      <c r="AL174" s="2"/>
      <c r="AM174" s="2"/>
      <c r="AN174" s="2"/>
    </row>
    <row r="175" spans="1:40" ht="16" x14ac:dyDescent="0.2">
      <c r="A175" s="68" t="s">
        <v>1687</v>
      </c>
      <c r="B175" s="68">
        <v>513</v>
      </c>
      <c r="C175" s="68" t="b">
        <v>0</v>
      </c>
      <c r="D175" s="68" t="b">
        <v>0</v>
      </c>
      <c r="E175" s="68" t="b">
        <v>0</v>
      </c>
      <c r="F175" s="68" t="b">
        <v>0</v>
      </c>
      <c r="G175" s="68" t="s">
        <v>31</v>
      </c>
      <c r="H175" s="68" t="s">
        <v>149</v>
      </c>
      <c r="I175" s="68" t="s">
        <v>1688</v>
      </c>
      <c r="J175" s="68" t="s">
        <v>35</v>
      </c>
      <c r="K175" s="68" t="s">
        <v>35</v>
      </c>
      <c r="L175" s="68" t="s">
        <v>35</v>
      </c>
      <c r="M175" s="68">
        <v>45</v>
      </c>
      <c r="N175" s="68">
        <v>15</v>
      </c>
      <c r="O175" s="69">
        <v>44747.507742164351</v>
      </c>
      <c r="P175" s="69">
        <v>44747.508008969904</v>
      </c>
      <c r="Q175" s="70">
        <v>2.668055531103164E-4</v>
      </c>
      <c r="R175" s="70">
        <v>7.7957175381015986E-4</v>
      </c>
      <c r="S175" s="68">
        <v>0</v>
      </c>
      <c r="T175" s="68" t="s">
        <v>54</v>
      </c>
      <c r="U175" s="68" t="s">
        <v>55</v>
      </c>
      <c r="V175" s="68" t="s">
        <v>38</v>
      </c>
      <c r="W175" s="68" t="s">
        <v>35</v>
      </c>
      <c r="X175" s="68" t="s">
        <v>35</v>
      </c>
      <c r="Y175" s="68" t="s">
        <v>35</v>
      </c>
      <c r="Z175" s="68" t="b">
        <v>0</v>
      </c>
      <c r="AA175" s="68" t="s">
        <v>35</v>
      </c>
      <c r="AB175" s="68" t="s">
        <v>35</v>
      </c>
      <c r="AC175" s="68" t="s">
        <v>35</v>
      </c>
      <c r="AD175" s="68" t="s">
        <v>35</v>
      </c>
      <c r="AE175" s="68" t="s">
        <v>1464</v>
      </c>
      <c r="AF175" s="69">
        <v>44747.425694386577</v>
      </c>
      <c r="AG175" s="71"/>
      <c r="AH175" s="53" t="b">
        <f t="shared" si="5"/>
        <v>0</v>
      </c>
      <c r="AI175" s="56" t="s">
        <v>35</v>
      </c>
      <c r="AJ175" s="68"/>
      <c r="AK175" s="68"/>
      <c r="AL175" s="68"/>
      <c r="AM175" s="68"/>
      <c r="AN175" s="68"/>
    </row>
    <row r="176" spans="1:40" ht="16" x14ac:dyDescent="0.2">
      <c r="A176" s="2" t="s">
        <v>1689</v>
      </c>
      <c r="B176" s="2">
        <v>514</v>
      </c>
      <c r="C176" s="2" t="b">
        <v>0</v>
      </c>
      <c r="D176" s="2" t="b">
        <v>0</v>
      </c>
      <c r="E176" s="2" t="b">
        <v>0</v>
      </c>
      <c r="F176" s="2" t="b">
        <v>0</v>
      </c>
      <c r="G176" s="2" t="s">
        <v>31</v>
      </c>
      <c r="H176" s="2" t="s">
        <v>1690</v>
      </c>
      <c r="I176" s="2" t="s">
        <v>1691</v>
      </c>
      <c r="J176" s="2" t="s">
        <v>35</v>
      </c>
      <c r="K176" s="2" t="s">
        <v>35</v>
      </c>
      <c r="L176" s="2" t="s">
        <v>35</v>
      </c>
      <c r="M176" s="2">
        <v>20</v>
      </c>
      <c r="N176" s="2">
        <v>15</v>
      </c>
      <c r="O176" s="11">
        <v>44747.508656701386</v>
      </c>
      <c r="P176" s="11">
        <v>44747.509025740743</v>
      </c>
      <c r="Q176" s="27">
        <v>3.6903935688314959E-4</v>
      </c>
      <c r="R176" s="27">
        <v>1.0167708387598395E-3</v>
      </c>
      <c r="S176" s="2">
        <v>0</v>
      </c>
      <c r="T176" s="2" t="s">
        <v>54</v>
      </c>
      <c r="U176" s="2" t="s">
        <v>55</v>
      </c>
      <c r="V176" s="2" t="s">
        <v>38</v>
      </c>
      <c r="W176" s="2" t="s">
        <v>35</v>
      </c>
      <c r="X176" s="2" t="s">
        <v>35</v>
      </c>
      <c r="Y176" s="2" t="s">
        <v>35</v>
      </c>
      <c r="Z176" s="2" t="b">
        <v>0</v>
      </c>
      <c r="AA176" s="2" t="s">
        <v>35</v>
      </c>
      <c r="AB176" s="2" t="s">
        <v>35</v>
      </c>
      <c r="AC176" s="2" t="s">
        <v>35</v>
      </c>
      <c r="AD176" s="2" t="s">
        <v>35</v>
      </c>
      <c r="AE176" s="2" t="s">
        <v>1464</v>
      </c>
      <c r="AF176" s="11">
        <v>44747.425694386577</v>
      </c>
      <c r="AG176" s="53"/>
      <c r="AH176" s="53" t="b">
        <f t="shared" si="5"/>
        <v>0</v>
      </c>
      <c r="AI176" s="54" t="s">
        <v>9589</v>
      </c>
      <c r="AJ176" s="2"/>
      <c r="AK176" s="2"/>
      <c r="AL176" s="2"/>
      <c r="AM176" s="2"/>
      <c r="AN176" s="2"/>
    </row>
    <row r="177" spans="1:40" ht="16" x14ac:dyDescent="0.2">
      <c r="A177" s="2" t="s">
        <v>1695</v>
      </c>
      <c r="B177" s="2">
        <v>516</v>
      </c>
      <c r="C177" s="2" t="b">
        <v>0</v>
      </c>
      <c r="D177" s="2" t="b">
        <v>0</v>
      </c>
      <c r="E177" s="2" t="b">
        <v>0</v>
      </c>
      <c r="F177" s="2" t="b">
        <v>0</v>
      </c>
      <c r="G177" s="2" t="s">
        <v>31</v>
      </c>
      <c r="H177" s="2" t="s">
        <v>1696</v>
      </c>
      <c r="I177" s="2" t="s">
        <v>1697</v>
      </c>
      <c r="J177" s="2" t="s">
        <v>35</v>
      </c>
      <c r="K177" s="2" t="s">
        <v>35</v>
      </c>
      <c r="L177" s="2" t="s">
        <v>35</v>
      </c>
      <c r="M177" s="2">
        <v>33</v>
      </c>
      <c r="N177" s="2">
        <v>15</v>
      </c>
      <c r="O177" s="11">
        <v>44747.511014502314</v>
      </c>
      <c r="P177" s="11">
        <v>44747.511513020836</v>
      </c>
      <c r="Q177" s="27">
        <v>4.9851852236315608E-4</v>
      </c>
      <c r="R177" s="27">
        <v>1.3990972220199183E-3</v>
      </c>
      <c r="S177" s="2">
        <v>0</v>
      </c>
      <c r="T177" s="2" t="s">
        <v>54</v>
      </c>
      <c r="U177" s="2" t="s">
        <v>55</v>
      </c>
      <c r="V177" s="2" t="s">
        <v>38</v>
      </c>
      <c r="W177" s="2" t="s">
        <v>35</v>
      </c>
      <c r="X177" s="2" t="s">
        <v>35</v>
      </c>
      <c r="Y177" s="2" t="s">
        <v>35</v>
      </c>
      <c r="Z177" s="2" t="b">
        <v>0</v>
      </c>
      <c r="AA177" s="2" t="s">
        <v>35</v>
      </c>
      <c r="AB177" s="2" t="s">
        <v>35</v>
      </c>
      <c r="AC177" s="2" t="s">
        <v>35</v>
      </c>
      <c r="AD177" s="2" t="s">
        <v>35</v>
      </c>
      <c r="AE177" s="2" t="s">
        <v>1464</v>
      </c>
      <c r="AF177" s="11">
        <v>44747.425694386577</v>
      </c>
      <c r="AG177" s="53"/>
      <c r="AH177" s="53" t="b">
        <f t="shared" si="5"/>
        <v>0</v>
      </c>
      <c r="AI177" s="54" t="s">
        <v>9986</v>
      </c>
      <c r="AJ177" s="2"/>
      <c r="AK177" s="2"/>
      <c r="AL177" s="2"/>
      <c r="AM177" s="2"/>
      <c r="AN177" s="2"/>
    </row>
    <row r="178" spans="1:40" ht="16" x14ac:dyDescent="0.2">
      <c r="A178" s="2" t="s">
        <v>1698</v>
      </c>
      <c r="B178" s="2">
        <v>517</v>
      </c>
      <c r="C178" s="2" t="b">
        <v>0</v>
      </c>
      <c r="D178" s="2" t="b">
        <v>0</v>
      </c>
      <c r="E178" s="2" t="b">
        <v>0</v>
      </c>
      <c r="F178" s="2" t="b">
        <v>0</v>
      </c>
      <c r="G178" s="2" t="s">
        <v>31</v>
      </c>
      <c r="H178" s="2" t="s">
        <v>1699</v>
      </c>
      <c r="I178" s="2" t="s">
        <v>1700</v>
      </c>
      <c r="J178" s="2" t="s">
        <v>1701</v>
      </c>
      <c r="K178" s="2" t="s">
        <v>35</v>
      </c>
      <c r="L178" s="2" t="s">
        <v>35</v>
      </c>
      <c r="M178" s="2" t="s">
        <v>35</v>
      </c>
      <c r="N178" s="2" t="s">
        <v>35</v>
      </c>
      <c r="O178" s="11">
        <v>44747.511779976849</v>
      </c>
      <c r="P178" s="11">
        <v>44747.512042002316</v>
      </c>
      <c r="Q178" s="27">
        <v>2.6202546723652631E-4</v>
      </c>
      <c r="R178" s="27">
        <v>5.2898147987434641E-4</v>
      </c>
      <c r="S178" s="2">
        <v>0</v>
      </c>
      <c r="T178" s="2" t="s">
        <v>54</v>
      </c>
      <c r="U178" s="2" t="s">
        <v>55</v>
      </c>
      <c r="V178" s="2" t="s">
        <v>38</v>
      </c>
      <c r="W178" s="2" t="s">
        <v>35</v>
      </c>
      <c r="X178" s="2" t="s">
        <v>35</v>
      </c>
      <c r="Y178" s="2" t="s">
        <v>35</v>
      </c>
      <c r="Z178" s="2" t="b">
        <v>0</v>
      </c>
      <c r="AA178" s="2" t="s">
        <v>35</v>
      </c>
      <c r="AB178" s="2" t="s">
        <v>35</v>
      </c>
      <c r="AC178" s="2" t="s">
        <v>35</v>
      </c>
      <c r="AD178" s="2" t="s">
        <v>35</v>
      </c>
      <c r="AE178" s="2" t="s">
        <v>1464</v>
      </c>
      <c r="AF178" s="11">
        <v>44747.425694386577</v>
      </c>
      <c r="AG178" s="53"/>
      <c r="AH178" s="53" t="b">
        <f t="shared" si="5"/>
        <v>0</v>
      </c>
      <c r="AI178" s="54" t="s">
        <v>9987</v>
      </c>
      <c r="AJ178" s="2"/>
      <c r="AK178" s="2"/>
      <c r="AL178" s="2"/>
      <c r="AM178" s="2"/>
      <c r="AN178" s="2"/>
    </row>
    <row r="179" spans="1:40" ht="16" x14ac:dyDescent="0.2">
      <c r="A179" s="2" t="s">
        <v>1702</v>
      </c>
      <c r="B179" s="2">
        <v>518</v>
      </c>
      <c r="C179" s="2" t="b">
        <v>0</v>
      </c>
      <c r="D179" s="2" t="b">
        <v>0</v>
      </c>
      <c r="E179" s="2" t="b">
        <v>0</v>
      </c>
      <c r="F179" s="2" t="b">
        <v>0</v>
      </c>
      <c r="G179" s="2" t="s">
        <v>31</v>
      </c>
      <c r="H179" s="2" t="s">
        <v>1703</v>
      </c>
      <c r="I179" s="2" t="s">
        <v>1704</v>
      </c>
      <c r="J179" s="2" t="s">
        <v>35</v>
      </c>
      <c r="K179" s="2" t="s">
        <v>35</v>
      </c>
      <c r="L179" s="2" t="s">
        <v>35</v>
      </c>
      <c r="M179" s="2">
        <v>35</v>
      </c>
      <c r="N179" s="2">
        <v>15</v>
      </c>
      <c r="O179" s="11">
        <v>44747.512185960652</v>
      </c>
      <c r="P179" s="11">
        <v>44747.51273519676</v>
      </c>
      <c r="Q179" s="27">
        <v>5.4923610878176987E-4</v>
      </c>
      <c r="R179" s="27">
        <v>6.931944444659166E-4</v>
      </c>
      <c r="S179" s="2">
        <v>0</v>
      </c>
      <c r="T179" s="2" t="s">
        <v>54</v>
      </c>
      <c r="U179" s="2" t="s">
        <v>55</v>
      </c>
      <c r="V179" s="2" t="s">
        <v>38</v>
      </c>
      <c r="W179" s="2" t="s">
        <v>35</v>
      </c>
      <c r="X179" s="2" t="s">
        <v>35</v>
      </c>
      <c r="Y179" s="2" t="s">
        <v>35</v>
      </c>
      <c r="Z179" s="2" t="b">
        <v>0</v>
      </c>
      <c r="AA179" s="2" t="s">
        <v>35</v>
      </c>
      <c r="AB179" s="2" t="s">
        <v>35</v>
      </c>
      <c r="AC179" s="2" t="s">
        <v>35</v>
      </c>
      <c r="AD179" s="2" t="s">
        <v>35</v>
      </c>
      <c r="AE179" s="2" t="s">
        <v>1464</v>
      </c>
      <c r="AF179" s="11">
        <v>44747.425694386577</v>
      </c>
      <c r="AG179" s="53"/>
      <c r="AH179" s="53" t="b">
        <f t="shared" si="5"/>
        <v>0</v>
      </c>
      <c r="AI179" s="54" t="s">
        <v>9988</v>
      </c>
      <c r="AJ179" s="2"/>
      <c r="AK179" s="2"/>
      <c r="AL179" s="2"/>
      <c r="AM179" s="2"/>
      <c r="AN179" s="2"/>
    </row>
    <row r="180" spans="1:40" ht="16" x14ac:dyDescent="0.2">
      <c r="A180" s="2" t="s">
        <v>1705</v>
      </c>
      <c r="B180" s="2">
        <v>519</v>
      </c>
      <c r="C180" s="2" t="b">
        <v>0</v>
      </c>
      <c r="D180" s="2" t="b">
        <v>0</v>
      </c>
      <c r="E180" s="2" t="b">
        <v>0</v>
      </c>
      <c r="F180" s="2" t="b">
        <v>0</v>
      </c>
      <c r="G180" s="2" t="s">
        <v>31</v>
      </c>
      <c r="H180" s="2" t="s">
        <v>1706</v>
      </c>
      <c r="I180" s="2" t="s">
        <v>1707</v>
      </c>
      <c r="J180" s="2" t="s">
        <v>35</v>
      </c>
      <c r="K180" s="2" t="s">
        <v>35</v>
      </c>
      <c r="L180" s="2" t="s">
        <v>35</v>
      </c>
      <c r="M180" s="2">
        <v>34</v>
      </c>
      <c r="N180" s="2">
        <v>15</v>
      </c>
      <c r="O180" s="11">
        <v>44747.513038877318</v>
      </c>
      <c r="P180" s="11">
        <v>44747.513443425923</v>
      </c>
      <c r="Q180" s="27">
        <v>4.0454860572936013E-4</v>
      </c>
      <c r="R180" s="27">
        <v>7.0822916313773021E-4</v>
      </c>
      <c r="S180" s="2">
        <v>0</v>
      </c>
      <c r="T180" s="2" t="s">
        <v>54</v>
      </c>
      <c r="U180" s="2" t="s">
        <v>55</v>
      </c>
      <c r="V180" s="2" t="s">
        <v>38</v>
      </c>
      <c r="W180" s="2" t="s">
        <v>35</v>
      </c>
      <c r="X180" s="2" t="s">
        <v>35</v>
      </c>
      <c r="Y180" s="2" t="s">
        <v>35</v>
      </c>
      <c r="Z180" s="2" t="b">
        <v>0</v>
      </c>
      <c r="AA180" s="2" t="s">
        <v>35</v>
      </c>
      <c r="AB180" s="2" t="s">
        <v>35</v>
      </c>
      <c r="AC180" s="2" t="s">
        <v>35</v>
      </c>
      <c r="AD180" s="2" t="s">
        <v>35</v>
      </c>
      <c r="AE180" s="2" t="s">
        <v>1464</v>
      </c>
      <c r="AF180" s="11">
        <v>44747.425694386577</v>
      </c>
      <c r="AG180" s="53"/>
      <c r="AH180" s="53" t="b">
        <f t="shared" si="5"/>
        <v>0</v>
      </c>
      <c r="AI180" s="54" t="s">
        <v>9989</v>
      </c>
      <c r="AJ180" s="2"/>
      <c r="AK180" s="2"/>
      <c r="AL180" s="2"/>
      <c r="AM180" s="2"/>
      <c r="AN180" s="2"/>
    </row>
    <row r="181" spans="1:40" ht="16" x14ac:dyDescent="0.2">
      <c r="A181" s="2" t="s">
        <v>1708</v>
      </c>
      <c r="B181" s="2">
        <v>520</v>
      </c>
      <c r="C181" s="2" t="b">
        <v>0</v>
      </c>
      <c r="D181" s="2" t="b">
        <v>0</v>
      </c>
      <c r="E181" s="2" t="b">
        <v>0</v>
      </c>
      <c r="F181" s="2" t="b">
        <v>0</v>
      </c>
      <c r="G181" s="2" t="s">
        <v>31</v>
      </c>
      <c r="H181" s="2" t="s">
        <v>1709</v>
      </c>
      <c r="I181" s="2" t="s">
        <v>1710</v>
      </c>
      <c r="J181" s="2" t="s">
        <v>1711</v>
      </c>
      <c r="K181" s="2" t="s">
        <v>35</v>
      </c>
      <c r="L181" s="2" t="s">
        <v>35</v>
      </c>
      <c r="M181" s="2" t="s">
        <v>35</v>
      </c>
      <c r="N181" s="2" t="s">
        <v>35</v>
      </c>
      <c r="O181" s="11">
        <v>44747.513507650459</v>
      </c>
      <c r="P181" s="11">
        <v>44747.513726516205</v>
      </c>
      <c r="Q181" s="27">
        <v>2.1886574540985748E-4</v>
      </c>
      <c r="R181" s="27">
        <v>2.8309028130024672E-4</v>
      </c>
      <c r="S181" s="2">
        <v>0</v>
      </c>
      <c r="T181" s="2" t="s">
        <v>54</v>
      </c>
      <c r="U181" s="2" t="s">
        <v>55</v>
      </c>
      <c r="V181" s="2" t="s">
        <v>38</v>
      </c>
      <c r="W181" s="2" t="s">
        <v>35</v>
      </c>
      <c r="X181" s="2" t="s">
        <v>35</v>
      </c>
      <c r="Y181" s="2" t="s">
        <v>35</v>
      </c>
      <c r="Z181" s="2" t="b">
        <v>0</v>
      </c>
      <c r="AA181" s="2" t="s">
        <v>35</v>
      </c>
      <c r="AB181" s="2" t="s">
        <v>35</v>
      </c>
      <c r="AC181" s="2" t="s">
        <v>35</v>
      </c>
      <c r="AD181" s="2" t="s">
        <v>35</v>
      </c>
      <c r="AE181" s="2" t="s">
        <v>1464</v>
      </c>
      <c r="AF181" s="11">
        <v>44747.425694386577</v>
      </c>
      <c r="AG181" s="53"/>
      <c r="AH181" s="53" t="b">
        <f t="shared" si="5"/>
        <v>0</v>
      </c>
      <c r="AI181" s="54" t="s">
        <v>9990</v>
      </c>
      <c r="AJ181" s="2"/>
      <c r="AK181" s="2"/>
      <c r="AL181" s="2"/>
      <c r="AM181" s="2"/>
      <c r="AN181" s="2"/>
    </row>
    <row r="182" spans="1:40" ht="16" x14ac:dyDescent="0.2">
      <c r="A182" s="2" t="s">
        <v>1712</v>
      </c>
      <c r="B182" s="2">
        <v>521</v>
      </c>
      <c r="C182" s="2" t="b">
        <v>0</v>
      </c>
      <c r="D182" s="2" t="b">
        <v>0</v>
      </c>
      <c r="E182" s="2" t="b">
        <v>0</v>
      </c>
      <c r="F182" s="2" t="b">
        <v>0</v>
      </c>
      <c r="G182" s="2" t="s">
        <v>31</v>
      </c>
      <c r="H182" s="2" t="s">
        <v>1713</v>
      </c>
      <c r="I182" s="2" t="s">
        <v>1714</v>
      </c>
      <c r="J182" s="2" t="s">
        <v>1711</v>
      </c>
      <c r="K182" s="2" t="s">
        <v>35</v>
      </c>
      <c r="L182" s="2" t="s">
        <v>35</v>
      </c>
      <c r="M182" s="2" t="s">
        <v>35</v>
      </c>
      <c r="N182" s="2" t="s">
        <v>35</v>
      </c>
      <c r="O182" s="11">
        <v>44747.514469768517</v>
      </c>
      <c r="P182" s="11">
        <v>44747.51461096065</v>
      </c>
      <c r="Q182" s="27">
        <v>1.4119213301455602E-4</v>
      </c>
      <c r="R182" s="27">
        <v>8.8444444554625079E-4</v>
      </c>
      <c r="S182" s="2">
        <v>0</v>
      </c>
      <c r="T182" s="2" t="s">
        <v>54</v>
      </c>
      <c r="U182" s="2" t="s">
        <v>55</v>
      </c>
      <c r="V182" s="2" t="s">
        <v>38</v>
      </c>
      <c r="W182" s="2" t="s">
        <v>35</v>
      </c>
      <c r="X182" s="2" t="s">
        <v>35</v>
      </c>
      <c r="Y182" s="2" t="s">
        <v>35</v>
      </c>
      <c r="Z182" s="2" t="b">
        <v>0</v>
      </c>
      <c r="AA182" s="2" t="s">
        <v>35</v>
      </c>
      <c r="AB182" s="2" t="s">
        <v>35</v>
      </c>
      <c r="AC182" s="2" t="s">
        <v>35</v>
      </c>
      <c r="AD182" s="2" t="s">
        <v>35</v>
      </c>
      <c r="AE182" s="2" t="s">
        <v>1464</v>
      </c>
      <c r="AF182" s="11">
        <v>44747.425694386577</v>
      </c>
      <c r="AG182" s="53"/>
      <c r="AH182" s="53" t="b">
        <f t="shared" si="5"/>
        <v>0</v>
      </c>
      <c r="AI182" s="54" t="s">
        <v>9991</v>
      </c>
      <c r="AJ182" s="2"/>
      <c r="AK182" s="2"/>
      <c r="AL182" s="2"/>
      <c r="AM182" s="2"/>
      <c r="AN182" s="2"/>
    </row>
    <row r="183" spans="1:40" ht="16" x14ac:dyDescent="0.2">
      <c r="A183" s="2" t="s">
        <v>1715</v>
      </c>
      <c r="B183" s="2">
        <v>522</v>
      </c>
      <c r="C183" s="2" t="b">
        <v>0</v>
      </c>
      <c r="D183" s="2" t="b">
        <v>0</v>
      </c>
      <c r="E183" s="2" t="b">
        <v>0</v>
      </c>
      <c r="F183" s="2" t="b">
        <v>0</v>
      </c>
      <c r="G183" s="2" t="s">
        <v>31</v>
      </c>
      <c r="H183" s="2" t="s">
        <v>1716</v>
      </c>
      <c r="I183" s="2" t="s">
        <v>1717</v>
      </c>
      <c r="J183" s="2" t="s">
        <v>35</v>
      </c>
      <c r="K183" s="2" t="s">
        <v>35</v>
      </c>
      <c r="L183" s="2" t="s">
        <v>35</v>
      </c>
      <c r="M183" s="2">
        <v>35</v>
      </c>
      <c r="N183" s="2">
        <v>15</v>
      </c>
      <c r="O183" s="11">
        <v>44747.514665208335</v>
      </c>
      <c r="P183" s="11">
        <v>44747.515119398151</v>
      </c>
      <c r="Q183" s="27">
        <v>4.5418981608236209E-4</v>
      </c>
      <c r="R183" s="27">
        <v>5.0843750068452209E-4</v>
      </c>
      <c r="S183" s="2">
        <v>0</v>
      </c>
      <c r="T183" s="2" t="s">
        <v>54</v>
      </c>
      <c r="U183" s="2" t="s">
        <v>55</v>
      </c>
      <c r="V183" s="2" t="s">
        <v>38</v>
      </c>
      <c r="W183" s="2" t="s">
        <v>35</v>
      </c>
      <c r="X183" s="2" t="s">
        <v>35</v>
      </c>
      <c r="Y183" s="2" t="s">
        <v>35</v>
      </c>
      <c r="Z183" s="2" t="b">
        <v>0</v>
      </c>
      <c r="AA183" s="2" t="s">
        <v>35</v>
      </c>
      <c r="AB183" s="2" t="s">
        <v>35</v>
      </c>
      <c r="AC183" s="2" t="s">
        <v>35</v>
      </c>
      <c r="AD183" s="2" t="s">
        <v>35</v>
      </c>
      <c r="AE183" s="2" t="s">
        <v>1464</v>
      </c>
      <c r="AF183" s="11">
        <v>44747.425694386577</v>
      </c>
      <c r="AG183" s="53"/>
      <c r="AH183" s="53" t="b">
        <f t="shared" si="5"/>
        <v>0</v>
      </c>
      <c r="AI183" s="54" t="s">
        <v>9588</v>
      </c>
      <c r="AJ183" s="2"/>
      <c r="AK183" s="2"/>
      <c r="AL183" s="2"/>
      <c r="AM183" s="2"/>
      <c r="AN183" s="2"/>
    </row>
    <row r="184" spans="1:40" ht="16" x14ac:dyDescent="0.2">
      <c r="A184" s="2" t="s">
        <v>1718</v>
      </c>
      <c r="B184" s="2">
        <v>523</v>
      </c>
      <c r="C184" s="2" t="b">
        <v>0</v>
      </c>
      <c r="D184" s="2" t="b">
        <v>0</v>
      </c>
      <c r="E184" s="2" t="b">
        <v>0</v>
      </c>
      <c r="F184" s="2" t="b">
        <v>0</v>
      </c>
      <c r="G184" s="2" t="s">
        <v>31</v>
      </c>
      <c r="H184" s="2" t="s">
        <v>1719</v>
      </c>
      <c r="I184" s="2" t="s">
        <v>1720</v>
      </c>
      <c r="J184" s="2" t="s">
        <v>35</v>
      </c>
      <c r="K184" s="2" t="s">
        <v>35</v>
      </c>
      <c r="L184" s="2" t="s">
        <v>35</v>
      </c>
      <c r="M184" s="2">
        <v>36</v>
      </c>
      <c r="N184" s="2">
        <v>15</v>
      </c>
      <c r="O184" s="11">
        <v>44747.515671643516</v>
      </c>
      <c r="P184" s="11">
        <v>44747.516114571757</v>
      </c>
      <c r="Q184" s="27">
        <v>4.4292824168223888E-4</v>
      </c>
      <c r="R184" s="27">
        <v>9.9517360649770126E-4</v>
      </c>
      <c r="S184" s="2">
        <v>0</v>
      </c>
      <c r="T184" s="2" t="s">
        <v>54</v>
      </c>
      <c r="U184" s="2" t="s">
        <v>55</v>
      </c>
      <c r="V184" s="2" t="s">
        <v>38</v>
      </c>
      <c r="W184" s="2" t="s">
        <v>35</v>
      </c>
      <c r="X184" s="2" t="s">
        <v>35</v>
      </c>
      <c r="Y184" s="2" t="s">
        <v>35</v>
      </c>
      <c r="Z184" s="2" t="b">
        <v>0</v>
      </c>
      <c r="AA184" s="2" t="s">
        <v>35</v>
      </c>
      <c r="AB184" s="2" t="s">
        <v>35</v>
      </c>
      <c r="AC184" s="2" t="s">
        <v>35</v>
      </c>
      <c r="AD184" s="2" t="s">
        <v>35</v>
      </c>
      <c r="AE184" s="2" t="s">
        <v>1464</v>
      </c>
      <c r="AF184" s="11">
        <v>44747.425694386577</v>
      </c>
      <c r="AG184" s="53"/>
      <c r="AH184" s="53" t="b">
        <f t="shared" si="5"/>
        <v>0</v>
      </c>
      <c r="AI184" s="54" t="s">
        <v>9992</v>
      </c>
      <c r="AJ184" s="2"/>
      <c r="AK184" s="2"/>
      <c r="AL184" s="2"/>
      <c r="AM184" s="2"/>
      <c r="AN184" s="2"/>
    </row>
    <row r="185" spans="1:40" ht="16" x14ac:dyDescent="0.2">
      <c r="A185" s="2" t="s">
        <v>1721</v>
      </c>
      <c r="B185" s="2">
        <v>524</v>
      </c>
      <c r="C185" s="2" t="b">
        <v>0</v>
      </c>
      <c r="D185" s="2" t="b">
        <v>0</v>
      </c>
      <c r="E185" s="2" t="b">
        <v>0</v>
      </c>
      <c r="F185" s="2" t="b">
        <v>0</v>
      </c>
      <c r="G185" s="2" t="s">
        <v>31</v>
      </c>
      <c r="H185" s="2" t="s">
        <v>1722</v>
      </c>
      <c r="I185" s="2" t="s">
        <v>1720</v>
      </c>
      <c r="J185" s="2" t="s">
        <v>1711</v>
      </c>
      <c r="K185" s="2" t="s">
        <v>35</v>
      </c>
      <c r="L185" s="2" t="s">
        <v>35</v>
      </c>
      <c r="M185" s="2" t="s">
        <v>35</v>
      </c>
      <c r="N185" s="2" t="s">
        <v>35</v>
      </c>
      <c r="O185" s="11">
        <v>44747.516166412039</v>
      </c>
      <c r="P185" s="11">
        <v>44747.516360358793</v>
      </c>
      <c r="Q185" s="27">
        <v>1.9394675473449752E-4</v>
      </c>
      <c r="R185" s="27">
        <v>2.4578703596489504E-4</v>
      </c>
      <c r="S185" s="2">
        <v>0</v>
      </c>
      <c r="T185" s="2" t="s">
        <v>54</v>
      </c>
      <c r="U185" s="2" t="s">
        <v>55</v>
      </c>
      <c r="V185" s="2" t="s">
        <v>38</v>
      </c>
      <c r="W185" s="2" t="s">
        <v>35</v>
      </c>
      <c r="X185" s="2" t="s">
        <v>35</v>
      </c>
      <c r="Y185" s="2" t="s">
        <v>35</v>
      </c>
      <c r="Z185" s="2" t="b">
        <v>0</v>
      </c>
      <c r="AA185" s="2" t="s">
        <v>35</v>
      </c>
      <c r="AB185" s="2" t="s">
        <v>35</v>
      </c>
      <c r="AC185" s="2" t="s">
        <v>35</v>
      </c>
      <c r="AD185" s="2" t="s">
        <v>35</v>
      </c>
      <c r="AE185" s="2" t="s">
        <v>1464</v>
      </c>
      <c r="AF185" s="11">
        <v>44747.425694386577</v>
      </c>
      <c r="AG185" s="53"/>
      <c r="AH185" s="53" t="b">
        <f t="shared" si="5"/>
        <v>0</v>
      </c>
      <c r="AI185" s="54" t="s">
        <v>9993</v>
      </c>
      <c r="AJ185" s="2"/>
      <c r="AK185" s="2"/>
      <c r="AL185" s="2"/>
      <c r="AM185" s="2"/>
      <c r="AN185" s="2"/>
    </row>
    <row r="186" spans="1:40" ht="16" x14ac:dyDescent="0.2">
      <c r="A186" s="2" t="s">
        <v>1723</v>
      </c>
      <c r="B186" s="2">
        <v>525</v>
      </c>
      <c r="C186" s="2" t="b">
        <v>0</v>
      </c>
      <c r="D186" s="2" t="b">
        <v>0</v>
      </c>
      <c r="E186" s="2" t="b">
        <v>0</v>
      </c>
      <c r="F186" s="2" t="b">
        <v>0</v>
      </c>
      <c r="G186" s="2" t="s">
        <v>31</v>
      </c>
      <c r="H186" s="2" t="s">
        <v>1724</v>
      </c>
      <c r="I186" s="2" t="s">
        <v>1725</v>
      </c>
      <c r="J186" s="2" t="s">
        <v>35</v>
      </c>
      <c r="K186" s="2" t="s">
        <v>35</v>
      </c>
      <c r="L186" s="2" t="s">
        <v>35</v>
      </c>
      <c r="M186" s="2">
        <v>27</v>
      </c>
      <c r="N186" s="2">
        <v>15</v>
      </c>
      <c r="O186" s="11">
        <v>44747.516948078701</v>
      </c>
      <c r="P186" s="11">
        <v>44747.517542974536</v>
      </c>
      <c r="Q186" s="27">
        <v>5.948958350927569E-4</v>
      </c>
      <c r="R186" s="27">
        <v>1.1826157424366102E-3</v>
      </c>
      <c r="S186" s="2">
        <v>0</v>
      </c>
      <c r="T186" s="2" t="s">
        <v>54</v>
      </c>
      <c r="U186" s="2" t="s">
        <v>55</v>
      </c>
      <c r="V186" s="2" t="s">
        <v>38</v>
      </c>
      <c r="W186" s="2" t="s">
        <v>35</v>
      </c>
      <c r="X186" s="2" t="s">
        <v>35</v>
      </c>
      <c r="Y186" s="2" t="s">
        <v>35</v>
      </c>
      <c r="Z186" s="2" t="b">
        <v>0</v>
      </c>
      <c r="AA186" s="2" t="s">
        <v>35</v>
      </c>
      <c r="AB186" s="2" t="s">
        <v>35</v>
      </c>
      <c r="AC186" s="2" t="s">
        <v>35</v>
      </c>
      <c r="AD186" s="2" t="s">
        <v>35</v>
      </c>
      <c r="AE186" s="2" t="s">
        <v>1464</v>
      </c>
      <c r="AF186" s="11">
        <v>44747.425694386577</v>
      </c>
      <c r="AG186" s="53"/>
      <c r="AH186" s="53" t="b">
        <f t="shared" si="5"/>
        <v>0</v>
      </c>
      <c r="AI186" s="54" t="s">
        <v>9994</v>
      </c>
      <c r="AJ186" s="2"/>
      <c r="AK186" s="2"/>
      <c r="AL186" s="2"/>
      <c r="AM186" s="2"/>
      <c r="AN186" s="2"/>
    </row>
    <row r="187" spans="1:40" ht="16" x14ac:dyDescent="0.2">
      <c r="A187" s="2" t="s">
        <v>1726</v>
      </c>
      <c r="B187" s="2">
        <v>526</v>
      </c>
      <c r="C187" s="2" t="b">
        <v>0</v>
      </c>
      <c r="D187" s="2" t="b">
        <v>0</v>
      </c>
      <c r="E187" s="2" t="b">
        <v>0</v>
      </c>
      <c r="F187" s="2" t="b">
        <v>0</v>
      </c>
      <c r="G187" s="2" t="s">
        <v>31</v>
      </c>
      <c r="H187" s="2" t="s">
        <v>1727</v>
      </c>
      <c r="I187" s="2" t="s">
        <v>1728</v>
      </c>
      <c r="J187" s="2" t="s">
        <v>35</v>
      </c>
      <c r="K187" s="2" t="s">
        <v>35</v>
      </c>
      <c r="L187" s="2" t="s">
        <v>35</v>
      </c>
      <c r="M187" s="2">
        <v>28</v>
      </c>
      <c r="N187" s="2">
        <v>15</v>
      </c>
      <c r="O187" s="11">
        <v>44747.519116261574</v>
      </c>
      <c r="P187" s="11">
        <v>44747.519865138886</v>
      </c>
      <c r="Q187" s="27">
        <v>7.4887731170747429E-4</v>
      </c>
      <c r="R187" s="27">
        <v>2.322164349607192E-3</v>
      </c>
      <c r="S187" s="2">
        <v>0</v>
      </c>
      <c r="T187" s="2" t="s">
        <v>54</v>
      </c>
      <c r="U187" s="2" t="s">
        <v>55</v>
      </c>
      <c r="V187" s="2" t="s">
        <v>38</v>
      </c>
      <c r="W187" s="2" t="s">
        <v>35</v>
      </c>
      <c r="X187" s="2" t="s">
        <v>35</v>
      </c>
      <c r="Y187" s="2" t="s">
        <v>35</v>
      </c>
      <c r="Z187" s="2" t="b">
        <v>0</v>
      </c>
      <c r="AA187" s="2" t="s">
        <v>35</v>
      </c>
      <c r="AB187" s="2" t="s">
        <v>35</v>
      </c>
      <c r="AC187" s="2" t="s">
        <v>35</v>
      </c>
      <c r="AD187" s="2" t="s">
        <v>35</v>
      </c>
      <c r="AE187" s="2" t="s">
        <v>1464</v>
      </c>
      <c r="AF187" s="11">
        <v>44747.425694386577</v>
      </c>
      <c r="AG187" s="53"/>
      <c r="AH187" s="53" t="b">
        <f t="shared" si="5"/>
        <v>0</v>
      </c>
      <c r="AI187" s="54" t="s">
        <v>9995</v>
      </c>
      <c r="AJ187" s="2"/>
      <c r="AK187" s="2"/>
      <c r="AL187" s="2"/>
      <c r="AM187" s="2"/>
      <c r="AN187" s="2"/>
    </row>
    <row r="188" spans="1:40" ht="16" x14ac:dyDescent="0.2">
      <c r="A188" s="2" t="s">
        <v>1729</v>
      </c>
      <c r="B188" s="2">
        <v>527</v>
      </c>
      <c r="C188" s="2" t="b">
        <v>0</v>
      </c>
      <c r="D188" s="2" t="b">
        <v>0</v>
      </c>
      <c r="E188" s="2" t="b">
        <v>0</v>
      </c>
      <c r="F188" s="2" t="b">
        <v>0</v>
      </c>
      <c r="G188" s="2" t="s">
        <v>31</v>
      </c>
      <c r="H188" s="2" t="s">
        <v>1730</v>
      </c>
      <c r="I188" s="2" t="s">
        <v>1731</v>
      </c>
      <c r="J188" s="2" t="s">
        <v>35</v>
      </c>
      <c r="K188" s="2" t="s">
        <v>35</v>
      </c>
      <c r="L188" s="2" t="s">
        <v>35</v>
      </c>
      <c r="M188" s="2">
        <v>37</v>
      </c>
      <c r="N188" s="2">
        <v>15</v>
      </c>
      <c r="O188" s="11">
        <v>44747.5199096875</v>
      </c>
      <c r="P188" s="11">
        <v>44747.520301331017</v>
      </c>
      <c r="Q188" s="27">
        <v>3.9164351619547233E-4</v>
      </c>
      <c r="R188" s="27">
        <v>4.361921310191974E-4</v>
      </c>
      <c r="S188" s="2">
        <v>0</v>
      </c>
      <c r="T188" s="2" t="s">
        <v>54</v>
      </c>
      <c r="U188" s="2" t="s">
        <v>55</v>
      </c>
      <c r="V188" s="2" t="s">
        <v>38</v>
      </c>
      <c r="W188" s="2" t="s">
        <v>35</v>
      </c>
      <c r="X188" s="2" t="s">
        <v>35</v>
      </c>
      <c r="Y188" s="2" t="s">
        <v>35</v>
      </c>
      <c r="Z188" s="2" t="b">
        <v>0</v>
      </c>
      <c r="AA188" s="2" t="s">
        <v>35</v>
      </c>
      <c r="AB188" s="2" t="s">
        <v>35</v>
      </c>
      <c r="AC188" s="2" t="s">
        <v>35</v>
      </c>
      <c r="AD188" s="2" t="s">
        <v>35</v>
      </c>
      <c r="AE188" s="2" t="s">
        <v>1464</v>
      </c>
      <c r="AF188" s="11">
        <v>44747.425694386577</v>
      </c>
      <c r="AG188" s="53"/>
      <c r="AH188" s="53" t="b">
        <f t="shared" si="5"/>
        <v>0</v>
      </c>
      <c r="AI188" s="54" t="s">
        <v>9996</v>
      </c>
      <c r="AJ188" s="2"/>
      <c r="AK188" s="2"/>
      <c r="AL188" s="2"/>
      <c r="AM188" s="2"/>
      <c r="AN188" s="2"/>
    </row>
    <row r="189" spans="1:40" ht="16" x14ac:dyDescent="0.2">
      <c r="A189" s="2" t="s">
        <v>1732</v>
      </c>
      <c r="B189" s="2">
        <v>528</v>
      </c>
      <c r="C189" s="2" t="b">
        <v>0</v>
      </c>
      <c r="D189" s="2" t="b">
        <v>0</v>
      </c>
      <c r="E189" s="2" t="b">
        <v>0</v>
      </c>
      <c r="F189" s="2" t="b">
        <v>0</v>
      </c>
      <c r="G189" s="2" t="s">
        <v>31</v>
      </c>
      <c r="H189" s="2" t="s">
        <v>1733</v>
      </c>
      <c r="I189" s="2" t="s">
        <v>1734</v>
      </c>
      <c r="J189" s="2" t="s">
        <v>35</v>
      </c>
      <c r="K189" s="2" t="s">
        <v>35</v>
      </c>
      <c r="L189" s="2" t="s">
        <v>35</v>
      </c>
      <c r="M189" s="2">
        <v>19</v>
      </c>
      <c r="N189" s="2">
        <v>16</v>
      </c>
      <c r="O189" s="11">
        <v>44747.521550775462</v>
      </c>
      <c r="P189" s="11">
        <v>44747.522159490742</v>
      </c>
      <c r="Q189" s="27">
        <v>6.087152796681039E-4</v>
      </c>
      <c r="R189" s="27">
        <v>1.8581597250886261E-3</v>
      </c>
      <c r="S189" s="2">
        <v>0</v>
      </c>
      <c r="T189" s="2" t="s">
        <v>54</v>
      </c>
      <c r="U189" s="2" t="s">
        <v>55</v>
      </c>
      <c r="V189" s="2" t="s">
        <v>38</v>
      </c>
      <c r="W189" s="2" t="s">
        <v>35</v>
      </c>
      <c r="X189" s="2" t="s">
        <v>35</v>
      </c>
      <c r="Y189" s="2" t="s">
        <v>35</v>
      </c>
      <c r="Z189" s="2" t="b">
        <v>0</v>
      </c>
      <c r="AA189" s="2" t="s">
        <v>35</v>
      </c>
      <c r="AB189" s="2" t="s">
        <v>35</v>
      </c>
      <c r="AC189" s="2" t="s">
        <v>35</v>
      </c>
      <c r="AD189" s="2" t="s">
        <v>35</v>
      </c>
      <c r="AE189" s="2" t="s">
        <v>1464</v>
      </c>
      <c r="AF189" s="11">
        <v>44747.425694386577</v>
      </c>
      <c r="AG189" s="53"/>
      <c r="AH189" s="53" t="b">
        <f t="shared" si="5"/>
        <v>0</v>
      </c>
      <c r="AI189" s="54" t="s">
        <v>9997</v>
      </c>
      <c r="AJ189" s="2"/>
      <c r="AK189" s="2"/>
      <c r="AL189" s="2"/>
      <c r="AM189" s="2"/>
      <c r="AN189" s="2"/>
    </row>
    <row r="190" spans="1:40" ht="16" x14ac:dyDescent="0.2">
      <c r="A190" s="2" t="s">
        <v>1746</v>
      </c>
      <c r="B190" s="2">
        <v>532</v>
      </c>
      <c r="C190" s="2" t="b">
        <v>0</v>
      </c>
      <c r="D190" s="2" t="b">
        <v>0</v>
      </c>
      <c r="E190" s="2" t="b">
        <v>0</v>
      </c>
      <c r="F190" s="2" t="b">
        <v>0</v>
      </c>
      <c r="G190" s="2" t="s">
        <v>31</v>
      </c>
      <c r="H190" s="2" t="s">
        <v>1747</v>
      </c>
      <c r="I190" s="2" t="s">
        <v>1748</v>
      </c>
      <c r="J190" s="2" t="s">
        <v>1749</v>
      </c>
      <c r="K190" s="2" t="s">
        <v>35</v>
      </c>
      <c r="L190" s="2" t="s">
        <v>35</v>
      </c>
      <c r="M190" s="2">
        <v>2</v>
      </c>
      <c r="N190" s="2">
        <v>19</v>
      </c>
      <c r="O190" s="11">
        <v>44748.591328807874</v>
      </c>
      <c r="P190" s="11">
        <v>44748.592046851853</v>
      </c>
      <c r="Q190" s="27">
        <v>7.1804397884989157E-4</v>
      </c>
      <c r="R190" s="27">
        <v>1.3562268504756503E-3</v>
      </c>
      <c r="S190" s="2">
        <v>0</v>
      </c>
      <c r="T190" s="2" t="s">
        <v>54</v>
      </c>
      <c r="U190" s="2" t="s">
        <v>55</v>
      </c>
      <c r="V190" s="2" t="s">
        <v>38</v>
      </c>
      <c r="W190" s="2" t="s">
        <v>35</v>
      </c>
      <c r="X190" s="2" t="s">
        <v>35</v>
      </c>
      <c r="Y190" s="2" t="s">
        <v>35</v>
      </c>
      <c r="Z190" s="2" t="b">
        <v>0</v>
      </c>
      <c r="AA190" s="2" t="s">
        <v>35</v>
      </c>
      <c r="AB190" s="2" t="s">
        <v>35</v>
      </c>
      <c r="AC190" s="2" t="s">
        <v>35</v>
      </c>
      <c r="AD190" s="2" t="s">
        <v>35</v>
      </c>
      <c r="AE190" s="2" t="s">
        <v>941</v>
      </c>
      <c r="AF190" s="11">
        <v>44748.587500000001</v>
      </c>
      <c r="AG190" s="53"/>
      <c r="AH190" s="53" t="b">
        <f t="shared" si="5"/>
        <v>0</v>
      </c>
      <c r="AI190" s="54" t="s">
        <v>9998</v>
      </c>
      <c r="AJ190" s="2"/>
      <c r="AK190" s="2"/>
      <c r="AL190" s="2"/>
      <c r="AM190" s="2"/>
      <c r="AN190" s="2"/>
    </row>
    <row r="191" spans="1:40" ht="16" x14ac:dyDescent="0.2">
      <c r="A191" s="2" t="s">
        <v>1750</v>
      </c>
      <c r="B191" s="2">
        <v>533</v>
      </c>
      <c r="C191" s="2" t="b">
        <v>0</v>
      </c>
      <c r="D191" s="2" t="b">
        <v>0</v>
      </c>
      <c r="E191" s="2" t="b">
        <v>0</v>
      </c>
      <c r="F191" s="2" t="b">
        <v>0</v>
      </c>
      <c r="G191" s="2" t="s">
        <v>31</v>
      </c>
      <c r="H191" s="2" t="s">
        <v>1751</v>
      </c>
      <c r="I191" s="2" t="s">
        <v>1752</v>
      </c>
      <c r="J191" s="2" t="s">
        <v>35</v>
      </c>
      <c r="K191" s="2" t="s">
        <v>35</v>
      </c>
      <c r="L191" s="2" t="s">
        <v>35</v>
      </c>
      <c r="M191" s="2">
        <v>13</v>
      </c>
      <c r="N191" s="2">
        <v>15</v>
      </c>
      <c r="O191" s="11">
        <v>44748.592460439817</v>
      </c>
      <c r="P191" s="11">
        <v>44748.592814861113</v>
      </c>
      <c r="Q191" s="27">
        <v>3.544212959241122E-4</v>
      </c>
      <c r="R191" s="27">
        <v>7.6800926035502926E-4</v>
      </c>
      <c r="S191" s="2">
        <v>0</v>
      </c>
      <c r="T191" s="2" t="s">
        <v>54</v>
      </c>
      <c r="U191" s="2" t="s">
        <v>55</v>
      </c>
      <c r="V191" s="2" t="s">
        <v>38</v>
      </c>
      <c r="W191" s="2" t="s">
        <v>35</v>
      </c>
      <c r="X191" s="2" t="s">
        <v>35</v>
      </c>
      <c r="Y191" s="2" t="s">
        <v>35</v>
      </c>
      <c r="Z191" s="2" t="b">
        <v>0</v>
      </c>
      <c r="AA191" s="2" t="s">
        <v>35</v>
      </c>
      <c r="AB191" s="2" t="s">
        <v>35</v>
      </c>
      <c r="AC191" s="2" t="s">
        <v>35</v>
      </c>
      <c r="AD191" s="2" t="s">
        <v>35</v>
      </c>
      <c r="AE191" s="2" t="s">
        <v>941</v>
      </c>
      <c r="AF191" s="11">
        <v>44748.587500000001</v>
      </c>
      <c r="AG191" s="53"/>
      <c r="AH191" s="53" t="b">
        <f t="shared" si="5"/>
        <v>0</v>
      </c>
      <c r="AI191" s="54" t="s">
        <v>9999</v>
      </c>
      <c r="AJ191" s="2"/>
      <c r="AK191" s="2"/>
      <c r="AL191" s="2"/>
      <c r="AM191" s="2"/>
      <c r="AN191" s="2"/>
    </row>
    <row r="192" spans="1:40" ht="16" x14ac:dyDescent="0.2">
      <c r="A192" s="2" t="s">
        <v>1753</v>
      </c>
      <c r="B192" s="2">
        <v>534</v>
      </c>
      <c r="C192" s="2" t="b">
        <v>0</v>
      </c>
      <c r="D192" s="2" t="b">
        <v>0</v>
      </c>
      <c r="E192" s="2" t="b">
        <v>0</v>
      </c>
      <c r="F192" s="2" t="b">
        <v>0</v>
      </c>
      <c r="G192" s="2" t="s">
        <v>31</v>
      </c>
      <c r="H192" s="2" t="s">
        <v>1754</v>
      </c>
      <c r="I192" s="2" t="s">
        <v>1755</v>
      </c>
      <c r="J192" s="2" t="s">
        <v>35</v>
      </c>
      <c r="K192" s="2" t="s">
        <v>35</v>
      </c>
      <c r="L192" s="2" t="s">
        <v>35</v>
      </c>
      <c r="M192" s="2">
        <v>13</v>
      </c>
      <c r="N192" s="2">
        <v>15</v>
      </c>
      <c r="O192" s="11">
        <v>44748.592960462964</v>
      </c>
      <c r="P192" s="11">
        <v>44748.593334722224</v>
      </c>
      <c r="Q192" s="27">
        <v>3.7425925984280184E-4</v>
      </c>
      <c r="R192" s="27">
        <v>5.1986111066071317E-4</v>
      </c>
      <c r="S192" s="2">
        <v>0</v>
      </c>
      <c r="T192" s="2" t="s">
        <v>54</v>
      </c>
      <c r="U192" s="2" t="s">
        <v>55</v>
      </c>
      <c r="V192" s="2" t="s">
        <v>38</v>
      </c>
      <c r="W192" s="2" t="s">
        <v>35</v>
      </c>
      <c r="X192" s="2" t="s">
        <v>35</v>
      </c>
      <c r="Y192" s="2" t="s">
        <v>35</v>
      </c>
      <c r="Z192" s="2" t="b">
        <v>0</v>
      </c>
      <c r="AA192" s="2" t="s">
        <v>35</v>
      </c>
      <c r="AB192" s="2" t="s">
        <v>35</v>
      </c>
      <c r="AC192" s="2" t="s">
        <v>35</v>
      </c>
      <c r="AD192" s="2" t="s">
        <v>35</v>
      </c>
      <c r="AE192" s="2" t="s">
        <v>941</v>
      </c>
      <c r="AF192" s="11">
        <v>44748.587500000001</v>
      </c>
      <c r="AG192" s="53"/>
      <c r="AH192" s="53" t="b">
        <f t="shared" si="5"/>
        <v>0</v>
      </c>
      <c r="AI192" s="54" t="s">
        <v>10000</v>
      </c>
      <c r="AJ192" s="2"/>
      <c r="AK192" s="2"/>
      <c r="AL192" s="2"/>
      <c r="AM192" s="2"/>
      <c r="AN192" s="2"/>
    </row>
    <row r="193" spans="1:40" ht="16" x14ac:dyDescent="0.2">
      <c r="A193" s="2" t="s">
        <v>1756</v>
      </c>
      <c r="B193" s="2">
        <v>535</v>
      </c>
      <c r="C193" s="2" t="b">
        <v>0</v>
      </c>
      <c r="D193" s="2" t="b">
        <v>0</v>
      </c>
      <c r="E193" s="2" t="b">
        <v>0</v>
      </c>
      <c r="F193" s="2" t="b">
        <v>0</v>
      </c>
      <c r="G193" s="2" t="s">
        <v>31</v>
      </c>
      <c r="H193" s="2" t="s">
        <v>1757</v>
      </c>
      <c r="I193" s="2" t="s">
        <v>1758</v>
      </c>
      <c r="J193" s="2" t="s">
        <v>35</v>
      </c>
      <c r="K193" s="2" t="s">
        <v>35</v>
      </c>
      <c r="L193" s="2" t="s">
        <v>35</v>
      </c>
      <c r="M193" s="2">
        <v>6</v>
      </c>
      <c r="N193" s="2">
        <v>15</v>
      </c>
      <c r="O193" s="11">
        <v>44748.593646967594</v>
      </c>
      <c r="P193" s="11">
        <v>44748.594132638886</v>
      </c>
      <c r="Q193" s="27">
        <v>4.8567129124421626E-4</v>
      </c>
      <c r="R193" s="27">
        <v>7.979166621225886E-4</v>
      </c>
      <c r="S193" s="2">
        <v>0</v>
      </c>
      <c r="T193" s="2" t="s">
        <v>54</v>
      </c>
      <c r="U193" s="2" t="s">
        <v>55</v>
      </c>
      <c r="V193" s="2" t="s">
        <v>38</v>
      </c>
      <c r="W193" s="2" t="s">
        <v>35</v>
      </c>
      <c r="X193" s="2" t="s">
        <v>35</v>
      </c>
      <c r="Y193" s="2" t="s">
        <v>35</v>
      </c>
      <c r="Z193" s="2" t="b">
        <v>0</v>
      </c>
      <c r="AA193" s="2" t="s">
        <v>35</v>
      </c>
      <c r="AB193" s="2" t="s">
        <v>35</v>
      </c>
      <c r="AC193" s="2" t="s">
        <v>35</v>
      </c>
      <c r="AD193" s="2" t="s">
        <v>35</v>
      </c>
      <c r="AE193" s="2" t="s">
        <v>941</v>
      </c>
      <c r="AF193" s="11">
        <v>44748.587500000001</v>
      </c>
      <c r="AG193" s="53"/>
      <c r="AH193" s="53" t="b">
        <f t="shared" si="5"/>
        <v>0</v>
      </c>
      <c r="AI193" s="54" t="s">
        <v>10001</v>
      </c>
      <c r="AJ193" s="2"/>
      <c r="AK193" s="2"/>
      <c r="AL193" s="2"/>
      <c r="AM193" s="2"/>
      <c r="AN193" s="2"/>
    </row>
    <row r="194" spans="1:40" ht="16" x14ac:dyDescent="0.2">
      <c r="A194" s="2" t="s">
        <v>1759</v>
      </c>
      <c r="B194" s="2">
        <v>536</v>
      </c>
      <c r="C194" s="2" t="b">
        <v>0</v>
      </c>
      <c r="D194" s="2" t="b">
        <v>0</v>
      </c>
      <c r="E194" s="2" t="b">
        <v>0</v>
      </c>
      <c r="F194" s="2" t="b">
        <v>0</v>
      </c>
      <c r="G194" s="2" t="s">
        <v>31</v>
      </c>
      <c r="H194" s="2" t="s">
        <v>1760</v>
      </c>
      <c r="I194" s="2" t="s">
        <v>1761</v>
      </c>
      <c r="J194" s="2" t="s">
        <v>35</v>
      </c>
      <c r="K194" s="2" t="s">
        <v>35</v>
      </c>
      <c r="L194" s="2" t="s">
        <v>35</v>
      </c>
      <c r="M194" s="2">
        <v>7</v>
      </c>
      <c r="N194" s="2">
        <v>15</v>
      </c>
      <c r="O194" s="11">
        <v>44748.594505578702</v>
      </c>
      <c r="P194" s="11">
        <v>44748.594811076386</v>
      </c>
      <c r="Q194" s="27">
        <v>3.054976841667667E-4</v>
      </c>
      <c r="R194" s="27">
        <v>6.7843750002793968E-4</v>
      </c>
      <c r="S194" s="2">
        <v>0</v>
      </c>
      <c r="T194" s="2" t="s">
        <v>54</v>
      </c>
      <c r="U194" s="2" t="s">
        <v>55</v>
      </c>
      <c r="V194" s="2" t="s">
        <v>38</v>
      </c>
      <c r="W194" s="2" t="s">
        <v>35</v>
      </c>
      <c r="X194" s="2" t="s">
        <v>35</v>
      </c>
      <c r="Y194" s="2" t="s">
        <v>35</v>
      </c>
      <c r="Z194" s="2" t="b">
        <v>0</v>
      </c>
      <c r="AA194" s="2" t="s">
        <v>35</v>
      </c>
      <c r="AB194" s="2" t="s">
        <v>35</v>
      </c>
      <c r="AC194" s="2" t="s">
        <v>35</v>
      </c>
      <c r="AD194" s="2" t="s">
        <v>35</v>
      </c>
      <c r="AE194" s="2" t="s">
        <v>941</v>
      </c>
      <c r="AF194" s="11">
        <v>44748.587500000001</v>
      </c>
      <c r="AG194" s="53"/>
      <c r="AH194" s="53" t="b">
        <f t="shared" si="5"/>
        <v>0</v>
      </c>
      <c r="AI194" s="54" t="s">
        <v>10002</v>
      </c>
      <c r="AJ194" s="2"/>
      <c r="AK194" s="2"/>
      <c r="AL194" s="2"/>
      <c r="AM194" s="2"/>
      <c r="AN194" s="2"/>
    </row>
    <row r="195" spans="1:40" ht="16" x14ac:dyDescent="0.2">
      <c r="A195" s="2" t="s">
        <v>1766</v>
      </c>
      <c r="B195" s="2">
        <v>538</v>
      </c>
      <c r="C195" s="2" t="b">
        <v>0</v>
      </c>
      <c r="D195" s="2" t="b">
        <v>0</v>
      </c>
      <c r="E195" s="2" t="b">
        <v>0</v>
      </c>
      <c r="F195" s="2" t="b">
        <v>0</v>
      </c>
      <c r="G195" s="2" t="s">
        <v>31</v>
      </c>
      <c r="H195" s="2" t="s">
        <v>1767</v>
      </c>
      <c r="I195" s="2" t="s">
        <v>1768</v>
      </c>
      <c r="J195" s="2" t="s">
        <v>35</v>
      </c>
      <c r="K195" s="2" t="s">
        <v>35</v>
      </c>
      <c r="L195" s="2" t="s">
        <v>35</v>
      </c>
      <c r="M195" s="2">
        <v>6</v>
      </c>
      <c r="N195" s="2">
        <v>15</v>
      </c>
      <c r="O195" s="11">
        <v>44748.596492303244</v>
      </c>
      <c r="P195" s="11">
        <v>44748.596742210648</v>
      </c>
      <c r="Q195" s="27">
        <v>2.499074034858495E-4</v>
      </c>
      <c r="R195" s="27">
        <v>1.1341435165377334E-3</v>
      </c>
      <c r="S195" s="2">
        <v>0</v>
      </c>
      <c r="T195" s="2" t="s">
        <v>54</v>
      </c>
      <c r="U195" s="2" t="s">
        <v>55</v>
      </c>
      <c r="V195" s="2" t="s">
        <v>38</v>
      </c>
      <c r="W195" s="2" t="s">
        <v>35</v>
      </c>
      <c r="X195" s="2" t="s">
        <v>35</v>
      </c>
      <c r="Y195" s="2" t="s">
        <v>35</v>
      </c>
      <c r="Z195" s="2" t="b">
        <v>0</v>
      </c>
      <c r="AA195" s="2" t="s">
        <v>35</v>
      </c>
      <c r="AB195" s="2" t="s">
        <v>35</v>
      </c>
      <c r="AC195" s="2" t="s">
        <v>35</v>
      </c>
      <c r="AD195" s="2" t="s">
        <v>35</v>
      </c>
      <c r="AE195" s="2" t="s">
        <v>941</v>
      </c>
      <c r="AF195" s="11">
        <v>44748.587500000001</v>
      </c>
      <c r="AG195" s="53"/>
      <c r="AH195" s="53" t="b">
        <f t="shared" si="5"/>
        <v>0</v>
      </c>
      <c r="AI195" s="54" t="s">
        <v>10003</v>
      </c>
      <c r="AJ195" s="2"/>
      <c r="AK195" s="2"/>
      <c r="AL195" s="2"/>
      <c r="AM195" s="2"/>
      <c r="AN195" s="2"/>
    </row>
    <row r="196" spans="1:40" ht="16" x14ac:dyDescent="0.2">
      <c r="A196" s="2" t="s">
        <v>1769</v>
      </c>
      <c r="B196" s="2">
        <v>539</v>
      </c>
      <c r="C196" s="2" t="b">
        <v>0</v>
      </c>
      <c r="D196" s="2" t="b">
        <v>0</v>
      </c>
      <c r="E196" s="2" t="b">
        <v>0</v>
      </c>
      <c r="F196" s="2" t="b">
        <v>0</v>
      </c>
      <c r="G196" s="2" t="s">
        <v>31</v>
      </c>
      <c r="H196" s="2" t="s">
        <v>1770</v>
      </c>
      <c r="I196" s="2" t="s">
        <v>1771</v>
      </c>
      <c r="J196" s="2" t="s">
        <v>35</v>
      </c>
      <c r="K196" s="2" t="s">
        <v>35</v>
      </c>
      <c r="L196" s="2" t="s">
        <v>35</v>
      </c>
      <c r="M196" s="2">
        <v>5</v>
      </c>
      <c r="N196" s="2">
        <v>15</v>
      </c>
      <c r="O196" s="11">
        <v>44748.59703449074</v>
      </c>
      <c r="P196" s="11">
        <v>44748.59720650463</v>
      </c>
      <c r="Q196" s="27">
        <v>1.7201388982357457E-4</v>
      </c>
      <c r="R196" s="27">
        <v>4.6429398207692429E-4</v>
      </c>
      <c r="S196" s="2">
        <v>0</v>
      </c>
      <c r="T196" s="2" t="s">
        <v>54</v>
      </c>
      <c r="U196" s="2" t="s">
        <v>55</v>
      </c>
      <c r="V196" s="2" t="s">
        <v>38</v>
      </c>
      <c r="W196" s="2" t="s">
        <v>35</v>
      </c>
      <c r="X196" s="2" t="s">
        <v>35</v>
      </c>
      <c r="Y196" s="2" t="s">
        <v>35</v>
      </c>
      <c r="Z196" s="2" t="b">
        <v>0</v>
      </c>
      <c r="AA196" s="2" t="s">
        <v>35</v>
      </c>
      <c r="AB196" s="2" t="s">
        <v>35</v>
      </c>
      <c r="AC196" s="2" t="s">
        <v>35</v>
      </c>
      <c r="AD196" s="2" t="s">
        <v>35</v>
      </c>
      <c r="AE196" s="2" t="s">
        <v>941</v>
      </c>
      <c r="AF196" s="11">
        <v>44748.587500000001</v>
      </c>
      <c r="AG196" s="53"/>
      <c r="AH196" s="53" t="b">
        <f t="shared" si="5"/>
        <v>0</v>
      </c>
      <c r="AI196" s="54" t="s">
        <v>10004</v>
      </c>
      <c r="AJ196" s="2"/>
      <c r="AK196" s="2"/>
      <c r="AL196" s="2"/>
      <c r="AM196" s="2"/>
      <c r="AN196" s="2"/>
    </row>
    <row r="197" spans="1:40" ht="16" x14ac:dyDescent="0.2">
      <c r="A197" s="2" t="s">
        <v>1817</v>
      </c>
      <c r="B197" s="2">
        <v>555</v>
      </c>
      <c r="C197" s="2" t="b">
        <v>0</v>
      </c>
      <c r="D197" s="2" t="b">
        <v>0</v>
      </c>
      <c r="E197" s="2" t="b">
        <v>0</v>
      </c>
      <c r="F197" s="2" t="b">
        <v>0</v>
      </c>
      <c r="G197" s="2" t="s">
        <v>31</v>
      </c>
      <c r="H197" s="2" t="s">
        <v>1818</v>
      </c>
      <c r="I197" s="2" t="s">
        <v>1819</v>
      </c>
      <c r="J197" s="2" t="s">
        <v>35</v>
      </c>
      <c r="K197" s="2" t="s">
        <v>35</v>
      </c>
      <c r="L197" s="2" t="s">
        <v>35</v>
      </c>
      <c r="M197" s="2">
        <v>2</v>
      </c>
      <c r="N197" s="2">
        <v>15</v>
      </c>
      <c r="O197" s="11">
        <v>44748.61629322917</v>
      </c>
      <c r="P197" s="11">
        <v>44748.616743564817</v>
      </c>
      <c r="Q197" s="27">
        <v>4.5033564674668014E-4</v>
      </c>
      <c r="R197" s="27">
        <v>6.9314814754761755E-4</v>
      </c>
      <c r="S197" s="2">
        <v>0</v>
      </c>
      <c r="T197" s="2" t="s">
        <v>54</v>
      </c>
      <c r="U197" s="2" t="s">
        <v>55</v>
      </c>
      <c r="V197" s="2" t="s">
        <v>38</v>
      </c>
      <c r="W197" s="2" t="s">
        <v>35</v>
      </c>
      <c r="X197" s="2" t="s">
        <v>35</v>
      </c>
      <c r="Y197" s="2" t="s">
        <v>35</v>
      </c>
      <c r="Z197" s="2" t="b">
        <v>0</v>
      </c>
      <c r="AA197" s="2" t="s">
        <v>35</v>
      </c>
      <c r="AB197" s="2" t="s">
        <v>35</v>
      </c>
      <c r="AC197" s="2" t="s">
        <v>35</v>
      </c>
      <c r="AD197" s="2" t="s">
        <v>35</v>
      </c>
      <c r="AE197" s="2" t="s">
        <v>941</v>
      </c>
      <c r="AF197" s="11">
        <v>44748.587500000001</v>
      </c>
      <c r="AG197" s="53"/>
      <c r="AH197" s="53" t="b">
        <f t="shared" si="5"/>
        <v>0</v>
      </c>
      <c r="AI197" s="54" t="s">
        <v>10005</v>
      </c>
      <c r="AJ197" s="2"/>
      <c r="AK197" s="2"/>
      <c r="AL197" s="2"/>
      <c r="AM197" s="2"/>
      <c r="AN197" s="2"/>
    </row>
    <row r="198" spans="1:40" ht="16" x14ac:dyDescent="0.2">
      <c r="A198" s="68" t="s">
        <v>1836</v>
      </c>
      <c r="B198" s="68">
        <v>562</v>
      </c>
      <c r="C198" s="68" t="b">
        <v>0</v>
      </c>
      <c r="D198" s="68" t="b">
        <v>0</v>
      </c>
      <c r="E198" s="68" t="b">
        <v>0</v>
      </c>
      <c r="F198" s="68" t="b">
        <v>0</v>
      </c>
      <c r="G198" s="68" t="s">
        <v>31</v>
      </c>
      <c r="H198" s="68" t="s">
        <v>149</v>
      </c>
      <c r="I198" s="68" t="s">
        <v>1837</v>
      </c>
      <c r="J198" s="68" t="s">
        <v>35</v>
      </c>
      <c r="K198" s="68" t="s">
        <v>35</v>
      </c>
      <c r="L198" s="68" t="s">
        <v>35</v>
      </c>
      <c r="M198" s="68">
        <v>21</v>
      </c>
      <c r="N198" s="68">
        <v>16</v>
      </c>
      <c r="O198" s="69">
        <v>44748.636153784719</v>
      </c>
      <c r="P198" s="69">
        <v>44748.636500231485</v>
      </c>
      <c r="Q198" s="70">
        <v>3.4644676634343341E-4</v>
      </c>
      <c r="R198" s="70">
        <v>1.2337152802501805E-3</v>
      </c>
      <c r="S198" s="68">
        <v>0</v>
      </c>
      <c r="T198" s="68" t="s">
        <v>54</v>
      </c>
      <c r="U198" s="68" t="s">
        <v>55</v>
      </c>
      <c r="V198" s="68" t="s">
        <v>38</v>
      </c>
      <c r="W198" s="68" t="s">
        <v>35</v>
      </c>
      <c r="X198" s="68" t="s">
        <v>35</v>
      </c>
      <c r="Y198" s="68" t="s">
        <v>35</v>
      </c>
      <c r="Z198" s="68" t="b">
        <v>0</v>
      </c>
      <c r="AA198" s="68" t="s">
        <v>35</v>
      </c>
      <c r="AB198" s="68" t="s">
        <v>35</v>
      </c>
      <c r="AC198" s="68" t="s">
        <v>35</v>
      </c>
      <c r="AD198" s="68" t="s">
        <v>35</v>
      </c>
      <c r="AE198" s="68" t="s">
        <v>1826</v>
      </c>
      <c r="AF198" s="69">
        <v>44748.629166666666</v>
      </c>
      <c r="AG198" s="71"/>
      <c r="AH198" s="53" t="b">
        <f t="shared" si="5"/>
        <v>0</v>
      </c>
      <c r="AI198" s="56" t="s">
        <v>35</v>
      </c>
      <c r="AJ198" s="68"/>
      <c r="AK198" s="68"/>
      <c r="AL198" s="68"/>
      <c r="AM198" s="68"/>
      <c r="AN198" s="68"/>
    </row>
    <row r="199" spans="1:40" ht="16" x14ac:dyDescent="0.2">
      <c r="A199" s="68" t="s">
        <v>1838</v>
      </c>
      <c r="B199" s="68">
        <v>563</v>
      </c>
      <c r="C199" s="68" t="b">
        <v>0</v>
      </c>
      <c r="D199" s="68" t="b">
        <v>0</v>
      </c>
      <c r="E199" s="68" t="b">
        <v>0</v>
      </c>
      <c r="F199" s="68" t="b">
        <v>0</v>
      </c>
      <c r="G199" s="68" t="s">
        <v>31</v>
      </c>
      <c r="H199" s="68" t="s">
        <v>149</v>
      </c>
      <c r="I199" s="68" t="s">
        <v>1839</v>
      </c>
      <c r="J199" s="68" t="s">
        <v>35</v>
      </c>
      <c r="K199" s="68" t="s">
        <v>35</v>
      </c>
      <c r="L199" s="68" t="s">
        <v>35</v>
      </c>
      <c r="M199" s="68">
        <v>15</v>
      </c>
      <c r="N199" s="68">
        <v>16</v>
      </c>
      <c r="O199" s="69">
        <v>44748.636723449075</v>
      </c>
      <c r="P199" s="69">
        <v>44748.63696916667</v>
      </c>
      <c r="Q199" s="70">
        <v>2.4571759422542527E-4</v>
      </c>
      <c r="R199" s="70">
        <v>4.6893518447177485E-4</v>
      </c>
      <c r="S199" s="68">
        <v>0</v>
      </c>
      <c r="T199" s="68" t="s">
        <v>54</v>
      </c>
      <c r="U199" s="68" t="s">
        <v>55</v>
      </c>
      <c r="V199" s="68" t="s">
        <v>38</v>
      </c>
      <c r="W199" s="68" t="s">
        <v>35</v>
      </c>
      <c r="X199" s="68" t="s">
        <v>35</v>
      </c>
      <c r="Y199" s="68" t="s">
        <v>35</v>
      </c>
      <c r="Z199" s="68" t="b">
        <v>0</v>
      </c>
      <c r="AA199" s="68" t="s">
        <v>35</v>
      </c>
      <c r="AB199" s="68" t="s">
        <v>35</v>
      </c>
      <c r="AC199" s="68" t="s">
        <v>35</v>
      </c>
      <c r="AD199" s="68" t="s">
        <v>35</v>
      </c>
      <c r="AE199" s="68" t="s">
        <v>1826</v>
      </c>
      <c r="AF199" s="69">
        <v>44748.629166608793</v>
      </c>
      <c r="AG199" s="71"/>
      <c r="AH199" s="53" t="b">
        <f t="shared" si="5"/>
        <v>0</v>
      </c>
      <c r="AI199" s="56" t="s">
        <v>35</v>
      </c>
      <c r="AJ199" s="68"/>
      <c r="AK199" s="68"/>
      <c r="AL199" s="68"/>
      <c r="AM199" s="68"/>
      <c r="AN199" s="68"/>
    </row>
    <row r="200" spans="1:40" ht="16" x14ac:dyDescent="0.2">
      <c r="A200" s="2" t="s">
        <v>1856</v>
      </c>
      <c r="B200" s="2">
        <v>570</v>
      </c>
      <c r="C200" s="2" t="b">
        <v>0</v>
      </c>
      <c r="D200" s="2" t="b">
        <v>0</v>
      </c>
      <c r="E200" s="2" t="b">
        <v>0</v>
      </c>
      <c r="F200" s="2" t="b">
        <v>0</v>
      </c>
      <c r="G200" s="2" t="s">
        <v>31</v>
      </c>
      <c r="H200" s="2" t="s">
        <v>1857</v>
      </c>
      <c r="I200" s="2" t="s">
        <v>1858</v>
      </c>
      <c r="J200" s="2" t="s">
        <v>35</v>
      </c>
      <c r="K200" s="2" t="s">
        <v>35</v>
      </c>
      <c r="L200" s="2" t="s">
        <v>35</v>
      </c>
      <c r="M200" s="2">
        <v>28</v>
      </c>
      <c r="N200" s="2">
        <v>15</v>
      </c>
      <c r="O200" s="11">
        <v>44748.647654837965</v>
      </c>
      <c r="P200" s="11">
        <v>44748.648228182872</v>
      </c>
      <c r="Q200" s="27">
        <v>5.7334490702487528E-4</v>
      </c>
      <c r="R200" s="27">
        <v>1.2577083325595595E-3</v>
      </c>
      <c r="S200" s="2">
        <v>0</v>
      </c>
      <c r="T200" s="2" t="s">
        <v>54</v>
      </c>
      <c r="U200" s="2" t="s">
        <v>55</v>
      </c>
      <c r="V200" s="2" t="s">
        <v>38</v>
      </c>
      <c r="W200" s="2" t="s">
        <v>35</v>
      </c>
      <c r="X200" s="2" t="s">
        <v>35</v>
      </c>
      <c r="Y200" s="2" t="s">
        <v>35</v>
      </c>
      <c r="Z200" s="2" t="b">
        <v>0</v>
      </c>
      <c r="AA200" s="2" t="s">
        <v>35</v>
      </c>
      <c r="AB200" s="2" t="s">
        <v>35</v>
      </c>
      <c r="AC200" s="2" t="s">
        <v>35</v>
      </c>
      <c r="AD200" s="2" t="s">
        <v>35</v>
      </c>
      <c r="AE200" s="2" t="s">
        <v>1826</v>
      </c>
      <c r="AF200" s="11">
        <v>44748.629166608793</v>
      </c>
      <c r="AG200" s="53"/>
      <c r="AH200" s="53" t="b">
        <f t="shared" si="5"/>
        <v>0</v>
      </c>
      <c r="AI200" s="54" t="s">
        <v>10006</v>
      </c>
      <c r="AJ200" s="2"/>
      <c r="AK200" s="2"/>
      <c r="AL200" s="2"/>
      <c r="AM200" s="2"/>
      <c r="AN200" s="2"/>
    </row>
    <row r="201" spans="1:40" ht="16" x14ac:dyDescent="0.2">
      <c r="A201" s="2" t="s">
        <v>1859</v>
      </c>
      <c r="B201" s="2">
        <v>571</v>
      </c>
      <c r="C201" s="2" t="b">
        <v>0</v>
      </c>
      <c r="D201" s="2" t="b">
        <v>0</v>
      </c>
      <c r="E201" s="2" t="b">
        <v>0</v>
      </c>
      <c r="F201" s="2" t="b">
        <v>0</v>
      </c>
      <c r="G201" s="2" t="s">
        <v>31</v>
      </c>
      <c r="H201" s="2" t="s">
        <v>1860</v>
      </c>
      <c r="I201" s="2" t="s">
        <v>1861</v>
      </c>
      <c r="J201" s="2" t="s">
        <v>35</v>
      </c>
      <c r="K201" s="2" t="s">
        <v>35</v>
      </c>
      <c r="L201" s="2" t="s">
        <v>35</v>
      </c>
      <c r="M201" s="2">
        <v>7</v>
      </c>
      <c r="N201" s="2">
        <v>15</v>
      </c>
      <c r="O201" s="11">
        <v>44748.649184421294</v>
      </c>
      <c r="P201" s="11">
        <v>44748.649443344904</v>
      </c>
      <c r="Q201" s="27">
        <v>2.5892361009027809E-4</v>
      </c>
      <c r="R201" s="27">
        <v>1.2151620321674272E-3</v>
      </c>
      <c r="S201" s="2">
        <v>0</v>
      </c>
      <c r="T201" s="2" t="s">
        <v>54</v>
      </c>
      <c r="U201" s="2" t="s">
        <v>55</v>
      </c>
      <c r="V201" s="2" t="s">
        <v>38</v>
      </c>
      <c r="W201" s="2" t="s">
        <v>35</v>
      </c>
      <c r="X201" s="2" t="s">
        <v>35</v>
      </c>
      <c r="Y201" s="2" t="s">
        <v>35</v>
      </c>
      <c r="Z201" s="2" t="b">
        <v>0</v>
      </c>
      <c r="AA201" s="2" t="s">
        <v>35</v>
      </c>
      <c r="AB201" s="2" t="s">
        <v>35</v>
      </c>
      <c r="AC201" s="2" t="s">
        <v>35</v>
      </c>
      <c r="AD201" s="2" t="s">
        <v>35</v>
      </c>
      <c r="AE201" s="2" t="s">
        <v>1826</v>
      </c>
      <c r="AF201" s="11">
        <v>44748.629166608793</v>
      </c>
      <c r="AG201" s="53"/>
      <c r="AH201" s="53" t="b">
        <f t="shared" si="5"/>
        <v>0</v>
      </c>
      <c r="AI201" s="54" t="s">
        <v>10007</v>
      </c>
      <c r="AJ201" s="2"/>
      <c r="AK201" s="2"/>
      <c r="AL201" s="2"/>
      <c r="AM201" s="2"/>
      <c r="AN201" s="2"/>
    </row>
    <row r="202" spans="1:40" ht="16" x14ac:dyDescent="0.2">
      <c r="A202" s="2" t="s">
        <v>1862</v>
      </c>
      <c r="B202" s="2">
        <v>572</v>
      </c>
      <c r="C202" s="2" t="b">
        <v>0</v>
      </c>
      <c r="D202" s="2" t="b">
        <v>0</v>
      </c>
      <c r="E202" s="2" t="b">
        <v>0</v>
      </c>
      <c r="F202" s="2" t="b">
        <v>0</v>
      </c>
      <c r="G202" s="2" t="s">
        <v>31</v>
      </c>
      <c r="H202" s="2" t="s">
        <v>1863</v>
      </c>
      <c r="I202" s="2" t="s">
        <v>1864</v>
      </c>
      <c r="J202" s="2" t="s">
        <v>35</v>
      </c>
      <c r="K202" s="2" t="s">
        <v>35</v>
      </c>
      <c r="L202" s="2" t="s">
        <v>35</v>
      </c>
      <c r="M202" s="2">
        <v>3</v>
      </c>
      <c r="N202" s="2">
        <v>15</v>
      </c>
      <c r="O202" s="11">
        <v>44748.649944178243</v>
      </c>
      <c r="P202" s="11">
        <v>44748.650079583334</v>
      </c>
      <c r="Q202" s="27">
        <v>1.3540509098675102E-4</v>
      </c>
      <c r="R202" s="27">
        <v>6.362384301610291E-4</v>
      </c>
      <c r="S202" s="2">
        <v>0</v>
      </c>
      <c r="T202" s="2" t="s">
        <v>54</v>
      </c>
      <c r="U202" s="2" t="s">
        <v>55</v>
      </c>
      <c r="V202" s="2" t="s">
        <v>38</v>
      </c>
      <c r="W202" s="2" t="s">
        <v>35</v>
      </c>
      <c r="X202" s="2" t="s">
        <v>35</v>
      </c>
      <c r="Y202" s="2" t="s">
        <v>35</v>
      </c>
      <c r="Z202" s="2" t="b">
        <v>0</v>
      </c>
      <c r="AA202" s="2" t="s">
        <v>35</v>
      </c>
      <c r="AB202" s="2" t="s">
        <v>35</v>
      </c>
      <c r="AC202" s="2" t="s">
        <v>35</v>
      </c>
      <c r="AD202" s="2" t="s">
        <v>35</v>
      </c>
      <c r="AE202" s="2" t="s">
        <v>1826</v>
      </c>
      <c r="AF202" s="11">
        <v>44748.629166608793</v>
      </c>
      <c r="AG202" s="53"/>
      <c r="AH202" s="53" t="b">
        <f t="shared" si="5"/>
        <v>0</v>
      </c>
      <c r="AI202" s="54" t="s">
        <v>10008</v>
      </c>
      <c r="AJ202" s="2"/>
      <c r="AK202" s="2"/>
      <c r="AL202" s="2"/>
      <c r="AM202" s="2"/>
      <c r="AN202" s="2"/>
    </row>
    <row r="203" spans="1:40" ht="16" x14ac:dyDescent="0.2">
      <c r="A203" s="68" t="s">
        <v>1865</v>
      </c>
      <c r="B203" s="68">
        <v>573</v>
      </c>
      <c r="C203" s="68" t="b">
        <v>0</v>
      </c>
      <c r="D203" s="68" t="b">
        <v>0</v>
      </c>
      <c r="E203" s="68" t="b">
        <v>0</v>
      </c>
      <c r="F203" s="68" t="b">
        <v>0</v>
      </c>
      <c r="G203" s="68" t="s">
        <v>31</v>
      </c>
      <c r="H203" s="68" t="s">
        <v>149</v>
      </c>
      <c r="I203" s="68" t="s">
        <v>1866</v>
      </c>
      <c r="J203" s="68" t="s">
        <v>35</v>
      </c>
      <c r="K203" s="68" t="s">
        <v>35</v>
      </c>
      <c r="L203" s="68" t="s">
        <v>35</v>
      </c>
      <c r="M203" s="68">
        <v>40</v>
      </c>
      <c r="N203" s="68">
        <v>16</v>
      </c>
      <c r="O203" s="69">
        <v>44748.650737060183</v>
      </c>
      <c r="P203" s="69">
        <v>44748.651270972223</v>
      </c>
      <c r="Q203" s="70">
        <v>5.3391203982755542E-4</v>
      </c>
      <c r="R203" s="70">
        <v>1.1913888884009793E-3</v>
      </c>
      <c r="S203" s="68">
        <v>0</v>
      </c>
      <c r="T203" s="68" t="s">
        <v>54</v>
      </c>
      <c r="U203" s="68" t="s">
        <v>55</v>
      </c>
      <c r="V203" s="68" t="s">
        <v>38</v>
      </c>
      <c r="W203" s="68" t="s">
        <v>35</v>
      </c>
      <c r="X203" s="68" t="s">
        <v>35</v>
      </c>
      <c r="Y203" s="68" t="s">
        <v>35</v>
      </c>
      <c r="Z203" s="68" t="b">
        <v>0</v>
      </c>
      <c r="AA203" s="68" t="s">
        <v>35</v>
      </c>
      <c r="AB203" s="68" t="s">
        <v>35</v>
      </c>
      <c r="AC203" s="68" t="s">
        <v>35</v>
      </c>
      <c r="AD203" s="68" t="s">
        <v>35</v>
      </c>
      <c r="AE203" s="68" t="s">
        <v>1826</v>
      </c>
      <c r="AF203" s="69">
        <v>44748.629166608793</v>
      </c>
      <c r="AG203" s="71"/>
      <c r="AH203" s="53" t="b">
        <f t="shared" si="5"/>
        <v>0</v>
      </c>
      <c r="AI203" s="56" t="s">
        <v>35</v>
      </c>
      <c r="AJ203" s="68"/>
      <c r="AK203" s="68"/>
      <c r="AL203" s="68"/>
      <c r="AM203" s="68"/>
      <c r="AN203" s="68"/>
    </row>
    <row r="204" spans="1:40" ht="16" x14ac:dyDescent="0.2">
      <c r="A204" s="2" t="s">
        <v>1879</v>
      </c>
      <c r="B204" s="2">
        <v>578</v>
      </c>
      <c r="C204" s="2" t="b">
        <v>0</v>
      </c>
      <c r="D204" s="2" t="b">
        <v>0</v>
      </c>
      <c r="E204" s="2" t="b">
        <v>0</v>
      </c>
      <c r="F204" s="2" t="b">
        <v>0</v>
      </c>
      <c r="G204" s="2" t="s">
        <v>31</v>
      </c>
      <c r="H204" s="2" t="s">
        <v>1880</v>
      </c>
      <c r="I204" s="2" t="s">
        <v>1881</v>
      </c>
      <c r="J204" s="2" t="s">
        <v>35</v>
      </c>
      <c r="K204" s="2" t="s">
        <v>35</v>
      </c>
      <c r="L204" s="2" t="s">
        <v>35</v>
      </c>
      <c r="M204" s="2">
        <v>40</v>
      </c>
      <c r="N204" s="2">
        <v>16</v>
      </c>
      <c r="O204" s="11">
        <v>44748.657814178237</v>
      </c>
      <c r="P204" s="11">
        <v>44748.658155821759</v>
      </c>
      <c r="Q204" s="27">
        <v>3.4164352109655738E-4</v>
      </c>
      <c r="R204" s="27">
        <v>1.8244097227579914E-3</v>
      </c>
      <c r="S204" s="2">
        <v>0</v>
      </c>
      <c r="T204" s="2" t="s">
        <v>54</v>
      </c>
      <c r="U204" s="2" t="s">
        <v>55</v>
      </c>
      <c r="V204" s="2" t="s">
        <v>38</v>
      </c>
      <c r="W204" s="2" t="s">
        <v>35</v>
      </c>
      <c r="X204" s="2" t="s">
        <v>35</v>
      </c>
      <c r="Y204" s="2" t="s">
        <v>35</v>
      </c>
      <c r="Z204" s="2" t="b">
        <v>0</v>
      </c>
      <c r="AA204" s="2" t="s">
        <v>35</v>
      </c>
      <c r="AB204" s="2" t="s">
        <v>35</v>
      </c>
      <c r="AC204" s="2" t="s">
        <v>35</v>
      </c>
      <c r="AD204" s="2" t="s">
        <v>35</v>
      </c>
      <c r="AE204" s="2" t="s">
        <v>1826</v>
      </c>
      <c r="AF204" s="11">
        <v>44748.629166608793</v>
      </c>
      <c r="AG204" s="53"/>
      <c r="AH204" s="53" t="b">
        <f t="shared" si="5"/>
        <v>0</v>
      </c>
      <c r="AI204" s="54" t="s">
        <v>10009</v>
      </c>
      <c r="AJ204" s="2"/>
      <c r="AK204" s="2"/>
      <c r="AL204" s="2"/>
      <c r="AM204" s="2"/>
      <c r="AN204" s="2"/>
    </row>
    <row r="205" spans="1:40" ht="16" x14ac:dyDescent="0.2">
      <c r="A205" s="2" t="s">
        <v>1882</v>
      </c>
      <c r="B205" s="2">
        <v>579</v>
      </c>
      <c r="C205" s="2" t="b">
        <v>0</v>
      </c>
      <c r="D205" s="2" t="b">
        <v>0</v>
      </c>
      <c r="E205" s="2" t="b">
        <v>0</v>
      </c>
      <c r="F205" s="2" t="b">
        <v>0</v>
      </c>
      <c r="G205" s="2" t="s">
        <v>31</v>
      </c>
      <c r="H205" s="2" t="s">
        <v>1883</v>
      </c>
      <c r="I205" s="2" t="s">
        <v>1884</v>
      </c>
      <c r="J205" s="2" t="s">
        <v>35</v>
      </c>
      <c r="K205" s="2" t="s">
        <v>35</v>
      </c>
      <c r="L205" s="2" t="s">
        <v>35</v>
      </c>
      <c r="M205" s="2">
        <v>33</v>
      </c>
      <c r="N205" s="2">
        <v>16</v>
      </c>
      <c r="O205" s="11">
        <v>44748.658300138886</v>
      </c>
      <c r="P205" s="11">
        <v>44748.658715879632</v>
      </c>
      <c r="Q205" s="27">
        <v>4.1574074566597119E-4</v>
      </c>
      <c r="R205" s="27">
        <v>5.6005787337198853E-4</v>
      </c>
      <c r="S205" s="2">
        <v>0</v>
      </c>
      <c r="T205" s="2" t="s">
        <v>54</v>
      </c>
      <c r="U205" s="2" t="s">
        <v>55</v>
      </c>
      <c r="V205" s="2" t="s">
        <v>38</v>
      </c>
      <c r="W205" s="2" t="s">
        <v>35</v>
      </c>
      <c r="X205" s="2" t="s">
        <v>35</v>
      </c>
      <c r="Y205" s="2" t="s">
        <v>35</v>
      </c>
      <c r="Z205" s="2" t="b">
        <v>0</v>
      </c>
      <c r="AA205" s="2" t="s">
        <v>35</v>
      </c>
      <c r="AB205" s="2" t="s">
        <v>35</v>
      </c>
      <c r="AC205" s="2" t="s">
        <v>35</v>
      </c>
      <c r="AD205" s="2" t="s">
        <v>35</v>
      </c>
      <c r="AE205" s="2" t="s">
        <v>1826</v>
      </c>
      <c r="AF205" s="11">
        <v>44748.629166608793</v>
      </c>
      <c r="AG205" s="53"/>
      <c r="AH205" s="53" t="b">
        <f t="shared" si="5"/>
        <v>0</v>
      </c>
      <c r="AI205" s="54" t="s">
        <v>10010</v>
      </c>
      <c r="AJ205" s="2"/>
      <c r="AK205" s="2"/>
      <c r="AL205" s="2"/>
      <c r="AM205" s="2"/>
      <c r="AN205" s="2"/>
    </row>
    <row r="206" spans="1:40" ht="16" x14ac:dyDescent="0.2">
      <c r="A206" s="2" t="s">
        <v>1885</v>
      </c>
      <c r="B206" s="2">
        <v>580</v>
      </c>
      <c r="C206" s="2" t="b">
        <v>0</v>
      </c>
      <c r="D206" s="2" t="b">
        <v>0</v>
      </c>
      <c r="E206" s="2" t="b">
        <v>0</v>
      </c>
      <c r="F206" s="2" t="b">
        <v>0</v>
      </c>
      <c r="G206" s="2" t="s">
        <v>31</v>
      </c>
      <c r="H206" s="2" t="s">
        <v>1886</v>
      </c>
      <c r="I206" s="2" t="s">
        <v>1887</v>
      </c>
      <c r="J206" s="2" t="s">
        <v>35</v>
      </c>
      <c r="K206" s="2" t="s">
        <v>35</v>
      </c>
      <c r="L206" s="2" t="s">
        <v>35</v>
      </c>
      <c r="M206" s="2">
        <v>29</v>
      </c>
      <c r="N206" s="2">
        <v>16</v>
      </c>
      <c r="O206" s="11">
        <v>44748.659699444448</v>
      </c>
      <c r="P206" s="11">
        <v>44748.659857222221</v>
      </c>
      <c r="Q206" s="27">
        <v>1.5777777298353612E-4</v>
      </c>
      <c r="R206" s="27">
        <v>1.1413425891078077E-3</v>
      </c>
      <c r="S206" s="2">
        <v>0</v>
      </c>
      <c r="T206" s="2" t="s">
        <v>54</v>
      </c>
      <c r="U206" s="2" t="s">
        <v>55</v>
      </c>
      <c r="V206" s="2" t="s">
        <v>38</v>
      </c>
      <c r="W206" s="2" t="s">
        <v>35</v>
      </c>
      <c r="X206" s="2" t="s">
        <v>35</v>
      </c>
      <c r="Y206" s="2" t="s">
        <v>35</v>
      </c>
      <c r="Z206" s="2" t="b">
        <v>0</v>
      </c>
      <c r="AA206" s="2" t="s">
        <v>35</v>
      </c>
      <c r="AB206" s="2" t="s">
        <v>35</v>
      </c>
      <c r="AC206" s="2" t="s">
        <v>35</v>
      </c>
      <c r="AD206" s="2" t="s">
        <v>35</v>
      </c>
      <c r="AE206" s="2" t="s">
        <v>1826</v>
      </c>
      <c r="AF206" s="11">
        <v>44748.629166608793</v>
      </c>
      <c r="AG206" s="53"/>
      <c r="AH206" s="53" t="b">
        <f t="shared" si="5"/>
        <v>0</v>
      </c>
      <c r="AI206" s="54" t="s">
        <v>10011</v>
      </c>
      <c r="AJ206" s="2"/>
      <c r="AK206" s="2"/>
      <c r="AL206" s="2"/>
      <c r="AM206" s="2"/>
      <c r="AN206" s="2"/>
    </row>
    <row r="207" spans="1:40" ht="16" x14ac:dyDescent="0.2">
      <c r="A207" s="2" t="s">
        <v>1892</v>
      </c>
      <c r="B207" s="2">
        <v>582</v>
      </c>
      <c r="C207" s="2" t="b">
        <v>0</v>
      </c>
      <c r="D207" s="2" t="b">
        <v>0</v>
      </c>
      <c r="E207" s="2" t="b">
        <v>0</v>
      </c>
      <c r="F207" s="2" t="b">
        <v>0</v>
      </c>
      <c r="G207" s="2" t="s">
        <v>31</v>
      </c>
      <c r="H207" s="2" t="s">
        <v>1893</v>
      </c>
      <c r="I207" s="2" t="s">
        <v>1894</v>
      </c>
      <c r="J207" s="2" t="s">
        <v>35</v>
      </c>
      <c r="K207" s="2" t="s">
        <v>35</v>
      </c>
      <c r="L207" s="2" t="s">
        <v>35</v>
      </c>
      <c r="M207" s="2">
        <v>11</v>
      </c>
      <c r="N207" s="2">
        <v>25</v>
      </c>
      <c r="O207" s="11">
        <v>44748.666451828707</v>
      </c>
      <c r="P207" s="11">
        <v>44748.667457222225</v>
      </c>
      <c r="Q207" s="27">
        <v>1.0053935184259899E-3</v>
      </c>
      <c r="R207" s="27">
        <v>1.8659027846297249E-3</v>
      </c>
      <c r="S207" s="2">
        <v>0</v>
      </c>
      <c r="T207" s="2" t="s">
        <v>54</v>
      </c>
      <c r="U207" s="2" t="s">
        <v>55</v>
      </c>
      <c r="V207" s="2" t="s">
        <v>38</v>
      </c>
      <c r="W207" s="2" t="s">
        <v>35</v>
      </c>
      <c r="X207" s="2" t="s">
        <v>35</v>
      </c>
      <c r="Y207" s="2" t="s">
        <v>35</v>
      </c>
      <c r="Z207" s="2" t="b">
        <v>0</v>
      </c>
      <c r="AA207" s="2" t="s">
        <v>35</v>
      </c>
      <c r="AB207" s="2" t="s">
        <v>35</v>
      </c>
      <c r="AC207" s="2" t="s">
        <v>35</v>
      </c>
      <c r="AD207" s="2" t="s">
        <v>35</v>
      </c>
      <c r="AE207" s="2" t="s">
        <v>1826</v>
      </c>
      <c r="AF207" s="11">
        <v>44748.629166608793</v>
      </c>
      <c r="AG207" s="53"/>
      <c r="AH207" s="53" t="str">
        <f t="shared" si="5"/>
        <v>TRUE</v>
      </c>
      <c r="AI207" s="54" t="s">
        <v>10012</v>
      </c>
      <c r="AJ207" s="2"/>
      <c r="AK207" s="2"/>
      <c r="AL207" s="2"/>
      <c r="AM207" s="2"/>
      <c r="AN207" s="2"/>
    </row>
    <row r="208" spans="1:40" ht="16" x14ac:dyDescent="0.2">
      <c r="A208" s="68" t="s">
        <v>1898</v>
      </c>
      <c r="B208" s="68">
        <v>584</v>
      </c>
      <c r="C208" s="68" t="b">
        <v>0</v>
      </c>
      <c r="D208" s="68" t="b">
        <v>0</v>
      </c>
      <c r="E208" s="68" t="b">
        <v>0</v>
      </c>
      <c r="F208" s="68" t="b">
        <v>0</v>
      </c>
      <c r="G208" s="68" t="s">
        <v>31</v>
      </c>
      <c r="H208" s="68" t="s">
        <v>149</v>
      </c>
      <c r="I208" s="68" t="s">
        <v>1899</v>
      </c>
      <c r="J208" s="68" t="s">
        <v>35</v>
      </c>
      <c r="K208" s="68" t="s">
        <v>35</v>
      </c>
      <c r="L208" s="68" t="s">
        <v>35</v>
      </c>
      <c r="M208" s="68">
        <v>6</v>
      </c>
      <c r="N208" s="68">
        <v>17</v>
      </c>
      <c r="O208" s="69">
        <v>44748.668539479164</v>
      </c>
      <c r="P208" s="69">
        <v>44748.668733020837</v>
      </c>
      <c r="Q208" s="70">
        <v>1.9354167307028547E-4</v>
      </c>
      <c r="R208" s="70">
        <v>3.4081019111908972E-4</v>
      </c>
      <c r="S208" s="68">
        <v>0</v>
      </c>
      <c r="T208" s="68" t="s">
        <v>54</v>
      </c>
      <c r="U208" s="68" t="s">
        <v>55</v>
      </c>
      <c r="V208" s="68" t="s">
        <v>38</v>
      </c>
      <c r="W208" s="68" t="s">
        <v>35</v>
      </c>
      <c r="X208" s="68" t="s">
        <v>35</v>
      </c>
      <c r="Y208" s="68" t="s">
        <v>35</v>
      </c>
      <c r="Z208" s="68" t="b">
        <v>0</v>
      </c>
      <c r="AA208" s="68" t="s">
        <v>35</v>
      </c>
      <c r="AB208" s="68" t="s">
        <v>35</v>
      </c>
      <c r="AC208" s="68" t="s">
        <v>35</v>
      </c>
      <c r="AD208" s="68" t="s">
        <v>35</v>
      </c>
      <c r="AE208" s="68" t="s">
        <v>1826</v>
      </c>
      <c r="AF208" s="69">
        <v>44748.629166608793</v>
      </c>
      <c r="AG208" s="71"/>
      <c r="AH208" s="53" t="b">
        <f t="shared" si="5"/>
        <v>0</v>
      </c>
      <c r="AI208" s="56" t="s">
        <v>35</v>
      </c>
      <c r="AJ208" s="68"/>
      <c r="AK208" s="68"/>
      <c r="AL208" s="68"/>
      <c r="AM208" s="68"/>
      <c r="AN208" s="68"/>
    </row>
    <row r="209" spans="1:40" ht="16" x14ac:dyDescent="0.2">
      <c r="A209" s="2" t="s">
        <v>1908</v>
      </c>
      <c r="B209" s="2">
        <v>588</v>
      </c>
      <c r="C209" s="2" t="b">
        <v>0</v>
      </c>
      <c r="D209" s="2" t="b">
        <v>0</v>
      </c>
      <c r="E209" s="2" t="b">
        <v>0</v>
      </c>
      <c r="F209" s="2" t="b">
        <v>0</v>
      </c>
      <c r="G209" s="2" t="s">
        <v>31</v>
      </c>
      <c r="H209" s="2" t="s">
        <v>1909</v>
      </c>
      <c r="I209" s="2" t="s">
        <v>1910</v>
      </c>
      <c r="J209" s="2" t="s">
        <v>35</v>
      </c>
      <c r="K209" s="2" t="s">
        <v>35</v>
      </c>
      <c r="L209" s="2" t="s">
        <v>35</v>
      </c>
      <c r="M209" s="2">
        <v>24</v>
      </c>
      <c r="N209" s="2">
        <v>20</v>
      </c>
      <c r="O209" s="11">
        <v>44748.674163009258</v>
      </c>
      <c r="P209" s="11">
        <v>44748.674437650465</v>
      </c>
      <c r="Q209" s="27">
        <v>2.7464120648801327E-4</v>
      </c>
      <c r="R209" s="27">
        <v>2.7635879669105634E-3</v>
      </c>
      <c r="S209" s="2">
        <v>0</v>
      </c>
      <c r="T209" s="2" t="s">
        <v>54</v>
      </c>
      <c r="U209" s="2" t="s">
        <v>55</v>
      </c>
      <c r="V209" s="2" t="s">
        <v>38</v>
      </c>
      <c r="W209" s="2" t="s">
        <v>35</v>
      </c>
      <c r="X209" s="2" t="s">
        <v>35</v>
      </c>
      <c r="Y209" s="2" t="s">
        <v>35</v>
      </c>
      <c r="Z209" s="2" t="b">
        <v>0</v>
      </c>
      <c r="AA209" s="2" t="s">
        <v>35</v>
      </c>
      <c r="AB209" s="2" t="s">
        <v>35</v>
      </c>
      <c r="AC209" s="2" t="s">
        <v>35</v>
      </c>
      <c r="AD209" s="2" t="s">
        <v>35</v>
      </c>
      <c r="AE209" s="2" t="s">
        <v>1826</v>
      </c>
      <c r="AF209" s="11">
        <v>44748.629166608793</v>
      </c>
      <c r="AG209" s="53"/>
      <c r="AH209" s="53" t="b">
        <f t="shared" si="5"/>
        <v>0</v>
      </c>
      <c r="AI209" s="54" t="s">
        <v>10013</v>
      </c>
      <c r="AJ209" s="2"/>
      <c r="AK209" s="2"/>
      <c r="AL209" s="2"/>
      <c r="AM209" s="2"/>
      <c r="AN209" s="2"/>
    </row>
    <row r="210" spans="1:40" ht="16" x14ac:dyDescent="0.2">
      <c r="A210" s="2" t="s">
        <v>1914</v>
      </c>
      <c r="B210" s="2">
        <v>590</v>
      </c>
      <c r="C210" s="2" t="b">
        <v>0</v>
      </c>
      <c r="D210" s="2" t="b">
        <v>0</v>
      </c>
      <c r="E210" s="2" t="b">
        <v>0</v>
      </c>
      <c r="F210" s="2" t="b">
        <v>0</v>
      </c>
      <c r="G210" s="2" t="s">
        <v>31</v>
      </c>
      <c r="H210" s="2" t="s">
        <v>1915</v>
      </c>
      <c r="I210" s="2" t="s">
        <v>1916</v>
      </c>
      <c r="J210" s="2" t="s">
        <v>35</v>
      </c>
      <c r="K210" s="2" t="s">
        <v>35</v>
      </c>
      <c r="L210" s="2" t="s">
        <v>35</v>
      </c>
      <c r="M210" s="2">
        <v>6</v>
      </c>
      <c r="N210" s="2">
        <v>16</v>
      </c>
      <c r="O210" s="11">
        <v>44748.676246574076</v>
      </c>
      <c r="P210" s="11">
        <v>44748.676490011574</v>
      </c>
      <c r="Q210" s="27">
        <v>2.4343749828403816E-4</v>
      </c>
      <c r="R210" s="27">
        <v>1.1238657389185391E-3</v>
      </c>
      <c r="S210" s="2">
        <v>0</v>
      </c>
      <c r="T210" s="2" t="s">
        <v>54</v>
      </c>
      <c r="U210" s="2" t="s">
        <v>55</v>
      </c>
      <c r="V210" s="2" t="s">
        <v>38</v>
      </c>
      <c r="W210" s="2" t="s">
        <v>35</v>
      </c>
      <c r="X210" s="2" t="s">
        <v>35</v>
      </c>
      <c r="Y210" s="2" t="s">
        <v>35</v>
      </c>
      <c r="Z210" s="2" t="b">
        <v>0</v>
      </c>
      <c r="AA210" s="2" t="s">
        <v>35</v>
      </c>
      <c r="AB210" s="2" t="s">
        <v>35</v>
      </c>
      <c r="AC210" s="2" t="s">
        <v>35</v>
      </c>
      <c r="AD210" s="2" t="s">
        <v>35</v>
      </c>
      <c r="AE210" s="2" t="s">
        <v>1826</v>
      </c>
      <c r="AF210" s="11">
        <v>44748.629166608793</v>
      </c>
      <c r="AG210" s="53"/>
      <c r="AH210" s="53" t="b">
        <f t="shared" si="5"/>
        <v>0</v>
      </c>
      <c r="AI210" s="54" t="s">
        <v>10014</v>
      </c>
      <c r="AJ210" s="2"/>
      <c r="AK210" s="2"/>
      <c r="AL210" s="2"/>
      <c r="AM210" s="2"/>
      <c r="AN210" s="2"/>
    </row>
    <row r="211" spans="1:40" ht="16" x14ac:dyDescent="0.2">
      <c r="A211" s="2" t="s">
        <v>1924</v>
      </c>
      <c r="B211" s="2">
        <v>593</v>
      </c>
      <c r="C211" s="2" t="b">
        <v>0</v>
      </c>
      <c r="D211" s="2" t="b">
        <v>0</v>
      </c>
      <c r="E211" s="2" t="b">
        <v>0</v>
      </c>
      <c r="F211" s="2" t="b">
        <v>0</v>
      </c>
      <c r="G211" s="2" t="s">
        <v>31</v>
      </c>
      <c r="H211" s="2" t="s">
        <v>1925</v>
      </c>
      <c r="I211" s="2" t="s">
        <v>1926</v>
      </c>
      <c r="J211" s="2" t="s">
        <v>35</v>
      </c>
      <c r="K211" s="2" t="s">
        <v>35</v>
      </c>
      <c r="L211" s="2" t="s">
        <v>35</v>
      </c>
      <c r="M211" s="2">
        <v>20</v>
      </c>
      <c r="N211" s="2">
        <v>16</v>
      </c>
      <c r="O211" s="11">
        <v>44748.678900775463</v>
      </c>
      <c r="P211" s="11">
        <v>44748.679243599538</v>
      </c>
      <c r="Q211" s="27">
        <v>3.428240743232891E-4</v>
      </c>
      <c r="R211" s="27">
        <v>1.2805208316422068E-3</v>
      </c>
      <c r="S211" s="2">
        <v>0</v>
      </c>
      <c r="T211" s="2" t="s">
        <v>54</v>
      </c>
      <c r="U211" s="2" t="s">
        <v>55</v>
      </c>
      <c r="V211" s="2" t="s">
        <v>38</v>
      </c>
      <c r="W211" s="2" t="s">
        <v>35</v>
      </c>
      <c r="X211" s="2" t="s">
        <v>35</v>
      </c>
      <c r="Y211" s="2" t="s">
        <v>35</v>
      </c>
      <c r="Z211" s="2" t="b">
        <v>0</v>
      </c>
      <c r="AA211" s="2" t="s">
        <v>35</v>
      </c>
      <c r="AB211" s="2" t="s">
        <v>35</v>
      </c>
      <c r="AC211" s="2" t="s">
        <v>35</v>
      </c>
      <c r="AD211" s="2" t="s">
        <v>35</v>
      </c>
      <c r="AE211" s="2" t="s">
        <v>1826</v>
      </c>
      <c r="AF211" s="11">
        <v>44748.629166608793</v>
      </c>
      <c r="AG211" s="53"/>
      <c r="AH211" s="53" t="b">
        <f t="shared" si="5"/>
        <v>0</v>
      </c>
      <c r="AI211" s="54" t="s">
        <v>10015</v>
      </c>
      <c r="AJ211" s="2"/>
      <c r="AK211" s="2"/>
      <c r="AL211" s="2"/>
      <c r="AM211" s="2"/>
      <c r="AN211" s="2"/>
    </row>
    <row r="212" spans="1:40" ht="16" x14ac:dyDescent="0.2">
      <c r="A212" s="2" t="s">
        <v>1927</v>
      </c>
      <c r="B212" s="2">
        <v>594</v>
      </c>
      <c r="C212" s="2" t="b">
        <v>0</v>
      </c>
      <c r="D212" s="2" t="b">
        <v>0</v>
      </c>
      <c r="E212" s="2" t="b">
        <v>0</v>
      </c>
      <c r="F212" s="2" t="b">
        <v>0</v>
      </c>
      <c r="G212" s="2" t="s">
        <v>31</v>
      </c>
      <c r="H212" s="2" t="s">
        <v>1928</v>
      </c>
      <c r="I212" s="2" t="s">
        <v>1929</v>
      </c>
      <c r="J212" s="2" t="s">
        <v>35</v>
      </c>
      <c r="K212" s="2" t="s">
        <v>35</v>
      </c>
      <c r="L212" s="2" t="s">
        <v>35</v>
      </c>
      <c r="M212" s="2">
        <v>20</v>
      </c>
      <c r="N212" s="2">
        <v>16</v>
      </c>
      <c r="O212" s="11">
        <v>44748.681016493058</v>
      </c>
      <c r="P212" s="11">
        <v>44748.681335254631</v>
      </c>
      <c r="Q212" s="27">
        <v>3.1876157299848273E-4</v>
      </c>
      <c r="R212" s="27">
        <v>2.09165509295417E-3</v>
      </c>
      <c r="S212" s="2">
        <v>0</v>
      </c>
      <c r="T212" s="2" t="s">
        <v>54</v>
      </c>
      <c r="U212" s="2" t="s">
        <v>55</v>
      </c>
      <c r="V212" s="2" t="s">
        <v>38</v>
      </c>
      <c r="W212" s="2" t="s">
        <v>35</v>
      </c>
      <c r="X212" s="2" t="s">
        <v>35</v>
      </c>
      <c r="Y212" s="2" t="s">
        <v>35</v>
      </c>
      <c r="Z212" s="2" t="b">
        <v>0</v>
      </c>
      <c r="AA212" s="2" t="s">
        <v>35</v>
      </c>
      <c r="AB212" s="2" t="s">
        <v>35</v>
      </c>
      <c r="AC212" s="2" t="s">
        <v>35</v>
      </c>
      <c r="AD212" s="2" t="s">
        <v>35</v>
      </c>
      <c r="AE212" s="2" t="s">
        <v>1826</v>
      </c>
      <c r="AF212" s="11">
        <v>44748.629166608793</v>
      </c>
      <c r="AG212" s="53"/>
      <c r="AH212" s="53" t="b">
        <f t="shared" si="5"/>
        <v>0</v>
      </c>
      <c r="AI212" s="54" t="s">
        <v>9587</v>
      </c>
      <c r="AJ212" s="2"/>
      <c r="AK212" s="2"/>
      <c r="AL212" s="2"/>
      <c r="AM212" s="2"/>
      <c r="AN212" s="2"/>
    </row>
    <row r="213" spans="1:40" ht="16" x14ac:dyDescent="0.2">
      <c r="A213" s="2" t="s">
        <v>1930</v>
      </c>
      <c r="B213" s="2">
        <v>595</v>
      </c>
      <c r="C213" s="2" t="b">
        <v>0</v>
      </c>
      <c r="D213" s="2" t="b">
        <v>0</v>
      </c>
      <c r="E213" s="2" t="b">
        <v>0</v>
      </c>
      <c r="F213" s="2" t="b">
        <v>0</v>
      </c>
      <c r="G213" s="2" t="s">
        <v>31</v>
      </c>
      <c r="H213" s="2" t="s">
        <v>1931</v>
      </c>
      <c r="I213" s="2" t="s">
        <v>1932</v>
      </c>
      <c r="J213" s="2" t="s">
        <v>35</v>
      </c>
      <c r="K213" s="2" t="s">
        <v>35</v>
      </c>
      <c r="L213" s="2" t="s">
        <v>35</v>
      </c>
      <c r="M213" s="2">
        <v>13</v>
      </c>
      <c r="N213" s="2">
        <v>16</v>
      </c>
      <c r="O213" s="11">
        <v>44748.681432523146</v>
      </c>
      <c r="P213" s="11">
        <v>44748.681655798609</v>
      </c>
      <c r="Q213" s="27">
        <v>2.2327546321321279E-4</v>
      </c>
      <c r="R213" s="27">
        <v>3.2054397888714448E-4</v>
      </c>
      <c r="S213" s="2">
        <v>0</v>
      </c>
      <c r="T213" s="2" t="s">
        <v>54</v>
      </c>
      <c r="U213" s="2" t="s">
        <v>55</v>
      </c>
      <c r="V213" s="2" t="s">
        <v>38</v>
      </c>
      <c r="W213" s="2" t="s">
        <v>35</v>
      </c>
      <c r="X213" s="2" t="s">
        <v>35</v>
      </c>
      <c r="Y213" s="2" t="s">
        <v>35</v>
      </c>
      <c r="Z213" s="2" t="b">
        <v>0</v>
      </c>
      <c r="AA213" s="2" t="s">
        <v>35</v>
      </c>
      <c r="AB213" s="2" t="s">
        <v>35</v>
      </c>
      <c r="AC213" s="2" t="s">
        <v>35</v>
      </c>
      <c r="AD213" s="2" t="s">
        <v>35</v>
      </c>
      <c r="AE213" s="2" t="s">
        <v>1826</v>
      </c>
      <c r="AF213" s="11">
        <v>44748.629166608793</v>
      </c>
      <c r="AG213" s="53"/>
      <c r="AH213" s="53" t="b">
        <f t="shared" si="5"/>
        <v>0</v>
      </c>
      <c r="AI213" s="54" t="s">
        <v>10016</v>
      </c>
      <c r="AJ213" s="2"/>
      <c r="AK213" s="2"/>
      <c r="AL213" s="2"/>
      <c r="AM213" s="2"/>
      <c r="AN213" s="2"/>
    </row>
    <row r="214" spans="1:40" ht="16" x14ac:dyDescent="0.2">
      <c r="A214" s="2" t="s">
        <v>1933</v>
      </c>
      <c r="B214" s="2">
        <v>596</v>
      </c>
      <c r="C214" s="2" t="b">
        <v>0</v>
      </c>
      <c r="D214" s="2" t="b">
        <v>0</v>
      </c>
      <c r="E214" s="2" t="b">
        <v>0</v>
      </c>
      <c r="F214" s="2" t="b">
        <v>0</v>
      </c>
      <c r="G214" s="2" t="s">
        <v>31</v>
      </c>
      <c r="H214" s="2" t="s">
        <v>1934</v>
      </c>
      <c r="I214" s="2" t="s">
        <v>1935</v>
      </c>
      <c r="J214" s="2" t="s">
        <v>35</v>
      </c>
      <c r="K214" s="2" t="s">
        <v>35</v>
      </c>
      <c r="L214" s="2" t="s">
        <v>35</v>
      </c>
      <c r="M214" s="2">
        <v>1</v>
      </c>
      <c r="N214" s="2">
        <v>16</v>
      </c>
      <c r="O214" s="11">
        <v>44748.681817245371</v>
      </c>
      <c r="P214" s="11">
        <v>44748.68198872685</v>
      </c>
      <c r="Q214" s="27">
        <v>1.7148147890111431E-4</v>
      </c>
      <c r="R214" s="27">
        <v>3.329282408230938E-4</v>
      </c>
      <c r="S214" s="2">
        <v>0</v>
      </c>
      <c r="T214" s="2" t="s">
        <v>54</v>
      </c>
      <c r="U214" s="2" t="s">
        <v>55</v>
      </c>
      <c r="V214" s="2" t="s">
        <v>38</v>
      </c>
      <c r="W214" s="2" t="s">
        <v>35</v>
      </c>
      <c r="X214" s="2" t="s">
        <v>35</v>
      </c>
      <c r="Y214" s="2" t="s">
        <v>35</v>
      </c>
      <c r="Z214" s="2" t="b">
        <v>0</v>
      </c>
      <c r="AA214" s="2" t="s">
        <v>35</v>
      </c>
      <c r="AB214" s="2" t="s">
        <v>35</v>
      </c>
      <c r="AC214" s="2" t="s">
        <v>35</v>
      </c>
      <c r="AD214" s="2" t="s">
        <v>35</v>
      </c>
      <c r="AE214" s="2" t="s">
        <v>1826</v>
      </c>
      <c r="AF214" s="11">
        <v>44748.629166608793</v>
      </c>
      <c r="AG214" s="53"/>
      <c r="AH214" s="53" t="b">
        <f t="shared" si="5"/>
        <v>0</v>
      </c>
      <c r="AI214" s="54" t="s">
        <v>10017</v>
      </c>
      <c r="AJ214" s="2"/>
      <c r="AK214" s="2"/>
      <c r="AL214" s="2"/>
      <c r="AM214" s="2"/>
      <c r="AN214" s="2"/>
    </row>
    <row r="215" spans="1:40" ht="16" x14ac:dyDescent="0.2">
      <c r="A215" s="2" t="s">
        <v>1936</v>
      </c>
      <c r="B215" s="2">
        <v>597</v>
      </c>
      <c r="C215" s="2" t="b">
        <v>0</v>
      </c>
      <c r="D215" s="2" t="b">
        <v>0</v>
      </c>
      <c r="E215" s="2" t="b">
        <v>0</v>
      </c>
      <c r="F215" s="2" t="b">
        <v>0</v>
      </c>
      <c r="G215" s="2" t="s">
        <v>31</v>
      </c>
      <c r="H215" s="2" t="s">
        <v>1937</v>
      </c>
      <c r="I215" s="2" t="s">
        <v>1938</v>
      </c>
      <c r="J215" s="2" t="s">
        <v>35</v>
      </c>
      <c r="K215" s="2" t="s">
        <v>35</v>
      </c>
      <c r="L215" s="2" t="s">
        <v>35</v>
      </c>
      <c r="M215" s="2">
        <v>1</v>
      </c>
      <c r="N215" s="2">
        <v>16</v>
      </c>
      <c r="O215" s="11">
        <v>44748.682116053242</v>
      </c>
      <c r="P215" s="11">
        <v>44748.682243958334</v>
      </c>
      <c r="Q215" s="27">
        <v>1.2790509208571166E-4</v>
      </c>
      <c r="R215" s="27">
        <v>2.5523148360662162E-4</v>
      </c>
      <c r="S215" s="2">
        <v>0</v>
      </c>
      <c r="T215" s="2" t="s">
        <v>54</v>
      </c>
      <c r="U215" s="2" t="s">
        <v>55</v>
      </c>
      <c r="V215" s="2" t="s">
        <v>38</v>
      </c>
      <c r="W215" s="2" t="s">
        <v>35</v>
      </c>
      <c r="X215" s="2" t="s">
        <v>35</v>
      </c>
      <c r="Y215" s="2" t="s">
        <v>35</v>
      </c>
      <c r="Z215" s="2" t="b">
        <v>0</v>
      </c>
      <c r="AA215" s="2" t="s">
        <v>35</v>
      </c>
      <c r="AB215" s="2" t="s">
        <v>35</v>
      </c>
      <c r="AC215" s="2" t="s">
        <v>35</v>
      </c>
      <c r="AD215" s="2" t="s">
        <v>35</v>
      </c>
      <c r="AE215" s="2" t="s">
        <v>1826</v>
      </c>
      <c r="AF215" s="11">
        <v>44748.629166608793</v>
      </c>
      <c r="AG215" s="53"/>
      <c r="AH215" s="53" t="b">
        <f t="shared" si="5"/>
        <v>0</v>
      </c>
      <c r="AI215" s="54" t="s">
        <v>10018</v>
      </c>
      <c r="AJ215" s="2"/>
      <c r="AK215" s="2"/>
      <c r="AL215" s="2"/>
      <c r="AM215" s="2"/>
      <c r="AN215" s="2"/>
    </row>
    <row r="216" spans="1:40" ht="16" x14ac:dyDescent="0.2">
      <c r="A216" s="2" t="s">
        <v>1939</v>
      </c>
      <c r="B216" s="2">
        <v>598</v>
      </c>
      <c r="C216" s="2" t="b">
        <v>0</v>
      </c>
      <c r="D216" s="2" t="b">
        <v>0</v>
      </c>
      <c r="E216" s="2" t="b">
        <v>0</v>
      </c>
      <c r="F216" s="2" t="b">
        <v>0</v>
      </c>
      <c r="G216" s="2" t="s">
        <v>31</v>
      </c>
      <c r="H216" s="2" t="s">
        <v>1940</v>
      </c>
      <c r="I216" s="2" t="s">
        <v>1941</v>
      </c>
      <c r="J216" s="2" t="s">
        <v>35</v>
      </c>
      <c r="K216" s="2" t="s">
        <v>35</v>
      </c>
      <c r="L216" s="2" t="s">
        <v>35</v>
      </c>
      <c r="M216" s="2">
        <v>16</v>
      </c>
      <c r="N216" s="2">
        <v>16</v>
      </c>
      <c r="O216" s="11">
        <v>44748.682379328704</v>
      </c>
      <c r="P216" s="11">
        <v>44748.682717372685</v>
      </c>
      <c r="Q216" s="27">
        <v>3.380439811735414E-4</v>
      </c>
      <c r="R216" s="27">
        <v>4.7341435129055753E-4</v>
      </c>
      <c r="S216" s="2">
        <v>0</v>
      </c>
      <c r="T216" s="2" t="s">
        <v>54</v>
      </c>
      <c r="U216" s="2" t="s">
        <v>55</v>
      </c>
      <c r="V216" s="2" t="s">
        <v>38</v>
      </c>
      <c r="W216" s="2" t="s">
        <v>35</v>
      </c>
      <c r="X216" s="2" t="s">
        <v>35</v>
      </c>
      <c r="Y216" s="2" t="s">
        <v>35</v>
      </c>
      <c r="Z216" s="2" t="b">
        <v>0</v>
      </c>
      <c r="AA216" s="2" t="s">
        <v>35</v>
      </c>
      <c r="AB216" s="2" t="s">
        <v>35</v>
      </c>
      <c r="AC216" s="2" t="s">
        <v>35</v>
      </c>
      <c r="AD216" s="2" t="s">
        <v>35</v>
      </c>
      <c r="AE216" s="2" t="s">
        <v>1826</v>
      </c>
      <c r="AF216" s="11">
        <v>44748.629166608793</v>
      </c>
      <c r="AG216" s="53"/>
      <c r="AH216" s="53" t="b">
        <f t="shared" si="5"/>
        <v>0</v>
      </c>
      <c r="AI216" s="54" t="s">
        <v>10019</v>
      </c>
      <c r="AJ216" s="2"/>
      <c r="AK216" s="2"/>
      <c r="AL216" s="2"/>
      <c r="AM216" s="2"/>
      <c r="AN216" s="2"/>
    </row>
    <row r="217" spans="1:40" ht="16" x14ac:dyDescent="0.2">
      <c r="A217" s="68" t="s">
        <v>1952</v>
      </c>
      <c r="B217" s="68">
        <v>602</v>
      </c>
      <c r="C217" s="68" t="b">
        <v>0</v>
      </c>
      <c r="D217" s="68" t="b">
        <v>0</v>
      </c>
      <c r="E217" s="68" t="b">
        <v>0</v>
      </c>
      <c r="F217" s="68" t="b">
        <v>0</v>
      </c>
      <c r="G217" s="68" t="s">
        <v>31</v>
      </c>
      <c r="H217" s="68" t="s">
        <v>149</v>
      </c>
      <c r="I217" s="68" t="s">
        <v>1953</v>
      </c>
      <c r="J217" s="68" t="s">
        <v>35</v>
      </c>
      <c r="K217" s="68" t="s">
        <v>35</v>
      </c>
      <c r="L217" s="68" t="s">
        <v>35</v>
      </c>
      <c r="M217" s="68">
        <v>3</v>
      </c>
      <c r="N217" s="68">
        <v>13</v>
      </c>
      <c r="O217" s="69">
        <v>44748.699954374999</v>
      </c>
      <c r="P217" s="69">
        <v>44748.700206805559</v>
      </c>
      <c r="Q217" s="70">
        <v>2.5243056006729603E-4</v>
      </c>
      <c r="R217" s="70">
        <v>4.532754683168605E-4</v>
      </c>
      <c r="S217" s="68">
        <v>0</v>
      </c>
      <c r="T217" s="68" t="s">
        <v>54</v>
      </c>
      <c r="U217" s="68" t="s">
        <v>55</v>
      </c>
      <c r="V217" s="68" t="s">
        <v>38</v>
      </c>
      <c r="W217" s="68" t="s">
        <v>35</v>
      </c>
      <c r="X217" s="68" t="s">
        <v>35</v>
      </c>
      <c r="Y217" s="68" t="s">
        <v>35</v>
      </c>
      <c r="Z217" s="68" t="b">
        <v>0</v>
      </c>
      <c r="AA217" s="68" t="s">
        <v>35</v>
      </c>
      <c r="AB217" s="68" t="s">
        <v>35</v>
      </c>
      <c r="AC217" s="68" t="s">
        <v>35</v>
      </c>
      <c r="AD217" s="68" t="s">
        <v>35</v>
      </c>
      <c r="AE217" s="68" t="s">
        <v>1945</v>
      </c>
      <c r="AF217" s="69">
        <v>44748.697222222225</v>
      </c>
      <c r="AG217" s="71"/>
      <c r="AH217" s="53" t="b">
        <f t="shared" si="5"/>
        <v>0</v>
      </c>
      <c r="AI217" s="56" t="s">
        <v>35</v>
      </c>
      <c r="AJ217" s="68"/>
      <c r="AK217" s="68"/>
      <c r="AL217" s="68"/>
      <c r="AM217" s="68"/>
      <c r="AN217" s="68"/>
    </row>
    <row r="218" spans="1:40" ht="16" x14ac:dyDescent="0.2">
      <c r="A218" s="68" t="s">
        <v>1963</v>
      </c>
      <c r="B218" s="68">
        <v>607</v>
      </c>
      <c r="C218" s="68" t="b">
        <v>0</v>
      </c>
      <c r="D218" s="68" t="b">
        <v>0</v>
      </c>
      <c r="E218" s="68" t="b">
        <v>0</v>
      </c>
      <c r="F218" s="68" t="b">
        <v>0</v>
      </c>
      <c r="G218" s="68" t="s">
        <v>31</v>
      </c>
      <c r="H218" s="68" t="s">
        <v>149</v>
      </c>
      <c r="I218" s="68" t="s">
        <v>1964</v>
      </c>
      <c r="J218" s="68" t="s">
        <v>35</v>
      </c>
      <c r="K218" s="68" t="s">
        <v>35</v>
      </c>
      <c r="L218" s="68" t="s">
        <v>35</v>
      </c>
      <c r="M218" s="68">
        <v>5</v>
      </c>
      <c r="N218" s="68">
        <v>15</v>
      </c>
      <c r="O218" s="69">
        <v>44748.702354120367</v>
      </c>
      <c r="P218" s="69">
        <v>44748.702575740739</v>
      </c>
      <c r="Q218" s="70">
        <v>2.2162037203088403E-4</v>
      </c>
      <c r="R218" s="70">
        <v>2.8960648342035711E-4</v>
      </c>
      <c r="S218" s="68">
        <v>0</v>
      </c>
      <c r="T218" s="68" t="s">
        <v>54</v>
      </c>
      <c r="U218" s="68" t="s">
        <v>55</v>
      </c>
      <c r="V218" s="68" t="s">
        <v>38</v>
      </c>
      <c r="W218" s="68" t="s">
        <v>35</v>
      </c>
      <c r="X218" s="68" t="s">
        <v>35</v>
      </c>
      <c r="Y218" s="68" t="s">
        <v>35</v>
      </c>
      <c r="Z218" s="68" t="b">
        <v>0</v>
      </c>
      <c r="AA218" s="68" t="s">
        <v>35</v>
      </c>
      <c r="AB218" s="68" t="s">
        <v>35</v>
      </c>
      <c r="AC218" s="68" t="s">
        <v>35</v>
      </c>
      <c r="AD218" s="68" t="s">
        <v>35</v>
      </c>
      <c r="AE218" s="68" t="s">
        <v>1945</v>
      </c>
      <c r="AF218" s="69">
        <v>44748.697222222225</v>
      </c>
      <c r="AG218" s="71"/>
      <c r="AH218" s="53" t="b">
        <f t="shared" si="5"/>
        <v>0</v>
      </c>
      <c r="AI218" s="56" t="s">
        <v>35</v>
      </c>
      <c r="AJ218" s="68"/>
      <c r="AK218" s="68"/>
      <c r="AL218" s="68"/>
      <c r="AM218" s="68"/>
      <c r="AN218" s="68"/>
    </row>
    <row r="219" spans="1:40" ht="16" x14ac:dyDescent="0.2">
      <c r="A219" s="2" t="s">
        <v>1970</v>
      </c>
      <c r="B219" s="2">
        <v>610</v>
      </c>
      <c r="C219" s="2" t="b">
        <v>0</v>
      </c>
      <c r="D219" s="2" t="b">
        <v>0</v>
      </c>
      <c r="E219" s="2" t="b">
        <v>0</v>
      </c>
      <c r="F219" s="2" t="b">
        <v>0</v>
      </c>
      <c r="G219" s="2" t="s">
        <v>31</v>
      </c>
      <c r="H219" s="2" t="s">
        <v>1971</v>
      </c>
      <c r="I219" s="2" t="s">
        <v>1972</v>
      </c>
      <c r="J219" s="2" t="s">
        <v>35</v>
      </c>
      <c r="K219" s="2" t="s">
        <v>35</v>
      </c>
      <c r="L219" s="2" t="s">
        <v>35</v>
      </c>
      <c r="M219" s="2">
        <v>5</v>
      </c>
      <c r="N219" s="2">
        <v>15</v>
      </c>
      <c r="O219" s="11">
        <v>44748.703879479166</v>
      </c>
      <c r="P219" s="11">
        <v>44748.704072106484</v>
      </c>
      <c r="Q219" s="27">
        <v>1.9262731802882627E-4</v>
      </c>
      <c r="R219" s="27">
        <v>3.6240740882931277E-4</v>
      </c>
      <c r="S219" s="2">
        <v>0</v>
      </c>
      <c r="T219" s="2" t="s">
        <v>54</v>
      </c>
      <c r="U219" s="2" t="s">
        <v>55</v>
      </c>
      <c r="V219" s="2" t="s">
        <v>38</v>
      </c>
      <c r="W219" s="2" t="s">
        <v>35</v>
      </c>
      <c r="X219" s="2" t="s">
        <v>35</v>
      </c>
      <c r="Y219" s="2" t="s">
        <v>35</v>
      </c>
      <c r="Z219" s="2" t="b">
        <v>0</v>
      </c>
      <c r="AA219" s="2" t="s">
        <v>35</v>
      </c>
      <c r="AB219" s="2" t="s">
        <v>35</v>
      </c>
      <c r="AC219" s="2" t="s">
        <v>35</v>
      </c>
      <c r="AD219" s="2" t="s">
        <v>35</v>
      </c>
      <c r="AE219" s="2" t="s">
        <v>1945</v>
      </c>
      <c r="AF219" s="11">
        <v>44748.697222222225</v>
      </c>
      <c r="AG219" s="53"/>
      <c r="AH219" s="53" t="b">
        <f t="shared" si="5"/>
        <v>0</v>
      </c>
      <c r="AI219" s="54" t="s">
        <v>10020</v>
      </c>
      <c r="AJ219" s="2"/>
      <c r="AK219" s="2"/>
      <c r="AL219" s="2"/>
      <c r="AM219" s="2"/>
      <c r="AN219" s="2"/>
    </row>
    <row r="220" spans="1:40" ht="16" x14ac:dyDescent="0.2">
      <c r="A220" s="2" t="s">
        <v>1973</v>
      </c>
      <c r="B220" s="2">
        <v>611</v>
      </c>
      <c r="C220" s="2" t="b">
        <v>0</v>
      </c>
      <c r="D220" s="2" t="b">
        <v>0</v>
      </c>
      <c r="E220" s="2" t="b">
        <v>0</v>
      </c>
      <c r="F220" s="2" t="b">
        <v>0</v>
      </c>
      <c r="G220" s="2" t="s">
        <v>31</v>
      </c>
      <c r="H220" s="2" t="s">
        <v>1974</v>
      </c>
      <c r="I220" s="2" t="s">
        <v>1975</v>
      </c>
      <c r="J220" s="2" t="s">
        <v>35</v>
      </c>
      <c r="K220" s="2" t="s">
        <v>35</v>
      </c>
      <c r="L220" s="2" t="s">
        <v>35</v>
      </c>
      <c r="M220" s="2">
        <v>3</v>
      </c>
      <c r="N220" s="2">
        <v>15</v>
      </c>
      <c r="O220" s="11">
        <v>44748.704209618052</v>
      </c>
      <c r="P220" s="11">
        <v>44748.704386168982</v>
      </c>
      <c r="Q220" s="27">
        <v>1.7655092960922047E-4</v>
      </c>
      <c r="R220" s="27">
        <v>3.1406249763676897E-4</v>
      </c>
      <c r="S220" s="2">
        <v>0</v>
      </c>
      <c r="T220" s="2" t="s">
        <v>54</v>
      </c>
      <c r="U220" s="2" t="s">
        <v>55</v>
      </c>
      <c r="V220" s="2" t="s">
        <v>38</v>
      </c>
      <c r="W220" s="2" t="s">
        <v>35</v>
      </c>
      <c r="X220" s="2" t="s">
        <v>35</v>
      </c>
      <c r="Y220" s="2" t="s">
        <v>35</v>
      </c>
      <c r="Z220" s="2" t="b">
        <v>0</v>
      </c>
      <c r="AA220" s="2" t="s">
        <v>35</v>
      </c>
      <c r="AB220" s="2" t="s">
        <v>35</v>
      </c>
      <c r="AC220" s="2" t="s">
        <v>35</v>
      </c>
      <c r="AD220" s="2" t="s">
        <v>35</v>
      </c>
      <c r="AE220" s="2" t="s">
        <v>1945</v>
      </c>
      <c r="AF220" s="11">
        <v>44748.697222222225</v>
      </c>
      <c r="AG220" s="53"/>
      <c r="AH220" s="53" t="b">
        <f t="shared" si="5"/>
        <v>0</v>
      </c>
      <c r="AI220" s="54" t="s">
        <v>10021</v>
      </c>
      <c r="AJ220" s="2"/>
      <c r="AK220" s="2"/>
      <c r="AL220" s="2"/>
      <c r="AM220" s="2"/>
      <c r="AN220" s="2"/>
    </row>
    <row r="221" spans="1:40" ht="16" x14ac:dyDescent="0.2">
      <c r="A221" s="2" t="s">
        <v>1976</v>
      </c>
      <c r="B221" s="2">
        <v>612</v>
      </c>
      <c r="C221" s="2" t="b">
        <v>0</v>
      </c>
      <c r="D221" s="2" t="b">
        <v>0</v>
      </c>
      <c r="E221" s="2" t="b">
        <v>0</v>
      </c>
      <c r="F221" s="2" t="b">
        <v>0</v>
      </c>
      <c r="G221" s="2" t="s">
        <v>31</v>
      </c>
      <c r="H221" s="2" t="s">
        <v>1977</v>
      </c>
      <c r="I221" s="2" t="s">
        <v>1978</v>
      </c>
      <c r="J221" s="2" t="s">
        <v>35</v>
      </c>
      <c r="K221" s="2" t="s">
        <v>35</v>
      </c>
      <c r="L221" s="2" t="s">
        <v>35</v>
      </c>
      <c r="M221" s="2">
        <v>4</v>
      </c>
      <c r="N221" s="2">
        <v>13</v>
      </c>
      <c r="O221" s="11">
        <v>44748.704751377314</v>
      </c>
      <c r="P221" s="11">
        <v>44748.704945879632</v>
      </c>
      <c r="Q221" s="27">
        <v>1.9450231775408611E-4</v>
      </c>
      <c r="R221" s="27">
        <v>5.5971065012272447E-4</v>
      </c>
      <c r="S221" s="2">
        <v>0</v>
      </c>
      <c r="T221" s="2" t="s">
        <v>54</v>
      </c>
      <c r="U221" s="2" t="s">
        <v>55</v>
      </c>
      <c r="V221" s="2" t="s">
        <v>38</v>
      </c>
      <c r="W221" s="2" t="s">
        <v>35</v>
      </c>
      <c r="X221" s="2" t="s">
        <v>35</v>
      </c>
      <c r="Y221" s="2" t="s">
        <v>35</v>
      </c>
      <c r="Z221" s="2" t="b">
        <v>0</v>
      </c>
      <c r="AA221" s="2" t="s">
        <v>35</v>
      </c>
      <c r="AB221" s="2" t="s">
        <v>35</v>
      </c>
      <c r="AC221" s="2" t="s">
        <v>35</v>
      </c>
      <c r="AD221" s="2" t="s">
        <v>35</v>
      </c>
      <c r="AE221" s="2" t="s">
        <v>1945</v>
      </c>
      <c r="AF221" s="11">
        <v>44748.697222222225</v>
      </c>
      <c r="AG221" s="53"/>
      <c r="AH221" s="53" t="b">
        <f t="shared" si="5"/>
        <v>0</v>
      </c>
      <c r="AI221" s="54" t="s">
        <v>10022</v>
      </c>
      <c r="AJ221" s="2"/>
      <c r="AK221" s="2"/>
      <c r="AL221" s="2"/>
      <c r="AM221" s="2"/>
      <c r="AN221" s="2"/>
    </row>
    <row r="222" spans="1:40" ht="16" x14ac:dyDescent="0.2">
      <c r="A222" s="68" t="s">
        <v>1993</v>
      </c>
      <c r="B222" s="68">
        <v>618</v>
      </c>
      <c r="C222" s="68" t="b">
        <v>0</v>
      </c>
      <c r="D222" s="68" t="b">
        <v>0</v>
      </c>
      <c r="E222" s="68" t="b">
        <v>0</v>
      </c>
      <c r="F222" s="68" t="b">
        <v>0</v>
      </c>
      <c r="G222" s="68" t="s">
        <v>31</v>
      </c>
      <c r="H222" s="68" t="s">
        <v>149</v>
      </c>
      <c r="I222" s="68" t="s">
        <v>1994</v>
      </c>
      <c r="J222" s="68" t="s">
        <v>35</v>
      </c>
      <c r="K222" s="68" t="s">
        <v>35</v>
      </c>
      <c r="L222" s="68" t="s">
        <v>35</v>
      </c>
      <c r="M222" s="68">
        <v>8</v>
      </c>
      <c r="N222" s="68">
        <v>14</v>
      </c>
      <c r="O222" s="69">
        <v>44748.710762615738</v>
      </c>
      <c r="P222" s="69">
        <v>44748.71092258102</v>
      </c>
      <c r="Q222" s="70">
        <v>1.5996528236428276E-4</v>
      </c>
      <c r="R222" s="70">
        <v>7.0527778007090092E-4</v>
      </c>
      <c r="S222" s="68">
        <v>0</v>
      </c>
      <c r="T222" s="68" t="s">
        <v>54</v>
      </c>
      <c r="U222" s="68" t="s">
        <v>55</v>
      </c>
      <c r="V222" s="68" t="s">
        <v>38</v>
      </c>
      <c r="W222" s="68" t="s">
        <v>35</v>
      </c>
      <c r="X222" s="68" t="s">
        <v>35</v>
      </c>
      <c r="Y222" s="68" t="s">
        <v>35</v>
      </c>
      <c r="Z222" s="68" t="b">
        <v>0</v>
      </c>
      <c r="AA222" s="68" t="s">
        <v>35</v>
      </c>
      <c r="AB222" s="68" t="s">
        <v>35</v>
      </c>
      <c r="AC222" s="68" t="s">
        <v>35</v>
      </c>
      <c r="AD222" s="68" t="s">
        <v>35</v>
      </c>
      <c r="AE222" s="68" t="s">
        <v>1945</v>
      </c>
      <c r="AF222" s="69">
        <v>44748.697222222225</v>
      </c>
      <c r="AG222" s="71"/>
      <c r="AH222" s="53" t="b">
        <f t="shared" si="5"/>
        <v>0</v>
      </c>
      <c r="AI222" s="56" t="s">
        <v>35</v>
      </c>
      <c r="AJ222" s="68"/>
      <c r="AK222" s="68"/>
      <c r="AL222" s="68"/>
      <c r="AM222" s="68"/>
      <c r="AN222" s="68"/>
    </row>
    <row r="223" spans="1:40" ht="16" x14ac:dyDescent="0.2">
      <c r="A223" s="2" t="s">
        <v>2089</v>
      </c>
      <c r="B223" s="2">
        <v>645</v>
      </c>
      <c r="C223" s="2" t="b">
        <v>0</v>
      </c>
      <c r="D223" s="2" t="b">
        <v>0</v>
      </c>
      <c r="E223" s="2" t="b">
        <v>0</v>
      </c>
      <c r="F223" s="2" t="b">
        <v>0</v>
      </c>
      <c r="G223" s="2" t="s">
        <v>31</v>
      </c>
      <c r="H223" s="2" t="s">
        <v>2090</v>
      </c>
      <c r="I223" s="2" t="s">
        <v>2091</v>
      </c>
      <c r="J223" s="2" t="s">
        <v>35</v>
      </c>
      <c r="K223" s="2" t="s">
        <v>35</v>
      </c>
      <c r="L223" s="2" t="s">
        <v>35</v>
      </c>
      <c r="M223" s="2">
        <v>52</v>
      </c>
      <c r="N223" s="2">
        <v>16</v>
      </c>
      <c r="O223" s="11">
        <v>44749.431440972221</v>
      </c>
      <c r="P223" s="11">
        <v>44749.432354976852</v>
      </c>
      <c r="Q223" s="27">
        <v>9.1400463134050369E-4</v>
      </c>
      <c r="R223" s="27">
        <v>9.1460648400243372E-4</v>
      </c>
      <c r="S223" s="2">
        <v>0</v>
      </c>
      <c r="T223" s="2" t="s">
        <v>54</v>
      </c>
      <c r="U223" s="2" t="s">
        <v>55</v>
      </c>
      <c r="V223" s="2" t="s">
        <v>38</v>
      </c>
      <c r="W223" s="2" t="s">
        <v>35</v>
      </c>
      <c r="X223" s="2" t="s">
        <v>35</v>
      </c>
      <c r="Y223" s="2" t="s">
        <v>35</v>
      </c>
      <c r="Z223" s="2" t="b">
        <v>0</v>
      </c>
      <c r="AA223" s="2" t="s">
        <v>35</v>
      </c>
      <c r="AB223" s="2" t="s">
        <v>35</v>
      </c>
      <c r="AC223" s="2" t="s">
        <v>35</v>
      </c>
      <c r="AD223" s="2" t="s">
        <v>35</v>
      </c>
      <c r="AE223" s="2" t="s">
        <v>2025</v>
      </c>
      <c r="AF223" s="11">
        <v>44749.40625</v>
      </c>
      <c r="AG223" s="53"/>
      <c r="AH223" s="53" t="b">
        <f t="shared" si="5"/>
        <v>0</v>
      </c>
      <c r="AI223" s="54" t="s">
        <v>10023</v>
      </c>
      <c r="AJ223" s="2"/>
      <c r="AK223" s="2"/>
      <c r="AL223" s="2"/>
      <c r="AM223" s="2"/>
      <c r="AN223" s="2"/>
    </row>
    <row r="224" spans="1:40" ht="16" x14ac:dyDescent="0.2">
      <c r="A224" s="2" t="s">
        <v>2096</v>
      </c>
      <c r="B224" s="2">
        <v>647</v>
      </c>
      <c r="C224" s="2" t="b">
        <v>0</v>
      </c>
      <c r="D224" s="2" t="b">
        <v>0</v>
      </c>
      <c r="E224" s="2" t="b">
        <v>0</v>
      </c>
      <c r="F224" s="2" t="b">
        <v>0</v>
      </c>
      <c r="G224" s="2" t="s">
        <v>31</v>
      </c>
      <c r="H224" s="2" t="s">
        <v>2097</v>
      </c>
      <c r="I224" s="2" t="s">
        <v>2098</v>
      </c>
      <c r="J224" s="2" t="s">
        <v>35</v>
      </c>
      <c r="K224" s="2" t="s">
        <v>35</v>
      </c>
      <c r="L224" s="2" t="s">
        <v>35</v>
      </c>
      <c r="M224" s="2">
        <v>38</v>
      </c>
      <c r="N224" s="2">
        <v>16</v>
      </c>
      <c r="O224" s="11">
        <v>44749.433746134258</v>
      </c>
      <c r="P224" s="11">
        <v>44749.434269282407</v>
      </c>
      <c r="Q224" s="27">
        <v>5.2314814820419997E-4</v>
      </c>
      <c r="R224" s="27">
        <v>5.9399305609986186E-4</v>
      </c>
      <c r="S224" s="2">
        <v>0</v>
      </c>
      <c r="T224" s="2" t="s">
        <v>54</v>
      </c>
      <c r="U224" s="2" t="s">
        <v>55</v>
      </c>
      <c r="V224" s="2" t="s">
        <v>38</v>
      </c>
      <c r="W224" s="2" t="s">
        <v>35</v>
      </c>
      <c r="X224" s="2" t="s">
        <v>35</v>
      </c>
      <c r="Y224" s="2" t="s">
        <v>35</v>
      </c>
      <c r="Z224" s="2" t="b">
        <v>0</v>
      </c>
      <c r="AA224" s="2" t="s">
        <v>35</v>
      </c>
      <c r="AB224" s="2" t="s">
        <v>35</v>
      </c>
      <c r="AC224" s="2" t="s">
        <v>35</v>
      </c>
      <c r="AD224" s="2" t="s">
        <v>35</v>
      </c>
      <c r="AE224" s="2" t="s">
        <v>2025</v>
      </c>
      <c r="AF224" s="11">
        <v>44749.40625</v>
      </c>
      <c r="AG224" s="53"/>
      <c r="AH224" s="53" t="b">
        <f t="shared" si="5"/>
        <v>0</v>
      </c>
      <c r="AI224" s="54" t="s">
        <v>9586</v>
      </c>
      <c r="AJ224" s="2"/>
      <c r="AK224" s="2"/>
      <c r="AL224" s="2"/>
      <c r="AM224" s="2"/>
      <c r="AN224" s="2"/>
    </row>
    <row r="225" spans="1:40" ht="16" x14ac:dyDescent="0.2">
      <c r="A225" s="2" t="s">
        <v>2103</v>
      </c>
      <c r="B225" s="2">
        <v>649</v>
      </c>
      <c r="C225" s="2" t="b">
        <v>0</v>
      </c>
      <c r="D225" s="2" t="b">
        <v>0</v>
      </c>
      <c r="E225" s="2" t="b">
        <v>0</v>
      </c>
      <c r="F225" s="2" t="b">
        <v>0</v>
      </c>
      <c r="G225" s="2" t="s">
        <v>31</v>
      </c>
      <c r="H225" s="2" t="s">
        <v>2104</v>
      </c>
      <c r="I225" s="2" t="s">
        <v>2105</v>
      </c>
      <c r="J225" s="2" t="s">
        <v>35</v>
      </c>
      <c r="K225" s="2" t="s">
        <v>35</v>
      </c>
      <c r="L225" s="2" t="s">
        <v>35</v>
      </c>
      <c r="M225" s="2">
        <v>16</v>
      </c>
      <c r="N225" s="2">
        <v>15</v>
      </c>
      <c r="O225" s="11">
        <v>44749.436202523146</v>
      </c>
      <c r="P225" s="11">
        <v>44749.436585277777</v>
      </c>
      <c r="Q225" s="27">
        <v>3.8275463157333434E-4</v>
      </c>
      <c r="R225" s="27">
        <v>1.1085416626883671E-3</v>
      </c>
      <c r="S225" s="2">
        <v>0</v>
      </c>
      <c r="T225" s="2" t="s">
        <v>54</v>
      </c>
      <c r="U225" s="2" t="s">
        <v>55</v>
      </c>
      <c r="V225" s="2" t="s">
        <v>38</v>
      </c>
      <c r="W225" s="2" t="s">
        <v>35</v>
      </c>
      <c r="X225" s="2" t="s">
        <v>35</v>
      </c>
      <c r="Y225" s="2" t="s">
        <v>35</v>
      </c>
      <c r="Z225" s="2" t="b">
        <v>0</v>
      </c>
      <c r="AA225" s="2" t="s">
        <v>35</v>
      </c>
      <c r="AB225" s="2" t="s">
        <v>35</v>
      </c>
      <c r="AC225" s="2" t="s">
        <v>35</v>
      </c>
      <c r="AD225" s="2" t="s">
        <v>35</v>
      </c>
      <c r="AE225" s="2" t="s">
        <v>2025</v>
      </c>
      <c r="AF225" s="11">
        <v>44749.40625</v>
      </c>
      <c r="AG225" s="53"/>
      <c r="AH225" s="53" t="b">
        <f t="shared" si="5"/>
        <v>0</v>
      </c>
      <c r="AI225" s="54" t="s">
        <v>10024</v>
      </c>
      <c r="AJ225" s="2" t="s">
        <v>10025</v>
      </c>
      <c r="AK225" s="2" t="s">
        <v>10026</v>
      </c>
      <c r="AL225" s="2"/>
      <c r="AM225" s="2"/>
      <c r="AN225" s="2"/>
    </row>
    <row r="226" spans="1:40" ht="16" x14ac:dyDescent="0.2">
      <c r="A226" s="2" t="s">
        <v>2109</v>
      </c>
      <c r="B226" s="2">
        <v>651</v>
      </c>
      <c r="C226" s="2" t="b">
        <v>0</v>
      </c>
      <c r="D226" s="2" t="b">
        <v>0</v>
      </c>
      <c r="E226" s="2" t="b">
        <v>0</v>
      </c>
      <c r="F226" s="2" t="b">
        <v>0</v>
      </c>
      <c r="G226" s="2" t="s">
        <v>31</v>
      </c>
      <c r="H226" s="2" t="s">
        <v>2110</v>
      </c>
      <c r="I226" s="2" t="s">
        <v>2111</v>
      </c>
      <c r="J226" s="2" t="s">
        <v>35</v>
      </c>
      <c r="K226" s="2" t="s">
        <v>35</v>
      </c>
      <c r="L226" s="2" t="s">
        <v>35</v>
      </c>
      <c r="M226" s="2">
        <v>3</v>
      </c>
      <c r="N226" s="2">
        <v>15</v>
      </c>
      <c r="O226" s="11">
        <v>44749.43708822917</v>
      </c>
      <c r="P226" s="11">
        <v>44749.437202511574</v>
      </c>
      <c r="Q226" s="27">
        <v>1.142824039561674E-4</v>
      </c>
      <c r="R226" s="27">
        <v>1.6377314750570804E-4</v>
      </c>
      <c r="S226" s="2">
        <v>0</v>
      </c>
      <c r="T226" s="2" t="s">
        <v>54</v>
      </c>
      <c r="U226" s="2" t="s">
        <v>55</v>
      </c>
      <c r="V226" s="2" t="s">
        <v>38</v>
      </c>
      <c r="W226" s="2" t="s">
        <v>35</v>
      </c>
      <c r="X226" s="2" t="s">
        <v>35</v>
      </c>
      <c r="Y226" s="2" t="s">
        <v>35</v>
      </c>
      <c r="Z226" s="2" t="b">
        <v>0</v>
      </c>
      <c r="AA226" s="2" t="s">
        <v>35</v>
      </c>
      <c r="AB226" s="2" t="s">
        <v>35</v>
      </c>
      <c r="AC226" s="2" t="s">
        <v>35</v>
      </c>
      <c r="AD226" s="2" t="s">
        <v>35</v>
      </c>
      <c r="AE226" s="2" t="s">
        <v>2025</v>
      </c>
      <c r="AF226" s="11">
        <v>44749.40625</v>
      </c>
      <c r="AG226" s="53"/>
      <c r="AH226" s="53" t="b">
        <f t="shared" si="5"/>
        <v>0</v>
      </c>
      <c r="AI226" s="54" t="s">
        <v>10027</v>
      </c>
      <c r="AJ226" s="2"/>
      <c r="AK226" s="2"/>
      <c r="AL226" s="2"/>
      <c r="AM226" s="2"/>
      <c r="AN226" s="2"/>
    </row>
    <row r="227" spans="1:40" ht="16" x14ac:dyDescent="0.2">
      <c r="A227" s="2" t="s">
        <v>2122</v>
      </c>
      <c r="B227" s="2">
        <v>655</v>
      </c>
      <c r="C227" s="2" t="b">
        <v>0</v>
      </c>
      <c r="D227" s="2" t="b">
        <v>0</v>
      </c>
      <c r="E227" s="2" t="b">
        <v>0</v>
      </c>
      <c r="F227" s="2" t="b">
        <v>0</v>
      </c>
      <c r="G227" s="2" t="s">
        <v>31</v>
      </c>
      <c r="H227" s="2" t="s">
        <v>2123</v>
      </c>
      <c r="I227" s="2" t="s">
        <v>2124</v>
      </c>
      <c r="J227" s="2" t="s">
        <v>35</v>
      </c>
      <c r="K227" s="2" t="s">
        <v>35</v>
      </c>
      <c r="L227" s="2" t="s">
        <v>35</v>
      </c>
      <c r="M227" s="2">
        <v>42</v>
      </c>
      <c r="N227" s="2">
        <v>16</v>
      </c>
      <c r="O227" s="11">
        <v>44749.442169421294</v>
      </c>
      <c r="P227" s="11">
        <v>44749.442965358794</v>
      </c>
      <c r="Q227" s="27">
        <v>7.9593749978812411E-4</v>
      </c>
      <c r="R227" s="27">
        <v>1.001331016595941E-3</v>
      </c>
      <c r="S227" s="2">
        <v>0</v>
      </c>
      <c r="T227" s="2" t="s">
        <v>54</v>
      </c>
      <c r="U227" s="2" t="s">
        <v>55</v>
      </c>
      <c r="V227" s="2" t="s">
        <v>38</v>
      </c>
      <c r="W227" s="2" t="s">
        <v>35</v>
      </c>
      <c r="X227" s="2" t="s">
        <v>35</v>
      </c>
      <c r="Y227" s="2" t="s">
        <v>35</v>
      </c>
      <c r="Z227" s="2" t="b">
        <v>0</v>
      </c>
      <c r="AA227" s="2" t="s">
        <v>35</v>
      </c>
      <c r="AB227" s="2" t="s">
        <v>35</v>
      </c>
      <c r="AC227" s="2" t="s">
        <v>35</v>
      </c>
      <c r="AD227" s="2" t="s">
        <v>35</v>
      </c>
      <c r="AE227" s="2" t="s">
        <v>2025</v>
      </c>
      <c r="AF227" s="11">
        <v>44749.40625</v>
      </c>
      <c r="AG227" s="53"/>
      <c r="AH227" s="53" t="b">
        <f t="shared" ref="AH227:AH290" si="6">IF(Q227&gt;TIME(0,1,19),"TRUE")</f>
        <v>0</v>
      </c>
      <c r="AI227" s="54" t="s">
        <v>10028</v>
      </c>
      <c r="AJ227" s="2"/>
      <c r="AK227" s="2"/>
      <c r="AL227" s="2"/>
      <c r="AM227" s="2"/>
      <c r="AN227" s="2"/>
    </row>
    <row r="228" spans="1:40" ht="16" x14ac:dyDescent="0.2">
      <c r="A228" s="2" t="s">
        <v>2128</v>
      </c>
      <c r="B228" s="2">
        <v>657</v>
      </c>
      <c r="C228" s="2" t="b">
        <v>0</v>
      </c>
      <c r="D228" s="2" t="b">
        <v>0</v>
      </c>
      <c r="E228" s="2" t="b">
        <v>0</v>
      </c>
      <c r="F228" s="2" t="b">
        <v>0</v>
      </c>
      <c r="G228" s="2" t="s">
        <v>31</v>
      </c>
      <c r="H228" s="2" t="s">
        <v>2129</v>
      </c>
      <c r="I228" s="2" t="s">
        <v>2130</v>
      </c>
      <c r="J228" s="2" t="s">
        <v>35</v>
      </c>
      <c r="K228" s="2" t="s">
        <v>35</v>
      </c>
      <c r="L228" s="2" t="s">
        <v>35</v>
      </c>
      <c r="M228" s="2">
        <v>17</v>
      </c>
      <c r="N228" s="2">
        <v>15</v>
      </c>
      <c r="O228" s="11">
        <v>44749.44468346065</v>
      </c>
      <c r="P228" s="11">
        <v>44749.445185358796</v>
      </c>
      <c r="Q228" s="27">
        <v>5.0189814646728337E-4</v>
      </c>
      <c r="R228" s="27">
        <v>1.2977662045159377E-3</v>
      </c>
      <c r="S228" s="2">
        <v>0</v>
      </c>
      <c r="T228" s="2" t="s">
        <v>54</v>
      </c>
      <c r="U228" s="2" t="s">
        <v>55</v>
      </c>
      <c r="V228" s="2" t="s">
        <v>38</v>
      </c>
      <c r="W228" s="2" t="s">
        <v>35</v>
      </c>
      <c r="X228" s="2" t="s">
        <v>35</v>
      </c>
      <c r="Y228" s="2" t="s">
        <v>35</v>
      </c>
      <c r="Z228" s="2" t="b">
        <v>0</v>
      </c>
      <c r="AA228" s="2" t="s">
        <v>35</v>
      </c>
      <c r="AB228" s="2" t="s">
        <v>35</v>
      </c>
      <c r="AC228" s="2" t="s">
        <v>35</v>
      </c>
      <c r="AD228" s="2" t="s">
        <v>35</v>
      </c>
      <c r="AE228" s="2" t="s">
        <v>2025</v>
      </c>
      <c r="AF228" s="11">
        <v>44749.40625</v>
      </c>
      <c r="AG228" s="53"/>
      <c r="AH228" s="53" t="b">
        <f t="shared" si="6"/>
        <v>0</v>
      </c>
      <c r="AI228" s="54" t="s">
        <v>10029</v>
      </c>
      <c r="AJ228" s="2"/>
      <c r="AK228" s="2"/>
      <c r="AL228" s="2"/>
      <c r="AM228" s="2"/>
      <c r="AN228" s="2"/>
    </row>
    <row r="229" spans="1:40" ht="16" x14ac:dyDescent="0.2">
      <c r="A229" s="2" t="s">
        <v>2135</v>
      </c>
      <c r="B229" s="2">
        <v>659</v>
      </c>
      <c r="C229" s="2" t="b">
        <v>0</v>
      </c>
      <c r="D229" s="2" t="b">
        <v>0</v>
      </c>
      <c r="E229" s="2" t="b">
        <v>0</v>
      </c>
      <c r="F229" s="2" t="b">
        <v>0</v>
      </c>
      <c r="G229" s="2" t="s">
        <v>31</v>
      </c>
      <c r="H229" s="2" t="s">
        <v>2136</v>
      </c>
      <c r="I229" s="2" t="s">
        <v>2137</v>
      </c>
      <c r="J229" s="2" t="s">
        <v>35</v>
      </c>
      <c r="K229" s="2" t="s">
        <v>35</v>
      </c>
      <c r="L229" s="2" t="s">
        <v>35</v>
      </c>
      <c r="M229" s="2">
        <v>15</v>
      </c>
      <c r="N229" s="2">
        <v>15</v>
      </c>
      <c r="O229" s="11">
        <v>44749.445967858795</v>
      </c>
      <c r="P229" s="11">
        <v>44749.446345243057</v>
      </c>
      <c r="Q229" s="27">
        <v>3.7738426181022078E-4</v>
      </c>
      <c r="R229" s="27">
        <v>4.6400463179452345E-4</v>
      </c>
      <c r="S229" s="2">
        <v>0</v>
      </c>
      <c r="T229" s="2" t="s">
        <v>54</v>
      </c>
      <c r="U229" s="2" t="s">
        <v>55</v>
      </c>
      <c r="V229" s="2" t="s">
        <v>38</v>
      </c>
      <c r="W229" s="2" t="s">
        <v>35</v>
      </c>
      <c r="X229" s="2" t="s">
        <v>35</v>
      </c>
      <c r="Y229" s="2" t="s">
        <v>35</v>
      </c>
      <c r="Z229" s="2" t="b">
        <v>0</v>
      </c>
      <c r="AA229" s="2" t="s">
        <v>35</v>
      </c>
      <c r="AB229" s="2" t="s">
        <v>35</v>
      </c>
      <c r="AC229" s="2" t="s">
        <v>35</v>
      </c>
      <c r="AD229" s="2" t="s">
        <v>35</v>
      </c>
      <c r="AE229" s="2" t="s">
        <v>2025</v>
      </c>
      <c r="AF229" s="11">
        <v>44749.40625</v>
      </c>
      <c r="AG229" s="53"/>
      <c r="AH229" s="53" t="b">
        <f t="shared" si="6"/>
        <v>0</v>
      </c>
      <c r="AI229" s="54" t="s">
        <v>10030</v>
      </c>
      <c r="AJ229" s="2"/>
      <c r="AK229" s="2"/>
      <c r="AL229" s="2"/>
      <c r="AM229" s="2"/>
      <c r="AN229" s="2"/>
    </row>
    <row r="230" spans="1:40" ht="16" x14ac:dyDescent="0.2">
      <c r="A230" s="2" t="s">
        <v>2141</v>
      </c>
      <c r="B230" s="2">
        <v>661</v>
      </c>
      <c r="C230" s="2" t="b">
        <v>0</v>
      </c>
      <c r="D230" s="2" t="b">
        <v>0</v>
      </c>
      <c r="E230" s="2" t="b">
        <v>0</v>
      </c>
      <c r="F230" s="2" t="b">
        <v>0</v>
      </c>
      <c r="G230" s="2" t="s">
        <v>31</v>
      </c>
      <c r="H230" s="2" t="s">
        <v>2142</v>
      </c>
      <c r="I230" s="2" t="s">
        <v>2143</v>
      </c>
      <c r="J230" s="2" t="s">
        <v>35</v>
      </c>
      <c r="K230" s="2" t="s">
        <v>35</v>
      </c>
      <c r="L230" s="2" t="s">
        <v>35</v>
      </c>
      <c r="M230" s="2">
        <v>22</v>
      </c>
      <c r="N230" s="2">
        <v>17</v>
      </c>
      <c r="O230" s="11">
        <v>44749.449996631942</v>
      </c>
      <c r="P230" s="11">
        <v>44749.450584259263</v>
      </c>
      <c r="Q230" s="27">
        <v>5.8762732078321278E-4</v>
      </c>
      <c r="R230" s="27">
        <v>7.883333382778801E-4</v>
      </c>
      <c r="S230" s="2">
        <v>0</v>
      </c>
      <c r="T230" s="2" t="s">
        <v>54</v>
      </c>
      <c r="U230" s="2" t="s">
        <v>55</v>
      </c>
      <c r="V230" s="2" t="s">
        <v>38</v>
      </c>
      <c r="W230" s="2" t="s">
        <v>35</v>
      </c>
      <c r="X230" s="2" t="s">
        <v>35</v>
      </c>
      <c r="Y230" s="2" t="s">
        <v>35</v>
      </c>
      <c r="Z230" s="2" t="b">
        <v>0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2" t="s">
        <v>2025</v>
      </c>
      <c r="AF230" s="11">
        <v>44749.40625</v>
      </c>
      <c r="AG230" s="53"/>
      <c r="AH230" s="53" t="b">
        <f t="shared" si="6"/>
        <v>0</v>
      </c>
      <c r="AI230" s="54" t="s">
        <v>10031</v>
      </c>
      <c r="AJ230" s="2"/>
      <c r="AK230" s="2"/>
      <c r="AL230" s="2"/>
      <c r="AM230" s="2"/>
      <c r="AN230" s="2"/>
    </row>
    <row r="231" spans="1:40" ht="16" x14ac:dyDescent="0.2">
      <c r="A231" s="2" t="s">
        <v>2154</v>
      </c>
      <c r="B231" s="2">
        <v>665</v>
      </c>
      <c r="C231" s="2" t="b">
        <v>0</v>
      </c>
      <c r="D231" s="2" t="b">
        <v>0</v>
      </c>
      <c r="E231" s="2" t="b">
        <v>0</v>
      </c>
      <c r="F231" s="2" t="b">
        <v>0</v>
      </c>
      <c r="G231" s="2" t="s">
        <v>31</v>
      </c>
      <c r="H231" s="2" t="s">
        <v>2155</v>
      </c>
      <c r="I231" s="2" t="s">
        <v>2156</v>
      </c>
      <c r="J231" s="2" t="s">
        <v>35</v>
      </c>
      <c r="K231" s="2" t="s">
        <v>35</v>
      </c>
      <c r="L231" s="2" t="s">
        <v>35</v>
      </c>
      <c r="M231" s="2">
        <v>16</v>
      </c>
      <c r="N231" s="2">
        <v>16</v>
      </c>
      <c r="O231" s="11">
        <v>44749.4528091088</v>
      </c>
      <c r="P231" s="11">
        <v>44749.45328037037</v>
      </c>
      <c r="Q231" s="27">
        <v>4.712615700555034E-4</v>
      </c>
      <c r="R231" s="27">
        <v>5.9836805303348228E-4</v>
      </c>
      <c r="S231" s="2">
        <v>0</v>
      </c>
      <c r="T231" s="2" t="s">
        <v>54</v>
      </c>
      <c r="U231" s="2" t="s">
        <v>55</v>
      </c>
      <c r="V231" s="2" t="s">
        <v>38</v>
      </c>
      <c r="W231" s="2" t="s">
        <v>35</v>
      </c>
      <c r="X231" s="2" t="s">
        <v>35</v>
      </c>
      <c r="Y231" s="2" t="s">
        <v>35</v>
      </c>
      <c r="Z231" s="2" t="b">
        <v>0</v>
      </c>
      <c r="AA231" s="2" t="s">
        <v>35</v>
      </c>
      <c r="AB231" s="2" t="s">
        <v>35</v>
      </c>
      <c r="AC231" s="2" t="s">
        <v>35</v>
      </c>
      <c r="AD231" s="2" t="s">
        <v>35</v>
      </c>
      <c r="AE231" s="2" t="s">
        <v>2025</v>
      </c>
      <c r="AF231" s="11">
        <v>44749.40625</v>
      </c>
      <c r="AG231" s="53"/>
      <c r="AH231" s="53" t="b">
        <f t="shared" si="6"/>
        <v>0</v>
      </c>
      <c r="AI231" s="54" t="s">
        <v>10032</v>
      </c>
      <c r="AJ231" s="2"/>
      <c r="AK231" s="2"/>
      <c r="AL231" s="2"/>
      <c r="AM231" s="2"/>
      <c r="AN231" s="2"/>
    </row>
    <row r="232" spans="1:40" ht="16" x14ac:dyDescent="0.2">
      <c r="A232" s="2" t="s">
        <v>2161</v>
      </c>
      <c r="B232" s="2">
        <v>667</v>
      </c>
      <c r="C232" s="2" t="b">
        <v>0</v>
      </c>
      <c r="D232" s="2" t="b">
        <v>0</v>
      </c>
      <c r="E232" s="2" t="b">
        <v>0</v>
      </c>
      <c r="F232" s="2" t="b">
        <v>0</v>
      </c>
      <c r="G232" s="2" t="s">
        <v>31</v>
      </c>
      <c r="H232" s="2" t="s">
        <v>2162</v>
      </c>
      <c r="I232" s="2" t="s">
        <v>2163</v>
      </c>
      <c r="J232" s="2" t="s">
        <v>1658</v>
      </c>
      <c r="K232" s="2" t="s">
        <v>35</v>
      </c>
      <c r="L232" s="2" t="s">
        <v>35</v>
      </c>
      <c r="M232" s="2">
        <v>7</v>
      </c>
      <c r="N232" s="2">
        <v>6</v>
      </c>
      <c r="O232" s="11">
        <v>44749.454844409724</v>
      </c>
      <c r="P232" s="11">
        <v>44749.455204456019</v>
      </c>
      <c r="Q232" s="27">
        <v>3.6004629509989172E-4</v>
      </c>
      <c r="R232" s="27">
        <v>5.4140046268003061E-4</v>
      </c>
      <c r="S232" s="2">
        <v>0</v>
      </c>
      <c r="T232" s="2" t="s">
        <v>54</v>
      </c>
      <c r="U232" s="2" t="s">
        <v>55</v>
      </c>
      <c r="V232" s="2" t="s">
        <v>38</v>
      </c>
      <c r="W232" s="2" t="s">
        <v>35</v>
      </c>
      <c r="X232" s="2" t="s">
        <v>35</v>
      </c>
      <c r="Y232" s="2" t="s">
        <v>35</v>
      </c>
      <c r="Z232" s="2" t="b">
        <v>1</v>
      </c>
      <c r="AA232" s="2" t="s">
        <v>35</v>
      </c>
      <c r="AB232" s="2" t="s">
        <v>35</v>
      </c>
      <c r="AC232" s="2" t="s">
        <v>35</v>
      </c>
      <c r="AD232" s="2" t="s">
        <v>35</v>
      </c>
      <c r="AE232" s="2" t="s">
        <v>2025</v>
      </c>
      <c r="AF232" s="11">
        <v>44749.40625</v>
      </c>
      <c r="AG232" s="53"/>
      <c r="AH232" s="53" t="b">
        <f t="shared" si="6"/>
        <v>0</v>
      </c>
      <c r="AI232" s="54" t="s">
        <v>10033</v>
      </c>
      <c r="AJ232" s="2"/>
      <c r="AK232" s="2"/>
      <c r="AL232" s="2"/>
      <c r="AM232" s="2"/>
      <c r="AN232" s="2"/>
    </row>
    <row r="233" spans="1:40" ht="16" x14ac:dyDescent="0.2">
      <c r="A233" s="2" t="s">
        <v>2175</v>
      </c>
      <c r="B233" s="2">
        <v>671</v>
      </c>
      <c r="C233" s="2" t="b">
        <v>0</v>
      </c>
      <c r="D233" s="2" t="b">
        <v>0</v>
      </c>
      <c r="E233" s="2" t="b">
        <v>0</v>
      </c>
      <c r="F233" s="2" t="b">
        <v>0</v>
      </c>
      <c r="G233" s="2" t="s">
        <v>31</v>
      </c>
      <c r="H233" s="2" t="s">
        <v>2176</v>
      </c>
      <c r="I233" s="2" t="s">
        <v>2177</v>
      </c>
      <c r="J233" s="2" t="s">
        <v>35</v>
      </c>
      <c r="K233" s="2" t="s">
        <v>35</v>
      </c>
      <c r="L233" s="2" t="s">
        <v>35</v>
      </c>
      <c r="M233" s="2">
        <v>7</v>
      </c>
      <c r="N233" s="2">
        <v>17</v>
      </c>
      <c r="O233" s="11">
        <v>44749.458083113423</v>
      </c>
      <c r="P233" s="11">
        <v>44749.458440358794</v>
      </c>
      <c r="Q233" s="27">
        <v>3.5724537156056613E-4</v>
      </c>
      <c r="R233" s="27">
        <v>4.5425925782183185E-4</v>
      </c>
      <c r="S233" s="2">
        <v>0</v>
      </c>
      <c r="T233" s="2" t="s">
        <v>54</v>
      </c>
      <c r="U233" s="2" t="s">
        <v>55</v>
      </c>
      <c r="V233" s="2" t="s">
        <v>38</v>
      </c>
      <c r="W233" s="2" t="s">
        <v>35</v>
      </c>
      <c r="X233" s="2" t="s">
        <v>35</v>
      </c>
      <c r="Y233" s="2" t="s">
        <v>35</v>
      </c>
      <c r="Z233" s="2" t="b">
        <v>0</v>
      </c>
      <c r="AA233" s="2" t="s">
        <v>35</v>
      </c>
      <c r="AB233" s="2" t="s">
        <v>35</v>
      </c>
      <c r="AC233" s="2" t="s">
        <v>35</v>
      </c>
      <c r="AD233" s="2" t="s">
        <v>35</v>
      </c>
      <c r="AE233" s="2" t="s">
        <v>2025</v>
      </c>
      <c r="AF233" s="11">
        <v>44749.40625</v>
      </c>
      <c r="AG233" s="53"/>
      <c r="AH233" s="53" t="b">
        <f t="shared" si="6"/>
        <v>0</v>
      </c>
      <c r="AI233" s="54" t="s">
        <v>10034</v>
      </c>
      <c r="AJ233" s="2" t="s">
        <v>10035</v>
      </c>
      <c r="AK233" s="2" t="s">
        <v>10036</v>
      </c>
      <c r="AL233" s="2"/>
      <c r="AM233" s="2"/>
      <c r="AN233" s="2"/>
    </row>
    <row r="234" spans="1:40" ht="16" x14ac:dyDescent="0.2">
      <c r="A234" s="2" t="s">
        <v>2190</v>
      </c>
      <c r="B234" s="2">
        <v>676</v>
      </c>
      <c r="C234" s="2" t="b">
        <v>0</v>
      </c>
      <c r="D234" s="2" t="b">
        <v>0</v>
      </c>
      <c r="E234" s="2" t="b">
        <v>0</v>
      </c>
      <c r="F234" s="2" t="b">
        <v>0</v>
      </c>
      <c r="G234" s="2" t="s">
        <v>31</v>
      </c>
      <c r="H234" s="2" t="s">
        <v>2191</v>
      </c>
      <c r="I234" s="2" t="s">
        <v>2192</v>
      </c>
      <c r="J234" s="2" t="s">
        <v>35</v>
      </c>
      <c r="K234" s="2" t="s">
        <v>35</v>
      </c>
      <c r="L234" s="2" t="s">
        <v>35</v>
      </c>
      <c r="M234" s="2">
        <v>11</v>
      </c>
      <c r="N234" s="2">
        <v>15</v>
      </c>
      <c r="O234" s="11">
        <v>44749.461103182868</v>
      </c>
      <c r="P234" s="11">
        <v>44749.461617118053</v>
      </c>
      <c r="Q234" s="27">
        <v>5.1393518515396863E-4</v>
      </c>
      <c r="R234" s="27">
        <v>5.5368055473081768E-4</v>
      </c>
      <c r="S234" s="2">
        <v>0</v>
      </c>
      <c r="T234" s="2" t="s">
        <v>54</v>
      </c>
      <c r="U234" s="2" t="s">
        <v>55</v>
      </c>
      <c r="V234" s="2" t="s">
        <v>38</v>
      </c>
      <c r="W234" s="2" t="s">
        <v>35</v>
      </c>
      <c r="X234" s="2" t="s">
        <v>35</v>
      </c>
      <c r="Y234" s="2" t="s">
        <v>35</v>
      </c>
      <c r="Z234" s="2" t="b">
        <v>0</v>
      </c>
      <c r="AA234" s="2" t="s">
        <v>35</v>
      </c>
      <c r="AB234" s="2" t="s">
        <v>35</v>
      </c>
      <c r="AC234" s="2" t="s">
        <v>35</v>
      </c>
      <c r="AD234" s="2" t="s">
        <v>35</v>
      </c>
      <c r="AE234" s="2" t="s">
        <v>2025</v>
      </c>
      <c r="AF234" s="11">
        <v>44749.40625</v>
      </c>
      <c r="AG234" s="53"/>
      <c r="AH234" s="53" t="b">
        <f t="shared" si="6"/>
        <v>0</v>
      </c>
      <c r="AI234" s="54" t="s">
        <v>10037</v>
      </c>
      <c r="AJ234" s="2"/>
      <c r="AK234" s="2"/>
      <c r="AL234" s="2"/>
      <c r="AM234" s="2"/>
      <c r="AN234" s="2"/>
    </row>
    <row r="235" spans="1:40" ht="16" x14ac:dyDescent="0.2">
      <c r="A235" s="2" t="s">
        <v>2218</v>
      </c>
      <c r="B235" s="2">
        <v>685</v>
      </c>
      <c r="C235" s="2" t="b">
        <v>0</v>
      </c>
      <c r="D235" s="2" t="b">
        <v>0</v>
      </c>
      <c r="E235" s="2" t="b">
        <v>0</v>
      </c>
      <c r="F235" s="2" t="b">
        <v>0</v>
      </c>
      <c r="G235" s="2" t="s">
        <v>31</v>
      </c>
      <c r="H235" s="2" t="s">
        <v>2219</v>
      </c>
      <c r="I235" s="2" t="s">
        <v>2220</v>
      </c>
      <c r="J235" s="2" t="s">
        <v>35</v>
      </c>
      <c r="K235" s="2" t="s">
        <v>35</v>
      </c>
      <c r="L235" s="2" t="s">
        <v>35</v>
      </c>
      <c r="M235" s="2">
        <v>10</v>
      </c>
      <c r="N235" s="2">
        <v>19</v>
      </c>
      <c r="O235" s="11">
        <v>44749.467897893519</v>
      </c>
      <c r="P235" s="11">
        <v>44749.46863048611</v>
      </c>
      <c r="Q235" s="27">
        <v>7.3259259079350159E-4</v>
      </c>
      <c r="R235" s="27">
        <v>1.0510300926398486E-3</v>
      </c>
      <c r="S235" s="2">
        <v>0</v>
      </c>
      <c r="T235" s="2" t="s">
        <v>54</v>
      </c>
      <c r="U235" s="2" t="s">
        <v>55</v>
      </c>
      <c r="V235" s="2" t="s">
        <v>38</v>
      </c>
      <c r="W235" s="2" t="s">
        <v>35</v>
      </c>
      <c r="X235" s="2" t="s">
        <v>35</v>
      </c>
      <c r="Y235" s="2" t="s">
        <v>35</v>
      </c>
      <c r="Z235" s="2" t="b">
        <v>0</v>
      </c>
      <c r="AA235" s="2" t="s">
        <v>35</v>
      </c>
      <c r="AB235" s="2" t="s">
        <v>35</v>
      </c>
      <c r="AC235" s="2" t="s">
        <v>35</v>
      </c>
      <c r="AD235" s="2" t="s">
        <v>35</v>
      </c>
      <c r="AE235" s="2" t="s">
        <v>2025</v>
      </c>
      <c r="AF235" s="11">
        <v>44749.40625</v>
      </c>
      <c r="AG235" s="53"/>
      <c r="AH235" s="53" t="b">
        <f t="shared" si="6"/>
        <v>0</v>
      </c>
      <c r="AI235" s="54" t="s">
        <v>9585</v>
      </c>
      <c r="AJ235" s="2" t="s">
        <v>9584</v>
      </c>
      <c r="AK235" s="2"/>
      <c r="AL235" s="2"/>
      <c r="AM235" s="2"/>
      <c r="AN235" s="2"/>
    </row>
    <row r="236" spans="1:40" ht="16" x14ac:dyDescent="0.2">
      <c r="A236" s="2" t="s">
        <v>2221</v>
      </c>
      <c r="B236" s="2">
        <v>686</v>
      </c>
      <c r="C236" s="2" t="b">
        <v>0</v>
      </c>
      <c r="D236" s="2" t="b">
        <v>0</v>
      </c>
      <c r="E236" s="2" t="b">
        <v>0</v>
      </c>
      <c r="F236" s="2" t="b">
        <v>0</v>
      </c>
      <c r="G236" s="2" t="s">
        <v>31</v>
      </c>
      <c r="H236" s="2" t="s">
        <v>2222</v>
      </c>
      <c r="I236" s="2" t="s">
        <v>2223</v>
      </c>
      <c r="J236" s="2" t="s">
        <v>35</v>
      </c>
      <c r="K236" s="2" t="s">
        <v>35</v>
      </c>
      <c r="L236" s="2" t="s">
        <v>35</v>
      </c>
      <c r="M236" s="2">
        <v>18</v>
      </c>
      <c r="N236" s="2">
        <v>16</v>
      </c>
      <c r="O236" s="11">
        <v>44749.468681284721</v>
      </c>
      <c r="P236" s="11">
        <v>44749.468975844909</v>
      </c>
      <c r="Q236" s="27">
        <v>2.9456018819473684E-4</v>
      </c>
      <c r="R236" s="27">
        <v>3.4535879967734218E-4</v>
      </c>
      <c r="S236" s="2">
        <v>0</v>
      </c>
      <c r="T236" s="2" t="s">
        <v>54</v>
      </c>
      <c r="U236" s="2" t="s">
        <v>55</v>
      </c>
      <c r="V236" s="2" t="s">
        <v>38</v>
      </c>
      <c r="W236" s="2" t="s">
        <v>35</v>
      </c>
      <c r="X236" s="2" t="s">
        <v>35</v>
      </c>
      <c r="Y236" s="2" t="s">
        <v>35</v>
      </c>
      <c r="Z236" s="2" t="b">
        <v>0</v>
      </c>
      <c r="AA236" s="2" t="s">
        <v>35</v>
      </c>
      <c r="AB236" s="2" t="s">
        <v>35</v>
      </c>
      <c r="AC236" s="2" t="s">
        <v>35</v>
      </c>
      <c r="AD236" s="2" t="s">
        <v>35</v>
      </c>
      <c r="AE236" s="2" t="s">
        <v>2025</v>
      </c>
      <c r="AF236" s="11">
        <v>44749.40625</v>
      </c>
      <c r="AG236" s="53"/>
      <c r="AH236" s="53" t="b">
        <f t="shared" si="6"/>
        <v>0</v>
      </c>
      <c r="AI236" s="54" t="s">
        <v>9583</v>
      </c>
      <c r="AJ236" s="2"/>
      <c r="AK236" s="2"/>
      <c r="AL236" s="2"/>
      <c r="AM236" s="2"/>
      <c r="AN236" s="2"/>
    </row>
    <row r="237" spans="1:40" ht="16" x14ac:dyDescent="0.2">
      <c r="A237" s="2" t="s">
        <v>2234</v>
      </c>
      <c r="B237" s="2">
        <v>690</v>
      </c>
      <c r="C237" s="2" t="b">
        <v>0</v>
      </c>
      <c r="D237" s="2" t="b">
        <v>0</v>
      </c>
      <c r="E237" s="2" t="b">
        <v>0</v>
      </c>
      <c r="F237" s="2" t="b">
        <v>0</v>
      </c>
      <c r="G237" s="2" t="s">
        <v>31</v>
      </c>
      <c r="H237" s="2" t="s">
        <v>2235</v>
      </c>
      <c r="I237" s="2" t="s">
        <v>2236</v>
      </c>
      <c r="J237" s="2" t="s">
        <v>35</v>
      </c>
      <c r="K237" s="2" t="s">
        <v>35</v>
      </c>
      <c r="L237" s="2" t="s">
        <v>35</v>
      </c>
      <c r="M237" s="2">
        <v>12</v>
      </c>
      <c r="N237" s="2">
        <v>20</v>
      </c>
      <c r="O237" s="11">
        <v>44749.474029456018</v>
      </c>
      <c r="P237" s="11">
        <v>44749.474587013887</v>
      </c>
      <c r="Q237" s="27">
        <v>5.5755786888767034E-4</v>
      </c>
      <c r="R237" s="27">
        <v>7.1548610867466778E-4</v>
      </c>
      <c r="S237" s="2">
        <v>0</v>
      </c>
      <c r="T237" s="2" t="s">
        <v>54</v>
      </c>
      <c r="U237" s="2" t="s">
        <v>55</v>
      </c>
      <c r="V237" s="2" t="s">
        <v>38</v>
      </c>
      <c r="W237" s="2" t="s">
        <v>35</v>
      </c>
      <c r="X237" s="2" t="s">
        <v>35</v>
      </c>
      <c r="Y237" s="2" t="s">
        <v>35</v>
      </c>
      <c r="Z237" s="2" t="b">
        <v>0</v>
      </c>
      <c r="AA237" s="2" t="s">
        <v>35</v>
      </c>
      <c r="AB237" s="2" t="s">
        <v>35</v>
      </c>
      <c r="AC237" s="2" t="s">
        <v>35</v>
      </c>
      <c r="AD237" s="2" t="s">
        <v>35</v>
      </c>
      <c r="AE237" s="2" t="s">
        <v>2025</v>
      </c>
      <c r="AF237" s="11">
        <v>44749.40625</v>
      </c>
      <c r="AG237" s="53"/>
      <c r="AH237" s="53" t="b">
        <f t="shared" si="6"/>
        <v>0</v>
      </c>
      <c r="AI237" s="54" t="s">
        <v>10038</v>
      </c>
      <c r="AJ237" s="2" t="s">
        <v>10039</v>
      </c>
      <c r="AK237" s="2" t="s">
        <v>10040</v>
      </c>
      <c r="AL237" s="2"/>
      <c r="AM237" s="2"/>
      <c r="AN237" s="2"/>
    </row>
    <row r="238" spans="1:40" ht="16" x14ac:dyDescent="0.2">
      <c r="A238" s="2" t="s">
        <v>2237</v>
      </c>
      <c r="B238" s="2">
        <v>691</v>
      </c>
      <c r="C238" s="2" t="b">
        <v>0</v>
      </c>
      <c r="D238" s="2" t="b">
        <v>0</v>
      </c>
      <c r="E238" s="2" t="b">
        <v>0</v>
      </c>
      <c r="F238" s="2" t="b">
        <v>0</v>
      </c>
      <c r="G238" s="2" t="s">
        <v>31</v>
      </c>
      <c r="H238" s="2" t="s">
        <v>2238</v>
      </c>
      <c r="I238" s="2" t="s">
        <v>2239</v>
      </c>
      <c r="J238" s="2" t="s">
        <v>35</v>
      </c>
      <c r="K238" s="2" t="s">
        <v>35</v>
      </c>
      <c r="L238" s="2" t="s">
        <v>35</v>
      </c>
      <c r="M238" s="2">
        <v>19</v>
      </c>
      <c r="N238" s="2">
        <v>14</v>
      </c>
      <c r="O238" s="11">
        <v>44749.474626539355</v>
      </c>
      <c r="P238" s="11">
        <v>44749.475161099537</v>
      </c>
      <c r="Q238" s="27">
        <v>5.3456018213182688E-4</v>
      </c>
      <c r="R238" s="27">
        <v>5.7408565044170246E-4</v>
      </c>
      <c r="S238" s="2">
        <v>0</v>
      </c>
      <c r="T238" s="2" t="s">
        <v>54</v>
      </c>
      <c r="U238" s="2" t="s">
        <v>55</v>
      </c>
      <c r="V238" s="2" t="s">
        <v>38</v>
      </c>
      <c r="W238" s="2" t="s">
        <v>35</v>
      </c>
      <c r="X238" s="2" t="s">
        <v>35</v>
      </c>
      <c r="Y238" s="2" t="s">
        <v>35</v>
      </c>
      <c r="Z238" s="2" t="b">
        <v>0</v>
      </c>
      <c r="AA238" s="2" t="s">
        <v>35</v>
      </c>
      <c r="AB238" s="2" t="s">
        <v>35</v>
      </c>
      <c r="AC238" s="2" t="s">
        <v>35</v>
      </c>
      <c r="AD238" s="2" t="s">
        <v>35</v>
      </c>
      <c r="AE238" s="2" t="s">
        <v>2025</v>
      </c>
      <c r="AF238" s="11">
        <v>44749.40625</v>
      </c>
      <c r="AG238" s="53"/>
      <c r="AH238" s="53" t="b">
        <f t="shared" si="6"/>
        <v>0</v>
      </c>
      <c r="AI238" s="54" t="s">
        <v>10041</v>
      </c>
      <c r="AJ238" s="2"/>
      <c r="AK238" s="2"/>
      <c r="AL238" s="2"/>
      <c r="AM238" s="2"/>
      <c r="AN238" s="2"/>
    </row>
    <row r="239" spans="1:40" ht="16" x14ac:dyDescent="0.2">
      <c r="A239" s="2" t="s">
        <v>2247</v>
      </c>
      <c r="B239" s="2">
        <v>694</v>
      </c>
      <c r="C239" s="2" t="b">
        <v>0</v>
      </c>
      <c r="D239" s="2" t="b">
        <v>0</v>
      </c>
      <c r="E239" s="2" t="b">
        <v>0</v>
      </c>
      <c r="F239" s="2" t="b">
        <v>0</v>
      </c>
      <c r="G239" s="2" t="s">
        <v>31</v>
      </c>
      <c r="H239" s="2" t="s">
        <v>2248</v>
      </c>
      <c r="I239" s="2" t="s">
        <v>2249</v>
      </c>
      <c r="J239" s="2" t="s">
        <v>35</v>
      </c>
      <c r="K239" s="2" t="s">
        <v>35</v>
      </c>
      <c r="L239" s="2" t="s">
        <v>35</v>
      </c>
      <c r="M239" s="2">
        <v>17</v>
      </c>
      <c r="N239" s="2">
        <v>15</v>
      </c>
      <c r="O239" s="11">
        <v>44749.476710694442</v>
      </c>
      <c r="P239" s="11">
        <v>44749.477030972223</v>
      </c>
      <c r="Q239" s="27">
        <v>3.2027778070187196E-4</v>
      </c>
      <c r="R239" s="27">
        <v>7.924421297502704E-4</v>
      </c>
      <c r="S239" s="2">
        <v>0</v>
      </c>
      <c r="T239" s="2" t="s">
        <v>54</v>
      </c>
      <c r="U239" s="2" t="s">
        <v>55</v>
      </c>
      <c r="V239" s="2" t="s">
        <v>38</v>
      </c>
      <c r="W239" s="2" t="s">
        <v>35</v>
      </c>
      <c r="X239" s="2" t="s">
        <v>35</v>
      </c>
      <c r="Y239" s="2" t="s">
        <v>35</v>
      </c>
      <c r="Z239" s="2" t="b">
        <v>0</v>
      </c>
      <c r="AA239" s="2" t="s">
        <v>35</v>
      </c>
      <c r="AB239" s="2" t="s">
        <v>35</v>
      </c>
      <c r="AC239" s="2" t="s">
        <v>35</v>
      </c>
      <c r="AD239" s="2" t="s">
        <v>35</v>
      </c>
      <c r="AE239" s="2" t="s">
        <v>2025</v>
      </c>
      <c r="AF239" s="11">
        <v>44749.40625</v>
      </c>
      <c r="AG239" s="53"/>
      <c r="AH239" s="53" t="b">
        <f t="shared" si="6"/>
        <v>0</v>
      </c>
      <c r="AI239" s="54" t="s">
        <v>10042</v>
      </c>
      <c r="AJ239" s="2"/>
      <c r="AK239" s="2"/>
      <c r="AL239" s="2"/>
      <c r="AM239" s="2"/>
      <c r="AN239" s="2"/>
    </row>
    <row r="240" spans="1:40" ht="16" x14ac:dyDescent="0.2">
      <c r="A240" s="2" t="s">
        <v>2253</v>
      </c>
      <c r="B240" s="2">
        <v>696</v>
      </c>
      <c r="C240" s="2" t="b">
        <v>0</v>
      </c>
      <c r="D240" s="2" t="b">
        <v>0</v>
      </c>
      <c r="E240" s="2" t="b">
        <v>0</v>
      </c>
      <c r="F240" s="2" t="b">
        <v>0</v>
      </c>
      <c r="G240" s="2" t="s">
        <v>31</v>
      </c>
      <c r="H240" s="2" t="s">
        <v>2254</v>
      </c>
      <c r="I240" s="2" t="s">
        <v>2255</v>
      </c>
      <c r="J240" s="2" t="s">
        <v>2256</v>
      </c>
      <c r="K240" s="2" t="s">
        <v>35</v>
      </c>
      <c r="L240" s="2" t="s">
        <v>35</v>
      </c>
      <c r="M240" s="2">
        <v>4</v>
      </c>
      <c r="N240" s="2">
        <v>10</v>
      </c>
      <c r="O240" s="11">
        <v>44749.477911631948</v>
      </c>
      <c r="P240" s="11">
        <v>44749.478878437498</v>
      </c>
      <c r="Q240" s="27">
        <v>9.6680554997874424E-4</v>
      </c>
      <c r="R240" s="27">
        <v>1.0448495377204381E-3</v>
      </c>
      <c r="S240" s="2">
        <v>0</v>
      </c>
      <c r="T240" s="2" t="s">
        <v>54</v>
      </c>
      <c r="U240" s="2" t="s">
        <v>55</v>
      </c>
      <c r="V240" s="2" t="s">
        <v>38</v>
      </c>
      <c r="W240" s="2" t="s">
        <v>35</v>
      </c>
      <c r="X240" s="2" t="s">
        <v>35</v>
      </c>
      <c r="Y240" s="2" t="s">
        <v>35</v>
      </c>
      <c r="Z240" s="2" t="b">
        <v>1</v>
      </c>
      <c r="AA240" s="2" t="s">
        <v>35</v>
      </c>
      <c r="AB240" s="2" t="s">
        <v>35</v>
      </c>
      <c r="AC240" s="2" t="s">
        <v>35</v>
      </c>
      <c r="AD240" s="2" t="s">
        <v>35</v>
      </c>
      <c r="AE240" s="2" t="s">
        <v>2025</v>
      </c>
      <c r="AF240" s="11">
        <v>44749.40625</v>
      </c>
      <c r="AG240" s="53"/>
      <c r="AH240" s="53" t="str">
        <f t="shared" si="6"/>
        <v>TRUE</v>
      </c>
      <c r="AI240" s="54" t="s">
        <v>9582</v>
      </c>
      <c r="AJ240" s="2"/>
      <c r="AK240" s="2"/>
      <c r="AL240" s="2"/>
      <c r="AM240" s="2"/>
      <c r="AN240" s="2"/>
    </row>
    <row r="241" spans="1:40" ht="16" x14ac:dyDescent="0.2">
      <c r="A241" s="2" t="s">
        <v>2257</v>
      </c>
      <c r="B241" s="2">
        <v>697</v>
      </c>
      <c r="C241" s="2" t="b">
        <v>0</v>
      </c>
      <c r="D241" s="2" t="b">
        <v>0</v>
      </c>
      <c r="E241" s="2" t="b">
        <v>0</v>
      </c>
      <c r="F241" s="2" t="b">
        <v>0</v>
      </c>
      <c r="G241" s="2" t="s">
        <v>31</v>
      </c>
      <c r="H241" s="2" t="s">
        <v>2258</v>
      </c>
      <c r="I241" s="2" t="s">
        <v>2259</v>
      </c>
      <c r="J241" s="2" t="s">
        <v>2260</v>
      </c>
      <c r="K241" s="2" t="s">
        <v>35</v>
      </c>
      <c r="L241" s="2" t="s">
        <v>35</v>
      </c>
      <c r="M241" s="2">
        <v>5</v>
      </c>
      <c r="N241" s="2">
        <v>6</v>
      </c>
      <c r="O241" s="11">
        <v>44749.479988055558</v>
      </c>
      <c r="P241" s="11">
        <v>44749.480438344908</v>
      </c>
      <c r="Q241" s="27">
        <v>4.5028934982838109E-4</v>
      </c>
      <c r="R241" s="27">
        <v>1.5599074104102328E-3</v>
      </c>
      <c r="S241" s="2">
        <v>0</v>
      </c>
      <c r="T241" s="2" t="s">
        <v>54</v>
      </c>
      <c r="U241" s="2" t="s">
        <v>55</v>
      </c>
      <c r="V241" s="2" t="s">
        <v>38</v>
      </c>
      <c r="W241" s="2" t="s">
        <v>35</v>
      </c>
      <c r="X241" s="2" t="s">
        <v>35</v>
      </c>
      <c r="Y241" s="2" t="s">
        <v>35</v>
      </c>
      <c r="Z241" s="2" t="b">
        <v>1</v>
      </c>
      <c r="AA241" s="2" t="s">
        <v>35</v>
      </c>
      <c r="AB241" s="2" t="s">
        <v>35</v>
      </c>
      <c r="AC241" s="2" t="s">
        <v>35</v>
      </c>
      <c r="AD241" s="2" t="s">
        <v>35</v>
      </c>
      <c r="AE241" s="2" t="s">
        <v>2025</v>
      </c>
      <c r="AF241" s="11">
        <v>44749.40625</v>
      </c>
      <c r="AG241" s="53"/>
      <c r="AH241" s="53" t="b">
        <f t="shared" si="6"/>
        <v>0</v>
      </c>
      <c r="AI241" s="54" t="s">
        <v>10043</v>
      </c>
      <c r="AJ241" s="2"/>
      <c r="AK241" s="2"/>
      <c r="AL241" s="2"/>
      <c r="AM241" s="2"/>
      <c r="AN241" s="2"/>
    </row>
    <row r="242" spans="1:40" ht="16" x14ac:dyDescent="0.2">
      <c r="A242" s="2" t="s">
        <v>2264</v>
      </c>
      <c r="B242" s="2">
        <v>699</v>
      </c>
      <c r="C242" s="2" t="b">
        <v>0</v>
      </c>
      <c r="D242" s="2" t="b">
        <v>0</v>
      </c>
      <c r="E242" s="2" t="b">
        <v>0</v>
      </c>
      <c r="F242" s="2" t="b">
        <v>0</v>
      </c>
      <c r="G242" s="2" t="s">
        <v>31</v>
      </c>
      <c r="H242" s="2" t="s">
        <v>2265</v>
      </c>
      <c r="I242" s="2" t="s">
        <v>2266</v>
      </c>
      <c r="J242" s="2" t="s">
        <v>2267</v>
      </c>
      <c r="K242" s="2" t="s">
        <v>35</v>
      </c>
      <c r="L242" s="2" t="s">
        <v>35</v>
      </c>
      <c r="M242" s="2">
        <v>2</v>
      </c>
      <c r="N242" s="2">
        <v>8</v>
      </c>
      <c r="O242" s="11">
        <v>44749.480958298613</v>
      </c>
      <c r="P242" s="11">
        <v>44749.481255949075</v>
      </c>
      <c r="Q242" s="27">
        <v>2.9765046201646328E-4</v>
      </c>
      <c r="R242" s="27">
        <v>4.7224537411238998E-4</v>
      </c>
      <c r="S242" s="2">
        <v>0</v>
      </c>
      <c r="T242" s="2" t="s">
        <v>54</v>
      </c>
      <c r="U242" s="2" t="s">
        <v>55</v>
      </c>
      <c r="V242" s="2" t="s">
        <v>38</v>
      </c>
      <c r="W242" s="2" t="s">
        <v>35</v>
      </c>
      <c r="X242" s="2" t="s">
        <v>35</v>
      </c>
      <c r="Y242" s="2" t="s">
        <v>35</v>
      </c>
      <c r="Z242" s="2" t="b">
        <v>1</v>
      </c>
      <c r="AA242" s="2" t="s">
        <v>35</v>
      </c>
      <c r="AB242" s="2" t="s">
        <v>35</v>
      </c>
      <c r="AC242" s="2" t="s">
        <v>35</v>
      </c>
      <c r="AD242" s="2" t="s">
        <v>35</v>
      </c>
      <c r="AE242" s="2" t="s">
        <v>2025</v>
      </c>
      <c r="AF242" s="11">
        <v>44749.40625</v>
      </c>
      <c r="AG242" s="53"/>
      <c r="AH242" s="53" t="b">
        <f t="shared" si="6"/>
        <v>0</v>
      </c>
      <c r="AI242" s="54" t="s">
        <v>10044</v>
      </c>
      <c r="AJ242" s="2"/>
      <c r="AK242" s="2"/>
      <c r="AL242" s="2"/>
      <c r="AM242" s="2"/>
      <c r="AN242" s="2"/>
    </row>
    <row r="243" spans="1:40" ht="16" x14ac:dyDescent="0.2">
      <c r="A243" s="2" t="s">
        <v>2275</v>
      </c>
      <c r="B243" s="2">
        <v>702</v>
      </c>
      <c r="C243" s="2" t="b">
        <v>0</v>
      </c>
      <c r="D243" s="2" t="b">
        <v>0</v>
      </c>
      <c r="E243" s="2" t="b">
        <v>0</v>
      </c>
      <c r="F243" s="2" t="b">
        <v>0</v>
      </c>
      <c r="G243" s="2" t="s">
        <v>31</v>
      </c>
      <c r="H243" s="2" t="s">
        <v>2276</v>
      </c>
      <c r="I243" s="2" t="s">
        <v>2277</v>
      </c>
      <c r="J243" s="2" t="s">
        <v>2267</v>
      </c>
      <c r="K243" s="2" t="s">
        <v>35</v>
      </c>
      <c r="L243" s="2" t="s">
        <v>35</v>
      </c>
      <c r="M243" s="2">
        <v>87</v>
      </c>
      <c r="N243" s="2">
        <v>9</v>
      </c>
      <c r="O243" s="11">
        <v>44749.482408750002</v>
      </c>
      <c r="P243" s="11">
        <v>44749.48383459491</v>
      </c>
      <c r="Q243" s="27">
        <v>1.4258449082262814E-3</v>
      </c>
      <c r="R243" s="27">
        <v>1.4797685216763057E-3</v>
      </c>
      <c r="S243" s="2">
        <v>0</v>
      </c>
      <c r="T243" s="2" t="s">
        <v>54</v>
      </c>
      <c r="U243" s="2" t="s">
        <v>55</v>
      </c>
      <c r="V243" s="2" t="s">
        <v>38</v>
      </c>
      <c r="W243" s="2" t="s">
        <v>35</v>
      </c>
      <c r="X243" s="2" t="s">
        <v>35</v>
      </c>
      <c r="Y243" s="2" t="s">
        <v>35</v>
      </c>
      <c r="Z243" s="2" t="b">
        <v>1</v>
      </c>
      <c r="AA243" s="2" t="s">
        <v>35</v>
      </c>
      <c r="AB243" s="2" t="s">
        <v>35</v>
      </c>
      <c r="AC243" s="2" t="s">
        <v>35</v>
      </c>
      <c r="AD243" s="2" t="s">
        <v>35</v>
      </c>
      <c r="AE243" s="2" t="s">
        <v>2025</v>
      </c>
      <c r="AF243" s="11">
        <v>44749.40625</v>
      </c>
      <c r="AG243" s="53"/>
      <c r="AH243" s="53" t="str">
        <f t="shared" si="6"/>
        <v>TRUE</v>
      </c>
      <c r="AI243" s="54" t="s">
        <v>10045</v>
      </c>
      <c r="AJ243" s="2" t="s">
        <v>10046</v>
      </c>
      <c r="AK243" s="2" t="s">
        <v>10047</v>
      </c>
      <c r="AL243" s="2"/>
      <c r="AM243" s="2"/>
      <c r="AN243" s="2"/>
    </row>
    <row r="244" spans="1:40" ht="16" x14ac:dyDescent="0.2">
      <c r="A244" s="2" t="s">
        <v>2278</v>
      </c>
      <c r="B244" s="2">
        <v>703</v>
      </c>
      <c r="C244" s="2" t="b">
        <v>0</v>
      </c>
      <c r="D244" s="2" t="b">
        <v>0</v>
      </c>
      <c r="E244" s="2" t="b">
        <v>0</v>
      </c>
      <c r="F244" s="2" t="b">
        <v>0</v>
      </c>
      <c r="G244" s="2" t="s">
        <v>31</v>
      </c>
      <c r="H244" s="2" t="s">
        <v>2279</v>
      </c>
      <c r="I244" s="2" t="s">
        <v>2280</v>
      </c>
      <c r="J244" s="2" t="s">
        <v>35</v>
      </c>
      <c r="K244" s="2" t="s">
        <v>35</v>
      </c>
      <c r="L244" s="2" t="s">
        <v>35</v>
      </c>
      <c r="M244" s="2">
        <v>12</v>
      </c>
      <c r="N244" s="2">
        <v>16</v>
      </c>
      <c r="O244" s="11">
        <v>44749.483908923612</v>
      </c>
      <c r="P244" s="11">
        <v>44749.484340555558</v>
      </c>
      <c r="Q244" s="27">
        <v>4.3163194641238078E-4</v>
      </c>
      <c r="R244" s="27">
        <v>5.0596064829733223E-4</v>
      </c>
      <c r="S244" s="2">
        <v>0</v>
      </c>
      <c r="T244" s="2" t="s">
        <v>54</v>
      </c>
      <c r="U244" s="2" t="s">
        <v>55</v>
      </c>
      <c r="V244" s="2" t="s">
        <v>38</v>
      </c>
      <c r="W244" s="2" t="s">
        <v>35</v>
      </c>
      <c r="X244" s="2" t="s">
        <v>35</v>
      </c>
      <c r="Y244" s="2" t="s">
        <v>35</v>
      </c>
      <c r="Z244" s="2" t="b">
        <v>0</v>
      </c>
      <c r="AA244" s="2" t="s">
        <v>35</v>
      </c>
      <c r="AB244" s="2" t="s">
        <v>35</v>
      </c>
      <c r="AC244" s="2" t="s">
        <v>35</v>
      </c>
      <c r="AD244" s="2" t="s">
        <v>35</v>
      </c>
      <c r="AE244" s="2" t="s">
        <v>2025</v>
      </c>
      <c r="AF244" s="11">
        <v>44749.40625</v>
      </c>
      <c r="AG244" s="53"/>
      <c r="AH244" s="53" t="b">
        <f t="shared" si="6"/>
        <v>0</v>
      </c>
      <c r="AI244" s="54" t="s">
        <v>10048</v>
      </c>
      <c r="AJ244" s="2"/>
      <c r="AK244" s="2"/>
      <c r="AL244" s="2"/>
      <c r="AM244" s="2"/>
      <c r="AN244" s="2"/>
    </row>
    <row r="245" spans="1:40" ht="16" x14ac:dyDescent="0.2">
      <c r="A245" s="2" t="s">
        <v>2297</v>
      </c>
      <c r="B245" s="2">
        <v>709</v>
      </c>
      <c r="C245" s="2" t="b">
        <v>0</v>
      </c>
      <c r="D245" s="2" t="b">
        <v>0</v>
      </c>
      <c r="E245" s="2" t="b">
        <v>0</v>
      </c>
      <c r="F245" s="2" t="b">
        <v>0</v>
      </c>
      <c r="G245" s="2" t="s">
        <v>31</v>
      </c>
      <c r="H245" s="2" t="s">
        <v>2298</v>
      </c>
      <c r="I245" s="2" t="s">
        <v>2299</v>
      </c>
      <c r="J245" s="2" t="s">
        <v>35</v>
      </c>
      <c r="K245" s="2" t="s">
        <v>35</v>
      </c>
      <c r="L245" s="2" t="s">
        <v>35</v>
      </c>
      <c r="M245" s="2">
        <v>22</v>
      </c>
      <c r="N245" s="2">
        <v>12</v>
      </c>
      <c r="O245" s="11">
        <v>44749.487124525462</v>
      </c>
      <c r="P245" s="11">
        <v>44749.487895289349</v>
      </c>
      <c r="Q245" s="27">
        <v>7.707638869760558E-4</v>
      </c>
      <c r="R245" s="27">
        <v>1.2175578667665832E-3</v>
      </c>
      <c r="S245" s="2">
        <v>0</v>
      </c>
      <c r="T245" s="2" t="s">
        <v>54</v>
      </c>
      <c r="U245" s="2" t="s">
        <v>55</v>
      </c>
      <c r="V245" s="2" t="s">
        <v>38</v>
      </c>
      <c r="W245" s="2" t="s">
        <v>35</v>
      </c>
      <c r="X245" s="2" t="s">
        <v>35</v>
      </c>
      <c r="Y245" s="2" t="s">
        <v>35</v>
      </c>
      <c r="Z245" s="2" t="b">
        <v>0</v>
      </c>
      <c r="AA245" s="2" t="s">
        <v>35</v>
      </c>
      <c r="AB245" s="2" t="s">
        <v>35</v>
      </c>
      <c r="AC245" s="2" t="s">
        <v>35</v>
      </c>
      <c r="AD245" s="2" t="s">
        <v>35</v>
      </c>
      <c r="AE245" s="2" t="s">
        <v>2025</v>
      </c>
      <c r="AF245" s="11">
        <v>44749.40625</v>
      </c>
      <c r="AG245" s="53"/>
      <c r="AH245" s="53" t="b">
        <f t="shared" si="6"/>
        <v>0</v>
      </c>
      <c r="AI245" s="54" t="s">
        <v>10049</v>
      </c>
      <c r="AJ245" s="2"/>
      <c r="AK245" s="2"/>
      <c r="AL245" s="2"/>
      <c r="AM245" s="2"/>
      <c r="AN245" s="2"/>
    </row>
    <row r="246" spans="1:40" ht="16" x14ac:dyDescent="0.2">
      <c r="A246" s="2" t="s">
        <v>2300</v>
      </c>
      <c r="B246" s="2">
        <v>710</v>
      </c>
      <c r="C246" s="2" t="b">
        <v>0</v>
      </c>
      <c r="D246" s="2" t="b">
        <v>0</v>
      </c>
      <c r="E246" s="2" t="b">
        <v>0</v>
      </c>
      <c r="F246" s="2" t="b">
        <v>0</v>
      </c>
      <c r="G246" s="2" t="s">
        <v>31</v>
      </c>
      <c r="H246" s="2" t="s">
        <v>2301</v>
      </c>
      <c r="I246" s="2" t="s">
        <v>2302</v>
      </c>
      <c r="J246" s="2" t="s">
        <v>35</v>
      </c>
      <c r="K246" s="2" t="s">
        <v>35</v>
      </c>
      <c r="L246" s="2" t="s">
        <v>35</v>
      </c>
      <c r="M246" s="2">
        <v>43</v>
      </c>
      <c r="N246" s="2">
        <v>11</v>
      </c>
      <c r="O246" s="11">
        <v>44749.487983969906</v>
      </c>
      <c r="P246" s="11">
        <v>44749.488812129632</v>
      </c>
      <c r="Q246" s="27">
        <v>8.2815972564276308E-4</v>
      </c>
      <c r="R246" s="27">
        <v>9.1684028302552179E-4</v>
      </c>
      <c r="S246" s="2">
        <v>0</v>
      </c>
      <c r="T246" s="2" t="s">
        <v>54</v>
      </c>
      <c r="U246" s="2" t="s">
        <v>55</v>
      </c>
      <c r="V246" s="2" t="s">
        <v>38</v>
      </c>
      <c r="W246" s="2" t="s">
        <v>35</v>
      </c>
      <c r="X246" s="2" t="s">
        <v>35</v>
      </c>
      <c r="Y246" s="2" t="s">
        <v>35</v>
      </c>
      <c r="Z246" s="2" t="b">
        <v>0</v>
      </c>
      <c r="AA246" s="2" t="s">
        <v>35</v>
      </c>
      <c r="AB246" s="2" t="s">
        <v>35</v>
      </c>
      <c r="AC246" s="2" t="s">
        <v>35</v>
      </c>
      <c r="AD246" s="2" t="s">
        <v>35</v>
      </c>
      <c r="AE246" s="2" t="s">
        <v>2025</v>
      </c>
      <c r="AF246" s="11">
        <v>44749.40625</v>
      </c>
      <c r="AG246" s="53"/>
      <c r="AH246" s="53" t="b">
        <f t="shared" si="6"/>
        <v>0</v>
      </c>
      <c r="AI246" s="54" t="s">
        <v>10050</v>
      </c>
      <c r="AJ246" s="2"/>
      <c r="AK246" s="2"/>
      <c r="AL246" s="2"/>
      <c r="AM246" s="2"/>
      <c r="AN246" s="2"/>
    </row>
    <row r="247" spans="1:40" ht="16" x14ac:dyDescent="0.2">
      <c r="A247" s="2" t="s">
        <v>2307</v>
      </c>
      <c r="B247" s="2">
        <v>712</v>
      </c>
      <c r="C247" s="2" t="b">
        <v>0</v>
      </c>
      <c r="D247" s="2" t="b">
        <v>0</v>
      </c>
      <c r="E247" s="2" t="b">
        <v>0</v>
      </c>
      <c r="F247" s="2" t="b">
        <v>0</v>
      </c>
      <c r="G247" s="2" t="s">
        <v>31</v>
      </c>
      <c r="H247" s="2" t="s">
        <v>2308</v>
      </c>
      <c r="I247" s="2" t="s">
        <v>2309</v>
      </c>
      <c r="J247" s="2" t="s">
        <v>35</v>
      </c>
      <c r="K247" s="2" t="s">
        <v>35</v>
      </c>
      <c r="L247" s="2" t="s">
        <v>35</v>
      </c>
      <c r="M247" s="2">
        <v>26</v>
      </c>
      <c r="N247" s="2">
        <v>20</v>
      </c>
      <c r="O247" s="11">
        <v>44749.49193827546</v>
      </c>
      <c r="P247" s="11">
        <v>44749.492443923613</v>
      </c>
      <c r="Q247" s="27">
        <v>5.0564815319376066E-4</v>
      </c>
      <c r="R247" s="27">
        <v>1.5475463005714118E-3</v>
      </c>
      <c r="S247" s="2">
        <v>0</v>
      </c>
      <c r="T247" s="2" t="s">
        <v>54</v>
      </c>
      <c r="U247" s="2" t="s">
        <v>55</v>
      </c>
      <c r="V247" s="2" t="s">
        <v>38</v>
      </c>
      <c r="W247" s="2" t="s">
        <v>35</v>
      </c>
      <c r="X247" s="2" t="s">
        <v>35</v>
      </c>
      <c r="Y247" s="2" t="s">
        <v>35</v>
      </c>
      <c r="Z247" s="2" t="b">
        <v>0</v>
      </c>
      <c r="AA247" s="2" t="s">
        <v>35</v>
      </c>
      <c r="AB247" s="2" t="s">
        <v>35</v>
      </c>
      <c r="AC247" s="2" t="s">
        <v>35</v>
      </c>
      <c r="AD247" s="2" t="s">
        <v>35</v>
      </c>
      <c r="AE247" s="2" t="s">
        <v>2025</v>
      </c>
      <c r="AF247" s="11">
        <v>44749.40625</v>
      </c>
      <c r="AG247" s="53"/>
      <c r="AH247" s="53" t="b">
        <f t="shared" si="6"/>
        <v>0</v>
      </c>
      <c r="AI247" s="54" t="s">
        <v>10051</v>
      </c>
      <c r="AJ247" s="2" t="s">
        <v>10052</v>
      </c>
      <c r="AK247" s="2" t="s">
        <v>10053</v>
      </c>
      <c r="AL247" s="2"/>
      <c r="AM247" s="2"/>
      <c r="AN247" s="2"/>
    </row>
    <row r="248" spans="1:40" ht="16" x14ac:dyDescent="0.2">
      <c r="A248" s="2" t="s">
        <v>2313</v>
      </c>
      <c r="B248" s="2">
        <v>714</v>
      </c>
      <c r="C248" s="2" t="b">
        <v>0</v>
      </c>
      <c r="D248" s="2" t="b">
        <v>0</v>
      </c>
      <c r="E248" s="2" t="b">
        <v>0</v>
      </c>
      <c r="F248" s="2" t="b">
        <v>0</v>
      </c>
      <c r="G248" s="2" t="s">
        <v>31</v>
      </c>
      <c r="H248" s="2" t="s">
        <v>2314</v>
      </c>
      <c r="I248" s="2" t="s">
        <v>2315</v>
      </c>
      <c r="J248" s="2" t="s">
        <v>35</v>
      </c>
      <c r="K248" s="2" t="s">
        <v>35</v>
      </c>
      <c r="L248" s="2" t="s">
        <v>35</v>
      </c>
      <c r="M248" s="2">
        <v>14</v>
      </c>
      <c r="N248" s="2">
        <v>17</v>
      </c>
      <c r="O248" s="11">
        <v>44749.492855590281</v>
      </c>
      <c r="P248" s="11">
        <v>44749.493155416669</v>
      </c>
      <c r="Q248" s="27">
        <v>2.9982638807268813E-4</v>
      </c>
      <c r="R248" s="27">
        <v>3.4496527950977907E-4</v>
      </c>
      <c r="S248" s="2">
        <v>0</v>
      </c>
      <c r="T248" s="2" t="s">
        <v>54</v>
      </c>
      <c r="U248" s="2" t="s">
        <v>55</v>
      </c>
      <c r="V248" s="2" t="s">
        <v>38</v>
      </c>
      <c r="W248" s="2" t="s">
        <v>35</v>
      </c>
      <c r="X248" s="2" t="s">
        <v>35</v>
      </c>
      <c r="Y248" s="2" t="s">
        <v>35</v>
      </c>
      <c r="Z248" s="2" t="b">
        <v>0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2025</v>
      </c>
      <c r="AF248" s="11">
        <v>44749.40625</v>
      </c>
      <c r="AG248" s="53"/>
      <c r="AH248" s="53" t="b">
        <f t="shared" si="6"/>
        <v>0</v>
      </c>
      <c r="AI248" s="54" t="s">
        <v>10054</v>
      </c>
      <c r="AJ248" s="2"/>
      <c r="AK248" s="2"/>
      <c r="AL248" s="2"/>
      <c r="AM248" s="2"/>
      <c r="AN248" s="2"/>
    </row>
    <row r="249" spans="1:40" ht="16" x14ac:dyDescent="0.2">
      <c r="A249" s="2" t="s">
        <v>2320</v>
      </c>
      <c r="B249" s="2">
        <v>716</v>
      </c>
      <c r="C249" s="2" t="b">
        <v>0</v>
      </c>
      <c r="D249" s="2" t="b">
        <v>0</v>
      </c>
      <c r="E249" s="2" t="b">
        <v>0</v>
      </c>
      <c r="F249" s="2" t="b">
        <v>0</v>
      </c>
      <c r="G249" s="2" t="s">
        <v>31</v>
      </c>
      <c r="H249" s="2" t="s">
        <v>2321</v>
      </c>
      <c r="I249" s="2" t="s">
        <v>2322</v>
      </c>
      <c r="J249" s="2" t="s">
        <v>35</v>
      </c>
      <c r="K249" s="2" t="s">
        <v>35</v>
      </c>
      <c r="L249" s="2" t="s">
        <v>35</v>
      </c>
      <c r="M249" s="2">
        <v>6</v>
      </c>
      <c r="N249" s="2">
        <v>13</v>
      </c>
      <c r="O249" s="11">
        <v>44749.494133275461</v>
      </c>
      <c r="P249" s="11">
        <v>44749.494403599536</v>
      </c>
      <c r="Q249" s="27">
        <v>2.7032407524529845E-4</v>
      </c>
      <c r="R249" s="27">
        <v>3.2562499836785719E-4</v>
      </c>
      <c r="S249" s="2">
        <v>0</v>
      </c>
      <c r="T249" s="2" t="s">
        <v>54</v>
      </c>
      <c r="U249" s="2" t="s">
        <v>55</v>
      </c>
      <c r="V249" s="2" t="s">
        <v>38</v>
      </c>
      <c r="W249" s="2" t="s">
        <v>35</v>
      </c>
      <c r="X249" s="2" t="s">
        <v>35</v>
      </c>
      <c r="Y249" s="2" t="s">
        <v>35</v>
      </c>
      <c r="Z249" s="2" t="b">
        <v>0</v>
      </c>
      <c r="AA249" s="2" t="s">
        <v>35</v>
      </c>
      <c r="AB249" s="2" t="s">
        <v>35</v>
      </c>
      <c r="AC249" s="2" t="s">
        <v>35</v>
      </c>
      <c r="AD249" s="2" t="s">
        <v>35</v>
      </c>
      <c r="AE249" s="2" t="s">
        <v>2025</v>
      </c>
      <c r="AF249" s="11">
        <v>44749.40625</v>
      </c>
      <c r="AG249" s="53"/>
      <c r="AH249" s="53" t="b">
        <f t="shared" si="6"/>
        <v>0</v>
      </c>
      <c r="AI249" s="54" t="s">
        <v>10055</v>
      </c>
      <c r="AJ249" s="2"/>
      <c r="AK249" s="2"/>
      <c r="AL249" s="2"/>
      <c r="AM249" s="2"/>
      <c r="AN249" s="2"/>
    </row>
    <row r="250" spans="1:40" ht="16" x14ac:dyDescent="0.2">
      <c r="A250" s="2" t="s">
        <v>2334</v>
      </c>
      <c r="B250" s="2">
        <v>720</v>
      </c>
      <c r="C250" s="2" t="b">
        <v>0</v>
      </c>
      <c r="D250" s="2" t="b">
        <v>0</v>
      </c>
      <c r="E250" s="2" t="b">
        <v>0</v>
      </c>
      <c r="F250" s="2" t="b">
        <v>0</v>
      </c>
      <c r="G250" s="2" t="s">
        <v>31</v>
      </c>
      <c r="H250" s="2" t="s">
        <v>2335</v>
      </c>
      <c r="I250" s="2" t="s">
        <v>2336</v>
      </c>
      <c r="J250" s="2" t="s">
        <v>35</v>
      </c>
      <c r="K250" s="2" t="s">
        <v>35</v>
      </c>
      <c r="L250" s="2" t="s">
        <v>35</v>
      </c>
      <c r="M250" s="2">
        <v>45</v>
      </c>
      <c r="N250" s="2">
        <v>18</v>
      </c>
      <c r="O250" s="11">
        <v>44749.499211388887</v>
      </c>
      <c r="P250" s="11">
        <v>44749.500528703706</v>
      </c>
      <c r="Q250" s="27">
        <v>1.3173148181522265E-3</v>
      </c>
      <c r="R250" s="27">
        <v>1.7682638936094008E-3</v>
      </c>
      <c r="S250" s="2">
        <v>0</v>
      </c>
      <c r="T250" s="2" t="s">
        <v>54</v>
      </c>
      <c r="U250" s="2" t="s">
        <v>55</v>
      </c>
      <c r="V250" s="2" t="s">
        <v>38</v>
      </c>
      <c r="W250" s="2" t="s">
        <v>35</v>
      </c>
      <c r="X250" s="2" t="s">
        <v>35</v>
      </c>
      <c r="Y250" s="2" t="s">
        <v>35</v>
      </c>
      <c r="Z250" s="2" t="b">
        <v>0</v>
      </c>
      <c r="AA250" s="2" t="s">
        <v>35</v>
      </c>
      <c r="AB250" s="2" t="s">
        <v>35</v>
      </c>
      <c r="AC250" s="2" t="s">
        <v>35</v>
      </c>
      <c r="AD250" s="2" t="s">
        <v>35</v>
      </c>
      <c r="AE250" s="2" t="s">
        <v>2025</v>
      </c>
      <c r="AF250" s="11">
        <v>44749.40625</v>
      </c>
      <c r="AG250" s="53"/>
      <c r="AH250" s="53" t="str">
        <f t="shared" si="6"/>
        <v>TRUE</v>
      </c>
      <c r="AI250" s="54" t="s">
        <v>10056</v>
      </c>
      <c r="AJ250" s="2"/>
      <c r="AK250" s="2"/>
      <c r="AL250" s="2"/>
      <c r="AM250" s="2"/>
      <c r="AN250" s="2"/>
    </row>
    <row r="251" spans="1:40" ht="16" x14ac:dyDescent="0.2">
      <c r="A251" s="2" t="s">
        <v>2340</v>
      </c>
      <c r="B251" s="2">
        <v>722</v>
      </c>
      <c r="C251" s="2" t="b">
        <v>0</v>
      </c>
      <c r="D251" s="2" t="b">
        <v>0</v>
      </c>
      <c r="E251" s="2" t="b">
        <v>0</v>
      </c>
      <c r="F251" s="2" t="b">
        <v>0</v>
      </c>
      <c r="G251" s="2" t="s">
        <v>31</v>
      </c>
      <c r="H251" s="2" t="s">
        <v>2341</v>
      </c>
      <c r="I251" s="2" t="s">
        <v>2342</v>
      </c>
      <c r="J251" s="2" t="s">
        <v>2267</v>
      </c>
      <c r="K251" s="2" t="s">
        <v>35</v>
      </c>
      <c r="L251" s="2" t="s">
        <v>35</v>
      </c>
      <c r="M251" s="2">
        <v>38</v>
      </c>
      <c r="N251" s="2">
        <v>13</v>
      </c>
      <c r="O251" s="11">
        <v>44749.500921481478</v>
      </c>
      <c r="P251" s="11">
        <v>44749.501724953705</v>
      </c>
      <c r="Q251" s="27">
        <v>8.0347222683485597E-4</v>
      </c>
      <c r="R251" s="27">
        <v>8.4868056001141667E-4</v>
      </c>
      <c r="S251" s="2">
        <v>0</v>
      </c>
      <c r="T251" s="2" t="s">
        <v>54</v>
      </c>
      <c r="U251" s="2" t="s">
        <v>55</v>
      </c>
      <c r="V251" s="2" t="s">
        <v>38</v>
      </c>
      <c r="W251" s="2" t="s">
        <v>35</v>
      </c>
      <c r="X251" s="2" t="s">
        <v>35</v>
      </c>
      <c r="Y251" s="2" t="s">
        <v>35</v>
      </c>
      <c r="Z251" s="2" t="b">
        <v>1</v>
      </c>
      <c r="AA251" s="2" t="s">
        <v>35</v>
      </c>
      <c r="AB251" s="2" t="s">
        <v>35</v>
      </c>
      <c r="AC251" s="2" t="s">
        <v>35</v>
      </c>
      <c r="AD251" s="2" t="s">
        <v>35</v>
      </c>
      <c r="AE251" s="2" t="s">
        <v>2025</v>
      </c>
      <c r="AF251" s="11">
        <v>44749.40625</v>
      </c>
      <c r="AG251" s="53"/>
      <c r="AH251" s="53" t="b">
        <f t="shared" si="6"/>
        <v>0</v>
      </c>
      <c r="AI251" s="54" t="s">
        <v>9581</v>
      </c>
      <c r="AJ251" s="2"/>
      <c r="AK251" s="2"/>
      <c r="AL251" s="2"/>
      <c r="AM251" s="2"/>
      <c r="AN251" s="2"/>
    </row>
    <row r="252" spans="1:40" ht="16" x14ac:dyDescent="0.2">
      <c r="A252" s="68" t="s">
        <v>2357</v>
      </c>
      <c r="B252" s="68">
        <v>728</v>
      </c>
      <c r="C252" s="68" t="b">
        <v>0</v>
      </c>
      <c r="D252" s="68" t="b">
        <v>0</v>
      </c>
      <c r="E252" s="68" t="b">
        <v>0</v>
      </c>
      <c r="F252" s="68" t="b">
        <v>0</v>
      </c>
      <c r="G252" s="68" t="s">
        <v>31</v>
      </c>
      <c r="H252" s="68" t="s">
        <v>149</v>
      </c>
      <c r="I252" s="68" t="s">
        <v>2358</v>
      </c>
      <c r="J252" s="68" t="s">
        <v>35</v>
      </c>
      <c r="K252" s="68" t="s">
        <v>35</v>
      </c>
      <c r="L252" s="68" t="s">
        <v>35</v>
      </c>
      <c r="M252" s="68">
        <v>12</v>
      </c>
      <c r="N252" s="68">
        <v>16</v>
      </c>
      <c r="O252" s="69">
        <v>44749.507838136575</v>
      </c>
      <c r="P252" s="69">
        <v>44749.507980706017</v>
      </c>
      <c r="Q252" s="70">
        <v>1.4256944268709049E-4</v>
      </c>
      <c r="R252" s="70">
        <v>2.1472222215379588E-3</v>
      </c>
      <c r="S252" s="68">
        <v>0</v>
      </c>
      <c r="T252" s="68" t="s">
        <v>54</v>
      </c>
      <c r="U252" s="68" t="s">
        <v>55</v>
      </c>
      <c r="V252" s="68" t="s">
        <v>38</v>
      </c>
      <c r="W252" s="68" t="s">
        <v>35</v>
      </c>
      <c r="X252" s="68" t="s">
        <v>35</v>
      </c>
      <c r="Y252" s="68" t="s">
        <v>35</v>
      </c>
      <c r="Z252" s="68" t="b">
        <v>0</v>
      </c>
      <c r="AA252" s="68" t="s">
        <v>35</v>
      </c>
      <c r="AB252" s="68" t="s">
        <v>35</v>
      </c>
      <c r="AC252" s="68" t="s">
        <v>35</v>
      </c>
      <c r="AD252" s="68" t="s">
        <v>35</v>
      </c>
      <c r="AE252" s="68" t="s">
        <v>2025</v>
      </c>
      <c r="AF252" s="69">
        <v>44749.40625</v>
      </c>
      <c r="AG252" s="71"/>
      <c r="AH252" s="53" t="b">
        <f t="shared" si="6"/>
        <v>0</v>
      </c>
      <c r="AI252" s="56" t="s">
        <v>9483</v>
      </c>
      <c r="AJ252" s="68"/>
      <c r="AK252" s="68"/>
      <c r="AL252" s="68"/>
      <c r="AM252" s="68"/>
      <c r="AN252" s="68"/>
    </row>
    <row r="253" spans="1:40" ht="16" x14ac:dyDescent="0.2">
      <c r="A253" s="2" t="s">
        <v>2389</v>
      </c>
      <c r="B253" s="2">
        <v>738</v>
      </c>
      <c r="C253" s="2" t="b">
        <v>0</v>
      </c>
      <c r="D253" s="2" t="b">
        <v>0</v>
      </c>
      <c r="E253" s="2" t="b">
        <v>0</v>
      </c>
      <c r="F253" s="2" t="b">
        <v>0</v>
      </c>
      <c r="G253" s="2" t="s">
        <v>31</v>
      </c>
      <c r="H253" s="2" t="s">
        <v>2390</v>
      </c>
      <c r="I253" s="2" t="s">
        <v>2391</v>
      </c>
      <c r="J253" s="2" t="s">
        <v>35</v>
      </c>
      <c r="K253" s="2" t="s">
        <v>35</v>
      </c>
      <c r="L253" s="2" t="s">
        <v>35</v>
      </c>
      <c r="M253" s="2">
        <v>16</v>
      </c>
      <c r="N253" s="2">
        <v>19</v>
      </c>
      <c r="O253" s="11">
        <v>44749.518986898147</v>
      </c>
      <c r="P253" s="11">
        <v>44749.519332442127</v>
      </c>
      <c r="Q253" s="27">
        <v>3.4554398007458076E-4</v>
      </c>
      <c r="R253" s="27">
        <v>4.3376156827434897E-4</v>
      </c>
      <c r="S253" s="2">
        <v>0</v>
      </c>
      <c r="T253" s="2" t="s">
        <v>54</v>
      </c>
      <c r="U253" s="2" t="s">
        <v>55</v>
      </c>
      <c r="V253" s="2" t="s">
        <v>38</v>
      </c>
      <c r="W253" s="2" t="s">
        <v>35</v>
      </c>
      <c r="X253" s="2" t="s">
        <v>35</v>
      </c>
      <c r="Y253" s="2" t="s">
        <v>35</v>
      </c>
      <c r="Z253" s="2" t="b">
        <v>0</v>
      </c>
      <c r="AA253" s="2" t="s">
        <v>35</v>
      </c>
      <c r="AB253" s="2" t="s">
        <v>35</v>
      </c>
      <c r="AC253" s="2" t="s">
        <v>35</v>
      </c>
      <c r="AD253" s="2" t="s">
        <v>35</v>
      </c>
      <c r="AE253" s="2" t="s">
        <v>2025</v>
      </c>
      <c r="AF253" s="11">
        <v>44749.40625</v>
      </c>
      <c r="AG253" s="53"/>
      <c r="AH253" s="53" t="b">
        <f t="shared" si="6"/>
        <v>0</v>
      </c>
      <c r="AI253" s="54" t="s">
        <v>10057</v>
      </c>
      <c r="AJ253" s="2"/>
      <c r="AK253" s="2"/>
      <c r="AL253" s="2"/>
      <c r="AM253" s="2"/>
      <c r="AN253" s="2"/>
    </row>
    <row r="254" spans="1:40" ht="16" x14ac:dyDescent="0.2">
      <c r="A254" s="31" t="s">
        <v>2399</v>
      </c>
      <c r="B254" s="31">
        <v>741</v>
      </c>
      <c r="C254" s="31" t="b">
        <v>0</v>
      </c>
      <c r="D254" s="31" t="b">
        <v>0</v>
      </c>
      <c r="E254" s="31" t="b">
        <v>0</v>
      </c>
      <c r="F254" s="31" t="b">
        <v>0</v>
      </c>
      <c r="G254" s="31" t="s">
        <v>31</v>
      </c>
      <c r="H254" s="68" t="s">
        <v>149</v>
      </c>
      <c r="I254" s="31" t="s">
        <v>2400</v>
      </c>
      <c r="J254" s="31" t="s">
        <v>2401</v>
      </c>
      <c r="K254" s="31" t="s">
        <v>35</v>
      </c>
      <c r="L254" s="31" t="s">
        <v>35</v>
      </c>
      <c r="M254" s="31">
        <v>87</v>
      </c>
      <c r="N254" s="31">
        <v>8</v>
      </c>
      <c r="O254" s="32">
        <v>44749.579947534723</v>
      </c>
      <c r="P254" s="32">
        <v>44749.580316736108</v>
      </c>
      <c r="Q254" s="30">
        <v>3.6920138518325984E-4</v>
      </c>
      <c r="R254" s="30">
        <v>5.818943286431022E-2</v>
      </c>
      <c r="S254" s="31">
        <v>0</v>
      </c>
      <c r="T254" s="31" t="s">
        <v>54</v>
      </c>
      <c r="U254" s="31" t="s">
        <v>55</v>
      </c>
      <c r="V254" s="31" t="s">
        <v>2402</v>
      </c>
      <c r="W254" s="31" t="s">
        <v>35</v>
      </c>
      <c r="X254" s="31" t="s">
        <v>35</v>
      </c>
      <c r="Y254" s="31" t="s">
        <v>35</v>
      </c>
      <c r="Z254" s="31" t="b">
        <v>0</v>
      </c>
      <c r="AA254" s="31" t="s">
        <v>35</v>
      </c>
      <c r="AB254" s="31" t="s">
        <v>35</v>
      </c>
      <c r="AC254" s="31" t="s">
        <v>35</v>
      </c>
      <c r="AD254" s="31" t="s">
        <v>35</v>
      </c>
      <c r="AE254" s="31" t="s">
        <v>2025</v>
      </c>
      <c r="AF254" s="32">
        <v>44749.40625</v>
      </c>
      <c r="AG254" s="55" t="s">
        <v>9406</v>
      </c>
      <c r="AH254" s="53" t="b">
        <f t="shared" si="6"/>
        <v>0</v>
      </c>
      <c r="AI254" s="56" t="s">
        <v>35</v>
      </c>
      <c r="AJ254" s="31"/>
      <c r="AK254" s="31"/>
      <c r="AL254" s="31"/>
      <c r="AM254" s="31"/>
      <c r="AN254" s="31"/>
    </row>
    <row r="255" spans="1:40" ht="16" x14ac:dyDescent="0.2">
      <c r="A255" s="2" t="s">
        <v>2420</v>
      </c>
      <c r="B255" s="2">
        <v>747</v>
      </c>
      <c r="C255" s="2" t="b">
        <v>0</v>
      </c>
      <c r="D255" s="2" t="b">
        <v>0</v>
      </c>
      <c r="E255" s="2" t="b">
        <v>0</v>
      </c>
      <c r="F255" s="2" t="b">
        <v>0</v>
      </c>
      <c r="G255" s="2" t="s">
        <v>31</v>
      </c>
      <c r="H255" s="2" t="s">
        <v>2421</v>
      </c>
      <c r="I255" s="2" t="s">
        <v>2422</v>
      </c>
      <c r="J255" s="2" t="s">
        <v>2423</v>
      </c>
      <c r="K255" s="2" t="s">
        <v>35</v>
      </c>
      <c r="L255" s="2" t="s">
        <v>35</v>
      </c>
      <c r="M255" s="2">
        <v>5</v>
      </c>
      <c r="N255" s="2">
        <v>14</v>
      </c>
      <c r="O255" s="11">
        <v>44753.419725706015</v>
      </c>
      <c r="P255" s="11">
        <v>44753.420253483797</v>
      </c>
      <c r="Q255" s="27">
        <v>5.2777778182644397E-4</v>
      </c>
      <c r="R255" s="27">
        <v>1.0276736138621345E-3</v>
      </c>
      <c r="S255" s="2">
        <v>0</v>
      </c>
      <c r="T255" s="2" t="s">
        <v>54</v>
      </c>
      <c r="U255" s="2" t="s">
        <v>55</v>
      </c>
      <c r="V255" s="2" t="s">
        <v>38</v>
      </c>
      <c r="W255" s="2" t="s">
        <v>35</v>
      </c>
      <c r="X255" s="2" t="s">
        <v>35</v>
      </c>
      <c r="Y255" s="2" t="s">
        <v>35</v>
      </c>
      <c r="Z255" s="2" t="b">
        <v>1</v>
      </c>
      <c r="AA255" s="2" t="s">
        <v>35</v>
      </c>
      <c r="AB255" s="2" t="s">
        <v>35</v>
      </c>
      <c r="AC255" s="2" t="s">
        <v>35</v>
      </c>
      <c r="AD255" s="2" t="s">
        <v>35</v>
      </c>
      <c r="AE255" s="2" t="s">
        <v>2406</v>
      </c>
      <c r="AF255" s="11">
        <v>44753.409722164353</v>
      </c>
      <c r="AG255" s="53"/>
      <c r="AH255" s="53" t="b">
        <f t="shared" si="6"/>
        <v>0</v>
      </c>
      <c r="AI255" s="54" t="s">
        <v>10058</v>
      </c>
      <c r="AJ255" s="2"/>
      <c r="AK255" s="2"/>
      <c r="AL255" s="2"/>
      <c r="AM255" s="2"/>
      <c r="AN255" s="2"/>
    </row>
    <row r="256" spans="1:40" ht="16" x14ac:dyDescent="0.2">
      <c r="A256" s="2" t="s">
        <v>2442</v>
      </c>
      <c r="B256" s="2">
        <v>754</v>
      </c>
      <c r="C256" s="2" t="b">
        <v>0</v>
      </c>
      <c r="D256" s="2" t="b">
        <v>0</v>
      </c>
      <c r="E256" s="2" t="b">
        <v>0</v>
      </c>
      <c r="F256" s="2" t="b">
        <v>0</v>
      </c>
      <c r="G256" s="2" t="s">
        <v>31</v>
      </c>
      <c r="H256" s="2" t="s">
        <v>2443</v>
      </c>
      <c r="I256" s="2" t="s">
        <v>2444</v>
      </c>
      <c r="J256" s="2" t="s">
        <v>1701</v>
      </c>
      <c r="K256" s="2" t="s">
        <v>35</v>
      </c>
      <c r="L256" s="2" t="s">
        <v>35</v>
      </c>
      <c r="M256" s="2" t="s">
        <v>35</v>
      </c>
      <c r="N256" s="2" t="s">
        <v>35</v>
      </c>
      <c r="O256" s="11">
        <v>44753.429131759258</v>
      </c>
      <c r="P256" s="11">
        <v>44753.429391550926</v>
      </c>
      <c r="Q256" s="27">
        <v>2.5979166821343824E-4</v>
      </c>
      <c r="R256" s="27">
        <v>4.2289352131774649E-4</v>
      </c>
      <c r="S256" s="2">
        <v>0</v>
      </c>
      <c r="T256" s="2" t="s">
        <v>54</v>
      </c>
      <c r="U256" s="2" t="s">
        <v>55</v>
      </c>
      <c r="V256" s="2" t="s">
        <v>38</v>
      </c>
      <c r="W256" s="2" t="s">
        <v>35</v>
      </c>
      <c r="X256" s="2" t="s">
        <v>35</v>
      </c>
      <c r="Y256" s="2" t="s">
        <v>35</v>
      </c>
      <c r="Z256" s="2" t="b">
        <v>0</v>
      </c>
      <c r="AA256" s="2" t="s">
        <v>35</v>
      </c>
      <c r="AB256" s="2" t="s">
        <v>35</v>
      </c>
      <c r="AC256" s="2" t="s">
        <v>35</v>
      </c>
      <c r="AD256" s="2" t="s">
        <v>35</v>
      </c>
      <c r="AE256" s="2" t="s">
        <v>2406</v>
      </c>
      <c r="AF256" s="11">
        <v>44753.409722164353</v>
      </c>
      <c r="AG256" s="53"/>
      <c r="AH256" s="53" t="b">
        <f t="shared" si="6"/>
        <v>0</v>
      </c>
      <c r="AI256" s="54" t="s">
        <v>10059</v>
      </c>
      <c r="AJ256" s="2"/>
      <c r="AK256" s="2"/>
      <c r="AL256" s="2"/>
      <c r="AM256" s="2"/>
      <c r="AN256" s="2"/>
    </row>
    <row r="257" spans="1:40" ht="16" x14ac:dyDescent="0.2">
      <c r="A257" s="2" t="s">
        <v>2445</v>
      </c>
      <c r="B257" s="2">
        <v>755</v>
      </c>
      <c r="C257" s="2" t="b">
        <v>0</v>
      </c>
      <c r="D257" s="2" t="b">
        <v>0</v>
      </c>
      <c r="E257" s="2" t="b">
        <v>0</v>
      </c>
      <c r="F257" s="2" t="b">
        <v>0</v>
      </c>
      <c r="G257" s="2" t="s">
        <v>31</v>
      </c>
      <c r="H257" s="2" t="s">
        <v>2446</v>
      </c>
      <c r="I257" s="2" t="s">
        <v>2447</v>
      </c>
      <c r="J257" s="2" t="s">
        <v>2448</v>
      </c>
      <c r="K257" s="2" t="s">
        <v>35</v>
      </c>
      <c r="L257" s="2" t="s">
        <v>35</v>
      </c>
      <c r="M257" s="2">
        <v>5</v>
      </c>
      <c r="N257" s="2">
        <v>15</v>
      </c>
      <c r="O257" s="11">
        <v>44753.430289502314</v>
      </c>
      <c r="P257" s="11">
        <v>44753.431036608796</v>
      </c>
      <c r="Q257" s="27">
        <v>7.4710648186737671E-4</v>
      </c>
      <c r="R257" s="27">
        <v>1.6450578696094453E-3</v>
      </c>
      <c r="S257" s="2">
        <v>0</v>
      </c>
      <c r="T257" s="2" t="s">
        <v>54</v>
      </c>
      <c r="U257" s="2" t="s">
        <v>55</v>
      </c>
      <c r="V257" s="2" t="s">
        <v>38</v>
      </c>
      <c r="W257" s="2" t="s">
        <v>35</v>
      </c>
      <c r="X257" s="2" t="s">
        <v>35</v>
      </c>
      <c r="Y257" s="2" t="s">
        <v>35</v>
      </c>
      <c r="Z257" s="2" t="b">
        <v>1</v>
      </c>
      <c r="AA257" s="2" t="s">
        <v>35</v>
      </c>
      <c r="AB257" s="2" t="s">
        <v>35</v>
      </c>
      <c r="AC257" s="2" t="s">
        <v>35</v>
      </c>
      <c r="AD257" s="2" t="s">
        <v>35</v>
      </c>
      <c r="AE257" s="2" t="s">
        <v>2406</v>
      </c>
      <c r="AF257" s="11">
        <v>44753.409722164353</v>
      </c>
      <c r="AG257" s="53"/>
      <c r="AH257" s="53" t="b">
        <f t="shared" si="6"/>
        <v>0</v>
      </c>
      <c r="AI257" s="54" t="s">
        <v>10060</v>
      </c>
      <c r="AJ257" s="2" t="s">
        <v>10061</v>
      </c>
      <c r="AK257" s="2" t="s">
        <v>10062</v>
      </c>
      <c r="AL257" s="2"/>
      <c r="AM257" s="2"/>
      <c r="AN257" s="2"/>
    </row>
    <row r="258" spans="1:40" ht="16" x14ac:dyDescent="0.2">
      <c r="A258" s="2" t="s">
        <v>2519</v>
      </c>
      <c r="B258" s="2">
        <v>779</v>
      </c>
      <c r="C258" s="2" t="b">
        <v>0</v>
      </c>
      <c r="D258" s="2" t="b">
        <v>0</v>
      </c>
      <c r="E258" s="2" t="b">
        <v>0</v>
      </c>
      <c r="F258" s="2" t="b">
        <v>0</v>
      </c>
      <c r="G258" s="2" t="s">
        <v>31</v>
      </c>
      <c r="H258" s="2" t="s">
        <v>2520</v>
      </c>
      <c r="I258" s="2" t="s">
        <v>2521</v>
      </c>
      <c r="J258" s="2" t="s">
        <v>35</v>
      </c>
      <c r="K258" s="2" t="s">
        <v>35</v>
      </c>
      <c r="L258" s="2" t="s">
        <v>35</v>
      </c>
      <c r="M258" s="2">
        <v>6</v>
      </c>
      <c r="N258" s="2">
        <v>14</v>
      </c>
      <c r="O258" s="11">
        <v>44753.473779687498</v>
      </c>
      <c r="P258" s="11">
        <v>44753.474067407406</v>
      </c>
      <c r="Q258" s="27">
        <v>2.877199076465331E-4</v>
      </c>
      <c r="R258" s="27">
        <v>2.4428124961559661E-3</v>
      </c>
      <c r="S258" s="2">
        <v>0</v>
      </c>
      <c r="T258" s="2" t="s">
        <v>54</v>
      </c>
      <c r="U258" s="2" t="s">
        <v>55</v>
      </c>
      <c r="V258" s="2" t="s">
        <v>38</v>
      </c>
      <c r="W258" s="2" t="s">
        <v>35</v>
      </c>
      <c r="X258" s="2" t="s">
        <v>35</v>
      </c>
      <c r="Y258" s="2" t="s">
        <v>35</v>
      </c>
      <c r="Z258" s="2" t="b">
        <v>0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2" t="s">
        <v>2406</v>
      </c>
      <c r="AF258" s="11">
        <v>44753.409722164353</v>
      </c>
      <c r="AG258" s="53"/>
      <c r="AH258" s="53" t="b">
        <f t="shared" si="6"/>
        <v>0</v>
      </c>
      <c r="AI258" s="54" t="s">
        <v>10063</v>
      </c>
      <c r="AJ258" s="2"/>
      <c r="AK258" s="2"/>
      <c r="AL258" s="2"/>
      <c r="AM258" s="2"/>
      <c r="AN258" s="2"/>
    </row>
    <row r="259" spans="1:40" ht="16" x14ac:dyDescent="0.2">
      <c r="A259" s="2" t="s">
        <v>2526</v>
      </c>
      <c r="B259" s="2">
        <v>781</v>
      </c>
      <c r="C259" s="2" t="b">
        <v>0</v>
      </c>
      <c r="D259" s="2" t="b">
        <v>0</v>
      </c>
      <c r="E259" s="2" t="b">
        <v>0</v>
      </c>
      <c r="F259" s="2" t="b">
        <v>0</v>
      </c>
      <c r="G259" s="2" t="s">
        <v>31</v>
      </c>
      <c r="H259" s="2" t="s">
        <v>2527</v>
      </c>
      <c r="I259" s="2" t="s">
        <v>2528</v>
      </c>
      <c r="J259" s="2" t="s">
        <v>35</v>
      </c>
      <c r="K259" s="2" t="s">
        <v>35</v>
      </c>
      <c r="L259" s="2" t="s">
        <v>35</v>
      </c>
      <c r="M259" s="2">
        <v>6</v>
      </c>
      <c r="N259" s="2">
        <v>14</v>
      </c>
      <c r="O259" s="11">
        <v>44753.476617002314</v>
      </c>
      <c r="P259" s="11">
        <v>44753.476777627315</v>
      </c>
      <c r="Q259" s="27">
        <v>1.6062500071711838E-4</v>
      </c>
      <c r="R259" s="27">
        <v>1.4906134238117374E-3</v>
      </c>
      <c r="S259" s="2">
        <v>0</v>
      </c>
      <c r="T259" s="2" t="s">
        <v>54</v>
      </c>
      <c r="U259" s="2" t="s">
        <v>55</v>
      </c>
      <c r="V259" s="2" t="s">
        <v>38</v>
      </c>
      <c r="W259" s="2" t="s">
        <v>35</v>
      </c>
      <c r="X259" s="2" t="s">
        <v>35</v>
      </c>
      <c r="Y259" s="2" t="s">
        <v>35</v>
      </c>
      <c r="Z259" s="2" t="b">
        <v>0</v>
      </c>
      <c r="AA259" s="2" t="s">
        <v>35</v>
      </c>
      <c r="AB259" s="2" t="s">
        <v>35</v>
      </c>
      <c r="AC259" s="2" t="s">
        <v>35</v>
      </c>
      <c r="AD259" s="2" t="s">
        <v>35</v>
      </c>
      <c r="AE259" s="2" t="s">
        <v>2406</v>
      </c>
      <c r="AF259" s="11">
        <v>44753.409722164353</v>
      </c>
      <c r="AG259" s="53"/>
      <c r="AH259" s="53" t="b">
        <f t="shared" si="6"/>
        <v>0</v>
      </c>
      <c r="AI259" s="54" t="s">
        <v>10064</v>
      </c>
      <c r="AJ259" s="2"/>
      <c r="AK259" s="2"/>
      <c r="AL259" s="2"/>
      <c r="AM259" s="2"/>
      <c r="AN259" s="2"/>
    </row>
    <row r="260" spans="1:40" ht="16" x14ac:dyDescent="0.2">
      <c r="A260" s="2" t="s">
        <v>2529</v>
      </c>
      <c r="B260" s="2">
        <v>782</v>
      </c>
      <c r="C260" s="2" t="b">
        <v>0</v>
      </c>
      <c r="D260" s="2" t="b">
        <v>0</v>
      </c>
      <c r="E260" s="2" t="b">
        <v>0</v>
      </c>
      <c r="F260" s="2" t="b">
        <v>0</v>
      </c>
      <c r="G260" s="2" t="s">
        <v>31</v>
      </c>
      <c r="H260" s="2" t="s">
        <v>2530</v>
      </c>
      <c r="I260" s="2" t="s">
        <v>2531</v>
      </c>
      <c r="J260" s="2" t="s">
        <v>35</v>
      </c>
      <c r="K260" s="2" t="s">
        <v>35</v>
      </c>
      <c r="L260" s="2" t="s">
        <v>35</v>
      </c>
      <c r="M260" s="2">
        <v>6</v>
      </c>
      <c r="N260" s="2">
        <v>14</v>
      </c>
      <c r="O260" s="11">
        <v>44753.477094004629</v>
      </c>
      <c r="P260" s="11">
        <v>44753.477235324077</v>
      </c>
      <c r="Q260" s="27">
        <v>1.41319447720889E-4</v>
      </c>
      <c r="R260" s="27">
        <v>4.5769676216877997E-4</v>
      </c>
      <c r="S260" s="2">
        <v>0</v>
      </c>
      <c r="T260" s="2" t="s">
        <v>54</v>
      </c>
      <c r="U260" s="2" t="s">
        <v>55</v>
      </c>
      <c r="V260" s="2" t="s">
        <v>38</v>
      </c>
      <c r="W260" s="2" t="s">
        <v>35</v>
      </c>
      <c r="X260" s="2" t="s">
        <v>35</v>
      </c>
      <c r="Y260" s="2" t="s">
        <v>35</v>
      </c>
      <c r="Z260" s="2" t="b">
        <v>0</v>
      </c>
      <c r="AA260" s="2" t="s">
        <v>35</v>
      </c>
      <c r="AB260" s="2" t="s">
        <v>35</v>
      </c>
      <c r="AC260" s="2" t="s">
        <v>35</v>
      </c>
      <c r="AD260" s="2" t="s">
        <v>35</v>
      </c>
      <c r="AE260" s="2" t="s">
        <v>2406</v>
      </c>
      <c r="AF260" s="11">
        <v>44753.409722164353</v>
      </c>
      <c r="AG260" s="53"/>
      <c r="AH260" s="53" t="b">
        <f t="shared" si="6"/>
        <v>0</v>
      </c>
      <c r="AI260" s="54" t="s">
        <v>10065</v>
      </c>
      <c r="AJ260" s="2"/>
      <c r="AK260" s="2"/>
      <c r="AL260" s="2"/>
      <c r="AM260" s="2"/>
      <c r="AN260" s="2"/>
    </row>
    <row r="261" spans="1:40" ht="16" x14ac:dyDescent="0.2">
      <c r="A261" s="2" t="s">
        <v>2536</v>
      </c>
      <c r="B261" s="2">
        <v>784</v>
      </c>
      <c r="C261" s="2" t="b">
        <v>0</v>
      </c>
      <c r="D261" s="2" t="b">
        <v>0</v>
      </c>
      <c r="E261" s="2" t="b">
        <v>0</v>
      </c>
      <c r="F261" s="2" t="b">
        <v>0</v>
      </c>
      <c r="G261" s="2" t="s">
        <v>31</v>
      </c>
      <c r="H261" s="2" t="s">
        <v>2537</v>
      </c>
      <c r="I261" s="2" t="s">
        <v>2538</v>
      </c>
      <c r="J261" s="2" t="s">
        <v>35</v>
      </c>
      <c r="K261" s="2" t="s">
        <v>35</v>
      </c>
      <c r="L261" s="2" t="s">
        <v>35</v>
      </c>
      <c r="M261" s="2">
        <v>6</v>
      </c>
      <c r="N261" s="2">
        <v>14</v>
      </c>
      <c r="O261" s="11">
        <v>44753.477733564818</v>
      </c>
      <c r="P261" s="11">
        <v>44753.477910173613</v>
      </c>
      <c r="Q261" s="27">
        <v>1.7660879530012608E-4</v>
      </c>
      <c r="R261" s="27">
        <v>2.725000013015233E-4</v>
      </c>
      <c r="S261" s="2">
        <v>0</v>
      </c>
      <c r="T261" s="2" t="s">
        <v>54</v>
      </c>
      <c r="U261" s="2" t="s">
        <v>55</v>
      </c>
      <c r="V261" s="2" t="s">
        <v>38</v>
      </c>
      <c r="W261" s="2" t="s">
        <v>35</v>
      </c>
      <c r="X261" s="2" t="s">
        <v>35</v>
      </c>
      <c r="Y261" s="2" t="s">
        <v>35</v>
      </c>
      <c r="Z261" s="2" t="b">
        <v>0</v>
      </c>
      <c r="AA261" s="2" t="s">
        <v>35</v>
      </c>
      <c r="AB261" s="2" t="s">
        <v>35</v>
      </c>
      <c r="AC261" s="2" t="s">
        <v>35</v>
      </c>
      <c r="AD261" s="2" t="s">
        <v>35</v>
      </c>
      <c r="AE261" s="2" t="s">
        <v>2406</v>
      </c>
      <c r="AF261" s="11">
        <v>44753.409722164353</v>
      </c>
      <c r="AG261" s="53"/>
      <c r="AH261" s="53" t="b">
        <f t="shared" si="6"/>
        <v>0</v>
      </c>
      <c r="AI261" s="54" t="s">
        <v>9580</v>
      </c>
      <c r="AJ261" s="2"/>
      <c r="AK261" s="2"/>
      <c r="AL261" s="2"/>
      <c r="AM261" s="2"/>
      <c r="AN261" s="2"/>
    </row>
    <row r="262" spans="1:40" ht="16" x14ac:dyDescent="0.2">
      <c r="A262" s="2" t="s">
        <v>2546</v>
      </c>
      <c r="B262" s="2">
        <v>787</v>
      </c>
      <c r="C262" s="2" t="b">
        <v>0</v>
      </c>
      <c r="D262" s="2" t="b">
        <v>0</v>
      </c>
      <c r="E262" s="2" t="b">
        <v>0</v>
      </c>
      <c r="F262" s="2" t="b">
        <v>0</v>
      </c>
      <c r="G262" s="2" t="s">
        <v>31</v>
      </c>
      <c r="H262" s="2" t="s">
        <v>2547</v>
      </c>
      <c r="I262" s="2" t="s">
        <v>2548</v>
      </c>
      <c r="J262" s="2" t="s">
        <v>35</v>
      </c>
      <c r="K262" s="2" t="s">
        <v>35</v>
      </c>
      <c r="L262" s="2" t="s">
        <v>35</v>
      </c>
      <c r="M262" s="2">
        <v>7</v>
      </c>
      <c r="N262" s="2">
        <v>15</v>
      </c>
      <c r="O262" s="11">
        <v>44753.479567997689</v>
      </c>
      <c r="P262" s="11">
        <v>44753.479842025466</v>
      </c>
      <c r="Q262" s="27">
        <v>2.7402777777751908E-4</v>
      </c>
      <c r="R262" s="27">
        <v>8.5608796507585794E-4</v>
      </c>
      <c r="S262" s="2">
        <v>0</v>
      </c>
      <c r="T262" s="2" t="s">
        <v>54</v>
      </c>
      <c r="U262" s="2" t="s">
        <v>55</v>
      </c>
      <c r="V262" s="2" t="s">
        <v>38</v>
      </c>
      <c r="W262" s="2" t="s">
        <v>35</v>
      </c>
      <c r="X262" s="2" t="s">
        <v>35</v>
      </c>
      <c r="Y262" s="2" t="s">
        <v>35</v>
      </c>
      <c r="Z262" s="2" t="b">
        <v>0</v>
      </c>
      <c r="AA262" s="2" t="s">
        <v>35</v>
      </c>
      <c r="AB262" s="2" t="s">
        <v>35</v>
      </c>
      <c r="AC262" s="2" t="s">
        <v>35</v>
      </c>
      <c r="AD262" s="2" t="s">
        <v>35</v>
      </c>
      <c r="AE262" s="2" t="s">
        <v>2406</v>
      </c>
      <c r="AF262" s="11">
        <v>44753.409722164353</v>
      </c>
      <c r="AG262" s="53"/>
      <c r="AH262" s="53" t="b">
        <f t="shared" si="6"/>
        <v>0</v>
      </c>
      <c r="AI262" s="54" t="s">
        <v>10066</v>
      </c>
      <c r="AJ262" s="2"/>
      <c r="AK262" s="2"/>
      <c r="AL262" s="2"/>
      <c r="AM262" s="2"/>
      <c r="AN262" s="2"/>
    </row>
    <row r="263" spans="1:40" ht="16" x14ac:dyDescent="0.2">
      <c r="A263" s="2" t="s">
        <v>2549</v>
      </c>
      <c r="B263" s="2">
        <v>788</v>
      </c>
      <c r="C263" s="2" t="b">
        <v>0</v>
      </c>
      <c r="D263" s="2" t="b">
        <v>0</v>
      </c>
      <c r="E263" s="2" t="b">
        <v>0</v>
      </c>
      <c r="F263" s="2" t="b">
        <v>0</v>
      </c>
      <c r="G263" s="2" t="s">
        <v>31</v>
      </c>
      <c r="H263" s="2" t="s">
        <v>2550</v>
      </c>
      <c r="I263" s="2" t="s">
        <v>2551</v>
      </c>
      <c r="J263" s="2" t="s">
        <v>35</v>
      </c>
      <c r="K263" s="2" t="s">
        <v>35</v>
      </c>
      <c r="L263" s="2" t="s">
        <v>35</v>
      </c>
      <c r="M263" s="2">
        <v>7</v>
      </c>
      <c r="N263" s="2">
        <v>14</v>
      </c>
      <c r="O263" s="11">
        <v>44753.479894606484</v>
      </c>
      <c r="P263" s="11">
        <v>44753.480094236111</v>
      </c>
      <c r="Q263" s="27">
        <v>1.9962962687714025E-4</v>
      </c>
      <c r="R263" s="27">
        <v>2.5221064424840733E-4</v>
      </c>
      <c r="S263" s="2">
        <v>0</v>
      </c>
      <c r="T263" s="2" t="s">
        <v>54</v>
      </c>
      <c r="U263" s="2" t="s">
        <v>55</v>
      </c>
      <c r="V263" s="2" t="s">
        <v>38</v>
      </c>
      <c r="W263" s="2" t="s">
        <v>35</v>
      </c>
      <c r="X263" s="2" t="s">
        <v>35</v>
      </c>
      <c r="Y263" s="2" t="s">
        <v>35</v>
      </c>
      <c r="Z263" s="2" t="b">
        <v>0</v>
      </c>
      <c r="AA263" s="2" t="s">
        <v>35</v>
      </c>
      <c r="AB263" s="2" t="s">
        <v>35</v>
      </c>
      <c r="AC263" s="2" t="s">
        <v>35</v>
      </c>
      <c r="AD263" s="2" t="s">
        <v>35</v>
      </c>
      <c r="AE263" s="2" t="s">
        <v>2406</v>
      </c>
      <c r="AF263" s="11">
        <v>44753.409722164353</v>
      </c>
      <c r="AG263" s="53"/>
      <c r="AH263" s="53" t="b">
        <f t="shared" si="6"/>
        <v>0</v>
      </c>
      <c r="AI263" s="54" t="s">
        <v>10067</v>
      </c>
      <c r="AJ263" s="2"/>
      <c r="AK263" s="2"/>
      <c r="AL263" s="2"/>
      <c r="AM263" s="2"/>
      <c r="AN263" s="2"/>
    </row>
    <row r="264" spans="1:40" ht="16" x14ac:dyDescent="0.2">
      <c r="A264" s="2" t="s">
        <v>2552</v>
      </c>
      <c r="B264" s="2">
        <v>789</v>
      </c>
      <c r="C264" s="2" t="b">
        <v>0</v>
      </c>
      <c r="D264" s="2" t="b">
        <v>0</v>
      </c>
      <c r="E264" s="2" t="b">
        <v>0</v>
      </c>
      <c r="F264" s="2" t="b">
        <v>0</v>
      </c>
      <c r="G264" s="2" t="s">
        <v>31</v>
      </c>
      <c r="H264" s="2" t="s">
        <v>2553</v>
      </c>
      <c r="I264" s="2" t="s">
        <v>2554</v>
      </c>
      <c r="J264" s="2" t="s">
        <v>35</v>
      </c>
      <c r="K264" s="2" t="s">
        <v>35</v>
      </c>
      <c r="L264" s="2" t="s">
        <v>35</v>
      </c>
      <c r="M264" s="2">
        <v>7</v>
      </c>
      <c r="N264" s="2">
        <v>14</v>
      </c>
      <c r="O264" s="11">
        <v>44753.480512615744</v>
      </c>
      <c r="P264" s="11">
        <v>44753.480623321761</v>
      </c>
      <c r="Q264" s="27">
        <v>1.1070601613027975E-4</v>
      </c>
      <c r="R264" s="27">
        <v>5.2908564975950867E-4</v>
      </c>
      <c r="S264" s="2">
        <v>0</v>
      </c>
      <c r="T264" s="2" t="s">
        <v>54</v>
      </c>
      <c r="U264" s="2" t="s">
        <v>55</v>
      </c>
      <c r="V264" s="2" t="s">
        <v>38</v>
      </c>
      <c r="W264" s="2" t="s">
        <v>35</v>
      </c>
      <c r="X264" s="2" t="s">
        <v>35</v>
      </c>
      <c r="Y264" s="2" t="s">
        <v>35</v>
      </c>
      <c r="Z264" s="2" t="b">
        <v>0</v>
      </c>
      <c r="AA264" s="2" t="s">
        <v>35</v>
      </c>
      <c r="AB264" s="2" t="s">
        <v>35</v>
      </c>
      <c r="AC264" s="2" t="s">
        <v>35</v>
      </c>
      <c r="AD264" s="2" t="s">
        <v>35</v>
      </c>
      <c r="AE264" s="2" t="s">
        <v>2406</v>
      </c>
      <c r="AF264" s="11">
        <v>44753.409722164353</v>
      </c>
      <c r="AG264" s="53"/>
      <c r="AH264" s="53" t="b">
        <f t="shared" si="6"/>
        <v>0</v>
      </c>
      <c r="AI264" s="54" t="s">
        <v>10068</v>
      </c>
      <c r="AJ264" s="2"/>
      <c r="AK264" s="2"/>
      <c r="AL264" s="2"/>
      <c r="AM264" s="2"/>
      <c r="AN264" s="2"/>
    </row>
    <row r="265" spans="1:40" ht="16" x14ac:dyDescent="0.2">
      <c r="A265" s="2" t="s">
        <v>2555</v>
      </c>
      <c r="B265" s="2">
        <v>790</v>
      </c>
      <c r="C265" s="2" t="b">
        <v>0</v>
      </c>
      <c r="D265" s="2" t="b">
        <v>0</v>
      </c>
      <c r="E265" s="2" t="b">
        <v>0</v>
      </c>
      <c r="F265" s="2" t="b">
        <v>0</v>
      </c>
      <c r="G265" s="2" t="s">
        <v>31</v>
      </c>
      <c r="H265" s="2" t="s">
        <v>2556</v>
      </c>
      <c r="I265" s="2" t="s">
        <v>2557</v>
      </c>
      <c r="J265" s="2" t="s">
        <v>35</v>
      </c>
      <c r="K265" s="2" t="s">
        <v>35</v>
      </c>
      <c r="L265" s="2" t="s">
        <v>35</v>
      </c>
      <c r="M265" s="2">
        <v>7</v>
      </c>
      <c r="N265" s="2">
        <v>14</v>
      </c>
      <c r="O265" s="11">
        <v>44753.480659108798</v>
      </c>
      <c r="P265" s="11">
        <v>44753.480802303238</v>
      </c>
      <c r="Q265" s="27">
        <v>1.4319444017019123E-4</v>
      </c>
      <c r="R265" s="27">
        <v>1.7898147780215368E-4</v>
      </c>
      <c r="S265" s="2">
        <v>0</v>
      </c>
      <c r="T265" s="2" t="s">
        <v>54</v>
      </c>
      <c r="U265" s="2" t="s">
        <v>55</v>
      </c>
      <c r="V265" s="2" t="s">
        <v>38</v>
      </c>
      <c r="W265" s="2" t="s">
        <v>35</v>
      </c>
      <c r="X265" s="2" t="s">
        <v>35</v>
      </c>
      <c r="Y265" s="2" t="s">
        <v>35</v>
      </c>
      <c r="Z265" s="2" t="b">
        <v>0</v>
      </c>
      <c r="AA265" s="2" t="s">
        <v>35</v>
      </c>
      <c r="AB265" s="2" t="s">
        <v>35</v>
      </c>
      <c r="AC265" s="2" t="s">
        <v>35</v>
      </c>
      <c r="AD265" s="2" t="s">
        <v>35</v>
      </c>
      <c r="AE265" s="2" t="s">
        <v>2406</v>
      </c>
      <c r="AF265" s="11">
        <v>44753.409722164353</v>
      </c>
      <c r="AG265" s="53"/>
      <c r="AH265" s="53" t="b">
        <f t="shared" si="6"/>
        <v>0</v>
      </c>
      <c r="AI265" s="54" t="s">
        <v>10069</v>
      </c>
      <c r="AJ265" s="2"/>
      <c r="AK265" s="2"/>
      <c r="AL265" s="2"/>
      <c r="AM265" s="2"/>
      <c r="AN265" s="2"/>
    </row>
    <row r="266" spans="1:40" ht="16" x14ac:dyDescent="0.2">
      <c r="A266" s="2" t="s">
        <v>2558</v>
      </c>
      <c r="B266" s="2">
        <v>791</v>
      </c>
      <c r="C266" s="2" t="b">
        <v>0</v>
      </c>
      <c r="D266" s="2" t="b">
        <v>0</v>
      </c>
      <c r="E266" s="2" t="b">
        <v>0</v>
      </c>
      <c r="F266" s="2" t="b">
        <v>0</v>
      </c>
      <c r="G266" s="2" t="s">
        <v>31</v>
      </c>
      <c r="H266" s="2" t="s">
        <v>2559</v>
      </c>
      <c r="I266" s="2" t="s">
        <v>2560</v>
      </c>
      <c r="J266" s="2" t="s">
        <v>35</v>
      </c>
      <c r="K266" s="2" t="s">
        <v>35</v>
      </c>
      <c r="L266" s="2" t="s">
        <v>35</v>
      </c>
      <c r="M266" s="2">
        <v>6</v>
      </c>
      <c r="N266" s="2">
        <v>13</v>
      </c>
      <c r="O266" s="11">
        <v>44753.480853321758</v>
      </c>
      <c r="P266" s="11">
        <v>44753.481138750001</v>
      </c>
      <c r="Q266" s="27">
        <v>2.8542824293253943E-4</v>
      </c>
      <c r="R266" s="27">
        <v>3.3644676295807585E-4</v>
      </c>
      <c r="S266" s="2">
        <v>0</v>
      </c>
      <c r="T266" s="2" t="s">
        <v>54</v>
      </c>
      <c r="U266" s="2" t="s">
        <v>55</v>
      </c>
      <c r="V266" s="2" t="s">
        <v>38</v>
      </c>
      <c r="W266" s="2" t="s">
        <v>35</v>
      </c>
      <c r="X266" s="2" t="s">
        <v>35</v>
      </c>
      <c r="Y266" s="2" t="s">
        <v>35</v>
      </c>
      <c r="Z266" s="2" t="b">
        <v>0</v>
      </c>
      <c r="AA266" s="2" t="s">
        <v>35</v>
      </c>
      <c r="AB266" s="2" t="s">
        <v>35</v>
      </c>
      <c r="AC266" s="2" t="s">
        <v>35</v>
      </c>
      <c r="AD266" s="2" t="s">
        <v>35</v>
      </c>
      <c r="AE266" s="2" t="s">
        <v>2406</v>
      </c>
      <c r="AF266" s="11">
        <v>44753.409722164353</v>
      </c>
      <c r="AG266" s="53"/>
      <c r="AH266" s="53" t="b">
        <f t="shared" si="6"/>
        <v>0</v>
      </c>
      <c r="AI266" s="54" t="s">
        <v>10070</v>
      </c>
      <c r="AJ266" s="2"/>
      <c r="AK266" s="2"/>
      <c r="AL266" s="2"/>
      <c r="AM266" s="2"/>
      <c r="AN266" s="2"/>
    </row>
    <row r="267" spans="1:40" ht="16" x14ac:dyDescent="0.2">
      <c r="A267" s="2" t="s">
        <v>2561</v>
      </c>
      <c r="B267" s="2">
        <v>792</v>
      </c>
      <c r="C267" s="2" t="b">
        <v>0</v>
      </c>
      <c r="D267" s="2" t="b">
        <v>0</v>
      </c>
      <c r="E267" s="2" t="b">
        <v>0</v>
      </c>
      <c r="F267" s="2" t="b">
        <v>0</v>
      </c>
      <c r="G267" s="2" t="s">
        <v>31</v>
      </c>
      <c r="H267" s="2" t="s">
        <v>2562</v>
      </c>
      <c r="I267" s="2" t="s">
        <v>2563</v>
      </c>
      <c r="J267" s="2" t="s">
        <v>2564</v>
      </c>
      <c r="K267" s="2" t="s">
        <v>35</v>
      </c>
      <c r="L267" s="2" t="s">
        <v>35</v>
      </c>
      <c r="M267" s="2">
        <v>3</v>
      </c>
      <c r="N267" s="2">
        <v>13</v>
      </c>
      <c r="O267" s="11">
        <v>44753.48119622685</v>
      </c>
      <c r="P267" s="11">
        <v>44753.481500231479</v>
      </c>
      <c r="Q267" s="27">
        <v>3.0400462856050581E-4</v>
      </c>
      <c r="R267" s="27">
        <v>3.614814777392894E-4</v>
      </c>
      <c r="S267" s="2">
        <v>0</v>
      </c>
      <c r="T267" s="2" t="s">
        <v>54</v>
      </c>
      <c r="U267" s="2" t="s">
        <v>55</v>
      </c>
      <c r="V267" s="2" t="s">
        <v>38</v>
      </c>
      <c r="W267" s="2" t="s">
        <v>35</v>
      </c>
      <c r="X267" s="2" t="s">
        <v>35</v>
      </c>
      <c r="Y267" s="2" t="s">
        <v>35</v>
      </c>
      <c r="Z267" s="2" t="b">
        <v>1</v>
      </c>
      <c r="AA267" s="2" t="s">
        <v>35</v>
      </c>
      <c r="AB267" s="2" t="s">
        <v>35</v>
      </c>
      <c r="AC267" s="2" t="s">
        <v>35</v>
      </c>
      <c r="AD267" s="2" t="s">
        <v>35</v>
      </c>
      <c r="AE267" s="2" t="s">
        <v>2406</v>
      </c>
      <c r="AF267" s="11">
        <v>44753.409722164353</v>
      </c>
      <c r="AG267" s="53"/>
      <c r="AH267" s="53" t="b">
        <f t="shared" si="6"/>
        <v>0</v>
      </c>
      <c r="AI267" s="54" t="s">
        <v>10071</v>
      </c>
      <c r="AJ267" s="2"/>
      <c r="AK267" s="2"/>
      <c r="AL267" s="2"/>
      <c r="AM267" s="2"/>
      <c r="AN267" s="2"/>
    </row>
    <row r="268" spans="1:40" ht="16" x14ac:dyDescent="0.2">
      <c r="A268" s="2" t="s">
        <v>2565</v>
      </c>
      <c r="B268" s="2">
        <v>793</v>
      </c>
      <c r="C268" s="2" t="b">
        <v>0</v>
      </c>
      <c r="D268" s="2" t="b">
        <v>0</v>
      </c>
      <c r="E268" s="2" t="b">
        <v>0</v>
      </c>
      <c r="F268" s="2" t="b">
        <v>0</v>
      </c>
      <c r="G268" s="2" t="s">
        <v>31</v>
      </c>
      <c r="H268" s="2" t="s">
        <v>2566</v>
      </c>
      <c r="I268" s="2" t="s">
        <v>2567</v>
      </c>
      <c r="J268" s="2" t="s">
        <v>35</v>
      </c>
      <c r="K268" s="2" t="s">
        <v>35</v>
      </c>
      <c r="L268" s="2" t="s">
        <v>35</v>
      </c>
      <c r="M268" s="2">
        <v>14</v>
      </c>
      <c r="N268" s="2">
        <v>15</v>
      </c>
      <c r="O268" s="11">
        <v>44753.482499571757</v>
      </c>
      <c r="P268" s="11">
        <v>44753.482958321758</v>
      </c>
      <c r="Q268" s="27">
        <v>4.5875000068917871E-4</v>
      </c>
      <c r="R268" s="27">
        <v>1.4580902789020911E-3</v>
      </c>
      <c r="S268" s="2">
        <v>0</v>
      </c>
      <c r="T268" s="2" t="s">
        <v>54</v>
      </c>
      <c r="U268" s="2" t="s">
        <v>55</v>
      </c>
      <c r="V268" s="2" t="s">
        <v>38</v>
      </c>
      <c r="W268" s="2" t="s">
        <v>35</v>
      </c>
      <c r="X268" s="2" t="s">
        <v>35</v>
      </c>
      <c r="Y268" s="2" t="s">
        <v>35</v>
      </c>
      <c r="Z268" s="2" t="b">
        <v>0</v>
      </c>
      <c r="AA268" s="2" t="s">
        <v>35</v>
      </c>
      <c r="AB268" s="2" t="s">
        <v>35</v>
      </c>
      <c r="AC268" s="2" t="s">
        <v>35</v>
      </c>
      <c r="AD268" s="2" t="s">
        <v>35</v>
      </c>
      <c r="AE268" s="2" t="s">
        <v>2406</v>
      </c>
      <c r="AF268" s="11">
        <v>44753.409722164353</v>
      </c>
      <c r="AG268" s="53"/>
      <c r="AH268" s="53" t="b">
        <f t="shared" si="6"/>
        <v>0</v>
      </c>
      <c r="AI268" s="54" t="s">
        <v>10072</v>
      </c>
      <c r="AJ268" s="2"/>
      <c r="AK268" s="2"/>
      <c r="AL268" s="2"/>
      <c r="AM268" s="2"/>
      <c r="AN268" s="2"/>
    </row>
    <row r="269" spans="1:40" ht="16" x14ac:dyDescent="0.2">
      <c r="A269" s="2" t="s">
        <v>2593</v>
      </c>
      <c r="B269" s="2">
        <v>802</v>
      </c>
      <c r="C269" s="2" t="b">
        <v>0</v>
      </c>
      <c r="D269" s="2" t="b">
        <v>0</v>
      </c>
      <c r="E269" s="2" t="b">
        <v>0</v>
      </c>
      <c r="F269" s="2" t="b">
        <v>0</v>
      </c>
      <c r="G269" s="2" t="s">
        <v>31</v>
      </c>
      <c r="H269" s="2" t="s">
        <v>2594</v>
      </c>
      <c r="I269" s="2" t="s">
        <v>2595</v>
      </c>
      <c r="J269" s="2" t="s">
        <v>35</v>
      </c>
      <c r="K269" s="2" t="s">
        <v>35</v>
      </c>
      <c r="L269" s="2" t="s">
        <v>35</v>
      </c>
      <c r="M269" s="2">
        <v>5</v>
      </c>
      <c r="N269" s="2">
        <v>16</v>
      </c>
      <c r="O269" s="11">
        <v>44753.499867395833</v>
      </c>
      <c r="P269" s="11">
        <v>44753.500138750001</v>
      </c>
      <c r="Q269" s="27">
        <v>2.7135416894452646E-4</v>
      </c>
      <c r="R269" s="27">
        <v>1.0255555534968153E-3</v>
      </c>
      <c r="S269" s="2">
        <v>0</v>
      </c>
      <c r="T269" s="2" t="s">
        <v>54</v>
      </c>
      <c r="U269" s="2" t="s">
        <v>55</v>
      </c>
      <c r="V269" s="2" t="s">
        <v>38</v>
      </c>
      <c r="W269" s="2" t="s">
        <v>35</v>
      </c>
      <c r="X269" s="2" t="s">
        <v>35</v>
      </c>
      <c r="Y269" s="2" t="s">
        <v>35</v>
      </c>
      <c r="Z269" s="2" t="b">
        <v>0</v>
      </c>
      <c r="AA269" s="2" t="s">
        <v>35</v>
      </c>
      <c r="AB269" s="2" t="s">
        <v>35</v>
      </c>
      <c r="AC269" s="2" t="s">
        <v>35</v>
      </c>
      <c r="AD269" s="2" t="s">
        <v>35</v>
      </c>
      <c r="AE269" s="2" t="s">
        <v>2406</v>
      </c>
      <c r="AF269" s="11">
        <v>44753.409722164353</v>
      </c>
      <c r="AG269" s="53"/>
      <c r="AH269" s="53" t="b">
        <f t="shared" si="6"/>
        <v>0</v>
      </c>
      <c r="AI269" s="54" t="s">
        <v>10073</v>
      </c>
      <c r="AJ269" s="2"/>
      <c r="AK269" s="2"/>
      <c r="AL269" s="2"/>
      <c r="AM269" s="2"/>
      <c r="AN269" s="2"/>
    </row>
    <row r="270" spans="1:40" ht="16" x14ac:dyDescent="0.2">
      <c r="A270" s="2" t="s">
        <v>2596</v>
      </c>
      <c r="B270" s="2">
        <v>803</v>
      </c>
      <c r="C270" s="2" t="b">
        <v>0</v>
      </c>
      <c r="D270" s="2" t="b">
        <v>0</v>
      </c>
      <c r="E270" s="2" t="b">
        <v>0</v>
      </c>
      <c r="F270" s="2" t="b">
        <v>0</v>
      </c>
      <c r="G270" s="2" t="s">
        <v>31</v>
      </c>
      <c r="H270" s="2" t="s">
        <v>2597</v>
      </c>
      <c r="I270" s="2" t="s">
        <v>2598</v>
      </c>
      <c r="J270" s="2" t="s">
        <v>35</v>
      </c>
      <c r="K270" s="2" t="s">
        <v>35</v>
      </c>
      <c r="L270" s="2" t="s">
        <v>35</v>
      </c>
      <c r="M270" s="2">
        <v>9</v>
      </c>
      <c r="N270" s="2">
        <v>15</v>
      </c>
      <c r="O270" s="11">
        <v>44753.501161979169</v>
      </c>
      <c r="P270" s="11">
        <v>44753.501462534725</v>
      </c>
      <c r="Q270" s="27">
        <v>3.0055555544095114E-4</v>
      </c>
      <c r="R270" s="27">
        <v>1.3237847233540379E-3</v>
      </c>
      <c r="S270" s="2">
        <v>0</v>
      </c>
      <c r="T270" s="2" t="s">
        <v>54</v>
      </c>
      <c r="U270" s="2" t="s">
        <v>55</v>
      </c>
      <c r="V270" s="2" t="s">
        <v>38</v>
      </c>
      <c r="W270" s="2" t="s">
        <v>35</v>
      </c>
      <c r="X270" s="2" t="s">
        <v>35</v>
      </c>
      <c r="Y270" s="2" t="s">
        <v>35</v>
      </c>
      <c r="Z270" s="2" t="b">
        <v>0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2" t="s">
        <v>2406</v>
      </c>
      <c r="AF270" s="11">
        <v>44753.409722164353</v>
      </c>
      <c r="AG270" s="53"/>
      <c r="AH270" s="53" t="b">
        <f t="shared" si="6"/>
        <v>0</v>
      </c>
      <c r="AI270" s="54" t="s">
        <v>10074</v>
      </c>
      <c r="AJ270" s="2"/>
      <c r="AK270" s="2"/>
      <c r="AL270" s="2"/>
      <c r="AM270" s="2"/>
      <c r="AN270" s="2"/>
    </row>
    <row r="271" spans="1:40" ht="16" x14ac:dyDescent="0.2">
      <c r="A271" s="2" t="s">
        <v>2599</v>
      </c>
      <c r="B271" s="2">
        <v>804</v>
      </c>
      <c r="C271" s="2" t="b">
        <v>0</v>
      </c>
      <c r="D271" s="2" t="b">
        <v>0</v>
      </c>
      <c r="E271" s="2" t="b">
        <v>0</v>
      </c>
      <c r="F271" s="2" t="b">
        <v>0</v>
      </c>
      <c r="G271" s="2" t="s">
        <v>31</v>
      </c>
      <c r="H271" s="2" t="s">
        <v>2600</v>
      </c>
      <c r="I271" s="2" t="s">
        <v>2601</v>
      </c>
      <c r="J271" s="2" t="s">
        <v>35</v>
      </c>
      <c r="K271" s="2" t="s">
        <v>35</v>
      </c>
      <c r="L271" s="2" t="s">
        <v>35</v>
      </c>
      <c r="M271" s="2">
        <v>12</v>
      </c>
      <c r="N271" s="2">
        <v>15</v>
      </c>
      <c r="O271" s="11">
        <v>44753.501949201389</v>
      </c>
      <c r="P271" s="11">
        <v>44753.502292569443</v>
      </c>
      <c r="Q271" s="27">
        <v>3.4336805401835591E-4</v>
      </c>
      <c r="R271" s="27">
        <v>8.300347180920653E-4</v>
      </c>
      <c r="S271" s="2">
        <v>0</v>
      </c>
      <c r="T271" s="2" t="s">
        <v>54</v>
      </c>
      <c r="U271" s="2" t="s">
        <v>55</v>
      </c>
      <c r="V271" s="2" t="s">
        <v>38</v>
      </c>
      <c r="W271" s="2" t="s">
        <v>35</v>
      </c>
      <c r="X271" s="2" t="s">
        <v>35</v>
      </c>
      <c r="Y271" s="2" t="s">
        <v>35</v>
      </c>
      <c r="Z271" s="2" t="b">
        <v>0</v>
      </c>
      <c r="AA271" s="2" t="s">
        <v>35</v>
      </c>
      <c r="AB271" s="2" t="s">
        <v>35</v>
      </c>
      <c r="AC271" s="2" t="s">
        <v>35</v>
      </c>
      <c r="AD271" s="2" t="s">
        <v>35</v>
      </c>
      <c r="AE271" s="2" t="s">
        <v>2406</v>
      </c>
      <c r="AF271" s="11">
        <v>44753.409722164353</v>
      </c>
      <c r="AG271" s="53"/>
      <c r="AH271" s="53" t="b">
        <f t="shared" si="6"/>
        <v>0</v>
      </c>
      <c r="AI271" s="54" t="s">
        <v>10075</v>
      </c>
      <c r="AJ271" s="2"/>
      <c r="AK271" s="2"/>
      <c r="AL271" s="2"/>
      <c r="AM271" s="2"/>
      <c r="AN271" s="2"/>
    </row>
    <row r="272" spans="1:40" ht="16" x14ac:dyDescent="0.2">
      <c r="A272" s="2" t="s">
        <v>2651</v>
      </c>
      <c r="B272" s="2">
        <v>821</v>
      </c>
      <c r="C272" s="2" t="b">
        <v>0</v>
      </c>
      <c r="D272" s="2" t="b">
        <v>0</v>
      </c>
      <c r="E272" s="2" t="b">
        <v>0</v>
      </c>
      <c r="F272" s="2" t="b">
        <v>0</v>
      </c>
      <c r="G272" s="2" t="s">
        <v>31</v>
      </c>
      <c r="H272" s="2" t="s">
        <v>2652</v>
      </c>
      <c r="I272" s="2" t="s">
        <v>2653</v>
      </c>
      <c r="J272" s="2" t="s">
        <v>2654</v>
      </c>
      <c r="K272" s="2" t="s">
        <v>35</v>
      </c>
      <c r="L272" s="2" t="s">
        <v>35</v>
      </c>
      <c r="M272" s="2">
        <v>28</v>
      </c>
      <c r="N272" s="2">
        <v>15</v>
      </c>
      <c r="O272" s="11">
        <v>44755.388897569443</v>
      </c>
      <c r="P272" s="11">
        <v>44755.389350914353</v>
      </c>
      <c r="Q272" s="27">
        <v>4.5334491005633026E-4</v>
      </c>
      <c r="R272" s="27">
        <v>1.3677314855158329E-3</v>
      </c>
      <c r="S272" s="2">
        <v>0</v>
      </c>
      <c r="T272" s="2" t="s">
        <v>54</v>
      </c>
      <c r="U272" s="2" t="s">
        <v>55</v>
      </c>
      <c r="V272" s="2" t="s">
        <v>38</v>
      </c>
      <c r="W272" s="2" t="s">
        <v>35</v>
      </c>
      <c r="X272" s="2" t="s">
        <v>35</v>
      </c>
      <c r="Y272" s="2" t="s">
        <v>35</v>
      </c>
      <c r="Z272" s="2" t="b">
        <v>0</v>
      </c>
      <c r="AA272" s="2" t="s">
        <v>35</v>
      </c>
      <c r="AB272" s="2" t="s">
        <v>35</v>
      </c>
      <c r="AC272" s="2" t="s">
        <v>35</v>
      </c>
      <c r="AD272" s="2" t="s">
        <v>35</v>
      </c>
      <c r="AE272" s="2" t="s">
        <v>2650</v>
      </c>
      <c r="AF272" s="11">
        <v>44755.386805555558</v>
      </c>
      <c r="AG272" s="53"/>
      <c r="AH272" s="53" t="b">
        <f t="shared" si="6"/>
        <v>0</v>
      </c>
      <c r="AI272" s="54" t="s">
        <v>10076</v>
      </c>
      <c r="AJ272" s="2"/>
      <c r="AK272" s="2"/>
      <c r="AL272" s="2"/>
      <c r="AM272" s="2"/>
      <c r="AN272" s="2"/>
    </row>
    <row r="273" spans="1:40" ht="16" x14ac:dyDescent="0.2">
      <c r="A273" s="2" t="s">
        <v>2655</v>
      </c>
      <c r="B273" s="2">
        <v>822</v>
      </c>
      <c r="C273" s="2" t="b">
        <v>0</v>
      </c>
      <c r="D273" s="2" t="b">
        <v>0</v>
      </c>
      <c r="E273" s="2" t="b">
        <v>0</v>
      </c>
      <c r="F273" s="2" t="b">
        <v>0</v>
      </c>
      <c r="G273" s="2" t="s">
        <v>31</v>
      </c>
      <c r="H273" s="2" t="s">
        <v>2656</v>
      </c>
      <c r="I273" s="2" t="s">
        <v>2657</v>
      </c>
      <c r="J273" s="2" t="s">
        <v>2658</v>
      </c>
      <c r="K273" s="2" t="s">
        <v>35</v>
      </c>
      <c r="L273" s="2" t="s">
        <v>35</v>
      </c>
      <c r="M273" s="2" t="s">
        <v>35</v>
      </c>
      <c r="N273" s="2" t="s">
        <v>35</v>
      </c>
      <c r="O273" s="11">
        <v>44755.390615428238</v>
      </c>
      <c r="P273" s="11">
        <v>44755.39117884259</v>
      </c>
      <c r="Q273" s="27">
        <v>5.6341435265494511E-4</v>
      </c>
      <c r="R273" s="27">
        <v>1.8279282376170158E-3</v>
      </c>
      <c r="S273" s="2">
        <v>0</v>
      </c>
      <c r="T273" s="2" t="s">
        <v>54</v>
      </c>
      <c r="U273" s="2" t="s">
        <v>55</v>
      </c>
      <c r="V273" s="2" t="s">
        <v>38</v>
      </c>
      <c r="W273" s="2" t="s">
        <v>35</v>
      </c>
      <c r="X273" s="2" t="s">
        <v>35</v>
      </c>
      <c r="Y273" s="2" t="s">
        <v>35</v>
      </c>
      <c r="Z273" s="2" t="b">
        <v>0</v>
      </c>
      <c r="AA273" s="2" t="s">
        <v>35</v>
      </c>
      <c r="AB273" s="2" t="s">
        <v>35</v>
      </c>
      <c r="AC273" s="2" t="s">
        <v>35</v>
      </c>
      <c r="AD273" s="2" t="s">
        <v>35</v>
      </c>
      <c r="AE273" s="2" t="s">
        <v>2650</v>
      </c>
      <c r="AF273" s="11">
        <v>44755.386805555558</v>
      </c>
      <c r="AG273" s="53"/>
      <c r="AH273" s="53" t="b">
        <f t="shared" si="6"/>
        <v>0</v>
      </c>
      <c r="AI273" s="54" t="s">
        <v>10077</v>
      </c>
      <c r="AJ273" s="2"/>
      <c r="AK273" s="2"/>
      <c r="AL273" s="2"/>
      <c r="AM273" s="2"/>
      <c r="AN273" s="2"/>
    </row>
    <row r="274" spans="1:40" ht="16" x14ac:dyDescent="0.2">
      <c r="A274" s="2" t="s">
        <v>2659</v>
      </c>
      <c r="B274" s="2">
        <v>823</v>
      </c>
      <c r="C274" s="2" t="b">
        <v>0</v>
      </c>
      <c r="D274" s="2" t="b">
        <v>0</v>
      </c>
      <c r="E274" s="2" t="b">
        <v>0</v>
      </c>
      <c r="F274" s="2" t="b">
        <v>0</v>
      </c>
      <c r="G274" s="2" t="s">
        <v>31</v>
      </c>
      <c r="H274" s="2" t="s">
        <v>2660</v>
      </c>
      <c r="I274" s="2" t="s">
        <v>2661</v>
      </c>
      <c r="J274" s="2" t="s">
        <v>2662</v>
      </c>
      <c r="K274" s="2" t="s">
        <v>35</v>
      </c>
      <c r="L274" s="2" t="s">
        <v>35</v>
      </c>
      <c r="M274" s="2" t="s">
        <v>35</v>
      </c>
      <c r="N274" s="2" t="s">
        <v>35</v>
      </c>
      <c r="O274" s="11">
        <v>44755.391227870372</v>
      </c>
      <c r="P274" s="11">
        <v>44755.391420983797</v>
      </c>
      <c r="Q274" s="27">
        <v>1.9311342475702986E-4</v>
      </c>
      <c r="R274" s="27">
        <v>2.4214120639953762E-4</v>
      </c>
      <c r="S274" s="2">
        <v>0</v>
      </c>
      <c r="T274" s="2" t="s">
        <v>54</v>
      </c>
      <c r="U274" s="2" t="s">
        <v>55</v>
      </c>
      <c r="V274" s="2" t="s">
        <v>38</v>
      </c>
      <c r="W274" s="2" t="s">
        <v>35</v>
      </c>
      <c r="X274" s="2" t="s">
        <v>35</v>
      </c>
      <c r="Y274" s="2" t="s">
        <v>35</v>
      </c>
      <c r="Z274" s="2" t="b">
        <v>0</v>
      </c>
      <c r="AA274" s="2" t="s">
        <v>35</v>
      </c>
      <c r="AB274" s="2" t="s">
        <v>35</v>
      </c>
      <c r="AC274" s="2" t="s">
        <v>35</v>
      </c>
      <c r="AD274" s="2" t="s">
        <v>35</v>
      </c>
      <c r="AE274" s="2" t="s">
        <v>2650</v>
      </c>
      <c r="AF274" s="11">
        <v>44755.386805555558</v>
      </c>
      <c r="AG274" s="53"/>
      <c r="AH274" s="53" t="b">
        <f t="shared" si="6"/>
        <v>0</v>
      </c>
      <c r="AI274" s="54" t="s">
        <v>10078</v>
      </c>
      <c r="AJ274" s="2"/>
      <c r="AK274" s="2"/>
      <c r="AL274" s="2"/>
      <c r="AM274" s="2"/>
      <c r="AN274" s="2"/>
    </row>
    <row r="275" spans="1:40" ht="16" x14ac:dyDescent="0.2">
      <c r="A275" s="2" t="s">
        <v>2663</v>
      </c>
      <c r="B275" s="2">
        <v>824</v>
      </c>
      <c r="C275" s="2" t="b">
        <v>0</v>
      </c>
      <c r="D275" s="2" t="b">
        <v>0</v>
      </c>
      <c r="E275" s="2" t="b">
        <v>0</v>
      </c>
      <c r="F275" s="2" t="b">
        <v>0</v>
      </c>
      <c r="G275" s="2" t="s">
        <v>31</v>
      </c>
      <c r="H275" s="2" t="s">
        <v>2664</v>
      </c>
      <c r="I275" s="2" t="s">
        <v>2665</v>
      </c>
      <c r="J275" s="2" t="s">
        <v>35</v>
      </c>
      <c r="K275" s="2" t="s">
        <v>35</v>
      </c>
      <c r="L275" s="2" t="s">
        <v>35</v>
      </c>
      <c r="M275" s="2">
        <v>28</v>
      </c>
      <c r="N275" s="2">
        <v>15</v>
      </c>
      <c r="O275" s="11">
        <v>44755.391467118054</v>
      </c>
      <c r="P275" s="11">
        <v>44755.391877372684</v>
      </c>
      <c r="Q275" s="27">
        <v>4.102546299691312E-4</v>
      </c>
      <c r="R275" s="27">
        <v>4.5638888695975766E-4</v>
      </c>
      <c r="S275" s="2">
        <v>0</v>
      </c>
      <c r="T275" s="2" t="s">
        <v>54</v>
      </c>
      <c r="U275" s="2" t="s">
        <v>55</v>
      </c>
      <c r="V275" s="2" t="s">
        <v>38</v>
      </c>
      <c r="W275" s="2" t="s">
        <v>35</v>
      </c>
      <c r="X275" s="2" t="s">
        <v>35</v>
      </c>
      <c r="Y275" s="2" t="s">
        <v>35</v>
      </c>
      <c r="Z275" s="2" t="b">
        <v>0</v>
      </c>
      <c r="AA275" s="2" t="s">
        <v>35</v>
      </c>
      <c r="AB275" s="2" t="s">
        <v>35</v>
      </c>
      <c r="AC275" s="2" t="s">
        <v>35</v>
      </c>
      <c r="AD275" s="2" t="s">
        <v>35</v>
      </c>
      <c r="AE275" s="2" t="s">
        <v>2650</v>
      </c>
      <c r="AF275" s="11">
        <v>44755.386805555558</v>
      </c>
      <c r="AG275" s="53"/>
      <c r="AH275" s="53" t="b">
        <f t="shared" si="6"/>
        <v>0</v>
      </c>
      <c r="AI275" s="54" t="s">
        <v>10079</v>
      </c>
      <c r="AJ275" s="2"/>
      <c r="AK275" s="2"/>
      <c r="AL275" s="2"/>
      <c r="AM275" s="2"/>
      <c r="AN275" s="2"/>
    </row>
    <row r="276" spans="1:40" ht="16" x14ac:dyDescent="0.2">
      <c r="A276" s="2" t="s">
        <v>2725</v>
      </c>
      <c r="B276" s="2">
        <v>843</v>
      </c>
      <c r="C276" s="2" t="b">
        <v>0</v>
      </c>
      <c r="D276" s="2" t="b">
        <v>0</v>
      </c>
      <c r="E276" s="2" t="b">
        <v>0</v>
      </c>
      <c r="F276" s="2" t="b">
        <v>0</v>
      </c>
      <c r="G276" s="2" t="s">
        <v>31</v>
      </c>
      <c r="H276" s="2" t="s">
        <v>2726</v>
      </c>
      <c r="I276" s="2" t="s">
        <v>2727</v>
      </c>
      <c r="J276" s="2" t="s">
        <v>35</v>
      </c>
      <c r="K276" s="2" t="s">
        <v>35</v>
      </c>
      <c r="L276" s="2" t="s">
        <v>35</v>
      </c>
      <c r="M276" s="2">
        <v>7</v>
      </c>
      <c r="N276" s="2">
        <v>15</v>
      </c>
      <c r="O276" s="11">
        <v>44755.416144270836</v>
      </c>
      <c r="P276" s="11">
        <v>44755.416528807873</v>
      </c>
      <c r="Q276" s="27">
        <v>3.8453703746199608E-4</v>
      </c>
      <c r="R276" s="27">
        <v>5.1456018991302699E-4</v>
      </c>
      <c r="S276" s="2">
        <v>0</v>
      </c>
      <c r="T276" s="2" t="s">
        <v>54</v>
      </c>
      <c r="U276" s="2" t="s">
        <v>55</v>
      </c>
      <c r="V276" s="2" t="s">
        <v>38</v>
      </c>
      <c r="W276" s="2" t="s">
        <v>35</v>
      </c>
      <c r="X276" s="2" t="s">
        <v>35</v>
      </c>
      <c r="Y276" s="2" t="s">
        <v>35</v>
      </c>
      <c r="Z276" s="2" t="b">
        <v>0</v>
      </c>
      <c r="AA276" s="2" t="s">
        <v>35</v>
      </c>
      <c r="AB276" s="2" t="s">
        <v>35</v>
      </c>
      <c r="AC276" s="2" t="s">
        <v>35</v>
      </c>
      <c r="AD276" s="2" t="s">
        <v>35</v>
      </c>
      <c r="AE276" s="2" t="s">
        <v>2650</v>
      </c>
      <c r="AF276" s="11">
        <v>44755.386805555558</v>
      </c>
      <c r="AG276" s="53"/>
      <c r="AH276" s="53" t="b">
        <f t="shared" si="6"/>
        <v>0</v>
      </c>
      <c r="AI276" s="54" t="s">
        <v>10080</v>
      </c>
      <c r="AJ276" s="2"/>
      <c r="AK276" s="2"/>
      <c r="AL276" s="2"/>
      <c r="AM276" s="2"/>
      <c r="AN276" s="2"/>
    </row>
    <row r="277" spans="1:40" ht="16" x14ac:dyDescent="0.2">
      <c r="A277" s="2" t="s">
        <v>2741</v>
      </c>
      <c r="B277" s="2">
        <v>848</v>
      </c>
      <c r="C277" s="2" t="b">
        <v>0</v>
      </c>
      <c r="D277" s="2" t="b">
        <v>0</v>
      </c>
      <c r="E277" s="2" t="b">
        <v>0</v>
      </c>
      <c r="F277" s="2" t="b">
        <v>0</v>
      </c>
      <c r="G277" s="2" t="s">
        <v>31</v>
      </c>
      <c r="H277" s="2" t="s">
        <v>2742</v>
      </c>
      <c r="I277" s="2" t="s">
        <v>2743</v>
      </c>
      <c r="J277" s="2" t="s">
        <v>2744</v>
      </c>
      <c r="K277" s="2" t="s">
        <v>35</v>
      </c>
      <c r="L277" s="2" t="s">
        <v>35</v>
      </c>
      <c r="M277" s="2">
        <v>42</v>
      </c>
      <c r="N277" s="2">
        <v>15</v>
      </c>
      <c r="O277" s="11">
        <v>44755.419190694447</v>
      </c>
      <c r="P277" s="11">
        <v>44755.421055011575</v>
      </c>
      <c r="Q277" s="27">
        <v>1.8643171279109083E-3</v>
      </c>
      <c r="R277" s="27">
        <v>1.9022569467779249E-3</v>
      </c>
      <c r="S277" s="2">
        <v>0</v>
      </c>
      <c r="T277" s="2" t="s">
        <v>54</v>
      </c>
      <c r="U277" s="2" t="s">
        <v>55</v>
      </c>
      <c r="V277" s="2" t="s">
        <v>38</v>
      </c>
      <c r="W277" s="2" t="s">
        <v>35</v>
      </c>
      <c r="X277" s="2" t="s">
        <v>35</v>
      </c>
      <c r="Y277" s="2" t="s">
        <v>35</v>
      </c>
      <c r="Z277" s="2" t="b">
        <v>0</v>
      </c>
      <c r="AA277" s="2" t="s">
        <v>35</v>
      </c>
      <c r="AB277" s="2" t="s">
        <v>35</v>
      </c>
      <c r="AC277" s="2" t="s">
        <v>35</v>
      </c>
      <c r="AD277" s="2" t="s">
        <v>35</v>
      </c>
      <c r="AE277" s="2" t="s">
        <v>2650</v>
      </c>
      <c r="AF277" s="11">
        <v>44755.386805555558</v>
      </c>
      <c r="AG277" s="53"/>
      <c r="AH277" s="53" t="str">
        <f t="shared" si="6"/>
        <v>TRUE</v>
      </c>
      <c r="AI277" s="54" t="s">
        <v>10081</v>
      </c>
      <c r="AJ277" s="2"/>
      <c r="AK277" s="2"/>
      <c r="AL277" s="2"/>
      <c r="AM277" s="2"/>
      <c r="AN277" s="2"/>
    </row>
    <row r="278" spans="1:40" ht="16" x14ac:dyDescent="0.2">
      <c r="A278" s="2" t="s">
        <v>2745</v>
      </c>
      <c r="B278" s="2">
        <v>849</v>
      </c>
      <c r="C278" s="2" t="b">
        <v>0</v>
      </c>
      <c r="D278" s="2" t="b">
        <v>0</v>
      </c>
      <c r="E278" s="2" t="b">
        <v>0</v>
      </c>
      <c r="F278" s="2" t="b">
        <v>0</v>
      </c>
      <c r="G278" s="2" t="s">
        <v>31</v>
      </c>
      <c r="H278" s="2" t="s">
        <v>2746</v>
      </c>
      <c r="I278" s="2" t="s">
        <v>2747</v>
      </c>
      <c r="J278" s="2" t="s">
        <v>2748</v>
      </c>
      <c r="K278" s="2" t="s">
        <v>35</v>
      </c>
      <c r="L278" s="2" t="s">
        <v>35</v>
      </c>
      <c r="M278" s="2">
        <v>48</v>
      </c>
      <c r="N278" s="2">
        <v>15</v>
      </c>
      <c r="O278" s="11">
        <v>44755.421779328703</v>
      </c>
      <c r="P278" s="11">
        <v>44755.422931157409</v>
      </c>
      <c r="Q278" s="27">
        <v>1.1518287064973265E-3</v>
      </c>
      <c r="R278" s="27">
        <v>1.8761458341032267E-3</v>
      </c>
      <c r="S278" s="2">
        <v>0</v>
      </c>
      <c r="T278" s="2" t="s">
        <v>54</v>
      </c>
      <c r="U278" s="2" t="s">
        <v>55</v>
      </c>
      <c r="V278" s="2" t="s">
        <v>38</v>
      </c>
      <c r="W278" s="2" t="s">
        <v>35</v>
      </c>
      <c r="X278" s="2" t="s">
        <v>35</v>
      </c>
      <c r="Y278" s="2" t="s">
        <v>35</v>
      </c>
      <c r="Z278" s="2" t="b">
        <v>0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2" t="s">
        <v>2650</v>
      </c>
      <c r="AF278" s="11">
        <v>44755.386805555558</v>
      </c>
      <c r="AG278" s="53"/>
      <c r="AH278" s="53" t="str">
        <f t="shared" si="6"/>
        <v>TRUE</v>
      </c>
      <c r="AI278" s="54" t="s">
        <v>9579</v>
      </c>
      <c r="AJ278" s="2"/>
      <c r="AK278" s="2"/>
      <c r="AL278" s="2"/>
      <c r="AM278" s="2"/>
      <c r="AN278" s="2"/>
    </row>
    <row r="279" spans="1:40" ht="16" x14ac:dyDescent="0.2">
      <c r="A279" s="2" t="s">
        <v>2790</v>
      </c>
      <c r="B279" s="2">
        <v>863</v>
      </c>
      <c r="C279" s="2" t="b">
        <v>0</v>
      </c>
      <c r="D279" s="2" t="b">
        <v>0</v>
      </c>
      <c r="E279" s="2" t="b">
        <v>0</v>
      </c>
      <c r="F279" s="2" t="b">
        <v>0</v>
      </c>
      <c r="G279" s="2" t="s">
        <v>31</v>
      </c>
      <c r="H279" s="2" t="s">
        <v>2791</v>
      </c>
      <c r="I279" s="2" t="s">
        <v>2792</v>
      </c>
      <c r="J279" s="2" t="s">
        <v>35</v>
      </c>
      <c r="K279" s="2" t="s">
        <v>35</v>
      </c>
      <c r="L279" s="2" t="s">
        <v>35</v>
      </c>
      <c r="M279" s="2">
        <v>37</v>
      </c>
      <c r="N279" s="2">
        <v>18</v>
      </c>
      <c r="O279" s="11">
        <v>44755.440609131947</v>
      </c>
      <c r="P279" s="11">
        <v>44755.44212861111</v>
      </c>
      <c r="Q279" s="27">
        <v>1.5194791631074622E-3</v>
      </c>
      <c r="R279" s="27">
        <v>2.3495949062635191E-3</v>
      </c>
      <c r="S279" s="2">
        <v>0</v>
      </c>
      <c r="T279" s="2" t="s">
        <v>54</v>
      </c>
      <c r="U279" s="2" t="s">
        <v>55</v>
      </c>
      <c r="V279" s="2" t="s">
        <v>38</v>
      </c>
      <c r="W279" s="2" t="s">
        <v>35</v>
      </c>
      <c r="X279" s="2" t="s">
        <v>35</v>
      </c>
      <c r="Y279" s="2" t="s">
        <v>35</v>
      </c>
      <c r="Z279" s="2" t="b">
        <v>0</v>
      </c>
      <c r="AA279" s="2" t="s">
        <v>35</v>
      </c>
      <c r="AB279" s="2" t="s">
        <v>35</v>
      </c>
      <c r="AC279" s="2" t="s">
        <v>35</v>
      </c>
      <c r="AD279" s="2" t="s">
        <v>35</v>
      </c>
      <c r="AE279" s="2" t="s">
        <v>2650</v>
      </c>
      <c r="AF279" s="11">
        <v>44755.386805555558</v>
      </c>
      <c r="AG279" s="53"/>
      <c r="AH279" s="53" t="str">
        <f t="shared" si="6"/>
        <v>TRUE</v>
      </c>
      <c r="AI279" s="54" t="s">
        <v>10082</v>
      </c>
      <c r="AJ279" s="2" t="s">
        <v>10083</v>
      </c>
      <c r="AK279" s="2"/>
      <c r="AL279" s="2"/>
      <c r="AM279" s="2"/>
      <c r="AN279" s="2"/>
    </row>
    <row r="280" spans="1:40" ht="16" x14ac:dyDescent="0.2">
      <c r="A280" s="2" t="s">
        <v>2796</v>
      </c>
      <c r="B280" s="2">
        <v>865</v>
      </c>
      <c r="C280" s="2" t="b">
        <v>0</v>
      </c>
      <c r="D280" s="2" t="b">
        <v>0</v>
      </c>
      <c r="E280" s="2" t="b">
        <v>0</v>
      </c>
      <c r="F280" s="2" t="b">
        <v>0</v>
      </c>
      <c r="G280" s="2" t="s">
        <v>31</v>
      </c>
      <c r="H280" s="2" t="s">
        <v>2797</v>
      </c>
      <c r="I280" s="2" t="s">
        <v>2798</v>
      </c>
      <c r="J280" s="2" t="s">
        <v>1574</v>
      </c>
      <c r="K280" s="2" t="s">
        <v>35</v>
      </c>
      <c r="L280" s="2" t="s">
        <v>35</v>
      </c>
      <c r="M280" s="2">
        <v>7</v>
      </c>
      <c r="N280" s="2">
        <v>11</v>
      </c>
      <c r="O280" s="11">
        <v>44755.443054699077</v>
      </c>
      <c r="P280" s="11">
        <v>44755.443518252316</v>
      </c>
      <c r="Q280" s="27">
        <v>4.6355323866009712E-4</v>
      </c>
      <c r="R280" s="27">
        <v>5.0644676230149344E-4</v>
      </c>
      <c r="S280" s="2">
        <v>0</v>
      </c>
      <c r="T280" s="2" t="s">
        <v>54</v>
      </c>
      <c r="U280" s="2" t="s">
        <v>55</v>
      </c>
      <c r="V280" s="2" t="s">
        <v>38</v>
      </c>
      <c r="W280" s="2" t="s">
        <v>35</v>
      </c>
      <c r="X280" s="2" t="s">
        <v>35</v>
      </c>
      <c r="Y280" s="2" t="s">
        <v>35</v>
      </c>
      <c r="Z280" s="2" t="b">
        <v>1</v>
      </c>
      <c r="AA280" s="2" t="s">
        <v>35</v>
      </c>
      <c r="AB280" s="2" t="s">
        <v>35</v>
      </c>
      <c r="AC280" s="2" t="s">
        <v>35</v>
      </c>
      <c r="AD280" s="2" t="s">
        <v>35</v>
      </c>
      <c r="AE280" s="2" t="s">
        <v>2650</v>
      </c>
      <c r="AF280" s="11">
        <v>44755.386805555558</v>
      </c>
      <c r="AG280" s="53"/>
      <c r="AH280" s="53" t="b">
        <f t="shared" si="6"/>
        <v>0</v>
      </c>
      <c r="AI280" s="54" t="s">
        <v>10084</v>
      </c>
      <c r="AJ280" s="2"/>
      <c r="AK280" s="2"/>
      <c r="AL280" s="2"/>
      <c r="AM280" s="2"/>
      <c r="AN280" s="2"/>
    </row>
    <row r="281" spans="1:40" ht="16" x14ac:dyDescent="0.2">
      <c r="A281" s="2" t="s">
        <v>2808</v>
      </c>
      <c r="B281" s="2">
        <v>869</v>
      </c>
      <c r="C281" s="2" t="b">
        <v>0</v>
      </c>
      <c r="D281" s="2" t="b">
        <v>0</v>
      </c>
      <c r="E281" s="2" t="b">
        <v>0</v>
      </c>
      <c r="F281" s="2" t="b">
        <v>0</v>
      </c>
      <c r="G281" s="2" t="s">
        <v>31</v>
      </c>
      <c r="H281" s="2" t="s">
        <v>2809</v>
      </c>
      <c r="I281" s="2" t="s">
        <v>2810</v>
      </c>
      <c r="J281" s="2" t="s">
        <v>35</v>
      </c>
      <c r="K281" s="2" t="s">
        <v>35</v>
      </c>
      <c r="L281" s="2" t="s">
        <v>35</v>
      </c>
      <c r="M281" s="2">
        <v>11</v>
      </c>
      <c r="N281" s="2">
        <v>15</v>
      </c>
      <c r="O281" s="11">
        <v>44755.446423576388</v>
      </c>
      <c r="P281" s="11">
        <v>44755.446643715281</v>
      </c>
      <c r="Q281" s="27">
        <v>2.201388924731873E-4</v>
      </c>
      <c r="R281" s="27">
        <v>4.7763888869667426E-4</v>
      </c>
      <c r="S281" s="2">
        <v>0</v>
      </c>
      <c r="T281" s="2" t="s">
        <v>54</v>
      </c>
      <c r="U281" s="2" t="s">
        <v>55</v>
      </c>
      <c r="V281" s="2" t="s">
        <v>38</v>
      </c>
      <c r="W281" s="2" t="s">
        <v>35</v>
      </c>
      <c r="X281" s="2" t="s">
        <v>35</v>
      </c>
      <c r="Y281" s="2" t="s">
        <v>35</v>
      </c>
      <c r="Z281" s="2" t="b">
        <v>0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2" t="s">
        <v>2650</v>
      </c>
      <c r="AF281" s="11">
        <v>44755.386805555558</v>
      </c>
      <c r="AG281" s="53"/>
      <c r="AH281" s="53" t="b">
        <f t="shared" si="6"/>
        <v>0</v>
      </c>
      <c r="AI281" s="54" t="s">
        <v>10085</v>
      </c>
      <c r="AJ281" s="2"/>
      <c r="AK281" s="2"/>
      <c r="AL281" s="2"/>
      <c r="AM281" s="2"/>
      <c r="AN281" s="2"/>
    </row>
    <row r="282" spans="1:40" ht="16" x14ac:dyDescent="0.2">
      <c r="A282" s="2" t="s">
        <v>2811</v>
      </c>
      <c r="B282" s="2">
        <v>870</v>
      </c>
      <c r="C282" s="2" t="b">
        <v>0</v>
      </c>
      <c r="D282" s="2" t="b">
        <v>0</v>
      </c>
      <c r="E282" s="2" t="b">
        <v>0</v>
      </c>
      <c r="F282" s="2" t="b">
        <v>0</v>
      </c>
      <c r="G282" s="2" t="s">
        <v>31</v>
      </c>
      <c r="H282" s="2" t="s">
        <v>2812</v>
      </c>
      <c r="I282" s="2" t="s">
        <v>2813</v>
      </c>
      <c r="J282" s="2" t="s">
        <v>35</v>
      </c>
      <c r="K282" s="2" t="s">
        <v>35</v>
      </c>
      <c r="L282" s="2" t="s">
        <v>35</v>
      </c>
      <c r="M282" s="2">
        <v>10</v>
      </c>
      <c r="N282" s="2">
        <v>15</v>
      </c>
      <c r="O282" s="11">
        <v>44755.449301666667</v>
      </c>
      <c r="P282" s="11">
        <v>44755.44957203704</v>
      </c>
      <c r="Q282" s="27">
        <v>2.7037037216359749E-4</v>
      </c>
      <c r="R282" s="27">
        <v>2.9283217591000721E-3</v>
      </c>
      <c r="S282" s="2">
        <v>0</v>
      </c>
      <c r="T282" s="2" t="s">
        <v>54</v>
      </c>
      <c r="U282" s="2" t="s">
        <v>55</v>
      </c>
      <c r="V282" s="2" t="s">
        <v>38</v>
      </c>
      <c r="W282" s="2" t="s">
        <v>35</v>
      </c>
      <c r="X282" s="2" t="s">
        <v>35</v>
      </c>
      <c r="Y282" s="2" t="s">
        <v>35</v>
      </c>
      <c r="Z282" s="2" t="b">
        <v>0</v>
      </c>
      <c r="AA282" s="2" t="s">
        <v>35</v>
      </c>
      <c r="AB282" s="2" t="s">
        <v>35</v>
      </c>
      <c r="AC282" s="2" t="s">
        <v>35</v>
      </c>
      <c r="AD282" s="2" t="s">
        <v>35</v>
      </c>
      <c r="AE282" s="2" t="s">
        <v>2650</v>
      </c>
      <c r="AF282" s="11">
        <v>44755.386805555558</v>
      </c>
      <c r="AG282" s="53"/>
      <c r="AH282" s="53" t="b">
        <f t="shared" si="6"/>
        <v>0</v>
      </c>
      <c r="AI282" s="54" t="s">
        <v>9578</v>
      </c>
      <c r="AJ282" s="2"/>
      <c r="AK282" s="2"/>
      <c r="AL282" s="2"/>
      <c r="AM282" s="2"/>
      <c r="AN282" s="2"/>
    </row>
    <row r="283" spans="1:40" ht="16" x14ac:dyDescent="0.2">
      <c r="A283" s="2" t="s">
        <v>2834</v>
      </c>
      <c r="B283" s="2">
        <v>877</v>
      </c>
      <c r="C283" s="2" t="b">
        <v>0</v>
      </c>
      <c r="D283" s="2" t="b">
        <v>0</v>
      </c>
      <c r="E283" s="2" t="b">
        <v>0</v>
      </c>
      <c r="F283" s="2" t="b">
        <v>0</v>
      </c>
      <c r="G283" s="2" t="s">
        <v>31</v>
      </c>
      <c r="H283" s="2" t="s">
        <v>2835</v>
      </c>
      <c r="I283" s="2" t="s">
        <v>2836</v>
      </c>
      <c r="J283" s="2" t="s">
        <v>35</v>
      </c>
      <c r="K283" s="2" t="s">
        <v>35</v>
      </c>
      <c r="L283" s="2" t="s">
        <v>35</v>
      </c>
      <c r="M283" s="2">
        <v>12</v>
      </c>
      <c r="N283" s="2">
        <v>13</v>
      </c>
      <c r="O283" s="11">
        <v>44755.458208784723</v>
      </c>
      <c r="P283" s="11">
        <v>44755.458530601849</v>
      </c>
      <c r="Q283" s="27">
        <v>3.2181712595047429E-4</v>
      </c>
      <c r="R283" s="27">
        <v>3.5857638431480154E-4</v>
      </c>
      <c r="S283" s="2">
        <v>0</v>
      </c>
      <c r="T283" s="2" t="s">
        <v>54</v>
      </c>
      <c r="U283" s="2" t="s">
        <v>55</v>
      </c>
      <c r="V283" s="2" t="s">
        <v>38</v>
      </c>
      <c r="W283" s="2" t="s">
        <v>35</v>
      </c>
      <c r="X283" s="2" t="s">
        <v>35</v>
      </c>
      <c r="Y283" s="2" t="s">
        <v>35</v>
      </c>
      <c r="Z283" s="2" t="b">
        <v>0</v>
      </c>
      <c r="AA283" s="2" t="s">
        <v>35</v>
      </c>
      <c r="AB283" s="2" t="s">
        <v>35</v>
      </c>
      <c r="AC283" s="2" t="s">
        <v>35</v>
      </c>
      <c r="AD283" s="2" t="s">
        <v>35</v>
      </c>
      <c r="AE283" s="2" t="s">
        <v>2650</v>
      </c>
      <c r="AF283" s="11">
        <v>44755.386805555558</v>
      </c>
      <c r="AG283" s="53"/>
      <c r="AH283" s="53" t="b">
        <f t="shared" si="6"/>
        <v>0</v>
      </c>
      <c r="AI283" s="54" t="s">
        <v>10086</v>
      </c>
      <c r="AJ283" s="2"/>
      <c r="AK283" s="2"/>
      <c r="AL283" s="2"/>
      <c r="AM283" s="2"/>
      <c r="AN283" s="2"/>
    </row>
    <row r="284" spans="1:40" ht="16" x14ac:dyDescent="0.2">
      <c r="A284" s="2" t="s">
        <v>2844</v>
      </c>
      <c r="B284" s="2">
        <v>880</v>
      </c>
      <c r="C284" s="2" t="b">
        <v>0</v>
      </c>
      <c r="D284" s="2" t="b">
        <v>0</v>
      </c>
      <c r="E284" s="2" t="b">
        <v>0</v>
      </c>
      <c r="F284" s="2" t="b">
        <v>0</v>
      </c>
      <c r="G284" s="2" t="s">
        <v>31</v>
      </c>
      <c r="H284" s="2" t="s">
        <v>2845</v>
      </c>
      <c r="I284" s="2" t="s">
        <v>2846</v>
      </c>
      <c r="J284" s="2" t="s">
        <v>35</v>
      </c>
      <c r="K284" s="2" t="s">
        <v>35</v>
      </c>
      <c r="L284" s="2" t="s">
        <v>35</v>
      </c>
      <c r="M284" s="2">
        <v>12</v>
      </c>
      <c r="N284" s="2">
        <v>17</v>
      </c>
      <c r="O284" s="11">
        <v>44762.35333445602</v>
      </c>
      <c r="P284" s="11">
        <v>44762.353851678243</v>
      </c>
      <c r="Q284" s="27">
        <v>5.1722222269745544E-4</v>
      </c>
      <c r="R284" s="27">
        <v>5.757175968028605E-4</v>
      </c>
      <c r="S284" s="2">
        <v>0</v>
      </c>
      <c r="T284" s="2" t="s">
        <v>54</v>
      </c>
      <c r="U284" s="2" t="s">
        <v>55</v>
      </c>
      <c r="V284" s="2" t="s">
        <v>38</v>
      </c>
      <c r="W284" s="2" t="s">
        <v>35</v>
      </c>
      <c r="X284" s="2" t="s">
        <v>35</v>
      </c>
      <c r="Y284" s="2" t="s">
        <v>35</v>
      </c>
      <c r="Z284" s="2" t="b">
        <v>0</v>
      </c>
      <c r="AA284" s="2" t="s">
        <v>35</v>
      </c>
      <c r="AB284" s="2" t="s">
        <v>35</v>
      </c>
      <c r="AC284" s="2" t="s">
        <v>35</v>
      </c>
      <c r="AD284" s="2" t="s">
        <v>35</v>
      </c>
      <c r="AE284" s="2" t="s">
        <v>2840</v>
      </c>
      <c r="AF284" s="11">
        <v>44762.350694444445</v>
      </c>
      <c r="AG284" s="53"/>
      <c r="AH284" s="53" t="b">
        <f t="shared" si="6"/>
        <v>0</v>
      </c>
      <c r="AI284" s="54" t="s">
        <v>10087</v>
      </c>
      <c r="AJ284" s="2"/>
      <c r="AK284" s="2"/>
      <c r="AL284" s="2"/>
      <c r="AM284" s="2"/>
      <c r="AN284" s="2"/>
    </row>
    <row r="285" spans="1:40" ht="16" x14ac:dyDescent="0.2">
      <c r="A285" s="2" t="s">
        <v>2847</v>
      </c>
      <c r="B285" s="2">
        <v>881</v>
      </c>
      <c r="C285" s="2" t="b">
        <v>0</v>
      </c>
      <c r="D285" s="2" t="b">
        <v>0</v>
      </c>
      <c r="E285" s="2" t="b">
        <v>0</v>
      </c>
      <c r="F285" s="2" t="b">
        <v>0</v>
      </c>
      <c r="G285" s="2" t="s">
        <v>31</v>
      </c>
      <c r="H285" s="2" t="s">
        <v>2848</v>
      </c>
      <c r="I285" s="2" t="s">
        <v>2849</v>
      </c>
      <c r="J285" s="2" t="s">
        <v>35</v>
      </c>
      <c r="K285" s="2" t="s">
        <v>35</v>
      </c>
      <c r="L285" s="2" t="s">
        <v>35</v>
      </c>
      <c r="M285" s="2">
        <v>12</v>
      </c>
      <c r="N285" s="2">
        <v>17</v>
      </c>
      <c r="O285" s="11">
        <v>44762.35408420139</v>
      </c>
      <c r="P285" s="11">
        <v>44762.354546122682</v>
      </c>
      <c r="Q285" s="27">
        <v>4.6192129229893908E-4</v>
      </c>
      <c r="R285" s="27">
        <v>6.9444443943211809E-4</v>
      </c>
      <c r="S285" s="2">
        <v>0</v>
      </c>
      <c r="T285" s="2" t="s">
        <v>54</v>
      </c>
      <c r="U285" s="2" t="s">
        <v>55</v>
      </c>
      <c r="V285" s="2" t="s">
        <v>38</v>
      </c>
      <c r="W285" s="2" t="s">
        <v>35</v>
      </c>
      <c r="X285" s="2" t="s">
        <v>35</v>
      </c>
      <c r="Y285" s="2" t="s">
        <v>35</v>
      </c>
      <c r="Z285" s="2" t="b">
        <v>0</v>
      </c>
      <c r="AA285" s="2" t="s">
        <v>35</v>
      </c>
      <c r="AB285" s="2" t="s">
        <v>35</v>
      </c>
      <c r="AC285" s="2" t="s">
        <v>35</v>
      </c>
      <c r="AD285" s="2" t="s">
        <v>35</v>
      </c>
      <c r="AE285" s="2" t="s">
        <v>2840</v>
      </c>
      <c r="AF285" s="11">
        <v>44762.350694444445</v>
      </c>
      <c r="AG285" s="53"/>
      <c r="AH285" s="53" t="b">
        <f t="shared" si="6"/>
        <v>0</v>
      </c>
      <c r="AI285" s="54" t="s">
        <v>10088</v>
      </c>
      <c r="AJ285" s="2"/>
      <c r="AK285" s="2"/>
      <c r="AL285" s="2"/>
      <c r="AM285" s="2"/>
      <c r="AN285" s="2"/>
    </row>
    <row r="286" spans="1:40" ht="16" x14ac:dyDescent="0.2">
      <c r="A286" s="2" t="s">
        <v>2853</v>
      </c>
      <c r="B286" s="2">
        <v>883</v>
      </c>
      <c r="C286" s="2" t="b">
        <v>0</v>
      </c>
      <c r="D286" s="2" t="b">
        <v>0</v>
      </c>
      <c r="E286" s="2" t="b">
        <v>0</v>
      </c>
      <c r="F286" s="2" t="b">
        <v>0</v>
      </c>
      <c r="G286" s="2" t="s">
        <v>31</v>
      </c>
      <c r="H286" s="2" t="s">
        <v>2854</v>
      </c>
      <c r="I286" s="2" t="s">
        <v>2855</v>
      </c>
      <c r="J286" s="2" t="s">
        <v>35</v>
      </c>
      <c r="K286" s="2" t="s">
        <v>35</v>
      </c>
      <c r="L286" s="2" t="s">
        <v>35</v>
      </c>
      <c r="M286" s="2">
        <v>12</v>
      </c>
      <c r="N286" s="2">
        <v>17</v>
      </c>
      <c r="O286" s="11">
        <v>44762.355622106479</v>
      </c>
      <c r="P286" s="11">
        <v>44762.355790208334</v>
      </c>
      <c r="Q286" s="27">
        <v>1.6810185479698703E-4</v>
      </c>
      <c r="R286" s="27">
        <v>2.533217630116269E-4</v>
      </c>
      <c r="S286" s="2">
        <v>0</v>
      </c>
      <c r="T286" s="2" t="s">
        <v>54</v>
      </c>
      <c r="U286" s="2" t="s">
        <v>55</v>
      </c>
      <c r="V286" s="2" t="s">
        <v>38</v>
      </c>
      <c r="W286" s="2" t="s">
        <v>35</v>
      </c>
      <c r="X286" s="2" t="s">
        <v>35</v>
      </c>
      <c r="Y286" s="2" t="s">
        <v>35</v>
      </c>
      <c r="Z286" s="2" t="b">
        <v>0</v>
      </c>
      <c r="AA286" s="2" t="s">
        <v>35</v>
      </c>
      <c r="AB286" s="2" t="s">
        <v>35</v>
      </c>
      <c r="AC286" s="2" t="s">
        <v>35</v>
      </c>
      <c r="AD286" s="2" t="s">
        <v>35</v>
      </c>
      <c r="AE286" s="2" t="s">
        <v>2840</v>
      </c>
      <c r="AF286" s="11">
        <v>44762.350694444445</v>
      </c>
      <c r="AG286" s="53"/>
      <c r="AH286" s="53" t="b">
        <f t="shared" si="6"/>
        <v>0</v>
      </c>
      <c r="AI286" s="54" t="s">
        <v>9577</v>
      </c>
      <c r="AJ286" s="2"/>
      <c r="AK286" s="2"/>
      <c r="AL286" s="2"/>
      <c r="AM286" s="2"/>
      <c r="AN286" s="2"/>
    </row>
    <row r="287" spans="1:40" ht="16" x14ac:dyDescent="0.2">
      <c r="A287" s="2" t="s">
        <v>2856</v>
      </c>
      <c r="B287" s="2">
        <v>884</v>
      </c>
      <c r="C287" s="2" t="b">
        <v>0</v>
      </c>
      <c r="D287" s="2" t="b">
        <v>0</v>
      </c>
      <c r="E287" s="2" t="b">
        <v>0</v>
      </c>
      <c r="F287" s="2" t="b">
        <v>0</v>
      </c>
      <c r="G287" s="2" t="s">
        <v>31</v>
      </c>
      <c r="H287" s="2" t="s">
        <v>2857</v>
      </c>
      <c r="I287" s="2" t="s">
        <v>2858</v>
      </c>
      <c r="J287" s="2" t="s">
        <v>35</v>
      </c>
      <c r="K287" s="2" t="s">
        <v>35</v>
      </c>
      <c r="L287" s="2" t="s">
        <v>35</v>
      </c>
      <c r="M287" s="2">
        <v>12</v>
      </c>
      <c r="N287" s="2">
        <v>17</v>
      </c>
      <c r="O287" s="11">
        <v>44762.355863854165</v>
      </c>
      <c r="P287" s="11">
        <v>44762.355998981482</v>
      </c>
      <c r="Q287" s="27">
        <v>1.3512731675291434E-4</v>
      </c>
      <c r="R287" s="27">
        <v>2.0877314818790182E-4</v>
      </c>
      <c r="S287" s="2">
        <v>0</v>
      </c>
      <c r="T287" s="2" t="s">
        <v>54</v>
      </c>
      <c r="U287" s="2" t="s">
        <v>55</v>
      </c>
      <c r="V287" s="2" t="s">
        <v>38</v>
      </c>
      <c r="W287" s="2" t="s">
        <v>35</v>
      </c>
      <c r="X287" s="2" t="s">
        <v>35</v>
      </c>
      <c r="Y287" s="2" t="s">
        <v>35</v>
      </c>
      <c r="Z287" s="2" t="b">
        <v>0</v>
      </c>
      <c r="AA287" s="2" t="s">
        <v>35</v>
      </c>
      <c r="AB287" s="2" t="s">
        <v>35</v>
      </c>
      <c r="AC287" s="2" t="s">
        <v>35</v>
      </c>
      <c r="AD287" s="2" t="s">
        <v>35</v>
      </c>
      <c r="AE287" s="2" t="s">
        <v>2840</v>
      </c>
      <c r="AF287" s="11">
        <v>44762.350694444445</v>
      </c>
      <c r="AG287" s="53"/>
      <c r="AH287" s="53" t="b">
        <f t="shared" si="6"/>
        <v>0</v>
      </c>
      <c r="AI287" s="54" t="s">
        <v>10089</v>
      </c>
      <c r="AJ287" s="2"/>
      <c r="AK287" s="2"/>
      <c r="AL287" s="2"/>
      <c r="AM287" s="2"/>
      <c r="AN287" s="2"/>
    </row>
    <row r="288" spans="1:40" ht="16" x14ac:dyDescent="0.2">
      <c r="A288" s="2" t="s">
        <v>2874</v>
      </c>
      <c r="B288" s="2">
        <v>890</v>
      </c>
      <c r="C288" s="2" t="b">
        <v>0</v>
      </c>
      <c r="D288" s="2" t="b">
        <v>0</v>
      </c>
      <c r="E288" s="2" t="b">
        <v>0</v>
      </c>
      <c r="F288" s="2" t="b">
        <v>0</v>
      </c>
      <c r="G288" s="2" t="s">
        <v>31</v>
      </c>
      <c r="H288" s="2" t="s">
        <v>2875</v>
      </c>
      <c r="I288" s="2" t="s">
        <v>2876</v>
      </c>
      <c r="J288" s="2" t="s">
        <v>2877</v>
      </c>
      <c r="K288" s="2" t="s">
        <v>35</v>
      </c>
      <c r="L288" s="2" t="s">
        <v>35</v>
      </c>
      <c r="M288" s="2">
        <v>3</v>
      </c>
      <c r="N288" s="2">
        <v>13</v>
      </c>
      <c r="O288" s="11">
        <v>44762.360608587966</v>
      </c>
      <c r="P288" s="11">
        <v>44762.361050347223</v>
      </c>
      <c r="Q288" s="27">
        <v>4.4175925722811371E-4</v>
      </c>
      <c r="R288" s="27">
        <v>1.3604861087515019E-3</v>
      </c>
      <c r="S288" s="2">
        <v>0</v>
      </c>
      <c r="T288" s="2" t="s">
        <v>54</v>
      </c>
      <c r="U288" s="2" t="s">
        <v>55</v>
      </c>
      <c r="V288" s="2" t="s">
        <v>38</v>
      </c>
      <c r="W288" s="2" t="s">
        <v>35</v>
      </c>
      <c r="X288" s="2" t="s">
        <v>35</v>
      </c>
      <c r="Y288" s="2" t="s">
        <v>35</v>
      </c>
      <c r="Z288" s="2" t="b">
        <v>1</v>
      </c>
      <c r="AA288" s="2" t="s">
        <v>35</v>
      </c>
      <c r="AB288" s="2" t="s">
        <v>35</v>
      </c>
      <c r="AC288" s="2" t="s">
        <v>35</v>
      </c>
      <c r="AD288" s="2" t="s">
        <v>35</v>
      </c>
      <c r="AE288" s="2" t="s">
        <v>2840</v>
      </c>
      <c r="AF288" s="11">
        <v>44762.350694444445</v>
      </c>
      <c r="AG288" s="53"/>
      <c r="AH288" s="53" t="b">
        <f t="shared" si="6"/>
        <v>0</v>
      </c>
      <c r="AI288" s="54" t="s">
        <v>10090</v>
      </c>
      <c r="AJ288" s="2"/>
      <c r="AK288" s="2"/>
      <c r="AL288" s="2"/>
      <c r="AM288" s="2"/>
      <c r="AN288" s="2"/>
    </row>
    <row r="289" spans="1:40" ht="16" x14ac:dyDescent="0.2">
      <c r="A289" s="2" t="s">
        <v>2878</v>
      </c>
      <c r="B289" s="2">
        <v>891</v>
      </c>
      <c r="C289" s="2" t="b">
        <v>0</v>
      </c>
      <c r="D289" s="2" t="b">
        <v>0</v>
      </c>
      <c r="E289" s="2" t="b">
        <v>0</v>
      </c>
      <c r="F289" s="2" t="b">
        <v>0</v>
      </c>
      <c r="G289" s="2" t="s">
        <v>31</v>
      </c>
      <c r="H289" s="2" t="s">
        <v>2879</v>
      </c>
      <c r="I289" s="2" t="s">
        <v>2880</v>
      </c>
      <c r="J289" s="2" t="s">
        <v>2881</v>
      </c>
      <c r="K289" s="2" t="s">
        <v>35</v>
      </c>
      <c r="L289" s="2" t="s">
        <v>35</v>
      </c>
      <c r="M289" s="2">
        <v>3</v>
      </c>
      <c r="N289" s="2">
        <v>14</v>
      </c>
      <c r="O289" s="11">
        <v>44762.361407280092</v>
      </c>
      <c r="P289" s="11">
        <v>44762.361780567131</v>
      </c>
      <c r="Q289" s="27">
        <v>3.7328703911043704E-4</v>
      </c>
      <c r="R289" s="27">
        <v>7.3021990829147398E-4</v>
      </c>
      <c r="S289" s="2">
        <v>0</v>
      </c>
      <c r="T289" s="2" t="s">
        <v>54</v>
      </c>
      <c r="U289" s="2" t="s">
        <v>55</v>
      </c>
      <c r="V289" s="2" t="s">
        <v>38</v>
      </c>
      <c r="W289" s="2" t="s">
        <v>35</v>
      </c>
      <c r="X289" s="2" t="s">
        <v>35</v>
      </c>
      <c r="Y289" s="2" t="s">
        <v>35</v>
      </c>
      <c r="Z289" s="2" t="b">
        <v>1</v>
      </c>
      <c r="AA289" s="2" t="s">
        <v>35</v>
      </c>
      <c r="AB289" s="2" t="s">
        <v>35</v>
      </c>
      <c r="AC289" s="2" t="s">
        <v>35</v>
      </c>
      <c r="AD289" s="2" t="s">
        <v>35</v>
      </c>
      <c r="AE289" s="2" t="s">
        <v>2840</v>
      </c>
      <c r="AF289" s="11">
        <v>44762.350694444445</v>
      </c>
      <c r="AG289" s="53"/>
      <c r="AH289" s="53" t="b">
        <f t="shared" si="6"/>
        <v>0</v>
      </c>
      <c r="AI289" s="54" t="s">
        <v>10091</v>
      </c>
      <c r="AJ289" s="2"/>
      <c r="AK289" s="2"/>
      <c r="AL289" s="2"/>
      <c r="AM289" s="2"/>
      <c r="AN289" s="2"/>
    </row>
    <row r="290" spans="1:40" ht="16" x14ac:dyDescent="0.2">
      <c r="A290" s="2" t="s">
        <v>2888</v>
      </c>
      <c r="B290" s="2">
        <v>894</v>
      </c>
      <c r="C290" s="2" t="b">
        <v>0</v>
      </c>
      <c r="D290" s="2" t="b">
        <v>0</v>
      </c>
      <c r="E290" s="2" t="b">
        <v>0</v>
      </c>
      <c r="F290" s="2" t="b">
        <v>0</v>
      </c>
      <c r="G290" s="2" t="s">
        <v>31</v>
      </c>
      <c r="H290" s="2" t="s">
        <v>2889</v>
      </c>
      <c r="I290" s="2" t="s">
        <v>2890</v>
      </c>
      <c r="J290" s="2" t="s">
        <v>35</v>
      </c>
      <c r="K290" s="2" t="s">
        <v>35</v>
      </c>
      <c r="L290" s="2" t="s">
        <v>35</v>
      </c>
      <c r="M290" s="2">
        <v>4</v>
      </c>
      <c r="N290" s="2">
        <v>14</v>
      </c>
      <c r="O290" s="11">
        <v>44762.362798680559</v>
      </c>
      <c r="P290" s="11">
        <v>44762.362937175923</v>
      </c>
      <c r="Q290" s="27">
        <v>1.3849536480847746E-4</v>
      </c>
      <c r="R290" s="27">
        <v>2.8741898131556809E-4</v>
      </c>
      <c r="S290" s="2">
        <v>0</v>
      </c>
      <c r="T290" s="2" t="s">
        <v>54</v>
      </c>
      <c r="U290" s="2" t="s">
        <v>55</v>
      </c>
      <c r="V290" s="2" t="s">
        <v>38</v>
      </c>
      <c r="W290" s="2" t="s">
        <v>35</v>
      </c>
      <c r="X290" s="2" t="s">
        <v>35</v>
      </c>
      <c r="Y290" s="2" t="s">
        <v>35</v>
      </c>
      <c r="Z290" s="2" t="b">
        <v>0</v>
      </c>
      <c r="AA290" s="2" t="s">
        <v>35</v>
      </c>
      <c r="AB290" s="2" t="s">
        <v>35</v>
      </c>
      <c r="AC290" s="2" t="s">
        <v>35</v>
      </c>
      <c r="AD290" s="2" t="s">
        <v>35</v>
      </c>
      <c r="AE290" s="2" t="s">
        <v>2840</v>
      </c>
      <c r="AF290" s="11">
        <v>44762.350694444445</v>
      </c>
      <c r="AG290" s="53"/>
      <c r="AH290" s="53" t="b">
        <f t="shared" si="6"/>
        <v>0</v>
      </c>
      <c r="AI290" s="54" t="s">
        <v>10092</v>
      </c>
      <c r="AJ290" s="2"/>
      <c r="AK290" s="2"/>
      <c r="AL290" s="2"/>
      <c r="AM290" s="2"/>
      <c r="AN290" s="2"/>
    </row>
    <row r="291" spans="1:40" ht="16" x14ac:dyDescent="0.2">
      <c r="A291" s="2" t="s">
        <v>2891</v>
      </c>
      <c r="B291" s="2">
        <v>895</v>
      </c>
      <c r="C291" s="2" t="b">
        <v>0</v>
      </c>
      <c r="D291" s="2" t="b">
        <v>0</v>
      </c>
      <c r="E291" s="2" t="b">
        <v>0</v>
      </c>
      <c r="F291" s="2" t="b">
        <v>0</v>
      </c>
      <c r="G291" s="2" t="s">
        <v>31</v>
      </c>
      <c r="H291" s="2" t="s">
        <v>2892</v>
      </c>
      <c r="I291" s="2" t="s">
        <v>2893</v>
      </c>
      <c r="J291" s="2" t="s">
        <v>2894</v>
      </c>
      <c r="K291" s="2" t="s">
        <v>35</v>
      </c>
      <c r="L291" s="2" t="s">
        <v>35</v>
      </c>
      <c r="M291" s="2">
        <v>2</v>
      </c>
      <c r="N291" s="2">
        <v>15</v>
      </c>
      <c r="O291" s="11">
        <v>44762.36304355324</v>
      </c>
      <c r="P291" s="11">
        <v>44762.363417986111</v>
      </c>
      <c r="Q291" s="27">
        <v>3.7443287146743387E-4</v>
      </c>
      <c r="R291" s="27">
        <v>4.8081018758239225E-4</v>
      </c>
      <c r="S291" s="2">
        <v>0</v>
      </c>
      <c r="T291" s="2" t="s">
        <v>54</v>
      </c>
      <c r="U291" s="2" t="s">
        <v>55</v>
      </c>
      <c r="V291" s="2" t="s">
        <v>38</v>
      </c>
      <c r="W291" s="2" t="s">
        <v>35</v>
      </c>
      <c r="X291" s="2" t="s">
        <v>35</v>
      </c>
      <c r="Y291" s="2" t="s">
        <v>35</v>
      </c>
      <c r="Z291" s="2" t="b">
        <v>1</v>
      </c>
      <c r="AA291" s="2" t="s">
        <v>35</v>
      </c>
      <c r="AB291" s="2" t="s">
        <v>35</v>
      </c>
      <c r="AC291" s="2" t="s">
        <v>35</v>
      </c>
      <c r="AD291" s="2" t="s">
        <v>35</v>
      </c>
      <c r="AE291" s="2" t="s">
        <v>2840</v>
      </c>
      <c r="AF291" s="11">
        <v>44762.350694444445</v>
      </c>
      <c r="AG291" s="53"/>
      <c r="AH291" s="53" t="b">
        <f t="shared" ref="AH291:AH335" si="7">IF(Q291&gt;TIME(0,1,19),"TRUE")</f>
        <v>0</v>
      </c>
      <c r="AI291" s="54" t="s">
        <v>10093</v>
      </c>
      <c r="AJ291" s="2"/>
      <c r="AK291" s="2"/>
      <c r="AL291" s="2"/>
      <c r="AM291" s="2"/>
      <c r="AN291" s="2"/>
    </row>
    <row r="292" spans="1:40" ht="16" x14ac:dyDescent="0.2">
      <c r="A292" s="2" t="s">
        <v>2895</v>
      </c>
      <c r="B292" s="2">
        <v>896</v>
      </c>
      <c r="C292" s="2" t="b">
        <v>0</v>
      </c>
      <c r="D292" s="2" t="b">
        <v>0</v>
      </c>
      <c r="E292" s="2" t="b">
        <v>0</v>
      </c>
      <c r="F292" s="2" t="b">
        <v>0</v>
      </c>
      <c r="G292" s="2" t="s">
        <v>31</v>
      </c>
      <c r="H292" s="2" t="s">
        <v>2896</v>
      </c>
      <c r="I292" s="2" t="s">
        <v>2897</v>
      </c>
      <c r="J292" s="2" t="s">
        <v>35</v>
      </c>
      <c r="K292" s="2" t="s">
        <v>35</v>
      </c>
      <c r="L292" s="2" t="s">
        <v>35</v>
      </c>
      <c r="M292" s="2">
        <v>4</v>
      </c>
      <c r="N292" s="2">
        <v>12</v>
      </c>
      <c r="O292" s="11">
        <v>44762.364196932867</v>
      </c>
      <c r="P292" s="11">
        <v>44762.36471829861</v>
      </c>
      <c r="Q292" s="27">
        <v>5.2136574231553823E-4</v>
      </c>
      <c r="R292" s="27">
        <v>1.3003124986425973E-3</v>
      </c>
      <c r="S292" s="2">
        <v>0</v>
      </c>
      <c r="T292" s="2" t="s">
        <v>54</v>
      </c>
      <c r="U292" s="2" t="s">
        <v>55</v>
      </c>
      <c r="V292" s="2" t="s">
        <v>38</v>
      </c>
      <c r="W292" s="2" t="s">
        <v>35</v>
      </c>
      <c r="X292" s="2" t="s">
        <v>35</v>
      </c>
      <c r="Y292" s="2" t="s">
        <v>35</v>
      </c>
      <c r="Z292" s="2" t="b">
        <v>0</v>
      </c>
      <c r="AA292" s="2" t="s">
        <v>35</v>
      </c>
      <c r="AB292" s="2" t="s">
        <v>35</v>
      </c>
      <c r="AC292" s="2" t="s">
        <v>35</v>
      </c>
      <c r="AD292" s="2" t="s">
        <v>35</v>
      </c>
      <c r="AE292" s="2" t="s">
        <v>2840</v>
      </c>
      <c r="AF292" s="11">
        <v>44762.350694444445</v>
      </c>
      <c r="AG292" s="53"/>
      <c r="AH292" s="53" t="b">
        <f t="shared" si="7"/>
        <v>0</v>
      </c>
      <c r="AI292" s="54" t="s">
        <v>9576</v>
      </c>
      <c r="AJ292" s="2"/>
      <c r="AK292" s="2"/>
      <c r="AL292" s="2"/>
      <c r="AM292" s="2"/>
      <c r="AN292" s="2"/>
    </row>
    <row r="293" spans="1:40" ht="16" x14ac:dyDescent="0.2">
      <c r="A293" s="2" t="s">
        <v>2912</v>
      </c>
      <c r="B293" s="2">
        <v>901</v>
      </c>
      <c r="C293" s="2" t="b">
        <v>0</v>
      </c>
      <c r="D293" s="2" t="b">
        <v>0</v>
      </c>
      <c r="E293" s="2" t="b">
        <v>0</v>
      </c>
      <c r="F293" s="2" t="b">
        <v>0</v>
      </c>
      <c r="G293" s="2" t="s">
        <v>31</v>
      </c>
      <c r="H293" s="2" t="s">
        <v>2913</v>
      </c>
      <c r="I293" s="2" t="s">
        <v>2914</v>
      </c>
      <c r="J293" s="2" t="s">
        <v>35</v>
      </c>
      <c r="K293" s="2" t="s">
        <v>35</v>
      </c>
      <c r="L293" s="2" t="s">
        <v>35</v>
      </c>
      <c r="M293" s="2">
        <v>6</v>
      </c>
      <c r="N293" s="2">
        <v>14</v>
      </c>
      <c r="O293" s="11">
        <v>44762.369935092589</v>
      </c>
      <c r="P293" s="11">
        <v>44762.37028761574</v>
      </c>
      <c r="Q293" s="27">
        <v>3.5252315137768164E-4</v>
      </c>
      <c r="R293" s="27">
        <v>1.3184837953303941E-3</v>
      </c>
      <c r="S293" s="2">
        <v>0</v>
      </c>
      <c r="T293" s="2" t="s">
        <v>54</v>
      </c>
      <c r="U293" s="2" t="s">
        <v>55</v>
      </c>
      <c r="V293" s="2" t="s">
        <v>38</v>
      </c>
      <c r="W293" s="2" t="s">
        <v>35</v>
      </c>
      <c r="X293" s="2" t="s">
        <v>35</v>
      </c>
      <c r="Y293" s="2" t="s">
        <v>35</v>
      </c>
      <c r="Z293" s="2" t="b">
        <v>0</v>
      </c>
      <c r="AA293" s="2" t="s">
        <v>35</v>
      </c>
      <c r="AB293" s="2" t="s">
        <v>35</v>
      </c>
      <c r="AC293" s="2" t="s">
        <v>35</v>
      </c>
      <c r="AD293" s="2" t="s">
        <v>35</v>
      </c>
      <c r="AE293" s="2" t="s">
        <v>2840</v>
      </c>
      <c r="AF293" s="11">
        <v>44762.350694444445</v>
      </c>
      <c r="AG293" s="53"/>
      <c r="AH293" s="53" t="b">
        <f t="shared" si="7"/>
        <v>0</v>
      </c>
      <c r="AI293" s="54" t="s">
        <v>10094</v>
      </c>
      <c r="AJ293" s="2" t="s">
        <v>10095</v>
      </c>
      <c r="AK293" s="2" t="s">
        <v>10096</v>
      </c>
      <c r="AL293" s="2"/>
      <c r="AM293" s="2"/>
      <c r="AN293" s="2"/>
    </row>
    <row r="294" spans="1:40" ht="16" x14ac:dyDescent="0.2">
      <c r="A294" s="2" t="s">
        <v>2921</v>
      </c>
      <c r="B294" s="2">
        <v>904</v>
      </c>
      <c r="C294" s="2" t="b">
        <v>0</v>
      </c>
      <c r="D294" s="2" t="b">
        <v>0</v>
      </c>
      <c r="E294" s="2" t="b">
        <v>0</v>
      </c>
      <c r="F294" s="2" t="b">
        <v>0</v>
      </c>
      <c r="G294" s="2" t="s">
        <v>31</v>
      </c>
      <c r="H294" s="2" t="s">
        <v>2922</v>
      </c>
      <c r="I294" s="2" t="s">
        <v>2923</v>
      </c>
      <c r="J294" s="2" t="s">
        <v>35</v>
      </c>
      <c r="K294" s="2" t="s">
        <v>35</v>
      </c>
      <c r="L294" s="2" t="s">
        <v>35</v>
      </c>
      <c r="M294" s="2">
        <v>14</v>
      </c>
      <c r="N294" s="2">
        <v>15</v>
      </c>
      <c r="O294" s="11">
        <v>44762.373587546295</v>
      </c>
      <c r="P294" s="11">
        <v>44762.373815787039</v>
      </c>
      <c r="Q294" s="27">
        <v>2.2824074403615668E-4</v>
      </c>
      <c r="R294" s="27">
        <v>2.0690509263658896E-3</v>
      </c>
      <c r="S294" s="2">
        <v>0</v>
      </c>
      <c r="T294" s="2" t="s">
        <v>54</v>
      </c>
      <c r="U294" s="2" t="s">
        <v>55</v>
      </c>
      <c r="V294" s="2" t="s">
        <v>38</v>
      </c>
      <c r="W294" s="2" t="s">
        <v>35</v>
      </c>
      <c r="X294" s="2" t="s">
        <v>35</v>
      </c>
      <c r="Y294" s="2" t="s">
        <v>35</v>
      </c>
      <c r="Z294" s="2" t="b">
        <v>0</v>
      </c>
      <c r="AA294" s="2" t="s">
        <v>35</v>
      </c>
      <c r="AB294" s="2" t="s">
        <v>35</v>
      </c>
      <c r="AC294" s="2" t="s">
        <v>35</v>
      </c>
      <c r="AD294" s="2" t="s">
        <v>35</v>
      </c>
      <c r="AE294" s="2" t="s">
        <v>2840</v>
      </c>
      <c r="AF294" s="11">
        <v>44762.350694444445</v>
      </c>
      <c r="AG294" s="53"/>
      <c r="AH294" s="53" t="b">
        <f t="shared" si="7"/>
        <v>0</v>
      </c>
      <c r="AI294" s="54" t="s">
        <v>10097</v>
      </c>
      <c r="AJ294" s="2"/>
      <c r="AK294" s="2"/>
      <c r="AL294" s="2"/>
      <c r="AM294" s="2"/>
      <c r="AN294" s="2"/>
    </row>
    <row r="295" spans="1:40" ht="16" x14ac:dyDescent="0.2">
      <c r="A295" s="2" t="s">
        <v>3002</v>
      </c>
      <c r="B295" s="2">
        <v>930</v>
      </c>
      <c r="C295" s="2" t="b">
        <v>0</v>
      </c>
      <c r="D295" s="2" t="b">
        <v>0</v>
      </c>
      <c r="E295" s="2" t="b">
        <v>0</v>
      </c>
      <c r="F295" s="2" t="b">
        <v>0</v>
      </c>
      <c r="G295" s="2" t="s">
        <v>31</v>
      </c>
      <c r="H295" s="2" t="s">
        <v>3003</v>
      </c>
      <c r="I295" s="2" t="s">
        <v>3004</v>
      </c>
      <c r="J295" s="2" t="s">
        <v>1574</v>
      </c>
      <c r="K295" s="2" t="s">
        <v>35</v>
      </c>
      <c r="L295" s="2" t="s">
        <v>35</v>
      </c>
      <c r="M295" s="2">
        <v>63</v>
      </c>
      <c r="N295" s="2">
        <v>9</v>
      </c>
      <c r="O295" s="11">
        <v>44762.398453032409</v>
      </c>
      <c r="P295" s="11">
        <v>44762.399341412034</v>
      </c>
      <c r="Q295" s="27">
        <v>8.8837962539400905E-4</v>
      </c>
      <c r="R295" s="27">
        <v>1.0354976839153096E-3</v>
      </c>
      <c r="S295" s="2">
        <v>0</v>
      </c>
      <c r="T295" s="2" t="s">
        <v>54</v>
      </c>
      <c r="U295" s="2" t="s">
        <v>55</v>
      </c>
      <c r="V295" s="2" t="s">
        <v>38</v>
      </c>
      <c r="W295" s="2" t="s">
        <v>35</v>
      </c>
      <c r="X295" s="2" t="s">
        <v>35</v>
      </c>
      <c r="Y295" s="2" t="s">
        <v>35</v>
      </c>
      <c r="Z295" s="2" t="b">
        <v>1</v>
      </c>
      <c r="AA295" s="2" t="s">
        <v>35</v>
      </c>
      <c r="AB295" s="2" t="s">
        <v>35</v>
      </c>
      <c r="AC295" s="2" t="s">
        <v>35</v>
      </c>
      <c r="AD295" s="2" t="s">
        <v>35</v>
      </c>
      <c r="AE295" s="2" t="s">
        <v>2840</v>
      </c>
      <c r="AF295" s="11">
        <v>44762.350694444445</v>
      </c>
      <c r="AG295" s="53"/>
      <c r="AH295" s="53" t="b">
        <f t="shared" si="7"/>
        <v>0</v>
      </c>
      <c r="AI295" s="54" t="s">
        <v>9575</v>
      </c>
      <c r="AJ295" s="2"/>
      <c r="AK295" s="2"/>
      <c r="AL295" s="2"/>
      <c r="AM295" s="2"/>
      <c r="AN295" s="2"/>
    </row>
    <row r="296" spans="1:40" ht="16" x14ac:dyDescent="0.2">
      <c r="A296" s="2" t="s">
        <v>3005</v>
      </c>
      <c r="B296" s="2">
        <v>931</v>
      </c>
      <c r="C296" s="2" t="b">
        <v>0</v>
      </c>
      <c r="D296" s="2" t="b">
        <v>0</v>
      </c>
      <c r="E296" s="2" t="b">
        <v>0</v>
      </c>
      <c r="F296" s="2" t="b">
        <v>0</v>
      </c>
      <c r="G296" s="2" t="s">
        <v>31</v>
      </c>
      <c r="H296" s="2" t="s">
        <v>3006</v>
      </c>
      <c r="I296" s="2" t="s">
        <v>3007</v>
      </c>
      <c r="J296" s="2" t="s">
        <v>2267</v>
      </c>
      <c r="K296" s="2" t="s">
        <v>35</v>
      </c>
      <c r="L296" s="2" t="s">
        <v>35</v>
      </c>
      <c r="M296" s="2">
        <v>4</v>
      </c>
      <c r="N296" s="2">
        <v>9</v>
      </c>
      <c r="O296" s="11">
        <v>44762.399485844908</v>
      </c>
      <c r="P296" s="11">
        <v>44762.399774548612</v>
      </c>
      <c r="Q296" s="27">
        <v>2.8870370442746207E-4</v>
      </c>
      <c r="R296" s="27">
        <v>4.3313657806720585E-4</v>
      </c>
      <c r="S296" s="2">
        <v>0</v>
      </c>
      <c r="T296" s="2" t="s">
        <v>54</v>
      </c>
      <c r="U296" s="2" t="s">
        <v>55</v>
      </c>
      <c r="V296" s="2" t="s">
        <v>38</v>
      </c>
      <c r="W296" s="2" t="s">
        <v>35</v>
      </c>
      <c r="X296" s="2" t="s">
        <v>35</v>
      </c>
      <c r="Y296" s="2" t="s">
        <v>35</v>
      </c>
      <c r="Z296" s="2" t="b">
        <v>1</v>
      </c>
      <c r="AA296" s="2" t="s">
        <v>35</v>
      </c>
      <c r="AB296" s="2" t="s">
        <v>35</v>
      </c>
      <c r="AC296" s="2" t="s">
        <v>35</v>
      </c>
      <c r="AD296" s="2" t="s">
        <v>35</v>
      </c>
      <c r="AE296" s="2" t="s">
        <v>2840</v>
      </c>
      <c r="AF296" s="11">
        <v>44762.350694444445</v>
      </c>
      <c r="AG296" s="53"/>
      <c r="AH296" s="53" t="b">
        <f t="shared" si="7"/>
        <v>0</v>
      </c>
      <c r="AI296" s="54" t="s">
        <v>10098</v>
      </c>
      <c r="AJ296" s="2"/>
      <c r="AK296" s="2"/>
      <c r="AL296" s="2"/>
      <c r="AM296" s="2"/>
      <c r="AN296" s="2"/>
    </row>
    <row r="297" spans="1:40" ht="16" x14ac:dyDescent="0.2">
      <c r="A297" s="2" t="s">
        <v>3008</v>
      </c>
      <c r="B297" s="2">
        <v>932</v>
      </c>
      <c r="C297" s="2" t="b">
        <v>0</v>
      </c>
      <c r="D297" s="2" t="b">
        <v>0</v>
      </c>
      <c r="E297" s="2" t="b">
        <v>0</v>
      </c>
      <c r="F297" s="2" t="b">
        <v>0</v>
      </c>
      <c r="G297" s="2" t="s">
        <v>31</v>
      </c>
      <c r="H297" s="2" t="s">
        <v>3009</v>
      </c>
      <c r="I297" s="2" t="s">
        <v>3010</v>
      </c>
      <c r="J297" s="2" t="s">
        <v>35</v>
      </c>
      <c r="K297" s="2" t="s">
        <v>35</v>
      </c>
      <c r="L297" s="2" t="s">
        <v>35</v>
      </c>
      <c r="M297" s="2">
        <v>30</v>
      </c>
      <c r="N297" s="2">
        <v>15</v>
      </c>
      <c r="O297" s="11">
        <v>44762.400088692128</v>
      </c>
      <c r="P297" s="11">
        <v>44762.400515752313</v>
      </c>
      <c r="Q297" s="27">
        <v>4.27060185757E-4</v>
      </c>
      <c r="R297" s="27">
        <v>7.412037011818029E-4</v>
      </c>
      <c r="S297" s="2">
        <v>0</v>
      </c>
      <c r="T297" s="2" t="s">
        <v>54</v>
      </c>
      <c r="U297" s="2" t="s">
        <v>55</v>
      </c>
      <c r="V297" s="2" t="s">
        <v>38</v>
      </c>
      <c r="W297" s="2" t="s">
        <v>35</v>
      </c>
      <c r="X297" s="2" t="s">
        <v>35</v>
      </c>
      <c r="Y297" s="2" t="s">
        <v>35</v>
      </c>
      <c r="Z297" s="2" t="b">
        <v>0</v>
      </c>
      <c r="AA297" s="2" t="s">
        <v>35</v>
      </c>
      <c r="AB297" s="2" t="s">
        <v>35</v>
      </c>
      <c r="AC297" s="2" t="s">
        <v>35</v>
      </c>
      <c r="AD297" s="2" t="s">
        <v>35</v>
      </c>
      <c r="AE297" s="2" t="s">
        <v>2840</v>
      </c>
      <c r="AF297" s="11">
        <v>44762.350694444445</v>
      </c>
      <c r="AG297" s="53"/>
      <c r="AH297" s="53" t="b">
        <f t="shared" si="7"/>
        <v>0</v>
      </c>
      <c r="AI297" s="54" t="s">
        <v>10099</v>
      </c>
      <c r="AJ297" s="2"/>
      <c r="AK297" s="2"/>
      <c r="AL297" s="2"/>
      <c r="AM297" s="2"/>
      <c r="AN297" s="2"/>
    </row>
    <row r="298" spans="1:40" ht="16" x14ac:dyDescent="0.2">
      <c r="A298" s="2" t="s">
        <v>3014</v>
      </c>
      <c r="B298" s="2">
        <v>934</v>
      </c>
      <c r="C298" s="2" t="b">
        <v>0</v>
      </c>
      <c r="D298" s="2" t="b">
        <v>0</v>
      </c>
      <c r="E298" s="2" t="b">
        <v>0</v>
      </c>
      <c r="F298" s="2" t="b">
        <v>0</v>
      </c>
      <c r="G298" s="2" t="s">
        <v>31</v>
      </c>
      <c r="H298" s="2" t="s">
        <v>3015</v>
      </c>
      <c r="I298" s="2" t="s">
        <v>3016</v>
      </c>
      <c r="J298" s="2" t="s">
        <v>35</v>
      </c>
      <c r="K298" s="2" t="s">
        <v>35</v>
      </c>
      <c r="L298" s="2" t="s">
        <v>35</v>
      </c>
      <c r="M298" s="2">
        <v>2</v>
      </c>
      <c r="N298" s="2">
        <v>15</v>
      </c>
      <c r="O298" s="11">
        <v>44762.402332291669</v>
      </c>
      <c r="P298" s="11">
        <v>44762.402522881945</v>
      </c>
      <c r="Q298" s="27">
        <v>1.9059027545154095E-4</v>
      </c>
      <c r="R298" s="27">
        <v>1.199166668811813E-3</v>
      </c>
      <c r="S298" s="2">
        <v>0</v>
      </c>
      <c r="T298" s="2" t="s">
        <v>54</v>
      </c>
      <c r="U298" s="2" t="s">
        <v>55</v>
      </c>
      <c r="V298" s="2" t="s">
        <v>38</v>
      </c>
      <c r="W298" s="2" t="s">
        <v>35</v>
      </c>
      <c r="X298" s="2" t="s">
        <v>35</v>
      </c>
      <c r="Y298" s="2" t="s">
        <v>35</v>
      </c>
      <c r="Z298" s="2" t="b">
        <v>0</v>
      </c>
      <c r="AA298" s="2" t="s">
        <v>35</v>
      </c>
      <c r="AB298" s="2" t="s">
        <v>35</v>
      </c>
      <c r="AC298" s="2" t="s">
        <v>35</v>
      </c>
      <c r="AD298" s="2" t="s">
        <v>35</v>
      </c>
      <c r="AE298" s="2" t="s">
        <v>2840</v>
      </c>
      <c r="AF298" s="11">
        <v>44762.350694444445</v>
      </c>
      <c r="AG298" s="53"/>
      <c r="AH298" s="53" t="b">
        <f t="shared" si="7"/>
        <v>0</v>
      </c>
      <c r="AI298" s="54" t="s">
        <v>10100</v>
      </c>
      <c r="AJ298" s="2"/>
      <c r="AK298" s="2"/>
      <c r="AL298" s="2"/>
      <c r="AM298" s="2"/>
      <c r="AN298" s="2"/>
    </row>
    <row r="299" spans="1:40" ht="16" x14ac:dyDescent="0.2">
      <c r="A299" s="2" t="s">
        <v>3017</v>
      </c>
      <c r="B299" s="2">
        <v>935</v>
      </c>
      <c r="C299" s="2" t="b">
        <v>0</v>
      </c>
      <c r="D299" s="2" t="b">
        <v>0</v>
      </c>
      <c r="E299" s="2" t="b">
        <v>0</v>
      </c>
      <c r="F299" s="2" t="b">
        <v>0</v>
      </c>
      <c r="G299" s="2" t="s">
        <v>31</v>
      </c>
      <c r="H299" s="2" t="s">
        <v>3018</v>
      </c>
      <c r="I299" s="2" t="s">
        <v>3019</v>
      </c>
      <c r="J299" s="2" t="s">
        <v>35</v>
      </c>
      <c r="K299" s="2" t="s">
        <v>35</v>
      </c>
      <c r="L299" s="2" t="s">
        <v>35</v>
      </c>
      <c r="M299" s="2">
        <v>39</v>
      </c>
      <c r="N299" s="2">
        <v>15</v>
      </c>
      <c r="O299" s="11">
        <v>44762.402628587966</v>
      </c>
      <c r="P299" s="11">
        <v>44762.403149976853</v>
      </c>
      <c r="Q299" s="27">
        <v>5.2138888713670895E-4</v>
      </c>
      <c r="R299" s="27">
        <v>6.2709490885026753E-4</v>
      </c>
      <c r="S299" s="2">
        <v>0</v>
      </c>
      <c r="T299" s="2" t="s">
        <v>54</v>
      </c>
      <c r="U299" s="2" t="s">
        <v>55</v>
      </c>
      <c r="V299" s="2" t="s">
        <v>38</v>
      </c>
      <c r="W299" s="2" t="s">
        <v>35</v>
      </c>
      <c r="X299" s="2" t="s">
        <v>35</v>
      </c>
      <c r="Y299" s="2" t="s">
        <v>35</v>
      </c>
      <c r="Z299" s="2" t="b">
        <v>0</v>
      </c>
      <c r="AA299" s="2" t="s">
        <v>35</v>
      </c>
      <c r="AB299" s="2" t="s">
        <v>35</v>
      </c>
      <c r="AC299" s="2" t="s">
        <v>35</v>
      </c>
      <c r="AD299" s="2" t="s">
        <v>35</v>
      </c>
      <c r="AE299" s="2" t="s">
        <v>2840</v>
      </c>
      <c r="AF299" s="11">
        <v>44762.350694444445</v>
      </c>
      <c r="AG299" s="53"/>
      <c r="AH299" s="53" t="b">
        <f t="shared" si="7"/>
        <v>0</v>
      </c>
      <c r="AI299" s="54" t="s">
        <v>10101</v>
      </c>
      <c r="AJ299" s="2"/>
      <c r="AK299" s="2"/>
      <c r="AL299" s="2"/>
      <c r="AM299" s="2"/>
      <c r="AN299" s="2"/>
    </row>
    <row r="300" spans="1:40" ht="16" x14ac:dyDescent="0.2">
      <c r="A300" s="2" t="s">
        <v>3020</v>
      </c>
      <c r="B300" s="2">
        <v>936</v>
      </c>
      <c r="C300" s="2" t="b">
        <v>0</v>
      </c>
      <c r="D300" s="2" t="b">
        <v>0</v>
      </c>
      <c r="E300" s="2" t="b">
        <v>0</v>
      </c>
      <c r="F300" s="2" t="b">
        <v>0</v>
      </c>
      <c r="G300" s="2" t="s">
        <v>31</v>
      </c>
      <c r="H300" s="2" t="s">
        <v>3021</v>
      </c>
      <c r="I300" s="2" t="s">
        <v>3022</v>
      </c>
      <c r="J300" s="2" t="s">
        <v>35</v>
      </c>
      <c r="K300" s="2" t="s">
        <v>35</v>
      </c>
      <c r="L300" s="2" t="s">
        <v>35</v>
      </c>
      <c r="M300" s="2">
        <v>6</v>
      </c>
      <c r="N300" s="2">
        <v>15</v>
      </c>
      <c r="O300" s="11">
        <v>44762.403779340275</v>
      </c>
      <c r="P300" s="11">
        <v>44762.403904386571</v>
      </c>
      <c r="Q300" s="27">
        <v>1.2504629557952285E-4</v>
      </c>
      <c r="R300" s="27">
        <v>7.5440971704665571E-4</v>
      </c>
      <c r="S300" s="2">
        <v>0</v>
      </c>
      <c r="T300" s="2" t="s">
        <v>54</v>
      </c>
      <c r="U300" s="2" t="s">
        <v>55</v>
      </c>
      <c r="V300" s="2" t="s">
        <v>38</v>
      </c>
      <c r="W300" s="2" t="s">
        <v>35</v>
      </c>
      <c r="X300" s="2" t="s">
        <v>35</v>
      </c>
      <c r="Y300" s="2" t="s">
        <v>35</v>
      </c>
      <c r="Z300" s="2" t="b">
        <v>0</v>
      </c>
      <c r="AA300" s="2" t="s">
        <v>35</v>
      </c>
      <c r="AB300" s="2" t="s">
        <v>35</v>
      </c>
      <c r="AC300" s="2" t="s">
        <v>35</v>
      </c>
      <c r="AD300" s="2" t="s">
        <v>35</v>
      </c>
      <c r="AE300" s="2" t="s">
        <v>2840</v>
      </c>
      <c r="AF300" s="11">
        <v>44762.350694444445</v>
      </c>
      <c r="AG300" s="53"/>
      <c r="AH300" s="53" t="b">
        <f t="shared" si="7"/>
        <v>0</v>
      </c>
      <c r="AI300" s="54" t="s">
        <v>10102</v>
      </c>
      <c r="AJ300" s="2"/>
      <c r="AK300" s="2"/>
      <c r="AL300" s="2"/>
      <c r="AM300" s="2"/>
      <c r="AN300" s="2"/>
    </row>
    <row r="301" spans="1:40" ht="16" x14ac:dyDescent="0.2">
      <c r="A301" s="2" t="s">
        <v>3023</v>
      </c>
      <c r="B301" s="2">
        <v>937</v>
      </c>
      <c r="C301" s="2" t="b">
        <v>0</v>
      </c>
      <c r="D301" s="2" t="b">
        <v>0</v>
      </c>
      <c r="E301" s="2" t="b">
        <v>0</v>
      </c>
      <c r="F301" s="2" t="b">
        <v>0</v>
      </c>
      <c r="G301" s="2" t="s">
        <v>31</v>
      </c>
      <c r="H301" s="2" t="s">
        <v>3024</v>
      </c>
      <c r="I301" s="2" t="s">
        <v>3025</v>
      </c>
      <c r="J301" s="2" t="s">
        <v>35</v>
      </c>
      <c r="K301" s="2" t="s">
        <v>35</v>
      </c>
      <c r="L301" s="2" t="s">
        <v>35</v>
      </c>
      <c r="M301" s="2">
        <v>3</v>
      </c>
      <c r="N301" s="2">
        <v>12</v>
      </c>
      <c r="O301" s="11">
        <v>44762.405081527781</v>
      </c>
      <c r="P301" s="11">
        <v>44762.405263194443</v>
      </c>
      <c r="Q301" s="27">
        <v>1.8166666268371046E-4</v>
      </c>
      <c r="R301" s="27">
        <v>1.3588078727480024E-3</v>
      </c>
      <c r="S301" s="2">
        <v>0</v>
      </c>
      <c r="T301" s="2" t="s">
        <v>54</v>
      </c>
      <c r="U301" s="2" t="s">
        <v>55</v>
      </c>
      <c r="V301" s="2" t="s">
        <v>38</v>
      </c>
      <c r="W301" s="2" t="s">
        <v>35</v>
      </c>
      <c r="X301" s="2" t="s">
        <v>35</v>
      </c>
      <c r="Y301" s="2" t="s">
        <v>35</v>
      </c>
      <c r="Z301" s="2" t="b">
        <v>0</v>
      </c>
      <c r="AA301" s="2" t="s">
        <v>35</v>
      </c>
      <c r="AB301" s="2" t="s">
        <v>35</v>
      </c>
      <c r="AC301" s="2" t="s">
        <v>35</v>
      </c>
      <c r="AD301" s="2" t="s">
        <v>35</v>
      </c>
      <c r="AE301" s="2" t="s">
        <v>2840</v>
      </c>
      <c r="AF301" s="11">
        <v>44762.350694444445</v>
      </c>
      <c r="AG301" s="53"/>
      <c r="AH301" s="53" t="b">
        <f t="shared" si="7"/>
        <v>0</v>
      </c>
      <c r="AI301" s="54" t="s">
        <v>10103</v>
      </c>
      <c r="AJ301" s="2"/>
      <c r="AK301" s="2"/>
      <c r="AL301" s="2"/>
      <c r="AM301" s="2"/>
      <c r="AN301" s="2"/>
    </row>
    <row r="302" spans="1:40" ht="16" x14ac:dyDescent="0.2">
      <c r="A302" s="2" t="s">
        <v>3045</v>
      </c>
      <c r="B302" s="2">
        <v>944</v>
      </c>
      <c r="C302" s="2" t="b">
        <v>0</v>
      </c>
      <c r="D302" s="2" t="b">
        <v>0</v>
      </c>
      <c r="E302" s="2" t="b">
        <v>0</v>
      </c>
      <c r="F302" s="2" t="b">
        <v>0</v>
      </c>
      <c r="G302" s="2" t="s">
        <v>31</v>
      </c>
      <c r="H302" s="2" t="s">
        <v>3046</v>
      </c>
      <c r="I302" s="2" t="s">
        <v>3047</v>
      </c>
      <c r="J302" s="2" t="s">
        <v>35</v>
      </c>
      <c r="K302" s="2" t="s">
        <v>35</v>
      </c>
      <c r="L302" s="2" t="s">
        <v>35</v>
      </c>
      <c r="M302" s="2">
        <v>8</v>
      </c>
      <c r="N302" s="2">
        <v>16</v>
      </c>
      <c r="O302" s="11">
        <v>44762.413604456022</v>
      </c>
      <c r="P302" s="11">
        <v>44762.413873668978</v>
      </c>
      <c r="Q302" s="27">
        <v>2.6921295648207888E-4</v>
      </c>
      <c r="R302" s="27">
        <v>2.9703703330596909E-4</v>
      </c>
      <c r="S302" s="2">
        <v>0</v>
      </c>
      <c r="T302" s="2" t="s">
        <v>54</v>
      </c>
      <c r="U302" s="2" t="s">
        <v>55</v>
      </c>
      <c r="V302" s="2" t="s">
        <v>38</v>
      </c>
      <c r="W302" s="2" t="s">
        <v>35</v>
      </c>
      <c r="X302" s="2" t="s">
        <v>35</v>
      </c>
      <c r="Y302" s="2" t="s">
        <v>35</v>
      </c>
      <c r="Z302" s="2" t="b">
        <v>0</v>
      </c>
      <c r="AA302" s="2" t="s">
        <v>35</v>
      </c>
      <c r="AB302" s="2" t="s">
        <v>35</v>
      </c>
      <c r="AC302" s="2" t="s">
        <v>35</v>
      </c>
      <c r="AD302" s="2" t="s">
        <v>35</v>
      </c>
      <c r="AE302" s="2" t="s">
        <v>2840</v>
      </c>
      <c r="AF302" s="11">
        <v>44762.350694444445</v>
      </c>
      <c r="AG302" s="53"/>
      <c r="AH302" s="53" t="b">
        <f t="shared" si="7"/>
        <v>0</v>
      </c>
      <c r="AI302" s="54" t="s">
        <v>10104</v>
      </c>
      <c r="AJ302" s="2"/>
      <c r="AK302" s="2"/>
      <c r="AL302" s="2"/>
      <c r="AM302" s="2"/>
      <c r="AN302" s="2"/>
    </row>
    <row r="303" spans="1:40" ht="16" x14ac:dyDescent="0.2">
      <c r="A303" s="31" t="s">
        <v>3118</v>
      </c>
      <c r="B303" s="31">
        <v>967</v>
      </c>
      <c r="C303" s="31" t="b">
        <v>0</v>
      </c>
      <c r="D303" s="31" t="b">
        <v>0</v>
      </c>
      <c r="E303" s="31" t="b">
        <v>0</v>
      </c>
      <c r="F303" s="31" t="b">
        <v>0</v>
      </c>
      <c r="G303" s="31" t="s">
        <v>31</v>
      </c>
      <c r="H303" s="31" t="s">
        <v>3119</v>
      </c>
      <c r="I303" s="31" t="s">
        <v>3120</v>
      </c>
      <c r="J303" s="31" t="s">
        <v>2267</v>
      </c>
      <c r="K303" s="31" t="s">
        <v>35</v>
      </c>
      <c r="L303" s="31" t="s">
        <v>35</v>
      </c>
      <c r="M303" s="31">
        <v>5</v>
      </c>
      <c r="N303" s="31">
        <v>9</v>
      </c>
      <c r="O303" s="32">
        <v>44762.47918318287</v>
      </c>
      <c r="P303" s="32">
        <v>44762.479478912035</v>
      </c>
      <c r="Q303" s="30">
        <v>2.9572916537290439E-4</v>
      </c>
      <c r="R303" s="30">
        <v>3.9896122681966517E-2</v>
      </c>
      <c r="S303" s="31">
        <v>0</v>
      </c>
      <c r="T303" s="31" t="s">
        <v>54</v>
      </c>
      <c r="U303" s="31" t="s">
        <v>55</v>
      </c>
      <c r="V303" s="31" t="s">
        <v>38</v>
      </c>
      <c r="W303" s="31" t="s">
        <v>35</v>
      </c>
      <c r="X303" s="31" t="s">
        <v>35</v>
      </c>
      <c r="Y303" s="31" t="s">
        <v>35</v>
      </c>
      <c r="Z303" s="31" t="b">
        <v>1</v>
      </c>
      <c r="AA303" s="31" t="s">
        <v>35</v>
      </c>
      <c r="AB303" s="31" t="s">
        <v>35</v>
      </c>
      <c r="AC303" s="31" t="s">
        <v>35</v>
      </c>
      <c r="AD303" s="31" t="s">
        <v>35</v>
      </c>
      <c r="AE303" s="31" t="s">
        <v>2840</v>
      </c>
      <c r="AF303" s="32">
        <v>44762.350694444445</v>
      </c>
      <c r="AG303" s="55" t="s">
        <v>9406</v>
      </c>
      <c r="AH303" s="53" t="b">
        <f t="shared" si="7"/>
        <v>0</v>
      </c>
      <c r="AI303" s="62" t="s">
        <v>10835</v>
      </c>
      <c r="AJ303" s="31"/>
      <c r="AK303" s="31"/>
      <c r="AL303" s="31"/>
      <c r="AM303" s="31"/>
      <c r="AN303" s="31"/>
    </row>
    <row r="304" spans="1:40" ht="16" x14ac:dyDescent="0.2">
      <c r="A304" s="2" t="s">
        <v>3127</v>
      </c>
      <c r="B304" s="2">
        <v>970</v>
      </c>
      <c r="C304" s="2" t="b">
        <v>0</v>
      </c>
      <c r="D304" s="2" t="b">
        <v>0</v>
      </c>
      <c r="E304" s="2" t="b">
        <v>0</v>
      </c>
      <c r="F304" s="2" t="b">
        <v>0</v>
      </c>
      <c r="G304" s="2" t="s">
        <v>31</v>
      </c>
      <c r="H304" s="2" t="s">
        <v>3128</v>
      </c>
      <c r="I304" s="2" t="s">
        <v>3129</v>
      </c>
      <c r="J304" s="2" t="s">
        <v>3130</v>
      </c>
      <c r="K304" s="2" t="s">
        <v>35</v>
      </c>
      <c r="L304" s="2" t="s">
        <v>35</v>
      </c>
      <c r="M304" s="2">
        <v>2</v>
      </c>
      <c r="N304" s="2">
        <v>14</v>
      </c>
      <c r="O304" s="11">
        <v>44762.482116250001</v>
      </c>
      <c r="P304" s="11">
        <v>44762.482344548611</v>
      </c>
      <c r="Q304" s="27">
        <v>2.2829860972706228E-4</v>
      </c>
      <c r="R304" s="27">
        <v>3.009606443811208E-4</v>
      </c>
      <c r="S304" s="2">
        <v>0</v>
      </c>
      <c r="T304" s="2" t="s">
        <v>54</v>
      </c>
      <c r="U304" s="2" t="s">
        <v>55</v>
      </c>
      <c r="V304" s="2" t="s">
        <v>38</v>
      </c>
      <c r="W304" s="2" t="s">
        <v>35</v>
      </c>
      <c r="X304" s="2" t="s">
        <v>35</v>
      </c>
      <c r="Y304" s="2" t="s">
        <v>35</v>
      </c>
      <c r="Z304" s="2" t="b">
        <v>0</v>
      </c>
      <c r="AA304" s="2" t="s">
        <v>35</v>
      </c>
      <c r="AB304" s="2" t="s">
        <v>35</v>
      </c>
      <c r="AC304" s="2" t="s">
        <v>35</v>
      </c>
      <c r="AD304" s="2" t="s">
        <v>35</v>
      </c>
      <c r="AE304" s="2" t="s">
        <v>2840</v>
      </c>
      <c r="AF304" s="11">
        <v>44762.350694444445</v>
      </c>
      <c r="AG304" s="53"/>
      <c r="AH304" s="53" t="b">
        <f t="shared" si="7"/>
        <v>0</v>
      </c>
      <c r="AI304" s="54" t="s">
        <v>10105</v>
      </c>
      <c r="AJ304" s="2"/>
      <c r="AK304" s="2"/>
      <c r="AL304" s="2"/>
      <c r="AM304" s="2"/>
      <c r="AN304" s="2"/>
    </row>
    <row r="305" spans="1:40" ht="16" x14ac:dyDescent="0.2">
      <c r="A305" s="2" t="s">
        <v>3140</v>
      </c>
      <c r="B305" s="2">
        <v>974</v>
      </c>
      <c r="C305" s="2" t="b">
        <v>0</v>
      </c>
      <c r="D305" s="2" t="b">
        <v>0</v>
      </c>
      <c r="E305" s="2" t="b">
        <v>0</v>
      </c>
      <c r="F305" s="2" t="b">
        <v>0</v>
      </c>
      <c r="G305" s="2" t="s">
        <v>31</v>
      </c>
      <c r="H305" s="2" t="s">
        <v>3141</v>
      </c>
      <c r="I305" s="2" t="s">
        <v>3142</v>
      </c>
      <c r="J305" s="2" t="s">
        <v>35</v>
      </c>
      <c r="K305" s="2" t="s">
        <v>35</v>
      </c>
      <c r="L305" s="2" t="s">
        <v>35</v>
      </c>
      <c r="M305" s="2">
        <v>14</v>
      </c>
      <c r="N305" s="2">
        <v>15</v>
      </c>
      <c r="O305" s="11">
        <v>44762.48564071759</v>
      </c>
      <c r="P305" s="11">
        <v>44762.486073321757</v>
      </c>
      <c r="Q305" s="27">
        <v>4.3260416714474559E-4</v>
      </c>
      <c r="R305" s="27">
        <v>7.8188657062128186E-4</v>
      </c>
      <c r="S305" s="2">
        <v>0</v>
      </c>
      <c r="T305" s="2" t="s">
        <v>54</v>
      </c>
      <c r="U305" s="2" t="s">
        <v>55</v>
      </c>
      <c r="V305" s="2" t="s">
        <v>38</v>
      </c>
      <c r="W305" s="2" t="s">
        <v>35</v>
      </c>
      <c r="X305" s="2" t="s">
        <v>35</v>
      </c>
      <c r="Y305" s="2" t="s">
        <v>35</v>
      </c>
      <c r="Z305" s="2" t="b">
        <v>0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2840</v>
      </c>
      <c r="AF305" s="11">
        <v>44762.350694444445</v>
      </c>
      <c r="AG305" s="53"/>
      <c r="AH305" s="53" t="b">
        <f t="shared" si="7"/>
        <v>0</v>
      </c>
      <c r="AI305" s="54" t="s">
        <v>10106</v>
      </c>
      <c r="AJ305" s="2"/>
      <c r="AK305" s="2"/>
      <c r="AL305" s="2"/>
      <c r="AM305" s="2"/>
      <c r="AN305" s="2"/>
    </row>
    <row r="306" spans="1:40" ht="16" x14ac:dyDescent="0.2">
      <c r="A306" s="2" t="s">
        <v>3143</v>
      </c>
      <c r="B306" s="2">
        <v>975</v>
      </c>
      <c r="C306" s="2" t="b">
        <v>0</v>
      </c>
      <c r="D306" s="2" t="b">
        <v>0</v>
      </c>
      <c r="E306" s="2" t="b">
        <v>0</v>
      </c>
      <c r="F306" s="2" t="b">
        <v>0</v>
      </c>
      <c r="G306" s="2" t="s">
        <v>31</v>
      </c>
      <c r="H306" s="2" t="s">
        <v>3144</v>
      </c>
      <c r="I306" s="2" t="s">
        <v>3145</v>
      </c>
      <c r="J306" s="2" t="s">
        <v>35</v>
      </c>
      <c r="K306" s="2" t="s">
        <v>35</v>
      </c>
      <c r="L306" s="2" t="s">
        <v>35</v>
      </c>
      <c r="M306" s="2">
        <v>3</v>
      </c>
      <c r="N306" s="2">
        <v>16</v>
      </c>
      <c r="O306" s="11">
        <v>44762.486301203702</v>
      </c>
      <c r="P306" s="11">
        <v>44762.486512719908</v>
      </c>
      <c r="Q306" s="27">
        <v>2.1151620603632182E-4</v>
      </c>
      <c r="R306" s="27">
        <v>4.3939815077465028E-4</v>
      </c>
      <c r="S306" s="2">
        <v>0</v>
      </c>
      <c r="T306" s="2" t="s">
        <v>54</v>
      </c>
      <c r="U306" s="2" t="s">
        <v>55</v>
      </c>
      <c r="V306" s="2" t="s">
        <v>38</v>
      </c>
      <c r="W306" s="2" t="s">
        <v>35</v>
      </c>
      <c r="X306" s="2" t="s">
        <v>35</v>
      </c>
      <c r="Y306" s="2" t="s">
        <v>35</v>
      </c>
      <c r="Z306" s="2" t="b">
        <v>0</v>
      </c>
      <c r="AA306" s="2" t="s">
        <v>35</v>
      </c>
      <c r="AB306" s="2" t="s">
        <v>35</v>
      </c>
      <c r="AC306" s="2" t="s">
        <v>35</v>
      </c>
      <c r="AD306" s="2" t="s">
        <v>35</v>
      </c>
      <c r="AE306" s="2" t="s">
        <v>2840</v>
      </c>
      <c r="AF306" s="11">
        <v>44762.350694444445</v>
      </c>
      <c r="AG306" s="53"/>
      <c r="AH306" s="53" t="b">
        <f t="shared" si="7"/>
        <v>0</v>
      </c>
      <c r="AI306" s="54" t="s">
        <v>9574</v>
      </c>
      <c r="AJ306" s="2"/>
      <c r="AK306" s="2"/>
      <c r="AL306" s="2"/>
      <c r="AM306" s="2"/>
      <c r="AN306" s="2"/>
    </row>
    <row r="307" spans="1:40" ht="16" x14ac:dyDescent="0.2">
      <c r="A307" s="2" t="s">
        <v>3207</v>
      </c>
      <c r="B307" s="2">
        <v>994</v>
      </c>
      <c r="C307" s="2" t="b">
        <v>0</v>
      </c>
      <c r="D307" s="2" t="b">
        <v>0</v>
      </c>
      <c r="E307" s="2" t="b">
        <v>0</v>
      </c>
      <c r="F307" s="2" t="b">
        <v>0</v>
      </c>
      <c r="G307" s="2" t="s">
        <v>31</v>
      </c>
      <c r="H307" s="2" t="s">
        <v>3208</v>
      </c>
      <c r="I307" s="2" t="s">
        <v>3209</v>
      </c>
      <c r="J307" s="2" t="s">
        <v>35</v>
      </c>
      <c r="K307" s="2" t="s">
        <v>35</v>
      </c>
      <c r="L307" s="2" t="s">
        <v>35</v>
      </c>
      <c r="M307" s="2">
        <v>22</v>
      </c>
      <c r="N307" s="2">
        <v>7</v>
      </c>
      <c r="O307" s="11">
        <v>44762.503733020836</v>
      </c>
      <c r="P307" s="11">
        <v>44762.504072314812</v>
      </c>
      <c r="Q307" s="27">
        <v>3.3929397613974288E-4</v>
      </c>
      <c r="R307" s="27">
        <v>4.8730323760537431E-4</v>
      </c>
      <c r="S307" s="2">
        <v>0</v>
      </c>
      <c r="T307" s="2" t="s">
        <v>54</v>
      </c>
      <c r="U307" s="2" t="s">
        <v>55</v>
      </c>
      <c r="V307" s="2" t="s">
        <v>38</v>
      </c>
      <c r="W307" s="2" t="s">
        <v>35</v>
      </c>
      <c r="X307" s="2" t="s">
        <v>35</v>
      </c>
      <c r="Y307" s="2" t="s">
        <v>35</v>
      </c>
      <c r="Z307" s="2" t="b">
        <v>0</v>
      </c>
      <c r="AA307" s="2" t="s">
        <v>35</v>
      </c>
      <c r="AB307" s="2" t="s">
        <v>35</v>
      </c>
      <c r="AC307" s="2" t="s">
        <v>35</v>
      </c>
      <c r="AD307" s="2" t="s">
        <v>35</v>
      </c>
      <c r="AE307" s="2" t="s">
        <v>2840</v>
      </c>
      <c r="AF307" s="11">
        <v>44762.350694444445</v>
      </c>
      <c r="AG307" s="53"/>
      <c r="AH307" s="53" t="b">
        <f t="shared" si="7"/>
        <v>0</v>
      </c>
      <c r="AI307" s="54" t="s">
        <v>10107</v>
      </c>
      <c r="AJ307" s="2"/>
      <c r="AK307" s="2"/>
      <c r="AL307" s="2"/>
      <c r="AM307" s="2"/>
      <c r="AN307" s="2"/>
    </row>
    <row r="308" spans="1:40" ht="16" x14ac:dyDescent="0.2">
      <c r="A308" s="2" t="s">
        <v>3214</v>
      </c>
      <c r="B308" s="2">
        <v>996</v>
      </c>
      <c r="C308" s="2" t="b">
        <v>0</v>
      </c>
      <c r="D308" s="2" t="b">
        <v>0</v>
      </c>
      <c r="E308" s="2" t="b">
        <v>0</v>
      </c>
      <c r="F308" s="2" t="b">
        <v>0</v>
      </c>
      <c r="G308" s="2" t="s">
        <v>31</v>
      </c>
      <c r="H308" s="2" t="s">
        <v>3215</v>
      </c>
      <c r="I308" s="2" t="s">
        <v>3216</v>
      </c>
      <c r="J308" s="2" t="s">
        <v>35</v>
      </c>
      <c r="K308" s="2" t="s">
        <v>35</v>
      </c>
      <c r="L308" s="2" t="s">
        <v>35</v>
      </c>
      <c r="M308" s="2">
        <v>2</v>
      </c>
      <c r="N308" s="2">
        <v>11</v>
      </c>
      <c r="O308" s="11">
        <v>44762.505501215281</v>
      </c>
      <c r="P308" s="11">
        <v>44762.50571474537</v>
      </c>
      <c r="Q308" s="27">
        <v>2.1353008924052119E-4</v>
      </c>
      <c r="R308" s="27">
        <v>6.6553241049405187E-4</v>
      </c>
      <c r="S308" s="2">
        <v>0</v>
      </c>
      <c r="T308" s="2" t="s">
        <v>54</v>
      </c>
      <c r="U308" s="2" t="s">
        <v>55</v>
      </c>
      <c r="V308" s="2" t="s">
        <v>38</v>
      </c>
      <c r="W308" s="2" t="s">
        <v>35</v>
      </c>
      <c r="X308" s="2" t="s">
        <v>35</v>
      </c>
      <c r="Y308" s="2" t="s">
        <v>35</v>
      </c>
      <c r="Z308" s="2" t="b">
        <v>0</v>
      </c>
      <c r="AA308" s="2" t="s">
        <v>35</v>
      </c>
      <c r="AB308" s="2" t="s">
        <v>35</v>
      </c>
      <c r="AC308" s="2" t="s">
        <v>35</v>
      </c>
      <c r="AD308" s="2" t="s">
        <v>35</v>
      </c>
      <c r="AE308" s="2" t="s">
        <v>2840</v>
      </c>
      <c r="AF308" s="11">
        <v>44762.350694444445</v>
      </c>
      <c r="AG308" s="53"/>
      <c r="AH308" s="53" t="b">
        <f t="shared" si="7"/>
        <v>0</v>
      </c>
      <c r="AI308" s="54" t="s">
        <v>10108</v>
      </c>
      <c r="AJ308" s="2"/>
      <c r="AK308" s="2"/>
      <c r="AL308" s="2"/>
      <c r="AM308" s="2"/>
      <c r="AN308" s="2"/>
    </row>
    <row r="309" spans="1:40" ht="16" x14ac:dyDescent="0.2">
      <c r="A309" s="2" t="s">
        <v>3230</v>
      </c>
      <c r="B309" s="2">
        <v>1001</v>
      </c>
      <c r="C309" s="2" t="b">
        <v>0</v>
      </c>
      <c r="D309" s="2" t="b">
        <v>0</v>
      </c>
      <c r="E309" s="2" t="b">
        <v>0</v>
      </c>
      <c r="F309" s="2" t="b">
        <v>0</v>
      </c>
      <c r="G309" s="2" t="s">
        <v>31</v>
      </c>
      <c r="H309" s="2" t="s">
        <v>3231</v>
      </c>
      <c r="I309" s="2" t="s">
        <v>3232</v>
      </c>
      <c r="J309" s="2" t="s">
        <v>35</v>
      </c>
      <c r="K309" s="2" t="s">
        <v>35</v>
      </c>
      <c r="L309" s="2" t="s">
        <v>35</v>
      </c>
      <c r="M309" s="2">
        <v>3</v>
      </c>
      <c r="N309" s="2">
        <v>16</v>
      </c>
      <c r="O309" s="11">
        <v>44762.510149768517</v>
      </c>
      <c r="P309" s="11">
        <v>44762.51033380787</v>
      </c>
      <c r="Q309" s="27">
        <v>1.8403935246169567E-4</v>
      </c>
      <c r="R309" s="27">
        <v>2.144444442819804E-4</v>
      </c>
      <c r="S309" s="2">
        <v>0</v>
      </c>
      <c r="T309" s="2" t="s">
        <v>54</v>
      </c>
      <c r="U309" s="2" t="s">
        <v>55</v>
      </c>
      <c r="V309" s="2" t="s">
        <v>38</v>
      </c>
      <c r="W309" s="2" t="s">
        <v>35</v>
      </c>
      <c r="X309" s="2" t="s">
        <v>35</v>
      </c>
      <c r="Y309" s="2" t="s">
        <v>35</v>
      </c>
      <c r="Z309" s="2" t="b">
        <v>0</v>
      </c>
      <c r="AA309" s="2" t="s">
        <v>35</v>
      </c>
      <c r="AB309" s="2" t="s">
        <v>35</v>
      </c>
      <c r="AC309" s="2" t="s">
        <v>35</v>
      </c>
      <c r="AD309" s="2" t="s">
        <v>35</v>
      </c>
      <c r="AE309" s="2" t="s">
        <v>2840</v>
      </c>
      <c r="AF309" s="11">
        <v>44762.350694444445</v>
      </c>
      <c r="AG309" s="53"/>
      <c r="AH309" s="53" t="b">
        <f t="shared" si="7"/>
        <v>0</v>
      </c>
      <c r="AI309" s="54" t="s">
        <v>10109</v>
      </c>
      <c r="AJ309" s="2"/>
      <c r="AK309" s="2"/>
      <c r="AL309" s="2"/>
      <c r="AM309" s="2"/>
      <c r="AN309" s="2"/>
    </row>
    <row r="310" spans="1:40" ht="16" x14ac:dyDescent="0.2">
      <c r="A310" s="2" t="s">
        <v>3239</v>
      </c>
      <c r="B310" s="2">
        <v>1004</v>
      </c>
      <c r="C310" s="2" t="b">
        <v>0</v>
      </c>
      <c r="D310" s="2" t="b">
        <v>0</v>
      </c>
      <c r="E310" s="2" t="b">
        <v>0</v>
      </c>
      <c r="F310" s="2" t="b">
        <v>0</v>
      </c>
      <c r="G310" s="2" t="s">
        <v>31</v>
      </c>
      <c r="H310" s="2" t="s">
        <v>3240</v>
      </c>
      <c r="I310" s="2" t="s">
        <v>3241</v>
      </c>
      <c r="J310" s="2" t="s">
        <v>35</v>
      </c>
      <c r="K310" s="2" t="s">
        <v>35</v>
      </c>
      <c r="L310" s="2" t="s">
        <v>35</v>
      </c>
      <c r="M310" s="2">
        <v>2</v>
      </c>
      <c r="N310" s="2">
        <v>16</v>
      </c>
      <c r="O310" s="11">
        <v>44762.511054201386</v>
      </c>
      <c r="P310" s="11">
        <v>44762.511204884257</v>
      </c>
      <c r="Q310" s="27">
        <v>1.5068287029862404E-4</v>
      </c>
      <c r="R310" s="27">
        <v>1.9017361046280712E-4</v>
      </c>
      <c r="S310" s="2">
        <v>0</v>
      </c>
      <c r="T310" s="2" t="s">
        <v>54</v>
      </c>
      <c r="U310" s="2" t="s">
        <v>55</v>
      </c>
      <c r="V310" s="2" t="s">
        <v>38</v>
      </c>
      <c r="W310" s="2" t="s">
        <v>35</v>
      </c>
      <c r="X310" s="2" t="s">
        <v>35</v>
      </c>
      <c r="Y310" s="2" t="s">
        <v>35</v>
      </c>
      <c r="Z310" s="2" t="b">
        <v>0</v>
      </c>
      <c r="AA310" s="2" t="s">
        <v>35</v>
      </c>
      <c r="AB310" s="2" t="s">
        <v>35</v>
      </c>
      <c r="AC310" s="2" t="s">
        <v>35</v>
      </c>
      <c r="AD310" s="2" t="s">
        <v>35</v>
      </c>
      <c r="AE310" s="2" t="s">
        <v>2840</v>
      </c>
      <c r="AF310" s="11">
        <v>44762.350694444445</v>
      </c>
      <c r="AG310" s="53"/>
      <c r="AH310" s="53" t="b">
        <f t="shared" si="7"/>
        <v>0</v>
      </c>
      <c r="AI310" s="54" t="s">
        <v>10110</v>
      </c>
      <c r="AJ310" s="2"/>
      <c r="AK310" s="2"/>
      <c r="AL310" s="2"/>
      <c r="AM310" s="2"/>
      <c r="AN310" s="2"/>
    </row>
    <row r="311" spans="1:40" ht="16" x14ac:dyDescent="0.2">
      <c r="A311" s="2" t="s">
        <v>3249</v>
      </c>
      <c r="B311" s="2">
        <v>1007</v>
      </c>
      <c r="C311" s="2" t="b">
        <v>0</v>
      </c>
      <c r="D311" s="2" t="b">
        <v>0</v>
      </c>
      <c r="E311" s="2" t="b">
        <v>0</v>
      </c>
      <c r="F311" s="2" t="b">
        <v>0</v>
      </c>
      <c r="G311" s="2" t="s">
        <v>31</v>
      </c>
      <c r="H311" s="2" t="s">
        <v>3250</v>
      </c>
      <c r="I311" s="2" t="s">
        <v>3251</v>
      </c>
      <c r="J311" s="2" t="s">
        <v>3252</v>
      </c>
      <c r="K311" s="2" t="s">
        <v>35</v>
      </c>
      <c r="L311" s="2" t="s">
        <v>35</v>
      </c>
      <c r="M311" s="2" t="s">
        <v>35</v>
      </c>
      <c r="N311" s="2" t="s">
        <v>35</v>
      </c>
      <c r="O311" s="11">
        <v>44764.361877743053</v>
      </c>
      <c r="P311" s="11">
        <v>44764.362297418978</v>
      </c>
      <c r="Q311" s="27">
        <v>4.1967592551372945E-4</v>
      </c>
      <c r="R311" s="27">
        <v>7.4090277485083789E-4</v>
      </c>
      <c r="S311" s="2">
        <v>0</v>
      </c>
      <c r="T311" s="2" t="s">
        <v>54</v>
      </c>
      <c r="U311" s="2" t="s">
        <v>55</v>
      </c>
      <c r="V311" s="2" t="s">
        <v>38</v>
      </c>
      <c r="W311" s="2" t="s">
        <v>35</v>
      </c>
      <c r="X311" s="2" t="s">
        <v>35</v>
      </c>
      <c r="Y311" s="2" t="s">
        <v>35</v>
      </c>
      <c r="Z311" s="2" t="b">
        <v>0</v>
      </c>
      <c r="AA311" s="2" t="s">
        <v>35</v>
      </c>
      <c r="AB311" s="2" t="s">
        <v>35</v>
      </c>
      <c r="AC311" s="2" t="s">
        <v>35</v>
      </c>
      <c r="AD311" s="2" t="s">
        <v>35</v>
      </c>
      <c r="AE311" s="2" t="s">
        <v>3248</v>
      </c>
      <c r="AF311" s="11">
        <v>44764.361111111109</v>
      </c>
      <c r="AG311" s="53"/>
      <c r="AH311" s="53" t="b">
        <f t="shared" si="7"/>
        <v>0</v>
      </c>
      <c r="AI311" s="54" t="s">
        <v>10111</v>
      </c>
      <c r="AJ311" s="2"/>
      <c r="AK311" s="2"/>
      <c r="AL311" s="2"/>
      <c r="AM311" s="2"/>
      <c r="AN311" s="2"/>
    </row>
    <row r="312" spans="1:40" ht="16" x14ac:dyDescent="0.2">
      <c r="A312" s="2" t="s">
        <v>3253</v>
      </c>
      <c r="B312" s="2">
        <v>1008</v>
      </c>
      <c r="C312" s="2" t="b">
        <v>0</v>
      </c>
      <c r="D312" s="2" t="b">
        <v>0</v>
      </c>
      <c r="E312" s="2" t="b">
        <v>0</v>
      </c>
      <c r="F312" s="2" t="b">
        <v>0</v>
      </c>
      <c r="G312" s="2" t="s">
        <v>31</v>
      </c>
      <c r="H312" s="2" t="s">
        <v>3254</v>
      </c>
      <c r="I312" s="2" t="s">
        <v>3255</v>
      </c>
      <c r="J312" s="2" t="s">
        <v>35</v>
      </c>
      <c r="K312" s="2" t="s">
        <v>35</v>
      </c>
      <c r="L312" s="2" t="s">
        <v>35</v>
      </c>
      <c r="M312" s="2">
        <v>31</v>
      </c>
      <c r="N312" s="2">
        <v>15</v>
      </c>
      <c r="O312" s="11">
        <v>44764.362374421296</v>
      </c>
      <c r="P312" s="11">
        <v>44764.362857511573</v>
      </c>
      <c r="Q312" s="27">
        <v>4.8309027624782175E-4</v>
      </c>
      <c r="R312" s="27">
        <v>5.6009259424172342E-4</v>
      </c>
      <c r="S312" s="2">
        <v>0</v>
      </c>
      <c r="T312" s="2" t="s">
        <v>54</v>
      </c>
      <c r="U312" s="2" t="s">
        <v>55</v>
      </c>
      <c r="V312" s="2" t="s">
        <v>38</v>
      </c>
      <c r="W312" s="2" t="s">
        <v>35</v>
      </c>
      <c r="X312" s="2" t="s">
        <v>35</v>
      </c>
      <c r="Y312" s="2" t="s">
        <v>35</v>
      </c>
      <c r="Z312" s="2" t="b">
        <v>0</v>
      </c>
      <c r="AA312" s="2" t="s">
        <v>35</v>
      </c>
      <c r="AB312" s="2" t="s">
        <v>35</v>
      </c>
      <c r="AC312" s="2" t="s">
        <v>35</v>
      </c>
      <c r="AD312" s="2" t="s">
        <v>35</v>
      </c>
      <c r="AE312" s="2" t="s">
        <v>3248</v>
      </c>
      <c r="AF312" s="11">
        <v>44764.361111053244</v>
      </c>
      <c r="AG312" s="53"/>
      <c r="AH312" s="53" t="b">
        <f t="shared" si="7"/>
        <v>0</v>
      </c>
      <c r="AI312" s="54" t="s">
        <v>10112</v>
      </c>
      <c r="AJ312" s="2"/>
      <c r="AK312" s="2"/>
      <c r="AL312" s="2"/>
      <c r="AM312" s="2"/>
      <c r="AN312" s="2"/>
    </row>
    <row r="313" spans="1:40" ht="16" x14ac:dyDescent="0.2">
      <c r="A313" s="2" t="s">
        <v>3256</v>
      </c>
      <c r="B313" s="2">
        <v>1009</v>
      </c>
      <c r="C313" s="2" t="b">
        <v>0</v>
      </c>
      <c r="D313" s="2" t="b">
        <v>0</v>
      </c>
      <c r="E313" s="2" t="b">
        <v>0</v>
      </c>
      <c r="F313" s="2" t="b">
        <v>0</v>
      </c>
      <c r="G313" s="2" t="s">
        <v>31</v>
      </c>
      <c r="H313" s="2" t="s">
        <v>3257</v>
      </c>
      <c r="I313" s="2" t="s">
        <v>3258</v>
      </c>
      <c r="J313" s="2" t="s">
        <v>3252</v>
      </c>
      <c r="K313" s="2" t="s">
        <v>35</v>
      </c>
      <c r="L313" s="2" t="s">
        <v>35</v>
      </c>
      <c r="M313" s="2" t="s">
        <v>35</v>
      </c>
      <c r="N313" s="2" t="s">
        <v>35</v>
      </c>
      <c r="O313" s="11">
        <v>44764.362939687497</v>
      </c>
      <c r="P313" s="11">
        <v>44764.363410949074</v>
      </c>
      <c r="Q313" s="27">
        <v>4.7126157733146101E-4</v>
      </c>
      <c r="R313" s="27">
        <v>5.5343750136671588E-4</v>
      </c>
      <c r="S313" s="2">
        <v>0</v>
      </c>
      <c r="T313" s="2" t="s">
        <v>54</v>
      </c>
      <c r="U313" s="2" t="s">
        <v>55</v>
      </c>
      <c r="V313" s="2" t="s">
        <v>38</v>
      </c>
      <c r="W313" s="2" t="s">
        <v>35</v>
      </c>
      <c r="X313" s="2" t="s">
        <v>35</v>
      </c>
      <c r="Y313" s="2" t="s">
        <v>35</v>
      </c>
      <c r="Z313" s="2" t="b">
        <v>0</v>
      </c>
      <c r="AA313" s="2" t="s">
        <v>35</v>
      </c>
      <c r="AB313" s="2" t="s">
        <v>35</v>
      </c>
      <c r="AC313" s="2" t="s">
        <v>35</v>
      </c>
      <c r="AD313" s="2" t="s">
        <v>35</v>
      </c>
      <c r="AE313" s="2" t="s">
        <v>3248</v>
      </c>
      <c r="AF313" s="11">
        <v>44764.361111053244</v>
      </c>
      <c r="AG313" s="53"/>
      <c r="AH313" s="53" t="b">
        <f t="shared" si="7"/>
        <v>0</v>
      </c>
      <c r="AI313" s="54" t="s">
        <v>10113</v>
      </c>
      <c r="AJ313" s="2"/>
      <c r="AK313" s="2"/>
      <c r="AL313" s="2"/>
      <c r="AM313" s="2"/>
      <c r="AN313" s="2"/>
    </row>
    <row r="314" spans="1:40" ht="16" x14ac:dyDescent="0.2">
      <c r="A314" s="2" t="s">
        <v>3259</v>
      </c>
      <c r="B314" s="2">
        <v>1010</v>
      </c>
      <c r="C314" s="2" t="b">
        <v>0</v>
      </c>
      <c r="D314" s="2" t="b">
        <v>0</v>
      </c>
      <c r="E314" s="2" t="b">
        <v>0</v>
      </c>
      <c r="F314" s="2" t="b">
        <v>0</v>
      </c>
      <c r="G314" s="2" t="s">
        <v>31</v>
      </c>
      <c r="H314" s="2" t="s">
        <v>3260</v>
      </c>
      <c r="I314" s="2" t="s">
        <v>3261</v>
      </c>
      <c r="J314" s="2" t="s">
        <v>35</v>
      </c>
      <c r="K314" s="2" t="s">
        <v>35</v>
      </c>
      <c r="L314" s="2" t="s">
        <v>35</v>
      </c>
      <c r="M314" s="2">
        <v>31</v>
      </c>
      <c r="N314" s="2">
        <v>15</v>
      </c>
      <c r="O314" s="11">
        <v>44764.36384150463</v>
      </c>
      <c r="P314" s="11">
        <v>44764.36438363426</v>
      </c>
      <c r="Q314" s="27">
        <v>5.4212963004829362E-4</v>
      </c>
      <c r="R314" s="27">
        <v>9.7268518584314734E-4</v>
      </c>
      <c r="S314" s="2">
        <v>0</v>
      </c>
      <c r="T314" s="2" t="s">
        <v>54</v>
      </c>
      <c r="U314" s="2" t="s">
        <v>55</v>
      </c>
      <c r="V314" s="2" t="s">
        <v>38</v>
      </c>
      <c r="W314" s="2" t="s">
        <v>35</v>
      </c>
      <c r="X314" s="2" t="s">
        <v>35</v>
      </c>
      <c r="Y314" s="2" t="s">
        <v>35</v>
      </c>
      <c r="Z314" s="2" t="b">
        <v>0</v>
      </c>
      <c r="AA314" s="2" t="s">
        <v>35</v>
      </c>
      <c r="AB314" s="2" t="s">
        <v>35</v>
      </c>
      <c r="AC314" s="2" t="s">
        <v>35</v>
      </c>
      <c r="AD314" s="2" t="s">
        <v>35</v>
      </c>
      <c r="AE314" s="2" t="s">
        <v>3248</v>
      </c>
      <c r="AF314" s="11">
        <v>44764.361111053244</v>
      </c>
      <c r="AG314" s="53"/>
      <c r="AH314" s="53" t="b">
        <f t="shared" si="7"/>
        <v>0</v>
      </c>
      <c r="AI314" s="54" t="s">
        <v>10114</v>
      </c>
      <c r="AJ314" s="2"/>
      <c r="AK314" s="2"/>
      <c r="AL314" s="2"/>
      <c r="AM314" s="2"/>
      <c r="AN314" s="2"/>
    </row>
    <row r="315" spans="1:40" ht="16" x14ac:dyDescent="0.2">
      <c r="A315" s="2" t="s">
        <v>3265</v>
      </c>
      <c r="B315" s="2">
        <v>1012</v>
      </c>
      <c r="C315" s="2" t="b">
        <v>0</v>
      </c>
      <c r="D315" s="2" t="b">
        <v>0</v>
      </c>
      <c r="E315" s="2" t="b">
        <v>0</v>
      </c>
      <c r="F315" s="2" t="b">
        <v>0</v>
      </c>
      <c r="G315" s="2" t="s">
        <v>31</v>
      </c>
      <c r="H315" s="2" t="s">
        <v>3266</v>
      </c>
      <c r="I315" s="2" t="s">
        <v>3267</v>
      </c>
      <c r="J315" s="2" t="s">
        <v>3252</v>
      </c>
      <c r="K315" s="2" t="s">
        <v>35</v>
      </c>
      <c r="L315" s="2" t="s">
        <v>35</v>
      </c>
      <c r="M315" s="2" t="s">
        <v>35</v>
      </c>
      <c r="N315" s="2" t="s">
        <v>35</v>
      </c>
      <c r="O315" s="11">
        <v>44764.365249664355</v>
      </c>
      <c r="P315" s="11">
        <v>44764.365537175923</v>
      </c>
      <c r="Q315" s="27">
        <v>2.8751156787620857E-4</v>
      </c>
      <c r="R315" s="27">
        <v>5.7322916109114885E-4</v>
      </c>
      <c r="S315" s="2">
        <v>0</v>
      </c>
      <c r="T315" s="2" t="s">
        <v>54</v>
      </c>
      <c r="U315" s="2" t="s">
        <v>55</v>
      </c>
      <c r="V315" s="2" t="s">
        <v>38</v>
      </c>
      <c r="W315" s="2" t="s">
        <v>35</v>
      </c>
      <c r="X315" s="2" t="s">
        <v>35</v>
      </c>
      <c r="Y315" s="2" t="s">
        <v>35</v>
      </c>
      <c r="Z315" s="2" t="b">
        <v>0</v>
      </c>
      <c r="AA315" s="2" t="s">
        <v>35</v>
      </c>
      <c r="AB315" s="2" t="s">
        <v>35</v>
      </c>
      <c r="AC315" s="2" t="s">
        <v>35</v>
      </c>
      <c r="AD315" s="2" t="s">
        <v>35</v>
      </c>
      <c r="AE315" s="2" t="s">
        <v>3248</v>
      </c>
      <c r="AF315" s="11">
        <v>44764.361111053244</v>
      </c>
      <c r="AG315" s="53"/>
      <c r="AH315" s="53" t="b">
        <f t="shared" si="7"/>
        <v>0</v>
      </c>
      <c r="AI315" s="54" t="s">
        <v>10115</v>
      </c>
      <c r="AJ315" s="2"/>
      <c r="AK315" s="2"/>
      <c r="AL315" s="2"/>
      <c r="AM315" s="2"/>
      <c r="AN315" s="2"/>
    </row>
    <row r="316" spans="1:40" ht="16" x14ac:dyDescent="0.2">
      <c r="A316" s="2" t="s">
        <v>3268</v>
      </c>
      <c r="B316" s="2">
        <v>1013</v>
      </c>
      <c r="C316" s="2" t="b">
        <v>0</v>
      </c>
      <c r="D316" s="2" t="b">
        <v>0</v>
      </c>
      <c r="E316" s="2" t="b">
        <v>0</v>
      </c>
      <c r="F316" s="2" t="b">
        <v>0</v>
      </c>
      <c r="G316" s="2" t="s">
        <v>31</v>
      </c>
      <c r="H316" s="2" t="s">
        <v>3269</v>
      </c>
      <c r="I316" s="2" t="s">
        <v>3270</v>
      </c>
      <c r="J316" s="2" t="s">
        <v>35</v>
      </c>
      <c r="K316" s="2" t="s">
        <v>35</v>
      </c>
      <c r="L316" s="2" t="s">
        <v>35</v>
      </c>
      <c r="M316" s="2">
        <v>31</v>
      </c>
      <c r="N316" s="2">
        <v>15</v>
      </c>
      <c r="O316" s="11">
        <v>44764.365681157411</v>
      </c>
      <c r="P316" s="11">
        <v>44764.366037569445</v>
      </c>
      <c r="Q316" s="27">
        <v>3.5641203430714086E-4</v>
      </c>
      <c r="R316" s="27">
        <v>5.0039352208841592E-4</v>
      </c>
      <c r="S316" s="2">
        <v>0</v>
      </c>
      <c r="T316" s="2" t="s">
        <v>54</v>
      </c>
      <c r="U316" s="2" t="s">
        <v>55</v>
      </c>
      <c r="V316" s="2" t="s">
        <v>38</v>
      </c>
      <c r="W316" s="2" t="s">
        <v>35</v>
      </c>
      <c r="X316" s="2" t="s">
        <v>35</v>
      </c>
      <c r="Y316" s="2" t="s">
        <v>35</v>
      </c>
      <c r="Z316" s="2" t="b">
        <v>0</v>
      </c>
      <c r="AA316" s="2" t="s">
        <v>35</v>
      </c>
      <c r="AB316" s="2" t="s">
        <v>35</v>
      </c>
      <c r="AC316" s="2" t="s">
        <v>35</v>
      </c>
      <c r="AD316" s="2" t="s">
        <v>35</v>
      </c>
      <c r="AE316" s="2" t="s">
        <v>3248</v>
      </c>
      <c r="AF316" s="11">
        <v>44764.361111053244</v>
      </c>
      <c r="AG316" s="53"/>
      <c r="AH316" s="53" t="b">
        <f t="shared" si="7"/>
        <v>0</v>
      </c>
      <c r="AI316" s="54" t="s">
        <v>10116</v>
      </c>
      <c r="AJ316" s="2"/>
      <c r="AK316" s="2"/>
      <c r="AL316" s="2"/>
      <c r="AM316" s="2"/>
      <c r="AN316" s="2"/>
    </row>
    <row r="317" spans="1:40" ht="16" x14ac:dyDescent="0.2">
      <c r="A317" s="2" t="s">
        <v>3271</v>
      </c>
      <c r="B317" s="2">
        <v>1014</v>
      </c>
      <c r="C317" s="2" t="b">
        <v>0</v>
      </c>
      <c r="D317" s="2" t="b">
        <v>0</v>
      </c>
      <c r="E317" s="2" t="b">
        <v>0</v>
      </c>
      <c r="F317" s="2" t="b">
        <v>0</v>
      </c>
      <c r="G317" s="2" t="s">
        <v>31</v>
      </c>
      <c r="H317" s="2" t="s">
        <v>3272</v>
      </c>
      <c r="I317" s="2" t="s">
        <v>3273</v>
      </c>
      <c r="J317" s="2" t="s">
        <v>3252</v>
      </c>
      <c r="K317" s="2" t="s">
        <v>35</v>
      </c>
      <c r="L317" s="2" t="s">
        <v>35</v>
      </c>
      <c r="M317" s="2" t="s">
        <v>35</v>
      </c>
      <c r="N317" s="2" t="s">
        <v>35</v>
      </c>
      <c r="O317" s="11">
        <v>44764.366358472224</v>
      </c>
      <c r="P317" s="11">
        <v>44764.366608159726</v>
      </c>
      <c r="Q317" s="27">
        <v>2.4968750221887603E-4</v>
      </c>
      <c r="R317" s="27">
        <v>5.7059028040384874E-4</v>
      </c>
      <c r="S317" s="2">
        <v>0</v>
      </c>
      <c r="T317" s="2" t="s">
        <v>54</v>
      </c>
      <c r="U317" s="2" t="s">
        <v>55</v>
      </c>
      <c r="V317" s="2" t="s">
        <v>38</v>
      </c>
      <c r="W317" s="2" t="s">
        <v>35</v>
      </c>
      <c r="X317" s="2" t="s">
        <v>35</v>
      </c>
      <c r="Y317" s="2" t="s">
        <v>35</v>
      </c>
      <c r="Z317" s="2" t="b">
        <v>0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2" t="s">
        <v>3248</v>
      </c>
      <c r="AF317" s="11">
        <v>44764.361111053244</v>
      </c>
      <c r="AG317" s="53"/>
      <c r="AH317" s="53" t="b">
        <f t="shared" si="7"/>
        <v>0</v>
      </c>
      <c r="AI317" s="54" t="s">
        <v>10117</v>
      </c>
      <c r="AJ317" s="2"/>
      <c r="AK317" s="2"/>
      <c r="AL317" s="2"/>
      <c r="AM317" s="2"/>
      <c r="AN317" s="2"/>
    </row>
    <row r="318" spans="1:40" ht="16" x14ac:dyDescent="0.2">
      <c r="A318" s="2" t="s">
        <v>3274</v>
      </c>
      <c r="B318" s="2">
        <v>1015</v>
      </c>
      <c r="C318" s="2" t="b">
        <v>0</v>
      </c>
      <c r="D318" s="2" t="b">
        <v>0</v>
      </c>
      <c r="E318" s="2" t="b">
        <v>0</v>
      </c>
      <c r="F318" s="2" t="b">
        <v>0</v>
      </c>
      <c r="G318" s="2" t="s">
        <v>31</v>
      </c>
      <c r="H318" s="2" t="s">
        <v>3275</v>
      </c>
      <c r="I318" s="2" t="s">
        <v>3276</v>
      </c>
      <c r="J318" s="2" t="s">
        <v>35</v>
      </c>
      <c r="K318" s="2" t="s">
        <v>35</v>
      </c>
      <c r="L318" s="2" t="s">
        <v>35</v>
      </c>
      <c r="M318" s="2">
        <v>31</v>
      </c>
      <c r="N318" s="2">
        <v>15</v>
      </c>
      <c r="O318" s="11">
        <v>44764.36668003472</v>
      </c>
      <c r="P318" s="11">
        <v>44764.367063738428</v>
      </c>
      <c r="Q318" s="27">
        <v>3.8370370748452842E-4</v>
      </c>
      <c r="R318" s="27">
        <v>4.5557870180346072E-4</v>
      </c>
      <c r="S318" s="2">
        <v>0</v>
      </c>
      <c r="T318" s="2" t="s">
        <v>54</v>
      </c>
      <c r="U318" s="2" t="s">
        <v>55</v>
      </c>
      <c r="V318" s="2" t="s">
        <v>38</v>
      </c>
      <c r="W318" s="2" t="s">
        <v>35</v>
      </c>
      <c r="X318" s="2" t="s">
        <v>35</v>
      </c>
      <c r="Y318" s="2" t="s">
        <v>35</v>
      </c>
      <c r="Z318" s="2" t="b">
        <v>0</v>
      </c>
      <c r="AA318" s="2" t="s">
        <v>35</v>
      </c>
      <c r="AB318" s="2" t="s">
        <v>35</v>
      </c>
      <c r="AC318" s="2" t="s">
        <v>35</v>
      </c>
      <c r="AD318" s="2" t="s">
        <v>35</v>
      </c>
      <c r="AE318" s="2" t="s">
        <v>3248</v>
      </c>
      <c r="AF318" s="11">
        <v>44764.361111053244</v>
      </c>
      <c r="AG318" s="53"/>
      <c r="AH318" s="53" t="b">
        <f t="shared" si="7"/>
        <v>0</v>
      </c>
      <c r="AI318" s="54" t="s">
        <v>10118</v>
      </c>
      <c r="AJ318" s="2"/>
      <c r="AK318" s="2"/>
      <c r="AL318" s="2"/>
      <c r="AM318" s="2"/>
      <c r="AN318" s="2"/>
    </row>
    <row r="319" spans="1:40" ht="16" x14ac:dyDescent="0.2">
      <c r="A319" s="2" t="s">
        <v>3284</v>
      </c>
      <c r="B319" s="2">
        <v>1018</v>
      </c>
      <c r="C319" s="2" t="b">
        <v>0</v>
      </c>
      <c r="D319" s="2" t="b">
        <v>0</v>
      </c>
      <c r="E319" s="2" t="b">
        <v>0</v>
      </c>
      <c r="F319" s="2" t="b">
        <v>0</v>
      </c>
      <c r="G319" s="2" t="s">
        <v>31</v>
      </c>
      <c r="H319" s="2" t="s">
        <v>3285</v>
      </c>
      <c r="I319" s="2" t="s">
        <v>3286</v>
      </c>
      <c r="J319" s="2" t="s">
        <v>35</v>
      </c>
      <c r="K319" s="2" t="s">
        <v>35</v>
      </c>
      <c r="L319" s="2" t="s">
        <v>35</v>
      </c>
      <c r="M319" s="2">
        <v>29</v>
      </c>
      <c r="N319" s="2">
        <v>17</v>
      </c>
      <c r="O319" s="11">
        <v>44764.371469756945</v>
      </c>
      <c r="P319" s="11">
        <v>44764.372051168983</v>
      </c>
      <c r="Q319" s="27">
        <v>5.8141203771810979E-4</v>
      </c>
      <c r="R319" s="27">
        <v>1.2342708359938115E-3</v>
      </c>
      <c r="S319" s="2">
        <v>0</v>
      </c>
      <c r="T319" s="2" t="s">
        <v>54</v>
      </c>
      <c r="U319" s="2" t="s">
        <v>55</v>
      </c>
      <c r="V319" s="2" t="s">
        <v>38</v>
      </c>
      <c r="W319" s="2" t="s">
        <v>35</v>
      </c>
      <c r="X319" s="2" t="s">
        <v>35</v>
      </c>
      <c r="Y319" s="2" t="s">
        <v>35</v>
      </c>
      <c r="Z319" s="2" t="b">
        <v>0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2" t="s">
        <v>3248</v>
      </c>
      <c r="AF319" s="11">
        <v>44764.361111053244</v>
      </c>
      <c r="AG319" s="53"/>
      <c r="AH319" s="53" t="b">
        <f t="shared" si="7"/>
        <v>0</v>
      </c>
      <c r="AI319" s="54" t="s">
        <v>9573</v>
      </c>
      <c r="AJ319" s="2" t="s">
        <v>9572</v>
      </c>
      <c r="AK319" s="2"/>
      <c r="AL319" s="2"/>
      <c r="AM319" s="2"/>
      <c r="AN319" s="2"/>
    </row>
    <row r="320" spans="1:40" ht="16" x14ac:dyDescent="0.2">
      <c r="A320" s="2" t="s">
        <v>3287</v>
      </c>
      <c r="B320" s="2">
        <v>1019</v>
      </c>
      <c r="C320" s="2" t="b">
        <v>0</v>
      </c>
      <c r="D320" s="2" t="b">
        <v>0</v>
      </c>
      <c r="E320" s="2" t="b">
        <v>0</v>
      </c>
      <c r="F320" s="2" t="b">
        <v>0</v>
      </c>
      <c r="G320" s="2" t="s">
        <v>31</v>
      </c>
      <c r="H320" s="2" t="s">
        <v>3288</v>
      </c>
      <c r="I320" s="2" t="s">
        <v>3289</v>
      </c>
      <c r="J320" s="2" t="s">
        <v>1711</v>
      </c>
      <c r="K320" s="2" t="s">
        <v>35</v>
      </c>
      <c r="L320" s="2" t="s">
        <v>35</v>
      </c>
      <c r="M320" s="2" t="s">
        <v>35</v>
      </c>
      <c r="N320" s="2" t="s">
        <v>35</v>
      </c>
      <c r="O320" s="11">
        <v>44764.372087280091</v>
      </c>
      <c r="P320" s="11">
        <v>44764.372279328702</v>
      </c>
      <c r="Q320" s="27">
        <v>1.9204861018806696E-4</v>
      </c>
      <c r="R320" s="27">
        <v>2.2815971897216514E-4</v>
      </c>
      <c r="S320" s="2">
        <v>0</v>
      </c>
      <c r="T320" s="2" t="s">
        <v>54</v>
      </c>
      <c r="U320" s="2" t="s">
        <v>55</v>
      </c>
      <c r="V320" s="2" t="s">
        <v>38</v>
      </c>
      <c r="W320" s="2" t="s">
        <v>35</v>
      </c>
      <c r="X320" s="2" t="s">
        <v>35</v>
      </c>
      <c r="Y320" s="2" t="s">
        <v>35</v>
      </c>
      <c r="Z320" s="2" t="b">
        <v>0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3248</v>
      </c>
      <c r="AF320" s="11">
        <v>44764.361111053244</v>
      </c>
      <c r="AG320" s="53"/>
      <c r="AH320" s="53" t="b">
        <f t="shared" si="7"/>
        <v>0</v>
      </c>
      <c r="AI320" s="54" t="s">
        <v>9571</v>
      </c>
      <c r="AJ320" s="2"/>
      <c r="AK320" s="2"/>
      <c r="AL320" s="2"/>
      <c r="AM320" s="2"/>
      <c r="AN320" s="2"/>
    </row>
    <row r="321" spans="1:40" ht="16" x14ac:dyDescent="0.2">
      <c r="A321" s="2" t="s">
        <v>3290</v>
      </c>
      <c r="B321" s="2">
        <v>1020</v>
      </c>
      <c r="C321" s="2" t="b">
        <v>0</v>
      </c>
      <c r="D321" s="2" t="b">
        <v>0</v>
      </c>
      <c r="E321" s="2" t="b">
        <v>0</v>
      </c>
      <c r="F321" s="2" t="b">
        <v>0</v>
      </c>
      <c r="G321" s="2" t="s">
        <v>31</v>
      </c>
      <c r="H321" s="2" t="s">
        <v>3291</v>
      </c>
      <c r="I321" s="2" t="s">
        <v>3292</v>
      </c>
      <c r="J321" s="2" t="s">
        <v>35</v>
      </c>
      <c r="K321" s="2" t="s">
        <v>35</v>
      </c>
      <c r="L321" s="2" t="s">
        <v>35</v>
      </c>
      <c r="M321" s="2">
        <v>2</v>
      </c>
      <c r="N321" s="2">
        <v>17</v>
      </c>
      <c r="O321" s="11">
        <v>44764.376414432867</v>
      </c>
      <c r="P321" s="11">
        <v>44764.376680821762</v>
      </c>
      <c r="Q321" s="27">
        <v>2.6638889539754018E-4</v>
      </c>
      <c r="R321" s="27">
        <v>4.4014930608682334E-3</v>
      </c>
      <c r="S321" s="2">
        <v>0</v>
      </c>
      <c r="T321" s="2" t="s">
        <v>54</v>
      </c>
      <c r="U321" s="2" t="s">
        <v>55</v>
      </c>
      <c r="V321" s="2" t="s">
        <v>38</v>
      </c>
      <c r="W321" s="2" t="s">
        <v>35</v>
      </c>
      <c r="X321" s="2" t="s">
        <v>35</v>
      </c>
      <c r="Y321" s="2" t="s">
        <v>35</v>
      </c>
      <c r="Z321" s="2" t="b">
        <v>0</v>
      </c>
      <c r="AA321" s="2" t="s">
        <v>35</v>
      </c>
      <c r="AB321" s="2" t="s">
        <v>35</v>
      </c>
      <c r="AC321" s="2" t="s">
        <v>35</v>
      </c>
      <c r="AD321" s="2" t="s">
        <v>35</v>
      </c>
      <c r="AE321" s="2" t="s">
        <v>3248</v>
      </c>
      <c r="AF321" s="11">
        <v>44764.361111053244</v>
      </c>
      <c r="AG321" s="53"/>
      <c r="AH321" s="53" t="b">
        <f t="shared" si="7"/>
        <v>0</v>
      </c>
      <c r="AI321" s="54" t="s">
        <v>10119</v>
      </c>
      <c r="AJ321" s="2"/>
      <c r="AK321" s="2"/>
      <c r="AL321" s="2"/>
      <c r="AM321" s="2"/>
      <c r="AN321" s="2"/>
    </row>
    <row r="322" spans="1:40" ht="16" x14ac:dyDescent="0.2">
      <c r="A322" s="2" t="s">
        <v>3323</v>
      </c>
      <c r="B322" s="2">
        <v>1032</v>
      </c>
      <c r="C322" s="2" t="b">
        <v>0</v>
      </c>
      <c r="D322" s="2" t="b">
        <v>0</v>
      </c>
      <c r="E322" s="2" t="b">
        <v>0</v>
      </c>
      <c r="F322" s="2" t="b">
        <v>0</v>
      </c>
      <c r="G322" s="2" t="s">
        <v>31</v>
      </c>
      <c r="H322" s="2" t="s">
        <v>3324</v>
      </c>
      <c r="I322" s="2" t="s">
        <v>3325</v>
      </c>
      <c r="J322" s="2" t="s">
        <v>35</v>
      </c>
      <c r="K322" s="2" t="s">
        <v>35</v>
      </c>
      <c r="L322" s="2" t="s">
        <v>35</v>
      </c>
      <c r="M322" s="2">
        <v>28</v>
      </c>
      <c r="N322" s="2">
        <v>16</v>
      </c>
      <c r="O322" s="11">
        <v>44764.388185995369</v>
      </c>
      <c r="P322" s="11">
        <v>44764.388847893519</v>
      </c>
      <c r="Q322" s="27">
        <v>6.6189814970130101E-4</v>
      </c>
      <c r="R322" s="27">
        <v>2.5152314847218804E-3</v>
      </c>
      <c r="S322" s="2">
        <v>0</v>
      </c>
      <c r="T322" s="2" t="s">
        <v>54</v>
      </c>
      <c r="U322" s="2" t="s">
        <v>55</v>
      </c>
      <c r="V322" s="2" t="s">
        <v>38</v>
      </c>
      <c r="W322" s="2" t="s">
        <v>35</v>
      </c>
      <c r="X322" s="2" t="s">
        <v>35</v>
      </c>
      <c r="Y322" s="2" t="s">
        <v>35</v>
      </c>
      <c r="Z322" s="2" t="b">
        <v>0</v>
      </c>
      <c r="AA322" s="2" t="s">
        <v>35</v>
      </c>
      <c r="AB322" s="2" t="s">
        <v>35</v>
      </c>
      <c r="AC322" s="2" t="s">
        <v>35</v>
      </c>
      <c r="AD322" s="2" t="s">
        <v>35</v>
      </c>
      <c r="AE322" s="2" t="s">
        <v>3248</v>
      </c>
      <c r="AF322" s="11">
        <v>44764.361111053244</v>
      </c>
      <c r="AG322" s="53"/>
      <c r="AH322" s="53" t="b">
        <f t="shared" si="7"/>
        <v>0</v>
      </c>
      <c r="AI322" s="54" t="s">
        <v>10120</v>
      </c>
      <c r="AJ322" s="2"/>
      <c r="AK322" s="2"/>
      <c r="AL322" s="2"/>
      <c r="AM322" s="2"/>
      <c r="AN322" s="2"/>
    </row>
    <row r="323" spans="1:40" ht="16" x14ac:dyDescent="0.2">
      <c r="A323" s="2" t="s">
        <v>3372</v>
      </c>
      <c r="B323" s="2">
        <v>1048</v>
      </c>
      <c r="C323" s="2" t="b">
        <v>0</v>
      </c>
      <c r="D323" s="2" t="b">
        <v>0</v>
      </c>
      <c r="E323" s="2" t="b">
        <v>0</v>
      </c>
      <c r="F323" s="2" t="b">
        <v>0</v>
      </c>
      <c r="G323" s="2" t="s">
        <v>31</v>
      </c>
      <c r="H323" s="2" t="s">
        <v>3373</v>
      </c>
      <c r="I323" s="2" t="s">
        <v>3374</v>
      </c>
      <c r="J323" s="2" t="s">
        <v>35</v>
      </c>
      <c r="K323" s="2" t="s">
        <v>35</v>
      </c>
      <c r="L323" s="2" t="s">
        <v>35</v>
      </c>
      <c r="M323" s="2">
        <v>29</v>
      </c>
      <c r="N323" s="2">
        <v>14</v>
      </c>
      <c r="O323" s="11">
        <v>44764.416289826389</v>
      </c>
      <c r="P323" s="11">
        <v>44764.41674158565</v>
      </c>
      <c r="Q323" s="27">
        <v>4.5175926061347127E-4</v>
      </c>
      <c r="R323" s="27">
        <v>6.2430555408354849E-4</v>
      </c>
      <c r="S323" s="2">
        <v>0</v>
      </c>
      <c r="T323" s="2" t="s">
        <v>54</v>
      </c>
      <c r="U323" s="2" t="s">
        <v>55</v>
      </c>
      <c r="V323" s="2" t="s">
        <v>38</v>
      </c>
      <c r="W323" s="2" t="s">
        <v>35</v>
      </c>
      <c r="X323" s="2" t="s">
        <v>35</v>
      </c>
      <c r="Y323" s="2" t="s">
        <v>35</v>
      </c>
      <c r="Z323" s="2" t="b">
        <v>0</v>
      </c>
      <c r="AA323" s="2" t="s">
        <v>35</v>
      </c>
      <c r="AB323" s="2" t="s">
        <v>35</v>
      </c>
      <c r="AC323" s="2" t="s">
        <v>35</v>
      </c>
      <c r="AD323" s="2" t="s">
        <v>35</v>
      </c>
      <c r="AE323" s="2" t="s">
        <v>3248</v>
      </c>
      <c r="AF323" s="11">
        <v>44764.361111053244</v>
      </c>
      <c r="AG323" s="53"/>
      <c r="AH323" s="53" t="b">
        <f t="shared" si="7"/>
        <v>0</v>
      </c>
      <c r="AI323" s="54" t="s">
        <v>9570</v>
      </c>
      <c r="AJ323" s="2"/>
      <c r="AK323" s="2"/>
      <c r="AL323" s="2"/>
      <c r="AM323" s="2"/>
      <c r="AN323" s="2"/>
    </row>
    <row r="324" spans="1:40" ht="16" x14ac:dyDescent="0.2">
      <c r="A324" s="2" t="s">
        <v>3375</v>
      </c>
      <c r="B324" s="2">
        <v>1049</v>
      </c>
      <c r="C324" s="2" t="b">
        <v>0</v>
      </c>
      <c r="D324" s="2" t="b">
        <v>0</v>
      </c>
      <c r="E324" s="2" t="b">
        <v>0</v>
      </c>
      <c r="F324" s="2" t="b">
        <v>0</v>
      </c>
      <c r="G324" s="2" t="s">
        <v>31</v>
      </c>
      <c r="H324" s="2" t="s">
        <v>3376</v>
      </c>
      <c r="I324" s="2" t="s">
        <v>3377</v>
      </c>
      <c r="J324" s="2" t="s">
        <v>1711</v>
      </c>
      <c r="K324" s="2" t="s">
        <v>35</v>
      </c>
      <c r="L324" s="2" t="s">
        <v>35</v>
      </c>
      <c r="M324" s="2" t="s">
        <v>35</v>
      </c>
      <c r="N324" s="2" t="s">
        <v>35</v>
      </c>
      <c r="O324" s="11">
        <v>44764.416790729163</v>
      </c>
      <c r="P324" s="11">
        <v>44764.416974398147</v>
      </c>
      <c r="Q324" s="27">
        <v>1.8366898439126089E-4</v>
      </c>
      <c r="R324" s="27">
        <v>2.3281249741557986E-4</v>
      </c>
      <c r="S324" s="2">
        <v>0</v>
      </c>
      <c r="T324" s="2" t="s">
        <v>54</v>
      </c>
      <c r="U324" s="2" t="s">
        <v>55</v>
      </c>
      <c r="V324" s="2" t="s">
        <v>38</v>
      </c>
      <c r="W324" s="2" t="s">
        <v>35</v>
      </c>
      <c r="X324" s="2" t="s">
        <v>35</v>
      </c>
      <c r="Y324" s="2" t="s">
        <v>35</v>
      </c>
      <c r="Z324" s="2" t="b">
        <v>0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2" t="s">
        <v>3248</v>
      </c>
      <c r="AF324" s="11">
        <v>44764.361111053244</v>
      </c>
      <c r="AG324" s="53"/>
      <c r="AH324" s="53" t="b">
        <f t="shared" si="7"/>
        <v>0</v>
      </c>
      <c r="AI324" s="54" t="s">
        <v>10121</v>
      </c>
      <c r="AJ324" s="2"/>
      <c r="AK324" s="2"/>
      <c r="AL324" s="2"/>
      <c r="AM324" s="2"/>
      <c r="AN324" s="2"/>
    </row>
    <row r="325" spans="1:40" ht="16" x14ac:dyDescent="0.2">
      <c r="A325" s="2" t="s">
        <v>3394</v>
      </c>
      <c r="B325" s="2">
        <v>1055</v>
      </c>
      <c r="C325" s="2" t="b">
        <v>0</v>
      </c>
      <c r="D325" s="2" t="b">
        <v>0</v>
      </c>
      <c r="E325" s="2" t="b">
        <v>0</v>
      </c>
      <c r="F325" s="2" t="b">
        <v>0</v>
      </c>
      <c r="G325" s="2" t="s">
        <v>31</v>
      </c>
      <c r="H325" s="2" t="s">
        <v>3395</v>
      </c>
      <c r="I325" s="2" t="s">
        <v>3396</v>
      </c>
      <c r="J325" s="2" t="s">
        <v>35</v>
      </c>
      <c r="K325" s="2" t="s">
        <v>35</v>
      </c>
      <c r="L325" s="2" t="s">
        <v>35</v>
      </c>
      <c r="M325" s="2">
        <v>27</v>
      </c>
      <c r="N325" s="2">
        <v>15</v>
      </c>
      <c r="O325" s="11">
        <v>44764.43202015046</v>
      </c>
      <c r="P325" s="11">
        <v>44764.432399328703</v>
      </c>
      <c r="Q325" s="27">
        <v>3.7917824374744669E-4</v>
      </c>
      <c r="R325" s="27">
        <v>4.571064782794565E-4</v>
      </c>
      <c r="S325" s="2">
        <v>0</v>
      </c>
      <c r="T325" s="2" t="s">
        <v>54</v>
      </c>
      <c r="U325" s="2" t="s">
        <v>55</v>
      </c>
      <c r="V325" s="2" t="s">
        <v>38</v>
      </c>
      <c r="W325" s="2" t="s">
        <v>35</v>
      </c>
      <c r="X325" s="2" t="s">
        <v>35</v>
      </c>
      <c r="Y325" s="2" t="s">
        <v>35</v>
      </c>
      <c r="Z325" s="2" t="b">
        <v>0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3248</v>
      </c>
      <c r="AF325" s="11">
        <v>44764.361111053244</v>
      </c>
      <c r="AG325" s="53"/>
      <c r="AH325" s="53" t="b">
        <f t="shared" si="7"/>
        <v>0</v>
      </c>
      <c r="AI325" s="54" t="s">
        <v>10122</v>
      </c>
      <c r="AJ325" s="2"/>
      <c r="AK325" s="2"/>
      <c r="AL325" s="2"/>
      <c r="AM325" s="2"/>
      <c r="AN325" s="2"/>
    </row>
    <row r="326" spans="1:40" ht="16" x14ac:dyDescent="0.2">
      <c r="A326" s="2" t="s">
        <v>3397</v>
      </c>
      <c r="B326" s="2">
        <v>1056</v>
      </c>
      <c r="C326" s="2" t="b">
        <v>0</v>
      </c>
      <c r="D326" s="2" t="b">
        <v>0</v>
      </c>
      <c r="E326" s="2" t="b">
        <v>0</v>
      </c>
      <c r="F326" s="2" t="b">
        <v>0</v>
      </c>
      <c r="G326" s="2" t="s">
        <v>31</v>
      </c>
      <c r="H326" s="2" t="s">
        <v>3398</v>
      </c>
      <c r="I326" s="2" t="s">
        <v>3399</v>
      </c>
      <c r="J326" s="2" t="s">
        <v>1711</v>
      </c>
      <c r="K326" s="2" t="s">
        <v>35</v>
      </c>
      <c r="L326" s="2" t="s">
        <v>35</v>
      </c>
      <c r="M326" s="2" t="s">
        <v>35</v>
      </c>
      <c r="N326" s="2" t="s">
        <v>35</v>
      </c>
      <c r="O326" s="11">
        <v>44764.43243763889</v>
      </c>
      <c r="P326" s="11">
        <v>44764.432662870371</v>
      </c>
      <c r="Q326" s="27">
        <v>2.2523148072650656E-4</v>
      </c>
      <c r="R326" s="27">
        <v>2.6354166766395792E-4</v>
      </c>
      <c r="S326" s="2">
        <v>0</v>
      </c>
      <c r="T326" s="2" t="s">
        <v>54</v>
      </c>
      <c r="U326" s="2" t="s">
        <v>55</v>
      </c>
      <c r="V326" s="2" t="s">
        <v>38</v>
      </c>
      <c r="W326" s="2" t="s">
        <v>35</v>
      </c>
      <c r="X326" s="2" t="s">
        <v>35</v>
      </c>
      <c r="Y326" s="2" t="s">
        <v>35</v>
      </c>
      <c r="Z326" s="2" t="b">
        <v>0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3248</v>
      </c>
      <c r="AF326" s="11">
        <v>44764.361111053244</v>
      </c>
      <c r="AG326" s="53"/>
      <c r="AH326" s="53" t="b">
        <f t="shared" si="7"/>
        <v>0</v>
      </c>
      <c r="AI326" s="54" t="s">
        <v>10123</v>
      </c>
      <c r="AJ326" s="2"/>
      <c r="AK326" s="2"/>
      <c r="AL326" s="2"/>
      <c r="AM326" s="2"/>
      <c r="AN326" s="2"/>
    </row>
    <row r="327" spans="1:40" ht="16" x14ac:dyDescent="0.2">
      <c r="A327" s="2" t="s">
        <v>3483</v>
      </c>
      <c r="B327" s="2">
        <v>1083</v>
      </c>
      <c r="C327" s="2" t="b">
        <v>0</v>
      </c>
      <c r="D327" s="2" t="b">
        <v>0</v>
      </c>
      <c r="E327" s="2" t="b">
        <v>0</v>
      </c>
      <c r="F327" s="2" t="b">
        <v>0</v>
      </c>
      <c r="G327" s="2" t="s">
        <v>31</v>
      </c>
      <c r="H327" s="2" t="s">
        <v>3484</v>
      </c>
      <c r="I327" s="2" t="s">
        <v>3485</v>
      </c>
      <c r="J327" s="2" t="s">
        <v>35</v>
      </c>
      <c r="K327" s="2" t="s">
        <v>35</v>
      </c>
      <c r="L327" s="2" t="s">
        <v>35</v>
      </c>
      <c r="M327" s="2">
        <v>2</v>
      </c>
      <c r="N327" s="2">
        <v>12</v>
      </c>
      <c r="O327" s="11">
        <v>44764.464874351848</v>
      </c>
      <c r="P327" s="11">
        <v>44764.465045949073</v>
      </c>
      <c r="Q327" s="27">
        <v>1.7159722483484074E-4</v>
      </c>
      <c r="R327" s="27">
        <v>8.1223379675066099E-4</v>
      </c>
      <c r="S327" s="2">
        <v>0</v>
      </c>
      <c r="T327" s="2" t="s">
        <v>54</v>
      </c>
      <c r="U327" s="2" t="s">
        <v>55</v>
      </c>
      <c r="V327" s="2" t="s">
        <v>38</v>
      </c>
      <c r="W327" s="2" t="s">
        <v>35</v>
      </c>
      <c r="X327" s="2" t="s">
        <v>35</v>
      </c>
      <c r="Y327" s="2" t="s">
        <v>35</v>
      </c>
      <c r="Z327" s="2" t="b">
        <v>0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3248</v>
      </c>
      <c r="AF327" s="11">
        <v>44764.361111053244</v>
      </c>
      <c r="AG327" s="53"/>
      <c r="AH327" s="53" t="b">
        <f t="shared" si="7"/>
        <v>0</v>
      </c>
      <c r="AI327" s="54" t="s">
        <v>10124</v>
      </c>
      <c r="AJ327" s="2"/>
      <c r="AK327" s="2"/>
      <c r="AL327" s="2"/>
      <c r="AM327" s="2"/>
      <c r="AN327" s="2"/>
    </row>
    <row r="328" spans="1:40" ht="16" x14ac:dyDescent="0.2">
      <c r="A328" s="2" t="s">
        <v>3503</v>
      </c>
      <c r="B328" s="2">
        <v>1090</v>
      </c>
      <c r="C328" s="2" t="b">
        <v>0</v>
      </c>
      <c r="D328" s="2" t="b">
        <v>0</v>
      </c>
      <c r="E328" s="2" t="b">
        <v>0</v>
      </c>
      <c r="F328" s="2" t="b">
        <v>0</v>
      </c>
      <c r="G328" s="2" t="s">
        <v>31</v>
      </c>
      <c r="H328" s="2" t="s">
        <v>3504</v>
      </c>
      <c r="I328" s="2" t="s">
        <v>3505</v>
      </c>
      <c r="J328" s="2" t="s">
        <v>35</v>
      </c>
      <c r="K328" s="2" t="s">
        <v>35</v>
      </c>
      <c r="L328" s="2" t="s">
        <v>35</v>
      </c>
      <c r="M328" s="2">
        <v>3</v>
      </c>
      <c r="N328" s="2">
        <v>13</v>
      </c>
      <c r="O328" s="11">
        <v>44769.387984837966</v>
      </c>
      <c r="P328" s="11">
        <v>44769.388273680554</v>
      </c>
      <c r="Q328" s="27">
        <v>2.888425879064016E-4</v>
      </c>
      <c r="R328" s="27">
        <v>5.2930555102648214E-4</v>
      </c>
      <c r="S328" s="2">
        <v>0</v>
      </c>
      <c r="T328" s="2" t="s">
        <v>54</v>
      </c>
      <c r="U328" s="2" t="s">
        <v>55</v>
      </c>
      <c r="V328" s="2" t="s">
        <v>38</v>
      </c>
      <c r="W328" s="2" t="s">
        <v>35</v>
      </c>
      <c r="X328" s="2" t="s">
        <v>35</v>
      </c>
      <c r="Y328" s="2" t="s">
        <v>35</v>
      </c>
      <c r="Z328" s="2" t="b">
        <v>0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2840</v>
      </c>
      <c r="AF328" s="11">
        <v>44769.384722222225</v>
      </c>
      <c r="AG328" s="53"/>
      <c r="AH328" s="53" t="b">
        <f t="shared" si="7"/>
        <v>0</v>
      </c>
      <c r="AI328" s="54" t="s">
        <v>10125</v>
      </c>
      <c r="AJ328" s="2"/>
      <c r="AK328" s="2"/>
      <c r="AL328" s="2"/>
      <c r="AM328" s="2"/>
      <c r="AN328" s="2"/>
    </row>
    <row r="329" spans="1:40" ht="16" x14ac:dyDescent="0.2">
      <c r="A329" s="2" t="s">
        <v>3578</v>
      </c>
      <c r="B329" s="2">
        <v>1112</v>
      </c>
      <c r="C329" s="2" t="b">
        <v>0</v>
      </c>
      <c r="D329" s="2" t="b">
        <v>0</v>
      </c>
      <c r="E329" s="2" t="b">
        <v>0</v>
      </c>
      <c r="F329" s="2" t="b">
        <v>0</v>
      </c>
      <c r="G329" s="2" t="s">
        <v>31</v>
      </c>
      <c r="H329" s="2" t="s">
        <v>3579</v>
      </c>
      <c r="I329" s="2" t="s">
        <v>3580</v>
      </c>
      <c r="J329" s="2" t="s">
        <v>1574</v>
      </c>
      <c r="K329" s="2" t="s">
        <v>35</v>
      </c>
      <c r="L329" s="2" t="s">
        <v>35</v>
      </c>
      <c r="M329" s="2">
        <v>3</v>
      </c>
      <c r="N329" s="2">
        <v>14</v>
      </c>
      <c r="O329" s="11">
        <v>44769.417349699077</v>
      </c>
      <c r="P329" s="11">
        <v>44769.417777002316</v>
      </c>
      <c r="Q329" s="27">
        <v>4.273032391211018E-4</v>
      </c>
      <c r="R329" s="27">
        <v>8.8384259288432077E-4</v>
      </c>
      <c r="S329" s="2">
        <v>0</v>
      </c>
      <c r="T329" s="2" t="s">
        <v>54</v>
      </c>
      <c r="U329" s="2" t="s">
        <v>55</v>
      </c>
      <c r="V329" s="2" t="s">
        <v>38</v>
      </c>
      <c r="W329" s="2" t="s">
        <v>35</v>
      </c>
      <c r="X329" s="2" t="s">
        <v>35</v>
      </c>
      <c r="Y329" s="2" t="s">
        <v>35</v>
      </c>
      <c r="Z329" s="2" t="b">
        <v>1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2840</v>
      </c>
      <c r="AF329" s="11">
        <v>44769.384722222225</v>
      </c>
      <c r="AG329" s="53"/>
      <c r="AH329" s="53" t="b">
        <f t="shared" si="7"/>
        <v>0</v>
      </c>
      <c r="AI329" s="54" t="s">
        <v>10126</v>
      </c>
      <c r="AJ329" s="2"/>
      <c r="AK329" s="2"/>
      <c r="AL329" s="2"/>
      <c r="AM329" s="2"/>
      <c r="AN329" s="2"/>
    </row>
    <row r="330" spans="1:40" ht="16" x14ac:dyDescent="0.2">
      <c r="A330" s="2" t="s">
        <v>3648</v>
      </c>
      <c r="B330" s="2">
        <v>1134</v>
      </c>
      <c r="C330" s="2" t="b">
        <v>0</v>
      </c>
      <c r="D330" s="2" t="b">
        <v>0</v>
      </c>
      <c r="E330" s="2" t="b">
        <v>0</v>
      </c>
      <c r="F330" s="2" t="b">
        <v>0</v>
      </c>
      <c r="G330" s="2" t="s">
        <v>31</v>
      </c>
      <c r="H330" s="2" t="s">
        <v>3649</v>
      </c>
      <c r="I330" s="2" t="s">
        <v>3650</v>
      </c>
      <c r="J330" s="2" t="s">
        <v>35</v>
      </c>
      <c r="K330" s="2" t="s">
        <v>35</v>
      </c>
      <c r="L330" s="2" t="s">
        <v>35</v>
      </c>
      <c r="M330" s="2">
        <v>102</v>
      </c>
      <c r="N330" s="2">
        <v>8</v>
      </c>
      <c r="O330" s="11">
        <v>44769.440021006943</v>
      </c>
      <c r="P330" s="11">
        <v>44769.441229560187</v>
      </c>
      <c r="Q330" s="27">
        <v>1.2085532434866764E-3</v>
      </c>
      <c r="R330" s="27">
        <v>1.2475347248255275E-3</v>
      </c>
      <c r="S330" s="2">
        <v>0</v>
      </c>
      <c r="T330" s="2" t="s">
        <v>54</v>
      </c>
      <c r="U330" s="2" t="s">
        <v>55</v>
      </c>
      <c r="V330" s="2" t="s">
        <v>38</v>
      </c>
      <c r="W330" s="2" t="s">
        <v>35</v>
      </c>
      <c r="X330" s="2" t="s">
        <v>35</v>
      </c>
      <c r="Y330" s="2" t="s">
        <v>35</v>
      </c>
      <c r="Z330" s="2" t="b">
        <v>0</v>
      </c>
      <c r="AA330" s="2" t="s">
        <v>35</v>
      </c>
      <c r="AB330" s="2" t="s">
        <v>35</v>
      </c>
      <c r="AC330" s="2" t="s">
        <v>35</v>
      </c>
      <c r="AD330" s="2" t="s">
        <v>35</v>
      </c>
      <c r="AE330" s="2" t="s">
        <v>2840</v>
      </c>
      <c r="AF330" s="11">
        <v>44769.384722222225</v>
      </c>
      <c r="AG330" s="53"/>
      <c r="AH330" s="53" t="str">
        <f t="shared" si="7"/>
        <v>TRUE</v>
      </c>
      <c r="AI330" s="54" t="s">
        <v>10127</v>
      </c>
      <c r="AJ330" s="2"/>
      <c r="AK330" s="2"/>
      <c r="AL330" s="2"/>
      <c r="AM330" s="2"/>
      <c r="AN330" s="2"/>
    </row>
    <row r="331" spans="1:40" ht="16" x14ac:dyDescent="0.2">
      <c r="A331" s="2" t="s">
        <v>3658</v>
      </c>
      <c r="B331" s="2">
        <v>1137</v>
      </c>
      <c r="C331" s="2" t="b">
        <v>0</v>
      </c>
      <c r="D331" s="2" t="b">
        <v>0</v>
      </c>
      <c r="E331" s="2" t="b">
        <v>0</v>
      </c>
      <c r="F331" s="2" t="b">
        <v>0</v>
      </c>
      <c r="G331" s="2" t="s">
        <v>31</v>
      </c>
      <c r="H331" s="2" t="s">
        <v>3659</v>
      </c>
      <c r="I331" s="2" t="s">
        <v>3660</v>
      </c>
      <c r="J331" s="2" t="s">
        <v>35</v>
      </c>
      <c r="K331" s="2" t="s">
        <v>35</v>
      </c>
      <c r="L331" s="2" t="s">
        <v>35</v>
      </c>
      <c r="M331" s="2">
        <v>8</v>
      </c>
      <c r="N331" s="2">
        <v>20</v>
      </c>
      <c r="O331" s="11">
        <v>44769.442821354169</v>
      </c>
      <c r="P331" s="11">
        <v>44769.443028761576</v>
      </c>
      <c r="Q331" s="27">
        <v>2.0740740728797391E-4</v>
      </c>
      <c r="R331" s="27">
        <v>4.2071759526152164E-4</v>
      </c>
      <c r="S331" s="2">
        <v>0</v>
      </c>
      <c r="T331" s="2" t="s">
        <v>54</v>
      </c>
      <c r="U331" s="2" t="s">
        <v>55</v>
      </c>
      <c r="V331" s="2" t="s">
        <v>38</v>
      </c>
      <c r="W331" s="2" t="s">
        <v>35</v>
      </c>
      <c r="X331" s="2" t="s">
        <v>35</v>
      </c>
      <c r="Y331" s="2" t="s">
        <v>35</v>
      </c>
      <c r="Z331" s="2" t="b">
        <v>0</v>
      </c>
      <c r="AA331" s="2" t="s">
        <v>35</v>
      </c>
      <c r="AB331" s="2" t="s">
        <v>35</v>
      </c>
      <c r="AC331" s="2" t="s">
        <v>35</v>
      </c>
      <c r="AD331" s="2" t="s">
        <v>35</v>
      </c>
      <c r="AE331" s="2" t="s">
        <v>2840</v>
      </c>
      <c r="AF331" s="11">
        <v>44769.384722222225</v>
      </c>
      <c r="AG331" s="53"/>
      <c r="AH331" s="53" t="b">
        <f t="shared" si="7"/>
        <v>0</v>
      </c>
      <c r="AI331" s="54" t="s">
        <v>10128</v>
      </c>
      <c r="AJ331" s="2"/>
      <c r="AK331" s="2"/>
      <c r="AL331" s="2"/>
      <c r="AM331" s="2"/>
      <c r="AN331" s="2"/>
    </row>
    <row r="332" spans="1:40" ht="16" x14ac:dyDescent="0.2">
      <c r="A332" s="2" t="s">
        <v>3668</v>
      </c>
      <c r="B332" s="2">
        <v>1140</v>
      </c>
      <c r="C332" s="2" t="b">
        <v>0</v>
      </c>
      <c r="D332" s="2" t="b">
        <v>0</v>
      </c>
      <c r="E332" s="2" t="b">
        <v>0</v>
      </c>
      <c r="F332" s="2" t="b">
        <v>0</v>
      </c>
      <c r="G332" s="2" t="s">
        <v>31</v>
      </c>
      <c r="H332" s="2" t="s">
        <v>3669</v>
      </c>
      <c r="I332" s="2" t="s">
        <v>3670</v>
      </c>
      <c r="J332" s="2" t="s">
        <v>35</v>
      </c>
      <c r="K332" s="2" t="s">
        <v>35</v>
      </c>
      <c r="L332" s="2" t="s">
        <v>35</v>
      </c>
      <c r="M332" s="2">
        <v>101</v>
      </c>
      <c r="N332" s="2">
        <v>8</v>
      </c>
      <c r="O332" s="11">
        <v>44769.445514525461</v>
      </c>
      <c r="P332" s="11">
        <v>44769.44659699074</v>
      </c>
      <c r="Q332" s="27">
        <v>1.0824652781593613E-3</v>
      </c>
      <c r="R332" s="27">
        <v>1.8937268541776575E-3</v>
      </c>
      <c r="S332" s="2">
        <v>0</v>
      </c>
      <c r="T332" s="2" t="s">
        <v>54</v>
      </c>
      <c r="U332" s="2" t="s">
        <v>55</v>
      </c>
      <c r="V332" s="2" t="s">
        <v>38</v>
      </c>
      <c r="W332" s="2" t="s">
        <v>35</v>
      </c>
      <c r="X332" s="2" t="s">
        <v>35</v>
      </c>
      <c r="Y332" s="2" t="s">
        <v>35</v>
      </c>
      <c r="Z332" s="2" t="b">
        <v>0</v>
      </c>
      <c r="AA332" s="2" t="s">
        <v>35</v>
      </c>
      <c r="AB332" s="2" t="s">
        <v>35</v>
      </c>
      <c r="AC332" s="2" t="s">
        <v>35</v>
      </c>
      <c r="AD332" s="2" t="s">
        <v>35</v>
      </c>
      <c r="AE332" s="2" t="s">
        <v>2840</v>
      </c>
      <c r="AF332" s="11">
        <v>44769.384722222225</v>
      </c>
      <c r="AG332" s="53"/>
      <c r="AH332" s="53" t="str">
        <f t="shared" si="7"/>
        <v>TRUE</v>
      </c>
      <c r="AI332" s="54" t="s">
        <v>9569</v>
      </c>
      <c r="AJ332" s="2"/>
      <c r="AK332" s="2"/>
      <c r="AL332" s="2"/>
      <c r="AM332" s="2"/>
      <c r="AN332" s="2"/>
    </row>
    <row r="333" spans="1:40" ht="16" x14ac:dyDescent="0.2">
      <c r="A333" s="2" t="s">
        <v>3729</v>
      </c>
      <c r="B333" s="2">
        <v>1160</v>
      </c>
      <c r="C333" s="2" t="b">
        <v>0</v>
      </c>
      <c r="D333" s="2" t="b">
        <v>0</v>
      </c>
      <c r="E333" s="2" t="b">
        <v>0</v>
      </c>
      <c r="F333" s="2" t="b">
        <v>0</v>
      </c>
      <c r="G333" s="2" t="s">
        <v>31</v>
      </c>
      <c r="H333" s="2" t="s">
        <v>3730</v>
      </c>
      <c r="I333" s="2" t="s">
        <v>3731</v>
      </c>
      <c r="J333" s="2" t="s">
        <v>35</v>
      </c>
      <c r="K333" s="2" t="s">
        <v>35</v>
      </c>
      <c r="L333" s="2" t="s">
        <v>35</v>
      </c>
      <c r="M333" s="2">
        <v>3</v>
      </c>
      <c r="N333" s="2">
        <v>15</v>
      </c>
      <c r="O333" s="11">
        <v>44769.465067164354</v>
      </c>
      <c r="P333" s="11">
        <v>44769.465323877317</v>
      </c>
      <c r="Q333" s="27">
        <v>2.5671296316431835E-4</v>
      </c>
      <c r="R333" s="27">
        <v>3.8906250119907781E-4</v>
      </c>
      <c r="S333" s="2">
        <v>0</v>
      </c>
      <c r="T333" s="2" t="s">
        <v>54</v>
      </c>
      <c r="U333" s="2" t="s">
        <v>55</v>
      </c>
      <c r="V333" s="2" t="s">
        <v>38</v>
      </c>
      <c r="W333" s="2" t="s">
        <v>35</v>
      </c>
      <c r="X333" s="2" t="s">
        <v>35</v>
      </c>
      <c r="Y333" s="2" t="s">
        <v>35</v>
      </c>
      <c r="Z333" s="2" t="b">
        <v>0</v>
      </c>
      <c r="AA333" s="2" t="s">
        <v>35</v>
      </c>
      <c r="AB333" s="2" t="s">
        <v>35</v>
      </c>
      <c r="AC333" s="2" t="s">
        <v>35</v>
      </c>
      <c r="AD333" s="2" t="s">
        <v>35</v>
      </c>
      <c r="AE333" s="2" t="s">
        <v>2840</v>
      </c>
      <c r="AF333" s="11">
        <v>44769.384722222225</v>
      </c>
      <c r="AG333" s="53"/>
      <c r="AH333" s="53" t="b">
        <f t="shared" si="7"/>
        <v>0</v>
      </c>
      <c r="AI333" s="54" t="s">
        <v>10129</v>
      </c>
      <c r="AJ333" s="2"/>
      <c r="AK333" s="2"/>
      <c r="AL333" s="2"/>
      <c r="AM333" s="2"/>
      <c r="AN333" s="2"/>
    </row>
    <row r="334" spans="1:40" ht="16" x14ac:dyDescent="0.2">
      <c r="A334" s="2" t="s">
        <v>3732</v>
      </c>
      <c r="B334" s="2">
        <v>1161</v>
      </c>
      <c r="C334" s="2" t="b">
        <v>0</v>
      </c>
      <c r="D334" s="2" t="b">
        <v>0</v>
      </c>
      <c r="E334" s="2" t="b">
        <v>0</v>
      </c>
      <c r="F334" s="2" t="b">
        <v>0</v>
      </c>
      <c r="G334" s="2" t="s">
        <v>31</v>
      </c>
      <c r="H334" s="2" t="s">
        <v>3733</v>
      </c>
      <c r="I334" s="2" t="s">
        <v>3734</v>
      </c>
      <c r="J334" s="2" t="s">
        <v>35</v>
      </c>
      <c r="K334" s="2" t="s">
        <v>35</v>
      </c>
      <c r="L334" s="2" t="s">
        <v>35</v>
      </c>
      <c r="M334" s="2">
        <v>3</v>
      </c>
      <c r="N334" s="2">
        <v>15</v>
      </c>
      <c r="O334" s="11">
        <v>44769.465501226849</v>
      </c>
      <c r="P334" s="11">
        <v>44769.465612638887</v>
      </c>
      <c r="Q334" s="27">
        <v>1.1141203867737204E-4</v>
      </c>
      <c r="R334" s="27">
        <v>2.8876157011836767E-4</v>
      </c>
      <c r="S334" s="2">
        <v>0</v>
      </c>
      <c r="T334" s="2" t="s">
        <v>54</v>
      </c>
      <c r="U334" s="2" t="s">
        <v>55</v>
      </c>
      <c r="V334" s="2" t="s">
        <v>38</v>
      </c>
      <c r="W334" s="2" t="s">
        <v>35</v>
      </c>
      <c r="X334" s="2" t="s">
        <v>35</v>
      </c>
      <c r="Y334" s="2" t="s">
        <v>35</v>
      </c>
      <c r="Z334" s="2" t="b">
        <v>0</v>
      </c>
      <c r="AA334" s="2" t="s">
        <v>35</v>
      </c>
      <c r="AB334" s="2" t="s">
        <v>35</v>
      </c>
      <c r="AC334" s="2" t="s">
        <v>35</v>
      </c>
      <c r="AD334" s="2" t="s">
        <v>35</v>
      </c>
      <c r="AE334" s="2" t="s">
        <v>2840</v>
      </c>
      <c r="AF334" s="11">
        <v>44769.384722222225</v>
      </c>
      <c r="AG334" s="53"/>
      <c r="AH334" s="53" t="b">
        <f t="shared" si="7"/>
        <v>0</v>
      </c>
      <c r="AI334" s="54" t="s">
        <v>10130</v>
      </c>
      <c r="AJ334" s="2"/>
      <c r="AK334" s="2"/>
      <c r="AL334" s="2"/>
      <c r="AM334" s="2"/>
      <c r="AN334" s="2"/>
    </row>
    <row r="335" spans="1:40" ht="16" x14ac:dyDescent="0.2">
      <c r="A335" s="2" t="s">
        <v>3735</v>
      </c>
      <c r="B335" s="2">
        <v>1162</v>
      </c>
      <c r="C335" s="2" t="b">
        <v>0</v>
      </c>
      <c r="D335" s="2" t="b">
        <v>0</v>
      </c>
      <c r="E335" s="2" t="b">
        <v>0</v>
      </c>
      <c r="F335" s="2" t="b">
        <v>0</v>
      </c>
      <c r="G335" s="2" t="s">
        <v>31</v>
      </c>
      <c r="H335" s="2" t="s">
        <v>3736</v>
      </c>
      <c r="I335" s="2" t="s">
        <v>3737</v>
      </c>
      <c r="J335" s="2" t="s">
        <v>35</v>
      </c>
      <c r="K335" s="2" t="s">
        <v>35</v>
      </c>
      <c r="L335" s="2" t="s">
        <v>35</v>
      </c>
      <c r="M335" s="2">
        <v>3</v>
      </c>
      <c r="N335" s="2">
        <v>15</v>
      </c>
      <c r="O335" s="11">
        <v>44769.46594253472</v>
      </c>
      <c r="P335" s="11">
        <v>44769.466845219904</v>
      </c>
      <c r="Q335" s="27">
        <v>9.0268518397351727E-4</v>
      </c>
      <c r="R335" s="27">
        <v>1.2325810166657902E-3</v>
      </c>
      <c r="S335" s="2">
        <v>0</v>
      </c>
      <c r="T335" s="2" t="s">
        <v>54</v>
      </c>
      <c r="U335" s="2" t="s">
        <v>55</v>
      </c>
      <c r="V335" s="2" t="s">
        <v>38</v>
      </c>
      <c r="W335" s="2" t="s">
        <v>35</v>
      </c>
      <c r="X335" s="2" t="s">
        <v>35</v>
      </c>
      <c r="Y335" s="2" t="s">
        <v>35</v>
      </c>
      <c r="Z335" s="2" t="b">
        <v>0</v>
      </c>
      <c r="AA335" s="2" t="s">
        <v>35</v>
      </c>
      <c r="AB335" s="2" t="s">
        <v>35</v>
      </c>
      <c r="AC335" s="2" t="s">
        <v>35</v>
      </c>
      <c r="AD335" s="2" t="s">
        <v>35</v>
      </c>
      <c r="AE335" s="2" t="s">
        <v>2840</v>
      </c>
      <c r="AF335" s="11">
        <v>44769.384722222225</v>
      </c>
      <c r="AG335" s="53"/>
      <c r="AH335" s="53" t="b">
        <f t="shared" si="7"/>
        <v>0</v>
      </c>
      <c r="AI335" s="54" t="s">
        <v>10131</v>
      </c>
      <c r="AJ335" s="2"/>
      <c r="AK335" s="2"/>
      <c r="AL335" s="2"/>
      <c r="AM335" s="2"/>
      <c r="AN335" s="2"/>
    </row>
    <row r="336" spans="1:40" ht="16" x14ac:dyDescent="0.2">
      <c r="A336" s="2" t="s">
        <v>412</v>
      </c>
      <c r="B336" s="2">
        <v>115</v>
      </c>
      <c r="C336" s="2" t="b">
        <v>0</v>
      </c>
      <c r="D336" s="2" t="b">
        <v>0</v>
      </c>
      <c r="E336" s="2" t="b">
        <v>0</v>
      </c>
      <c r="F336" s="2" t="b">
        <v>0</v>
      </c>
      <c r="G336" s="2" t="s">
        <v>31</v>
      </c>
      <c r="H336" s="2" t="s">
        <v>413</v>
      </c>
      <c r="I336" s="2" t="s">
        <v>414</v>
      </c>
      <c r="J336" s="2" t="s">
        <v>415</v>
      </c>
      <c r="K336" s="2" t="s">
        <v>35</v>
      </c>
      <c r="L336" s="2" t="s">
        <v>35</v>
      </c>
      <c r="M336" s="2" t="s">
        <v>35</v>
      </c>
      <c r="N336" s="2" t="s">
        <v>35</v>
      </c>
      <c r="O336" s="11">
        <v>44735.503425972223</v>
      </c>
      <c r="P336" s="11">
        <v>44735.503838611112</v>
      </c>
      <c r="Q336" s="27">
        <v>4.1263888851972297E-4</v>
      </c>
      <c r="R336" s="27">
        <v>6.5954861202044412E-4</v>
      </c>
      <c r="S336" s="2">
        <v>0</v>
      </c>
      <c r="T336" s="2" t="s">
        <v>416</v>
      </c>
      <c r="U336" s="2" t="s">
        <v>417</v>
      </c>
      <c r="V336" s="2" t="s">
        <v>38</v>
      </c>
      <c r="W336" s="2" t="s">
        <v>35</v>
      </c>
      <c r="X336" s="2">
        <v>0</v>
      </c>
      <c r="Y336" s="2" t="s">
        <v>228</v>
      </c>
      <c r="Z336" s="2" t="b">
        <v>0</v>
      </c>
      <c r="AA336" s="2" t="s">
        <v>35</v>
      </c>
      <c r="AB336" s="2" t="s">
        <v>35</v>
      </c>
      <c r="AC336" s="2" t="s">
        <v>35</v>
      </c>
      <c r="AD336" s="2" t="s">
        <v>35</v>
      </c>
      <c r="AE336" s="2" t="s">
        <v>207</v>
      </c>
      <c r="AF336" s="11">
        <v>44735.40625</v>
      </c>
      <c r="AG336" s="53"/>
      <c r="AH336" s="53" t="b">
        <f t="shared" ref="AH336:AH359" si="8">IF(Q336&gt;TIME(0,1,3),"TRUE")</f>
        <v>0</v>
      </c>
      <c r="AI336" s="54" t="s">
        <v>9777</v>
      </c>
      <c r="AJ336" s="2"/>
      <c r="AK336" s="2"/>
      <c r="AL336" s="2"/>
      <c r="AM336" s="2"/>
      <c r="AN336" s="2"/>
    </row>
    <row r="337" spans="1:40" ht="16" x14ac:dyDescent="0.2">
      <c r="A337" s="2" t="s">
        <v>426</v>
      </c>
      <c r="B337" s="2">
        <v>119</v>
      </c>
      <c r="C337" s="2" t="b">
        <v>0</v>
      </c>
      <c r="D337" s="2" t="b">
        <v>0</v>
      </c>
      <c r="E337" s="2" t="b">
        <v>0</v>
      </c>
      <c r="F337" s="2" t="b">
        <v>0</v>
      </c>
      <c r="G337" s="2" t="s">
        <v>31</v>
      </c>
      <c r="H337" s="2" t="s">
        <v>427</v>
      </c>
      <c r="I337" s="2" t="s">
        <v>428</v>
      </c>
      <c r="J337" s="2" t="s">
        <v>415</v>
      </c>
      <c r="K337" s="2" t="s">
        <v>35</v>
      </c>
      <c r="L337" s="2" t="s">
        <v>35</v>
      </c>
      <c r="M337" s="2" t="s">
        <v>35</v>
      </c>
      <c r="N337" s="2" t="s">
        <v>35</v>
      </c>
      <c r="O337" s="11">
        <v>44735.507890219909</v>
      </c>
      <c r="P337" s="11">
        <v>44735.508296712964</v>
      </c>
      <c r="Q337" s="27">
        <v>4.0649305447004735E-4</v>
      </c>
      <c r="R337" s="27">
        <v>4.7914352035149932E-4</v>
      </c>
      <c r="S337" s="2">
        <v>0</v>
      </c>
      <c r="T337" s="2" t="s">
        <v>416</v>
      </c>
      <c r="U337" s="2" t="s">
        <v>417</v>
      </c>
      <c r="V337" s="2" t="s">
        <v>38</v>
      </c>
      <c r="W337" s="2" t="s">
        <v>35</v>
      </c>
      <c r="X337" s="2">
        <v>0</v>
      </c>
      <c r="Y337" s="2" t="s">
        <v>35</v>
      </c>
      <c r="Z337" s="2" t="b">
        <v>0</v>
      </c>
      <c r="AA337" s="2" t="s">
        <v>35</v>
      </c>
      <c r="AB337" s="2" t="s">
        <v>35</v>
      </c>
      <c r="AC337" s="2" t="s">
        <v>35</v>
      </c>
      <c r="AD337" s="2" t="s">
        <v>35</v>
      </c>
      <c r="AE337" s="2" t="s">
        <v>207</v>
      </c>
      <c r="AF337" s="11">
        <v>44735.40625</v>
      </c>
      <c r="AG337" s="53"/>
      <c r="AH337" s="53" t="b">
        <f t="shared" si="8"/>
        <v>0</v>
      </c>
      <c r="AI337" s="54" t="s">
        <v>9775</v>
      </c>
      <c r="AJ337" s="2"/>
      <c r="AK337" s="2"/>
      <c r="AL337" s="2"/>
      <c r="AM337" s="2"/>
      <c r="AN337" s="2"/>
    </row>
    <row r="338" spans="1:40" ht="16" x14ac:dyDescent="0.2">
      <c r="A338" s="2" t="s">
        <v>435</v>
      </c>
      <c r="B338" s="2">
        <v>122</v>
      </c>
      <c r="C338" s="2" t="b">
        <v>0</v>
      </c>
      <c r="D338" s="2" t="b">
        <v>0</v>
      </c>
      <c r="E338" s="2" t="b">
        <v>0</v>
      </c>
      <c r="F338" s="2" t="b">
        <v>0</v>
      </c>
      <c r="G338" s="2" t="s">
        <v>31</v>
      </c>
      <c r="H338" s="2" t="s">
        <v>436</v>
      </c>
      <c r="I338" s="2" t="s">
        <v>437</v>
      </c>
      <c r="J338" s="2" t="s">
        <v>415</v>
      </c>
      <c r="K338" s="2" t="s">
        <v>35</v>
      </c>
      <c r="L338" s="2" t="s">
        <v>35</v>
      </c>
      <c r="M338" s="2" t="s">
        <v>35</v>
      </c>
      <c r="N338" s="2" t="s">
        <v>35</v>
      </c>
      <c r="O338" s="11">
        <v>44735.510277835645</v>
      </c>
      <c r="P338" s="11">
        <v>44735.510722766201</v>
      </c>
      <c r="Q338" s="27">
        <v>4.449305561138317E-4</v>
      </c>
      <c r="R338" s="27">
        <v>7.4990740540670231E-4</v>
      </c>
      <c r="S338" s="2">
        <v>0</v>
      </c>
      <c r="T338" s="2" t="s">
        <v>416</v>
      </c>
      <c r="U338" s="2" t="s">
        <v>417</v>
      </c>
      <c r="V338" s="2" t="s">
        <v>38</v>
      </c>
      <c r="W338" s="2" t="s">
        <v>35</v>
      </c>
      <c r="X338" s="2">
        <v>0</v>
      </c>
      <c r="Y338" s="2" t="s">
        <v>438</v>
      </c>
      <c r="Z338" s="2" t="b">
        <v>0</v>
      </c>
      <c r="AA338" s="2" t="s">
        <v>35</v>
      </c>
      <c r="AB338" s="2" t="s">
        <v>35</v>
      </c>
      <c r="AC338" s="2" t="s">
        <v>35</v>
      </c>
      <c r="AD338" s="2" t="s">
        <v>35</v>
      </c>
      <c r="AE338" s="2" t="s">
        <v>207</v>
      </c>
      <c r="AF338" s="11">
        <v>44735.40625</v>
      </c>
      <c r="AG338" s="53"/>
      <c r="AH338" s="53" t="b">
        <f t="shared" si="8"/>
        <v>0</v>
      </c>
      <c r="AI338" s="54" t="s">
        <v>9772</v>
      </c>
      <c r="AJ338" s="2"/>
      <c r="AK338" s="2"/>
      <c r="AL338" s="2"/>
      <c r="AM338" s="2"/>
      <c r="AN338" s="2"/>
    </row>
    <row r="339" spans="1:40" ht="16" x14ac:dyDescent="0.2">
      <c r="A339" s="2" t="s">
        <v>446</v>
      </c>
      <c r="B339" s="2">
        <v>125</v>
      </c>
      <c r="C339" s="2" t="b">
        <v>0</v>
      </c>
      <c r="D339" s="2" t="b">
        <v>0</v>
      </c>
      <c r="E339" s="2" t="b">
        <v>0</v>
      </c>
      <c r="F339" s="2" t="b">
        <v>0</v>
      </c>
      <c r="G339" s="2" t="s">
        <v>31</v>
      </c>
      <c r="H339" s="2" t="s">
        <v>447</v>
      </c>
      <c r="I339" s="2" t="s">
        <v>448</v>
      </c>
      <c r="J339" s="2" t="s">
        <v>415</v>
      </c>
      <c r="K339" s="2" t="s">
        <v>35</v>
      </c>
      <c r="L339" s="2" t="s">
        <v>35</v>
      </c>
      <c r="M339" s="2" t="s">
        <v>35</v>
      </c>
      <c r="N339" s="2" t="s">
        <v>35</v>
      </c>
      <c r="O339" s="11">
        <v>44735.515552812503</v>
      </c>
      <c r="P339" s="11">
        <v>44735.515938032404</v>
      </c>
      <c r="Q339" s="27">
        <v>3.8521990063600242E-4</v>
      </c>
      <c r="R339" s="27">
        <v>3.7956712913000956E-3</v>
      </c>
      <c r="S339" s="2">
        <v>0</v>
      </c>
      <c r="T339" s="2" t="s">
        <v>416</v>
      </c>
      <c r="U339" s="2" t="s">
        <v>417</v>
      </c>
      <c r="V339" s="2" t="s">
        <v>38</v>
      </c>
      <c r="W339" s="2" t="s">
        <v>35</v>
      </c>
      <c r="X339" s="2">
        <v>0</v>
      </c>
      <c r="Y339" s="2" t="s">
        <v>438</v>
      </c>
      <c r="Z339" s="2" t="b">
        <v>0</v>
      </c>
      <c r="AA339" s="2" t="s">
        <v>35</v>
      </c>
      <c r="AB339" s="2" t="s">
        <v>35</v>
      </c>
      <c r="AC339" s="2" t="s">
        <v>35</v>
      </c>
      <c r="AD339" s="2" t="s">
        <v>35</v>
      </c>
      <c r="AE339" s="2" t="s">
        <v>207</v>
      </c>
      <c r="AF339" s="11">
        <v>44735.40625</v>
      </c>
      <c r="AG339" s="53"/>
      <c r="AH339" s="53" t="b">
        <f t="shared" si="8"/>
        <v>0</v>
      </c>
      <c r="AI339" s="54" t="s">
        <v>9770</v>
      </c>
      <c r="AJ339" s="2"/>
      <c r="AK339" s="2"/>
      <c r="AL339" s="2"/>
      <c r="AM339" s="2"/>
      <c r="AN339" s="2"/>
    </row>
    <row r="340" spans="1:40" ht="16" x14ac:dyDescent="0.2">
      <c r="A340" s="2" t="s">
        <v>464</v>
      </c>
      <c r="B340" s="2">
        <v>131</v>
      </c>
      <c r="C340" s="2" t="b">
        <v>0</v>
      </c>
      <c r="D340" s="2" t="b">
        <v>0</v>
      </c>
      <c r="E340" s="2" t="b">
        <v>0</v>
      </c>
      <c r="F340" s="2" t="b">
        <v>0</v>
      </c>
      <c r="G340" s="2" t="s">
        <v>31</v>
      </c>
      <c r="H340" s="2" t="s">
        <v>465</v>
      </c>
      <c r="I340" s="2" t="s">
        <v>466</v>
      </c>
      <c r="J340" s="2" t="s">
        <v>442</v>
      </c>
      <c r="K340" s="2" t="s">
        <v>35</v>
      </c>
      <c r="L340" s="2" t="s">
        <v>35</v>
      </c>
      <c r="M340" s="2" t="s">
        <v>35</v>
      </c>
      <c r="N340" s="2" t="s">
        <v>35</v>
      </c>
      <c r="O340" s="11">
        <v>44735.52677715278</v>
      </c>
      <c r="P340" s="11">
        <v>44735.527342476853</v>
      </c>
      <c r="Q340" s="27">
        <v>5.6532407324993983E-4</v>
      </c>
      <c r="R340" s="27">
        <v>4.8304282390745357E-3</v>
      </c>
      <c r="S340" s="2">
        <v>0</v>
      </c>
      <c r="T340" s="2" t="s">
        <v>416</v>
      </c>
      <c r="U340" s="2" t="s">
        <v>417</v>
      </c>
      <c r="V340" s="2" t="s">
        <v>38</v>
      </c>
      <c r="W340" s="2" t="s">
        <v>35</v>
      </c>
      <c r="X340" s="2">
        <v>55</v>
      </c>
      <c r="Y340" s="2" t="s">
        <v>438</v>
      </c>
      <c r="Z340" s="2" t="b">
        <v>0</v>
      </c>
      <c r="AA340" s="2" t="s">
        <v>35</v>
      </c>
      <c r="AB340" s="2" t="s">
        <v>35</v>
      </c>
      <c r="AC340" s="2" t="s">
        <v>35</v>
      </c>
      <c r="AD340" s="2" t="s">
        <v>35</v>
      </c>
      <c r="AE340" s="2" t="s">
        <v>207</v>
      </c>
      <c r="AF340" s="11">
        <v>44735.40625</v>
      </c>
      <c r="AG340" s="53"/>
      <c r="AH340" s="53" t="b">
        <f t="shared" si="8"/>
        <v>0</v>
      </c>
      <c r="AI340" s="54" t="s">
        <v>9767</v>
      </c>
      <c r="AJ340" s="2"/>
      <c r="AK340" s="2"/>
      <c r="AL340" s="2"/>
      <c r="AM340" s="2"/>
      <c r="AN340" s="2"/>
    </row>
    <row r="341" spans="1:40" ht="16" x14ac:dyDescent="0.2">
      <c r="A341" s="2" t="s">
        <v>560</v>
      </c>
      <c r="B341" s="2">
        <v>162</v>
      </c>
      <c r="C341" s="2" t="b">
        <v>0</v>
      </c>
      <c r="D341" s="2" t="b">
        <v>0</v>
      </c>
      <c r="E341" s="2" t="b">
        <v>0</v>
      </c>
      <c r="F341" s="2" t="b">
        <v>0</v>
      </c>
      <c r="G341" s="2" t="s">
        <v>31</v>
      </c>
      <c r="H341" s="2" t="s">
        <v>561</v>
      </c>
      <c r="I341" s="2" t="s">
        <v>562</v>
      </c>
      <c r="J341" s="2" t="s">
        <v>563</v>
      </c>
      <c r="K341" s="2" t="s">
        <v>35</v>
      </c>
      <c r="L341" s="2" t="s">
        <v>35</v>
      </c>
      <c r="M341" s="2" t="s">
        <v>35</v>
      </c>
      <c r="N341" s="2" t="s">
        <v>35</v>
      </c>
      <c r="O341" s="11">
        <v>44736.408426041664</v>
      </c>
      <c r="P341" s="11">
        <v>44736.410016724534</v>
      </c>
      <c r="Q341" s="27">
        <v>1.5906828703009523E-3</v>
      </c>
      <c r="R341" s="27">
        <v>2.165358790080063E-3</v>
      </c>
      <c r="S341" s="2">
        <v>0</v>
      </c>
      <c r="T341" s="2" t="s">
        <v>416</v>
      </c>
      <c r="U341" s="2" t="s">
        <v>417</v>
      </c>
      <c r="V341" s="2" t="s">
        <v>38</v>
      </c>
      <c r="W341" s="2" t="s">
        <v>35</v>
      </c>
      <c r="X341" s="2">
        <v>89</v>
      </c>
      <c r="Y341" s="2" t="s">
        <v>564</v>
      </c>
      <c r="Z341" s="2" t="b">
        <v>0</v>
      </c>
      <c r="AA341" s="2" t="s">
        <v>35</v>
      </c>
      <c r="AB341" s="2" t="s">
        <v>35</v>
      </c>
      <c r="AC341" s="2" t="s">
        <v>35</v>
      </c>
      <c r="AD341" s="2" t="s">
        <v>35</v>
      </c>
      <c r="AE341" s="2" t="s">
        <v>492</v>
      </c>
      <c r="AF341" s="11">
        <v>44736.387499942131</v>
      </c>
      <c r="AG341" s="53"/>
      <c r="AH341" s="53" t="str">
        <f t="shared" si="8"/>
        <v>TRUE</v>
      </c>
      <c r="AI341" s="54" t="s">
        <v>9766</v>
      </c>
      <c r="AJ341" s="2" t="s">
        <v>9765</v>
      </c>
      <c r="AK341" s="2" t="s">
        <v>9764</v>
      </c>
      <c r="AL341" s="2"/>
      <c r="AM341" s="2"/>
      <c r="AN341" s="2"/>
    </row>
    <row r="342" spans="1:40" ht="16" x14ac:dyDescent="0.2">
      <c r="A342" s="2" t="s">
        <v>571</v>
      </c>
      <c r="B342" s="2">
        <v>165</v>
      </c>
      <c r="C342" s="2" t="b">
        <v>0</v>
      </c>
      <c r="D342" s="2" t="b">
        <v>0</v>
      </c>
      <c r="E342" s="2" t="b">
        <v>0</v>
      </c>
      <c r="F342" s="2" t="b">
        <v>0</v>
      </c>
      <c r="G342" s="2" t="s">
        <v>31</v>
      </c>
      <c r="H342" s="2" t="s">
        <v>572</v>
      </c>
      <c r="I342" s="2" t="s">
        <v>573</v>
      </c>
      <c r="J342" s="2" t="s">
        <v>563</v>
      </c>
      <c r="K342" s="2" t="s">
        <v>35</v>
      </c>
      <c r="L342" s="2" t="s">
        <v>35</v>
      </c>
      <c r="M342" s="2" t="s">
        <v>35</v>
      </c>
      <c r="N342" s="2" t="s">
        <v>35</v>
      </c>
      <c r="O342" s="11">
        <v>44736.412365243057</v>
      </c>
      <c r="P342" s="11">
        <v>44736.41283854167</v>
      </c>
      <c r="Q342" s="27">
        <v>4.7329861263278872E-4</v>
      </c>
      <c r="R342" s="27">
        <v>7.4533565202727914E-4</v>
      </c>
      <c r="S342" s="2">
        <v>0</v>
      </c>
      <c r="T342" s="2" t="s">
        <v>416</v>
      </c>
      <c r="U342" s="2" t="s">
        <v>417</v>
      </c>
      <c r="V342" s="2" t="s">
        <v>38</v>
      </c>
      <c r="W342" s="2" t="s">
        <v>35</v>
      </c>
      <c r="X342" s="2">
        <v>96</v>
      </c>
      <c r="Y342" s="2" t="s">
        <v>564</v>
      </c>
      <c r="Z342" s="2" t="b">
        <v>0</v>
      </c>
      <c r="AA342" s="2" t="s">
        <v>35</v>
      </c>
      <c r="AB342" s="2" t="s">
        <v>35</v>
      </c>
      <c r="AC342" s="2" t="s">
        <v>35</v>
      </c>
      <c r="AD342" s="2" t="s">
        <v>35</v>
      </c>
      <c r="AE342" s="2" t="s">
        <v>492</v>
      </c>
      <c r="AF342" s="11">
        <v>44736.387499942131</v>
      </c>
      <c r="AG342" s="53"/>
      <c r="AH342" s="53" t="b">
        <f t="shared" si="8"/>
        <v>0</v>
      </c>
      <c r="AI342" s="54" t="s">
        <v>9761</v>
      </c>
      <c r="AJ342" s="2"/>
      <c r="AK342" s="2"/>
      <c r="AL342" s="2"/>
      <c r="AM342" s="2"/>
      <c r="AN342" s="2"/>
    </row>
    <row r="343" spans="1:40" ht="16" x14ac:dyDescent="0.2">
      <c r="A343" s="2" t="s">
        <v>1121</v>
      </c>
      <c r="B343" s="2">
        <v>338</v>
      </c>
      <c r="C343" s="2" t="b">
        <v>0</v>
      </c>
      <c r="D343" s="2" t="b">
        <v>0</v>
      </c>
      <c r="E343" s="2" t="b">
        <v>0</v>
      </c>
      <c r="F343" s="2" t="b">
        <v>0</v>
      </c>
      <c r="G343" s="2" t="s">
        <v>31</v>
      </c>
      <c r="H343" s="2" t="s">
        <v>1122</v>
      </c>
      <c r="I343" s="2" t="s">
        <v>1123</v>
      </c>
      <c r="J343" s="2" t="s">
        <v>1124</v>
      </c>
      <c r="K343" s="2" t="s">
        <v>35</v>
      </c>
      <c r="L343" s="2" t="s">
        <v>35</v>
      </c>
      <c r="M343" s="2" t="s">
        <v>35</v>
      </c>
      <c r="N343" s="2" t="s">
        <v>35</v>
      </c>
      <c r="O343" s="11">
        <v>44743.595891319441</v>
      </c>
      <c r="P343" s="11">
        <v>44743.597189756947</v>
      </c>
      <c r="Q343" s="27">
        <v>1.2984375061932951E-3</v>
      </c>
      <c r="R343" s="27">
        <v>2.4569097222411074E-3</v>
      </c>
      <c r="S343" s="2">
        <v>0</v>
      </c>
      <c r="T343" s="2" t="s">
        <v>416</v>
      </c>
      <c r="U343" s="2" t="s">
        <v>417</v>
      </c>
      <c r="V343" s="2" t="s">
        <v>38</v>
      </c>
      <c r="W343" s="2" t="s">
        <v>35</v>
      </c>
      <c r="X343" s="2">
        <v>100</v>
      </c>
      <c r="Y343" s="2" t="s">
        <v>228</v>
      </c>
      <c r="Z343" s="2" t="b">
        <v>0</v>
      </c>
      <c r="AA343" s="2" t="s">
        <v>35</v>
      </c>
      <c r="AB343" s="2" t="s">
        <v>35</v>
      </c>
      <c r="AC343" s="2" t="s">
        <v>35</v>
      </c>
      <c r="AD343" s="2" t="s">
        <v>35</v>
      </c>
      <c r="AE343" s="2" t="s">
        <v>1117</v>
      </c>
      <c r="AF343" s="11">
        <v>44743.590972164355</v>
      </c>
      <c r="AG343" s="53"/>
      <c r="AH343" s="53" t="str">
        <f t="shared" si="8"/>
        <v>TRUE</v>
      </c>
      <c r="AI343" s="54" t="s">
        <v>9760</v>
      </c>
      <c r="AJ343" s="2"/>
      <c r="AK343" s="2"/>
      <c r="AL343" s="2"/>
      <c r="AM343" s="2"/>
      <c r="AN343" s="2"/>
    </row>
    <row r="344" spans="1:40" ht="16" x14ac:dyDescent="0.2">
      <c r="A344" s="2" t="s">
        <v>1428</v>
      </c>
      <c r="B344" s="2">
        <v>434</v>
      </c>
      <c r="C344" s="2" t="b">
        <v>0</v>
      </c>
      <c r="D344" s="2" t="b">
        <v>0</v>
      </c>
      <c r="E344" s="2" t="b">
        <v>0</v>
      </c>
      <c r="F344" s="2" t="b">
        <v>0</v>
      </c>
      <c r="G344" s="2" t="s">
        <v>31</v>
      </c>
      <c r="H344" s="2" t="s">
        <v>1429</v>
      </c>
      <c r="I344" s="2" t="s">
        <v>1427</v>
      </c>
      <c r="J344" s="2" t="s">
        <v>1430</v>
      </c>
      <c r="K344" s="2" t="s">
        <v>35</v>
      </c>
      <c r="L344" s="2" t="s">
        <v>35</v>
      </c>
      <c r="M344" s="2" t="s">
        <v>35</v>
      </c>
      <c r="N344" s="2" t="s">
        <v>35</v>
      </c>
      <c r="O344" s="11">
        <v>44747.397526527777</v>
      </c>
      <c r="P344" s="11">
        <v>44747.398257511573</v>
      </c>
      <c r="Q344" s="27">
        <v>7.3098379652947187E-4</v>
      </c>
      <c r="R344" s="27">
        <v>8.3508101670304313E-4</v>
      </c>
      <c r="S344" s="2">
        <v>0</v>
      </c>
      <c r="T344" s="2" t="s">
        <v>416</v>
      </c>
      <c r="U344" s="2" t="s">
        <v>417</v>
      </c>
      <c r="V344" s="2" t="s">
        <v>38</v>
      </c>
      <c r="W344" s="2" t="s">
        <v>35</v>
      </c>
      <c r="X344" s="2">
        <v>90</v>
      </c>
      <c r="Y344" s="2" t="s">
        <v>35</v>
      </c>
      <c r="Z344" s="2" t="b">
        <v>0</v>
      </c>
      <c r="AA344" s="2" t="s">
        <v>35</v>
      </c>
      <c r="AB344" s="2" t="s">
        <v>35</v>
      </c>
      <c r="AC344" s="2" t="s">
        <v>35</v>
      </c>
      <c r="AD344" s="2" t="s">
        <v>35</v>
      </c>
      <c r="AE344" s="2" t="s">
        <v>688</v>
      </c>
      <c r="AF344" s="11">
        <v>44747.395138888889</v>
      </c>
      <c r="AG344" s="53"/>
      <c r="AH344" s="53" t="str">
        <f t="shared" si="8"/>
        <v>TRUE</v>
      </c>
      <c r="AI344" s="54" t="s">
        <v>9759</v>
      </c>
      <c r="AJ344" s="2" t="s">
        <v>9758</v>
      </c>
      <c r="AK344" s="2" t="s">
        <v>9757</v>
      </c>
      <c r="AL344" s="2"/>
      <c r="AM344" s="2"/>
      <c r="AN344" s="2"/>
    </row>
    <row r="345" spans="1:40" ht="16" x14ac:dyDescent="0.2">
      <c r="A345" s="2" t="s">
        <v>1558</v>
      </c>
      <c r="B345" s="2">
        <v>474</v>
      </c>
      <c r="C345" s="2" t="b">
        <v>0</v>
      </c>
      <c r="D345" s="2" t="b">
        <v>0</v>
      </c>
      <c r="E345" s="2" t="b">
        <v>0</v>
      </c>
      <c r="F345" s="2" t="b">
        <v>0</v>
      </c>
      <c r="G345" s="2" t="s">
        <v>31</v>
      </c>
      <c r="H345" s="2" t="s">
        <v>1559</v>
      </c>
      <c r="I345" s="2" t="s">
        <v>1560</v>
      </c>
      <c r="J345" s="2" t="s">
        <v>1561</v>
      </c>
      <c r="K345" s="2" t="s">
        <v>35</v>
      </c>
      <c r="L345" s="2" t="s">
        <v>35</v>
      </c>
      <c r="M345" s="2" t="s">
        <v>35</v>
      </c>
      <c r="N345" s="2" t="s">
        <v>35</v>
      </c>
      <c r="O345" s="11">
        <v>44747.458176435182</v>
      </c>
      <c r="P345" s="11">
        <v>44747.458488090277</v>
      </c>
      <c r="Q345" s="27">
        <v>3.1165509426500648E-4</v>
      </c>
      <c r="R345" s="27">
        <v>9.9287036573514342E-4</v>
      </c>
      <c r="S345" s="2">
        <v>0</v>
      </c>
      <c r="T345" s="2" t="s">
        <v>416</v>
      </c>
      <c r="U345" s="2" t="s">
        <v>417</v>
      </c>
      <c r="V345" s="2" t="s">
        <v>38</v>
      </c>
      <c r="W345" s="2" t="s">
        <v>35</v>
      </c>
      <c r="X345" s="2">
        <v>0</v>
      </c>
      <c r="Y345" s="2" t="s">
        <v>1440</v>
      </c>
      <c r="Z345" s="2" t="b">
        <v>0</v>
      </c>
      <c r="AA345" s="2" t="s">
        <v>35</v>
      </c>
      <c r="AB345" s="2" t="s">
        <v>35</v>
      </c>
      <c r="AC345" s="2" t="s">
        <v>35</v>
      </c>
      <c r="AD345" s="2" t="s">
        <v>35</v>
      </c>
      <c r="AE345" s="2" t="s">
        <v>1464</v>
      </c>
      <c r="AF345" s="11">
        <v>44747.425694386577</v>
      </c>
      <c r="AG345" s="53"/>
      <c r="AH345" s="53" t="b">
        <f t="shared" si="8"/>
        <v>0</v>
      </c>
      <c r="AI345" s="54" t="s">
        <v>9754</v>
      </c>
      <c r="AJ345" s="2"/>
      <c r="AK345" s="2"/>
      <c r="AL345" s="2"/>
      <c r="AM345" s="2"/>
      <c r="AN345" s="2"/>
    </row>
    <row r="346" spans="1:40" ht="16" x14ac:dyDescent="0.2">
      <c r="A346" s="2" t="s">
        <v>1578</v>
      </c>
      <c r="B346" s="2">
        <v>480</v>
      </c>
      <c r="C346" s="2" t="b">
        <v>0</v>
      </c>
      <c r="D346" s="2" t="b">
        <v>0</v>
      </c>
      <c r="E346" s="2" t="b">
        <v>0</v>
      </c>
      <c r="F346" s="2" t="b">
        <v>0</v>
      </c>
      <c r="G346" s="2" t="s">
        <v>31</v>
      </c>
      <c r="H346" s="2" t="s">
        <v>1579</v>
      </c>
      <c r="I346" s="2" t="s">
        <v>1580</v>
      </c>
      <c r="J346" s="2" t="s">
        <v>1124</v>
      </c>
      <c r="K346" s="2" t="s">
        <v>35</v>
      </c>
      <c r="L346" s="2" t="s">
        <v>35</v>
      </c>
      <c r="M346" s="2" t="s">
        <v>35</v>
      </c>
      <c r="N346" s="2" t="s">
        <v>35</v>
      </c>
      <c r="O346" s="11">
        <v>44747.467244942127</v>
      </c>
      <c r="P346" s="11">
        <v>44747.467522210645</v>
      </c>
      <c r="Q346" s="27">
        <v>2.7726851840270683E-4</v>
      </c>
      <c r="R346" s="27">
        <v>5.1267360686324537E-4</v>
      </c>
      <c r="S346" s="2">
        <v>0</v>
      </c>
      <c r="T346" s="2" t="s">
        <v>416</v>
      </c>
      <c r="U346" s="2" t="s">
        <v>417</v>
      </c>
      <c r="V346" s="2" t="s">
        <v>38</v>
      </c>
      <c r="W346" s="2" t="s">
        <v>35</v>
      </c>
      <c r="X346" s="2">
        <v>0</v>
      </c>
      <c r="Y346" s="2" t="s">
        <v>1440</v>
      </c>
      <c r="Z346" s="2" t="b">
        <v>0</v>
      </c>
      <c r="AA346" s="2" t="s">
        <v>35</v>
      </c>
      <c r="AB346" s="2" t="s">
        <v>35</v>
      </c>
      <c r="AC346" s="2" t="s">
        <v>35</v>
      </c>
      <c r="AD346" s="2" t="s">
        <v>35</v>
      </c>
      <c r="AE346" s="2" t="s">
        <v>1464</v>
      </c>
      <c r="AF346" s="11">
        <v>44747.425694386577</v>
      </c>
      <c r="AG346" s="53"/>
      <c r="AH346" s="53" t="b">
        <f t="shared" si="8"/>
        <v>0</v>
      </c>
      <c r="AI346" s="54" t="s">
        <v>9751</v>
      </c>
      <c r="AJ346" s="2"/>
      <c r="AK346" s="2"/>
      <c r="AL346" s="2"/>
      <c r="AM346" s="2"/>
      <c r="AN346" s="2"/>
    </row>
    <row r="347" spans="1:40" ht="16" x14ac:dyDescent="0.2">
      <c r="A347" s="2" t="s">
        <v>1677</v>
      </c>
      <c r="B347" s="2">
        <v>510</v>
      </c>
      <c r="C347" s="2" t="b">
        <v>0</v>
      </c>
      <c r="D347" s="2" t="b">
        <v>0</v>
      </c>
      <c r="E347" s="2" t="b">
        <v>0</v>
      </c>
      <c r="F347" s="2" t="b">
        <v>0</v>
      </c>
      <c r="G347" s="2" t="s">
        <v>31</v>
      </c>
      <c r="H347" s="2" t="s">
        <v>1678</v>
      </c>
      <c r="I347" s="2" t="s">
        <v>1679</v>
      </c>
      <c r="J347" s="2" t="s">
        <v>1680</v>
      </c>
      <c r="K347" s="2" t="s">
        <v>35</v>
      </c>
      <c r="L347" s="2" t="s">
        <v>35</v>
      </c>
      <c r="M347" s="2" t="s">
        <v>35</v>
      </c>
      <c r="N347" s="2" t="s">
        <v>35</v>
      </c>
      <c r="O347" s="11">
        <v>44747.504584386574</v>
      </c>
      <c r="P347" s="11">
        <v>44747.505115347223</v>
      </c>
      <c r="Q347" s="27">
        <v>5.3096064948476851E-4</v>
      </c>
      <c r="R347" s="27">
        <v>7.6937500125495717E-4</v>
      </c>
      <c r="S347" s="2">
        <v>0</v>
      </c>
      <c r="T347" s="2" t="s">
        <v>416</v>
      </c>
      <c r="U347" s="2" t="s">
        <v>417</v>
      </c>
      <c r="V347" s="2" t="s">
        <v>38</v>
      </c>
      <c r="W347" s="2" t="s">
        <v>35</v>
      </c>
      <c r="X347" s="2">
        <v>0</v>
      </c>
      <c r="Y347" s="2" t="s">
        <v>1440</v>
      </c>
      <c r="Z347" s="2" t="b">
        <v>0</v>
      </c>
      <c r="AA347" s="2" t="s">
        <v>35</v>
      </c>
      <c r="AB347" s="2" t="s">
        <v>35</v>
      </c>
      <c r="AC347" s="2" t="s">
        <v>35</v>
      </c>
      <c r="AD347" s="2" t="s">
        <v>35</v>
      </c>
      <c r="AE347" s="2" t="s">
        <v>1464</v>
      </c>
      <c r="AF347" s="11">
        <v>44747.425694386577</v>
      </c>
      <c r="AG347" s="53"/>
      <c r="AH347" s="53" t="b">
        <f t="shared" si="8"/>
        <v>0</v>
      </c>
      <c r="AI347" s="54" t="s">
        <v>9748</v>
      </c>
      <c r="AJ347" s="2"/>
      <c r="AK347" s="2"/>
      <c r="AL347" s="2"/>
      <c r="AM347" s="2"/>
      <c r="AN347" s="2"/>
    </row>
    <row r="348" spans="1:40" ht="16" x14ac:dyDescent="0.2">
      <c r="A348" s="2" t="s">
        <v>1820</v>
      </c>
      <c r="B348" s="2">
        <v>556</v>
      </c>
      <c r="C348" s="2" t="b">
        <v>0</v>
      </c>
      <c r="D348" s="2" t="b">
        <v>0</v>
      </c>
      <c r="E348" s="2" t="b">
        <v>0</v>
      </c>
      <c r="F348" s="2" t="b">
        <v>0</v>
      </c>
      <c r="G348" s="2" t="s">
        <v>31</v>
      </c>
      <c r="H348" s="2" t="s">
        <v>1821</v>
      </c>
      <c r="I348" s="2" t="s">
        <v>1822</v>
      </c>
      <c r="J348" s="2" t="s">
        <v>119</v>
      </c>
      <c r="K348" s="2" t="s">
        <v>35</v>
      </c>
      <c r="L348" s="2" t="s">
        <v>35</v>
      </c>
      <c r="M348" s="2" t="s">
        <v>35</v>
      </c>
      <c r="N348" s="2" t="s">
        <v>35</v>
      </c>
      <c r="O348" s="11">
        <v>44748.617552708332</v>
      </c>
      <c r="P348" s="11">
        <v>44748.61790636574</v>
      </c>
      <c r="Q348" s="27">
        <v>3.5365740768611431E-4</v>
      </c>
      <c r="R348" s="27">
        <v>1.1628009233390912E-3</v>
      </c>
      <c r="S348" s="2">
        <v>0</v>
      </c>
      <c r="T348" s="2" t="s">
        <v>416</v>
      </c>
      <c r="U348" s="2" t="s">
        <v>417</v>
      </c>
      <c r="V348" s="2" t="s">
        <v>38</v>
      </c>
      <c r="W348" s="2" t="s">
        <v>35</v>
      </c>
      <c r="X348" s="2">
        <v>0</v>
      </c>
      <c r="Y348" s="2" t="s">
        <v>1823</v>
      </c>
      <c r="Z348" s="2" t="b">
        <v>0</v>
      </c>
      <c r="AA348" s="2" t="s">
        <v>35</v>
      </c>
      <c r="AB348" s="2" t="s">
        <v>35</v>
      </c>
      <c r="AC348" s="2" t="s">
        <v>35</v>
      </c>
      <c r="AD348" s="2" t="s">
        <v>35</v>
      </c>
      <c r="AE348" s="2" t="s">
        <v>941</v>
      </c>
      <c r="AF348" s="11">
        <v>44748.587500000001</v>
      </c>
      <c r="AG348" s="53"/>
      <c r="AH348" s="53" t="b">
        <f t="shared" si="8"/>
        <v>0</v>
      </c>
      <c r="AI348" s="54" t="s">
        <v>9746</v>
      </c>
      <c r="AJ348" s="2"/>
      <c r="AK348" s="2"/>
      <c r="AL348" s="2"/>
      <c r="AM348" s="2"/>
      <c r="AN348" s="2"/>
    </row>
    <row r="349" spans="1:40" ht="16" x14ac:dyDescent="0.2">
      <c r="A349" s="2" t="s">
        <v>1876</v>
      </c>
      <c r="B349" s="2">
        <v>577</v>
      </c>
      <c r="C349" s="2" t="b">
        <v>0</v>
      </c>
      <c r="D349" s="2" t="b">
        <v>0</v>
      </c>
      <c r="E349" s="2" t="b">
        <v>0</v>
      </c>
      <c r="F349" s="2" t="b">
        <v>0</v>
      </c>
      <c r="G349" s="2" t="s">
        <v>31</v>
      </c>
      <c r="H349" s="2" t="s">
        <v>1877</v>
      </c>
      <c r="I349" s="2" t="s">
        <v>1878</v>
      </c>
      <c r="J349" s="2" t="s">
        <v>119</v>
      </c>
      <c r="K349" s="2" t="s">
        <v>35</v>
      </c>
      <c r="L349" s="2" t="s">
        <v>35</v>
      </c>
      <c r="M349" s="2" t="s">
        <v>35</v>
      </c>
      <c r="N349" s="2" t="s">
        <v>35</v>
      </c>
      <c r="O349" s="11">
        <v>44748.655982418983</v>
      </c>
      <c r="P349" s="11">
        <v>44748.656331412036</v>
      </c>
      <c r="Q349" s="27">
        <v>3.4899305319413543E-4</v>
      </c>
      <c r="R349" s="27">
        <v>2.6345370351918973E-3</v>
      </c>
      <c r="S349" s="2">
        <v>0</v>
      </c>
      <c r="T349" s="2" t="s">
        <v>416</v>
      </c>
      <c r="U349" s="2" t="s">
        <v>417</v>
      </c>
      <c r="V349" s="2" t="s">
        <v>38</v>
      </c>
      <c r="W349" s="2" t="s">
        <v>35</v>
      </c>
      <c r="X349" s="2">
        <v>0</v>
      </c>
      <c r="Y349" s="2" t="s">
        <v>1823</v>
      </c>
      <c r="Z349" s="2" t="b">
        <v>0</v>
      </c>
      <c r="AA349" s="2" t="s">
        <v>35</v>
      </c>
      <c r="AB349" s="2" t="s">
        <v>35</v>
      </c>
      <c r="AC349" s="2" t="s">
        <v>35</v>
      </c>
      <c r="AD349" s="2" t="s">
        <v>35</v>
      </c>
      <c r="AE349" s="2" t="s">
        <v>1826</v>
      </c>
      <c r="AF349" s="11">
        <v>44748.629166608793</v>
      </c>
      <c r="AG349" s="53"/>
      <c r="AH349" s="53" t="b">
        <f t="shared" si="8"/>
        <v>0</v>
      </c>
      <c r="AI349" s="54" t="s">
        <v>9743</v>
      </c>
      <c r="AJ349" s="2"/>
      <c r="AK349" s="2"/>
      <c r="AL349" s="2"/>
      <c r="AM349" s="2"/>
      <c r="AN349" s="2"/>
    </row>
    <row r="350" spans="1:40" ht="16" x14ac:dyDescent="0.2">
      <c r="A350" s="68" t="s">
        <v>1995</v>
      </c>
      <c r="B350" s="68">
        <v>619</v>
      </c>
      <c r="C350" s="68" t="b">
        <v>0</v>
      </c>
      <c r="D350" s="68" t="b">
        <v>0</v>
      </c>
      <c r="E350" s="68" t="b">
        <v>0</v>
      </c>
      <c r="F350" s="68" t="b">
        <v>0</v>
      </c>
      <c r="G350" s="68" t="s">
        <v>31</v>
      </c>
      <c r="H350" s="68" t="s">
        <v>149</v>
      </c>
      <c r="I350" s="68" t="s">
        <v>1996</v>
      </c>
      <c r="J350" s="68" t="s">
        <v>1997</v>
      </c>
      <c r="K350" s="68" t="s">
        <v>35</v>
      </c>
      <c r="L350" s="68" t="s">
        <v>35</v>
      </c>
      <c r="M350" s="68" t="s">
        <v>35</v>
      </c>
      <c r="N350" s="68" t="s">
        <v>35</v>
      </c>
      <c r="O350" s="69">
        <v>44748.712266562499</v>
      </c>
      <c r="P350" s="69">
        <v>44748.712810173609</v>
      </c>
      <c r="Q350" s="70">
        <v>5.4361110960599035E-4</v>
      </c>
      <c r="R350" s="70">
        <v>1.8875925889005885E-3</v>
      </c>
      <c r="S350" s="68">
        <v>0</v>
      </c>
      <c r="T350" s="68" t="s">
        <v>416</v>
      </c>
      <c r="U350" s="68" t="s">
        <v>417</v>
      </c>
      <c r="V350" s="68" t="s">
        <v>38</v>
      </c>
      <c r="W350" s="68" t="s">
        <v>35</v>
      </c>
      <c r="X350" s="68">
        <v>0</v>
      </c>
      <c r="Y350" s="68" t="s">
        <v>1823</v>
      </c>
      <c r="Z350" s="68" t="b">
        <v>0</v>
      </c>
      <c r="AA350" s="68" t="s">
        <v>35</v>
      </c>
      <c r="AB350" s="68" t="s">
        <v>35</v>
      </c>
      <c r="AC350" s="68" t="s">
        <v>35</v>
      </c>
      <c r="AD350" s="68" t="s">
        <v>35</v>
      </c>
      <c r="AE350" s="68" t="s">
        <v>1945</v>
      </c>
      <c r="AF350" s="69">
        <v>44748.697222222225</v>
      </c>
      <c r="AG350" s="71"/>
      <c r="AH350" s="53" t="b">
        <f t="shared" si="8"/>
        <v>0</v>
      </c>
      <c r="AI350" s="56" t="s">
        <v>35</v>
      </c>
      <c r="AJ350" s="68"/>
      <c r="AK350" s="68"/>
      <c r="AL350" s="68"/>
      <c r="AM350" s="68"/>
      <c r="AN350" s="68"/>
    </row>
    <row r="351" spans="1:40" ht="16" x14ac:dyDescent="0.2">
      <c r="A351" s="2" t="s">
        <v>2728</v>
      </c>
      <c r="B351" s="2">
        <v>844</v>
      </c>
      <c r="C351" s="2" t="b">
        <v>0</v>
      </c>
      <c r="D351" s="2" t="b">
        <v>0</v>
      </c>
      <c r="E351" s="2" t="b">
        <v>0</v>
      </c>
      <c r="F351" s="2" t="b">
        <v>0</v>
      </c>
      <c r="G351" s="2" t="s">
        <v>31</v>
      </c>
      <c r="H351" s="2" t="s">
        <v>2729</v>
      </c>
      <c r="I351" s="2" t="s">
        <v>2730</v>
      </c>
      <c r="J351" s="2" t="s">
        <v>2731</v>
      </c>
      <c r="K351" s="2" t="s">
        <v>35</v>
      </c>
      <c r="L351" s="2" t="s">
        <v>35</v>
      </c>
      <c r="M351" s="2" t="s">
        <v>35</v>
      </c>
      <c r="N351" s="2" t="s">
        <v>35</v>
      </c>
      <c r="O351" s="11">
        <v>44755.416595937502</v>
      </c>
      <c r="P351" s="11">
        <v>44755.417260231479</v>
      </c>
      <c r="Q351" s="27">
        <v>6.6429397702449933E-4</v>
      </c>
      <c r="R351" s="27">
        <v>7.3142360633937642E-4</v>
      </c>
      <c r="S351" s="2">
        <v>0</v>
      </c>
      <c r="T351" s="2" t="s">
        <v>416</v>
      </c>
      <c r="U351" s="2" t="s">
        <v>417</v>
      </c>
      <c r="V351" s="2" t="s">
        <v>38</v>
      </c>
      <c r="W351" s="2" t="s">
        <v>35</v>
      </c>
      <c r="X351" s="2">
        <v>0</v>
      </c>
      <c r="Y351" s="2" t="s">
        <v>35</v>
      </c>
      <c r="Z351" s="2" t="b">
        <v>0</v>
      </c>
      <c r="AA351" s="2" t="s">
        <v>35</v>
      </c>
      <c r="AB351" s="2" t="s">
        <v>35</v>
      </c>
      <c r="AC351" s="2" t="s">
        <v>35</v>
      </c>
      <c r="AD351" s="2" t="s">
        <v>35</v>
      </c>
      <c r="AE351" s="2" t="s">
        <v>2650</v>
      </c>
      <c r="AF351" s="11">
        <v>44755.386805555558</v>
      </c>
      <c r="AG351" s="53"/>
      <c r="AH351" s="53" t="b">
        <f t="shared" si="8"/>
        <v>0</v>
      </c>
      <c r="AI351" s="54" t="s">
        <v>9738</v>
      </c>
      <c r="AJ351" s="2"/>
      <c r="AK351" s="2"/>
      <c r="AL351" s="2"/>
      <c r="AM351" s="2"/>
      <c r="AN351" s="2"/>
    </row>
    <row r="352" spans="1:40" ht="16" x14ac:dyDescent="0.2">
      <c r="A352" s="2" t="s">
        <v>2948</v>
      </c>
      <c r="B352" s="2">
        <v>913</v>
      </c>
      <c r="C352" s="2" t="b">
        <v>0</v>
      </c>
      <c r="D352" s="2" t="b">
        <v>0</v>
      </c>
      <c r="E352" s="2" t="b">
        <v>0</v>
      </c>
      <c r="F352" s="2" t="b">
        <v>0</v>
      </c>
      <c r="G352" s="2" t="s">
        <v>31</v>
      </c>
      <c r="H352" s="2" t="s">
        <v>2949</v>
      </c>
      <c r="I352" s="2" t="s">
        <v>2950</v>
      </c>
      <c r="J352" s="2" t="s">
        <v>2951</v>
      </c>
      <c r="K352" s="2" t="s">
        <v>35</v>
      </c>
      <c r="L352" s="2" t="s">
        <v>35</v>
      </c>
      <c r="M352" s="2" t="s">
        <v>35</v>
      </c>
      <c r="N352" s="2" t="s">
        <v>35</v>
      </c>
      <c r="O352" s="11">
        <v>44762.382815787038</v>
      </c>
      <c r="P352" s="11">
        <v>44762.38347940972</v>
      </c>
      <c r="Q352" s="27">
        <v>6.6362268262309954E-4</v>
      </c>
      <c r="R352" s="27">
        <v>1.3796527782687917E-3</v>
      </c>
      <c r="S352" s="2">
        <v>0</v>
      </c>
      <c r="T352" s="2" t="s">
        <v>416</v>
      </c>
      <c r="U352" s="2" t="s">
        <v>417</v>
      </c>
      <c r="V352" s="2" t="s">
        <v>38</v>
      </c>
      <c r="W352" s="2" t="s">
        <v>35</v>
      </c>
      <c r="X352" s="2">
        <v>120</v>
      </c>
      <c r="Y352" s="2" t="s">
        <v>2952</v>
      </c>
      <c r="Z352" s="2" t="b">
        <v>0</v>
      </c>
      <c r="AA352" s="2" t="s">
        <v>35</v>
      </c>
      <c r="AB352" s="2" t="s">
        <v>35</v>
      </c>
      <c r="AC352" s="2" t="s">
        <v>35</v>
      </c>
      <c r="AD352" s="2" t="s">
        <v>35</v>
      </c>
      <c r="AE352" s="2" t="s">
        <v>2840</v>
      </c>
      <c r="AF352" s="11">
        <v>44762.350694444445</v>
      </c>
      <c r="AG352" s="53"/>
      <c r="AH352" s="53" t="b">
        <f t="shared" si="8"/>
        <v>0</v>
      </c>
      <c r="AI352" s="54" t="s">
        <v>9736</v>
      </c>
      <c r="AJ352" s="2"/>
      <c r="AK352" s="2"/>
      <c r="AL352" s="2"/>
      <c r="AM352" s="2"/>
      <c r="AN352" s="2"/>
    </row>
    <row r="353" spans="1:40" ht="16" x14ac:dyDescent="0.2">
      <c r="A353" s="2" t="s">
        <v>2953</v>
      </c>
      <c r="B353" s="2">
        <v>914</v>
      </c>
      <c r="C353" s="2" t="b">
        <v>0</v>
      </c>
      <c r="D353" s="2" t="b">
        <v>0</v>
      </c>
      <c r="E353" s="2" t="b">
        <v>0</v>
      </c>
      <c r="F353" s="2" t="b">
        <v>0</v>
      </c>
      <c r="G353" s="2" t="s">
        <v>31</v>
      </c>
      <c r="H353" s="2" t="s">
        <v>2954</v>
      </c>
      <c r="I353" s="2" t="s">
        <v>2955</v>
      </c>
      <c r="J353" s="2" t="s">
        <v>2951</v>
      </c>
      <c r="K353" s="2" t="s">
        <v>35</v>
      </c>
      <c r="L353" s="2" t="s">
        <v>35</v>
      </c>
      <c r="M353" s="2" t="s">
        <v>35</v>
      </c>
      <c r="N353" s="2" t="s">
        <v>35</v>
      </c>
      <c r="O353" s="11">
        <v>44762.383944386573</v>
      </c>
      <c r="P353" s="11">
        <v>44762.384164340277</v>
      </c>
      <c r="Q353" s="27">
        <v>2.199537047999911E-4</v>
      </c>
      <c r="R353" s="27">
        <v>6.8493055732687935E-4</v>
      </c>
      <c r="S353" s="2">
        <v>0</v>
      </c>
      <c r="T353" s="2" t="s">
        <v>416</v>
      </c>
      <c r="U353" s="2" t="s">
        <v>417</v>
      </c>
      <c r="V353" s="2" t="s">
        <v>38</v>
      </c>
      <c r="W353" s="2" t="s">
        <v>35</v>
      </c>
      <c r="X353" s="2">
        <v>120</v>
      </c>
      <c r="Y353" s="2" t="s">
        <v>35</v>
      </c>
      <c r="Z353" s="2" t="b">
        <v>0</v>
      </c>
      <c r="AA353" s="2" t="s">
        <v>35</v>
      </c>
      <c r="AB353" s="2" t="s">
        <v>35</v>
      </c>
      <c r="AC353" s="2" t="s">
        <v>35</v>
      </c>
      <c r="AD353" s="2" t="s">
        <v>35</v>
      </c>
      <c r="AE353" s="2" t="s">
        <v>2840</v>
      </c>
      <c r="AF353" s="11">
        <v>44762.350694444445</v>
      </c>
      <c r="AG353" s="53"/>
      <c r="AH353" s="53" t="b">
        <f t="shared" si="8"/>
        <v>0</v>
      </c>
      <c r="AI353" s="54" t="s">
        <v>9733</v>
      </c>
      <c r="AJ353" s="2"/>
      <c r="AK353" s="2"/>
      <c r="AL353" s="2"/>
      <c r="AM353" s="2"/>
      <c r="AN353" s="2"/>
    </row>
    <row r="354" spans="1:40" ht="16" x14ac:dyDescent="0.2">
      <c r="A354" s="2" t="s">
        <v>3277</v>
      </c>
      <c r="B354" s="2">
        <v>1016</v>
      </c>
      <c r="C354" s="2" t="b">
        <v>0</v>
      </c>
      <c r="D354" s="2" t="b">
        <v>0</v>
      </c>
      <c r="E354" s="2" t="b">
        <v>0</v>
      </c>
      <c r="F354" s="2" t="b">
        <v>0</v>
      </c>
      <c r="G354" s="2" t="s">
        <v>31</v>
      </c>
      <c r="H354" s="2" t="s">
        <v>3278</v>
      </c>
      <c r="I354" s="2" t="s">
        <v>3279</v>
      </c>
      <c r="J354" s="2" t="s">
        <v>1124</v>
      </c>
      <c r="K354" s="2" t="s">
        <v>35</v>
      </c>
      <c r="L354" s="2" t="s">
        <v>35</v>
      </c>
      <c r="M354" s="2" t="s">
        <v>35</v>
      </c>
      <c r="N354" s="2" t="s">
        <v>35</v>
      </c>
      <c r="O354" s="11">
        <v>44764.367801412038</v>
      </c>
      <c r="P354" s="11">
        <v>44764.368180092592</v>
      </c>
      <c r="Q354" s="27">
        <v>3.7868055369472131E-4</v>
      </c>
      <c r="R354" s="27">
        <v>1.1163541639689356E-3</v>
      </c>
      <c r="S354" s="2">
        <v>0</v>
      </c>
      <c r="T354" s="2" t="s">
        <v>416</v>
      </c>
      <c r="U354" s="2" t="s">
        <v>417</v>
      </c>
      <c r="V354" s="2" t="s">
        <v>38</v>
      </c>
      <c r="W354" s="2" t="s">
        <v>35</v>
      </c>
      <c r="X354" s="2">
        <v>0</v>
      </c>
      <c r="Y354" s="2" t="s">
        <v>3280</v>
      </c>
      <c r="Z354" s="2" t="b">
        <v>0</v>
      </c>
      <c r="AA354" s="2" t="s">
        <v>35</v>
      </c>
      <c r="AB354" s="2" t="s">
        <v>35</v>
      </c>
      <c r="AC354" s="2" t="s">
        <v>35</v>
      </c>
      <c r="AD354" s="2" t="s">
        <v>35</v>
      </c>
      <c r="AE354" s="2" t="s">
        <v>3248</v>
      </c>
      <c r="AF354" s="11">
        <v>44764.361111053244</v>
      </c>
      <c r="AG354" s="53"/>
      <c r="AH354" s="53" t="b">
        <f t="shared" si="8"/>
        <v>0</v>
      </c>
      <c r="AI354" s="54" t="s">
        <v>9730</v>
      </c>
      <c r="AJ354" s="2"/>
      <c r="AK354" s="2"/>
      <c r="AL354" s="2"/>
      <c r="AM354" s="2"/>
      <c r="AN354" s="2"/>
    </row>
    <row r="355" spans="1:40" ht="16" x14ac:dyDescent="0.2">
      <c r="A355" s="2" t="s">
        <v>3358</v>
      </c>
      <c r="B355" s="2">
        <v>1044</v>
      </c>
      <c r="C355" s="2" t="b">
        <v>0</v>
      </c>
      <c r="D355" s="2" t="b">
        <v>0</v>
      </c>
      <c r="E355" s="2" t="b">
        <v>0</v>
      </c>
      <c r="F355" s="2" t="b">
        <v>0</v>
      </c>
      <c r="G355" s="2" t="s">
        <v>31</v>
      </c>
      <c r="H355" s="2" t="s">
        <v>3359</v>
      </c>
      <c r="I355" s="2" t="s">
        <v>3360</v>
      </c>
      <c r="J355" s="2" t="s">
        <v>3361</v>
      </c>
      <c r="K355" s="2" t="s">
        <v>35</v>
      </c>
      <c r="L355" s="2" t="s">
        <v>35</v>
      </c>
      <c r="M355" s="2" t="s">
        <v>35</v>
      </c>
      <c r="N355" s="2" t="s">
        <v>35</v>
      </c>
      <c r="O355" s="11">
        <v>44764.401865196756</v>
      </c>
      <c r="P355" s="11">
        <v>44764.402162337959</v>
      </c>
      <c r="Q355" s="27">
        <v>2.9714120319113135E-4</v>
      </c>
      <c r="R355" s="27">
        <v>1.8825231454684399E-3</v>
      </c>
      <c r="S355" s="2">
        <v>0</v>
      </c>
      <c r="T355" s="2" t="s">
        <v>416</v>
      </c>
      <c r="U355" s="2" t="s">
        <v>417</v>
      </c>
      <c r="V355" s="2" t="s">
        <v>38</v>
      </c>
      <c r="W355" s="2" t="s">
        <v>35</v>
      </c>
      <c r="X355" s="2">
        <v>0</v>
      </c>
      <c r="Y355" s="2" t="s">
        <v>3362</v>
      </c>
      <c r="Z355" s="2" t="b">
        <v>0</v>
      </c>
      <c r="AA355" s="2" t="s">
        <v>35</v>
      </c>
      <c r="AB355" s="2" t="s">
        <v>35</v>
      </c>
      <c r="AC355" s="2" t="s">
        <v>35</v>
      </c>
      <c r="AD355" s="2" t="s">
        <v>35</v>
      </c>
      <c r="AE355" s="2" t="s">
        <v>3248</v>
      </c>
      <c r="AF355" s="11">
        <v>44764.361111053244</v>
      </c>
      <c r="AG355" s="53"/>
      <c r="AH355" s="53" t="b">
        <f t="shared" si="8"/>
        <v>0</v>
      </c>
      <c r="AI355" s="54" t="s">
        <v>9727</v>
      </c>
      <c r="AJ355" s="2"/>
      <c r="AK355" s="2"/>
      <c r="AL355" s="2"/>
      <c r="AM355" s="2"/>
      <c r="AN355" s="2"/>
    </row>
    <row r="356" spans="1:40" ht="16" x14ac:dyDescent="0.2">
      <c r="A356" s="2" t="s">
        <v>3384</v>
      </c>
      <c r="B356" s="2">
        <v>1052</v>
      </c>
      <c r="C356" s="2" t="b">
        <v>0</v>
      </c>
      <c r="D356" s="2" t="b">
        <v>0</v>
      </c>
      <c r="E356" s="2" t="b">
        <v>0</v>
      </c>
      <c r="F356" s="2" t="b">
        <v>0</v>
      </c>
      <c r="G356" s="2" t="s">
        <v>31</v>
      </c>
      <c r="H356" s="2" t="s">
        <v>3385</v>
      </c>
      <c r="I356" s="2" t="s">
        <v>3386</v>
      </c>
      <c r="J356" s="2" t="s">
        <v>1124</v>
      </c>
      <c r="K356" s="2" t="s">
        <v>35</v>
      </c>
      <c r="L356" s="2" t="s">
        <v>35</v>
      </c>
      <c r="M356" s="2" t="s">
        <v>35</v>
      </c>
      <c r="N356" s="2" t="s">
        <v>35</v>
      </c>
      <c r="O356" s="11">
        <v>44764.425166805559</v>
      </c>
      <c r="P356" s="11">
        <v>44764.425446134257</v>
      </c>
      <c r="Q356" s="27">
        <v>2.7932869852520525E-4</v>
      </c>
      <c r="R356" s="27">
        <v>2.6351851847721264E-3</v>
      </c>
      <c r="S356" s="2">
        <v>0</v>
      </c>
      <c r="T356" s="2" t="s">
        <v>416</v>
      </c>
      <c r="U356" s="2" t="s">
        <v>417</v>
      </c>
      <c r="V356" s="2" t="s">
        <v>38</v>
      </c>
      <c r="W356" s="2" t="s">
        <v>35</v>
      </c>
      <c r="X356" s="2">
        <v>0</v>
      </c>
      <c r="Y356" s="2" t="s">
        <v>3387</v>
      </c>
      <c r="Z356" s="2" t="b">
        <v>0</v>
      </c>
      <c r="AA356" s="2" t="s">
        <v>35</v>
      </c>
      <c r="AB356" s="2" t="s">
        <v>35</v>
      </c>
      <c r="AC356" s="2" t="s">
        <v>35</v>
      </c>
      <c r="AD356" s="2" t="s">
        <v>35</v>
      </c>
      <c r="AE356" s="2" t="s">
        <v>3248</v>
      </c>
      <c r="AF356" s="11">
        <v>44764.361111053244</v>
      </c>
      <c r="AG356" s="53"/>
      <c r="AH356" s="53" t="b">
        <f t="shared" si="8"/>
        <v>0</v>
      </c>
      <c r="AI356" s="54" t="s">
        <v>9725</v>
      </c>
      <c r="AJ356" s="2"/>
      <c r="AK356" s="2"/>
      <c r="AL356" s="2"/>
      <c r="AM356" s="2"/>
      <c r="AN356" s="2"/>
    </row>
    <row r="357" spans="1:40" ht="16" x14ac:dyDescent="0.2">
      <c r="A357" s="2" t="s">
        <v>3427</v>
      </c>
      <c r="B357" s="2">
        <v>1066</v>
      </c>
      <c r="C357" s="2" t="b">
        <v>0</v>
      </c>
      <c r="D357" s="2" t="b">
        <v>0</v>
      </c>
      <c r="E357" s="2" t="b">
        <v>0</v>
      </c>
      <c r="F357" s="2" t="b">
        <v>0</v>
      </c>
      <c r="G357" s="2" t="s">
        <v>31</v>
      </c>
      <c r="H357" s="2" t="s">
        <v>3428</v>
      </c>
      <c r="I357" s="2" t="s">
        <v>3429</v>
      </c>
      <c r="J357" s="2" t="s">
        <v>1124</v>
      </c>
      <c r="K357" s="2" t="s">
        <v>35</v>
      </c>
      <c r="L357" s="2" t="s">
        <v>35</v>
      </c>
      <c r="M357" s="2" t="s">
        <v>35</v>
      </c>
      <c r="N357" s="2" t="s">
        <v>35</v>
      </c>
      <c r="O357" s="11">
        <v>44764.440139664352</v>
      </c>
      <c r="P357" s="11">
        <v>44764.44046460648</v>
      </c>
      <c r="Q357" s="27">
        <v>3.2494212791789323E-4</v>
      </c>
      <c r="R357" s="27">
        <v>4.2822916293516755E-4</v>
      </c>
      <c r="S357" s="2">
        <v>0</v>
      </c>
      <c r="T357" s="2" t="s">
        <v>416</v>
      </c>
      <c r="U357" s="2" t="s">
        <v>417</v>
      </c>
      <c r="V357" s="2" t="s">
        <v>38</v>
      </c>
      <c r="W357" s="2" t="s">
        <v>35</v>
      </c>
      <c r="X357" s="2">
        <v>0</v>
      </c>
      <c r="Y357" s="2" t="s">
        <v>3387</v>
      </c>
      <c r="Z357" s="2" t="b">
        <v>0</v>
      </c>
      <c r="AA357" s="2" t="s">
        <v>35</v>
      </c>
      <c r="AB357" s="2" t="s">
        <v>35</v>
      </c>
      <c r="AC357" s="2" t="s">
        <v>35</v>
      </c>
      <c r="AD357" s="2" t="s">
        <v>35</v>
      </c>
      <c r="AE357" s="2" t="s">
        <v>3248</v>
      </c>
      <c r="AF357" s="11">
        <v>44764.361111053244</v>
      </c>
      <c r="AG357" s="53"/>
      <c r="AH357" s="53" t="b">
        <f t="shared" si="8"/>
        <v>0</v>
      </c>
      <c r="AI357" s="54" t="s">
        <v>9722</v>
      </c>
      <c r="AJ357" s="2"/>
      <c r="AK357" s="2"/>
      <c r="AL357" s="2"/>
      <c r="AM357" s="2"/>
      <c r="AN357" s="2"/>
    </row>
    <row r="358" spans="1:40" ht="16" x14ac:dyDescent="0.2">
      <c r="A358" s="2" t="s">
        <v>3474</v>
      </c>
      <c r="B358" s="2">
        <v>1080</v>
      </c>
      <c r="C358" s="2" t="b">
        <v>0</v>
      </c>
      <c r="D358" s="2" t="b">
        <v>0</v>
      </c>
      <c r="E358" s="2" t="b">
        <v>0</v>
      </c>
      <c r="F358" s="2" t="b">
        <v>0</v>
      </c>
      <c r="G358" s="2" t="s">
        <v>31</v>
      </c>
      <c r="H358" s="2" t="s">
        <v>3475</v>
      </c>
      <c r="I358" s="2" t="s">
        <v>3476</v>
      </c>
      <c r="J358" s="2" t="s">
        <v>1124</v>
      </c>
      <c r="K358" s="2" t="s">
        <v>35</v>
      </c>
      <c r="L358" s="2" t="s">
        <v>35</v>
      </c>
      <c r="M358" s="2" t="s">
        <v>35</v>
      </c>
      <c r="N358" s="2" t="s">
        <v>35</v>
      </c>
      <c r="O358" s="11">
        <v>44764.457558935188</v>
      </c>
      <c r="P358" s="11">
        <v>44764.457944849535</v>
      </c>
      <c r="Q358" s="27">
        <v>3.8591434713453054E-4</v>
      </c>
      <c r="R358" s="27">
        <v>3.4725578661891632E-3</v>
      </c>
      <c r="S358" s="2">
        <v>0</v>
      </c>
      <c r="T358" s="2" t="s">
        <v>416</v>
      </c>
      <c r="U358" s="2" t="s">
        <v>417</v>
      </c>
      <c r="V358" s="2" t="s">
        <v>38</v>
      </c>
      <c r="W358" s="2" t="s">
        <v>35</v>
      </c>
      <c r="X358" s="2">
        <v>0</v>
      </c>
      <c r="Y358" s="2" t="s">
        <v>3387</v>
      </c>
      <c r="Z358" s="2" t="b">
        <v>0</v>
      </c>
      <c r="AA358" s="2" t="s">
        <v>35</v>
      </c>
      <c r="AB358" s="2" t="s">
        <v>35</v>
      </c>
      <c r="AC358" s="2" t="s">
        <v>35</v>
      </c>
      <c r="AD358" s="2" t="s">
        <v>35</v>
      </c>
      <c r="AE358" s="2" t="s">
        <v>3248</v>
      </c>
      <c r="AF358" s="11">
        <v>44764.361111053244</v>
      </c>
      <c r="AG358" s="53"/>
      <c r="AH358" s="53" t="b">
        <f t="shared" si="8"/>
        <v>0</v>
      </c>
      <c r="AI358" s="54" t="s">
        <v>9719</v>
      </c>
      <c r="AJ358" s="2"/>
      <c r="AK358" s="2"/>
      <c r="AL358" s="2"/>
      <c r="AM358" s="2"/>
      <c r="AN358" s="2"/>
    </row>
    <row r="359" spans="1:40" ht="16" x14ac:dyDescent="0.2">
      <c r="A359" s="2" t="s">
        <v>3600</v>
      </c>
      <c r="B359" s="2">
        <v>1119</v>
      </c>
      <c r="C359" s="2" t="b">
        <v>0</v>
      </c>
      <c r="D359" s="2" t="b">
        <v>0</v>
      </c>
      <c r="E359" s="2" t="b">
        <v>0</v>
      </c>
      <c r="F359" s="2" t="b">
        <v>0</v>
      </c>
      <c r="G359" s="2" t="s">
        <v>31</v>
      </c>
      <c r="H359" s="2" t="s">
        <v>3601</v>
      </c>
      <c r="I359" s="2" t="s">
        <v>3602</v>
      </c>
      <c r="J359" s="2" t="s">
        <v>3603</v>
      </c>
      <c r="K359" s="2" t="s">
        <v>35</v>
      </c>
      <c r="L359" s="2" t="s">
        <v>35</v>
      </c>
      <c r="M359" s="2" t="s">
        <v>35</v>
      </c>
      <c r="N359" s="2" t="s">
        <v>35</v>
      </c>
      <c r="O359" s="11">
        <v>44769.425794212963</v>
      </c>
      <c r="P359" s="11">
        <v>44769.426277025465</v>
      </c>
      <c r="Q359" s="27">
        <v>4.8281250201398507E-4</v>
      </c>
      <c r="R359" s="27">
        <v>1.0504629681236111E-3</v>
      </c>
      <c r="S359" s="2">
        <v>0</v>
      </c>
      <c r="T359" s="2" t="s">
        <v>416</v>
      </c>
      <c r="U359" s="2" t="s">
        <v>417</v>
      </c>
      <c r="V359" s="2" t="s">
        <v>38</v>
      </c>
      <c r="W359" s="2" t="s">
        <v>35</v>
      </c>
      <c r="X359" s="2">
        <v>0</v>
      </c>
      <c r="Y359" s="2" t="s">
        <v>3604</v>
      </c>
      <c r="Z359" s="2" t="b">
        <v>0</v>
      </c>
      <c r="AA359" s="2" t="s">
        <v>35</v>
      </c>
      <c r="AB359" s="2" t="s">
        <v>35</v>
      </c>
      <c r="AC359" s="2" t="s">
        <v>35</v>
      </c>
      <c r="AD359" s="2" t="s">
        <v>35</v>
      </c>
      <c r="AE359" s="2" t="s">
        <v>2840</v>
      </c>
      <c r="AF359" s="11">
        <v>44769.384722222225</v>
      </c>
      <c r="AG359" s="53"/>
      <c r="AH359" s="53" t="b">
        <f t="shared" si="8"/>
        <v>0</v>
      </c>
      <c r="AI359" s="54" t="s">
        <v>9717</v>
      </c>
      <c r="AJ359" s="2"/>
      <c r="AK359" s="2"/>
      <c r="AL359" s="2"/>
      <c r="AM359" s="2"/>
      <c r="AN359" s="2"/>
    </row>
    <row r="360" spans="1:40" ht="16" x14ac:dyDescent="0.2">
      <c r="A360" s="2" t="s">
        <v>2001</v>
      </c>
      <c r="B360" s="2">
        <v>621</v>
      </c>
      <c r="C360" s="2" t="b">
        <v>0</v>
      </c>
      <c r="D360" s="2" t="b">
        <v>0</v>
      </c>
      <c r="E360" s="2" t="b">
        <v>0</v>
      </c>
      <c r="F360" s="2" t="b">
        <v>0</v>
      </c>
      <c r="G360" s="2" t="s">
        <v>31</v>
      </c>
      <c r="H360" s="2" t="s">
        <v>2002</v>
      </c>
      <c r="I360" s="2" t="s">
        <v>2003</v>
      </c>
      <c r="J360" s="2" t="s">
        <v>2004</v>
      </c>
      <c r="K360" s="2" t="s">
        <v>35</v>
      </c>
      <c r="L360" s="2" t="s">
        <v>35</v>
      </c>
      <c r="M360" s="2" t="s">
        <v>35</v>
      </c>
      <c r="N360" s="2" t="s">
        <v>35</v>
      </c>
      <c r="O360" s="11">
        <v>44748.716172060187</v>
      </c>
      <c r="P360" s="11">
        <v>44748.717095081018</v>
      </c>
      <c r="Q360" s="27">
        <v>9.2592592592592585E-4</v>
      </c>
      <c r="R360" s="27">
        <v>1.7708333333333332E-3</v>
      </c>
      <c r="S360" s="2">
        <v>0</v>
      </c>
      <c r="T360" s="2" t="s">
        <v>2005</v>
      </c>
      <c r="U360" s="2" t="s">
        <v>2006</v>
      </c>
      <c r="V360" s="2" t="s">
        <v>38</v>
      </c>
      <c r="W360" s="2" t="s">
        <v>35</v>
      </c>
      <c r="X360" s="2">
        <v>20</v>
      </c>
      <c r="Y360" s="2" t="s">
        <v>35</v>
      </c>
      <c r="Z360" s="2" t="b">
        <v>0</v>
      </c>
      <c r="AA360" s="2" t="s">
        <v>35</v>
      </c>
      <c r="AB360" s="2" t="s">
        <v>35</v>
      </c>
      <c r="AC360" s="2" t="s">
        <v>35</v>
      </c>
      <c r="AD360" s="2" t="s">
        <v>35</v>
      </c>
      <c r="AE360" s="2" t="s">
        <v>1945</v>
      </c>
      <c r="AF360" s="11">
        <v>44748.697222222225</v>
      </c>
      <c r="AG360" s="53"/>
      <c r="AH360" s="53" t="b">
        <f>IF(Q360&lt;TIME(0,0,5),"TRUE")</f>
        <v>0</v>
      </c>
      <c r="AI360" s="115" t="s">
        <v>11099</v>
      </c>
      <c r="AJ360" s="2"/>
      <c r="AK360" s="2"/>
      <c r="AL360" s="2"/>
      <c r="AM360" s="2"/>
      <c r="AN360" s="2"/>
    </row>
    <row r="361" spans="1:40" ht="16" x14ac:dyDescent="0.2">
      <c r="A361" s="2" t="s">
        <v>2007</v>
      </c>
      <c r="B361" s="2">
        <v>622</v>
      </c>
      <c r="C361" s="2" t="b">
        <v>0</v>
      </c>
      <c r="D361" s="2" t="b">
        <v>0</v>
      </c>
      <c r="E361" s="2" t="b">
        <v>0</v>
      </c>
      <c r="F361" s="2" t="b">
        <v>0</v>
      </c>
      <c r="G361" s="2" t="s">
        <v>31</v>
      </c>
      <c r="H361" s="2" t="s">
        <v>2008</v>
      </c>
      <c r="I361" s="2" t="s">
        <v>2009</v>
      </c>
      <c r="J361" s="2" t="s">
        <v>2010</v>
      </c>
      <c r="K361" s="2" t="s">
        <v>35</v>
      </c>
      <c r="L361" s="2" t="s">
        <v>35</v>
      </c>
      <c r="M361" s="2" t="s">
        <v>35</v>
      </c>
      <c r="N361" s="2" t="s">
        <v>35</v>
      </c>
      <c r="O361" s="11">
        <v>44748.717122141206</v>
      </c>
      <c r="P361" s="11">
        <v>44748.7180528588</v>
      </c>
      <c r="Q361" s="27">
        <v>9.2592592592592585E-4</v>
      </c>
      <c r="R361" s="27">
        <v>9.6064814814814808E-4</v>
      </c>
      <c r="S361" s="2">
        <v>0</v>
      </c>
      <c r="T361" s="2" t="s">
        <v>2005</v>
      </c>
      <c r="U361" s="2" t="s">
        <v>2006</v>
      </c>
      <c r="V361" s="2" t="s">
        <v>38</v>
      </c>
      <c r="W361" s="2" t="s">
        <v>35</v>
      </c>
      <c r="X361" s="2">
        <v>120</v>
      </c>
      <c r="Y361" s="2" t="s">
        <v>35</v>
      </c>
      <c r="Z361" s="2" t="b">
        <v>0</v>
      </c>
      <c r="AA361" s="2" t="s">
        <v>35</v>
      </c>
      <c r="AB361" s="2" t="s">
        <v>35</v>
      </c>
      <c r="AC361" s="2" t="s">
        <v>35</v>
      </c>
      <c r="AD361" s="2" t="s">
        <v>35</v>
      </c>
      <c r="AE361" s="2" t="s">
        <v>1945</v>
      </c>
      <c r="AF361" s="11">
        <v>44748.697222222225</v>
      </c>
      <c r="AG361" s="53" t="s">
        <v>9442</v>
      </c>
      <c r="AH361" s="53" t="b">
        <f>IF(Q361&lt;TIME(0,0,5),"TRUE")</f>
        <v>0</v>
      </c>
      <c r="AI361" s="116" t="s">
        <v>11100</v>
      </c>
      <c r="AJ361" s="2"/>
      <c r="AK361" s="2"/>
      <c r="AL361" s="2"/>
      <c r="AM361" s="2"/>
      <c r="AN361" s="2"/>
    </row>
    <row r="362" spans="1:40" ht="16" x14ac:dyDescent="0.2">
      <c r="A362" s="31" t="s">
        <v>105</v>
      </c>
      <c r="B362" s="31">
        <v>19</v>
      </c>
      <c r="C362" s="31" t="b">
        <v>0</v>
      </c>
      <c r="D362" s="31" t="b">
        <v>0</v>
      </c>
      <c r="E362" s="31" t="b">
        <v>0</v>
      </c>
      <c r="F362" s="31" t="b">
        <v>0</v>
      </c>
      <c r="G362" s="31" t="s">
        <v>31</v>
      </c>
      <c r="H362" s="31" t="s">
        <v>106</v>
      </c>
      <c r="I362" s="31" t="s">
        <v>107</v>
      </c>
      <c r="J362" s="31" t="s">
        <v>108</v>
      </c>
      <c r="K362" s="31" t="s">
        <v>35</v>
      </c>
      <c r="L362" s="31" t="s">
        <v>35</v>
      </c>
      <c r="M362" s="31" t="s">
        <v>35</v>
      </c>
      <c r="N362" s="31" t="s">
        <v>35</v>
      </c>
      <c r="O362" s="32">
        <v>44722.686140821759</v>
      </c>
      <c r="P362" s="32">
        <v>44722.686877743057</v>
      </c>
      <c r="Q362" s="30">
        <v>7.3692129808478057E-4</v>
      </c>
      <c r="R362" s="30">
        <v>7.0285185211105272E-3</v>
      </c>
      <c r="S362" s="31">
        <v>0</v>
      </c>
      <c r="T362" s="31" t="s">
        <v>109</v>
      </c>
      <c r="U362" s="31" t="s">
        <v>110</v>
      </c>
      <c r="V362" s="31" t="s">
        <v>38</v>
      </c>
      <c r="W362" s="31" t="s">
        <v>35</v>
      </c>
      <c r="X362" s="31">
        <v>100</v>
      </c>
      <c r="Y362" s="31" t="s">
        <v>35</v>
      </c>
      <c r="Z362" s="31" t="b">
        <v>0</v>
      </c>
      <c r="AA362" s="31" t="s">
        <v>35</v>
      </c>
      <c r="AB362" s="31" t="s">
        <v>35</v>
      </c>
      <c r="AC362" s="31" t="s">
        <v>35</v>
      </c>
      <c r="AD362" s="31" t="s">
        <v>35</v>
      </c>
      <c r="AE362" s="31" t="s">
        <v>39</v>
      </c>
      <c r="AF362" s="32">
        <v>44722.609722222223</v>
      </c>
      <c r="AG362" s="55"/>
      <c r="AH362" s="53" t="b">
        <f t="shared" ref="AH362:AH393" si="9">IF(Q362&gt;TIME(0,1,26),"TRUE")</f>
        <v>0</v>
      </c>
      <c r="AI362" s="62" t="s">
        <v>9647</v>
      </c>
      <c r="AJ362" s="31"/>
      <c r="AK362" s="31"/>
      <c r="AL362" s="31"/>
      <c r="AM362" s="31"/>
      <c r="AN362" s="31"/>
    </row>
    <row r="363" spans="1:40" ht="80" x14ac:dyDescent="0.2">
      <c r="A363" s="2" t="s">
        <v>111</v>
      </c>
      <c r="B363" s="2">
        <v>20</v>
      </c>
      <c r="C363" s="2" t="b">
        <v>0</v>
      </c>
      <c r="D363" s="2" t="b">
        <v>0</v>
      </c>
      <c r="E363" s="2" t="b">
        <v>0</v>
      </c>
      <c r="F363" s="2" t="b">
        <v>0</v>
      </c>
      <c r="G363" s="2" t="s">
        <v>31</v>
      </c>
      <c r="H363" s="2" t="s">
        <v>112</v>
      </c>
      <c r="I363" s="2" t="s">
        <v>113</v>
      </c>
      <c r="J363" s="2" t="s">
        <v>114</v>
      </c>
      <c r="K363" s="2" t="s">
        <v>35</v>
      </c>
      <c r="L363" s="2" t="s">
        <v>35</v>
      </c>
      <c r="M363" s="2" t="s">
        <v>35</v>
      </c>
      <c r="N363" s="2" t="s">
        <v>35</v>
      </c>
      <c r="O363" s="11">
        <v>44725.660694247686</v>
      </c>
      <c r="P363" s="11">
        <v>44725.660916736109</v>
      </c>
      <c r="Q363" s="27">
        <v>2.2248842287808657E-4</v>
      </c>
      <c r="R363" s="27">
        <v>6.7500694422051311E-3</v>
      </c>
      <c r="S363" s="2">
        <v>0</v>
      </c>
      <c r="T363" s="2" t="s">
        <v>109</v>
      </c>
      <c r="U363" s="2" t="s">
        <v>110</v>
      </c>
      <c r="V363" s="2" t="s">
        <v>38</v>
      </c>
      <c r="W363" s="2" t="s">
        <v>35</v>
      </c>
      <c r="X363" s="2">
        <v>0</v>
      </c>
      <c r="Y363" s="2" t="s">
        <v>35</v>
      </c>
      <c r="Z363" s="2" t="b">
        <v>0</v>
      </c>
      <c r="AA363" s="2" t="s">
        <v>35</v>
      </c>
      <c r="AB363" s="2" t="s">
        <v>35</v>
      </c>
      <c r="AC363" s="2" t="s">
        <v>35</v>
      </c>
      <c r="AD363" s="2" t="s">
        <v>35</v>
      </c>
      <c r="AE363" s="2" t="s">
        <v>115</v>
      </c>
      <c r="AF363" s="11">
        <v>44725.654166666667</v>
      </c>
      <c r="AG363" s="53" t="s">
        <v>9412</v>
      </c>
      <c r="AH363" s="53" t="b">
        <f t="shared" si="9"/>
        <v>0</v>
      </c>
      <c r="AI363" s="54" t="s">
        <v>10132</v>
      </c>
      <c r="AJ363" s="2"/>
      <c r="AK363" s="2"/>
      <c r="AL363" s="2"/>
      <c r="AM363" s="2"/>
      <c r="AN363" s="2"/>
    </row>
    <row r="364" spans="1:40" ht="16" x14ac:dyDescent="0.2">
      <c r="A364" s="2" t="s">
        <v>116</v>
      </c>
      <c r="B364" s="2">
        <v>21</v>
      </c>
      <c r="C364" s="2" t="b">
        <v>0</v>
      </c>
      <c r="D364" s="2" t="b">
        <v>0</v>
      </c>
      <c r="E364" s="2" t="b">
        <v>0</v>
      </c>
      <c r="F364" s="2" t="b">
        <v>0</v>
      </c>
      <c r="G364" s="2" t="s">
        <v>31</v>
      </c>
      <c r="H364" s="2" t="s">
        <v>117</v>
      </c>
      <c r="I364" s="2" t="s">
        <v>118</v>
      </c>
      <c r="J364" s="2" t="s">
        <v>119</v>
      </c>
      <c r="K364" s="2" t="s">
        <v>35</v>
      </c>
      <c r="L364" s="2" t="s">
        <v>35</v>
      </c>
      <c r="M364" s="2" t="s">
        <v>35</v>
      </c>
      <c r="N364" s="2" t="s">
        <v>35</v>
      </c>
      <c r="O364" s="11">
        <v>44725.662370381942</v>
      </c>
      <c r="P364" s="11">
        <v>44725.662850092594</v>
      </c>
      <c r="Q364" s="27">
        <v>4.7971065214369446E-4</v>
      </c>
      <c r="R364" s="27">
        <v>1.9333564850967377E-3</v>
      </c>
      <c r="S364" s="2">
        <v>0</v>
      </c>
      <c r="T364" s="2" t="s">
        <v>109</v>
      </c>
      <c r="U364" s="2" t="s">
        <v>110</v>
      </c>
      <c r="V364" s="2" t="s">
        <v>38</v>
      </c>
      <c r="W364" s="2" t="s">
        <v>35</v>
      </c>
      <c r="X364" s="2">
        <v>0</v>
      </c>
      <c r="Y364" s="2" t="s">
        <v>35</v>
      </c>
      <c r="Z364" s="2" t="b">
        <v>0</v>
      </c>
      <c r="AA364" s="2" t="s">
        <v>35</v>
      </c>
      <c r="AB364" s="2" t="s">
        <v>35</v>
      </c>
      <c r="AC364" s="2" t="s">
        <v>35</v>
      </c>
      <c r="AD364" s="2" t="s">
        <v>35</v>
      </c>
      <c r="AE364" s="2" t="s">
        <v>115</v>
      </c>
      <c r="AF364" s="11">
        <v>44725.654166666667</v>
      </c>
      <c r="AG364" s="53"/>
      <c r="AH364" s="53" t="b">
        <f t="shared" si="9"/>
        <v>0</v>
      </c>
      <c r="AI364" s="54" t="s">
        <v>10133</v>
      </c>
      <c r="AJ364" s="2"/>
      <c r="AK364" s="2"/>
      <c r="AL364" s="2"/>
      <c r="AM364" s="2"/>
      <c r="AN364" s="2"/>
    </row>
    <row r="365" spans="1:40" ht="16" x14ac:dyDescent="0.2">
      <c r="A365" s="31" t="s">
        <v>175</v>
      </c>
      <c r="B365" s="31">
        <v>38</v>
      </c>
      <c r="C365" s="31" t="b">
        <v>0</v>
      </c>
      <c r="D365" s="31" t="b">
        <v>0</v>
      </c>
      <c r="E365" s="31" t="b">
        <v>0</v>
      </c>
      <c r="F365" s="31" t="b">
        <v>0</v>
      </c>
      <c r="G365" s="31" t="s">
        <v>31</v>
      </c>
      <c r="H365" s="31" t="s">
        <v>176</v>
      </c>
      <c r="I365" s="31" t="s">
        <v>177</v>
      </c>
      <c r="J365" s="31" t="s">
        <v>119</v>
      </c>
      <c r="K365" s="31" t="s">
        <v>35</v>
      </c>
      <c r="L365" s="31" t="s">
        <v>35</v>
      </c>
      <c r="M365" s="31" t="s">
        <v>35</v>
      </c>
      <c r="N365" s="31" t="s">
        <v>35</v>
      </c>
      <c r="O365" s="32">
        <v>44725.723029386572</v>
      </c>
      <c r="P365" s="32">
        <v>44725.723318819444</v>
      </c>
      <c r="Q365" s="30">
        <v>2.8943287179572508E-4</v>
      </c>
      <c r="R365" s="30">
        <v>1.0342361107177567E-2</v>
      </c>
      <c r="S365" s="31">
        <v>0</v>
      </c>
      <c r="T365" s="31" t="s">
        <v>109</v>
      </c>
      <c r="U365" s="31" t="s">
        <v>110</v>
      </c>
      <c r="V365" s="31" t="s">
        <v>38</v>
      </c>
      <c r="W365" s="31" t="s">
        <v>35</v>
      </c>
      <c r="X365" s="31">
        <v>0</v>
      </c>
      <c r="Y365" s="31" t="s">
        <v>35</v>
      </c>
      <c r="Z365" s="31" t="b">
        <v>0</v>
      </c>
      <c r="AA365" s="31" t="s">
        <v>35</v>
      </c>
      <c r="AB365" s="31" t="s">
        <v>35</v>
      </c>
      <c r="AC365" s="31" t="s">
        <v>35</v>
      </c>
      <c r="AD365" s="31" t="s">
        <v>35</v>
      </c>
      <c r="AE365" s="31" t="s">
        <v>115</v>
      </c>
      <c r="AF365" s="32">
        <v>44725.654166666667</v>
      </c>
      <c r="AG365" s="55" t="s">
        <v>9408</v>
      </c>
      <c r="AH365" s="53" t="b">
        <f t="shared" si="9"/>
        <v>0</v>
      </c>
      <c r="AI365" s="62" t="s">
        <v>9645</v>
      </c>
      <c r="AJ365" s="31"/>
      <c r="AK365" s="31"/>
      <c r="AL365" s="31"/>
      <c r="AM365" s="31"/>
      <c r="AN365" s="31"/>
    </row>
    <row r="366" spans="1:40" ht="16" x14ac:dyDescent="0.2">
      <c r="A366" s="31" t="s">
        <v>197</v>
      </c>
      <c r="B366" s="31">
        <v>45</v>
      </c>
      <c r="C366" s="31" t="b">
        <v>0</v>
      </c>
      <c r="D366" s="31" t="b">
        <v>0</v>
      </c>
      <c r="E366" s="31" t="b">
        <v>0</v>
      </c>
      <c r="F366" s="31" t="b">
        <v>0</v>
      </c>
      <c r="G366" s="31" t="s">
        <v>31</v>
      </c>
      <c r="H366" s="31" t="s">
        <v>198</v>
      </c>
      <c r="I366" s="31" t="s">
        <v>199</v>
      </c>
      <c r="J366" s="31" t="s">
        <v>119</v>
      </c>
      <c r="K366" s="31" t="s">
        <v>35</v>
      </c>
      <c r="L366" s="31" t="s">
        <v>35</v>
      </c>
      <c r="M366" s="31" t="s">
        <v>35</v>
      </c>
      <c r="N366" s="31" t="s">
        <v>35</v>
      </c>
      <c r="O366" s="32">
        <v>44725.750272384263</v>
      </c>
      <c r="P366" s="32">
        <v>44725.750517141205</v>
      </c>
      <c r="Q366" s="30">
        <v>2.4475694226566702E-4</v>
      </c>
      <c r="R366" s="30">
        <v>9.0987268558819778E-3</v>
      </c>
      <c r="S366" s="31">
        <v>0</v>
      </c>
      <c r="T366" s="31" t="s">
        <v>109</v>
      </c>
      <c r="U366" s="31" t="s">
        <v>110</v>
      </c>
      <c r="V366" s="31" t="s">
        <v>38</v>
      </c>
      <c r="W366" s="31" t="s">
        <v>35</v>
      </c>
      <c r="X366" s="31">
        <v>0</v>
      </c>
      <c r="Y366" s="31" t="s">
        <v>35</v>
      </c>
      <c r="Z366" s="31" t="b">
        <v>0</v>
      </c>
      <c r="AA366" s="31" t="s">
        <v>35</v>
      </c>
      <c r="AB366" s="31" t="s">
        <v>35</v>
      </c>
      <c r="AC366" s="31" t="s">
        <v>35</v>
      </c>
      <c r="AD366" s="31" t="s">
        <v>35</v>
      </c>
      <c r="AE366" s="31" t="s">
        <v>115</v>
      </c>
      <c r="AF366" s="32">
        <v>44725.654166666667</v>
      </c>
      <c r="AG366" s="55" t="s">
        <v>9408</v>
      </c>
      <c r="AH366" s="53" t="b">
        <f t="shared" si="9"/>
        <v>0</v>
      </c>
      <c r="AI366" s="62" t="s">
        <v>10134</v>
      </c>
      <c r="AJ366" s="31"/>
      <c r="AK366" s="31"/>
      <c r="AL366" s="31"/>
      <c r="AM366" s="31"/>
      <c r="AN366" s="31"/>
    </row>
    <row r="367" spans="1:40" ht="16" x14ac:dyDescent="0.2">
      <c r="A367" s="2" t="s">
        <v>225</v>
      </c>
      <c r="B367" s="2">
        <v>55</v>
      </c>
      <c r="C367" s="2" t="b">
        <v>0</v>
      </c>
      <c r="D367" s="2" t="b">
        <v>0</v>
      </c>
      <c r="E367" s="2" t="b">
        <v>0</v>
      </c>
      <c r="F367" s="2" t="b">
        <v>0</v>
      </c>
      <c r="G367" s="2" t="s">
        <v>31</v>
      </c>
      <c r="H367" s="2" t="s">
        <v>226</v>
      </c>
      <c r="I367" s="2" t="s">
        <v>227</v>
      </c>
      <c r="J367" s="2" t="s">
        <v>35</v>
      </c>
      <c r="K367" s="2" t="s">
        <v>35</v>
      </c>
      <c r="L367" s="2" t="s">
        <v>35</v>
      </c>
      <c r="M367" s="2" t="s">
        <v>35</v>
      </c>
      <c r="N367" s="2" t="s">
        <v>35</v>
      </c>
      <c r="O367" s="11">
        <v>44729.674743981479</v>
      </c>
      <c r="P367" s="11">
        <v>44729.675521087964</v>
      </c>
      <c r="Q367" s="27">
        <v>7.7710648474749178E-4</v>
      </c>
      <c r="R367" s="27">
        <v>1.9832175967167132E-3</v>
      </c>
      <c r="S367" s="2">
        <v>0</v>
      </c>
      <c r="T367" s="2" t="s">
        <v>109</v>
      </c>
      <c r="U367" s="2" t="s">
        <v>110</v>
      </c>
      <c r="V367" s="2" t="s">
        <v>38</v>
      </c>
      <c r="W367" s="2" t="s">
        <v>35</v>
      </c>
      <c r="X367" s="2">
        <v>0</v>
      </c>
      <c r="Y367" s="2" t="s">
        <v>228</v>
      </c>
      <c r="Z367" s="2" t="b">
        <v>0</v>
      </c>
      <c r="AA367" s="2" t="s">
        <v>35</v>
      </c>
      <c r="AB367" s="2" t="s">
        <v>35</v>
      </c>
      <c r="AC367" s="2" t="s">
        <v>35</v>
      </c>
      <c r="AD367" s="2" t="s">
        <v>35</v>
      </c>
      <c r="AE367" s="2" t="s">
        <v>207</v>
      </c>
      <c r="AF367" s="11">
        <v>44729.65</v>
      </c>
      <c r="AG367" s="53"/>
      <c r="AH367" s="53" t="b">
        <f t="shared" si="9"/>
        <v>0</v>
      </c>
      <c r="AI367" s="54" t="s">
        <v>10137</v>
      </c>
      <c r="AJ367" s="2" t="s">
        <v>10135</v>
      </c>
      <c r="AK367" s="2" t="s">
        <v>10136</v>
      </c>
      <c r="AL367" s="2"/>
      <c r="AM367" s="2"/>
      <c r="AN367" s="2"/>
    </row>
    <row r="368" spans="1:40" ht="16" x14ac:dyDescent="0.2">
      <c r="A368" s="2" t="s">
        <v>304</v>
      </c>
      <c r="B368" s="2">
        <v>80</v>
      </c>
      <c r="C368" s="2" t="b">
        <v>0</v>
      </c>
      <c r="D368" s="2" t="b">
        <v>0</v>
      </c>
      <c r="E368" s="2" t="b">
        <v>0</v>
      </c>
      <c r="F368" s="2" t="b">
        <v>0</v>
      </c>
      <c r="G368" s="2" t="s">
        <v>31</v>
      </c>
      <c r="H368" s="2" t="s">
        <v>305</v>
      </c>
      <c r="I368" s="2" t="s">
        <v>306</v>
      </c>
      <c r="J368" s="2" t="s">
        <v>274</v>
      </c>
      <c r="K368" s="2" t="s">
        <v>35</v>
      </c>
      <c r="L368" s="2" t="s">
        <v>35</v>
      </c>
      <c r="M368" s="2" t="s">
        <v>35</v>
      </c>
      <c r="N368" s="2" t="s">
        <v>35</v>
      </c>
      <c r="O368" s="11">
        <v>44735.406863703705</v>
      </c>
      <c r="P368" s="11">
        <v>44735.407190497688</v>
      </c>
      <c r="Q368" s="27">
        <v>3.2679398282198235E-4</v>
      </c>
      <c r="R368" s="27">
        <v>9.4049768813420087E-4</v>
      </c>
      <c r="S368" s="2">
        <v>0</v>
      </c>
      <c r="T368" s="2" t="s">
        <v>109</v>
      </c>
      <c r="U368" s="2" t="s">
        <v>110</v>
      </c>
      <c r="V368" s="2" t="s">
        <v>38</v>
      </c>
      <c r="W368" s="2" t="s">
        <v>35</v>
      </c>
      <c r="X368" s="2">
        <v>110</v>
      </c>
      <c r="Y368" s="2" t="s">
        <v>35</v>
      </c>
      <c r="Z368" s="2" t="b">
        <v>0</v>
      </c>
      <c r="AA368" s="2" t="s">
        <v>35</v>
      </c>
      <c r="AB368" s="2" t="s">
        <v>35</v>
      </c>
      <c r="AC368" s="2" t="s">
        <v>35</v>
      </c>
      <c r="AD368" s="2" t="s">
        <v>35</v>
      </c>
      <c r="AE368" s="2" t="s">
        <v>207</v>
      </c>
      <c r="AF368" s="11">
        <v>44735.40625</v>
      </c>
      <c r="AG368" s="53"/>
      <c r="AH368" s="53" t="b">
        <f t="shared" si="9"/>
        <v>0</v>
      </c>
      <c r="AI368" s="54" t="s">
        <v>9644</v>
      </c>
      <c r="AJ368" s="2"/>
      <c r="AK368" s="2"/>
      <c r="AL368" s="2"/>
      <c r="AM368" s="2"/>
      <c r="AN368" s="2"/>
    </row>
    <row r="369" spans="1:40" ht="16" x14ac:dyDescent="0.2">
      <c r="A369" s="2" t="s">
        <v>439</v>
      </c>
      <c r="B369" s="2">
        <v>123</v>
      </c>
      <c r="C369" s="2" t="b">
        <v>0</v>
      </c>
      <c r="D369" s="2" t="b">
        <v>0</v>
      </c>
      <c r="E369" s="2" t="b">
        <v>0</v>
      </c>
      <c r="F369" s="2" t="b">
        <v>0</v>
      </c>
      <c r="G369" s="2" t="s">
        <v>31</v>
      </c>
      <c r="H369" s="2" t="s">
        <v>440</v>
      </c>
      <c r="I369" s="2" t="s">
        <v>441</v>
      </c>
      <c r="J369" s="2" t="s">
        <v>442</v>
      </c>
      <c r="K369" s="2" t="s">
        <v>35</v>
      </c>
      <c r="L369" s="2" t="s">
        <v>35</v>
      </c>
      <c r="M369" s="2" t="s">
        <v>35</v>
      </c>
      <c r="N369" s="2" t="s">
        <v>35</v>
      </c>
      <c r="O369" s="11">
        <v>44735.511027650464</v>
      </c>
      <c r="P369" s="11">
        <v>44735.511413715278</v>
      </c>
      <c r="Q369" s="27">
        <v>3.8606481393799186E-4</v>
      </c>
      <c r="R369" s="27">
        <v>6.9094907667022198E-4</v>
      </c>
      <c r="S369" s="2">
        <v>0</v>
      </c>
      <c r="T369" s="2" t="s">
        <v>109</v>
      </c>
      <c r="U369" s="2" t="s">
        <v>110</v>
      </c>
      <c r="V369" s="2" t="s">
        <v>38</v>
      </c>
      <c r="W369" s="2" t="s">
        <v>35</v>
      </c>
      <c r="X369" s="2">
        <v>100</v>
      </c>
      <c r="Y369" s="2" t="s">
        <v>438</v>
      </c>
      <c r="Z369" s="2" t="b">
        <v>0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2" t="s">
        <v>207</v>
      </c>
      <c r="AF369" s="11">
        <v>44735.40625</v>
      </c>
      <c r="AG369" s="53"/>
      <c r="AH369" s="53" t="b">
        <f t="shared" si="9"/>
        <v>0</v>
      </c>
      <c r="AI369" s="54" t="s">
        <v>10138</v>
      </c>
      <c r="AJ369" s="2"/>
      <c r="AK369" s="2"/>
      <c r="AL369" s="2"/>
      <c r="AM369" s="2"/>
      <c r="AN369" s="2"/>
    </row>
    <row r="370" spans="1:40" ht="16" x14ac:dyDescent="0.2">
      <c r="A370" s="2" t="s">
        <v>472</v>
      </c>
      <c r="B370" s="2">
        <v>134</v>
      </c>
      <c r="C370" s="2" t="b">
        <v>0</v>
      </c>
      <c r="D370" s="2" t="b">
        <v>0</v>
      </c>
      <c r="E370" s="2" t="b">
        <v>0</v>
      </c>
      <c r="F370" s="2" t="b">
        <v>0</v>
      </c>
      <c r="G370" s="2" t="s">
        <v>31</v>
      </c>
      <c r="H370" s="2" t="s">
        <v>473</v>
      </c>
      <c r="I370" s="2" t="s">
        <v>474</v>
      </c>
      <c r="J370" s="2" t="s">
        <v>475</v>
      </c>
      <c r="K370" s="2" t="s">
        <v>35</v>
      </c>
      <c r="L370" s="2" t="s">
        <v>35</v>
      </c>
      <c r="M370" s="2" t="s">
        <v>35</v>
      </c>
      <c r="N370" s="2" t="s">
        <v>35</v>
      </c>
      <c r="O370" s="11">
        <v>44735.52940097222</v>
      </c>
      <c r="P370" s="11">
        <v>44735.53016415509</v>
      </c>
      <c r="Q370" s="27">
        <v>7.6318287028698251E-4</v>
      </c>
      <c r="R370" s="27">
        <v>1.2530671301647089E-3</v>
      </c>
      <c r="S370" s="2">
        <v>0</v>
      </c>
      <c r="T370" s="2" t="s">
        <v>109</v>
      </c>
      <c r="U370" s="2" t="s">
        <v>110</v>
      </c>
      <c r="V370" s="2" t="s">
        <v>38</v>
      </c>
      <c r="W370" s="2" t="s">
        <v>35</v>
      </c>
      <c r="X370" s="2">
        <v>80</v>
      </c>
      <c r="Y370" s="2" t="s">
        <v>438</v>
      </c>
      <c r="Z370" s="2" t="b">
        <v>0</v>
      </c>
      <c r="AA370" s="2" t="s">
        <v>35</v>
      </c>
      <c r="AB370" s="2" t="s">
        <v>35</v>
      </c>
      <c r="AC370" s="2" t="s">
        <v>35</v>
      </c>
      <c r="AD370" s="2" t="s">
        <v>35</v>
      </c>
      <c r="AE370" s="2" t="s">
        <v>207</v>
      </c>
      <c r="AF370" s="11">
        <v>44735.40625</v>
      </c>
      <c r="AG370" s="53"/>
      <c r="AH370" s="53" t="b">
        <f t="shared" si="9"/>
        <v>0</v>
      </c>
      <c r="AI370" s="54" t="s">
        <v>10139</v>
      </c>
      <c r="AJ370" s="2"/>
      <c r="AK370" s="2"/>
      <c r="AL370" s="2"/>
      <c r="AM370" s="2"/>
      <c r="AN370" s="2"/>
    </row>
    <row r="371" spans="1:40" ht="16" x14ac:dyDescent="0.2">
      <c r="A371" s="2" t="s">
        <v>476</v>
      </c>
      <c r="B371" s="2">
        <v>135</v>
      </c>
      <c r="C371" s="2" t="b">
        <v>0</v>
      </c>
      <c r="D371" s="2" t="b">
        <v>0</v>
      </c>
      <c r="E371" s="2" t="b">
        <v>0</v>
      </c>
      <c r="F371" s="2" t="b">
        <v>0</v>
      </c>
      <c r="G371" s="2" t="s">
        <v>31</v>
      </c>
      <c r="H371" s="2" t="s">
        <v>477</v>
      </c>
      <c r="I371" s="2" t="s">
        <v>478</v>
      </c>
      <c r="J371" s="2" t="s">
        <v>479</v>
      </c>
      <c r="K371" s="2" t="s">
        <v>35</v>
      </c>
      <c r="L371" s="2" t="s">
        <v>35</v>
      </c>
      <c r="M371" s="2" t="s">
        <v>35</v>
      </c>
      <c r="N371" s="2" t="s">
        <v>35</v>
      </c>
      <c r="O371" s="11">
        <v>44735.530819224536</v>
      </c>
      <c r="P371" s="11">
        <v>44735.531538368057</v>
      </c>
      <c r="Q371" s="27">
        <v>7.1914352156454697E-4</v>
      </c>
      <c r="R371" s="27">
        <v>1.3742129667662084E-3</v>
      </c>
      <c r="S371" s="2">
        <v>0</v>
      </c>
      <c r="T371" s="2" t="s">
        <v>109</v>
      </c>
      <c r="U371" s="2" t="s">
        <v>110</v>
      </c>
      <c r="V371" s="2" t="s">
        <v>38</v>
      </c>
      <c r="W371" s="2" t="s">
        <v>35</v>
      </c>
      <c r="X371" s="2">
        <v>90</v>
      </c>
      <c r="Y371" s="2" t="s">
        <v>438</v>
      </c>
      <c r="Z371" s="2" t="b">
        <v>0</v>
      </c>
      <c r="AA371" s="2" t="s">
        <v>35</v>
      </c>
      <c r="AB371" s="2" t="s">
        <v>35</v>
      </c>
      <c r="AC371" s="2" t="s">
        <v>35</v>
      </c>
      <c r="AD371" s="2" t="s">
        <v>35</v>
      </c>
      <c r="AE371" s="2" t="s">
        <v>207</v>
      </c>
      <c r="AF371" s="11">
        <v>44735.40625</v>
      </c>
      <c r="AG371" s="53"/>
      <c r="AH371" s="53" t="b">
        <f t="shared" si="9"/>
        <v>0</v>
      </c>
      <c r="AI371" s="54" t="s">
        <v>10140</v>
      </c>
      <c r="AJ371" s="2"/>
      <c r="AK371" s="2"/>
      <c r="AL371" s="2"/>
      <c r="AM371" s="2"/>
      <c r="AN371" s="2"/>
    </row>
    <row r="372" spans="1:40" ht="16" x14ac:dyDescent="0.2">
      <c r="A372" s="2" t="s">
        <v>523</v>
      </c>
      <c r="B372" s="2">
        <v>150</v>
      </c>
      <c r="C372" s="2" t="b">
        <v>0</v>
      </c>
      <c r="D372" s="2" t="b">
        <v>0</v>
      </c>
      <c r="E372" s="2" t="b">
        <v>0</v>
      </c>
      <c r="F372" s="2" t="b">
        <v>0</v>
      </c>
      <c r="G372" s="2" t="s">
        <v>31</v>
      </c>
      <c r="H372" s="2" t="s">
        <v>524</v>
      </c>
      <c r="I372" s="2" t="s">
        <v>525</v>
      </c>
      <c r="J372" s="2" t="s">
        <v>526</v>
      </c>
      <c r="K372" s="2" t="s">
        <v>35</v>
      </c>
      <c r="L372" s="2" t="s">
        <v>35</v>
      </c>
      <c r="M372" s="2" t="s">
        <v>35</v>
      </c>
      <c r="N372" s="2" t="s">
        <v>35</v>
      </c>
      <c r="O372" s="11">
        <v>44736.395688009259</v>
      </c>
      <c r="P372" s="11">
        <v>44736.396009884258</v>
      </c>
      <c r="Q372" s="27">
        <v>3.2187499891733751E-4</v>
      </c>
      <c r="R372" s="27">
        <v>1.2129513852414675E-3</v>
      </c>
      <c r="S372" s="2">
        <v>0</v>
      </c>
      <c r="T372" s="2" t="s">
        <v>109</v>
      </c>
      <c r="U372" s="2" t="s">
        <v>110</v>
      </c>
      <c r="V372" s="2" t="s">
        <v>38</v>
      </c>
      <c r="W372" s="2" t="s">
        <v>35</v>
      </c>
      <c r="X372" s="2">
        <v>115</v>
      </c>
      <c r="Y372" s="2" t="s">
        <v>35</v>
      </c>
      <c r="Z372" s="2" t="b">
        <v>0</v>
      </c>
      <c r="AA372" s="2" t="s">
        <v>35</v>
      </c>
      <c r="AB372" s="2" t="s">
        <v>35</v>
      </c>
      <c r="AC372" s="2" t="s">
        <v>35</v>
      </c>
      <c r="AD372" s="2" t="s">
        <v>35</v>
      </c>
      <c r="AE372" s="2" t="s">
        <v>492</v>
      </c>
      <c r="AF372" s="11">
        <v>44736.387499942131</v>
      </c>
      <c r="AG372" s="53"/>
      <c r="AH372" s="53" t="b">
        <f t="shared" si="9"/>
        <v>0</v>
      </c>
      <c r="AI372" s="54" t="s">
        <v>10141</v>
      </c>
      <c r="AJ372" s="2"/>
      <c r="AK372" s="2"/>
      <c r="AL372" s="2"/>
      <c r="AM372" s="2"/>
      <c r="AN372" s="2"/>
    </row>
    <row r="373" spans="1:40" ht="16" x14ac:dyDescent="0.2">
      <c r="A373" s="2" t="s">
        <v>527</v>
      </c>
      <c r="B373" s="2">
        <v>151</v>
      </c>
      <c r="C373" s="2" t="b">
        <v>0</v>
      </c>
      <c r="D373" s="2" t="b">
        <v>0</v>
      </c>
      <c r="E373" s="2" t="b">
        <v>0</v>
      </c>
      <c r="F373" s="2" t="b">
        <v>0</v>
      </c>
      <c r="G373" s="2" t="s">
        <v>31</v>
      </c>
      <c r="H373" s="2" t="s">
        <v>528</v>
      </c>
      <c r="I373" s="2" t="s">
        <v>529</v>
      </c>
      <c r="J373" s="2" t="s">
        <v>530</v>
      </c>
      <c r="K373" s="2" t="s">
        <v>35</v>
      </c>
      <c r="L373" s="2" t="s">
        <v>35</v>
      </c>
      <c r="M373" s="2" t="s">
        <v>35</v>
      </c>
      <c r="N373" s="2" t="s">
        <v>35</v>
      </c>
      <c r="O373" s="11">
        <v>44736.396367581016</v>
      </c>
      <c r="P373" s="11">
        <v>44736.396848090277</v>
      </c>
      <c r="Q373" s="27">
        <v>4.8050926125142723E-4</v>
      </c>
      <c r="R373" s="27">
        <v>8.3820601867046207E-4</v>
      </c>
      <c r="S373" s="2">
        <v>0</v>
      </c>
      <c r="T373" s="2" t="s">
        <v>109</v>
      </c>
      <c r="U373" s="2" t="s">
        <v>110</v>
      </c>
      <c r="V373" s="2" t="s">
        <v>38</v>
      </c>
      <c r="W373" s="2" t="s">
        <v>35</v>
      </c>
      <c r="X373" s="2">
        <v>85</v>
      </c>
      <c r="Y373" s="2" t="s">
        <v>35</v>
      </c>
      <c r="Z373" s="2" t="b">
        <v>0</v>
      </c>
      <c r="AA373" s="2" t="s">
        <v>35</v>
      </c>
      <c r="AB373" s="2" t="s">
        <v>35</v>
      </c>
      <c r="AC373" s="2" t="s">
        <v>35</v>
      </c>
      <c r="AD373" s="2" t="s">
        <v>35</v>
      </c>
      <c r="AE373" s="2" t="s">
        <v>492</v>
      </c>
      <c r="AF373" s="11">
        <v>44736.387499942131</v>
      </c>
      <c r="AG373" s="53"/>
      <c r="AH373" s="53" t="b">
        <f t="shared" si="9"/>
        <v>0</v>
      </c>
      <c r="AI373" s="54" t="s">
        <v>9641</v>
      </c>
      <c r="AJ373" s="2"/>
      <c r="AK373" s="2"/>
      <c r="AL373" s="2"/>
      <c r="AM373" s="2"/>
      <c r="AN373" s="2"/>
    </row>
    <row r="374" spans="1:40" ht="16" x14ac:dyDescent="0.2">
      <c r="A374" s="68" t="s">
        <v>555</v>
      </c>
      <c r="B374" s="68">
        <v>160</v>
      </c>
      <c r="C374" s="68" t="b">
        <v>0</v>
      </c>
      <c r="D374" s="68" t="b">
        <v>0</v>
      </c>
      <c r="E374" s="68" t="b">
        <v>0</v>
      </c>
      <c r="F374" s="68" t="b">
        <v>0</v>
      </c>
      <c r="G374" s="68" t="s">
        <v>31</v>
      </c>
      <c r="H374" s="68" t="s">
        <v>149</v>
      </c>
      <c r="I374" s="68" t="s">
        <v>556</v>
      </c>
      <c r="J374" s="68" t="s">
        <v>557</v>
      </c>
      <c r="K374" s="68" t="s">
        <v>35</v>
      </c>
      <c r="L374" s="68" t="s">
        <v>35</v>
      </c>
      <c r="M374" s="68" t="s">
        <v>35</v>
      </c>
      <c r="N374" s="68" t="s">
        <v>35</v>
      </c>
      <c r="O374" s="69">
        <v>44736.407819178239</v>
      </c>
      <c r="P374" s="69">
        <v>44736.408299247683</v>
      </c>
      <c r="Q374" s="70">
        <v>4.8006944416556507E-4</v>
      </c>
      <c r="R374" s="70">
        <v>3.3454629592597485E-3</v>
      </c>
      <c r="S374" s="68">
        <v>0</v>
      </c>
      <c r="T374" s="68" t="s">
        <v>109</v>
      </c>
      <c r="U374" s="68" t="s">
        <v>110</v>
      </c>
      <c r="V374" s="68" t="s">
        <v>38</v>
      </c>
      <c r="W374" s="68" t="s">
        <v>35</v>
      </c>
      <c r="X374" s="68">
        <v>89</v>
      </c>
      <c r="Y374" s="68" t="s">
        <v>35</v>
      </c>
      <c r="Z374" s="68" t="b">
        <v>0</v>
      </c>
      <c r="AA374" s="68" t="s">
        <v>35</v>
      </c>
      <c r="AB374" s="68" t="s">
        <v>35</v>
      </c>
      <c r="AC374" s="68" t="s">
        <v>35</v>
      </c>
      <c r="AD374" s="68" t="s">
        <v>35</v>
      </c>
      <c r="AE374" s="68" t="s">
        <v>492</v>
      </c>
      <c r="AF374" s="69">
        <v>44736.387499942131</v>
      </c>
      <c r="AG374" s="71"/>
      <c r="AH374" s="53" t="b">
        <f t="shared" si="9"/>
        <v>0</v>
      </c>
      <c r="AI374" s="56" t="s">
        <v>9472</v>
      </c>
      <c r="AJ374" s="68"/>
      <c r="AK374" s="68"/>
      <c r="AL374" s="68"/>
      <c r="AM374" s="68"/>
      <c r="AN374" s="68"/>
    </row>
    <row r="375" spans="1:40" ht="16" x14ac:dyDescent="0.2">
      <c r="A375" s="2" t="s">
        <v>756</v>
      </c>
      <c r="B375" s="2">
        <v>224</v>
      </c>
      <c r="C375" s="2" t="b">
        <v>0</v>
      </c>
      <c r="D375" s="2" t="b">
        <v>0</v>
      </c>
      <c r="E375" s="2" t="b">
        <v>0</v>
      </c>
      <c r="F375" s="2" t="b">
        <v>0</v>
      </c>
      <c r="G375" s="2" t="s">
        <v>31</v>
      </c>
      <c r="H375" s="2" t="s">
        <v>757</v>
      </c>
      <c r="I375" s="2" t="s">
        <v>758</v>
      </c>
      <c r="J375" s="2" t="s">
        <v>759</v>
      </c>
      <c r="K375" s="2" t="s">
        <v>35</v>
      </c>
      <c r="L375" s="2" t="s">
        <v>35</v>
      </c>
      <c r="M375" s="2" t="s">
        <v>35</v>
      </c>
      <c r="N375" s="2" t="s">
        <v>35</v>
      </c>
      <c r="O375" s="11">
        <v>44737.446973078702</v>
      </c>
      <c r="P375" s="11">
        <v>44737.4480453125</v>
      </c>
      <c r="Q375" s="27">
        <v>1.0722337974584661E-3</v>
      </c>
      <c r="R375" s="27">
        <v>3.0976736088632606E-3</v>
      </c>
      <c r="S375" s="2">
        <v>0</v>
      </c>
      <c r="T375" s="2" t="s">
        <v>109</v>
      </c>
      <c r="U375" s="2" t="s">
        <v>110</v>
      </c>
      <c r="V375" s="2" t="s">
        <v>38</v>
      </c>
      <c r="W375" s="2" t="s">
        <v>35</v>
      </c>
      <c r="X375" s="2">
        <v>0</v>
      </c>
      <c r="Y375" s="2" t="s">
        <v>35</v>
      </c>
      <c r="Z375" s="2" t="b">
        <v>0</v>
      </c>
      <c r="AA375" s="2" t="s">
        <v>35</v>
      </c>
      <c r="AB375" s="2" t="s">
        <v>35</v>
      </c>
      <c r="AC375" s="2" t="s">
        <v>35</v>
      </c>
      <c r="AD375" s="2" t="s">
        <v>35</v>
      </c>
      <c r="AE375" s="2" t="s">
        <v>688</v>
      </c>
      <c r="AF375" s="11">
        <v>44737.414583275466</v>
      </c>
      <c r="AG375" s="53"/>
      <c r="AH375" s="53" t="str">
        <f t="shared" si="9"/>
        <v>TRUE</v>
      </c>
      <c r="AI375" s="54" t="s">
        <v>9640</v>
      </c>
      <c r="AJ375" s="2" t="s">
        <v>9639</v>
      </c>
      <c r="AK375" s="2" t="s">
        <v>9638</v>
      </c>
      <c r="AL375" s="2"/>
      <c r="AM375" s="2"/>
      <c r="AN375" s="2"/>
    </row>
    <row r="376" spans="1:40" ht="16" x14ac:dyDescent="0.2">
      <c r="A376" s="2" t="s">
        <v>893</v>
      </c>
      <c r="B376" s="2">
        <v>268</v>
      </c>
      <c r="C376" s="2" t="b">
        <v>0</v>
      </c>
      <c r="D376" s="2" t="b">
        <v>0</v>
      </c>
      <c r="E376" s="2" t="b">
        <v>0</v>
      </c>
      <c r="F376" s="2" t="b">
        <v>0</v>
      </c>
      <c r="G376" s="2" t="s">
        <v>31</v>
      </c>
      <c r="H376" s="2" t="s">
        <v>894</v>
      </c>
      <c r="I376" s="2" t="s">
        <v>895</v>
      </c>
      <c r="J376" s="2" t="s">
        <v>896</v>
      </c>
      <c r="K376" s="2" t="s">
        <v>35</v>
      </c>
      <c r="L376" s="2" t="s">
        <v>35</v>
      </c>
      <c r="M376" s="2" t="s">
        <v>35</v>
      </c>
      <c r="N376" s="2" t="s">
        <v>35</v>
      </c>
      <c r="O376" s="11">
        <v>44737.521164027778</v>
      </c>
      <c r="P376" s="11">
        <v>44737.521375462966</v>
      </c>
      <c r="Q376" s="27">
        <v>2.1143518824828789E-4</v>
      </c>
      <c r="R376" s="27">
        <v>1.2909606521134265E-3</v>
      </c>
      <c r="S376" s="2">
        <v>0</v>
      </c>
      <c r="T376" s="2" t="s">
        <v>109</v>
      </c>
      <c r="U376" s="2" t="s">
        <v>110</v>
      </c>
      <c r="V376" s="2" t="s">
        <v>38</v>
      </c>
      <c r="W376" s="2" t="s">
        <v>35</v>
      </c>
      <c r="X376" s="2">
        <v>106</v>
      </c>
      <c r="Y376" s="2" t="s">
        <v>35</v>
      </c>
      <c r="Z376" s="2" t="b">
        <v>0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792</v>
      </c>
      <c r="AF376" s="11">
        <v>44737.463888831022</v>
      </c>
      <c r="AG376" s="53"/>
      <c r="AH376" s="53" t="b">
        <f t="shared" si="9"/>
        <v>0</v>
      </c>
      <c r="AI376" s="54" t="s">
        <v>10142</v>
      </c>
      <c r="AJ376" s="2"/>
      <c r="AK376" s="2"/>
      <c r="AL376" s="2"/>
      <c r="AM376" s="2"/>
      <c r="AN376" s="2"/>
    </row>
    <row r="377" spans="1:40" ht="16" x14ac:dyDescent="0.2">
      <c r="A377" s="2" t="s">
        <v>897</v>
      </c>
      <c r="B377" s="2">
        <v>269</v>
      </c>
      <c r="C377" s="2" t="b">
        <v>0</v>
      </c>
      <c r="D377" s="2" t="b">
        <v>0</v>
      </c>
      <c r="E377" s="2" t="b">
        <v>0</v>
      </c>
      <c r="F377" s="2" t="b">
        <v>0</v>
      </c>
      <c r="G377" s="2" t="s">
        <v>31</v>
      </c>
      <c r="H377" s="2" t="s">
        <v>898</v>
      </c>
      <c r="I377" s="2" t="s">
        <v>899</v>
      </c>
      <c r="J377" s="2" t="s">
        <v>896</v>
      </c>
      <c r="K377" s="2" t="s">
        <v>35</v>
      </c>
      <c r="L377" s="2" t="s">
        <v>35</v>
      </c>
      <c r="M377" s="2" t="s">
        <v>35</v>
      </c>
      <c r="N377" s="2" t="s">
        <v>35</v>
      </c>
      <c r="O377" s="11">
        <v>44737.521658518519</v>
      </c>
      <c r="P377" s="11">
        <v>44737.521891215278</v>
      </c>
      <c r="Q377" s="27">
        <v>2.3269675875781104E-4</v>
      </c>
      <c r="R377" s="27">
        <v>5.1575231191236526E-4</v>
      </c>
      <c r="S377" s="2">
        <v>0</v>
      </c>
      <c r="T377" s="2" t="s">
        <v>109</v>
      </c>
      <c r="U377" s="2" t="s">
        <v>110</v>
      </c>
      <c r="V377" s="2" t="s">
        <v>38</v>
      </c>
      <c r="W377" s="2" t="s">
        <v>35</v>
      </c>
      <c r="X377" s="2">
        <v>110</v>
      </c>
      <c r="Y377" s="2" t="s">
        <v>35</v>
      </c>
      <c r="Z377" s="2" t="b">
        <v>0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2" t="s">
        <v>792</v>
      </c>
      <c r="AF377" s="11">
        <v>44737.463888831022</v>
      </c>
      <c r="AG377" s="53"/>
      <c r="AH377" s="53" t="b">
        <f t="shared" si="9"/>
        <v>0</v>
      </c>
      <c r="AI377" s="54" t="s">
        <v>9637</v>
      </c>
      <c r="AJ377" s="2"/>
      <c r="AK377" s="2"/>
      <c r="AL377" s="2"/>
      <c r="AM377" s="2"/>
      <c r="AN377" s="2"/>
    </row>
    <row r="378" spans="1:40" ht="16" x14ac:dyDescent="0.2">
      <c r="A378" s="2" t="s">
        <v>976</v>
      </c>
      <c r="B378" s="2">
        <v>294</v>
      </c>
      <c r="C378" s="2" t="b">
        <v>0</v>
      </c>
      <c r="D378" s="2" t="b">
        <v>0</v>
      </c>
      <c r="E378" s="2" t="b">
        <v>0</v>
      </c>
      <c r="F378" s="2" t="b">
        <v>0</v>
      </c>
      <c r="G378" s="2" t="s">
        <v>121</v>
      </c>
      <c r="H378" s="2" t="s">
        <v>977</v>
      </c>
      <c r="I378" s="2" t="s">
        <v>978</v>
      </c>
      <c r="J378" s="2" t="s">
        <v>119</v>
      </c>
      <c r="K378" s="2" t="s">
        <v>35</v>
      </c>
      <c r="L378" s="2" t="s">
        <v>35</v>
      </c>
      <c r="M378" s="2" t="s">
        <v>35</v>
      </c>
      <c r="N378" s="2" t="s">
        <v>35</v>
      </c>
      <c r="O378" s="11">
        <v>44740.46527883102</v>
      </c>
      <c r="P378" s="11">
        <v>44740.465843252314</v>
      </c>
      <c r="Q378" s="27">
        <v>5.6442129425704479E-4</v>
      </c>
      <c r="R378" s="27">
        <v>6.1303240363486111E-4</v>
      </c>
      <c r="S378" s="2">
        <v>0</v>
      </c>
      <c r="T378" s="2" t="s">
        <v>109</v>
      </c>
      <c r="U378" s="2" t="s">
        <v>110</v>
      </c>
      <c r="V378" s="2" t="s">
        <v>38</v>
      </c>
      <c r="W378" s="2" t="s">
        <v>35</v>
      </c>
      <c r="X378" s="2">
        <v>0</v>
      </c>
      <c r="Y378" s="2" t="s">
        <v>979</v>
      </c>
      <c r="Z378" s="2" t="b">
        <v>0</v>
      </c>
      <c r="AA378" s="2" t="s">
        <v>35</v>
      </c>
      <c r="AB378" s="2" t="s">
        <v>35</v>
      </c>
      <c r="AC378" s="2" t="s">
        <v>35</v>
      </c>
      <c r="AD378" s="2" t="s">
        <v>35</v>
      </c>
      <c r="AE378" s="2" t="s">
        <v>941</v>
      </c>
      <c r="AF378" s="11">
        <v>44740.448611053238</v>
      </c>
      <c r="AG378" s="53"/>
      <c r="AH378" s="53" t="b">
        <f t="shared" si="9"/>
        <v>0</v>
      </c>
      <c r="AI378" s="54" t="s">
        <v>9636</v>
      </c>
      <c r="AJ378" s="2"/>
      <c r="AK378" s="2"/>
      <c r="AL378" s="2"/>
      <c r="AM378" s="2"/>
      <c r="AN378" s="2"/>
    </row>
    <row r="379" spans="1:40" ht="16" x14ac:dyDescent="0.2">
      <c r="A379" s="2" t="s">
        <v>983</v>
      </c>
      <c r="B379" s="2">
        <v>296</v>
      </c>
      <c r="C379" s="2" t="b">
        <v>0</v>
      </c>
      <c r="D379" s="2" t="b">
        <v>0</v>
      </c>
      <c r="E379" s="2" t="b">
        <v>0</v>
      </c>
      <c r="F379" s="2" t="b">
        <v>0</v>
      </c>
      <c r="G379" s="2" t="s">
        <v>31</v>
      </c>
      <c r="H379" s="2" t="s">
        <v>984</v>
      </c>
      <c r="I379" s="2" t="s">
        <v>985</v>
      </c>
      <c r="J379" s="2" t="s">
        <v>35</v>
      </c>
      <c r="K379" s="2" t="s">
        <v>35</v>
      </c>
      <c r="L379" s="2" t="s">
        <v>35</v>
      </c>
      <c r="M379" s="2" t="s">
        <v>35</v>
      </c>
      <c r="N379" s="2" t="s">
        <v>35</v>
      </c>
      <c r="O379" s="11">
        <v>44740.473271840281</v>
      </c>
      <c r="P379" s="11">
        <v>44740.473557627316</v>
      </c>
      <c r="Q379" s="27">
        <v>2.8578703495441005E-4</v>
      </c>
      <c r="R379" s="27">
        <v>5.0406481459503993E-3</v>
      </c>
      <c r="S379" s="2">
        <v>0</v>
      </c>
      <c r="T379" s="2" t="s">
        <v>109</v>
      </c>
      <c r="U379" s="2" t="s">
        <v>110</v>
      </c>
      <c r="V379" s="2" t="s">
        <v>38</v>
      </c>
      <c r="W379" s="2" t="s">
        <v>35</v>
      </c>
      <c r="X379" s="2">
        <v>0</v>
      </c>
      <c r="Y379" s="2" t="s">
        <v>979</v>
      </c>
      <c r="Z379" s="2" t="b">
        <v>0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2" t="s">
        <v>941</v>
      </c>
      <c r="AF379" s="11">
        <v>44740.448611053238</v>
      </c>
      <c r="AG379" s="53"/>
      <c r="AH379" s="53" t="b">
        <f t="shared" si="9"/>
        <v>0</v>
      </c>
      <c r="AI379" s="54" t="s">
        <v>9635</v>
      </c>
      <c r="AJ379" s="2"/>
      <c r="AK379" s="2"/>
      <c r="AL379" s="2"/>
      <c r="AM379" s="2"/>
      <c r="AN379" s="2"/>
    </row>
    <row r="380" spans="1:40" ht="16" x14ac:dyDescent="0.2">
      <c r="A380" s="2" t="s">
        <v>1035</v>
      </c>
      <c r="B380" s="2">
        <v>311</v>
      </c>
      <c r="C380" s="2" t="b">
        <v>0</v>
      </c>
      <c r="D380" s="2" t="b">
        <v>0</v>
      </c>
      <c r="E380" s="2" t="b">
        <v>0</v>
      </c>
      <c r="F380" s="2" t="b">
        <v>0</v>
      </c>
      <c r="G380" s="2" t="s">
        <v>31</v>
      </c>
      <c r="H380" s="2" t="s">
        <v>1036</v>
      </c>
      <c r="I380" s="2" t="s">
        <v>1037</v>
      </c>
      <c r="J380" s="2" t="s">
        <v>1038</v>
      </c>
      <c r="K380" s="2" t="s">
        <v>35</v>
      </c>
      <c r="L380" s="2" t="s">
        <v>35</v>
      </c>
      <c r="M380" s="2" t="s">
        <v>35</v>
      </c>
      <c r="N380" s="2" t="s">
        <v>35</v>
      </c>
      <c r="O380" s="11">
        <v>44740.496797500004</v>
      </c>
      <c r="P380" s="11">
        <v>44740.497739942133</v>
      </c>
      <c r="Q380" s="27">
        <v>9.4244212959893048E-4</v>
      </c>
      <c r="R380" s="27">
        <v>2.5424305567867123E-3</v>
      </c>
      <c r="S380" s="2">
        <v>0</v>
      </c>
      <c r="T380" s="2" t="s">
        <v>109</v>
      </c>
      <c r="U380" s="2" t="s">
        <v>110</v>
      </c>
      <c r="V380" s="2" t="s">
        <v>38</v>
      </c>
      <c r="W380" s="2" t="s">
        <v>35</v>
      </c>
      <c r="X380" s="2">
        <v>0</v>
      </c>
      <c r="Y380" s="2" t="s">
        <v>979</v>
      </c>
      <c r="Z380" s="2" t="b">
        <v>0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2" t="s">
        <v>941</v>
      </c>
      <c r="AF380" s="11">
        <v>44740.448611053238</v>
      </c>
      <c r="AG380" s="53"/>
      <c r="AH380" s="53" t="b">
        <f t="shared" si="9"/>
        <v>0</v>
      </c>
      <c r="AI380" s="54" t="s">
        <v>10147</v>
      </c>
      <c r="AJ380" s="2" t="s">
        <v>10143</v>
      </c>
      <c r="AK380" s="2" t="s">
        <v>10144</v>
      </c>
      <c r="AL380" s="2" t="s">
        <v>10145</v>
      </c>
      <c r="AM380" s="2" t="s">
        <v>10146</v>
      </c>
      <c r="AN380" s="2"/>
    </row>
    <row r="381" spans="1:40" ht="16" x14ac:dyDescent="0.2">
      <c r="A381" s="2" t="s">
        <v>1039</v>
      </c>
      <c r="B381" s="2">
        <v>312</v>
      </c>
      <c r="C381" s="2" t="b">
        <v>0</v>
      </c>
      <c r="D381" s="2" t="b">
        <v>0</v>
      </c>
      <c r="E381" s="2" t="b">
        <v>0</v>
      </c>
      <c r="F381" s="2" t="b">
        <v>0</v>
      </c>
      <c r="G381" s="2" t="s">
        <v>31</v>
      </c>
      <c r="H381" s="2" t="s">
        <v>1040</v>
      </c>
      <c r="I381" s="2" t="s">
        <v>1041</v>
      </c>
      <c r="J381" s="2" t="s">
        <v>1038</v>
      </c>
      <c r="K381" s="2" t="s">
        <v>35</v>
      </c>
      <c r="L381" s="2" t="s">
        <v>35</v>
      </c>
      <c r="M381" s="2" t="s">
        <v>35</v>
      </c>
      <c r="N381" s="2" t="s">
        <v>35</v>
      </c>
      <c r="O381" s="11">
        <v>44740.498441655094</v>
      </c>
      <c r="P381" s="11">
        <v>44740.498886574074</v>
      </c>
      <c r="Q381" s="27">
        <v>4.4491898006526753E-4</v>
      </c>
      <c r="R381" s="27">
        <v>1.1466319410828874E-3</v>
      </c>
      <c r="S381" s="2">
        <v>0</v>
      </c>
      <c r="T381" s="2" t="s">
        <v>109</v>
      </c>
      <c r="U381" s="2" t="s">
        <v>110</v>
      </c>
      <c r="V381" s="2" t="s">
        <v>38</v>
      </c>
      <c r="W381" s="2" t="s">
        <v>35</v>
      </c>
      <c r="X381" s="2">
        <v>0</v>
      </c>
      <c r="Y381" s="2" t="s">
        <v>979</v>
      </c>
      <c r="Z381" s="2" t="b">
        <v>0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2" t="s">
        <v>941</v>
      </c>
      <c r="AF381" s="11">
        <v>44740.448611053238</v>
      </c>
      <c r="AG381" s="53"/>
      <c r="AH381" s="53" t="b">
        <f t="shared" si="9"/>
        <v>0</v>
      </c>
      <c r="AI381" s="54" t="s">
        <v>10148</v>
      </c>
      <c r="AJ381" s="2"/>
      <c r="AK381" s="2"/>
      <c r="AL381" s="2"/>
      <c r="AM381" s="2"/>
      <c r="AN381" s="2"/>
    </row>
    <row r="382" spans="1:40" ht="16" x14ac:dyDescent="0.2">
      <c r="A382" s="2" t="s">
        <v>1072</v>
      </c>
      <c r="B382" s="2">
        <v>324</v>
      </c>
      <c r="C382" s="2" t="b">
        <v>0</v>
      </c>
      <c r="D382" s="2" t="b">
        <v>0</v>
      </c>
      <c r="E382" s="2" t="b">
        <v>0</v>
      </c>
      <c r="F382" s="2" t="b">
        <v>0</v>
      </c>
      <c r="G382" s="2" t="s">
        <v>31</v>
      </c>
      <c r="H382" s="2" t="s">
        <v>1073</v>
      </c>
      <c r="I382" s="2" t="s">
        <v>1074</v>
      </c>
      <c r="J382" s="2" t="s">
        <v>114</v>
      </c>
      <c r="K382" s="2" t="s">
        <v>35</v>
      </c>
      <c r="L382" s="2" t="s">
        <v>35</v>
      </c>
      <c r="M382" s="2" t="s">
        <v>35</v>
      </c>
      <c r="N382" s="2" t="s">
        <v>35</v>
      </c>
      <c r="O382" s="11">
        <v>44740.51988122685</v>
      </c>
      <c r="P382" s="11">
        <v>44740.520257037038</v>
      </c>
      <c r="Q382" s="27">
        <v>3.7581018841592595E-4</v>
      </c>
      <c r="R382" s="27">
        <v>4.8890625039348379E-3</v>
      </c>
      <c r="S382" s="2">
        <v>0</v>
      </c>
      <c r="T382" s="2" t="s">
        <v>109</v>
      </c>
      <c r="U382" s="2" t="s">
        <v>110</v>
      </c>
      <c r="V382" s="2" t="s">
        <v>38</v>
      </c>
      <c r="W382" s="2" t="s">
        <v>35</v>
      </c>
      <c r="X382" s="2">
        <v>0</v>
      </c>
      <c r="Y382" s="2" t="s">
        <v>979</v>
      </c>
      <c r="Z382" s="2" t="b">
        <v>0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941</v>
      </c>
      <c r="AF382" s="11">
        <v>44740.448611053238</v>
      </c>
      <c r="AG382" s="53"/>
      <c r="AH382" s="53" t="b">
        <f t="shared" si="9"/>
        <v>0</v>
      </c>
      <c r="AI382" s="54" t="s">
        <v>9633</v>
      </c>
      <c r="AJ382" s="2"/>
      <c r="AK382" s="2"/>
      <c r="AL382" s="2"/>
      <c r="AM382" s="2"/>
      <c r="AN382" s="2"/>
    </row>
    <row r="383" spans="1:40" ht="16" x14ac:dyDescent="0.2">
      <c r="A383" s="68" t="s">
        <v>1075</v>
      </c>
      <c r="B383" s="68">
        <v>325</v>
      </c>
      <c r="C383" s="68" t="b">
        <v>0</v>
      </c>
      <c r="D383" s="68" t="b">
        <v>0</v>
      </c>
      <c r="E383" s="68" t="b">
        <v>0</v>
      </c>
      <c r="F383" s="68" t="b">
        <v>0</v>
      </c>
      <c r="G383" s="68" t="s">
        <v>31</v>
      </c>
      <c r="H383" s="68" t="s">
        <v>149</v>
      </c>
      <c r="I383" s="68" t="s">
        <v>1076</v>
      </c>
      <c r="J383" s="68" t="s">
        <v>114</v>
      </c>
      <c r="K383" s="68" t="s">
        <v>35</v>
      </c>
      <c r="L383" s="68" t="s">
        <v>35</v>
      </c>
      <c r="M383" s="68" t="s">
        <v>35</v>
      </c>
      <c r="N383" s="68" t="s">
        <v>35</v>
      </c>
      <c r="O383" s="69">
        <v>44740.520495937497</v>
      </c>
      <c r="P383" s="69">
        <v>44740.520821273145</v>
      </c>
      <c r="Q383" s="70">
        <v>3.2533564808545634E-4</v>
      </c>
      <c r="R383" s="70">
        <v>5.642361065838486E-4</v>
      </c>
      <c r="S383" s="68">
        <v>0</v>
      </c>
      <c r="T383" s="68" t="s">
        <v>109</v>
      </c>
      <c r="U383" s="68" t="s">
        <v>110</v>
      </c>
      <c r="V383" s="68" t="s">
        <v>38</v>
      </c>
      <c r="W383" s="68" t="s">
        <v>35</v>
      </c>
      <c r="X383" s="68">
        <v>0</v>
      </c>
      <c r="Y383" s="68" t="s">
        <v>979</v>
      </c>
      <c r="Z383" s="68" t="b">
        <v>0</v>
      </c>
      <c r="AA383" s="68" t="s">
        <v>35</v>
      </c>
      <c r="AB383" s="68" t="s">
        <v>35</v>
      </c>
      <c r="AC383" s="68" t="s">
        <v>35</v>
      </c>
      <c r="AD383" s="68" t="s">
        <v>35</v>
      </c>
      <c r="AE383" s="68" t="s">
        <v>941</v>
      </c>
      <c r="AF383" s="69">
        <v>44740.448611053238</v>
      </c>
      <c r="AG383" s="71"/>
      <c r="AH383" s="53" t="b">
        <f t="shared" si="9"/>
        <v>0</v>
      </c>
      <c r="AI383" s="56" t="s">
        <v>35</v>
      </c>
      <c r="AJ383" s="68"/>
      <c r="AK383" s="68"/>
      <c r="AL383" s="68"/>
      <c r="AM383" s="68"/>
      <c r="AN383" s="68"/>
    </row>
    <row r="384" spans="1:40" ht="16" x14ac:dyDescent="0.2">
      <c r="A384" s="2" t="s">
        <v>1088</v>
      </c>
      <c r="B384" s="2">
        <v>329</v>
      </c>
      <c r="C384" s="2" t="b">
        <v>0</v>
      </c>
      <c r="D384" s="2" t="b">
        <v>0</v>
      </c>
      <c r="E384" s="2" t="b">
        <v>0</v>
      </c>
      <c r="F384" s="2" t="b">
        <v>0</v>
      </c>
      <c r="G384" s="2" t="s">
        <v>31</v>
      </c>
      <c r="H384" s="2" t="s">
        <v>1089</v>
      </c>
      <c r="I384" s="2" t="s">
        <v>1090</v>
      </c>
      <c r="J384" s="2" t="s">
        <v>1091</v>
      </c>
      <c r="K384" s="2" t="s">
        <v>35</v>
      </c>
      <c r="L384" s="2" t="s">
        <v>35</v>
      </c>
      <c r="M384" s="2" t="s">
        <v>35</v>
      </c>
      <c r="N384" s="2" t="s">
        <v>35</v>
      </c>
      <c r="O384" s="11">
        <v>44740.528899328703</v>
      </c>
      <c r="P384" s="11">
        <v>44740.52940255787</v>
      </c>
      <c r="Q384" s="27">
        <v>5.032291664974764E-4</v>
      </c>
      <c r="R384" s="27">
        <v>6.3652778044342995E-4</v>
      </c>
      <c r="S384" s="2">
        <v>0</v>
      </c>
      <c r="T384" s="2" t="s">
        <v>109</v>
      </c>
      <c r="U384" s="2" t="s">
        <v>110</v>
      </c>
      <c r="V384" s="2" t="s">
        <v>38</v>
      </c>
      <c r="W384" s="2" t="s">
        <v>35</v>
      </c>
      <c r="X384" s="2">
        <v>0</v>
      </c>
      <c r="Y384" s="2" t="s">
        <v>979</v>
      </c>
      <c r="Z384" s="2" t="b">
        <v>0</v>
      </c>
      <c r="AA384" s="2" t="s">
        <v>35</v>
      </c>
      <c r="AB384" s="2" t="s">
        <v>35</v>
      </c>
      <c r="AC384" s="2" t="s">
        <v>35</v>
      </c>
      <c r="AD384" s="2" t="s">
        <v>35</v>
      </c>
      <c r="AE384" s="2" t="s">
        <v>941</v>
      </c>
      <c r="AF384" s="11">
        <v>44740.448611053238</v>
      </c>
      <c r="AG384" s="53"/>
      <c r="AH384" s="53" t="b">
        <f t="shared" si="9"/>
        <v>0</v>
      </c>
      <c r="AI384" s="54" t="s">
        <v>10149</v>
      </c>
      <c r="AJ384" s="2"/>
      <c r="AK384" s="2"/>
      <c r="AL384" s="2"/>
      <c r="AM384" s="2"/>
      <c r="AN384" s="2"/>
    </row>
    <row r="385" spans="1:40" ht="16" x14ac:dyDescent="0.2">
      <c r="A385" s="2" t="s">
        <v>1096</v>
      </c>
      <c r="B385" s="2">
        <v>331</v>
      </c>
      <c r="C385" s="2" t="b">
        <v>0</v>
      </c>
      <c r="D385" s="2" t="b">
        <v>0</v>
      </c>
      <c r="E385" s="2" t="b">
        <v>0</v>
      </c>
      <c r="F385" s="2" t="b">
        <v>0</v>
      </c>
      <c r="G385" s="2" t="s">
        <v>31</v>
      </c>
      <c r="H385" s="2" t="s">
        <v>1097</v>
      </c>
      <c r="I385" s="2" t="s">
        <v>1098</v>
      </c>
      <c r="J385" s="2" t="s">
        <v>1099</v>
      </c>
      <c r="K385" s="2" t="s">
        <v>35</v>
      </c>
      <c r="L385" s="2" t="s">
        <v>35</v>
      </c>
      <c r="M385" s="2" t="s">
        <v>35</v>
      </c>
      <c r="N385" s="2" t="s">
        <v>35</v>
      </c>
      <c r="O385" s="11">
        <v>44740.531541782409</v>
      </c>
      <c r="P385" s="11">
        <v>44740.532112384259</v>
      </c>
      <c r="Q385" s="27">
        <v>5.7060184917645529E-4</v>
      </c>
      <c r="R385" s="27">
        <v>8.1285879423376173E-4</v>
      </c>
      <c r="S385" s="2">
        <v>0</v>
      </c>
      <c r="T385" s="2" t="s">
        <v>109</v>
      </c>
      <c r="U385" s="2" t="s">
        <v>110</v>
      </c>
      <c r="V385" s="2" t="s">
        <v>38</v>
      </c>
      <c r="W385" s="2" t="s">
        <v>35</v>
      </c>
      <c r="X385" s="2">
        <v>0</v>
      </c>
      <c r="Y385" s="2" t="s">
        <v>979</v>
      </c>
      <c r="Z385" s="2" t="b">
        <v>0</v>
      </c>
      <c r="AA385" s="2" t="s">
        <v>35</v>
      </c>
      <c r="AB385" s="2" t="s">
        <v>35</v>
      </c>
      <c r="AC385" s="2" t="s">
        <v>35</v>
      </c>
      <c r="AD385" s="2" t="s">
        <v>35</v>
      </c>
      <c r="AE385" s="2" t="s">
        <v>941</v>
      </c>
      <c r="AF385" s="11">
        <v>44740.448611053238</v>
      </c>
      <c r="AG385" s="53"/>
      <c r="AH385" s="53" t="b">
        <f t="shared" si="9"/>
        <v>0</v>
      </c>
      <c r="AI385" s="54" t="s">
        <v>9632</v>
      </c>
      <c r="AJ385" s="2"/>
      <c r="AK385" s="2"/>
      <c r="AL385" s="2"/>
      <c r="AM385" s="2"/>
      <c r="AN385" s="2"/>
    </row>
    <row r="386" spans="1:40" ht="16" x14ac:dyDescent="0.2">
      <c r="A386" s="2" t="s">
        <v>1100</v>
      </c>
      <c r="B386" s="2">
        <v>332</v>
      </c>
      <c r="C386" s="2" t="b">
        <v>0</v>
      </c>
      <c r="D386" s="2" t="b">
        <v>0</v>
      </c>
      <c r="E386" s="2" t="b">
        <v>0</v>
      </c>
      <c r="F386" s="2" t="b">
        <v>0</v>
      </c>
      <c r="G386" s="2" t="s">
        <v>31</v>
      </c>
      <c r="H386" s="2" t="s">
        <v>1101</v>
      </c>
      <c r="I386" s="2" t="s">
        <v>1102</v>
      </c>
      <c r="J386" s="2" t="s">
        <v>119</v>
      </c>
      <c r="K386" s="2" t="s">
        <v>35</v>
      </c>
      <c r="L386" s="2" t="s">
        <v>35</v>
      </c>
      <c r="M386" s="2" t="s">
        <v>35</v>
      </c>
      <c r="N386" s="2" t="s">
        <v>35</v>
      </c>
      <c r="O386" s="11">
        <v>44740.533663703703</v>
      </c>
      <c r="P386" s="11">
        <v>44740.534286203707</v>
      </c>
      <c r="Q386" s="27">
        <v>6.2250000337371603E-4</v>
      </c>
      <c r="R386" s="27">
        <v>2.1738194482168183E-3</v>
      </c>
      <c r="S386" s="2">
        <v>0</v>
      </c>
      <c r="T386" s="2" t="s">
        <v>109</v>
      </c>
      <c r="U386" s="2" t="s">
        <v>110</v>
      </c>
      <c r="V386" s="2" t="s">
        <v>38</v>
      </c>
      <c r="W386" s="2" t="s">
        <v>35</v>
      </c>
      <c r="X386" s="2">
        <v>60</v>
      </c>
      <c r="Y386" s="2" t="s">
        <v>979</v>
      </c>
      <c r="Z386" s="2" t="b">
        <v>0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941</v>
      </c>
      <c r="AF386" s="11">
        <v>44740.448611053238</v>
      </c>
      <c r="AG386" s="53"/>
      <c r="AH386" s="53" t="b">
        <f t="shared" si="9"/>
        <v>0</v>
      </c>
      <c r="AI386" s="54" t="s">
        <v>9631</v>
      </c>
      <c r="AJ386" s="2"/>
      <c r="AK386" s="2"/>
      <c r="AL386" s="2"/>
      <c r="AM386" s="2"/>
      <c r="AN386" s="2"/>
    </row>
    <row r="387" spans="1:40" ht="16" x14ac:dyDescent="0.2">
      <c r="A387" s="2" t="s">
        <v>1208</v>
      </c>
      <c r="B387" s="2">
        <v>364</v>
      </c>
      <c r="C387" s="2" t="b">
        <v>0</v>
      </c>
      <c r="D387" s="2" t="b">
        <v>0</v>
      </c>
      <c r="E387" s="2" t="b">
        <v>0</v>
      </c>
      <c r="F387" s="2" t="b">
        <v>0</v>
      </c>
      <c r="G387" s="2" t="s">
        <v>31</v>
      </c>
      <c r="H387" s="2" t="s">
        <v>1209</v>
      </c>
      <c r="I387" s="2" t="s">
        <v>1210</v>
      </c>
      <c r="J387" s="2" t="s">
        <v>35</v>
      </c>
      <c r="K387" s="2" t="s">
        <v>35</v>
      </c>
      <c r="L387" s="2" t="s">
        <v>35</v>
      </c>
      <c r="M387" s="2" t="s">
        <v>35</v>
      </c>
      <c r="N387" s="2" t="s">
        <v>35</v>
      </c>
      <c r="O387" s="11">
        <v>44743.639561759257</v>
      </c>
      <c r="P387" s="11">
        <v>44743.639905625001</v>
      </c>
      <c r="Q387" s="27">
        <v>3.4386574407108128E-4</v>
      </c>
      <c r="R387" s="27">
        <v>1.8760300954454578E-3</v>
      </c>
      <c r="S387" s="2">
        <v>0</v>
      </c>
      <c r="T387" s="2" t="s">
        <v>109</v>
      </c>
      <c r="U387" s="2" t="s">
        <v>110</v>
      </c>
      <c r="V387" s="2" t="s">
        <v>38</v>
      </c>
      <c r="W387" s="2" t="s">
        <v>35</v>
      </c>
      <c r="X387" s="2">
        <v>107</v>
      </c>
      <c r="Y387" s="2" t="s">
        <v>35</v>
      </c>
      <c r="Z387" s="2" t="b">
        <v>0</v>
      </c>
      <c r="AA387" s="2" t="s">
        <v>35</v>
      </c>
      <c r="AB387" s="2" t="s">
        <v>35</v>
      </c>
      <c r="AC387" s="2" t="s">
        <v>35</v>
      </c>
      <c r="AD387" s="2" t="s">
        <v>35</v>
      </c>
      <c r="AE387" s="2" t="s">
        <v>1117</v>
      </c>
      <c r="AF387" s="11">
        <v>44743.590972164355</v>
      </c>
      <c r="AG387" s="53"/>
      <c r="AH387" s="53" t="b">
        <f t="shared" si="9"/>
        <v>0</v>
      </c>
      <c r="AI387" s="54" t="s">
        <v>9630</v>
      </c>
      <c r="AJ387" s="2"/>
      <c r="AK387" s="2"/>
      <c r="AL387" s="2"/>
      <c r="AM387" s="2"/>
      <c r="AN387" s="2"/>
    </row>
    <row r="388" spans="1:40" ht="16" x14ac:dyDescent="0.2">
      <c r="A388" s="2" t="s">
        <v>1437</v>
      </c>
      <c r="B388" s="2">
        <v>437</v>
      </c>
      <c r="C388" s="2" t="b">
        <v>0</v>
      </c>
      <c r="D388" s="2" t="b">
        <v>0</v>
      </c>
      <c r="E388" s="2" t="b">
        <v>0</v>
      </c>
      <c r="F388" s="2" t="b">
        <v>0</v>
      </c>
      <c r="G388" s="2" t="s">
        <v>31</v>
      </c>
      <c r="H388" s="2" t="s">
        <v>1438</v>
      </c>
      <c r="I388" s="2" t="s">
        <v>1439</v>
      </c>
      <c r="J388" s="2" t="s">
        <v>1124</v>
      </c>
      <c r="K388" s="2" t="s">
        <v>35</v>
      </c>
      <c r="L388" s="2" t="s">
        <v>35</v>
      </c>
      <c r="M388" s="2" t="s">
        <v>35</v>
      </c>
      <c r="N388" s="2" t="s">
        <v>35</v>
      </c>
      <c r="O388" s="11">
        <v>44747.40213141204</v>
      </c>
      <c r="P388" s="11">
        <v>44747.40244258102</v>
      </c>
      <c r="Q388" s="27">
        <v>3.1116898026084527E-4</v>
      </c>
      <c r="R388" s="27">
        <v>1.6714236116968095E-3</v>
      </c>
      <c r="S388" s="2">
        <v>0</v>
      </c>
      <c r="T388" s="2" t="s">
        <v>109</v>
      </c>
      <c r="U388" s="2" t="s">
        <v>110</v>
      </c>
      <c r="V388" s="2" t="s">
        <v>38</v>
      </c>
      <c r="W388" s="2" t="s">
        <v>35</v>
      </c>
      <c r="X388" s="2">
        <v>117</v>
      </c>
      <c r="Y388" s="2" t="s">
        <v>1440</v>
      </c>
      <c r="Z388" s="2" t="b">
        <v>0</v>
      </c>
      <c r="AA388" s="2" t="s">
        <v>35</v>
      </c>
      <c r="AB388" s="2" t="s">
        <v>35</v>
      </c>
      <c r="AC388" s="2" t="s">
        <v>35</v>
      </c>
      <c r="AD388" s="2" t="s">
        <v>35</v>
      </c>
      <c r="AE388" s="2" t="s">
        <v>688</v>
      </c>
      <c r="AF388" s="11">
        <v>44747.395138888889</v>
      </c>
      <c r="AG388" s="53"/>
      <c r="AH388" s="53" t="b">
        <f t="shared" si="9"/>
        <v>0</v>
      </c>
      <c r="AI388" s="54" t="s">
        <v>9629</v>
      </c>
      <c r="AJ388" s="2"/>
      <c r="AK388" s="2"/>
      <c r="AL388" s="2"/>
      <c r="AM388" s="2"/>
      <c r="AN388" s="2"/>
    </row>
    <row r="389" spans="1:40" ht="16" x14ac:dyDescent="0.2">
      <c r="A389" s="2" t="s">
        <v>1465</v>
      </c>
      <c r="B389" s="2">
        <v>445</v>
      </c>
      <c r="C389" s="2" t="b">
        <v>0</v>
      </c>
      <c r="D389" s="2" t="b">
        <v>0</v>
      </c>
      <c r="E389" s="2" t="b">
        <v>0</v>
      </c>
      <c r="F389" s="2" t="b">
        <v>0</v>
      </c>
      <c r="G389" s="2" t="s">
        <v>31</v>
      </c>
      <c r="H389" s="2" t="s">
        <v>1466</v>
      </c>
      <c r="I389" s="2" t="s">
        <v>1467</v>
      </c>
      <c r="J389" s="2" t="s">
        <v>1468</v>
      </c>
      <c r="K389" s="2" t="s">
        <v>35</v>
      </c>
      <c r="L389" s="2" t="s">
        <v>35</v>
      </c>
      <c r="M389" s="2" t="s">
        <v>35</v>
      </c>
      <c r="N389" s="2" t="s">
        <v>35</v>
      </c>
      <c r="O389" s="11">
        <v>44747.42753400463</v>
      </c>
      <c r="P389" s="11">
        <v>44747.427807048611</v>
      </c>
      <c r="Q389" s="27">
        <v>2.7304398099659011E-4</v>
      </c>
      <c r="R389" s="27">
        <v>7.8447916894219816E-4</v>
      </c>
      <c r="S389" s="2">
        <v>0</v>
      </c>
      <c r="T389" s="2" t="s">
        <v>109</v>
      </c>
      <c r="U389" s="2" t="s">
        <v>110</v>
      </c>
      <c r="V389" s="2" t="s">
        <v>38</v>
      </c>
      <c r="W389" s="2" t="s">
        <v>35</v>
      </c>
      <c r="X389" s="2">
        <v>115</v>
      </c>
      <c r="Y389" s="2" t="s">
        <v>35</v>
      </c>
      <c r="Z389" s="2" t="b">
        <v>0</v>
      </c>
      <c r="AA389" s="2" t="s">
        <v>35</v>
      </c>
      <c r="AB389" s="2" t="s">
        <v>35</v>
      </c>
      <c r="AC389" s="2" t="s">
        <v>35</v>
      </c>
      <c r="AD389" s="2" t="s">
        <v>35</v>
      </c>
      <c r="AE389" s="2" t="s">
        <v>1464</v>
      </c>
      <c r="AF389" s="11">
        <v>44747.425694444442</v>
      </c>
      <c r="AG389" s="53"/>
      <c r="AH389" s="53" t="b">
        <f t="shared" si="9"/>
        <v>0</v>
      </c>
      <c r="AI389" s="54" t="s">
        <v>9628</v>
      </c>
      <c r="AJ389" s="2"/>
      <c r="AK389" s="2"/>
      <c r="AL389" s="2"/>
      <c r="AM389" s="2"/>
      <c r="AN389" s="2"/>
    </row>
    <row r="390" spans="1:40" ht="16" x14ac:dyDescent="0.2">
      <c r="A390" s="2" t="s">
        <v>1472</v>
      </c>
      <c r="B390" s="2">
        <v>447</v>
      </c>
      <c r="C390" s="2" t="b">
        <v>0</v>
      </c>
      <c r="D390" s="2" t="b">
        <v>0</v>
      </c>
      <c r="E390" s="2" t="b">
        <v>0</v>
      </c>
      <c r="F390" s="2" t="b">
        <v>0</v>
      </c>
      <c r="G390" s="2" t="s">
        <v>31</v>
      </c>
      <c r="H390" s="2" t="s">
        <v>1473</v>
      </c>
      <c r="I390" s="2" t="s">
        <v>1474</v>
      </c>
      <c r="J390" s="2" t="s">
        <v>1475</v>
      </c>
      <c r="K390" s="2" t="s">
        <v>35</v>
      </c>
      <c r="L390" s="2" t="s">
        <v>35</v>
      </c>
      <c r="M390" s="2" t="s">
        <v>35</v>
      </c>
      <c r="N390" s="2" t="s">
        <v>35</v>
      </c>
      <c r="O390" s="11">
        <v>44747.429007766201</v>
      </c>
      <c r="P390" s="11">
        <v>44747.429175451391</v>
      </c>
      <c r="Q390" s="27">
        <v>1.676851898082532E-4</v>
      </c>
      <c r="R390" s="27">
        <v>7.7467592927860096E-4</v>
      </c>
      <c r="S390" s="2">
        <v>0</v>
      </c>
      <c r="T390" s="2" t="s">
        <v>109</v>
      </c>
      <c r="U390" s="2" t="s">
        <v>110</v>
      </c>
      <c r="V390" s="2" t="s">
        <v>38</v>
      </c>
      <c r="W390" s="2" t="s">
        <v>35</v>
      </c>
      <c r="X390" s="2">
        <v>96</v>
      </c>
      <c r="Y390" s="2" t="s">
        <v>35</v>
      </c>
      <c r="Z390" s="2" t="b">
        <v>0</v>
      </c>
      <c r="AA390" s="2" t="s">
        <v>35</v>
      </c>
      <c r="AB390" s="2" t="s">
        <v>35</v>
      </c>
      <c r="AC390" s="2" t="s">
        <v>35</v>
      </c>
      <c r="AD390" s="2" t="s">
        <v>35</v>
      </c>
      <c r="AE390" s="2" t="s">
        <v>1464</v>
      </c>
      <c r="AF390" s="11">
        <v>44747.425694386577</v>
      </c>
      <c r="AG390" s="53"/>
      <c r="AH390" s="53" t="b">
        <f t="shared" si="9"/>
        <v>0</v>
      </c>
      <c r="AI390" s="54" t="s">
        <v>9627</v>
      </c>
      <c r="AJ390" s="2"/>
      <c r="AK390" s="2"/>
      <c r="AL390" s="2"/>
      <c r="AM390" s="2"/>
      <c r="AN390" s="2"/>
    </row>
    <row r="391" spans="1:40" ht="16" x14ac:dyDescent="0.2">
      <c r="A391" s="2" t="s">
        <v>1479</v>
      </c>
      <c r="B391" s="2">
        <v>449</v>
      </c>
      <c r="C391" s="2" t="b">
        <v>0</v>
      </c>
      <c r="D391" s="2" t="b">
        <v>0</v>
      </c>
      <c r="E391" s="2" t="b">
        <v>0</v>
      </c>
      <c r="F391" s="2" t="b">
        <v>0</v>
      </c>
      <c r="G391" s="2" t="s">
        <v>31</v>
      </c>
      <c r="H391" s="2" t="s">
        <v>1480</v>
      </c>
      <c r="I391" s="2" t="s">
        <v>1481</v>
      </c>
      <c r="J391" s="2" t="s">
        <v>1475</v>
      </c>
      <c r="K391" s="2" t="s">
        <v>35</v>
      </c>
      <c r="L391" s="2" t="s">
        <v>35</v>
      </c>
      <c r="M391" s="2" t="s">
        <v>35</v>
      </c>
      <c r="N391" s="2" t="s">
        <v>35</v>
      </c>
      <c r="O391" s="11">
        <v>44747.429977534724</v>
      </c>
      <c r="P391" s="11">
        <v>44747.430155243055</v>
      </c>
      <c r="Q391" s="27">
        <v>1.7770833073882386E-4</v>
      </c>
      <c r="R391" s="27">
        <v>5.0649305194383487E-4</v>
      </c>
      <c r="S391" s="2">
        <v>0</v>
      </c>
      <c r="T391" s="2" t="s">
        <v>109</v>
      </c>
      <c r="U391" s="2" t="s">
        <v>110</v>
      </c>
      <c r="V391" s="2" t="s">
        <v>38</v>
      </c>
      <c r="W391" s="2" t="s">
        <v>35</v>
      </c>
      <c r="X391" s="2">
        <v>102</v>
      </c>
      <c r="Y391" s="2" t="s">
        <v>35</v>
      </c>
      <c r="Z391" s="2" t="b">
        <v>0</v>
      </c>
      <c r="AA391" s="2" t="s">
        <v>35</v>
      </c>
      <c r="AB391" s="2" t="s">
        <v>35</v>
      </c>
      <c r="AC391" s="2" t="s">
        <v>35</v>
      </c>
      <c r="AD391" s="2" t="s">
        <v>35</v>
      </c>
      <c r="AE391" s="2" t="s">
        <v>1464</v>
      </c>
      <c r="AF391" s="11">
        <v>44747.425694386577</v>
      </c>
      <c r="AG391" s="53"/>
      <c r="AH391" s="53" t="b">
        <f t="shared" si="9"/>
        <v>0</v>
      </c>
      <c r="AI391" s="54" t="s">
        <v>9625</v>
      </c>
      <c r="AJ391" s="2"/>
      <c r="AK391" s="2"/>
      <c r="AL391" s="2"/>
      <c r="AM391" s="2"/>
      <c r="AN391" s="2"/>
    </row>
    <row r="392" spans="1:40" ht="16" x14ac:dyDescent="0.2">
      <c r="A392" s="2" t="s">
        <v>2208</v>
      </c>
      <c r="B392" s="2">
        <v>682</v>
      </c>
      <c r="C392" s="2" t="b">
        <v>0</v>
      </c>
      <c r="D392" s="2" t="b">
        <v>0</v>
      </c>
      <c r="E392" s="2" t="b">
        <v>0</v>
      </c>
      <c r="F392" s="2" t="b">
        <v>0</v>
      </c>
      <c r="G392" s="2" t="s">
        <v>31</v>
      </c>
      <c r="H392" s="2" t="s">
        <v>2209</v>
      </c>
      <c r="I392" s="2" t="s">
        <v>2210</v>
      </c>
      <c r="J392" s="2" t="s">
        <v>35</v>
      </c>
      <c r="K392" s="2" t="s">
        <v>35</v>
      </c>
      <c r="L392" s="2" t="s">
        <v>35</v>
      </c>
      <c r="M392" s="2" t="s">
        <v>35</v>
      </c>
      <c r="N392" s="2" t="s">
        <v>35</v>
      </c>
      <c r="O392" s="11">
        <v>44749.466160613425</v>
      </c>
      <c r="P392" s="11">
        <v>44749.466295844904</v>
      </c>
      <c r="Q392" s="27">
        <v>1.3523147936211899E-4</v>
      </c>
      <c r="R392" s="27">
        <v>4.8880786926019937E-4</v>
      </c>
      <c r="S392" s="2">
        <v>0</v>
      </c>
      <c r="T392" s="2" t="s">
        <v>109</v>
      </c>
      <c r="U392" s="2" t="s">
        <v>110</v>
      </c>
      <c r="V392" s="2" t="s">
        <v>38</v>
      </c>
      <c r="W392" s="2" t="s">
        <v>35</v>
      </c>
      <c r="X392" s="2">
        <v>110</v>
      </c>
      <c r="Y392" s="2" t="s">
        <v>35</v>
      </c>
      <c r="Z392" s="2" t="b">
        <v>0</v>
      </c>
      <c r="AA392" s="2" t="s">
        <v>35</v>
      </c>
      <c r="AB392" s="2" t="s">
        <v>35</v>
      </c>
      <c r="AC392" s="2" t="s">
        <v>35</v>
      </c>
      <c r="AD392" s="2" t="s">
        <v>35</v>
      </c>
      <c r="AE392" s="2" t="s">
        <v>2025</v>
      </c>
      <c r="AF392" s="11">
        <v>44749.40625</v>
      </c>
      <c r="AG392" s="53"/>
      <c r="AH392" s="53" t="b">
        <f t="shared" si="9"/>
        <v>0</v>
      </c>
      <c r="AI392" s="54" t="s">
        <v>10150</v>
      </c>
      <c r="AJ392" s="2"/>
      <c r="AK392" s="2"/>
      <c r="AL392" s="2"/>
      <c r="AM392" s="2"/>
      <c r="AN392" s="2"/>
    </row>
    <row r="393" spans="1:40" ht="16" x14ac:dyDescent="0.2">
      <c r="A393" s="2" t="s">
        <v>2227</v>
      </c>
      <c r="B393" s="2">
        <v>688</v>
      </c>
      <c r="C393" s="2" t="b">
        <v>0</v>
      </c>
      <c r="D393" s="2" t="b">
        <v>0</v>
      </c>
      <c r="E393" s="2" t="b">
        <v>0</v>
      </c>
      <c r="F393" s="2" t="b">
        <v>0</v>
      </c>
      <c r="G393" s="2" t="s">
        <v>31</v>
      </c>
      <c r="H393" s="2" t="s">
        <v>2228</v>
      </c>
      <c r="I393" s="2" t="s">
        <v>2229</v>
      </c>
      <c r="J393" s="2" t="s">
        <v>35</v>
      </c>
      <c r="K393" s="2" t="s">
        <v>35</v>
      </c>
      <c r="L393" s="2" t="s">
        <v>35</v>
      </c>
      <c r="M393" s="2" t="s">
        <v>35</v>
      </c>
      <c r="N393" s="2" t="s">
        <v>35</v>
      </c>
      <c r="O393" s="11">
        <v>44749.47212982639</v>
      </c>
      <c r="P393" s="11">
        <v>44749.472342939815</v>
      </c>
      <c r="Q393" s="27">
        <v>2.1311342425178736E-4</v>
      </c>
      <c r="R393" s="27">
        <v>2.9344791691983119E-3</v>
      </c>
      <c r="S393" s="2">
        <v>0</v>
      </c>
      <c r="T393" s="2" t="s">
        <v>109</v>
      </c>
      <c r="U393" s="2" t="s">
        <v>110</v>
      </c>
      <c r="V393" s="2" t="s">
        <v>38</v>
      </c>
      <c r="W393" s="2" t="s">
        <v>35</v>
      </c>
      <c r="X393" s="2">
        <v>105</v>
      </c>
      <c r="Y393" s="2" t="s">
        <v>35</v>
      </c>
      <c r="Z393" s="2" t="b">
        <v>0</v>
      </c>
      <c r="AA393" s="2" t="s">
        <v>35</v>
      </c>
      <c r="AB393" s="2" t="s">
        <v>35</v>
      </c>
      <c r="AC393" s="2" t="s">
        <v>35</v>
      </c>
      <c r="AD393" s="2" t="s">
        <v>35</v>
      </c>
      <c r="AE393" s="2" t="s">
        <v>2025</v>
      </c>
      <c r="AF393" s="11">
        <v>44749.40625</v>
      </c>
      <c r="AG393" s="53"/>
      <c r="AH393" s="53" t="b">
        <f t="shared" si="9"/>
        <v>0</v>
      </c>
      <c r="AI393" s="54" t="s">
        <v>9624</v>
      </c>
      <c r="AJ393" s="2"/>
      <c r="AK393" s="2"/>
      <c r="AL393" s="2"/>
      <c r="AM393" s="2"/>
      <c r="AN393" s="2"/>
    </row>
    <row r="394" spans="1:40" ht="16" x14ac:dyDescent="0.2">
      <c r="A394" s="2" t="s">
        <v>2392</v>
      </c>
      <c r="B394" s="2">
        <v>739</v>
      </c>
      <c r="C394" s="2" t="b">
        <v>0</v>
      </c>
      <c r="D394" s="2" t="b">
        <v>0</v>
      </c>
      <c r="E394" s="2" t="b">
        <v>0</v>
      </c>
      <c r="F394" s="2" t="b">
        <v>0</v>
      </c>
      <c r="G394" s="2" t="s">
        <v>31</v>
      </c>
      <c r="H394" s="2" t="s">
        <v>2393</v>
      </c>
      <c r="I394" s="2" t="s">
        <v>2394</v>
      </c>
      <c r="J394" s="2" t="s">
        <v>2395</v>
      </c>
      <c r="K394" s="2" t="s">
        <v>35</v>
      </c>
      <c r="L394" s="2" t="s">
        <v>35</v>
      </c>
      <c r="M394" s="2" t="s">
        <v>35</v>
      </c>
      <c r="N394" s="2" t="s">
        <v>35</v>
      </c>
      <c r="O394" s="11">
        <v>44749.521181597222</v>
      </c>
      <c r="P394" s="11">
        <v>44749.521561886577</v>
      </c>
      <c r="Q394" s="27">
        <v>3.8028935523470864E-4</v>
      </c>
      <c r="R394" s="27">
        <v>2.2294444497674704E-3</v>
      </c>
      <c r="S394" s="2">
        <v>0</v>
      </c>
      <c r="T394" s="2" t="s">
        <v>109</v>
      </c>
      <c r="U394" s="2" t="s">
        <v>110</v>
      </c>
      <c r="V394" s="2" t="s">
        <v>38</v>
      </c>
      <c r="W394" s="2" t="s">
        <v>35</v>
      </c>
      <c r="X394" s="2">
        <v>104</v>
      </c>
      <c r="Y394" s="2" t="s">
        <v>35</v>
      </c>
      <c r="Z394" s="2" t="b">
        <v>0</v>
      </c>
      <c r="AA394" s="2" t="s">
        <v>35</v>
      </c>
      <c r="AB394" s="2" t="s">
        <v>35</v>
      </c>
      <c r="AC394" s="2" t="s">
        <v>35</v>
      </c>
      <c r="AD394" s="2" t="s">
        <v>35</v>
      </c>
      <c r="AE394" s="2" t="s">
        <v>2025</v>
      </c>
      <c r="AF394" s="11">
        <v>44749.40625</v>
      </c>
      <c r="AG394" s="53"/>
      <c r="AH394" s="53" t="b">
        <f t="shared" ref="AH394:AH411" si="10">IF(Q394&gt;TIME(0,1,26),"TRUE")</f>
        <v>0</v>
      </c>
      <c r="AI394" s="54" t="s">
        <v>9621</v>
      </c>
      <c r="AJ394" s="2"/>
      <c r="AK394" s="2"/>
      <c r="AL394" s="2"/>
      <c r="AM394" s="2"/>
      <c r="AN394" s="2"/>
    </row>
    <row r="395" spans="1:40" ht="16" x14ac:dyDescent="0.2">
      <c r="A395" s="2" t="s">
        <v>2452</v>
      </c>
      <c r="B395" s="2">
        <v>757</v>
      </c>
      <c r="C395" s="2" t="b">
        <v>0</v>
      </c>
      <c r="D395" s="2" t="b">
        <v>0</v>
      </c>
      <c r="E395" s="2" t="b">
        <v>0</v>
      </c>
      <c r="F395" s="2" t="b">
        <v>0</v>
      </c>
      <c r="G395" s="2" t="s">
        <v>31</v>
      </c>
      <c r="H395" s="2" t="s">
        <v>2453</v>
      </c>
      <c r="I395" s="2" t="s">
        <v>2454</v>
      </c>
      <c r="J395" s="2" t="s">
        <v>2455</v>
      </c>
      <c r="K395" s="2" t="s">
        <v>35</v>
      </c>
      <c r="L395" s="2" t="s">
        <v>35</v>
      </c>
      <c r="M395" s="2" t="s">
        <v>35</v>
      </c>
      <c r="N395" s="2" t="s">
        <v>35</v>
      </c>
      <c r="O395" s="11">
        <v>44753.432864699076</v>
      </c>
      <c r="P395" s="11">
        <v>44753.433653194443</v>
      </c>
      <c r="Q395" s="27">
        <v>7.8849536657799035E-4</v>
      </c>
      <c r="R395" s="27">
        <v>1.0471180503373034E-3</v>
      </c>
      <c r="S395" s="2">
        <v>0</v>
      </c>
      <c r="T395" s="2" t="s">
        <v>109</v>
      </c>
      <c r="U395" s="2" t="s">
        <v>110</v>
      </c>
      <c r="V395" s="2" t="s">
        <v>38</v>
      </c>
      <c r="W395" s="2" t="s">
        <v>35</v>
      </c>
      <c r="X395" s="2">
        <v>0</v>
      </c>
      <c r="Y395" s="2" t="s">
        <v>2456</v>
      </c>
      <c r="Z395" s="2" t="b">
        <v>0</v>
      </c>
      <c r="AA395" s="2" t="s">
        <v>35</v>
      </c>
      <c r="AB395" s="2" t="s">
        <v>35</v>
      </c>
      <c r="AC395" s="2" t="s">
        <v>35</v>
      </c>
      <c r="AD395" s="2" t="s">
        <v>35</v>
      </c>
      <c r="AE395" s="2" t="s">
        <v>2406</v>
      </c>
      <c r="AF395" s="11">
        <v>44753.409722164353</v>
      </c>
      <c r="AG395" s="53"/>
      <c r="AH395" s="53" t="b">
        <f t="shared" si="10"/>
        <v>0</v>
      </c>
      <c r="AI395" s="54" t="s">
        <v>9620</v>
      </c>
      <c r="AJ395" s="2"/>
      <c r="AK395" s="2"/>
      <c r="AL395" s="2"/>
      <c r="AM395" s="2"/>
      <c r="AN395" s="2"/>
    </row>
    <row r="396" spans="1:40" ht="16" x14ac:dyDescent="0.2">
      <c r="A396" s="2" t="s">
        <v>2701</v>
      </c>
      <c r="B396" s="2">
        <v>836</v>
      </c>
      <c r="C396" s="2" t="b">
        <v>0</v>
      </c>
      <c r="D396" s="2" t="b">
        <v>0</v>
      </c>
      <c r="E396" s="2" t="b">
        <v>0</v>
      </c>
      <c r="F396" s="2" t="b">
        <v>0</v>
      </c>
      <c r="G396" s="2" t="s">
        <v>31</v>
      </c>
      <c r="H396" s="2" t="s">
        <v>2702</v>
      </c>
      <c r="I396" s="2" t="s">
        <v>2703</v>
      </c>
      <c r="J396" s="2" t="s">
        <v>2704</v>
      </c>
      <c r="K396" s="2" t="s">
        <v>35</v>
      </c>
      <c r="L396" s="2" t="s">
        <v>35</v>
      </c>
      <c r="M396" s="2" t="s">
        <v>35</v>
      </c>
      <c r="N396" s="2" t="s">
        <v>35</v>
      </c>
      <c r="O396" s="11">
        <v>44755.409920995371</v>
      </c>
      <c r="P396" s="11">
        <v>44755.410915046297</v>
      </c>
      <c r="Q396" s="27">
        <v>9.9405092623783275E-4</v>
      </c>
      <c r="R396" s="27">
        <v>2.8952893553650938E-3</v>
      </c>
      <c r="S396" s="2">
        <v>0</v>
      </c>
      <c r="T396" s="2" t="s">
        <v>109</v>
      </c>
      <c r="U396" s="2" t="s">
        <v>110</v>
      </c>
      <c r="V396" s="2" t="s">
        <v>38</v>
      </c>
      <c r="W396" s="2" t="s">
        <v>35</v>
      </c>
      <c r="X396" s="2">
        <v>0</v>
      </c>
      <c r="Y396" s="2" t="s">
        <v>35</v>
      </c>
      <c r="Z396" s="2" t="b">
        <v>0</v>
      </c>
      <c r="AA396" s="2" t="s">
        <v>35</v>
      </c>
      <c r="AB396" s="2" t="s">
        <v>35</v>
      </c>
      <c r="AC396" s="2" t="s">
        <v>35</v>
      </c>
      <c r="AD396" s="2" t="s">
        <v>35</v>
      </c>
      <c r="AE396" s="2" t="s">
        <v>2650</v>
      </c>
      <c r="AF396" s="11">
        <v>44755.386805555558</v>
      </c>
      <c r="AG396" s="53"/>
      <c r="AH396" s="53" t="b">
        <f t="shared" si="10"/>
        <v>0</v>
      </c>
      <c r="AI396" s="54" t="s">
        <v>9619</v>
      </c>
      <c r="AJ396" s="2" t="s">
        <v>9618</v>
      </c>
      <c r="AK396" s="2" t="s">
        <v>9617</v>
      </c>
      <c r="AL396" s="2"/>
      <c r="AM396" s="2"/>
      <c r="AN396" s="2"/>
    </row>
    <row r="397" spans="1:40" ht="16" x14ac:dyDescent="0.2">
      <c r="A397" s="2" t="s">
        <v>2715</v>
      </c>
      <c r="B397" s="2">
        <v>840</v>
      </c>
      <c r="C397" s="2" t="b">
        <v>0</v>
      </c>
      <c r="D397" s="2" t="b">
        <v>0</v>
      </c>
      <c r="E397" s="2" t="b">
        <v>0</v>
      </c>
      <c r="F397" s="2" t="b">
        <v>0</v>
      </c>
      <c r="G397" s="2" t="s">
        <v>31</v>
      </c>
      <c r="H397" s="2" t="s">
        <v>2716</v>
      </c>
      <c r="I397" s="2" t="s">
        <v>2717</v>
      </c>
      <c r="J397" s="2" t="s">
        <v>2718</v>
      </c>
      <c r="K397" s="2" t="s">
        <v>35</v>
      </c>
      <c r="L397" s="2" t="s">
        <v>35</v>
      </c>
      <c r="M397" s="2" t="s">
        <v>35</v>
      </c>
      <c r="N397" s="2" t="s">
        <v>35</v>
      </c>
      <c r="O397" s="11">
        <v>44755.412470960648</v>
      </c>
      <c r="P397" s="11">
        <v>44755.41301802083</v>
      </c>
      <c r="Q397" s="27">
        <v>5.4706018272554502E-4</v>
      </c>
      <c r="R397" s="27">
        <v>6.6089120082324371E-4</v>
      </c>
      <c r="S397" s="2">
        <v>0</v>
      </c>
      <c r="T397" s="2" t="s">
        <v>109</v>
      </c>
      <c r="U397" s="2" t="s">
        <v>110</v>
      </c>
      <c r="V397" s="2" t="s">
        <v>38</v>
      </c>
      <c r="W397" s="2" t="s">
        <v>35</v>
      </c>
      <c r="X397" s="2" t="s">
        <v>35</v>
      </c>
      <c r="Y397" s="2" t="s">
        <v>839</v>
      </c>
      <c r="Z397" s="2" t="b">
        <v>0</v>
      </c>
      <c r="AA397" s="2" t="s">
        <v>35</v>
      </c>
      <c r="AB397" s="2" t="s">
        <v>35</v>
      </c>
      <c r="AC397" s="2" t="s">
        <v>35</v>
      </c>
      <c r="AD397" s="2" t="s">
        <v>35</v>
      </c>
      <c r="AE397" s="2" t="s">
        <v>2650</v>
      </c>
      <c r="AF397" s="11">
        <v>44755.386805555558</v>
      </c>
      <c r="AG397" s="53"/>
      <c r="AH397" s="53" t="b">
        <f t="shared" si="10"/>
        <v>0</v>
      </c>
      <c r="AI397" s="54" t="s">
        <v>9615</v>
      </c>
      <c r="AJ397" s="2"/>
      <c r="AK397" s="2"/>
      <c r="AL397" s="2"/>
      <c r="AM397" s="2"/>
      <c r="AN397" s="2"/>
    </row>
    <row r="398" spans="1:40" ht="16" x14ac:dyDescent="0.2">
      <c r="A398" s="2" t="s">
        <v>2904</v>
      </c>
      <c r="B398" s="2">
        <v>899</v>
      </c>
      <c r="C398" s="2" t="b">
        <v>0</v>
      </c>
      <c r="D398" s="2" t="b">
        <v>0</v>
      </c>
      <c r="E398" s="2" t="b">
        <v>0</v>
      </c>
      <c r="F398" s="2" t="b">
        <v>0</v>
      </c>
      <c r="G398" s="2" t="s">
        <v>31</v>
      </c>
      <c r="H398" s="2" t="s">
        <v>2905</v>
      </c>
      <c r="I398" s="2" t="s">
        <v>2906</v>
      </c>
      <c r="J398" s="2" t="s">
        <v>2907</v>
      </c>
      <c r="K398" s="2" t="s">
        <v>35</v>
      </c>
      <c r="L398" s="2" t="s">
        <v>35</v>
      </c>
      <c r="M398" s="2" t="s">
        <v>35</v>
      </c>
      <c r="N398" s="2" t="s">
        <v>35</v>
      </c>
      <c r="O398" s="11">
        <v>44762.366962835651</v>
      </c>
      <c r="P398" s="11">
        <v>44762.367895370371</v>
      </c>
      <c r="Q398" s="27">
        <v>9.3253472005017102E-4</v>
      </c>
      <c r="R398" s="27">
        <v>1.8255208342452534E-3</v>
      </c>
      <c r="S398" s="2">
        <v>0</v>
      </c>
      <c r="T398" s="2" t="s">
        <v>109</v>
      </c>
      <c r="U398" s="2" t="s">
        <v>110</v>
      </c>
      <c r="V398" s="2" t="s">
        <v>38</v>
      </c>
      <c r="W398" s="2" t="s">
        <v>35</v>
      </c>
      <c r="X398" s="2">
        <v>96</v>
      </c>
      <c r="Y398" s="2" t="s">
        <v>35</v>
      </c>
      <c r="Z398" s="2" t="b">
        <v>0</v>
      </c>
      <c r="AA398" s="2" t="s">
        <v>35</v>
      </c>
      <c r="AB398" s="2" t="s">
        <v>35</v>
      </c>
      <c r="AC398" s="2" t="s">
        <v>35</v>
      </c>
      <c r="AD398" s="2" t="s">
        <v>35</v>
      </c>
      <c r="AE398" s="2" t="s">
        <v>2840</v>
      </c>
      <c r="AF398" s="11">
        <v>44762.350694444445</v>
      </c>
      <c r="AG398" s="53"/>
      <c r="AH398" s="53" t="b">
        <f t="shared" si="10"/>
        <v>0</v>
      </c>
      <c r="AI398" s="54" t="s">
        <v>10151</v>
      </c>
      <c r="AJ398" s="2"/>
      <c r="AK398" s="2"/>
      <c r="AL398" s="2"/>
      <c r="AM398" s="2"/>
      <c r="AN398" s="2"/>
    </row>
    <row r="399" spans="1:40" ht="16" x14ac:dyDescent="0.2">
      <c r="A399" s="2" t="s">
        <v>3451</v>
      </c>
      <c r="B399" s="2">
        <v>1074</v>
      </c>
      <c r="C399" s="2" t="b">
        <v>0</v>
      </c>
      <c r="D399" s="2" t="b">
        <v>0</v>
      </c>
      <c r="E399" s="2" t="b">
        <v>0</v>
      </c>
      <c r="F399" s="2" t="b">
        <v>0</v>
      </c>
      <c r="G399" s="2" t="s">
        <v>31</v>
      </c>
      <c r="H399" s="2" t="s">
        <v>3452</v>
      </c>
      <c r="I399" s="2" t="s">
        <v>3453</v>
      </c>
      <c r="J399" s="2" t="s">
        <v>3454</v>
      </c>
      <c r="K399" s="2" t="s">
        <v>35</v>
      </c>
      <c r="L399" s="2" t="s">
        <v>35</v>
      </c>
      <c r="M399" s="2" t="s">
        <v>35</v>
      </c>
      <c r="N399" s="2" t="s">
        <v>35</v>
      </c>
      <c r="O399" s="11">
        <v>44764.446387152777</v>
      </c>
      <c r="P399" s="11">
        <v>44764.446809479166</v>
      </c>
      <c r="Q399" s="27">
        <v>4.2232638952555135E-4</v>
      </c>
      <c r="R399" s="27">
        <v>9.1821759269805625E-4</v>
      </c>
      <c r="S399" s="2">
        <v>0</v>
      </c>
      <c r="T399" s="2" t="s">
        <v>109</v>
      </c>
      <c r="U399" s="2" t="s">
        <v>110</v>
      </c>
      <c r="V399" s="2" t="s">
        <v>38</v>
      </c>
      <c r="W399" s="2" t="s">
        <v>35</v>
      </c>
      <c r="X399" s="2">
        <v>56</v>
      </c>
      <c r="Y399" s="2" t="s">
        <v>3455</v>
      </c>
      <c r="Z399" s="2" t="b">
        <v>0</v>
      </c>
      <c r="AA399" s="2" t="s">
        <v>35</v>
      </c>
      <c r="AB399" s="2" t="s">
        <v>35</v>
      </c>
      <c r="AC399" s="2" t="s">
        <v>35</v>
      </c>
      <c r="AD399" s="2" t="s">
        <v>35</v>
      </c>
      <c r="AE399" s="2" t="s">
        <v>3248</v>
      </c>
      <c r="AF399" s="11">
        <v>44764.361111053244</v>
      </c>
      <c r="AG399" s="53"/>
      <c r="AH399" s="53" t="b">
        <f t="shared" si="10"/>
        <v>0</v>
      </c>
      <c r="AI399" s="54" t="s">
        <v>9613</v>
      </c>
      <c r="AJ399" s="2"/>
      <c r="AK399" s="2"/>
      <c r="AL399" s="2"/>
      <c r="AM399" s="2"/>
      <c r="AN399" s="2"/>
    </row>
    <row r="400" spans="1:40" ht="16" x14ac:dyDescent="0.2">
      <c r="A400" s="2" t="s">
        <v>3456</v>
      </c>
      <c r="B400" s="2">
        <v>1075</v>
      </c>
      <c r="C400" s="2" t="b">
        <v>0</v>
      </c>
      <c r="D400" s="2" t="b">
        <v>0</v>
      </c>
      <c r="E400" s="2" t="b">
        <v>0</v>
      </c>
      <c r="F400" s="2" t="b">
        <v>0</v>
      </c>
      <c r="G400" s="2" t="s">
        <v>31</v>
      </c>
      <c r="H400" s="2" t="s">
        <v>3457</v>
      </c>
      <c r="I400" s="2" t="s">
        <v>3458</v>
      </c>
      <c r="J400" s="2" t="s">
        <v>3459</v>
      </c>
      <c r="K400" s="2" t="s">
        <v>35</v>
      </c>
      <c r="L400" s="2" t="s">
        <v>35</v>
      </c>
      <c r="M400" s="2" t="s">
        <v>35</v>
      </c>
      <c r="N400" s="2" t="s">
        <v>35</v>
      </c>
      <c r="O400" s="11">
        <v>44764.447505312499</v>
      </c>
      <c r="P400" s="11">
        <v>44764.447820081019</v>
      </c>
      <c r="Q400" s="27">
        <v>3.1476852018386126E-4</v>
      </c>
      <c r="R400" s="27">
        <v>1.0106018526130356E-3</v>
      </c>
      <c r="S400" s="2">
        <v>0</v>
      </c>
      <c r="T400" s="2" t="s">
        <v>109</v>
      </c>
      <c r="U400" s="2" t="s">
        <v>110</v>
      </c>
      <c r="V400" s="2" t="s">
        <v>38</v>
      </c>
      <c r="W400" s="2" t="s">
        <v>35</v>
      </c>
      <c r="X400" s="2">
        <v>56</v>
      </c>
      <c r="Y400" s="2" t="s">
        <v>35</v>
      </c>
      <c r="Z400" s="2" t="b">
        <v>0</v>
      </c>
      <c r="AA400" s="2" t="s">
        <v>35</v>
      </c>
      <c r="AB400" s="2" t="s">
        <v>35</v>
      </c>
      <c r="AC400" s="2" t="s">
        <v>35</v>
      </c>
      <c r="AD400" s="2" t="s">
        <v>35</v>
      </c>
      <c r="AE400" s="2" t="s">
        <v>3248</v>
      </c>
      <c r="AF400" s="11">
        <v>44764.361111053244</v>
      </c>
      <c r="AG400" s="53"/>
      <c r="AH400" s="53" t="b">
        <f t="shared" si="10"/>
        <v>0</v>
      </c>
      <c r="AI400" s="54" t="s">
        <v>10152</v>
      </c>
      <c r="AJ400" s="2"/>
      <c r="AK400" s="2"/>
      <c r="AL400" s="2"/>
      <c r="AM400" s="2"/>
      <c r="AN400" s="2"/>
    </row>
    <row r="401" spans="1:40" ht="16" x14ac:dyDescent="0.2">
      <c r="A401" s="2" t="s">
        <v>3467</v>
      </c>
      <c r="B401" s="2">
        <v>1078</v>
      </c>
      <c r="C401" s="2" t="b">
        <v>0</v>
      </c>
      <c r="D401" s="2" t="b">
        <v>0</v>
      </c>
      <c r="E401" s="2" t="b">
        <v>0</v>
      </c>
      <c r="F401" s="2" t="b">
        <v>0</v>
      </c>
      <c r="G401" s="2" t="s">
        <v>31</v>
      </c>
      <c r="H401" s="2" t="s">
        <v>3468</v>
      </c>
      <c r="I401" s="2" t="s">
        <v>3469</v>
      </c>
      <c r="J401" s="2" t="s">
        <v>3470</v>
      </c>
      <c r="K401" s="2" t="s">
        <v>35</v>
      </c>
      <c r="L401" s="2" t="s">
        <v>35</v>
      </c>
      <c r="M401" s="2" t="s">
        <v>35</v>
      </c>
      <c r="N401" s="2" t="s">
        <v>35</v>
      </c>
      <c r="O401" s="11">
        <v>44764.453991203707</v>
      </c>
      <c r="P401" s="11">
        <v>44764.454143842595</v>
      </c>
      <c r="Q401" s="27">
        <v>1.5263888781191781E-4</v>
      </c>
      <c r="R401" s="27">
        <v>1.2442129664123058E-3</v>
      </c>
      <c r="S401" s="2">
        <v>0</v>
      </c>
      <c r="T401" s="2" t="s">
        <v>109</v>
      </c>
      <c r="U401" s="2" t="s">
        <v>110</v>
      </c>
      <c r="V401" s="2" t="s">
        <v>38</v>
      </c>
      <c r="W401" s="2" t="s">
        <v>35</v>
      </c>
      <c r="X401" s="2">
        <v>100</v>
      </c>
      <c r="Y401" s="2" t="s">
        <v>35</v>
      </c>
      <c r="Z401" s="2" t="b">
        <v>0</v>
      </c>
      <c r="AA401" s="2" t="s">
        <v>35</v>
      </c>
      <c r="AB401" s="2" t="s">
        <v>35</v>
      </c>
      <c r="AC401" s="2" t="s">
        <v>35</v>
      </c>
      <c r="AD401" s="2" t="s">
        <v>35</v>
      </c>
      <c r="AE401" s="2" t="s">
        <v>3248</v>
      </c>
      <c r="AF401" s="11">
        <v>44764.361111053244</v>
      </c>
      <c r="AG401" s="53"/>
      <c r="AH401" s="53" t="b">
        <f t="shared" si="10"/>
        <v>0</v>
      </c>
      <c r="AI401" s="54" t="s">
        <v>9612</v>
      </c>
      <c r="AJ401" s="2"/>
      <c r="AK401" s="2"/>
      <c r="AL401" s="2"/>
      <c r="AM401" s="2"/>
      <c r="AN401" s="2"/>
    </row>
    <row r="402" spans="1:40" ht="16" x14ac:dyDescent="0.2">
      <c r="A402" s="2" t="s">
        <v>3509</v>
      </c>
      <c r="B402" s="2">
        <v>1092</v>
      </c>
      <c r="C402" s="2" t="b">
        <v>0</v>
      </c>
      <c r="D402" s="2" t="b">
        <v>0</v>
      </c>
      <c r="E402" s="2" t="b">
        <v>0</v>
      </c>
      <c r="F402" s="2" t="b">
        <v>0</v>
      </c>
      <c r="G402" s="2" t="s">
        <v>31</v>
      </c>
      <c r="H402" s="2" t="s">
        <v>3510</v>
      </c>
      <c r="I402" s="2" t="s">
        <v>3511</v>
      </c>
      <c r="J402" s="2" t="s">
        <v>3512</v>
      </c>
      <c r="K402" s="2" t="s">
        <v>35</v>
      </c>
      <c r="L402" s="2" t="s">
        <v>35</v>
      </c>
      <c r="M402" s="2" t="s">
        <v>35</v>
      </c>
      <c r="N402" s="2" t="s">
        <v>35</v>
      </c>
      <c r="O402" s="11">
        <v>44769.389658622684</v>
      </c>
      <c r="P402" s="11">
        <v>44769.390279930558</v>
      </c>
      <c r="Q402" s="27">
        <v>6.2130787409842014E-4</v>
      </c>
      <c r="R402" s="27">
        <v>1.2204745362396352E-3</v>
      </c>
      <c r="S402" s="2">
        <v>0</v>
      </c>
      <c r="T402" s="2" t="s">
        <v>109</v>
      </c>
      <c r="U402" s="2" t="s">
        <v>110</v>
      </c>
      <c r="V402" s="2" t="s">
        <v>38</v>
      </c>
      <c r="W402" s="2" t="s">
        <v>35</v>
      </c>
      <c r="X402" s="2">
        <v>101</v>
      </c>
      <c r="Y402" s="2" t="s">
        <v>35</v>
      </c>
      <c r="Z402" s="2" t="b">
        <v>0</v>
      </c>
      <c r="AA402" s="2" t="s">
        <v>35</v>
      </c>
      <c r="AB402" s="2" t="s">
        <v>35</v>
      </c>
      <c r="AC402" s="2" t="s">
        <v>35</v>
      </c>
      <c r="AD402" s="2" t="s">
        <v>35</v>
      </c>
      <c r="AE402" s="2" t="s">
        <v>2840</v>
      </c>
      <c r="AF402" s="11">
        <v>44769.384722222225</v>
      </c>
      <c r="AG402" s="53"/>
      <c r="AH402" s="53" t="b">
        <f t="shared" si="10"/>
        <v>0</v>
      </c>
      <c r="AI402" s="54" t="s">
        <v>9609</v>
      </c>
      <c r="AJ402" s="2"/>
      <c r="AK402" s="2"/>
      <c r="AL402" s="2"/>
      <c r="AM402" s="2"/>
      <c r="AN402" s="2"/>
    </row>
    <row r="403" spans="1:40" ht="16" x14ac:dyDescent="0.2">
      <c r="A403" s="2" t="s">
        <v>3570</v>
      </c>
      <c r="B403" s="2">
        <v>1110</v>
      </c>
      <c r="C403" s="2" t="b">
        <v>0</v>
      </c>
      <c r="D403" s="2" t="b">
        <v>0</v>
      </c>
      <c r="E403" s="2" t="b">
        <v>0</v>
      </c>
      <c r="F403" s="2" t="b">
        <v>0</v>
      </c>
      <c r="G403" s="2" t="s">
        <v>31</v>
      </c>
      <c r="H403" s="2" t="s">
        <v>3571</v>
      </c>
      <c r="I403" s="2" t="s">
        <v>3572</v>
      </c>
      <c r="J403" s="2" t="s">
        <v>3573</v>
      </c>
      <c r="K403" s="2" t="s">
        <v>35</v>
      </c>
      <c r="L403" s="2" t="s">
        <v>35</v>
      </c>
      <c r="M403" s="2" t="s">
        <v>35</v>
      </c>
      <c r="N403" s="2" t="s">
        <v>35</v>
      </c>
      <c r="O403" s="11">
        <v>44769.415422708335</v>
      </c>
      <c r="P403" s="11">
        <v>44769.415774733796</v>
      </c>
      <c r="Q403" s="27">
        <v>3.5202546132495627E-4</v>
      </c>
      <c r="R403" s="27">
        <v>4.1128472366835922E-4</v>
      </c>
      <c r="S403" s="2">
        <v>0</v>
      </c>
      <c r="T403" s="2" t="s">
        <v>109</v>
      </c>
      <c r="U403" s="2" t="s">
        <v>110</v>
      </c>
      <c r="V403" s="2" t="s">
        <v>38</v>
      </c>
      <c r="W403" s="2" t="s">
        <v>35</v>
      </c>
      <c r="X403" s="2">
        <v>0</v>
      </c>
      <c r="Y403" s="2" t="s">
        <v>35</v>
      </c>
      <c r="Z403" s="2" t="b">
        <v>0</v>
      </c>
      <c r="AA403" s="2" t="s">
        <v>35</v>
      </c>
      <c r="AB403" s="2" t="s">
        <v>35</v>
      </c>
      <c r="AC403" s="2" t="s">
        <v>35</v>
      </c>
      <c r="AD403" s="2" t="s">
        <v>35</v>
      </c>
      <c r="AE403" s="2" t="s">
        <v>2840</v>
      </c>
      <c r="AF403" s="11">
        <v>44769.384722222225</v>
      </c>
      <c r="AG403" s="53"/>
      <c r="AH403" s="53" t="b">
        <f t="shared" si="10"/>
        <v>0</v>
      </c>
      <c r="AI403" s="54" t="s">
        <v>10153</v>
      </c>
      <c r="AJ403" s="2"/>
      <c r="AK403" s="2"/>
      <c r="AL403" s="2"/>
      <c r="AM403" s="2"/>
      <c r="AN403" s="2"/>
    </row>
    <row r="404" spans="1:40" ht="16" x14ac:dyDescent="0.2">
      <c r="A404" s="2" t="s">
        <v>3608</v>
      </c>
      <c r="B404" s="2">
        <v>1121</v>
      </c>
      <c r="C404" s="2" t="b">
        <v>0</v>
      </c>
      <c r="D404" s="2" t="b">
        <v>0</v>
      </c>
      <c r="E404" s="2" t="b">
        <v>0</v>
      </c>
      <c r="F404" s="2" t="b">
        <v>0</v>
      </c>
      <c r="G404" s="2" t="s">
        <v>31</v>
      </c>
      <c r="H404" s="2" t="s">
        <v>3609</v>
      </c>
      <c r="I404" s="2" t="s">
        <v>3610</v>
      </c>
      <c r="J404" s="2" t="s">
        <v>35</v>
      </c>
      <c r="K404" s="2" t="s">
        <v>35</v>
      </c>
      <c r="L404" s="2" t="s">
        <v>35</v>
      </c>
      <c r="M404" s="2" t="s">
        <v>35</v>
      </c>
      <c r="N404" s="2" t="s">
        <v>35</v>
      </c>
      <c r="O404" s="11">
        <v>44769.426812893522</v>
      </c>
      <c r="P404" s="11">
        <v>44769.427076539352</v>
      </c>
      <c r="Q404" s="27">
        <v>2.6364583027316257E-4</v>
      </c>
      <c r="R404" s="27">
        <v>6.1028935306239873E-4</v>
      </c>
      <c r="S404" s="2">
        <v>0</v>
      </c>
      <c r="T404" s="2" t="s">
        <v>109</v>
      </c>
      <c r="U404" s="2" t="s">
        <v>110</v>
      </c>
      <c r="V404" s="2" t="s">
        <v>38</v>
      </c>
      <c r="W404" s="2" t="s">
        <v>35</v>
      </c>
      <c r="X404" s="2">
        <v>102</v>
      </c>
      <c r="Y404" s="2" t="s">
        <v>35</v>
      </c>
      <c r="Z404" s="2" t="b">
        <v>0</v>
      </c>
      <c r="AA404" s="2" t="s">
        <v>35</v>
      </c>
      <c r="AB404" s="2" t="s">
        <v>35</v>
      </c>
      <c r="AC404" s="2" t="s">
        <v>35</v>
      </c>
      <c r="AD404" s="2" t="s">
        <v>35</v>
      </c>
      <c r="AE404" s="2" t="s">
        <v>2840</v>
      </c>
      <c r="AF404" s="11">
        <v>44769.384722222225</v>
      </c>
      <c r="AG404" s="53"/>
      <c r="AH404" s="53" t="b">
        <f t="shared" si="10"/>
        <v>0</v>
      </c>
      <c r="AI404" s="54" t="s">
        <v>9608</v>
      </c>
      <c r="AJ404" s="2"/>
      <c r="AK404" s="2"/>
      <c r="AL404" s="2"/>
      <c r="AM404" s="2"/>
      <c r="AN404" s="2"/>
    </row>
    <row r="405" spans="1:40" ht="16" x14ac:dyDescent="0.2">
      <c r="A405" s="2" t="s">
        <v>3632</v>
      </c>
      <c r="B405" s="2">
        <v>1129</v>
      </c>
      <c r="C405" s="2" t="b">
        <v>0</v>
      </c>
      <c r="D405" s="2" t="b">
        <v>0</v>
      </c>
      <c r="E405" s="2" t="b">
        <v>0</v>
      </c>
      <c r="F405" s="2" t="b">
        <v>0</v>
      </c>
      <c r="G405" s="2" t="s">
        <v>31</v>
      </c>
      <c r="H405" s="2" t="s">
        <v>3633</v>
      </c>
      <c r="I405" s="2" t="s">
        <v>3634</v>
      </c>
      <c r="J405" s="2" t="s">
        <v>35</v>
      </c>
      <c r="K405" s="2" t="s">
        <v>35</v>
      </c>
      <c r="L405" s="2" t="s">
        <v>35</v>
      </c>
      <c r="M405" s="2" t="s">
        <v>35</v>
      </c>
      <c r="N405" s="2" t="s">
        <v>35</v>
      </c>
      <c r="O405" s="11">
        <v>44769.434217268521</v>
      </c>
      <c r="P405" s="11">
        <v>44769.434353368059</v>
      </c>
      <c r="Q405" s="27">
        <v>1.3609953748527914E-4</v>
      </c>
      <c r="R405" s="27">
        <v>6.8461805494735017E-4</v>
      </c>
      <c r="S405" s="2">
        <v>0</v>
      </c>
      <c r="T405" s="2" t="s">
        <v>109</v>
      </c>
      <c r="U405" s="2" t="s">
        <v>110</v>
      </c>
      <c r="V405" s="2" t="s">
        <v>38</v>
      </c>
      <c r="W405" s="2" t="s">
        <v>35</v>
      </c>
      <c r="X405" s="2">
        <v>114</v>
      </c>
      <c r="Y405" s="2" t="s">
        <v>35</v>
      </c>
      <c r="Z405" s="2" t="b">
        <v>0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2" t="s">
        <v>2840</v>
      </c>
      <c r="AF405" s="11">
        <v>44769.384722222225</v>
      </c>
      <c r="AG405" s="53"/>
      <c r="AH405" s="53" t="b">
        <f t="shared" si="10"/>
        <v>0</v>
      </c>
      <c r="AI405" s="54" t="s">
        <v>9607</v>
      </c>
      <c r="AJ405" s="2"/>
      <c r="AK405" s="2"/>
      <c r="AL405" s="2"/>
      <c r="AM405" s="2"/>
      <c r="AN405" s="2"/>
    </row>
    <row r="406" spans="1:40" ht="16" x14ac:dyDescent="0.2">
      <c r="A406" s="2" t="s">
        <v>3635</v>
      </c>
      <c r="B406" s="2">
        <v>1130</v>
      </c>
      <c r="C406" s="2" t="b">
        <v>0</v>
      </c>
      <c r="D406" s="2" t="b">
        <v>0</v>
      </c>
      <c r="E406" s="2" t="b">
        <v>0</v>
      </c>
      <c r="F406" s="2" t="b">
        <v>0</v>
      </c>
      <c r="G406" s="2" t="s">
        <v>31</v>
      </c>
      <c r="H406" s="2" t="s">
        <v>3636</v>
      </c>
      <c r="I406" s="2" t="s">
        <v>3637</v>
      </c>
      <c r="J406" s="2" t="s">
        <v>35</v>
      </c>
      <c r="K406" s="2" t="s">
        <v>35</v>
      </c>
      <c r="L406" s="2" t="s">
        <v>35</v>
      </c>
      <c r="M406" s="2" t="s">
        <v>35</v>
      </c>
      <c r="N406" s="2" t="s">
        <v>35</v>
      </c>
      <c r="O406" s="11">
        <v>44769.435070462961</v>
      </c>
      <c r="P406" s="11">
        <v>44769.43520832176</v>
      </c>
      <c r="Q406" s="27">
        <v>1.3785879855277017E-4</v>
      </c>
      <c r="R406" s="27">
        <v>8.5495370149146765E-4</v>
      </c>
      <c r="S406" s="2">
        <v>0</v>
      </c>
      <c r="T406" s="2" t="s">
        <v>109</v>
      </c>
      <c r="U406" s="2" t="s">
        <v>110</v>
      </c>
      <c r="V406" s="2" t="s">
        <v>38</v>
      </c>
      <c r="W406" s="2" t="s">
        <v>35</v>
      </c>
      <c r="X406" s="2">
        <v>95</v>
      </c>
      <c r="Y406" s="2" t="s">
        <v>35</v>
      </c>
      <c r="Z406" s="2" t="b">
        <v>0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2" t="s">
        <v>2840</v>
      </c>
      <c r="AF406" s="11">
        <v>44769.384722222225</v>
      </c>
      <c r="AG406" s="53"/>
      <c r="AH406" s="53" t="b">
        <f t="shared" si="10"/>
        <v>0</v>
      </c>
      <c r="AI406" s="54" t="s">
        <v>9605</v>
      </c>
      <c r="AJ406" s="2"/>
      <c r="AK406" s="2"/>
      <c r="AL406" s="2"/>
      <c r="AM406" s="2"/>
      <c r="AN406" s="2"/>
    </row>
    <row r="407" spans="1:40" ht="16" x14ac:dyDescent="0.2">
      <c r="A407" s="2" t="s">
        <v>3664</v>
      </c>
      <c r="B407" s="2">
        <v>1139</v>
      </c>
      <c r="C407" s="2" t="b">
        <v>0</v>
      </c>
      <c r="D407" s="2" t="b">
        <v>0</v>
      </c>
      <c r="E407" s="2" t="b">
        <v>0</v>
      </c>
      <c r="F407" s="2" t="b">
        <v>0</v>
      </c>
      <c r="G407" s="2" t="s">
        <v>31</v>
      </c>
      <c r="H407" s="2" t="s">
        <v>3665</v>
      </c>
      <c r="I407" s="2" t="s">
        <v>3666</v>
      </c>
      <c r="J407" s="2" t="s">
        <v>3667</v>
      </c>
      <c r="K407" s="2" t="s">
        <v>35</v>
      </c>
      <c r="L407" s="2" t="s">
        <v>35</v>
      </c>
      <c r="M407" s="2" t="s">
        <v>35</v>
      </c>
      <c r="N407" s="2" t="s">
        <v>35</v>
      </c>
      <c r="O407" s="11">
        <v>44769.444126516202</v>
      </c>
      <c r="P407" s="11">
        <v>44769.444703263885</v>
      </c>
      <c r="Q407" s="27">
        <v>5.767476832261309E-4</v>
      </c>
      <c r="R407" s="27">
        <v>6.2248842004919425E-4</v>
      </c>
      <c r="S407" s="2">
        <v>0</v>
      </c>
      <c r="T407" s="2" t="s">
        <v>109</v>
      </c>
      <c r="U407" s="2" t="s">
        <v>110</v>
      </c>
      <c r="V407" s="2" t="s">
        <v>38</v>
      </c>
      <c r="W407" s="2" t="s">
        <v>35</v>
      </c>
      <c r="X407" s="2">
        <v>65</v>
      </c>
      <c r="Y407" s="2" t="s">
        <v>35</v>
      </c>
      <c r="Z407" s="2" t="b">
        <v>0</v>
      </c>
      <c r="AA407" s="2" t="s">
        <v>35</v>
      </c>
      <c r="AB407" s="2" t="s">
        <v>35</v>
      </c>
      <c r="AC407" s="2" t="s">
        <v>35</v>
      </c>
      <c r="AD407" s="2" t="s">
        <v>35</v>
      </c>
      <c r="AE407" s="2" t="s">
        <v>2840</v>
      </c>
      <c r="AF407" s="11">
        <v>44769.384722222225</v>
      </c>
      <c r="AG407" s="53"/>
      <c r="AH407" s="53" t="b">
        <f t="shared" si="10"/>
        <v>0</v>
      </c>
      <c r="AI407" s="54" t="s">
        <v>9604</v>
      </c>
      <c r="AJ407" s="2"/>
      <c r="AK407" s="2"/>
      <c r="AL407" s="2"/>
      <c r="AM407" s="2"/>
      <c r="AN407" s="2"/>
    </row>
    <row r="408" spans="1:40" ht="16" x14ac:dyDescent="0.2">
      <c r="A408" s="2" t="s">
        <v>3708</v>
      </c>
      <c r="B408" s="2">
        <v>1153</v>
      </c>
      <c r="C408" s="2" t="b">
        <v>0</v>
      </c>
      <c r="D408" s="2" t="b">
        <v>0</v>
      </c>
      <c r="E408" s="2" t="b">
        <v>0</v>
      </c>
      <c r="F408" s="2" t="b">
        <v>0</v>
      </c>
      <c r="G408" s="2" t="s">
        <v>31</v>
      </c>
      <c r="H408" s="2" t="s">
        <v>3709</v>
      </c>
      <c r="I408" s="2" t="s">
        <v>3710</v>
      </c>
      <c r="J408" s="2" t="s">
        <v>35</v>
      </c>
      <c r="K408" s="2" t="s">
        <v>35</v>
      </c>
      <c r="L408" s="2" t="s">
        <v>35</v>
      </c>
      <c r="M408" s="2" t="s">
        <v>35</v>
      </c>
      <c r="N408" s="2" t="s">
        <v>35</v>
      </c>
      <c r="O408" s="11">
        <v>44769.461184016203</v>
      </c>
      <c r="P408" s="11">
        <v>44769.461447094909</v>
      </c>
      <c r="Q408" s="27">
        <v>2.6307870575692505E-4</v>
      </c>
      <c r="R408" s="27">
        <v>6.2516203615814447E-4</v>
      </c>
      <c r="S408" s="2">
        <v>0</v>
      </c>
      <c r="T408" s="2" t="s">
        <v>109</v>
      </c>
      <c r="U408" s="2" t="s">
        <v>110</v>
      </c>
      <c r="V408" s="2" t="s">
        <v>38</v>
      </c>
      <c r="W408" s="2" t="s">
        <v>35</v>
      </c>
      <c r="X408" s="2">
        <v>112</v>
      </c>
      <c r="Y408" s="2" t="s">
        <v>35</v>
      </c>
      <c r="Z408" s="2" t="b">
        <v>0</v>
      </c>
      <c r="AA408" s="2" t="s">
        <v>35</v>
      </c>
      <c r="AB408" s="2" t="s">
        <v>35</v>
      </c>
      <c r="AC408" s="2" t="s">
        <v>35</v>
      </c>
      <c r="AD408" s="2" t="s">
        <v>35</v>
      </c>
      <c r="AE408" s="2" t="s">
        <v>2840</v>
      </c>
      <c r="AF408" s="11">
        <v>44769.384722222225</v>
      </c>
      <c r="AG408" s="53"/>
      <c r="AH408" s="53" t="b">
        <f t="shared" si="10"/>
        <v>0</v>
      </c>
      <c r="AI408" s="54" t="s">
        <v>10154</v>
      </c>
      <c r="AJ408" s="2"/>
      <c r="AK408" s="2"/>
      <c r="AL408" s="2"/>
      <c r="AM408" s="2"/>
      <c r="AN408" s="2"/>
    </row>
    <row r="409" spans="1:40" ht="16" x14ac:dyDescent="0.2">
      <c r="A409" s="2" t="s">
        <v>3717</v>
      </c>
      <c r="B409" s="2">
        <v>1156</v>
      </c>
      <c r="C409" s="2" t="b">
        <v>0</v>
      </c>
      <c r="D409" s="2" t="b">
        <v>0</v>
      </c>
      <c r="E409" s="2" t="b">
        <v>0</v>
      </c>
      <c r="F409" s="2" t="b">
        <v>0</v>
      </c>
      <c r="G409" s="2" t="s">
        <v>31</v>
      </c>
      <c r="H409" s="2" t="s">
        <v>3718</v>
      </c>
      <c r="I409" s="2" t="s">
        <v>3719</v>
      </c>
      <c r="J409" s="2" t="s">
        <v>35</v>
      </c>
      <c r="K409" s="2" t="s">
        <v>35</v>
      </c>
      <c r="L409" s="2" t="s">
        <v>35</v>
      </c>
      <c r="M409" s="2" t="s">
        <v>35</v>
      </c>
      <c r="N409" s="2" t="s">
        <v>35</v>
      </c>
      <c r="O409" s="11">
        <v>44769.463447592592</v>
      </c>
      <c r="P409" s="11">
        <v>44769.463786574073</v>
      </c>
      <c r="Q409" s="27">
        <v>3.3898148103617132E-4</v>
      </c>
      <c r="R409" s="27">
        <v>7.6150462700752541E-4</v>
      </c>
      <c r="S409" s="2">
        <v>0</v>
      </c>
      <c r="T409" s="2" t="s">
        <v>109</v>
      </c>
      <c r="U409" s="2" t="s">
        <v>110</v>
      </c>
      <c r="V409" s="2" t="s">
        <v>38</v>
      </c>
      <c r="W409" s="2" t="s">
        <v>35</v>
      </c>
      <c r="X409" s="2">
        <v>96</v>
      </c>
      <c r="Y409" s="2" t="s">
        <v>35</v>
      </c>
      <c r="Z409" s="2" t="b">
        <v>0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2" t="s">
        <v>2840</v>
      </c>
      <c r="AF409" s="11">
        <v>44769.384722222225</v>
      </c>
      <c r="AG409" s="53"/>
      <c r="AH409" s="53" t="b">
        <f t="shared" si="10"/>
        <v>0</v>
      </c>
      <c r="AI409" s="54" t="s">
        <v>10155</v>
      </c>
      <c r="AJ409" s="2"/>
      <c r="AK409" s="2"/>
      <c r="AL409" s="2"/>
      <c r="AM409" s="2"/>
      <c r="AN409" s="2"/>
    </row>
    <row r="410" spans="1:40" ht="16" x14ac:dyDescent="0.2">
      <c r="A410" s="2" t="s">
        <v>3744</v>
      </c>
      <c r="B410" s="2">
        <v>1165</v>
      </c>
      <c r="C410" s="2" t="b">
        <v>0</v>
      </c>
      <c r="D410" s="2" t="b">
        <v>0</v>
      </c>
      <c r="E410" s="2" t="b">
        <v>0</v>
      </c>
      <c r="F410" s="2" t="b">
        <v>0</v>
      </c>
      <c r="G410" s="2" t="s">
        <v>31</v>
      </c>
      <c r="H410" s="2" t="s">
        <v>3745</v>
      </c>
      <c r="I410" s="2" t="s">
        <v>3746</v>
      </c>
      <c r="J410" s="2" t="s">
        <v>35</v>
      </c>
      <c r="K410" s="2" t="s">
        <v>35</v>
      </c>
      <c r="L410" s="2" t="s">
        <v>35</v>
      </c>
      <c r="M410" s="2" t="s">
        <v>35</v>
      </c>
      <c r="N410" s="2" t="s">
        <v>35</v>
      </c>
      <c r="O410" s="11">
        <v>44769.469774687503</v>
      </c>
      <c r="P410" s="11">
        <v>44769.46993796296</v>
      </c>
      <c r="Q410" s="27">
        <v>1.6327545745298266E-4</v>
      </c>
      <c r="R410" s="27">
        <v>8.9018518337979913E-4</v>
      </c>
      <c r="S410" s="2">
        <v>0</v>
      </c>
      <c r="T410" s="2" t="s">
        <v>109</v>
      </c>
      <c r="U410" s="2" t="s">
        <v>110</v>
      </c>
      <c r="V410" s="2" t="s">
        <v>38</v>
      </c>
      <c r="W410" s="2" t="s">
        <v>35</v>
      </c>
      <c r="X410" s="2">
        <v>95</v>
      </c>
      <c r="Y410" s="2" t="s">
        <v>35</v>
      </c>
      <c r="Z410" s="2" t="b">
        <v>0</v>
      </c>
      <c r="AA410" s="2" t="s">
        <v>35</v>
      </c>
      <c r="AB410" s="2" t="s">
        <v>35</v>
      </c>
      <c r="AC410" s="2" t="s">
        <v>35</v>
      </c>
      <c r="AD410" s="2" t="s">
        <v>35</v>
      </c>
      <c r="AE410" s="2" t="s">
        <v>2840</v>
      </c>
      <c r="AF410" s="11">
        <v>44769.384722222225</v>
      </c>
      <c r="AG410" s="53"/>
      <c r="AH410" s="53" t="b">
        <f t="shared" si="10"/>
        <v>0</v>
      </c>
      <c r="AI410" s="54" t="s">
        <v>9602</v>
      </c>
      <c r="AJ410" s="2"/>
      <c r="AK410" s="2"/>
      <c r="AL410" s="2"/>
      <c r="AM410" s="2"/>
      <c r="AN410" s="2"/>
    </row>
    <row r="411" spans="1:40" ht="16" x14ac:dyDescent="0.2">
      <c r="A411" s="2" t="s">
        <v>3750</v>
      </c>
      <c r="B411" s="2">
        <v>1167</v>
      </c>
      <c r="C411" s="2" t="b">
        <v>0</v>
      </c>
      <c r="D411" s="2" t="b">
        <v>0</v>
      </c>
      <c r="E411" s="2" t="b">
        <v>0</v>
      </c>
      <c r="F411" s="2" t="b">
        <v>0</v>
      </c>
      <c r="G411" s="2" t="s">
        <v>31</v>
      </c>
      <c r="H411" s="2" t="s">
        <v>3751</v>
      </c>
      <c r="I411" s="2" t="s">
        <v>3752</v>
      </c>
      <c r="J411" s="2" t="s">
        <v>3753</v>
      </c>
      <c r="K411" s="2" t="s">
        <v>35</v>
      </c>
      <c r="L411" s="2" t="s">
        <v>35</v>
      </c>
      <c r="M411" s="2" t="s">
        <v>35</v>
      </c>
      <c r="N411" s="2" t="s">
        <v>35</v>
      </c>
      <c r="O411" s="11">
        <v>44769.471733715276</v>
      </c>
      <c r="P411" s="11">
        <v>44769.472099861108</v>
      </c>
      <c r="Q411" s="27">
        <v>3.6614583223126829E-4</v>
      </c>
      <c r="R411" s="27">
        <v>1.0498842530068941E-3</v>
      </c>
      <c r="S411" s="2">
        <v>0</v>
      </c>
      <c r="T411" s="2" t="s">
        <v>109</v>
      </c>
      <c r="U411" s="2" t="s">
        <v>110</v>
      </c>
      <c r="V411" s="2" t="s">
        <v>38</v>
      </c>
      <c r="W411" s="2" t="s">
        <v>35</v>
      </c>
      <c r="X411" s="2">
        <v>75</v>
      </c>
      <c r="Y411" s="2" t="s">
        <v>3754</v>
      </c>
      <c r="Z411" s="2" t="b">
        <v>0</v>
      </c>
      <c r="AA411" s="2" t="s">
        <v>35</v>
      </c>
      <c r="AB411" s="2" t="s">
        <v>35</v>
      </c>
      <c r="AC411" s="2" t="s">
        <v>35</v>
      </c>
      <c r="AD411" s="2" t="s">
        <v>35</v>
      </c>
      <c r="AE411" s="2" t="s">
        <v>2840</v>
      </c>
      <c r="AF411" s="11">
        <v>44769.384722222225</v>
      </c>
      <c r="AG411" s="53"/>
      <c r="AH411" s="53" t="b">
        <f t="shared" si="10"/>
        <v>0</v>
      </c>
      <c r="AI411" s="54" t="s">
        <v>9600</v>
      </c>
      <c r="AJ411" s="2"/>
      <c r="AK411" s="2"/>
      <c r="AL411" s="2"/>
      <c r="AM411" s="2"/>
      <c r="AN411" s="2"/>
    </row>
    <row r="412" spans="1:40" ht="16" x14ac:dyDescent="0.2">
      <c r="A412" s="2" t="s">
        <v>3153</v>
      </c>
      <c r="B412" s="2">
        <v>978</v>
      </c>
      <c r="C412" s="2" t="b">
        <v>0</v>
      </c>
      <c r="D412" s="2" t="b">
        <v>0</v>
      </c>
      <c r="E412" s="2" t="b">
        <v>0</v>
      </c>
      <c r="F412" s="2" t="b">
        <v>0</v>
      </c>
      <c r="G412" s="2" t="s">
        <v>31</v>
      </c>
      <c r="H412" s="2" t="s">
        <v>3154</v>
      </c>
      <c r="I412" s="2" t="s">
        <v>3155</v>
      </c>
      <c r="J412" s="2" t="s">
        <v>3156</v>
      </c>
      <c r="K412" s="2" t="s">
        <v>35</v>
      </c>
      <c r="L412" s="2" t="s">
        <v>35</v>
      </c>
      <c r="M412" s="2" t="s">
        <v>35</v>
      </c>
      <c r="N412" s="2" t="s">
        <v>35</v>
      </c>
      <c r="O412" s="11">
        <v>44762.488771400465</v>
      </c>
      <c r="P412" s="11">
        <v>44762.490120092596</v>
      </c>
      <c r="Q412" s="27">
        <v>1.3541666666666667E-3</v>
      </c>
      <c r="R412" s="27">
        <v>2.4537037037037036E-3</v>
      </c>
      <c r="S412" s="2">
        <v>0</v>
      </c>
      <c r="T412" s="2" t="s">
        <v>3157</v>
      </c>
      <c r="U412" s="2" t="s">
        <v>3158</v>
      </c>
      <c r="V412" s="2" t="s">
        <v>38</v>
      </c>
      <c r="W412" s="2" t="s">
        <v>35</v>
      </c>
      <c r="X412" s="2">
        <v>106</v>
      </c>
      <c r="Y412" s="2" t="s">
        <v>35</v>
      </c>
      <c r="Z412" s="2" t="b">
        <v>0</v>
      </c>
      <c r="AA412" s="2" t="s">
        <v>35</v>
      </c>
      <c r="AB412" s="2" t="s">
        <v>35</v>
      </c>
      <c r="AC412" s="2" t="s">
        <v>35</v>
      </c>
      <c r="AD412" s="2" t="s">
        <v>35</v>
      </c>
      <c r="AE412" s="2" t="s">
        <v>2840</v>
      </c>
      <c r="AF412" s="11">
        <v>44762.350694444445</v>
      </c>
      <c r="AG412" s="53"/>
      <c r="AH412" s="53" t="b">
        <f>IF(Q412&lt;TIME(0,0,5),"TRUE")</f>
        <v>0</v>
      </c>
      <c r="AI412" s="116" t="s">
        <v>11101</v>
      </c>
      <c r="AJ412" s="2"/>
      <c r="AK412" s="2"/>
      <c r="AL412" s="2"/>
      <c r="AM412" s="2"/>
      <c r="AN412" s="2"/>
    </row>
    <row r="413" spans="1:40" ht="16" x14ac:dyDescent="0.2">
      <c r="A413" s="2" t="s">
        <v>30</v>
      </c>
      <c r="B413" s="2">
        <v>1</v>
      </c>
      <c r="C413" s="2" t="b">
        <v>0</v>
      </c>
      <c r="D413" s="2" t="b">
        <v>0</v>
      </c>
      <c r="E413" s="2" t="b">
        <v>0</v>
      </c>
      <c r="F413" s="2" t="b">
        <v>0</v>
      </c>
      <c r="G413" s="2" t="s">
        <v>31</v>
      </c>
      <c r="H413" s="2" t="s">
        <v>32</v>
      </c>
      <c r="I413" s="2" t="s">
        <v>33</v>
      </c>
      <c r="J413" s="2" t="s">
        <v>34</v>
      </c>
      <c r="K413" s="2" t="s">
        <v>35</v>
      </c>
      <c r="L413" s="2" t="s">
        <v>35</v>
      </c>
      <c r="M413" s="2" t="s">
        <v>35</v>
      </c>
      <c r="N413" s="2" t="s">
        <v>35</v>
      </c>
      <c r="O413" s="11">
        <v>44722.612430555557</v>
      </c>
      <c r="P413" s="11">
        <v>44722.613692951389</v>
      </c>
      <c r="Q413" s="27">
        <v>1.2623958318727091E-3</v>
      </c>
      <c r="R413" s="27">
        <v>3.9707291653030552E-3</v>
      </c>
      <c r="S413" s="2">
        <v>0</v>
      </c>
      <c r="T413" s="2" t="s">
        <v>36</v>
      </c>
      <c r="U413" s="2" t="s">
        <v>37</v>
      </c>
      <c r="V413" s="2" t="s">
        <v>38</v>
      </c>
      <c r="W413" s="2" t="s">
        <v>35</v>
      </c>
      <c r="X413" s="2" t="s">
        <v>35</v>
      </c>
      <c r="Y413" s="2" t="s">
        <v>35</v>
      </c>
      <c r="Z413" s="2" t="b">
        <v>0</v>
      </c>
      <c r="AA413" s="2" t="s">
        <v>35</v>
      </c>
      <c r="AB413" s="2" t="s">
        <v>35</v>
      </c>
      <c r="AC413" s="2">
        <v>7</v>
      </c>
      <c r="AD413" s="2" t="s">
        <v>35</v>
      </c>
      <c r="AE413" s="2" t="s">
        <v>39</v>
      </c>
      <c r="AF413" s="11">
        <v>44722.609722222223</v>
      </c>
      <c r="AG413" s="53"/>
      <c r="AH413" s="53" t="str">
        <f t="shared" ref="AH413:AH476" si="11">IF(Q413&gt;TIME(0,1,9),"TRUE")</f>
        <v>TRUE</v>
      </c>
      <c r="AI413" s="115" t="s">
        <v>10156</v>
      </c>
      <c r="AJ413" s="2"/>
      <c r="AK413" s="2"/>
      <c r="AL413" s="2"/>
      <c r="AM413" s="2"/>
      <c r="AN413" s="2"/>
    </row>
    <row r="414" spans="1:40" ht="16" x14ac:dyDescent="0.2">
      <c r="A414" s="31" t="s">
        <v>40</v>
      </c>
      <c r="B414" s="31">
        <v>2</v>
      </c>
      <c r="C414" s="31" t="b">
        <v>0</v>
      </c>
      <c r="D414" s="31" t="b">
        <v>0</v>
      </c>
      <c r="E414" s="31" t="b">
        <v>0</v>
      </c>
      <c r="F414" s="31" t="b">
        <v>0</v>
      </c>
      <c r="G414" s="31" t="s">
        <v>31</v>
      </c>
      <c r="H414" s="31" t="s">
        <v>41</v>
      </c>
      <c r="I414" s="31" t="s">
        <v>42</v>
      </c>
      <c r="J414" s="31" t="s">
        <v>34</v>
      </c>
      <c r="K414" s="31" t="s">
        <v>35</v>
      </c>
      <c r="L414" s="31" t="s">
        <v>35</v>
      </c>
      <c r="M414" s="31" t="s">
        <v>35</v>
      </c>
      <c r="N414" s="31" t="s">
        <v>35</v>
      </c>
      <c r="O414" s="32">
        <v>44722.621535983795</v>
      </c>
      <c r="P414" s="32">
        <v>44722.622121250002</v>
      </c>
      <c r="Q414" s="30">
        <v>5.8526620705379173E-4</v>
      </c>
      <c r="R414" s="30">
        <v>8.4282986135804094E-3</v>
      </c>
      <c r="S414" s="31">
        <v>0</v>
      </c>
      <c r="T414" s="31" t="s">
        <v>36</v>
      </c>
      <c r="U414" s="31" t="s">
        <v>37</v>
      </c>
      <c r="V414" s="31" t="s">
        <v>38</v>
      </c>
      <c r="W414" s="31" t="s">
        <v>35</v>
      </c>
      <c r="X414" s="31" t="s">
        <v>35</v>
      </c>
      <c r="Y414" s="31" t="s">
        <v>35</v>
      </c>
      <c r="Z414" s="31" t="b">
        <v>0</v>
      </c>
      <c r="AA414" s="31" t="s">
        <v>35</v>
      </c>
      <c r="AB414" s="31" t="s">
        <v>35</v>
      </c>
      <c r="AC414" s="31">
        <v>5</v>
      </c>
      <c r="AD414" s="31" t="s">
        <v>35</v>
      </c>
      <c r="AE414" s="31" t="s">
        <v>39</v>
      </c>
      <c r="AF414" s="32">
        <v>44722.609722222223</v>
      </c>
      <c r="AG414" s="55" t="s">
        <v>9408</v>
      </c>
      <c r="AH414" s="53" t="b">
        <f t="shared" si="11"/>
        <v>0</v>
      </c>
      <c r="AI414" s="62" t="s">
        <v>10157</v>
      </c>
      <c r="AJ414" s="31"/>
      <c r="AK414" s="31"/>
      <c r="AL414" s="31"/>
      <c r="AM414" s="31"/>
      <c r="AN414" s="31"/>
    </row>
    <row r="415" spans="1:40" ht="16" x14ac:dyDescent="0.2">
      <c r="A415" s="2" t="s">
        <v>43</v>
      </c>
      <c r="B415" s="2">
        <v>3</v>
      </c>
      <c r="C415" s="2" t="b">
        <v>0</v>
      </c>
      <c r="D415" s="2" t="b">
        <v>0</v>
      </c>
      <c r="E415" s="2" t="b">
        <v>0</v>
      </c>
      <c r="F415" s="2" t="b">
        <v>0</v>
      </c>
      <c r="G415" s="2" t="s">
        <v>31</v>
      </c>
      <c r="H415" s="2" t="s">
        <v>44</v>
      </c>
      <c r="I415" s="2" t="s">
        <v>45</v>
      </c>
      <c r="J415" s="2" t="s">
        <v>46</v>
      </c>
      <c r="K415" s="2" t="s">
        <v>35</v>
      </c>
      <c r="L415" s="2" t="s">
        <v>35</v>
      </c>
      <c r="M415" s="2" t="s">
        <v>35</v>
      </c>
      <c r="N415" s="2" t="s">
        <v>35</v>
      </c>
      <c r="O415" s="11">
        <v>44722.626537824071</v>
      </c>
      <c r="P415" s="11">
        <v>44722.627554270832</v>
      </c>
      <c r="Q415" s="27">
        <v>1.0164467603317462E-3</v>
      </c>
      <c r="R415" s="27">
        <v>5.4330208295141347E-3</v>
      </c>
      <c r="S415" s="2">
        <v>0</v>
      </c>
      <c r="T415" s="2" t="s">
        <v>36</v>
      </c>
      <c r="U415" s="2" t="s">
        <v>37</v>
      </c>
      <c r="V415" s="2" t="s">
        <v>38</v>
      </c>
      <c r="W415" s="2" t="s">
        <v>35</v>
      </c>
      <c r="X415" s="2" t="s">
        <v>35</v>
      </c>
      <c r="Y415" s="2" t="s">
        <v>35</v>
      </c>
      <c r="Z415" s="2" t="b">
        <v>0</v>
      </c>
      <c r="AA415" s="2" t="s">
        <v>35</v>
      </c>
      <c r="AB415" s="2" t="s">
        <v>35</v>
      </c>
      <c r="AC415" s="2">
        <v>5</v>
      </c>
      <c r="AD415" s="2" t="s">
        <v>35</v>
      </c>
      <c r="AE415" s="2" t="s">
        <v>39</v>
      </c>
      <c r="AF415" s="11">
        <v>44722.609722222223</v>
      </c>
      <c r="AG415" s="53"/>
      <c r="AH415" s="53" t="str">
        <f t="shared" si="11"/>
        <v>TRUE</v>
      </c>
      <c r="AI415" s="54" t="s">
        <v>10160</v>
      </c>
      <c r="AJ415" s="2" t="s">
        <v>10158</v>
      </c>
      <c r="AK415" s="2" t="s">
        <v>10159</v>
      </c>
      <c r="AL415" s="2"/>
      <c r="AM415" s="2"/>
      <c r="AN415" s="2"/>
    </row>
    <row r="416" spans="1:40" ht="16" x14ac:dyDescent="0.2">
      <c r="A416" s="2" t="s">
        <v>47</v>
      </c>
      <c r="B416" s="2">
        <v>4</v>
      </c>
      <c r="C416" s="2" t="b">
        <v>0</v>
      </c>
      <c r="D416" s="2" t="b">
        <v>0</v>
      </c>
      <c r="E416" s="2" t="b">
        <v>0</v>
      </c>
      <c r="F416" s="2" t="b">
        <v>0</v>
      </c>
      <c r="G416" s="2" t="s">
        <v>31</v>
      </c>
      <c r="H416" s="2" t="s">
        <v>48</v>
      </c>
      <c r="I416" s="2" t="s">
        <v>49</v>
      </c>
      <c r="J416" s="2" t="s">
        <v>50</v>
      </c>
      <c r="K416" s="2" t="s">
        <v>35</v>
      </c>
      <c r="L416" s="2" t="s">
        <v>35</v>
      </c>
      <c r="M416" s="2" t="s">
        <v>35</v>
      </c>
      <c r="N416" s="2" t="s">
        <v>35</v>
      </c>
      <c r="O416" s="11">
        <v>44722.631051238423</v>
      </c>
      <c r="P416" s="11">
        <v>44722.631513472224</v>
      </c>
      <c r="Q416" s="27">
        <v>4.6223380195442587E-4</v>
      </c>
      <c r="R416" s="27">
        <v>3.9592013927176595E-3</v>
      </c>
      <c r="S416" s="2">
        <v>0</v>
      </c>
      <c r="T416" s="2" t="s">
        <v>36</v>
      </c>
      <c r="U416" s="2" t="s">
        <v>37</v>
      </c>
      <c r="V416" s="2" t="s">
        <v>38</v>
      </c>
      <c r="W416" s="2" t="s">
        <v>35</v>
      </c>
      <c r="X416" s="2" t="s">
        <v>35</v>
      </c>
      <c r="Y416" s="2" t="s">
        <v>35</v>
      </c>
      <c r="Z416" s="2" t="b">
        <v>0</v>
      </c>
      <c r="AA416" s="2" t="s">
        <v>35</v>
      </c>
      <c r="AB416" s="2" t="s">
        <v>35</v>
      </c>
      <c r="AC416" s="2">
        <v>5</v>
      </c>
      <c r="AD416" s="2" t="s">
        <v>35</v>
      </c>
      <c r="AE416" s="2" t="s">
        <v>39</v>
      </c>
      <c r="AF416" s="11">
        <v>44722.609722222223</v>
      </c>
      <c r="AG416" s="53"/>
      <c r="AH416" s="53" t="b">
        <f t="shared" si="11"/>
        <v>0</v>
      </c>
      <c r="AI416" s="54" t="s">
        <v>10161</v>
      </c>
      <c r="AJ416" s="2"/>
      <c r="AK416" s="2"/>
      <c r="AL416" s="2"/>
      <c r="AM416" s="2"/>
      <c r="AN416" s="2"/>
    </row>
    <row r="417" spans="1:40" ht="16" x14ac:dyDescent="0.2">
      <c r="A417" s="2" t="s">
        <v>56</v>
      </c>
      <c r="B417" s="2">
        <v>6</v>
      </c>
      <c r="C417" s="2" t="b">
        <v>0</v>
      </c>
      <c r="D417" s="2" t="b">
        <v>0</v>
      </c>
      <c r="E417" s="2" t="b">
        <v>0</v>
      </c>
      <c r="F417" s="2" t="b">
        <v>0</v>
      </c>
      <c r="G417" s="2" t="s">
        <v>31</v>
      </c>
      <c r="H417" s="2" t="s">
        <v>57</v>
      </c>
      <c r="I417" s="2" t="s">
        <v>58</v>
      </c>
      <c r="J417" s="2" t="s">
        <v>59</v>
      </c>
      <c r="K417" s="2" t="s">
        <v>35</v>
      </c>
      <c r="L417" s="2" t="s">
        <v>35</v>
      </c>
      <c r="M417" s="2" t="s">
        <v>35</v>
      </c>
      <c r="N417" s="2" t="s">
        <v>35</v>
      </c>
      <c r="O417" s="11">
        <v>44722.635615983796</v>
      </c>
      <c r="P417" s="11">
        <v>44722.636041817132</v>
      </c>
      <c r="Q417" s="27">
        <v>4.2583333561196923E-4</v>
      </c>
      <c r="R417" s="27">
        <v>2.4000231496756896E-3</v>
      </c>
      <c r="S417" s="2">
        <v>0</v>
      </c>
      <c r="T417" s="2" t="s">
        <v>36</v>
      </c>
      <c r="U417" s="2" t="s">
        <v>37</v>
      </c>
      <c r="V417" s="2" t="s">
        <v>38</v>
      </c>
      <c r="W417" s="2" t="s">
        <v>35</v>
      </c>
      <c r="X417" s="2" t="s">
        <v>35</v>
      </c>
      <c r="Y417" s="2" t="s">
        <v>35</v>
      </c>
      <c r="Z417" s="2" t="b">
        <v>0</v>
      </c>
      <c r="AA417" s="2" t="s">
        <v>35</v>
      </c>
      <c r="AB417" s="2" t="s">
        <v>35</v>
      </c>
      <c r="AC417" s="2">
        <v>4</v>
      </c>
      <c r="AD417" s="2" t="s">
        <v>35</v>
      </c>
      <c r="AE417" s="2" t="s">
        <v>39</v>
      </c>
      <c r="AF417" s="11">
        <v>44722.609722222223</v>
      </c>
      <c r="AG417" s="53"/>
      <c r="AH417" s="53" t="b">
        <f t="shared" si="11"/>
        <v>0</v>
      </c>
      <c r="AI417" s="54" t="s">
        <v>10162</v>
      </c>
      <c r="AJ417" s="2"/>
      <c r="AK417" s="2"/>
      <c r="AL417" s="2"/>
      <c r="AM417" s="2"/>
      <c r="AN417" s="2"/>
    </row>
    <row r="418" spans="1:40" ht="16" x14ac:dyDescent="0.2">
      <c r="A418" s="2" t="s">
        <v>60</v>
      </c>
      <c r="B418" s="2">
        <v>7</v>
      </c>
      <c r="C418" s="2" t="b">
        <v>0</v>
      </c>
      <c r="D418" s="2" t="b">
        <v>0</v>
      </c>
      <c r="E418" s="2" t="b">
        <v>0</v>
      </c>
      <c r="F418" s="2" t="b">
        <v>0</v>
      </c>
      <c r="G418" s="2" t="s">
        <v>31</v>
      </c>
      <c r="H418" s="2" t="s">
        <v>61</v>
      </c>
      <c r="I418" s="2" t="s">
        <v>62</v>
      </c>
      <c r="J418" s="2" t="s">
        <v>63</v>
      </c>
      <c r="K418" s="2" t="s">
        <v>35</v>
      </c>
      <c r="L418" s="2" t="s">
        <v>35</v>
      </c>
      <c r="M418" s="2" t="s">
        <v>35</v>
      </c>
      <c r="N418" s="2" t="s">
        <v>35</v>
      </c>
      <c r="O418" s="11">
        <v>44722.637145000001</v>
      </c>
      <c r="P418" s="11">
        <v>44722.637552326392</v>
      </c>
      <c r="Q418" s="27">
        <v>4.0732639172347263E-4</v>
      </c>
      <c r="R418" s="27">
        <v>1.5105092606972903E-3</v>
      </c>
      <c r="S418" s="2">
        <v>0</v>
      </c>
      <c r="T418" s="2" t="s">
        <v>36</v>
      </c>
      <c r="U418" s="2" t="s">
        <v>37</v>
      </c>
      <c r="V418" s="2" t="s">
        <v>38</v>
      </c>
      <c r="W418" s="2" t="s">
        <v>35</v>
      </c>
      <c r="X418" s="2" t="s">
        <v>35</v>
      </c>
      <c r="Y418" s="2" t="s">
        <v>35</v>
      </c>
      <c r="Z418" s="2" t="b">
        <v>0</v>
      </c>
      <c r="AA418" s="2" t="s">
        <v>35</v>
      </c>
      <c r="AB418" s="2" t="s">
        <v>35</v>
      </c>
      <c r="AC418" s="2">
        <v>4</v>
      </c>
      <c r="AD418" s="2" t="s">
        <v>35</v>
      </c>
      <c r="AE418" s="2" t="s">
        <v>39</v>
      </c>
      <c r="AF418" s="11">
        <v>44722.609722222223</v>
      </c>
      <c r="AG418" s="53"/>
      <c r="AH418" s="53" t="b">
        <f t="shared" si="11"/>
        <v>0</v>
      </c>
      <c r="AI418" s="54" t="s">
        <v>10163</v>
      </c>
      <c r="AJ418" s="2"/>
      <c r="AK418" s="2"/>
      <c r="AL418" s="2"/>
      <c r="AM418" s="2"/>
      <c r="AN418" s="2"/>
    </row>
    <row r="419" spans="1:40" ht="16" x14ac:dyDescent="0.2">
      <c r="A419" s="2" t="s">
        <v>64</v>
      </c>
      <c r="B419" s="2">
        <v>8</v>
      </c>
      <c r="C419" s="2" t="b">
        <v>0</v>
      </c>
      <c r="D419" s="2" t="b">
        <v>0</v>
      </c>
      <c r="E419" s="2" t="b">
        <v>0</v>
      </c>
      <c r="F419" s="2" t="b">
        <v>0</v>
      </c>
      <c r="G419" s="2" t="s">
        <v>31</v>
      </c>
      <c r="H419" s="2" t="s">
        <v>65</v>
      </c>
      <c r="I419" s="2" t="s">
        <v>66</v>
      </c>
      <c r="J419" s="2" t="s">
        <v>67</v>
      </c>
      <c r="K419" s="2" t="s">
        <v>35</v>
      </c>
      <c r="L419" s="2" t="s">
        <v>35</v>
      </c>
      <c r="M419" s="2" t="s">
        <v>35</v>
      </c>
      <c r="N419" s="2" t="s">
        <v>35</v>
      </c>
      <c r="O419" s="11">
        <v>44722.639304085649</v>
      </c>
      <c r="P419" s="11">
        <v>44722.639669212964</v>
      </c>
      <c r="Q419" s="27">
        <v>3.6512731458060443E-4</v>
      </c>
      <c r="R419" s="27">
        <v>2.1168865714571439E-3</v>
      </c>
      <c r="S419" s="2">
        <v>0</v>
      </c>
      <c r="T419" s="2" t="s">
        <v>36</v>
      </c>
      <c r="U419" s="2" t="s">
        <v>37</v>
      </c>
      <c r="V419" s="2" t="s">
        <v>38</v>
      </c>
      <c r="W419" s="2" t="s">
        <v>35</v>
      </c>
      <c r="X419" s="2" t="s">
        <v>35</v>
      </c>
      <c r="Y419" s="2" t="s">
        <v>35</v>
      </c>
      <c r="Z419" s="2" t="b">
        <v>0</v>
      </c>
      <c r="AA419" s="2" t="s">
        <v>35</v>
      </c>
      <c r="AB419" s="2" t="s">
        <v>35</v>
      </c>
      <c r="AC419" s="2" t="s">
        <v>35</v>
      </c>
      <c r="AD419" s="2">
        <v>3</v>
      </c>
      <c r="AE419" s="2" t="s">
        <v>39</v>
      </c>
      <c r="AF419" s="11">
        <v>44722.609722222223</v>
      </c>
      <c r="AG419" s="53"/>
      <c r="AH419" s="53" t="b">
        <f t="shared" si="11"/>
        <v>0</v>
      </c>
      <c r="AI419" s="54" t="s">
        <v>10164</v>
      </c>
      <c r="AJ419" s="2"/>
      <c r="AK419" s="2"/>
      <c r="AL419" s="2"/>
      <c r="AM419" s="2"/>
      <c r="AN419" s="2"/>
    </row>
    <row r="420" spans="1:40" ht="16" x14ac:dyDescent="0.2">
      <c r="A420" s="2" t="s">
        <v>68</v>
      </c>
      <c r="B420" s="2">
        <v>9</v>
      </c>
      <c r="C420" s="2" t="b">
        <v>0</v>
      </c>
      <c r="D420" s="2" t="b">
        <v>0</v>
      </c>
      <c r="E420" s="2" t="b">
        <v>0</v>
      </c>
      <c r="F420" s="2" t="b">
        <v>0</v>
      </c>
      <c r="G420" s="2" t="s">
        <v>31</v>
      </c>
      <c r="H420" s="2" t="s">
        <v>69</v>
      </c>
      <c r="I420" s="2" t="s">
        <v>70</v>
      </c>
      <c r="J420" s="2" t="s">
        <v>71</v>
      </c>
      <c r="K420" s="2" t="s">
        <v>35</v>
      </c>
      <c r="L420" s="2" t="s">
        <v>35</v>
      </c>
      <c r="M420" s="2" t="s">
        <v>35</v>
      </c>
      <c r="N420" s="2" t="s">
        <v>35</v>
      </c>
      <c r="O420" s="11">
        <v>44722.644960914353</v>
      </c>
      <c r="P420" s="11">
        <v>44722.645530902781</v>
      </c>
      <c r="Q420" s="27">
        <v>5.6998842774191871E-4</v>
      </c>
      <c r="R420" s="27">
        <v>5.861689816811122E-3</v>
      </c>
      <c r="S420" s="2">
        <v>0</v>
      </c>
      <c r="T420" s="2" t="s">
        <v>36</v>
      </c>
      <c r="U420" s="2" t="s">
        <v>37</v>
      </c>
      <c r="V420" s="2" t="s">
        <v>38</v>
      </c>
      <c r="W420" s="2" t="s">
        <v>35</v>
      </c>
      <c r="X420" s="2" t="s">
        <v>35</v>
      </c>
      <c r="Y420" s="2" t="s">
        <v>35</v>
      </c>
      <c r="Z420" s="2" t="b">
        <v>0</v>
      </c>
      <c r="AA420" s="2" t="s">
        <v>35</v>
      </c>
      <c r="AB420" s="2" t="s">
        <v>35</v>
      </c>
      <c r="AC420" s="2">
        <v>4</v>
      </c>
      <c r="AD420" s="2" t="s">
        <v>35</v>
      </c>
      <c r="AE420" s="2" t="s">
        <v>39</v>
      </c>
      <c r="AF420" s="11">
        <v>44722.609722222223</v>
      </c>
      <c r="AG420" s="53"/>
      <c r="AH420" s="53" t="b">
        <f t="shared" si="11"/>
        <v>0</v>
      </c>
      <c r="AI420" s="54" t="s">
        <v>10165</v>
      </c>
      <c r="AJ420" s="2"/>
      <c r="AK420" s="2"/>
      <c r="AL420" s="2"/>
      <c r="AM420" s="2"/>
      <c r="AN420" s="2"/>
    </row>
    <row r="421" spans="1:40" ht="16" x14ac:dyDescent="0.2">
      <c r="A421" s="2" t="s">
        <v>72</v>
      </c>
      <c r="B421" s="2">
        <v>10</v>
      </c>
      <c r="C421" s="2" t="b">
        <v>0</v>
      </c>
      <c r="D421" s="2" t="b">
        <v>0</v>
      </c>
      <c r="E421" s="2" t="b">
        <v>0</v>
      </c>
      <c r="F421" s="2" t="b">
        <v>0</v>
      </c>
      <c r="G421" s="2" t="s">
        <v>31</v>
      </c>
      <c r="H421" s="2" t="s">
        <v>73</v>
      </c>
      <c r="I421" s="2" t="s">
        <v>74</v>
      </c>
      <c r="J421" s="2" t="s">
        <v>75</v>
      </c>
      <c r="K421" s="2" t="s">
        <v>35</v>
      </c>
      <c r="L421" s="2" t="s">
        <v>35</v>
      </c>
      <c r="M421" s="2" t="s">
        <v>35</v>
      </c>
      <c r="N421" s="2" t="s">
        <v>35</v>
      </c>
      <c r="O421" s="11">
        <v>44722.651341886572</v>
      </c>
      <c r="P421" s="11">
        <v>44722.65177488426</v>
      </c>
      <c r="Q421" s="27">
        <v>4.329976873123087E-4</v>
      </c>
      <c r="R421" s="27">
        <v>6.2439814792014658E-3</v>
      </c>
      <c r="S421" s="2">
        <v>0</v>
      </c>
      <c r="T421" s="2" t="s">
        <v>36</v>
      </c>
      <c r="U421" s="2" t="s">
        <v>37</v>
      </c>
      <c r="V421" s="2" t="s">
        <v>38</v>
      </c>
      <c r="W421" s="2" t="s">
        <v>35</v>
      </c>
      <c r="X421" s="2" t="s">
        <v>35</v>
      </c>
      <c r="Y421" s="2" t="s">
        <v>35</v>
      </c>
      <c r="Z421" s="2" t="b">
        <v>0</v>
      </c>
      <c r="AA421" s="2" t="s">
        <v>35</v>
      </c>
      <c r="AB421" s="2" t="s">
        <v>35</v>
      </c>
      <c r="AC421" s="2">
        <v>4</v>
      </c>
      <c r="AD421" s="2" t="s">
        <v>35</v>
      </c>
      <c r="AE421" s="2" t="s">
        <v>39</v>
      </c>
      <c r="AF421" s="11">
        <v>44722.609722222223</v>
      </c>
      <c r="AG421" s="53"/>
      <c r="AH421" s="53" t="b">
        <f t="shared" si="11"/>
        <v>0</v>
      </c>
      <c r="AI421" s="54" t="s">
        <v>10166</v>
      </c>
      <c r="AJ421" s="2"/>
      <c r="AK421" s="2"/>
      <c r="AL421" s="2"/>
      <c r="AM421" s="2"/>
      <c r="AN421" s="2"/>
    </row>
    <row r="422" spans="1:40" ht="16" x14ac:dyDescent="0.2">
      <c r="A422" s="2" t="s">
        <v>76</v>
      </c>
      <c r="B422" s="2">
        <v>11</v>
      </c>
      <c r="C422" s="2" t="b">
        <v>0</v>
      </c>
      <c r="D422" s="2" t="b">
        <v>0</v>
      </c>
      <c r="E422" s="2" t="b">
        <v>0</v>
      </c>
      <c r="F422" s="2" t="b">
        <v>0</v>
      </c>
      <c r="G422" s="2" t="s">
        <v>31</v>
      </c>
      <c r="H422" s="2" t="s">
        <v>77</v>
      </c>
      <c r="I422" s="2" t="s">
        <v>78</v>
      </c>
      <c r="J422" s="2" t="s">
        <v>46</v>
      </c>
      <c r="K422" s="2" t="s">
        <v>35</v>
      </c>
      <c r="L422" s="2" t="s">
        <v>35</v>
      </c>
      <c r="M422" s="2" t="s">
        <v>35</v>
      </c>
      <c r="N422" s="2" t="s">
        <v>35</v>
      </c>
      <c r="O422" s="11">
        <v>44722.655207245371</v>
      </c>
      <c r="P422" s="11">
        <v>44722.655662893521</v>
      </c>
      <c r="Q422" s="27">
        <v>4.556481508188881E-4</v>
      </c>
      <c r="R422" s="27">
        <v>3.8880092615727335E-3</v>
      </c>
      <c r="S422" s="2">
        <v>0</v>
      </c>
      <c r="T422" s="2" t="s">
        <v>36</v>
      </c>
      <c r="U422" s="2" t="s">
        <v>37</v>
      </c>
      <c r="V422" s="2" t="s">
        <v>38</v>
      </c>
      <c r="W422" s="2" t="s">
        <v>35</v>
      </c>
      <c r="X422" s="2" t="s">
        <v>35</v>
      </c>
      <c r="Y422" s="2" t="s">
        <v>35</v>
      </c>
      <c r="Z422" s="2" t="b">
        <v>0</v>
      </c>
      <c r="AA422" s="2" t="s">
        <v>35</v>
      </c>
      <c r="AB422" s="2" t="s">
        <v>35</v>
      </c>
      <c r="AC422" s="2">
        <v>4</v>
      </c>
      <c r="AD422" s="2" t="s">
        <v>35</v>
      </c>
      <c r="AE422" s="2" t="s">
        <v>39</v>
      </c>
      <c r="AF422" s="11">
        <v>44722.609722222223</v>
      </c>
      <c r="AG422" s="53"/>
      <c r="AH422" s="53" t="b">
        <f t="shared" si="11"/>
        <v>0</v>
      </c>
      <c r="AI422" s="54" t="s">
        <v>10167</v>
      </c>
      <c r="AJ422" s="2"/>
      <c r="AK422" s="2"/>
      <c r="AL422" s="2"/>
      <c r="AM422" s="2"/>
      <c r="AN422" s="2"/>
    </row>
    <row r="423" spans="1:40" ht="16" x14ac:dyDescent="0.2">
      <c r="A423" s="2" t="s">
        <v>79</v>
      </c>
      <c r="B423" s="2">
        <v>12</v>
      </c>
      <c r="C423" s="2" t="b">
        <v>0</v>
      </c>
      <c r="D423" s="2" t="b">
        <v>0</v>
      </c>
      <c r="E423" s="2" t="b">
        <v>0</v>
      </c>
      <c r="F423" s="2" t="b">
        <v>0</v>
      </c>
      <c r="G423" s="2" t="s">
        <v>31</v>
      </c>
      <c r="H423" s="2" t="s">
        <v>80</v>
      </c>
      <c r="I423" s="2" t="s">
        <v>81</v>
      </c>
      <c r="J423" s="2" t="s">
        <v>82</v>
      </c>
      <c r="K423" s="2" t="s">
        <v>35</v>
      </c>
      <c r="L423" s="2" t="s">
        <v>35</v>
      </c>
      <c r="M423" s="2" t="s">
        <v>35</v>
      </c>
      <c r="N423" s="2" t="s">
        <v>35</v>
      </c>
      <c r="O423" s="11">
        <v>44722.656476574077</v>
      </c>
      <c r="P423" s="11">
        <v>44722.656920069443</v>
      </c>
      <c r="Q423" s="27">
        <v>4.434953661984764E-4</v>
      </c>
      <c r="R423" s="27">
        <v>1.2571759216370992E-3</v>
      </c>
      <c r="S423" s="2">
        <v>0</v>
      </c>
      <c r="T423" s="2" t="s">
        <v>36</v>
      </c>
      <c r="U423" s="2" t="s">
        <v>37</v>
      </c>
      <c r="V423" s="2" t="s">
        <v>38</v>
      </c>
      <c r="W423" s="2" t="s">
        <v>35</v>
      </c>
      <c r="X423" s="2" t="s">
        <v>35</v>
      </c>
      <c r="Y423" s="2" t="s">
        <v>35</v>
      </c>
      <c r="Z423" s="2" t="b">
        <v>0</v>
      </c>
      <c r="AA423" s="2" t="s">
        <v>35</v>
      </c>
      <c r="AB423" s="2" t="s">
        <v>35</v>
      </c>
      <c r="AC423" s="2">
        <v>5</v>
      </c>
      <c r="AD423" s="2" t="s">
        <v>35</v>
      </c>
      <c r="AE423" s="2" t="s">
        <v>39</v>
      </c>
      <c r="AF423" s="11">
        <v>44722.609722222223</v>
      </c>
      <c r="AG423" s="53"/>
      <c r="AH423" s="53" t="b">
        <f t="shared" si="11"/>
        <v>0</v>
      </c>
      <c r="AI423" s="54" t="s">
        <v>10168</v>
      </c>
      <c r="AJ423" s="2"/>
      <c r="AK423" s="2"/>
      <c r="AL423" s="2"/>
      <c r="AM423" s="2"/>
      <c r="AN423" s="2"/>
    </row>
    <row r="424" spans="1:40" ht="16" x14ac:dyDescent="0.2">
      <c r="A424" s="2" t="s">
        <v>83</v>
      </c>
      <c r="B424" s="2">
        <v>13</v>
      </c>
      <c r="C424" s="2" t="b">
        <v>0</v>
      </c>
      <c r="D424" s="2" t="b">
        <v>0</v>
      </c>
      <c r="E424" s="2" t="b">
        <v>0</v>
      </c>
      <c r="F424" s="2" t="b">
        <v>0</v>
      </c>
      <c r="G424" s="2" t="s">
        <v>31</v>
      </c>
      <c r="H424" s="2" t="s">
        <v>84</v>
      </c>
      <c r="I424" s="2" t="s">
        <v>85</v>
      </c>
      <c r="J424" s="2" t="s">
        <v>86</v>
      </c>
      <c r="K424" s="2" t="s">
        <v>35</v>
      </c>
      <c r="L424" s="2" t="s">
        <v>35</v>
      </c>
      <c r="M424" s="2" t="s">
        <v>35</v>
      </c>
      <c r="N424" s="2" t="s">
        <v>35</v>
      </c>
      <c r="O424" s="11">
        <v>44722.658118576386</v>
      </c>
      <c r="P424" s="11">
        <v>44722.658625312499</v>
      </c>
      <c r="Q424" s="27">
        <v>5.0673611258389428E-4</v>
      </c>
      <c r="R424" s="27">
        <v>1.705243055766914E-3</v>
      </c>
      <c r="S424" s="2">
        <v>0</v>
      </c>
      <c r="T424" s="2" t="s">
        <v>36</v>
      </c>
      <c r="U424" s="2" t="s">
        <v>37</v>
      </c>
      <c r="V424" s="2" t="s">
        <v>38</v>
      </c>
      <c r="W424" s="2" t="s">
        <v>35</v>
      </c>
      <c r="X424" s="2" t="s">
        <v>35</v>
      </c>
      <c r="Y424" s="2" t="s">
        <v>35</v>
      </c>
      <c r="Z424" s="2" t="b">
        <v>0</v>
      </c>
      <c r="AA424" s="2" t="s">
        <v>35</v>
      </c>
      <c r="AB424" s="2" t="s">
        <v>35</v>
      </c>
      <c r="AC424" s="2">
        <v>5</v>
      </c>
      <c r="AD424" s="2" t="s">
        <v>35</v>
      </c>
      <c r="AE424" s="2" t="s">
        <v>39</v>
      </c>
      <c r="AF424" s="11">
        <v>44722.609722222223</v>
      </c>
      <c r="AG424" s="53"/>
      <c r="AH424" s="53" t="b">
        <f t="shared" si="11"/>
        <v>0</v>
      </c>
      <c r="AI424" s="54" t="s">
        <v>10169</v>
      </c>
      <c r="AJ424" s="2"/>
      <c r="AK424" s="2"/>
      <c r="AL424" s="2"/>
      <c r="AM424" s="2"/>
      <c r="AN424" s="2"/>
    </row>
    <row r="425" spans="1:40" ht="16" x14ac:dyDescent="0.2">
      <c r="A425" s="2" t="s">
        <v>87</v>
      </c>
      <c r="B425" s="2">
        <v>14</v>
      </c>
      <c r="C425" s="2" t="b">
        <v>0</v>
      </c>
      <c r="D425" s="2" t="b">
        <v>0</v>
      </c>
      <c r="E425" s="2" t="b">
        <v>0</v>
      </c>
      <c r="F425" s="2" t="b">
        <v>0</v>
      </c>
      <c r="G425" s="2" t="s">
        <v>31</v>
      </c>
      <c r="H425" s="2" t="s">
        <v>88</v>
      </c>
      <c r="I425" s="2" t="s">
        <v>89</v>
      </c>
      <c r="J425" s="2" t="s">
        <v>90</v>
      </c>
      <c r="K425" s="2" t="s">
        <v>35</v>
      </c>
      <c r="L425" s="2" t="s">
        <v>35</v>
      </c>
      <c r="M425" s="2" t="s">
        <v>35</v>
      </c>
      <c r="N425" s="2" t="s">
        <v>35</v>
      </c>
      <c r="O425" s="11">
        <v>44722.660198275466</v>
      </c>
      <c r="P425" s="11">
        <v>44722.660604884259</v>
      </c>
      <c r="Q425" s="27">
        <v>4.0660879312781617E-4</v>
      </c>
      <c r="R425" s="27">
        <v>1.9795717598753981E-3</v>
      </c>
      <c r="S425" s="2">
        <v>0</v>
      </c>
      <c r="T425" s="2" t="s">
        <v>36</v>
      </c>
      <c r="U425" s="2" t="s">
        <v>37</v>
      </c>
      <c r="V425" s="2" t="s">
        <v>38</v>
      </c>
      <c r="W425" s="2" t="s">
        <v>35</v>
      </c>
      <c r="X425" s="2" t="s">
        <v>35</v>
      </c>
      <c r="Y425" s="2" t="s">
        <v>35</v>
      </c>
      <c r="Z425" s="2" t="b">
        <v>0</v>
      </c>
      <c r="AA425" s="2" t="s">
        <v>35</v>
      </c>
      <c r="AB425" s="2" t="s">
        <v>35</v>
      </c>
      <c r="AC425" s="2" t="s">
        <v>35</v>
      </c>
      <c r="AD425" s="2">
        <v>5</v>
      </c>
      <c r="AE425" s="2" t="s">
        <v>39</v>
      </c>
      <c r="AF425" s="11">
        <v>44722.609722222223</v>
      </c>
      <c r="AG425" s="53"/>
      <c r="AH425" s="53" t="b">
        <f t="shared" si="11"/>
        <v>0</v>
      </c>
      <c r="AI425" s="54" t="s">
        <v>10170</v>
      </c>
      <c r="AJ425" s="2"/>
      <c r="AK425" s="2"/>
      <c r="AL425" s="2"/>
      <c r="AM425" s="2"/>
      <c r="AN425" s="2"/>
    </row>
    <row r="426" spans="1:40" ht="16" x14ac:dyDescent="0.2">
      <c r="A426" s="2" t="s">
        <v>91</v>
      </c>
      <c r="B426" s="2">
        <v>15</v>
      </c>
      <c r="C426" s="2" t="b">
        <v>0</v>
      </c>
      <c r="D426" s="2" t="b">
        <v>0</v>
      </c>
      <c r="E426" s="2" t="b">
        <v>0</v>
      </c>
      <c r="F426" s="2" t="b">
        <v>0</v>
      </c>
      <c r="G426" s="2" t="s">
        <v>31</v>
      </c>
      <c r="H426" s="2" t="s">
        <v>92</v>
      </c>
      <c r="I426" s="2" t="s">
        <v>93</v>
      </c>
      <c r="J426" s="2" t="s">
        <v>82</v>
      </c>
      <c r="K426" s="2" t="s">
        <v>35</v>
      </c>
      <c r="L426" s="2" t="s">
        <v>35</v>
      </c>
      <c r="M426" s="2" t="s">
        <v>35</v>
      </c>
      <c r="N426" s="2" t="s">
        <v>35</v>
      </c>
      <c r="O426" s="11">
        <v>44722.663981446756</v>
      </c>
      <c r="P426" s="11">
        <v>44722.664556006945</v>
      </c>
      <c r="Q426" s="27">
        <v>5.745601883972995E-4</v>
      </c>
      <c r="R426" s="27">
        <v>3.9511226859758608E-3</v>
      </c>
      <c r="S426" s="2">
        <v>0</v>
      </c>
      <c r="T426" s="2" t="s">
        <v>36</v>
      </c>
      <c r="U426" s="2" t="s">
        <v>37</v>
      </c>
      <c r="V426" s="2" t="s">
        <v>38</v>
      </c>
      <c r="W426" s="2" t="s">
        <v>35</v>
      </c>
      <c r="X426" s="2" t="s">
        <v>35</v>
      </c>
      <c r="Y426" s="2" t="s">
        <v>35</v>
      </c>
      <c r="Z426" s="2" t="b">
        <v>0</v>
      </c>
      <c r="AA426" s="2" t="s">
        <v>35</v>
      </c>
      <c r="AB426" s="2" t="s">
        <v>35</v>
      </c>
      <c r="AC426" s="2">
        <v>6</v>
      </c>
      <c r="AD426" s="2" t="s">
        <v>35</v>
      </c>
      <c r="AE426" s="2" t="s">
        <v>39</v>
      </c>
      <c r="AF426" s="11">
        <v>44722.609722222223</v>
      </c>
      <c r="AG426" s="53"/>
      <c r="AH426" s="53" t="b">
        <f t="shared" si="11"/>
        <v>0</v>
      </c>
      <c r="AI426" s="54" t="s">
        <v>10173</v>
      </c>
      <c r="AJ426" s="2" t="s">
        <v>10171</v>
      </c>
      <c r="AK426" s="2" t="s">
        <v>10172</v>
      </c>
      <c r="AL426" s="2"/>
      <c r="AM426" s="2"/>
      <c r="AN426" s="2"/>
    </row>
    <row r="427" spans="1:40" ht="16" x14ac:dyDescent="0.2">
      <c r="A427" s="2" t="s">
        <v>94</v>
      </c>
      <c r="B427" s="2">
        <v>16</v>
      </c>
      <c r="C427" s="2" t="b">
        <v>0</v>
      </c>
      <c r="D427" s="2" t="b">
        <v>0</v>
      </c>
      <c r="E427" s="2" t="b">
        <v>0</v>
      </c>
      <c r="F427" s="2" t="b">
        <v>0</v>
      </c>
      <c r="G427" s="2" t="s">
        <v>31</v>
      </c>
      <c r="H427" s="2" t="s">
        <v>95</v>
      </c>
      <c r="I427" s="2" t="s">
        <v>96</v>
      </c>
      <c r="J427" s="2" t="s">
        <v>75</v>
      </c>
      <c r="K427" s="2" t="s">
        <v>35</v>
      </c>
      <c r="L427" s="2" t="s">
        <v>35</v>
      </c>
      <c r="M427" s="2" t="s">
        <v>35</v>
      </c>
      <c r="N427" s="2" t="s">
        <v>35</v>
      </c>
      <c r="O427" s="11">
        <v>44722.665397175922</v>
      </c>
      <c r="P427" s="11">
        <v>44722.665895127313</v>
      </c>
      <c r="Q427" s="27">
        <v>4.9795139057096094E-4</v>
      </c>
      <c r="R427" s="27">
        <v>1.3391203683568165E-3</v>
      </c>
      <c r="S427" s="2">
        <v>0</v>
      </c>
      <c r="T427" s="2" t="s">
        <v>36</v>
      </c>
      <c r="U427" s="2" t="s">
        <v>37</v>
      </c>
      <c r="V427" s="2" t="s">
        <v>38</v>
      </c>
      <c r="W427" s="2" t="s">
        <v>35</v>
      </c>
      <c r="X427" s="2" t="s">
        <v>35</v>
      </c>
      <c r="Y427" s="2" t="s">
        <v>35</v>
      </c>
      <c r="Z427" s="2" t="b">
        <v>0</v>
      </c>
      <c r="AA427" s="2" t="s">
        <v>35</v>
      </c>
      <c r="AB427" s="2" t="s">
        <v>35</v>
      </c>
      <c r="AC427" s="2">
        <v>4</v>
      </c>
      <c r="AD427" s="2" t="s">
        <v>35</v>
      </c>
      <c r="AE427" s="2" t="s">
        <v>39</v>
      </c>
      <c r="AF427" s="11">
        <v>44722.609722222223</v>
      </c>
      <c r="AG427" s="53"/>
      <c r="AH427" s="53" t="b">
        <f t="shared" si="11"/>
        <v>0</v>
      </c>
      <c r="AI427" s="54" t="s">
        <v>10174</v>
      </c>
      <c r="AJ427" s="2"/>
      <c r="AK427" s="2"/>
      <c r="AL427" s="2"/>
      <c r="AM427" s="2"/>
      <c r="AN427" s="2"/>
    </row>
    <row r="428" spans="1:40" ht="16" x14ac:dyDescent="0.2">
      <c r="A428" s="2" t="s">
        <v>102</v>
      </c>
      <c r="B428" s="2">
        <v>18</v>
      </c>
      <c r="C428" s="2" t="b">
        <v>0</v>
      </c>
      <c r="D428" s="2" t="b">
        <v>0</v>
      </c>
      <c r="E428" s="2" t="b">
        <v>0</v>
      </c>
      <c r="F428" s="2" t="b">
        <v>0</v>
      </c>
      <c r="G428" s="2" t="s">
        <v>31</v>
      </c>
      <c r="H428" s="2" t="s">
        <v>103</v>
      </c>
      <c r="I428" s="2" t="s">
        <v>104</v>
      </c>
      <c r="J428" s="2" t="s">
        <v>90</v>
      </c>
      <c r="K428" s="2" t="s">
        <v>35</v>
      </c>
      <c r="L428" s="2" t="s">
        <v>35</v>
      </c>
      <c r="M428" s="2" t="s">
        <v>35</v>
      </c>
      <c r="N428" s="2" t="s">
        <v>35</v>
      </c>
      <c r="O428" s="11">
        <v>44722.679575405091</v>
      </c>
      <c r="P428" s="11">
        <v>44722.679849224536</v>
      </c>
      <c r="Q428" s="27">
        <v>2.7381944528315216E-4</v>
      </c>
      <c r="R428" s="27">
        <v>5.5674652758170851E-3</v>
      </c>
      <c r="S428" s="2">
        <v>0</v>
      </c>
      <c r="T428" s="2" t="s">
        <v>36</v>
      </c>
      <c r="U428" s="2" t="s">
        <v>37</v>
      </c>
      <c r="V428" s="2" t="s">
        <v>38</v>
      </c>
      <c r="W428" s="2" t="s">
        <v>35</v>
      </c>
      <c r="X428" s="2" t="s">
        <v>35</v>
      </c>
      <c r="Y428" s="2" t="s">
        <v>35</v>
      </c>
      <c r="Z428" s="2" t="b">
        <v>0</v>
      </c>
      <c r="AA428" s="2" t="s">
        <v>35</v>
      </c>
      <c r="AB428" s="2" t="s">
        <v>35</v>
      </c>
      <c r="AC428" s="2" t="s">
        <v>35</v>
      </c>
      <c r="AD428" s="2">
        <v>4</v>
      </c>
      <c r="AE428" s="2" t="s">
        <v>39</v>
      </c>
      <c r="AF428" s="11">
        <v>44722.609722222223</v>
      </c>
      <c r="AG428" s="53"/>
      <c r="AH428" s="53" t="b">
        <f t="shared" si="11"/>
        <v>0</v>
      </c>
      <c r="AI428" s="54" t="s">
        <v>9567</v>
      </c>
      <c r="AJ428" s="2"/>
      <c r="AK428" s="2"/>
      <c r="AL428" s="2"/>
      <c r="AM428" s="2"/>
      <c r="AN428" s="2"/>
    </row>
    <row r="429" spans="1:40" ht="16" x14ac:dyDescent="0.2">
      <c r="A429" s="2" t="s">
        <v>126</v>
      </c>
      <c r="B429" s="2">
        <v>23</v>
      </c>
      <c r="C429" s="2" t="b">
        <v>0</v>
      </c>
      <c r="D429" s="2" t="b">
        <v>0</v>
      </c>
      <c r="E429" s="2" t="b">
        <v>0</v>
      </c>
      <c r="F429" s="2" t="b">
        <v>0</v>
      </c>
      <c r="G429" s="2" t="s">
        <v>31</v>
      </c>
      <c r="H429" s="2" t="s">
        <v>127</v>
      </c>
      <c r="I429" s="2" t="s">
        <v>128</v>
      </c>
      <c r="J429" s="2" t="s">
        <v>90</v>
      </c>
      <c r="K429" s="2" t="s">
        <v>35</v>
      </c>
      <c r="L429" s="2" t="s">
        <v>35</v>
      </c>
      <c r="M429" s="2" t="s">
        <v>35</v>
      </c>
      <c r="N429" s="2" t="s">
        <v>35</v>
      </c>
      <c r="O429" s="11">
        <v>44725.671097962964</v>
      </c>
      <c r="P429" s="11">
        <v>44725.671408912036</v>
      </c>
      <c r="Q429" s="27">
        <v>3.1094907171791419E-4</v>
      </c>
      <c r="R429" s="27">
        <v>5.4201388848014176E-3</v>
      </c>
      <c r="S429" s="2">
        <v>0</v>
      </c>
      <c r="T429" s="2" t="s">
        <v>36</v>
      </c>
      <c r="U429" s="2" t="s">
        <v>37</v>
      </c>
      <c r="V429" s="2" t="s">
        <v>38</v>
      </c>
      <c r="W429" s="2" t="s">
        <v>35</v>
      </c>
      <c r="X429" s="2" t="s">
        <v>35</v>
      </c>
      <c r="Y429" s="2" t="s">
        <v>35</v>
      </c>
      <c r="Z429" s="2" t="b">
        <v>0</v>
      </c>
      <c r="AA429" s="2" t="s">
        <v>35</v>
      </c>
      <c r="AB429" s="2" t="s">
        <v>35</v>
      </c>
      <c r="AC429" s="2" t="s">
        <v>35</v>
      </c>
      <c r="AD429" s="2">
        <v>4</v>
      </c>
      <c r="AE429" s="2" t="s">
        <v>115</v>
      </c>
      <c r="AF429" s="11">
        <v>44725.654166666667</v>
      </c>
      <c r="AG429" s="53"/>
      <c r="AH429" s="53" t="b">
        <f t="shared" si="11"/>
        <v>0</v>
      </c>
      <c r="AI429" s="54" t="s">
        <v>10175</v>
      </c>
      <c r="AJ429" s="2"/>
      <c r="AK429" s="2"/>
      <c r="AL429" s="2"/>
      <c r="AM429" s="2"/>
      <c r="AN429" s="2"/>
    </row>
    <row r="430" spans="1:40" ht="16" x14ac:dyDescent="0.2">
      <c r="A430" s="2" t="s">
        <v>129</v>
      </c>
      <c r="B430" s="2">
        <v>24</v>
      </c>
      <c r="C430" s="2" t="b">
        <v>0</v>
      </c>
      <c r="D430" s="2" t="b">
        <v>0</v>
      </c>
      <c r="E430" s="2" t="b">
        <v>0</v>
      </c>
      <c r="F430" s="2" t="b">
        <v>0</v>
      </c>
      <c r="G430" s="2" t="s">
        <v>31</v>
      </c>
      <c r="H430" s="2" t="s">
        <v>130</v>
      </c>
      <c r="I430" s="2" t="s">
        <v>131</v>
      </c>
      <c r="J430" s="2" t="s">
        <v>90</v>
      </c>
      <c r="K430" s="2" t="s">
        <v>35</v>
      </c>
      <c r="L430" s="2" t="s">
        <v>35</v>
      </c>
      <c r="M430" s="2" t="s">
        <v>35</v>
      </c>
      <c r="N430" s="2" t="s">
        <v>35</v>
      </c>
      <c r="O430" s="11">
        <v>44725.673547500002</v>
      </c>
      <c r="P430" s="11">
        <v>44725.674455960645</v>
      </c>
      <c r="Q430" s="27">
        <v>9.0846064267680049E-4</v>
      </c>
      <c r="R430" s="27">
        <v>3.0470486090052873E-3</v>
      </c>
      <c r="S430" s="2">
        <v>0</v>
      </c>
      <c r="T430" s="2" t="s">
        <v>36</v>
      </c>
      <c r="U430" s="2" t="s">
        <v>37</v>
      </c>
      <c r="V430" s="2" t="s">
        <v>38</v>
      </c>
      <c r="W430" s="2" t="s">
        <v>35</v>
      </c>
      <c r="X430" s="2" t="s">
        <v>35</v>
      </c>
      <c r="Y430" s="2" t="s">
        <v>35</v>
      </c>
      <c r="Z430" s="2" t="b">
        <v>0</v>
      </c>
      <c r="AA430" s="2" t="s">
        <v>35</v>
      </c>
      <c r="AB430" s="2" t="s">
        <v>35</v>
      </c>
      <c r="AC430" s="2" t="s">
        <v>35</v>
      </c>
      <c r="AD430" s="2">
        <v>6</v>
      </c>
      <c r="AE430" s="2" t="s">
        <v>115</v>
      </c>
      <c r="AF430" s="11">
        <v>44725.654166666667</v>
      </c>
      <c r="AG430" s="53"/>
      <c r="AH430" s="53" t="str">
        <f t="shared" si="11"/>
        <v>TRUE</v>
      </c>
      <c r="AI430" s="54" t="s">
        <v>10176</v>
      </c>
      <c r="AJ430" s="2"/>
      <c r="AK430" s="2"/>
      <c r="AL430" s="2"/>
      <c r="AM430" s="2"/>
      <c r="AN430" s="2"/>
    </row>
    <row r="431" spans="1:40" ht="16" x14ac:dyDescent="0.2">
      <c r="A431" s="2" t="s">
        <v>132</v>
      </c>
      <c r="B431" s="2">
        <v>25</v>
      </c>
      <c r="C431" s="2" t="b">
        <v>0</v>
      </c>
      <c r="D431" s="2" t="b">
        <v>0</v>
      </c>
      <c r="E431" s="2" t="b">
        <v>0</v>
      </c>
      <c r="F431" s="2" t="b">
        <v>0</v>
      </c>
      <c r="G431" s="2" t="s">
        <v>31</v>
      </c>
      <c r="H431" s="2" t="s">
        <v>133</v>
      </c>
      <c r="I431" s="2" t="s">
        <v>134</v>
      </c>
      <c r="J431" s="2" t="s">
        <v>135</v>
      </c>
      <c r="K431" s="2" t="s">
        <v>35</v>
      </c>
      <c r="L431" s="2" t="s">
        <v>35</v>
      </c>
      <c r="M431" s="2" t="s">
        <v>35</v>
      </c>
      <c r="N431" s="2" t="s">
        <v>35</v>
      </c>
      <c r="O431" s="11">
        <v>44725.67726355324</v>
      </c>
      <c r="P431" s="11">
        <v>44725.677634375003</v>
      </c>
      <c r="Q431" s="27">
        <v>3.7082176277181134E-4</v>
      </c>
      <c r="R431" s="27">
        <v>3.1784143575350754E-3</v>
      </c>
      <c r="S431" s="2">
        <v>0</v>
      </c>
      <c r="T431" s="2" t="s">
        <v>36</v>
      </c>
      <c r="U431" s="2" t="s">
        <v>37</v>
      </c>
      <c r="V431" s="2" t="s">
        <v>38</v>
      </c>
      <c r="W431" s="2" t="s">
        <v>35</v>
      </c>
      <c r="X431" s="2" t="s">
        <v>35</v>
      </c>
      <c r="Y431" s="2" t="s">
        <v>35</v>
      </c>
      <c r="Z431" s="2" t="b">
        <v>0</v>
      </c>
      <c r="AA431" s="2" t="s">
        <v>35</v>
      </c>
      <c r="AB431" s="2" t="s">
        <v>35</v>
      </c>
      <c r="AC431" s="2">
        <v>5</v>
      </c>
      <c r="AD431" s="2" t="s">
        <v>35</v>
      </c>
      <c r="AE431" s="2" t="s">
        <v>115</v>
      </c>
      <c r="AF431" s="11">
        <v>44725.654166666667</v>
      </c>
      <c r="AG431" s="53"/>
      <c r="AH431" s="53" t="b">
        <f t="shared" si="11"/>
        <v>0</v>
      </c>
      <c r="AI431" s="54" t="s">
        <v>10177</v>
      </c>
      <c r="AJ431" s="2"/>
      <c r="AK431" s="2"/>
      <c r="AL431" s="2"/>
      <c r="AM431" s="2"/>
      <c r="AN431" s="2"/>
    </row>
    <row r="432" spans="1:40" ht="16" x14ac:dyDescent="0.2">
      <c r="A432" s="2" t="s">
        <v>158</v>
      </c>
      <c r="B432" s="2">
        <v>33</v>
      </c>
      <c r="C432" s="2" t="b">
        <v>0</v>
      </c>
      <c r="D432" s="2" t="b">
        <v>0</v>
      </c>
      <c r="E432" s="2" t="b">
        <v>0</v>
      </c>
      <c r="F432" s="2" t="b">
        <v>0</v>
      </c>
      <c r="G432" s="2" t="s">
        <v>31</v>
      </c>
      <c r="H432" s="2" t="s">
        <v>159</v>
      </c>
      <c r="I432" s="2" t="s">
        <v>160</v>
      </c>
      <c r="J432" s="2" t="s">
        <v>90</v>
      </c>
      <c r="K432" s="2" t="s">
        <v>35</v>
      </c>
      <c r="L432" s="2" t="s">
        <v>35</v>
      </c>
      <c r="M432" s="2" t="s">
        <v>35</v>
      </c>
      <c r="N432" s="2" t="s">
        <v>35</v>
      </c>
      <c r="O432" s="11">
        <v>44725.690554872686</v>
      </c>
      <c r="P432" s="11">
        <v>44725.690861550924</v>
      </c>
      <c r="Q432" s="27">
        <v>3.0667823739349842E-4</v>
      </c>
      <c r="R432" s="27">
        <v>3.6054166630492546E-3</v>
      </c>
      <c r="S432" s="2">
        <v>0</v>
      </c>
      <c r="T432" s="2" t="s">
        <v>36</v>
      </c>
      <c r="U432" s="2" t="s">
        <v>37</v>
      </c>
      <c r="V432" s="2" t="s">
        <v>38</v>
      </c>
      <c r="W432" s="2" t="s">
        <v>35</v>
      </c>
      <c r="X432" s="2" t="s">
        <v>35</v>
      </c>
      <c r="Y432" s="2" t="s">
        <v>35</v>
      </c>
      <c r="Z432" s="2" t="b">
        <v>0</v>
      </c>
      <c r="AA432" s="2" t="s">
        <v>35</v>
      </c>
      <c r="AB432" s="2" t="s">
        <v>35</v>
      </c>
      <c r="AC432" s="2" t="s">
        <v>35</v>
      </c>
      <c r="AD432" s="2">
        <v>5</v>
      </c>
      <c r="AE432" s="2" t="s">
        <v>115</v>
      </c>
      <c r="AF432" s="11">
        <v>44725.654166666667</v>
      </c>
      <c r="AG432" s="53"/>
      <c r="AH432" s="53" t="b">
        <f t="shared" si="11"/>
        <v>0</v>
      </c>
      <c r="AI432" s="54" t="s">
        <v>10178</v>
      </c>
      <c r="AJ432" s="2"/>
      <c r="AK432" s="2"/>
      <c r="AL432" s="2"/>
      <c r="AM432" s="2"/>
      <c r="AN432" s="2"/>
    </row>
    <row r="433" spans="1:40" ht="16" x14ac:dyDescent="0.2">
      <c r="A433" s="2" t="s">
        <v>161</v>
      </c>
      <c r="B433" s="2">
        <v>34</v>
      </c>
      <c r="C433" s="2" t="b">
        <v>0</v>
      </c>
      <c r="D433" s="2" t="b">
        <v>0</v>
      </c>
      <c r="E433" s="2" t="b">
        <v>0</v>
      </c>
      <c r="F433" s="2" t="b">
        <v>0</v>
      </c>
      <c r="G433" s="2" t="s">
        <v>31</v>
      </c>
      <c r="H433" s="2" t="s">
        <v>162</v>
      </c>
      <c r="I433" s="2" t="s">
        <v>163</v>
      </c>
      <c r="J433" s="2" t="s">
        <v>164</v>
      </c>
      <c r="K433" s="2" t="s">
        <v>35</v>
      </c>
      <c r="L433" s="2" t="s">
        <v>35</v>
      </c>
      <c r="M433" s="2" t="s">
        <v>35</v>
      </c>
      <c r="N433" s="2" t="s">
        <v>35</v>
      </c>
      <c r="O433" s="11">
        <v>44725.692878078706</v>
      </c>
      <c r="P433" s="11">
        <v>44725.693287349539</v>
      </c>
      <c r="Q433" s="27">
        <v>4.0927083318820223E-4</v>
      </c>
      <c r="R433" s="27">
        <v>2.425798615149688E-3</v>
      </c>
      <c r="S433" s="2">
        <v>0</v>
      </c>
      <c r="T433" s="2" t="s">
        <v>36</v>
      </c>
      <c r="U433" s="2" t="s">
        <v>37</v>
      </c>
      <c r="V433" s="2" t="s">
        <v>38</v>
      </c>
      <c r="W433" s="2" t="s">
        <v>35</v>
      </c>
      <c r="X433" s="2" t="s">
        <v>35</v>
      </c>
      <c r="Y433" s="2" t="s">
        <v>35</v>
      </c>
      <c r="Z433" s="2" t="b">
        <v>0</v>
      </c>
      <c r="AA433" s="2" t="s">
        <v>165</v>
      </c>
      <c r="AB433" s="2" t="s">
        <v>35</v>
      </c>
      <c r="AC433" s="2" t="s">
        <v>35</v>
      </c>
      <c r="AD433" s="2" t="s">
        <v>35</v>
      </c>
      <c r="AE433" s="2" t="s">
        <v>115</v>
      </c>
      <c r="AF433" s="11">
        <v>44725.654166666667</v>
      </c>
      <c r="AG433" s="53"/>
      <c r="AH433" s="53" t="b">
        <f t="shared" si="11"/>
        <v>0</v>
      </c>
      <c r="AI433" s="54" t="s">
        <v>9565</v>
      </c>
      <c r="AJ433" s="2"/>
      <c r="AK433" s="2"/>
      <c r="AL433" s="2"/>
      <c r="AM433" s="2"/>
      <c r="AN433" s="2"/>
    </row>
    <row r="434" spans="1:40" ht="16" x14ac:dyDescent="0.2">
      <c r="A434" s="2" t="s">
        <v>166</v>
      </c>
      <c r="B434" s="2">
        <v>35</v>
      </c>
      <c r="C434" s="2" t="b">
        <v>0</v>
      </c>
      <c r="D434" s="2" t="b">
        <v>0</v>
      </c>
      <c r="E434" s="2" t="b">
        <v>0</v>
      </c>
      <c r="F434" s="2" t="b">
        <v>0</v>
      </c>
      <c r="G434" s="2" t="s">
        <v>31</v>
      </c>
      <c r="H434" s="2" t="s">
        <v>167</v>
      </c>
      <c r="I434" s="2" t="s">
        <v>168</v>
      </c>
      <c r="J434" s="2" t="s">
        <v>35</v>
      </c>
      <c r="K434" s="2" t="s">
        <v>35</v>
      </c>
      <c r="L434" s="2" t="s">
        <v>35</v>
      </c>
      <c r="M434" s="2" t="s">
        <v>35</v>
      </c>
      <c r="N434" s="2" t="s">
        <v>35</v>
      </c>
      <c r="O434" s="11">
        <v>44725.696160277781</v>
      </c>
      <c r="P434" s="11">
        <v>44725.696396180552</v>
      </c>
      <c r="Q434" s="27">
        <v>2.359027712373063E-4</v>
      </c>
      <c r="R434" s="27">
        <v>3.1088310133782215E-3</v>
      </c>
      <c r="S434" s="2">
        <v>0</v>
      </c>
      <c r="T434" s="2" t="s">
        <v>36</v>
      </c>
      <c r="U434" s="2" t="s">
        <v>37</v>
      </c>
      <c r="V434" s="2" t="s">
        <v>38</v>
      </c>
      <c r="W434" s="2" t="s">
        <v>35</v>
      </c>
      <c r="X434" s="2" t="s">
        <v>35</v>
      </c>
      <c r="Y434" s="2" t="s">
        <v>35</v>
      </c>
      <c r="Z434" s="2" t="b">
        <v>0</v>
      </c>
      <c r="AA434" s="2" t="s">
        <v>35</v>
      </c>
      <c r="AB434" s="2" t="s">
        <v>35</v>
      </c>
      <c r="AC434" s="2" t="s">
        <v>35</v>
      </c>
      <c r="AD434" s="2">
        <v>7</v>
      </c>
      <c r="AE434" s="2" t="s">
        <v>115</v>
      </c>
      <c r="AF434" s="11">
        <v>44725.654166666667</v>
      </c>
      <c r="AG434" s="53"/>
      <c r="AH434" s="53" t="b">
        <f t="shared" si="11"/>
        <v>0</v>
      </c>
      <c r="AI434" s="54" t="s">
        <v>10179</v>
      </c>
      <c r="AJ434" s="2"/>
      <c r="AK434" s="2"/>
      <c r="AL434" s="2"/>
      <c r="AM434" s="2"/>
      <c r="AN434" s="2"/>
    </row>
    <row r="435" spans="1:40" ht="16" x14ac:dyDescent="0.2">
      <c r="A435" s="31" t="s">
        <v>172</v>
      </c>
      <c r="B435" s="31">
        <v>37</v>
      </c>
      <c r="C435" s="31" t="b">
        <v>0</v>
      </c>
      <c r="D435" s="31" t="b">
        <v>0</v>
      </c>
      <c r="E435" s="31" t="b">
        <v>0</v>
      </c>
      <c r="F435" s="31" t="b">
        <v>0</v>
      </c>
      <c r="G435" s="31" t="s">
        <v>31</v>
      </c>
      <c r="H435" s="31" t="s">
        <v>173</v>
      </c>
      <c r="I435" s="31" t="s">
        <v>174</v>
      </c>
      <c r="J435" s="31" t="s">
        <v>90</v>
      </c>
      <c r="K435" s="31" t="s">
        <v>35</v>
      </c>
      <c r="L435" s="31" t="s">
        <v>35</v>
      </c>
      <c r="M435" s="31" t="s">
        <v>35</v>
      </c>
      <c r="N435" s="31" t="s">
        <v>35</v>
      </c>
      <c r="O435" s="32">
        <v>44725.712107638887</v>
      </c>
      <c r="P435" s="32">
        <v>44725.712976458337</v>
      </c>
      <c r="Q435" s="30">
        <v>8.6881945026107132E-4</v>
      </c>
      <c r="R435" s="30">
        <v>1.3723703705181833E-2</v>
      </c>
      <c r="S435" s="31">
        <v>0</v>
      </c>
      <c r="T435" s="31" t="s">
        <v>36</v>
      </c>
      <c r="U435" s="31" t="s">
        <v>37</v>
      </c>
      <c r="V435" s="31" t="s">
        <v>38</v>
      </c>
      <c r="W435" s="31" t="s">
        <v>35</v>
      </c>
      <c r="X435" s="31" t="s">
        <v>35</v>
      </c>
      <c r="Y435" s="31" t="s">
        <v>35</v>
      </c>
      <c r="Z435" s="31" t="b">
        <v>0</v>
      </c>
      <c r="AA435" s="31" t="s">
        <v>35</v>
      </c>
      <c r="AB435" s="31" t="s">
        <v>35</v>
      </c>
      <c r="AC435" s="31" t="s">
        <v>35</v>
      </c>
      <c r="AD435" s="31">
        <v>4</v>
      </c>
      <c r="AE435" s="31" t="s">
        <v>115</v>
      </c>
      <c r="AF435" s="32">
        <v>44725.654166666667</v>
      </c>
      <c r="AG435" s="55" t="s">
        <v>9408</v>
      </c>
      <c r="AH435" s="53" t="str">
        <f t="shared" si="11"/>
        <v>TRUE</v>
      </c>
      <c r="AI435" s="62" t="s">
        <v>10836</v>
      </c>
      <c r="AJ435" s="31"/>
      <c r="AK435" s="31"/>
      <c r="AL435" s="31"/>
      <c r="AM435" s="31"/>
      <c r="AN435" s="31"/>
    </row>
    <row r="436" spans="1:40" ht="16" x14ac:dyDescent="0.2">
      <c r="A436" s="2" t="s">
        <v>178</v>
      </c>
      <c r="B436" s="2">
        <v>39</v>
      </c>
      <c r="C436" s="2" t="b">
        <v>0</v>
      </c>
      <c r="D436" s="2" t="b">
        <v>0</v>
      </c>
      <c r="E436" s="2" t="b">
        <v>0</v>
      </c>
      <c r="F436" s="2" t="b">
        <v>0</v>
      </c>
      <c r="G436" s="2" t="s">
        <v>31</v>
      </c>
      <c r="H436" s="2" t="s">
        <v>179</v>
      </c>
      <c r="I436" s="2" t="s">
        <v>180</v>
      </c>
      <c r="J436" s="2" t="s">
        <v>90</v>
      </c>
      <c r="K436" s="2" t="s">
        <v>35</v>
      </c>
      <c r="L436" s="2" t="s">
        <v>35</v>
      </c>
      <c r="M436" s="2" t="s">
        <v>35</v>
      </c>
      <c r="N436" s="2" t="s">
        <v>35</v>
      </c>
      <c r="O436" s="11">
        <v>44725.724025370371</v>
      </c>
      <c r="P436" s="11">
        <v>44725.724773819442</v>
      </c>
      <c r="Q436" s="27">
        <v>7.484490706701763E-4</v>
      </c>
      <c r="R436" s="27">
        <v>1.454999997804407E-3</v>
      </c>
      <c r="S436" s="2">
        <v>0</v>
      </c>
      <c r="T436" s="2" t="s">
        <v>36</v>
      </c>
      <c r="U436" s="2" t="s">
        <v>37</v>
      </c>
      <c r="V436" s="2" t="s">
        <v>38</v>
      </c>
      <c r="W436" s="2" t="s">
        <v>35</v>
      </c>
      <c r="X436" s="2" t="s">
        <v>35</v>
      </c>
      <c r="Y436" s="2" t="s">
        <v>35</v>
      </c>
      <c r="Z436" s="2" t="b">
        <v>0</v>
      </c>
      <c r="AA436" s="2" t="s">
        <v>35</v>
      </c>
      <c r="AB436" s="2" t="s">
        <v>35</v>
      </c>
      <c r="AC436" s="2" t="s">
        <v>35</v>
      </c>
      <c r="AD436" s="2">
        <v>5</v>
      </c>
      <c r="AE436" s="2" t="s">
        <v>115</v>
      </c>
      <c r="AF436" s="11">
        <v>44725.654166666667</v>
      </c>
      <c r="AG436" s="53"/>
      <c r="AH436" s="53" t="b">
        <f t="shared" si="11"/>
        <v>0</v>
      </c>
      <c r="AI436" s="54" t="s">
        <v>10180</v>
      </c>
      <c r="AJ436" s="2"/>
      <c r="AK436" s="2"/>
      <c r="AL436" s="2"/>
      <c r="AM436" s="2"/>
      <c r="AN436" s="2"/>
    </row>
    <row r="437" spans="1:40" ht="16" x14ac:dyDescent="0.2">
      <c r="A437" s="2" t="s">
        <v>187</v>
      </c>
      <c r="B437" s="2">
        <v>42</v>
      </c>
      <c r="C437" s="2" t="b">
        <v>0</v>
      </c>
      <c r="D437" s="2" t="b">
        <v>0</v>
      </c>
      <c r="E437" s="2" t="b">
        <v>0</v>
      </c>
      <c r="F437" s="2" t="b">
        <v>0</v>
      </c>
      <c r="G437" s="2" t="s">
        <v>31</v>
      </c>
      <c r="H437" s="2" t="s">
        <v>188</v>
      </c>
      <c r="I437" s="2" t="s">
        <v>189</v>
      </c>
      <c r="J437" s="2" t="s">
        <v>190</v>
      </c>
      <c r="K437" s="2" t="s">
        <v>35</v>
      </c>
      <c r="L437" s="2" t="s">
        <v>35</v>
      </c>
      <c r="M437" s="2" t="s">
        <v>35</v>
      </c>
      <c r="N437" s="2" t="s">
        <v>35</v>
      </c>
      <c r="O437" s="11">
        <v>44725.732321180556</v>
      </c>
      <c r="P437" s="11">
        <v>44725.733170949075</v>
      </c>
      <c r="Q437" s="27">
        <v>8.4976851940155029E-4</v>
      </c>
      <c r="R437" s="27">
        <v>5.4992129662423395E-3</v>
      </c>
      <c r="S437" s="2">
        <v>0</v>
      </c>
      <c r="T437" s="2" t="s">
        <v>36</v>
      </c>
      <c r="U437" s="2" t="s">
        <v>37</v>
      </c>
      <c r="V437" s="2" t="s">
        <v>38</v>
      </c>
      <c r="W437" s="2" t="s">
        <v>35</v>
      </c>
      <c r="X437" s="2" t="s">
        <v>35</v>
      </c>
      <c r="Y437" s="2" t="s">
        <v>35</v>
      </c>
      <c r="Z437" s="2" t="b">
        <v>0</v>
      </c>
      <c r="AA437" s="2" t="s">
        <v>35</v>
      </c>
      <c r="AB437" s="2" t="s">
        <v>35</v>
      </c>
      <c r="AC437" s="2">
        <v>9</v>
      </c>
      <c r="AD437" s="2" t="s">
        <v>35</v>
      </c>
      <c r="AE437" s="2" t="s">
        <v>115</v>
      </c>
      <c r="AF437" s="11">
        <v>44725.654166666667</v>
      </c>
      <c r="AG437" s="53"/>
      <c r="AH437" s="53" t="str">
        <f t="shared" si="11"/>
        <v>TRUE</v>
      </c>
      <c r="AI437" s="54" t="s">
        <v>10181</v>
      </c>
      <c r="AJ437" s="2"/>
      <c r="AK437" s="2"/>
      <c r="AL437" s="2"/>
      <c r="AM437" s="2"/>
      <c r="AN437" s="2"/>
    </row>
    <row r="438" spans="1:40" ht="64" x14ac:dyDescent="0.2">
      <c r="A438" s="4" t="s">
        <v>203</v>
      </c>
      <c r="B438" s="4">
        <v>47</v>
      </c>
      <c r="C438" s="4" t="b">
        <v>0</v>
      </c>
      <c r="D438" s="4" t="b">
        <v>0</v>
      </c>
      <c r="E438" s="4" t="b">
        <v>0</v>
      </c>
      <c r="F438" s="4" t="b">
        <v>0</v>
      </c>
      <c r="G438" s="4" t="s">
        <v>121</v>
      </c>
      <c r="H438" s="4" t="s">
        <v>204</v>
      </c>
      <c r="I438" s="4" t="s">
        <v>205</v>
      </c>
      <c r="J438" s="4" t="s">
        <v>206</v>
      </c>
      <c r="K438" s="4" t="s">
        <v>35</v>
      </c>
      <c r="L438" s="4" t="s">
        <v>35</v>
      </c>
      <c r="M438" s="4" t="s">
        <v>35</v>
      </c>
      <c r="N438" s="4" t="s">
        <v>35</v>
      </c>
      <c r="O438" s="13">
        <v>44729.647859351855</v>
      </c>
      <c r="P438" s="13">
        <v>44729.649722314818</v>
      </c>
      <c r="Q438" s="15">
        <v>1.8629629630595446E-3</v>
      </c>
      <c r="R438" s="15">
        <v>2.7777777777777778E-4</v>
      </c>
      <c r="S438" s="4">
        <v>0</v>
      </c>
      <c r="T438" s="4" t="s">
        <v>36</v>
      </c>
      <c r="U438" s="4" t="s">
        <v>37</v>
      </c>
      <c r="V438" s="4" t="s">
        <v>38</v>
      </c>
      <c r="W438" s="4" t="s">
        <v>35</v>
      </c>
      <c r="X438" s="4" t="s">
        <v>35</v>
      </c>
      <c r="Y438" s="4" t="s">
        <v>35</v>
      </c>
      <c r="Z438" s="4" t="b">
        <v>0</v>
      </c>
      <c r="AA438" s="4" t="s">
        <v>35</v>
      </c>
      <c r="AB438" s="4" t="s">
        <v>35</v>
      </c>
      <c r="AC438" s="4">
        <v>10</v>
      </c>
      <c r="AD438" s="4" t="s">
        <v>35</v>
      </c>
      <c r="AE438" s="4" t="s">
        <v>207</v>
      </c>
      <c r="AF438" s="13">
        <v>44729.65</v>
      </c>
      <c r="AG438" s="58" t="s">
        <v>9401</v>
      </c>
      <c r="AH438" s="53" t="str">
        <f t="shared" si="11"/>
        <v>TRUE</v>
      </c>
      <c r="AI438" s="63" t="s">
        <v>10183</v>
      </c>
      <c r="AJ438" s="4" t="s">
        <v>10182</v>
      </c>
      <c r="AK438" s="4"/>
      <c r="AL438" s="4"/>
      <c r="AM438" s="4"/>
      <c r="AN438" s="4"/>
    </row>
    <row r="439" spans="1:40" ht="16" x14ac:dyDescent="0.2">
      <c r="A439" s="2" t="s">
        <v>222</v>
      </c>
      <c r="B439" s="2">
        <v>54</v>
      </c>
      <c r="C439" s="2" t="b">
        <v>0</v>
      </c>
      <c r="D439" s="2" t="b">
        <v>0</v>
      </c>
      <c r="E439" s="2" t="b">
        <v>0</v>
      </c>
      <c r="F439" s="2" t="b">
        <v>0</v>
      </c>
      <c r="G439" s="2" t="s">
        <v>31</v>
      </c>
      <c r="H439" s="2" t="s">
        <v>223</v>
      </c>
      <c r="I439" s="2" t="s">
        <v>224</v>
      </c>
      <c r="J439" s="2" t="s">
        <v>35</v>
      </c>
      <c r="K439" s="2" t="s">
        <v>35</v>
      </c>
      <c r="L439" s="2" t="s">
        <v>35</v>
      </c>
      <c r="M439" s="2" t="s">
        <v>35</v>
      </c>
      <c r="N439" s="2" t="s">
        <v>35</v>
      </c>
      <c r="O439" s="11">
        <v>44729.672945486112</v>
      </c>
      <c r="P439" s="11">
        <v>44729.673537870367</v>
      </c>
      <c r="Q439" s="27">
        <v>5.9238425455987453E-4</v>
      </c>
      <c r="R439" s="27">
        <v>1.6145717527251691E-3</v>
      </c>
      <c r="S439" s="2">
        <v>0</v>
      </c>
      <c r="T439" s="2" t="s">
        <v>36</v>
      </c>
      <c r="U439" s="2" t="s">
        <v>37</v>
      </c>
      <c r="V439" s="2" t="s">
        <v>38</v>
      </c>
      <c r="W439" s="2" t="s">
        <v>35</v>
      </c>
      <c r="X439" s="2" t="s">
        <v>35</v>
      </c>
      <c r="Y439" s="2" t="s">
        <v>35</v>
      </c>
      <c r="Z439" s="2" t="b">
        <v>0</v>
      </c>
      <c r="AA439" s="2" t="s">
        <v>35</v>
      </c>
      <c r="AB439" s="2" t="s">
        <v>35</v>
      </c>
      <c r="AC439" s="2">
        <v>6</v>
      </c>
      <c r="AD439" s="2" t="s">
        <v>35</v>
      </c>
      <c r="AE439" s="2" t="s">
        <v>207</v>
      </c>
      <c r="AF439" s="11">
        <v>44729.65</v>
      </c>
      <c r="AG439" s="53"/>
      <c r="AH439" s="53" t="b">
        <f t="shared" si="11"/>
        <v>0</v>
      </c>
      <c r="AI439" s="54" t="s">
        <v>10184</v>
      </c>
      <c r="AJ439" s="2"/>
      <c r="AK439" s="2"/>
      <c r="AL439" s="2"/>
      <c r="AM439" s="2"/>
      <c r="AN439" s="2"/>
    </row>
    <row r="440" spans="1:40" ht="16" x14ac:dyDescent="0.2">
      <c r="A440" s="31" t="s">
        <v>229</v>
      </c>
      <c r="B440" s="31">
        <v>56</v>
      </c>
      <c r="C440" s="31" t="b">
        <v>0</v>
      </c>
      <c r="D440" s="31" t="b">
        <v>0</v>
      </c>
      <c r="E440" s="31" t="b">
        <v>0</v>
      </c>
      <c r="F440" s="31" t="b">
        <v>0</v>
      </c>
      <c r="G440" s="31" t="s">
        <v>31</v>
      </c>
      <c r="H440" s="31" t="s">
        <v>230</v>
      </c>
      <c r="I440" s="31" t="s">
        <v>231</v>
      </c>
      <c r="J440" s="31" t="s">
        <v>35</v>
      </c>
      <c r="K440" s="31" t="s">
        <v>35</v>
      </c>
      <c r="L440" s="31" t="s">
        <v>35</v>
      </c>
      <c r="M440" s="31" t="s">
        <v>35</v>
      </c>
      <c r="N440" s="31" t="s">
        <v>35</v>
      </c>
      <c r="O440" s="32">
        <v>44729.684437731485</v>
      </c>
      <c r="P440" s="32">
        <v>44729.685455185187</v>
      </c>
      <c r="Q440" s="30">
        <v>1.0174537019338459E-3</v>
      </c>
      <c r="R440" s="30">
        <v>9.9340972228674218E-3</v>
      </c>
      <c r="S440" s="31">
        <v>0</v>
      </c>
      <c r="T440" s="31" t="s">
        <v>36</v>
      </c>
      <c r="U440" s="31" t="s">
        <v>37</v>
      </c>
      <c r="V440" s="31" t="s">
        <v>38</v>
      </c>
      <c r="W440" s="31" t="s">
        <v>35</v>
      </c>
      <c r="X440" s="31" t="s">
        <v>35</v>
      </c>
      <c r="Y440" s="31" t="s">
        <v>35</v>
      </c>
      <c r="Z440" s="31" t="b">
        <v>0</v>
      </c>
      <c r="AA440" s="31" t="s">
        <v>35</v>
      </c>
      <c r="AB440" s="31" t="s">
        <v>35</v>
      </c>
      <c r="AC440" s="31">
        <v>6</v>
      </c>
      <c r="AD440" s="31" t="s">
        <v>35</v>
      </c>
      <c r="AE440" s="31" t="s">
        <v>207</v>
      </c>
      <c r="AF440" s="32">
        <v>44729.65</v>
      </c>
      <c r="AG440" s="55" t="s">
        <v>9408</v>
      </c>
      <c r="AH440" s="53" t="str">
        <f t="shared" si="11"/>
        <v>TRUE</v>
      </c>
      <c r="AI440" s="62" t="s">
        <v>10185</v>
      </c>
      <c r="AJ440" s="31"/>
      <c r="AK440" s="31"/>
      <c r="AL440" s="31"/>
      <c r="AM440" s="31"/>
      <c r="AN440" s="31"/>
    </row>
    <row r="441" spans="1:40" ht="16" x14ac:dyDescent="0.2">
      <c r="A441" s="2" t="s">
        <v>242</v>
      </c>
      <c r="B441" s="2">
        <v>61</v>
      </c>
      <c r="C441" s="2" t="b">
        <v>0</v>
      </c>
      <c r="D441" s="2" t="b">
        <v>0</v>
      </c>
      <c r="E441" s="2" t="b">
        <v>0</v>
      </c>
      <c r="F441" s="2" t="b">
        <v>0</v>
      </c>
      <c r="G441" s="2" t="s">
        <v>31</v>
      </c>
      <c r="H441" s="2" t="s">
        <v>243</v>
      </c>
      <c r="I441" s="2" t="s">
        <v>244</v>
      </c>
      <c r="J441" s="2" t="s">
        <v>35</v>
      </c>
      <c r="K441" s="2" t="s">
        <v>35</v>
      </c>
      <c r="L441" s="2" t="s">
        <v>35</v>
      </c>
      <c r="M441" s="2" t="s">
        <v>35</v>
      </c>
      <c r="N441" s="2" t="s">
        <v>35</v>
      </c>
      <c r="O441" s="11">
        <v>44729.693961053243</v>
      </c>
      <c r="P441" s="11">
        <v>44729.694490949078</v>
      </c>
      <c r="Q441" s="27">
        <v>5.2989583491580561E-4</v>
      </c>
      <c r="R441" s="27">
        <v>9.0231481590308249E-4</v>
      </c>
      <c r="S441" s="2">
        <v>0</v>
      </c>
      <c r="T441" s="2" t="s">
        <v>36</v>
      </c>
      <c r="U441" s="2" t="s">
        <v>37</v>
      </c>
      <c r="V441" s="2" t="s">
        <v>38</v>
      </c>
      <c r="W441" s="2" t="s">
        <v>35</v>
      </c>
      <c r="X441" s="2" t="s">
        <v>35</v>
      </c>
      <c r="Y441" s="2" t="s">
        <v>35</v>
      </c>
      <c r="Z441" s="2" t="b">
        <v>0</v>
      </c>
      <c r="AA441" s="2" t="s">
        <v>35</v>
      </c>
      <c r="AB441" s="2" t="s">
        <v>35</v>
      </c>
      <c r="AC441" s="2">
        <v>10</v>
      </c>
      <c r="AD441" s="2" t="s">
        <v>35</v>
      </c>
      <c r="AE441" s="2" t="s">
        <v>207</v>
      </c>
      <c r="AF441" s="11">
        <v>44729.65</v>
      </c>
      <c r="AG441" s="53"/>
      <c r="AH441" s="53" t="b">
        <f t="shared" si="11"/>
        <v>0</v>
      </c>
      <c r="AI441" s="54" t="s">
        <v>10186</v>
      </c>
      <c r="AJ441" s="2"/>
      <c r="AK441" s="2"/>
      <c r="AL441" s="2"/>
      <c r="AM441" s="2"/>
      <c r="AN441" s="2"/>
    </row>
    <row r="442" spans="1:40" ht="16" x14ac:dyDescent="0.2">
      <c r="A442" s="2" t="s">
        <v>245</v>
      </c>
      <c r="B442" s="2">
        <v>62</v>
      </c>
      <c r="C442" s="2" t="b">
        <v>0</v>
      </c>
      <c r="D442" s="2" t="b">
        <v>0</v>
      </c>
      <c r="E442" s="2" t="b">
        <v>0</v>
      </c>
      <c r="F442" s="2" t="b">
        <v>0</v>
      </c>
      <c r="G442" s="2" t="s">
        <v>31</v>
      </c>
      <c r="H442" s="2" t="s">
        <v>246</v>
      </c>
      <c r="I442" s="2" t="s">
        <v>247</v>
      </c>
      <c r="J442" s="2" t="s">
        <v>248</v>
      </c>
      <c r="K442" s="2" t="s">
        <v>35</v>
      </c>
      <c r="L442" s="2" t="s">
        <v>35</v>
      </c>
      <c r="M442" s="2" t="s">
        <v>35</v>
      </c>
      <c r="N442" s="2" t="s">
        <v>35</v>
      </c>
      <c r="O442" s="11">
        <v>44729.696403483795</v>
      </c>
      <c r="P442" s="11">
        <v>44729.699458877316</v>
      </c>
      <c r="Q442" s="27">
        <v>3.0553935212083161E-3</v>
      </c>
      <c r="R442" s="27">
        <v>4.9679282383294776E-3</v>
      </c>
      <c r="S442" s="2">
        <v>0</v>
      </c>
      <c r="T442" s="2" t="s">
        <v>36</v>
      </c>
      <c r="U442" s="2" t="s">
        <v>37</v>
      </c>
      <c r="V442" s="2" t="s">
        <v>38</v>
      </c>
      <c r="W442" s="2" t="s">
        <v>35</v>
      </c>
      <c r="X442" s="2" t="s">
        <v>35</v>
      </c>
      <c r="Y442" s="2" t="s">
        <v>35</v>
      </c>
      <c r="Z442" s="2" t="b">
        <v>0</v>
      </c>
      <c r="AA442" s="2" t="s">
        <v>35</v>
      </c>
      <c r="AB442" s="2">
        <v>100</v>
      </c>
      <c r="AC442" s="2">
        <v>6</v>
      </c>
      <c r="AD442" s="2">
        <v>4</v>
      </c>
      <c r="AE442" s="2" t="s">
        <v>207</v>
      </c>
      <c r="AF442" s="11">
        <v>44729.65</v>
      </c>
      <c r="AG442" s="53"/>
      <c r="AH442" s="53" t="str">
        <f t="shared" si="11"/>
        <v>TRUE</v>
      </c>
      <c r="AI442" s="54" t="s">
        <v>10191</v>
      </c>
      <c r="AJ442" s="2" t="s">
        <v>10187</v>
      </c>
      <c r="AK442" s="2" t="s">
        <v>10188</v>
      </c>
      <c r="AL442" s="2" t="s">
        <v>10189</v>
      </c>
      <c r="AM442" s="2" t="s">
        <v>10190</v>
      </c>
      <c r="AN442" s="2"/>
    </row>
    <row r="443" spans="1:40" ht="16" x14ac:dyDescent="0.2">
      <c r="A443" s="2" t="s">
        <v>249</v>
      </c>
      <c r="B443" s="2">
        <v>63</v>
      </c>
      <c r="C443" s="2" t="b">
        <v>0</v>
      </c>
      <c r="D443" s="2" t="b">
        <v>0</v>
      </c>
      <c r="E443" s="2" t="b">
        <v>0</v>
      </c>
      <c r="F443" s="2" t="b">
        <v>0</v>
      </c>
      <c r="G443" s="2" t="s">
        <v>31</v>
      </c>
      <c r="H443" s="2" t="s">
        <v>250</v>
      </c>
      <c r="I443" s="2" t="s">
        <v>251</v>
      </c>
      <c r="J443" s="2" t="s">
        <v>35</v>
      </c>
      <c r="K443" s="2" t="s">
        <v>35</v>
      </c>
      <c r="L443" s="2" t="s">
        <v>35</v>
      </c>
      <c r="M443" s="2" t="s">
        <v>35</v>
      </c>
      <c r="N443" s="2" t="s">
        <v>35</v>
      </c>
      <c r="O443" s="11">
        <v>44729.700144490744</v>
      </c>
      <c r="P443" s="11">
        <v>44729.701377280093</v>
      </c>
      <c r="Q443" s="27">
        <v>1.2327893491601571E-3</v>
      </c>
      <c r="R443" s="27">
        <v>1.9184027769370005E-3</v>
      </c>
      <c r="S443" s="2">
        <v>0</v>
      </c>
      <c r="T443" s="2" t="s">
        <v>36</v>
      </c>
      <c r="U443" s="2" t="s">
        <v>37</v>
      </c>
      <c r="V443" s="2" t="s">
        <v>38</v>
      </c>
      <c r="W443" s="2" t="s">
        <v>35</v>
      </c>
      <c r="X443" s="2" t="s">
        <v>35</v>
      </c>
      <c r="Y443" s="2" t="s">
        <v>35</v>
      </c>
      <c r="Z443" s="2" t="b">
        <v>0</v>
      </c>
      <c r="AA443" s="2" t="s">
        <v>35</v>
      </c>
      <c r="AB443" s="2" t="s">
        <v>35</v>
      </c>
      <c r="AC443" s="2">
        <v>7</v>
      </c>
      <c r="AD443" s="2" t="s">
        <v>35</v>
      </c>
      <c r="AE443" s="2" t="s">
        <v>207</v>
      </c>
      <c r="AF443" s="11">
        <v>44729.65</v>
      </c>
      <c r="AG443" s="53"/>
      <c r="AH443" s="53" t="str">
        <f t="shared" si="11"/>
        <v>TRUE</v>
      </c>
      <c r="AI443" s="54" t="s">
        <v>10193</v>
      </c>
      <c r="AJ443" s="2" t="s">
        <v>10192</v>
      </c>
      <c r="AK443" s="2"/>
      <c r="AL443" s="2"/>
      <c r="AM443" s="2"/>
      <c r="AN443" s="2"/>
    </row>
    <row r="444" spans="1:40" ht="16" x14ac:dyDescent="0.2">
      <c r="A444" s="2" t="s">
        <v>252</v>
      </c>
      <c r="B444" s="2">
        <v>64</v>
      </c>
      <c r="C444" s="2" t="b">
        <v>0</v>
      </c>
      <c r="D444" s="2" t="b">
        <v>0</v>
      </c>
      <c r="E444" s="2" t="b">
        <v>0</v>
      </c>
      <c r="F444" s="2" t="b">
        <v>0</v>
      </c>
      <c r="G444" s="2" t="s">
        <v>31</v>
      </c>
      <c r="H444" s="2" t="s">
        <v>253</v>
      </c>
      <c r="I444" s="2" t="s">
        <v>254</v>
      </c>
      <c r="J444" s="2" t="s">
        <v>35</v>
      </c>
      <c r="K444" s="2" t="s">
        <v>35</v>
      </c>
      <c r="L444" s="2" t="s">
        <v>35</v>
      </c>
      <c r="M444" s="2" t="s">
        <v>35</v>
      </c>
      <c r="N444" s="2" t="s">
        <v>35</v>
      </c>
      <c r="O444" s="11">
        <v>44729.702117731482</v>
      </c>
      <c r="P444" s="11">
        <v>44729.703053715275</v>
      </c>
      <c r="Q444" s="27">
        <v>9.3598379316972569E-4</v>
      </c>
      <c r="R444" s="27">
        <v>1.6764351821620949E-3</v>
      </c>
      <c r="S444" s="2">
        <v>0</v>
      </c>
      <c r="T444" s="2" t="s">
        <v>36</v>
      </c>
      <c r="U444" s="2" t="s">
        <v>37</v>
      </c>
      <c r="V444" s="2" t="s">
        <v>38</v>
      </c>
      <c r="W444" s="2" t="s">
        <v>35</v>
      </c>
      <c r="X444" s="2" t="s">
        <v>35</v>
      </c>
      <c r="Y444" s="2" t="s">
        <v>35</v>
      </c>
      <c r="Z444" s="2" t="b">
        <v>0</v>
      </c>
      <c r="AA444" s="2" t="s">
        <v>35</v>
      </c>
      <c r="AB444" s="2">
        <v>100</v>
      </c>
      <c r="AC444" s="2">
        <v>7</v>
      </c>
      <c r="AD444" s="2">
        <v>3</v>
      </c>
      <c r="AE444" s="2" t="s">
        <v>207</v>
      </c>
      <c r="AF444" s="11">
        <v>44729.65</v>
      </c>
      <c r="AG444" s="53"/>
      <c r="AH444" s="53" t="str">
        <f t="shared" si="11"/>
        <v>TRUE</v>
      </c>
      <c r="AI444" s="54" t="s">
        <v>10194</v>
      </c>
      <c r="AJ444" s="2"/>
      <c r="AK444" s="2"/>
      <c r="AL444" s="2"/>
      <c r="AM444" s="2"/>
      <c r="AN444" s="2"/>
    </row>
    <row r="445" spans="1:40" ht="16" x14ac:dyDescent="0.2">
      <c r="A445" s="2" t="s">
        <v>255</v>
      </c>
      <c r="B445" s="2">
        <v>65</v>
      </c>
      <c r="C445" s="2" t="b">
        <v>0</v>
      </c>
      <c r="D445" s="2" t="b">
        <v>0</v>
      </c>
      <c r="E445" s="2" t="b">
        <v>0</v>
      </c>
      <c r="F445" s="2" t="b">
        <v>0</v>
      </c>
      <c r="G445" s="2" t="s">
        <v>31</v>
      </c>
      <c r="H445" s="2" t="s">
        <v>256</v>
      </c>
      <c r="I445" s="2" t="s">
        <v>257</v>
      </c>
      <c r="J445" s="2" t="s">
        <v>35</v>
      </c>
      <c r="K445" s="2" t="s">
        <v>35</v>
      </c>
      <c r="L445" s="2" t="s">
        <v>35</v>
      </c>
      <c r="M445" s="2" t="s">
        <v>35</v>
      </c>
      <c r="N445" s="2" t="s">
        <v>35</v>
      </c>
      <c r="O445" s="11">
        <v>44729.704942037039</v>
      </c>
      <c r="P445" s="11">
        <v>44729.705578518522</v>
      </c>
      <c r="Q445" s="27">
        <v>6.364814835251309E-4</v>
      </c>
      <c r="R445" s="27">
        <v>2.52480324706994E-3</v>
      </c>
      <c r="S445" s="2">
        <v>0</v>
      </c>
      <c r="T445" s="2" t="s">
        <v>36</v>
      </c>
      <c r="U445" s="2" t="s">
        <v>37</v>
      </c>
      <c r="V445" s="2" t="s">
        <v>38</v>
      </c>
      <c r="W445" s="2" t="s">
        <v>35</v>
      </c>
      <c r="X445" s="2" t="s">
        <v>35</v>
      </c>
      <c r="Y445" s="2" t="s">
        <v>35</v>
      </c>
      <c r="Z445" s="2" t="b">
        <v>0</v>
      </c>
      <c r="AA445" s="2" t="s">
        <v>35</v>
      </c>
      <c r="AB445" s="2" t="s">
        <v>35</v>
      </c>
      <c r="AC445" s="2">
        <v>6</v>
      </c>
      <c r="AD445" s="2">
        <v>5</v>
      </c>
      <c r="AE445" s="2" t="s">
        <v>207</v>
      </c>
      <c r="AF445" s="11">
        <v>44729.65</v>
      </c>
      <c r="AG445" s="53"/>
      <c r="AH445" s="53" t="b">
        <f t="shared" si="11"/>
        <v>0</v>
      </c>
      <c r="AI445" s="115" t="s">
        <v>10195</v>
      </c>
      <c r="AJ445" s="2"/>
      <c r="AK445" s="2"/>
      <c r="AL445" s="2"/>
      <c r="AM445" s="2"/>
      <c r="AN445" s="2"/>
    </row>
    <row r="446" spans="1:40" ht="16" x14ac:dyDescent="0.2">
      <c r="A446" s="2" t="s">
        <v>258</v>
      </c>
      <c r="B446" s="2">
        <v>66</v>
      </c>
      <c r="C446" s="2" t="b">
        <v>0</v>
      </c>
      <c r="D446" s="2" t="b">
        <v>0</v>
      </c>
      <c r="E446" s="2" t="b">
        <v>0</v>
      </c>
      <c r="F446" s="2" t="b">
        <v>0</v>
      </c>
      <c r="G446" s="2" t="s">
        <v>31</v>
      </c>
      <c r="H446" s="2" t="s">
        <v>259</v>
      </c>
      <c r="I446" s="2" t="s">
        <v>260</v>
      </c>
      <c r="J446" s="2" t="s">
        <v>35</v>
      </c>
      <c r="K446" s="2" t="s">
        <v>35</v>
      </c>
      <c r="L446" s="2" t="s">
        <v>35</v>
      </c>
      <c r="M446" s="2" t="s">
        <v>35</v>
      </c>
      <c r="N446" s="2" t="s">
        <v>35</v>
      </c>
      <c r="O446" s="11">
        <v>44729.707264201388</v>
      </c>
      <c r="P446" s="11">
        <v>44729.707896145832</v>
      </c>
      <c r="Q446" s="27">
        <v>6.31944443739485E-4</v>
      </c>
      <c r="R446" s="27">
        <v>2.3176273098215461E-3</v>
      </c>
      <c r="S446" s="2">
        <v>0</v>
      </c>
      <c r="T446" s="2" t="s">
        <v>36</v>
      </c>
      <c r="U446" s="2" t="s">
        <v>37</v>
      </c>
      <c r="V446" s="2" t="s">
        <v>38</v>
      </c>
      <c r="W446" s="2" t="s">
        <v>35</v>
      </c>
      <c r="X446" s="2" t="s">
        <v>35</v>
      </c>
      <c r="Y446" s="2" t="s">
        <v>35</v>
      </c>
      <c r="Z446" s="2" t="b">
        <v>0</v>
      </c>
      <c r="AA446" s="2" t="s">
        <v>35</v>
      </c>
      <c r="AB446" s="2" t="s">
        <v>35</v>
      </c>
      <c r="AC446" s="2">
        <v>6</v>
      </c>
      <c r="AD446" s="2" t="s">
        <v>35</v>
      </c>
      <c r="AE446" s="2" t="s">
        <v>207</v>
      </c>
      <c r="AF446" s="11">
        <v>44729.65</v>
      </c>
      <c r="AG446" s="53"/>
      <c r="AH446" s="53" t="b">
        <f t="shared" si="11"/>
        <v>0</v>
      </c>
      <c r="AI446" s="54" t="s">
        <v>10196</v>
      </c>
      <c r="AJ446" s="2"/>
      <c r="AK446" s="2"/>
      <c r="AL446" s="2"/>
      <c r="AM446" s="2"/>
      <c r="AN446" s="2"/>
    </row>
    <row r="447" spans="1:40" ht="16" x14ac:dyDescent="0.2">
      <c r="A447" s="31" t="s">
        <v>271</v>
      </c>
      <c r="B447" s="31">
        <v>69</v>
      </c>
      <c r="C447" s="31" t="b">
        <v>0</v>
      </c>
      <c r="D447" s="31" t="b">
        <v>0</v>
      </c>
      <c r="E447" s="31" t="b">
        <v>0</v>
      </c>
      <c r="F447" s="31" t="b">
        <v>0</v>
      </c>
      <c r="G447" s="31" t="s">
        <v>31</v>
      </c>
      <c r="H447" s="31" t="s">
        <v>272</v>
      </c>
      <c r="I447" s="31" t="s">
        <v>273</v>
      </c>
      <c r="J447" s="31" t="s">
        <v>274</v>
      </c>
      <c r="K447" s="31" t="s">
        <v>35</v>
      </c>
      <c r="L447" s="31" t="s">
        <v>35</v>
      </c>
      <c r="M447" s="31" t="s">
        <v>35</v>
      </c>
      <c r="N447" s="31" t="s">
        <v>35</v>
      </c>
      <c r="O447" s="32">
        <v>44729.725462546296</v>
      </c>
      <c r="P447" s="32">
        <v>44729.726083182868</v>
      </c>
      <c r="Q447" s="30">
        <v>6.2063657242106274E-4</v>
      </c>
      <c r="R447" s="30">
        <v>1.2911134253954515E-2</v>
      </c>
      <c r="S447" s="31">
        <v>0</v>
      </c>
      <c r="T447" s="31" t="s">
        <v>36</v>
      </c>
      <c r="U447" s="31" t="s">
        <v>37</v>
      </c>
      <c r="V447" s="31" t="s">
        <v>38</v>
      </c>
      <c r="W447" s="31" t="s">
        <v>35</v>
      </c>
      <c r="X447" s="31" t="s">
        <v>35</v>
      </c>
      <c r="Y447" s="31" t="s">
        <v>35</v>
      </c>
      <c r="Z447" s="31" t="b">
        <v>0</v>
      </c>
      <c r="AA447" s="31" t="s">
        <v>35</v>
      </c>
      <c r="AB447" s="31">
        <v>114</v>
      </c>
      <c r="AC447" s="31" t="s">
        <v>35</v>
      </c>
      <c r="AD447" s="31" t="s">
        <v>35</v>
      </c>
      <c r="AE447" s="31" t="s">
        <v>207</v>
      </c>
      <c r="AF447" s="32">
        <v>44729.65</v>
      </c>
      <c r="AG447" s="55" t="s">
        <v>9408</v>
      </c>
      <c r="AH447" s="53" t="b">
        <f t="shared" si="11"/>
        <v>0</v>
      </c>
      <c r="AI447" s="62" t="s">
        <v>10837</v>
      </c>
      <c r="AJ447" s="31"/>
      <c r="AK447" s="31"/>
      <c r="AL447" s="31"/>
      <c r="AM447" s="31"/>
      <c r="AN447" s="31"/>
    </row>
    <row r="448" spans="1:40" ht="16" x14ac:dyDescent="0.2">
      <c r="A448" s="2" t="s">
        <v>288</v>
      </c>
      <c r="B448" s="2">
        <v>74</v>
      </c>
      <c r="C448" s="2" t="b">
        <v>0</v>
      </c>
      <c r="D448" s="2" t="b">
        <v>0</v>
      </c>
      <c r="E448" s="2" t="b">
        <v>0</v>
      </c>
      <c r="F448" s="2" t="b">
        <v>0</v>
      </c>
      <c r="G448" s="2" t="s">
        <v>31</v>
      </c>
      <c r="H448" s="2" t="s">
        <v>289</v>
      </c>
      <c r="I448" s="2" t="s">
        <v>290</v>
      </c>
      <c r="J448" s="2" t="s">
        <v>35</v>
      </c>
      <c r="K448" s="2" t="s">
        <v>35</v>
      </c>
      <c r="L448" s="2" t="s">
        <v>35</v>
      </c>
      <c r="M448" s="2" t="s">
        <v>35</v>
      </c>
      <c r="N448" s="2" t="s">
        <v>35</v>
      </c>
      <c r="O448" s="11">
        <v>44729.734635300927</v>
      </c>
      <c r="P448" s="11">
        <v>44729.735632546297</v>
      </c>
      <c r="Q448" s="27">
        <v>9.9724536994472146E-4</v>
      </c>
      <c r="R448" s="27">
        <v>2.9872569430153817E-3</v>
      </c>
      <c r="S448" s="2">
        <v>0</v>
      </c>
      <c r="T448" s="2" t="s">
        <v>36</v>
      </c>
      <c r="U448" s="2" t="s">
        <v>37</v>
      </c>
      <c r="V448" s="2" t="s">
        <v>38</v>
      </c>
      <c r="W448" s="2" t="s">
        <v>35</v>
      </c>
      <c r="X448" s="2" t="s">
        <v>35</v>
      </c>
      <c r="Y448" s="2" t="s">
        <v>35</v>
      </c>
      <c r="Z448" s="2" t="b">
        <v>0</v>
      </c>
      <c r="AA448" s="2" t="s">
        <v>35</v>
      </c>
      <c r="AB448" s="2">
        <v>100</v>
      </c>
      <c r="AC448" s="2">
        <v>4</v>
      </c>
      <c r="AD448" s="2">
        <v>4</v>
      </c>
      <c r="AE448" s="2" t="s">
        <v>207</v>
      </c>
      <c r="AF448" s="11">
        <v>44729.65</v>
      </c>
      <c r="AG448" s="53"/>
      <c r="AH448" s="53" t="str">
        <f t="shared" si="11"/>
        <v>TRUE</v>
      </c>
      <c r="AI448" s="54" t="s">
        <v>9563</v>
      </c>
      <c r="AJ448" s="2"/>
      <c r="AK448" s="2"/>
      <c r="AL448" s="2"/>
      <c r="AM448" s="2"/>
      <c r="AN448" s="2"/>
    </row>
    <row r="449" spans="1:40" ht="16" x14ac:dyDescent="0.2">
      <c r="A449" s="2" t="s">
        <v>291</v>
      </c>
      <c r="B449" s="2">
        <v>75</v>
      </c>
      <c r="C449" s="2" t="b">
        <v>0</v>
      </c>
      <c r="D449" s="2" t="b">
        <v>0</v>
      </c>
      <c r="E449" s="2" t="b">
        <v>0</v>
      </c>
      <c r="F449" s="2" t="b">
        <v>0</v>
      </c>
      <c r="G449" s="2" t="s">
        <v>31</v>
      </c>
      <c r="H449" s="2" t="s">
        <v>292</v>
      </c>
      <c r="I449" s="2" t="s">
        <v>293</v>
      </c>
      <c r="J449" s="2" t="s">
        <v>294</v>
      </c>
      <c r="K449" s="2" t="s">
        <v>35</v>
      </c>
      <c r="L449" s="2" t="s">
        <v>35</v>
      </c>
      <c r="M449" s="2" t="s">
        <v>35</v>
      </c>
      <c r="N449" s="2" t="s">
        <v>35</v>
      </c>
      <c r="O449" s="11">
        <v>44729.736581400466</v>
      </c>
      <c r="P449" s="11">
        <v>44729.737693981479</v>
      </c>
      <c r="Q449" s="27">
        <v>1.1125810124212876E-3</v>
      </c>
      <c r="R449" s="27">
        <v>2.0614351815311238E-3</v>
      </c>
      <c r="S449" s="2">
        <v>0</v>
      </c>
      <c r="T449" s="2" t="s">
        <v>36</v>
      </c>
      <c r="U449" s="2" t="s">
        <v>37</v>
      </c>
      <c r="V449" s="2" t="s">
        <v>38</v>
      </c>
      <c r="W449" s="2" t="s">
        <v>35</v>
      </c>
      <c r="X449" s="2" t="s">
        <v>35</v>
      </c>
      <c r="Y449" s="2" t="s">
        <v>35</v>
      </c>
      <c r="Z449" s="2" t="b">
        <v>0</v>
      </c>
      <c r="AA449" s="2" t="s">
        <v>35</v>
      </c>
      <c r="AB449" s="2" t="s">
        <v>35</v>
      </c>
      <c r="AC449" s="2">
        <v>9</v>
      </c>
      <c r="AD449" s="2">
        <v>6</v>
      </c>
      <c r="AE449" s="2" t="s">
        <v>207</v>
      </c>
      <c r="AF449" s="11">
        <v>44729.65</v>
      </c>
      <c r="AG449" s="53"/>
      <c r="AH449" s="53" t="str">
        <f t="shared" si="11"/>
        <v>TRUE</v>
      </c>
      <c r="AI449" s="54" t="s">
        <v>10197</v>
      </c>
      <c r="AJ449" s="2"/>
      <c r="AK449" s="2"/>
      <c r="AL449" s="2"/>
      <c r="AM449" s="2"/>
      <c r="AN449" s="2"/>
    </row>
    <row r="450" spans="1:40" ht="80" x14ac:dyDescent="0.2">
      <c r="A450" s="4" t="s">
        <v>295</v>
      </c>
      <c r="B450" s="4">
        <v>76</v>
      </c>
      <c r="C450" s="4" t="b">
        <v>0</v>
      </c>
      <c r="D450" s="4" t="b">
        <v>0</v>
      </c>
      <c r="E450" s="4" t="b">
        <v>0</v>
      </c>
      <c r="F450" s="4" t="b">
        <v>0</v>
      </c>
      <c r="G450" s="4" t="s">
        <v>121</v>
      </c>
      <c r="H450" s="68" t="s">
        <v>149</v>
      </c>
      <c r="I450" s="4" t="s">
        <v>296</v>
      </c>
      <c r="J450" s="4" t="s">
        <v>35</v>
      </c>
      <c r="K450" s="4" t="s">
        <v>35</v>
      </c>
      <c r="L450" s="4" t="s">
        <v>35</v>
      </c>
      <c r="M450" s="4" t="s">
        <v>35</v>
      </c>
      <c r="N450" s="4" t="s">
        <v>35</v>
      </c>
      <c r="O450" s="13">
        <v>44729.740461006942</v>
      </c>
      <c r="P450" s="13">
        <v>44729.740865995373</v>
      </c>
      <c r="Q450" s="15">
        <v>4.0498843009117991E-4</v>
      </c>
      <c r="R450" s="15">
        <v>3.1720138940727338E-3</v>
      </c>
      <c r="S450" s="4">
        <v>0</v>
      </c>
      <c r="T450" s="4" t="s">
        <v>36</v>
      </c>
      <c r="U450" s="4" t="s">
        <v>37</v>
      </c>
      <c r="V450" s="4" t="s">
        <v>38</v>
      </c>
      <c r="W450" s="4" t="s">
        <v>35</v>
      </c>
      <c r="X450" s="4" t="s">
        <v>35</v>
      </c>
      <c r="Y450" s="4" t="s">
        <v>35</v>
      </c>
      <c r="Z450" s="4" t="b">
        <v>0</v>
      </c>
      <c r="AA450" s="4" t="s">
        <v>35</v>
      </c>
      <c r="AB450" s="4">
        <v>90</v>
      </c>
      <c r="AC450" s="4" t="s">
        <v>35</v>
      </c>
      <c r="AD450" s="4" t="s">
        <v>35</v>
      </c>
      <c r="AE450" s="4" t="s">
        <v>207</v>
      </c>
      <c r="AF450" s="13">
        <v>44729.65</v>
      </c>
      <c r="AG450" s="58" t="s">
        <v>9469</v>
      </c>
      <c r="AH450" s="53" t="b">
        <f t="shared" si="11"/>
        <v>0</v>
      </c>
      <c r="AI450" s="56"/>
      <c r="AJ450" s="4"/>
      <c r="AK450" s="4"/>
      <c r="AL450" s="4"/>
      <c r="AM450" s="4"/>
      <c r="AN450" s="4"/>
    </row>
    <row r="451" spans="1:40" ht="48" x14ac:dyDescent="0.2">
      <c r="A451" s="4" t="s">
        <v>299</v>
      </c>
      <c r="B451" s="4">
        <v>78</v>
      </c>
      <c r="C451" s="4" t="b">
        <v>0</v>
      </c>
      <c r="D451" s="4" t="b">
        <v>0</v>
      </c>
      <c r="E451" s="4" t="b">
        <v>0</v>
      </c>
      <c r="F451" s="4" t="b">
        <v>0</v>
      </c>
      <c r="G451" s="4" t="s">
        <v>121</v>
      </c>
      <c r="H451" s="68" t="s">
        <v>149</v>
      </c>
      <c r="I451" s="4" t="s">
        <v>300</v>
      </c>
      <c r="J451" s="4" t="s">
        <v>35</v>
      </c>
      <c r="K451" s="4" t="s">
        <v>35</v>
      </c>
      <c r="L451" s="4" t="s">
        <v>35</v>
      </c>
      <c r="M451" s="4" t="s">
        <v>35</v>
      </c>
      <c r="N451" s="4" t="s">
        <v>35</v>
      </c>
      <c r="O451" s="13">
        <v>44729.746557442129</v>
      </c>
      <c r="P451" s="13">
        <v>44729.747284097219</v>
      </c>
      <c r="Q451" s="15">
        <v>7.2665508923819289E-4</v>
      </c>
      <c r="R451" s="15">
        <v>7.2680554876569659E-4</v>
      </c>
      <c r="S451" s="4">
        <v>0</v>
      </c>
      <c r="T451" s="4" t="s">
        <v>36</v>
      </c>
      <c r="U451" s="4" t="s">
        <v>37</v>
      </c>
      <c r="V451" s="4" t="s">
        <v>38</v>
      </c>
      <c r="W451" s="4" t="s">
        <v>35</v>
      </c>
      <c r="X451" s="4" t="s">
        <v>35</v>
      </c>
      <c r="Y451" s="4" t="s">
        <v>35</v>
      </c>
      <c r="Z451" s="4" t="b">
        <v>0</v>
      </c>
      <c r="AA451" s="4" t="s">
        <v>35</v>
      </c>
      <c r="AB451" s="4">
        <v>85</v>
      </c>
      <c r="AC451" s="4">
        <v>8</v>
      </c>
      <c r="AD451" s="4">
        <v>3</v>
      </c>
      <c r="AE451" s="4" t="s">
        <v>207</v>
      </c>
      <c r="AF451" s="60">
        <v>44729.65</v>
      </c>
      <c r="AG451" s="58" t="s">
        <v>9470</v>
      </c>
      <c r="AH451" s="53" t="b">
        <f t="shared" si="11"/>
        <v>0</v>
      </c>
      <c r="AI451" s="56"/>
      <c r="AJ451" s="4"/>
      <c r="AK451" s="4"/>
      <c r="AL451" s="4"/>
      <c r="AM451" s="4"/>
      <c r="AN451" s="4"/>
    </row>
    <row r="452" spans="1:40" ht="16" x14ac:dyDescent="0.2">
      <c r="A452" s="2" t="s">
        <v>301</v>
      </c>
      <c r="B452" s="2">
        <v>79</v>
      </c>
      <c r="C452" s="2" t="b">
        <v>0</v>
      </c>
      <c r="D452" s="2" t="b">
        <v>0</v>
      </c>
      <c r="E452" s="2" t="b">
        <v>0</v>
      </c>
      <c r="F452" s="2" t="b">
        <v>0</v>
      </c>
      <c r="G452" s="2" t="s">
        <v>31</v>
      </c>
      <c r="H452" s="2" t="s">
        <v>302</v>
      </c>
      <c r="I452" s="2" t="s">
        <v>303</v>
      </c>
      <c r="J452" s="2" t="s">
        <v>35</v>
      </c>
      <c r="K452" s="2" t="s">
        <v>35</v>
      </c>
      <c r="L452" s="2" t="s">
        <v>35</v>
      </c>
      <c r="M452" s="2" t="s">
        <v>35</v>
      </c>
      <c r="N452" s="2" t="s">
        <v>35</v>
      </c>
      <c r="O452" s="11">
        <v>44729.748957118056</v>
      </c>
      <c r="P452" s="11">
        <v>44729.749200219907</v>
      </c>
      <c r="Q452" s="27">
        <v>2.4310185108333826E-4</v>
      </c>
      <c r="R452" s="27">
        <v>1.916122688271571E-3</v>
      </c>
      <c r="S452" s="2">
        <v>0</v>
      </c>
      <c r="T452" s="2" t="s">
        <v>36</v>
      </c>
      <c r="U452" s="2" t="s">
        <v>37</v>
      </c>
      <c r="V452" s="2" t="s">
        <v>38</v>
      </c>
      <c r="W452" s="2" t="s">
        <v>35</v>
      </c>
      <c r="X452" s="2" t="s">
        <v>35</v>
      </c>
      <c r="Y452" s="2" t="s">
        <v>35</v>
      </c>
      <c r="Z452" s="2" t="b">
        <v>0</v>
      </c>
      <c r="AA452" s="2" t="s">
        <v>35</v>
      </c>
      <c r="AB452" s="2">
        <v>100</v>
      </c>
      <c r="AC452" s="2" t="s">
        <v>35</v>
      </c>
      <c r="AD452" s="2" t="s">
        <v>35</v>
      </c>
      <c r="AE452" s="2" t="s">
        <v>207</v>
      </c>
      <c r="AF452" s="11">
        <v>44729.65</v>
      </c>
      <c r="AG452" s="53"/>
      <c r="AH452" s="53" t="b">
        <f t="shared" si="11"/>
        <v>0</v>
      </c>
      <c r="AI452" s="54" t="s">
        <v>10198</v>
      </c>
      <c r="AJ452" s="2"/>
      <c r="AK452" s="2"/>
      <c r="AL452" s="2"/>
      <c r="AM452" s="2"/>
      <c r="AN452" s="2"/>
    </row>
    <row r="453" spans="1:40" ht="16" x14ac:dyDescent="0.2">
      <c r="A453" s="2" t="s">
        <v>320</v>
      </c>
      <c r="B453" s="2">
        <v>85</v>
      </c>
      <c r="C453" s="2" t="b">
        <v>0</v>
      </c>
      <c r="D453" s="2" t="b">
        <v>0</v>
      </c>
      <c r="E453" s="2" t="b">
        <v>0</v>
      </c>
      <c r="F453" s="2" t="b">
        <v>0</v>
      </c>
      <c r="G453" s="2" t="s">
        <v>31</v>
      </c>
      <c r="H453" s="2" t="s">
        <v>321</v>
      </c>
      <c r="I453" s="2" t="s">
        <v>322</v>
      </c>
      <c r="J453" s="2" t="s">
        <v>35</v>
      </c>
      <c r="K453" s="2" t="s">
        <v>35</v>
      </c>
      <c r="L453" s="2" t="s">
        <v>35</v>
      </c>
      <c r="M453" s="2" t="s">
        <v>35</v>
      </c>
      <c r="N453" s="2" t="s">
        <v>35</v>
      </c>
      <c r="O453" s="11">
        <v>44735.412984479168</v>
      </c>
      <c r="P453" s="11">
        <v>44735.413450659726</v>
      </c>
      <c r="Q453" s="27">
        <v>4.661805578507483E-4</v>
      </c>
      <c r="R453" s="27">
        <v>2.2306481550913304E-3</v>
      </c>
      <c r="S453" s="2">
        <v>0</v>
      </c>
      <c r="T453" s="2" t="s">
        <v>36</v>
      </c>
      <c r="U453" s="2" t="s">
        <v>37</v>
      </c>
      <c r="V453" s="2" t="s">
        <v>38</v>
      </c>
      <c r="W453" s="2" t="s">
        <v>35</v>
      </c>
      <c r="X453" s="2" t="s">
        <v>35</v>
      </c>
      <c r="Y453" s="2" t="s">
        <v>35</v>
      </c>
      <c r="Z453" s="2" t="b">
        <v>0</v>
      </c>
      <c r="AA453" s="2" t="s">
        <v>35</v>
      </c>
      <c r="AB453" s="2" t="s">
        <v>35</v>
      </c>
      <c r="AC453" s="2">
        <v>5</v>
      </c>
      <c r="AD453" s="2" t="s">
        <v>35</v>
      </c>
      <c r="AE453" s="2" t="s">
        <v>207</v>
      </c>
      <c r="AF453" s="11">
        <v>44735.40625</v>
      </c>
      <c r="AG453" s="53"/>
      <c r="AH453" s="53" t="b">
        <f t="shared" si="11"/>
        <v>0</v>
      </c>
      <c r="AI453" s="54" t="s">
        <v>10199</v>
      </c>
      <c r="AJ453" s="2"/>
      <c r="AK453" s="2"/>
      <c r="AL453" s="2"/>
      <c r="AM453" s="2"/>
      <c r="AN453" s="2"/>
    </row>
    <row r="454" spans="1:40" ht="16" x14ac:dyDescent="0.2">
      <c r="A454" s="31" t="s">
        <v>323</v>
      </c>
      <c r="B454" s="31">
        <v>86</v>
      </c>
      <c r="C454" s="31" t="b">
        <v>0</v>
      </c>
      <c r="D454" s="31" t="b">
        <v>0</v>
      </c>
      <c r="E454" s="31" t="b">
        <v>0</v>
      </c>
      <c r="F454" s="31" t="b">
        <v>0</v>
      </c>
      <c r="G454" s="31" t="s">
        <v>31</v>
      </c>
      <c r="H454" s="31" t="s">
        <v>324</v>
      </c>
      <c r="I454" s="31" t="s">
        <v>325</v>
      </c>
      <c r="J454" s="31" t="s">
        <v>35</v>
      </c>
      <c r="K454" s="31" t="s">
        <v>35</v>
      </c>
      <c r="L454" s="31" t="s">
        <v>35</v>
      </c>
      <c r="M454" s="31" t="s">
        <v>35</v>
      </c>
      <c r="N454" s="31" t="s">
        <v>35</v>
      </c>
      <c r="O454" s="32">
        <v>44735.423411516203</v>
      </c>
      <c r="P454" s="32">
        <v>44735.42445972222</v>
      </c>
      <c r="Q454" s="30">
        <v>1.0482060170033947E-3</v>
      </c>
      <c r="R454" s="30">
        <v>1.1009062494849786E-2</v>
      </c>
      <c r="S454" s="31">
        <v>0</v>
      </c>
      <c r="T454" s="31" t="s">
        <v>36</v>
      </c>
      <c r="U454" s="31" t="s">
        <v>37</v>
      </c>
      <c r="V454" s="31" t="s">
        <v>38</v>
      </c>
      <c r="W454" s="31" t="s">
        <v>35</v>
      </c>
      <c r="X454" s="31" t="s">
        <v>35</v>
      </c>
      <c r="Y454" s="31" t="s">
        <v>35</v>
      </c>
      <c r="Z454" s="31" t="b">
        <v>0</v>
      </c>
      <c r="AA454" s="31" t="s">
        <v>35</v>
      </c>
      <c r="AB454" s="31" t="s">
        <v>35</v>
      </c>
      <c r="AC454" s="31">
        <v>5</v>
      </c>
      <c r="AD454" s="31">
        <v>3</v>
      </c>
      <c r="AE454" s="31" t="s">
        <v>207</v>
      </c>
      <c r="AF454" s="32">
        <v>44735.40625</v>
      </c>
      <c r="AG454" s="55" t="s">
        <v>9408</v>
      </c>
      <c r="AH454" s="53" t="str">
        <f t="shared" si="11"/>
        <v>TRUE</v>
      </c>
      <c r="AI454" s="62" t="s">
        <v>10838</v>
      </c>
      <c r="AJ454" s="31" t="s">
        <v>10839</v>
      </c>
      <c r="AK454" s="31" t="s">
        <v>10840</v>
      </c>
      <c r="AL454" s="31"/>
      <c r="AM454" s="31"/>
      <c r="AN454" s="31"/>
    </row>
    <row r="455" spans="1:40" ht="16" x14ac:dyDescent="0.2">
      <c r="A455" s="2" t="s">
        <v>326</v>
      </c>
      <c r="B455" s="2">
        <v>87</v>
      </c>
      <c r="C455" s="2" t="b">
        <v>0</v>
      </c>
      <c r="D455" s="2" t="b">
        <v>0</v>
      </c>
      <c r="E455" s="2" t="b">
        <v>0</v>
      </c>
      <c r="F455" s="2" t="b">
        <v>0</v>
      </c>
      <c r="G455" s="2" t="s">
        <v>31</v>
      </c>
      <c r="H455" s="2" t="s">
        <v>327</v>
      </c>
      <c r="I455" s="2" t="s">
        <v>328</v>
      </c>
      <c r="J455" s="2" t="s">
        <v>35</v>
      </c>
      <c r="K455" s="2" t="s">
        <v>35</v>
      </c>
      <c r="L455" s="2" t="s">
        <v>35</v>
      </c>
      <c r="M455" s="2" t="s">
        <v>35</v>
      </c>
      <c r="N455" s="2" t="s">
        <v>35</v>
      </c>
      <c r="O455" s="11">
        <v>44735.425170335649</v>
      </c>
      <c r="P455" s="11">
        <v>44735.425384247683</v>
      </c>
      <c r="Q455" s="27">
        <v>2.1391203335952014E-4</v>
      </c>
      <c r="R455" s="27">
        <v>9.2452546232379973E-4</v>
      </c>
      <c r="S455" s="2">
        <v>0</v>
      </c>
      <c r="T455" s="2" t="s">
        <v>36</v>
      </c>
      <c r="U455" s="2" t="s">
        <v>37</v>
      </c>
      <c r="V455" s="2" t="s">
        <v>38</v>
      </c>
      <c r="W455" s="2" t="s">
        <v>35</v>
      </c>
      <c r="X455" s="2" t="s">
        <v>35</v>
      </c>
      <c r="Y455" s="2" t="s">
        <v>35</v>
      </c>
      <c r="Z455" s="2" t="b">
        <v>0</v>
      </c>
      <c r="AA455" s="2" t="s">
        <v>35</v>
      </c>
      <c r="AB455" s="2" t="s">
        <v>35</v>
      </c>
      <c r="AC455" s="2">
        <v>7</v>
      </c>
      <c r="AD455" s="2" t="s">
        <v>35</v>
      </c>
      <c r="AE455" s="2" t="s">
        <v>207</v>
      </c>
      <c r="AF455" s="11">
        <v>44735.40625</v>
      </c>
      <c r="AG455" s="53"/>
      <c r="AH455" s="53" t="b">
        <f t="shared" si="11"/>
        <v>0</v>
      </c>
      <c r="AI455" s="54" t="s">
        <v>10200</v>
      </c>
      <c r="AJ455" s="2"/>
      <c r="AK455" s="2"/>
      <c r="AL455" s="2"/>
      <c r="AM455" s="2"/>
      <c r="AN455" s="2"/>
    </row>
    <row r="456" spans="1:40" ht="16" x14ac:dyDescent="0.2">
      <c r="A456" s="2" t="s">
        <v>331</v>
      </c>
      <c r="B456" s="2">
        <v>89</v>
      </c>
      <c r="C456" s="2" t="b">
        <v>0</v>
      </c>
      <c r="D456" s="2" t="b">
        <v>0</v>
      </c>
      <c r="E456" s="2" t="b">
        <v>0</v>
      </c>
      <c r="F456" s="2" t="b">
        <v>0</v>
      </c>
      <c r="G456" s="2" t="s">
        <v>31</v>
      </c>
      <c r="H456" s="2" t="s">
        <v>332</v>
      </c>
      <c r="I456" s="2" t="s">
        <v>333</v>
      </c>
      <c r="J456" s="2" t="s">
        <v>35</v>
      </c>
      <c r="K456" s="2" t="s">
        <v>35</v>
      </c>
      <c r="L456" s="2" t="s">
        <v>35</v>
      </c>
      <c r="M456" s="2" t="s">
        <v>35</v>
      </c>
      <c r="N456" s="2" t="s">
        <v>35</v>
      </c>
      <c r="O456" s="11">
        <v>44735.427842372686</v>
      </c>
      <c r="P456" s="11">
        <v>44735.428901516207</v>
      </c>
      <c r="Q456" s="27">
        <v>1.0591435202513821E-3</v>
      </c>
      <c r="R456" s="27">
        <v>1.0566319469944574E-3</v>
      </c>
      <c r="S456" s="2">
        <v>0</v>
      </c>
      <c r="T456" s="2" t="s">
        <v>36</v>
      </c>
      <c r="U456" s="2" t="s">
        <v>37</v>
      </c>
      <c r="V456" s="2" t="s">
        <v>38</v>
      </c>
      <c r="W456" s="2" t="s">
        <v>35</v>
      </c>
      <c r="X456" s="2" t="s">
        <v>35</v>
      </c>
      <c r="Y456" s="2" t="s">
        <v>35</v>
      </c>
      <c r="Z456" s="2" t="b">
        <v>0</v>
      </c>
      <c r="AA456" s="2" t="s">
        <v>35</v>
      </c>
      <c r="AB456" s="2" t="s">
        <v>35</v>
      </c>
      <c r="AC456" s="2">
        <v>4</v>
      </c>
      <c r="AD456" s="2" t="s">
        <v>35</v>
      </c>
      <c r="AE456" s="2" t="s">
        <v>207</v>
      </c>
      <c r="AF456" s="11">
        <v>44735.40625</v>
      </c>
      <c r="AG456" s="53"/>
      <c r="AH456" s="53" t="str">
        <f t="shared" si="11"/>
        <v>TRUE</v>
      </c>
      <c r="AI456" s="54" t="s">
        <v>10201</v>
      </c>
      <c r="AJ456" s="2"/>
      <c r="AK456" s="2"/>
      <c r="AL456" s="2"/>
      <c r="AM456" s="2"/>
      <c r="AN456" s="2"/>
    </row>
    <row r="457" spans="1:40" ht="64" x14ac:dyDescent="0.2">
      <c r="A457" s="31" t="s">
        <v>334</v>
      </c>
      <c r="B457" s="31">
        <v>90</v>
      </c>
      <c r="C457" s="31" t="b">
        <v>0</v>
      </c>
      <c r="D457" s="31" t="b">
        <v>0</v>
      </c>
      <c r="E457" s="31" t="b">
        <v>0</v>
      </c>
      <c r="F457" s="31" t="b">
        <v>0</v>
      </c>
      <c r="G457" s="31" t="s">
        <v>31</v>
      </c>
      <c r="H457" s="31" t="s">
        <v>335</v>
      </c>
      <c r="I457" s="31" t="s">
        <v>336</v>
      </c>
      <c r="J457" s="31" t="s">
        <v>35</v>
      </c>
      <c r="K457" s="31" t="s">
        <v>35</v>
      </c>
      <c r="L457" s="31" t="s">
        <v>35</v>
      </c>
      <c r="M457" s="31" t="s">
        <v>35</v>
      </c>
      <c r="N457" s="31" t="s">
        <v>35</v>
      </c>
      <c r="O457" s="32">
        <v>44735.459319027781</v>
      </c>
      <c r="P457" s="32">
        <v>44735.459471215276</v>
      </c>
      <c r="Q457" s="30">
        <v>1.5218749467749149E-4</v>
      </c>
      <c r="R457" s="30">
        <v>3.0569699069019407E-2</v>
      </c>
      <c r="S457" s="31">
        <v>0</v>
      </c>
      <c r="T457" s="31" t="s">
        <v>36</v>
      </c>
      <c r="U457" s="31" t="s">
        <v>37</v>
      </c>
      <c r="V457" s="31" t="s">
        <v>38</v>
      </c>
      <c r="W457" s="31" t="s">
        <v>35</v>
      </c>
      <c r="X457" s="31" t="s">
        <v>35</v>
      </c>
      <c r="Y457" s="31" t="s">
        <v>35</v>
      </c>
      <c r="Z457" s="31" t="b">
        <v>0</v>
      </c>
      <c r="AA457" s="31" t="s">
        <v>35</v>
      </c>
      <c r="AB457" s="31" t="s">
        <v>35</v>
      </c>
      <c r="AC457" s="31">
        <v>4</v>
      </c>
      <c r="AD457" s="31" t="s">
        <v>35</v>
      </c>
      <c r="AE457" s="31" t="s">
        <v>207</v>
      </c>
      <c r="AF457" s="32">
        <v>44735.40625</v>
      </c>
      <c r="AG457" s="55" t="s">
        <v>9407</v>
      </c>
      <c r="AH457" s="53" t="b">
        <f t="shared" si="11"/>
        <v>0</v>
      </c>
      <c r="AI457" s="62" t="s">
        <v>10841</v>
      </c>
      <c r="AJ457" s="31"/>
      <c r="AK457" s="31"/>
      <c r="AL457" s="31"/>
      <c r="AM457" s="31"/>
      <c r="AN457" s="31"/>
    </row>
    <row r="458" spans="1:40" ht="16" x14ac:dyDescent="0.2">
      <c r="A458" s="2" t="s">
        <v>337</v>
      </c>
      <c r="B458" s="2">
        <v>91</v>
      </c>
      <c r="C458" s="2" t="b">
        <v>0</v>
      </c>
      <c r="D458" s="2" t="b">
        <v>0</v>
      </c>
      <c r="E458" s="2" t="b">
        <v>0</v>
      </c>
      <c r="F458" s="2" t="b">
        <v>0</v>
      </c>
      <c r="G458" s="2" t="s">
        <v>31</v>
      </c>
      <c r="H458" s="2" t="s">
        <v>338</v>
      </c>
      <c r="I458" s="2" t="s">
        <v>339</v>
      </c>
      <c r="J458" s="2" t="s">
        <v>35</v>
      </c>
      <c r="K458" s="2" t="s">
        <v>35</v>
      </c>
      <c r="L458" s="2" t="s">
        <v>35</v>
      </c>
      <c r="M458" s="2" t="s">
        <v>35</v>
      </c>
      <c r="N458" s="2" t="s">
        <v>35</v>
      </c>
      <c r="O458" s="11">
        <v>44735.459959872685</v>
      </c>
      <c r="P458" s="11">
        <v>44735.460114791669</v>
      </c>
      <c r="Q458" s="27">
        <v>1.5491898375330493E-4</v>
      </c>
      <c r="R458" s="27">
        <v>6.435763934860006E-4</v>
      </c>
      <c r="S458" s="2">
        <v>0</v>
      </c>
      <c r="T458" s="2" t="s">
        <v>36</v>
      </c>
      <c r="U458" s="2" t="s">
        <v>37</v>
      </c>
      <c r="V458" s="2" t="s">
        <v>38</v>
      </c>
      <c r="W458" s="2" t="s">
        <v>35</v>
      </c>
      <c r="X458" s="2" t="s">
        <v>35</v>
      </c>
      <c r="Y458" s="2" t="s">
        <v>35</v>
      </c>
      <c r="Z458" s="2" t="b">
        <v>0</v>
      </c>
      <c r="AA458" s="2" t="s">
        <v>35</v>
      </c>
      <c r="AB458" s="2" t="s">
        <v>35</v>
      </c>
      <c r="AC458" s="2" t="s">
        <v>35</v>
      </c>
      <c r="AD458" s="2">
        <v>3</v>
      </c>
      <c r="AE458" s="2" t="s">
        <v>207</v>
      </c>
      <c r="AF458" s="11">
        <v>44735.40625</v>
      </c>
      <c r="AG458" s="53"/>
      <c r="AH458" s="53" t="b">
        <f t="shared" si="11"/>
        <v>0</v>
      </c>
      <c r="AI458" s="54" t="s">
        <v>10202</v>
      </c>
      <c r="AJ458" s="2"/>
      <c r="AK458" s="2"/>
      <c r="AL458" s="2"/>
      <c r="AM458" s="2"/>
      <c r="AN458" s="2"/>
    </row>
    <row r="459" spans="1:40" ht="16" x14ac:dyDescent="0.2">
      <c r="A459" s="2" t="s">
        <v>340</v>
      </c>
      <c r="B459" s="2">
        <v>92</v>
      </c>
      <c r="C459" s="2" t="b">
        <v>0</v>
      </c>
      <c r="D459" s="2" t="b">
        <v>0</v>
      </c>
      <c r="E459" s="2" t="b">
        <v>0</v>
      </c>
      <c r="F459" s="2" t="b">
        <v>0</v>
      </c>
      <c r="G459" s="2" t="s">
        <v>31</v>
      </c>
      <c r="H459" s="2" t="s">
        <v>341</v>
      </c>
      <c r="I459" s="2" t="s">
        <v>342</v>
      </c>
      <c r="J459" s="2" t="s">
        <v>35</v>
      </c>
      <c r="K459" s="2" t="s">
        <v>35</v>
      </c>
      <c r="L459" s="2" t="s">
        <v>35</v>
      </c>
      <c r="M459" s="2" t="s">
        <v>35</v>
      </c>
      <c r="N459" s="2" t="s">
        <v>35</v>
      </c>
      <c r="O459" s="11">
        <v>44735.461427905095</v>
      </c>
      <c r="P459" s="11">
        <v>44735.461558055555</v>
      </c>
      <c r="Q459" s="27">
        <v>1.3015045988140628E-4</v>
      </c>
      <c r="R459" s="27">
        <v>1.4432638854486868E-3</v>
      </c>
      <c r="S459" s="2">
        <v>0</v>
      </c>
      <c r="T459" s="2" t="s">
        <v>36</v>
      </c>
      <c r="U459" s="2" t="s">
        <v>37</v>
      </c>
      <c r="V459" s="2" t="s">
        <v>38</v>
      </c>
      <c r="W459" s="2" t="s">
        <v>35</v>
      </c>
      <c r="X459" s="2" t="s">
        <v>35</v>
      </c>
      <c r="Y459" s="2" t="s">
        <v>35</v>
      </c>
      <c r="Z459" s="2" t="b">
        <v>0</v>
      </c>
      <c r="AA459" s="2" t="s">
        <v>35</v>
      </c>
      <c r="AB459" s="2" t="s">
        <v>35</v>
      </c>
      <c r="AC459" s="2" t="s">
        <v>35</v>
      </c>
      <c r="AD459" s="2">
        <v>4</v>
      </c>
      <c r="AE459" s="2" t="s">
        <v>207</v>
      </c>
      <c r="AF459" s="11">
        <v>44735.40625</v>
      </c>
      <c r="AG459" s="53"/>
      <c r="AH459" s="53" t="b">
        <f t="shared" si="11"/>
        <v>0</v>
      </c>
      <c r="AI459" s="54" t="s">
        <v>10203</v>
      </c>
      <c r="AJ459" s="2"/>
      <c r="AK459" s="2"/>
      <c r="AL459" s="2"/>
      <c r="AM459" s="2"/>
      <c r="AN459" s="2"/>
    </row>
    <row r="460" spans="1:40" ht="16" x14ac:dyDescent="0.2">
      <c r="A460" s="2" t="s">
        <v>343</v>
      </c>
      <c r="B460" s="2">
        <v>93</v>
      </c>
      <c r="C460" s="2" t="b">
        <v>0</v>
      </c>
      <c r="D460" s="2" t="b">
        <v>0</v>
      </c>
      <c r="E460" s="2" t="b">
        <v>0</v>
      </c>
      <c r="F460" s="2" t="b">
        <v>0</v>
      </c>
      <c r="G460" s="2" t="s">
        <v>31</v>
      </c>
      <c r="H460" s="2" t="s">
        <v>344</v>
      </c>
      <c r="I460" s="2" t="s">
        <v>345</v>
      </c>
      <c r="J460" s="2" t="s">
        <v>35</v>
      </c>
      <c r="K460" s="2" t="s">
        <v>35</v>
      </c>
      <c r="L460" s="2" t="s">
        <v>35</v>
      </c>
      <c r="M460" s="2" t="s">
        <v>35</v>
      </c>
      <c r="N460" s="2" t="s">
        <v>35</v>
      </c>
      <c r="O460" s="11">
        <v>44735.464761689815</v>
      </c>
      <c r="P460" s="11">
        <v>44735.46519072917</v>
      </c>
      <c r="Q460" s="27">
        <v>4.290393553674221E-4</v>
      </c>
      <c r="R460" s="27">
        <v>3.6326736153569072E-3</v>
      </c>
      <c r="S460" s="2">
        <v>0</v>
      </c>
      <c r="T460" s="2" t="s">
        <v>36</v>
      </c>
      <c r="U460" s="2" t="s">
        <v>37</v>
      </c>
      <c r="V460" s="2" t="s">
        <v>38</v>
      </c>
      <c r="W460" s="2" t="s">
        <v>35</v>
      </c>
      <c r="X460" s="2" t="s">
        <v>35</v>
      </c>
      <c r="Y460" s="2" t="s">
        <v>35</v>
      </c>
      <c r="Z460" s="2" t="b">
        <v>0</v>
      </c>
      <c r="AA460" s="2" t="s">
        <v>35</v>
      </c>
      <c r="AB460" s="2" t="s">
        <v>35</v>
      </c>
      <c r="AC460" s="2" t="s">
        <v>35</v>
      </c>
      <c r="AD460" s="2">
        <v>5</v>
      </c>
      <c r="AE460" s="2" t="s">
        <v>207</v>
      </c>
      <c r="AF460" s="11">
        <v>44735.40625</v>
      </c>
      <c r="AG460" s="53"/>
      <c r="AH460" s="53" t="b">
        <f t="shared" si="11"/>
        <v>0</v>
      </c>
      <c r="AI460" s="54" t="s">
        <v>10206</v>
      </c>
      <c r="AJ460" s="114" t="s">
        <v>10204</v>
      </c>
      <c r="AK460" s="2" t="s">
        <v>10205</v>
      </c>
      <c r="AL460" s="2"/>
      <c r="AM460" s="2"/>
      <c r="AN460" s="2"/>
    </row>
    <row r="461" spans="1:40" ht="16" x14ac:dyDescent="0.2">
      <c r="A461" s="2" t="s">
        <v>353</v>
      </c>
      <c r="B461" s="2">
        <v>96</v>
      </c>
      <c r="C461" s="2" t="b">
        <v>0</v>
      </c>
      <c r="D461" s="2" t="b">
        <v>0</v>
      </c>
      <c r="E461" s="2" t="b">
        <v>0</v>
      </c>
      <c r="F461" s="2" t="b">
        <v>0</v>
      </c>
      <c r="G461" s="2" t="s">
        <v>31</v>
      </c>
      <c r="H461" s="2" t="s">
        <v>354</v>
      </c>
      <c r="I461" s="2" t="s">
        <v>355</v>
      </c>
      <c r="J461" s="2" t="s">
        <v>35</v>
      </c>
      <c r="K461" s="2" t="s">
        <v>35</v>
      </c>
      <c r="L461" s="2" t="s">
        <v>35</v>
      </c>
      <c r="M461" s="2" t="s">
        <v>35</v>
      </c>
      <c r="N461" s="2" t="s">
        <v>35</v>
      </c>
      <c r="O461" s="11">
        <v>44735.473778159721</v>
      </c>
      <c r="P461" s="11">
        <v>44735.473961643518</v>
      </c>
      <c r="Q461" s="27">
        <v>1.834837967180647E-4</v>
      </c>
      <c r="R461" s="27">
        <v>6.0582176229218021E-4</v>
      </c>
      <c r="S461" s="2">
        <v>0</v>
      </c>
      <c r="T461" s="2" t="s">
        <v>36</v>
      </c>
      <c r="U461" s="2" t="s">
        <v>37</v>
      </c>
      <c r="V461" s="2" t="s">
        <v>38</v>
      </c>
      <c r="W461" s="2" t="s">
        <v>35</v>
      </c>
      <c r="X461" s="2" t="s">
        <v>35</v>
      </c>
      <c r="Y461" s="2" t="s">
        <v>35</v>
      </c>
      <c r="Z461" s="2" t="b">
        <v>0</v>
      </c>
      <c r="AA461" s="2" t="s">
        <v>35</v>
      </c>
      <c r="AB461" s="2" t="s">
        <v>35</v>
      </c>
      <c r="AC461" s="2" t="s">
        <v>35</v>
      </c>
      <c r="AD461" s="2">
        <v>3</v>
      </c>
      <c r="AE461" s="2" t="s">
        <v>207</v>
      </c>
      <c r="AF461" s="11">
        <v>44735.40625</v>
      </c>
      <c r="AG461" s="53"/>
      <c r="AH461" s="53" t="b">
        <f t="shared" si="11"/>
        <v>0</v>
      </c>
      <c r="AI461" s="54" t="s">
        <v>10207</v>
      </c>
      <c r="AJ461" s="2"/>
      <c r="AK461" s="2"/>
      <c r="AL461" s="2"/>
      <c r="AM461" s="2"/>
      <c r="AN461" s="2"/>
    </row>
    <row r="462" spans="1:40" ht="16" x14ac:dyDescent="0.2">
      <c r="A462" s="2" t="s">
        <v>365</v>
      </c>
      <c r="B462" s="2">
        <v>100</v>
      </c>
      <c r="C462" s="2" t="b">
        <v>0</v>
      </c>
      <c r="D462" s="2" t="b">
        <v>0</v>
      </c>
      <c r="E462" s="2" t="b">
        <v>0</v>
      </c>
      <c r="F462" s="2" t="b">
        <v>0</v>
      </c>
      <c r="G462" s="2" t="s">
        <v>31</v>
      </c>
      <c r="H462" s="2" t="s">
        <v>366</v>
      </c>
      <c r="I462" s="2" t="s">
        <v>367</v>
      </c>
      <c r="J462" s="2" t="s">
        <v>368</v>
      </c>
      <c r="K462" s="2" t="s">
        <v>35</v>
      </c>
      <c r="L462" s="2" t="s">
        <v>35</v>
      </c>
      <c r="M462" s="2" t="s">
        <v>35</v>
      </c>
      <c r="N462" s="2" t="s">
        <v>35</v>
      </c>
      <c r="O462" s="11">
        <v>44735.478567777776</v>
      </c>
      <c r="P462" s="11">
        <v>44735.479970659719</v>
      </c>
      <c r="Q462" s="27">
        <v>1.4028819423401728E-3</v>
      </c>
      <c r="R462" s="27">
        <v>1.4926851799828E-3</v>
      </c>
      <c r="S462" s="2">
        <v>0</v>
      </c>
      <c r="T462" s="2" t="s">
        <v>36</v>
      </c>
      <c r="U462" s="2" t="s">
        <v>37</v>
      </c>
      <c r="V462" s="2" t="s">
        <v>38</v>
      </c>
      <c r="W462" s="2" t="s">
        <v>35</v>
      </c>
      <c r="X462" s="2" t="s">
        <v>35</v>
      </c>
      <c r="Y462" s="2" t="s">
        <v>35</v>
      </c>
      <c r="Z462" s="2" t="b">
        <v>0</v>
      </c>
      <c r="AA462" s="2" t="s">
        <v>369</v>
      </c>
      <c r="AB462" s="2">
        <v>100</v>
      </c>
      <c r="AC462" s="2" t="s">
        <v>35</v>
      </c>
      <c r="AD462" s="2" t="s">
        <v>35</v>
      </c>
      <c r="AE462" s="2" t="s">
        <v>207</v>
      </c>
      <c r="AF462" s="11">
        <v>44735.40625</v>
      </c>
      <c r="AG462" s="53"/>
      <c r="AH462" s="53" t="str">
        <f t="shared" si="11"/>
        <v>TRUE</v>
      </c>
      <c r="AI462" s="115" t="s">
        <v>10210</v>
      </c>
      <c r="AJ462" s="114" t="s">
        <v>10208</v>
      </c>
      <c r="AK462" s="2" t="s">
        <v>10209</v>
      </c>
      <c r="AL462" s="2"/>
      <c r="AM462" s="2"/>
      <c r="AN462" s="2"/>
    </row>
    <row r="463" spans="1:40" ht="16" x14ac:dyDescent="0.2">
      <c r="A463" s="2" t="s">
        <v>379</v>
      </c>
      <c r="B463" s="2">
        <v>104</v>
      </c>
      <c r="C463" s="2" t="b">
        <v>0</v>
      </c>
      <c r="D463" s="2" t="b">
        <v>0</v>
      </c>
      <c r="E463" s="2" t="b">
        <v>0</v>
      </c>
      <c r="F463" s="2" t="b">
        <v>0</v>
      </c>
      <c r="G463" s="2" t="s">
        <v>31</v>
      </c>
      <c r="H463" s="2" t="s">
        <v>380</v>
      </c>
      <c r="I463" s="2" t="s">
        <v>381</v>
      </c>
      <c r="J463" s="2" t="s">
        <v>35</v>
      </c>
      <c r="K463" s="2" t="s">
        <v>35</v>
      </c>
      <c r="L463" s="2" t="s">
        <v>35</v>
      </c>
      <c r="M463" s="2" t="s">
        <v>35</v>
      </c>
      <c r="N463" s="2" t="s">
        <v>35</v>
      </c>
      <c r="O463" s="11">
        <v>44735.485174050926</v>
      </c>
      <c r="P463" s="11">
        <v>44735.485646828703</v>
      </c>
      <c r="Q463" s="27">
        <v>4.7277777775889263E-4</v>
      </c>
      <c r="R463" s="27">
        <v>1.6951041689026169E-3</v>
      </c>
      <c r="S463" s="2">
        <v>0</v>
      </c>
      <c r="T463" s="2" t="s">
        <v>36</v>
      </c>
      <c r="U463" s="2" t="s">
        <v>37</v>
      </c>
      <c r="V463" s="2" t="s">
        <v>38</v>
      </c>
      <c r="W463" s="2" t="s">
        <v>35</v>
      </c>
      <c r="X463" s="2" t="s">
        <v>35</v>
      </c>
      <c r="Y463" s="2" t="s">
        <v>35</v>
      </c>
      <c r="Z463" s="2" t="b">
        <v>0</v>
      </c>
      <c r="AA463" s="2" t="s">
        <v>35</v>
      </c>
      <c r="AB463" s="2" t="s">
        <v>35</v>
      </c>
      <c r="AC463" s="2" t="s">
        <v>35</v>
      </c>
      <c r="AD463" s="2">
        <v>4</v>
      </c>
      <c r="AE463" s="2" t="s">
        <v>207</v>
      </c>
      <c r="AF463" s="11">
        <v>44735.40625</v>
      </c>
      <c r="AG463" s="53"/>
      <c r="AH463" s="53" t="b">
        <f t="shared" si="11"/>
        <v>0</v>
      </c>
      <c r="AI463" s="54" t="s">
        <v>10213</v>
      </c>
      <c r="AJ463" s="2" t="s">
        <v>10211</v>
      </c>
      <c r="AK463" s="2" t="s">
        <v>10212</v>
      </c>
      <c r="AL463" s="2"/>
      <c r="AM463" s="2"/>
      <c r="AN463" s="2"/>
    </row>
    <row r="464" spans="1:40" ht="16" x14ac:dyDescent="0.2">
      <c r="A464" s="2" t="s">
        <v>391</v>
      </c>
      <c r="B464" s="2">
        <v>108</v>
      </c>
      <c r="C464" s="2" t="b">
        <v>0</v>
      </c>
      <c r="D464" s="2" t="b">
        <v>0</v>
      </c>
      <c r="E464" s="2" t="b">
        <v>0</v>
      </c>
      <c r="F464" s="2" t="b">
        <v>0</v>
      </c>
      <c r="G464" s="2" t="s">
        <v>31</v>
      </c>
      <c r="H464" s="2" t="s">
        <v>392</v>
      </c>
      <c r="I464" s="2" t="s">
        <v>393</v>
      </c>
      <c r="J464" s="2" t="s">
        <v>35</v>
      </c>
      <c r="K464" s="2" t="s">
        <v>35</v>
      </c>
      <c r="L464" s="2" t="s">
        <v>35</v>
      </c>
      <c r="M464" s="2" t="s">
        <v>35</v>
      </c>
      <c r="N464" s="2" t="s">
        <v>35</v>
      </c>
      <c r="O464" s="11">
        <v>44735.490283506944</v>
      </c>
      <c r="P464" s="11">
        <v>44735.490491331017</v>
      </c>
      <c r="Q464" s="27">
        <v>2.0782407227670774E-4</v>
      </c>
      <c r="R464" s="27">
        <v>1.3612499969894998E-3</v>
      </c>
      <c r="S464" s="2">
        <v>0</v>
      </c>
      <c r="T464" s="2" t="s">
        <v>36</v>
      </c>
      <c r="U464" s="2" t="s">
        <v>37</v>
      </c>
      <c r="V464" s="2" t="s">
        <v>38</v>
      </c>
      <c r="W464" s="2" t="s">
        <v>35</v>
      </c>
      <c r="X464" s="2" t="s">
        <v>35</v>
      </c>
      <c r="Y464" s="2" t="s">
        <v>35</v>
      </c>
      <c r="Z464" s="2" t="b">
        <v>0</v>
      </c>
      <c r="AA464" s="2" t="s">
        <v>35</v>
      </c>
      <c r="AB464" s="2" t="s">
        <v>35</v>
      </c>
      <c r="AC464" s="2" t="s">
        <v>35</v>
      </c>
      <c r="AD464" s="2">
        <v>3</v>
      </c>
      <c r="AE464" s="2" t="s">
        <v>207</v>
      </c>
      <c r="AF464" s="11">
        <v>44735.40625</v>
      </c>
      <c r="AG464" s="53"/>
      <c r="AH464" s="53" t="b">
        <f t="shared" si="11"/>
        <v>0</v>
      </c>
      <c r="AI464" s="54" t="s">
        <v>10214</v>
      </c>
      <c r="AJ464" s="2"/>
      <c r="AK464" s="2"/>
      <c r="AL464" s="2"/>
      <c r="AM464" s="2"/>
      <c r="AN464" s="2"/>
    </row>
    <row r="465" spans="1:40" ht="16" x14ac:dyDescent="0.2">
      <c r="A465" s="2" t="s">
        <v>400</v>
      </c>
      <c r="B465" s="2">
        <v>111</v>
      </c>
      <c r="C465" s="2" t="b">
        <v>0</v>
      </c>
      <c r="D465" s="2" t="b">
        <v>0</v>
      </c>
      <c r="E465" s="2" t="b">
        <v>0</v>
      </c>
      <c r="F465" s="2" t="b">
        <v>0</v>
      </c>
      <c r="G465" s="2" t="s">
        <v>31</v>
      </c>
      <c r="H465" s="2" t="s">
        <v>401</v>
      </c>
      <c r="I465" s="2" t="s">
        <v>402</v>
      </c>
      <c r="J465" s="2" t="s">
        <v>35</v>
      </c>
      <c r="K465" s="2" t="s">
        <v>35</v>
      </c>
      <c r="L465" s="2" t="s">
        <v>35</v>
      </c>
      <c r="M465" s="2" t="s">
        <v>35</v>
      </c>
      <c r="N465" s="2" t="s">
        <v>35</v>
      </c>
      <c r="O465" s="11">
        <v>44735.493483333332</v>
      </c>
      <c r="P465" s="11">
        <v>44735.493831689811</v>
      </c>
      <c r="Q465" s="27">
        <v>3.4835647966247052E-4</v>
      </c>
      <c r="R465" s="27">
        <v>1.3366898128879257E-3</v>
      </c>
      <c r="S465" s="2">
        <v>0</v>
      </c>
      <c r="T465" s="2" t="s">
        <v>36</v>
      </c>
      <c r="U465" s="2" t="s">
        <v>37</v>
      </c>
      <c r="V465" s="2" t="s">
        <v>38</v>
      </c>
      <c r="W465" s="2" t="s">
        <v>35</v>
      </c>
      <c r="X465" s="2" t="s">
        <v>35</v>
      </c>
      <c r="Y465" s="2" t="s">
        <v>35</v>
      </c>
      <c r="Z465" s="2" t="b">
        <v>0</v>
      </c>
      <c r="AA465" s="2" t="s">
        <v>35</v>
      </c>
      <c r="AB465" s="2" t="s">
        <v>35</v>
      </c>
      <c r="AC465" s="2" t="s">
        <v>35</v>
      </c>
      <c r="AD465" s="2">
        <v>5</v>
      </c>
      <c r="AE465" s="2" t="s">
        <v>207</v>
      </c>
      <c r="AF465" s="11">
        <v>44735.40625</v>
      </c>
      <c r="AG465" s="53"/>
      <c r="AH465" s="53" t="b">
        <f t="shared" si="11"/>
        <v>0</v>
      </c>
      <c r="AI465" s="54" t="s">
        <v>10215</v>
      </c>
      <c r="AJ465" s="2"/>
      <c r="AK465" s="2"/>
      <c r="AL465" s="2"/>
      <c r="AM465" s="2"/>
      <c r="AN465" s="2"/>
    </row>
    <row r="466" spans="1:40" ht="16" x14ac:dyDescent="0.2">
      <c r="A466" s="2" t="s">
        <v>421</v>
      </c>
      <c r="B466" s="2">
        <v>117</v>
      </c>
      <c r="C466" s="2" t="b">
        <v>0</v>
      </c>
      <c r="D466" s="2" t="b">
        <v>0</v>
      </c>
      <c r="E466" s="2" t="b">
        <v>0</v>
      </c>
      <c r="F466" s="2" t="b">
        <v>0</v>
      </c>
      <c r="G466" s="2" t="s">
        <v>31</v>
      </c>
      <c r="H466" s="2" t="s">
        <v>422</v>
      </c>
      <c r="I466" s="2" t="s">
        <v>423</v>
      </c>
      <c r="J466" s="2" t="s">
        <v>35</v>
      </c>
      <c r="K466" s="2" t="s">
        <v>35</v>
      </c>
      <c r="L466" s="2" t="s">
        <v>35</v>
      </c>
      <c r="M466" s="2" t="s">
        <v>35</v>
      </c>
      <c r="N466" s="2" t="s">
        <v>35</v>
      </c>
      <c r="O466" s="11">
        <v>44735.504870497687</v>
      </c>
      <c r="P466" s="11">
        <v>44735.506299884262</v>
      </c>
      <c r="Q466" s="27">
        <v>1.4293865751824342E-3</v>
      </c>
      <c r="R466" s="27">
        <v>1.486192129959818E-3</v>
      </c>
      <c r="S466" s="2">
        <v>0</v>
      </c>
      <c r="T466" s="2" t="s">
        <v>36</v>
      </c>
      <c r="U466" s="2" t="s">
        <v>37</v>
      </c>
      <c r="V466" s="2" t="s">
        <v>38</v>
      </c>
      <c r="W466" s="2" t="s">
        <v>35</v>
      </c>
      <c r="X466" s="2" t="s">
        <v>35</v>
      </c>
      <c r="Y466" s="2" t="s">
        <v>35</v>
      </c>
      <c r="Z466" s="2" t="b">
        <v>0</v>
      </c>
      <c r="AA466" s="2" t="s">
        <v>35</v>
      </c>
      <c r="AB466" s="2" t="s">
        <v>35</v>
      </c>
      <c r="AC466" s="2">
        <v>6</v>
      </c>
      <c r="AD466" s="2">
        <v>5</v>
      </c>
      <c r="AE466" s="2" t="s">
        <v>207</v>
      </c>
      <c r="AF466" s="11">
        <v>44735.40625</v>
      </c>
      <c r="AG466" s="53"/>
      <c r="AH466" s="53" t="str">
        <f t="shared" si="11"/>
        <v>TRUE</v>
      </c>
      <c r="AI466" s="54" t="s">
        <v>9562</v>
      </c>
      <c r="AJ466" s="2"/>
      <c r="AK466" s="2"/>
      <c r="AL466" s="2"/>
      <c r="AM466" s="2"/>
      <c r="AN466" s="2"/>
    </row>
    <row r="467" spans="1:40" ht="16" x14ac:dyDescent="0.2">
      <c r="A467" s="2" t="s">
        <v>443</v>
      </c>
      <c r="B467" s="2">
        <v>124</v>
      </c>
      <c r="C467" s="2" t="b">
        <v>0</v>
      </c>
      <c r="D467" s="2" t="b">
        <v>0</v>
      </c>
      <c r="E467" s="2" t="b">
        <v>0</v>
      </c>
      <c r="F467" s="2" t="b">
        <v>0</v>
      </c>
      <c r="G467" s="2" t="s">
        <v>31</v>
      </c>
      <c r="H467" s="2" t="s">
        <v>444</v>
      </c>
      <c r="I467" s="2" t="s">
        <v>445</v>
      </c>
      <c r="J467" s="2" t="s">
        <v>35</v>
      </c>
      <c r="K467" s="2" t="s">
        <v>35</v>
      </c>
      <c r="L467" s="2" t="s">
        <v>35</v>
      </c>
      <c r="M467" s="2" t="s">
        <v>35</v>
      </c>
      <c r="N467" s="2" t="s">
        <v>35</v>
      </c>
      <c r="O467" s="11">
        <v>44735.511976944443</v>
      </c>
      <c r="P467" s="11">
        <v>44735.512142361113</v>
      </c>
      <c r="Q467" s="27">
        <v>1.6541666991543025E-4</v>
      </c>
      <c r="R467" s="27">
        <v>7.2864583489717916E-4</v>
      </c>
      <c r="S467" s="2">
        <v>0</v>
      </c>
      <c r="T467" s="2" t="s">
        <v>36</v>
      </c>
      <c r="U467" s="2" t="s">
        <v>37</v>
      </c>
      <c r="V467" s="2" t="s">
        <v>38</v>
      </c>
      <c r="W467" s="2" t="s">
        <v>35</v>
      </c>
      <c r="X467" s="2" t="s">
        <v>35</v>
      </c>
      <c r="Y467" s="2" t="s">
        <v>35</v>
      </c>
      <c r="Z467" s="2" t="b">
        <v>0</v>
      </c>
      <c r="AA467" s="2" t="s">
        <v>35</v>
      </c>
      <c r="AB467" s="2" t="s">
        <v>35</v>
      </c>
      <c r="AC467" s="2">
        <v>8</v>
      </c>
      <c r="AD467" s="2" t="s">
        <v>35</v>
      </c>
      <c r="AE467" s="2" t="s">
        <v>207</v>
      </c>
      <c r="AF467" s="11">
        <v>44735.40625</v>
      </c>
      <c r="AG467" s="53"/>
      <c r="AH467" s="53" t="b">
        <f t="shared" si="11"/>
        <v>0</v>
      </c>
      <c r="AI467" s="54" t="s">
        <v>10216</v>
      </c>
      <c r="AJ467" s="2"/>
      <c r="AK467" s="2"/>
      <c r="AL467" s="2"/>
      <c r="AM467" s="2"/>
      <c r="AN467" s="2"/>
    </row>
    <row r="468" spans="1:40" ht="16" x14ac:dyDescent="0.2">
      <c r="A468" s="2" t="s">
        <v>452</v>
      </c>
      <c r="B468" s="2">
        <v>127</v>
      </c>
      <c r="C468" s="2" t="b">
        <v>0</v>
      </c>
      <c r="D468" s="2" t="b">
        <v>0</v>
      </c>
      <c r="E468" s="2" t="b">
        <v>0</v>
      </c>
      <c r="F468" s="2" t="b">
        <v>0</v>
      </c>
      <c r="G468" s="2" t="s">
        <v>31</v>
      </c>
      <c r="H468" s="2" t="s">
        <v>453</v>
      </c>
      <c r="I468" s="2" t="s">
        <v>454</v>
      </c>
      <c r="J468" s="2" t="s">
        <v>35</v>
      </c>
      <c r="K468" s="2" t="s">
        <v>35</v>
      </c>
      <c r="L468" s="2" t="s">
        <v>35</v>
      </c>
      <c r="M468" s="2" t="s">
        <v>35</v>
      </c>
      <c r="N468" s="2" t="s">
        <v>35</v>
      </c>
      <c r="O468" s="11">
        <v>44735.516947141201</v>
      </c>
      <c r="P468" s="11">
        <v>44735.517084664352</v>
      </c>
      <c r="Q468" s="27">
        <v>1.3752315135207027E-4</v>
      </c>
      <c r="R468" s="27">
        <v>6.3351851713377982E-4</v>
      </c>
      <c r="S468" s="2">
        <v>0</v>
      </c>
      <c r="T468" s="2" t="s">
        <v>36</v>
      </c>
      <c r="U468" s="2" t="s">
        <v>37</v>
      </c>
      <c r="V468" s="2" t="s">
        <v>38</v>
      </c>
      <c r="W468" s="2" t="s">
        <v>35</v>
      </c>
      <c r="X468" s="2" t="s">
        <v>35</v>
      </c>
      <c r="Y468" s="2" t="s">
        <v>35</v>
      </c>
      <c r="Z468" s="2" t="b">
        <v>0</v>
      </c>
      <c r="AA468" s="2" t="s">
        <v>35</v>
      </c>
      <c r="AB468" s="2" t="s">
        <v>35</v>
      </c>
      <c r="AC468" s="2" t="s">
        <v>35</v>
      </c>
      <c r="AD468" s="2">
        <v>3</v>
      </c>
      <c r="AE468" s="2" t="s">
        <v>207</v>
      </c>
      <c r="AF468" s="11">
        <v>44735.40625</v>
      </c>
      <c r="AG468" s="53"/>
      <c r="AH468" s="53" t="b">
        <f t="shared" si="11"/>
        <v>0</v>
      </c>
      <c r="AI468" s="54" t="s">
        <v>10217</v>
      </c>
      <c r="AJ468" s="2"/>
      <c r="AK468" s="2"/>
      <c r="AL468" s="2"/>
      <c r="AM468" s="2"/>
      <c r="AN468" s="2"/>
    </row>
    <row r="469" spans="1:40" ht="16" x14ac:dyDescent="0.2">
      <c r="A469" s="2" t="s">
        <v>461</v>
      </c>
      <c r="B469" s="2">
        <v>130</v>
      </c>
      <c r="C469" s="2" t="b">
        <v>0</v>
      </c>
      <c r="D469" s="2" t="b">
        <v>0</v>
      </c>
      <c r="E469" s="2" t="b">
        <v>0</v>
      </c>
      <c r="F469" s="2" t="b">
        <v>0</v>
      </c>
      <c r="G469" s="2" t="s">
        <v>31</v>
      </c>
      <c r="H469" s="2" t="s">
        <v>462</v>
      </c>
      <c r="I469" s="2" t="s">
        <v>463</v>
      </c>
      <c r="J469" s="2" t="s">
        <v>35</v>
      </c>
      <c r="K469" s="2" t="s">
        <v>35</v>
      </c>
      <c r="L469" s="2" t="s">
        <v>35</v>
      </c>
      <c r="M469" s="2" t="s">
        <v>35</v>
      </c>
      <c r="N469" s="2" t="s">
        <v>35</v>
      </c>
      <c r="O469" s="11">
        <v>44735.522200555555</v>
      </c>
      <c r="P469" s="11">
        <v>44735.522512048614</v>
      </c>
      <c r="Q469" s="27">
        <v>3.1149305868893862E-4</v>
      </c>
      <c r="R469" s="27">
        <v>1.3756597254541703E-3</v>
      </c>
      <c r="S469" s="2">
        <v>0</v>
      </c>
      <c r="T469" s="2" t="s">
        <v>36</v>
      </c>
      <c r="U469" s="2" t="s">
        <v>37</v>
      </c>
      <c r="V469" s="2" t="s">
        <v>38</v>
      </c>
      <c r="W469" s="2" t="s">
        <v>35</v>
      </c>
      <c r="X469" s="2" t="s">
        <v>35</v>
      </c>
      <c r="Y469" s="2" t="s">
        <v>35</v>
      </c>
      <c r="Z469" s="2" t="b">
        <v>0</v>
      </c>
      <c r="AA469" s="2" t="s">
        <v>35</v>
      </c>
      <c r="AB469" s="2" t="s">
        <v>35</v>
      </c>
      <c r="AC469" s="2">
        <v>13</v>
      </c>
      <c r="AD469" s="2" t="s">
        <v>35</v>
      </c>
      <c r="AE469" s="2" t="s">
        <v>207</v>
      </c>
      <c r="AF469" s="11">
        <v>44735.40625</v>
      </c>
      <c r="AG469" s="53"/>
      <c r="AH469" s="53" t="b">
        <f t="shared" si="11"/>
        <v>0</v>
      </c>
      <c r="AI469" s="54" t="s">
        <v>9560</v>
      </c>
      <c r="AJ469" s="2"/>
      <c r="AK469" s="2"/>
      <c r="AL469" s="2"/>
      <c r="AM469" s="2"/>
      <c r="AN469" s="2"/>
    </row>
    <row r="470" spans="1:40" ht="16" x14ac:dyDescent="0.2">
      <c r="A470" s="2" t="s">
        <v>469</v>
      </c>
      <c r="B470" s="2">
        <v>133</v>
      </c>
      <c r="C470" s="2" t="b">
        <v>0</v>
      </c>
      <c r="D470" s="2" t="b">
        <v>0</v>
      </c>
      <c r="E470" s="2" t="b">
        <v>0</v>
      </c>
      <c r="F470" s="2" t="b">
        <v>0</v>
      </c>
      <c r="G470" s="2" t="s">
        <v>31</v>
      </c>
      <c r="H470" s="2" t="s">
        <v>470</v>
      </c>
      <c r="I470" s="2" t="s">
        <v>471</v>
      </c>
      <c r="J470" s="2" t="s">
        <v>35</v>
      </c>
      <c r="K470" s="2" t="s">
        <v>35</v>
      </c>
      <c r="L470" s="2" t="s">
        <v>35</v>
      </c>
      <c r="M470" s="2" t="s">
        <v>35</v>
      </c>
      <c r="N470" s="2" t="s">
        <v>35</v>
      </c>
      <c r="O470" s="11">
        <v>44735.528627766202</v>
      </c>
      <c r="P470" s="11">
        <v>44735.52891108796</v>
      </c>
      <c r="Q470" s="27">
        <v>2.8332175861578435E-4</v>
      </c>
      <c r="R470" s="27">
        <v>8.4246527694631368E-4</v>
      </c>
      <c r="S470" s="2">
        <v>0</v>
      </c>
      <c r="T470" s="2" t="s">
        <v>36</v>
      </c>
      <c r="U470" s="2" t="s">
        <v>37</v>
      </c>
      <c r="V470" s="2" t="s">
        <v>38</v>
      </c>
      <c r="W470" s="2" t="s">
        <v>35</v>
      </c>
      <c r="X470" s="2" t="s">
        <v>35</v>
      </c>
      <c r="Y470" s="2" t="s">
        <v>35</v>
      </c>
      <c r="Z470" s="2" t="b">
        <v>0</v>
      </c>
      <c r="AA470" s="2" t="s">
        <v>35</v>
      </c>
      <c r="AB470" s="2" t="s">
        <v>35</v>
      </c>
      <c r="AC470" s="2">
        <v>7</v>
      </c>
      <c r="AD470" s="2" t="s">
        <v>35</v>
      </c>
      <c r="AE470" s="2" t="s">
        <v>207</v>
      </c>
      <c r="AF470" s="11">
        <v>44735.40625</v>
      </c>
      <c r="AG470" s="53"/>
      <c r="AH470" s="53" t="b">
        <f t="shared" si="11"/>
        <v>0</v>
      </c>
      <c r="AI470" s="54" t="s">
        <v>10218</v>
      </c>
      <c r="AJ470" s="2"/>
      <c r="AK470" s="2"/>
      <c r="AL470" s="2"/>
      <c r="AM470" s="2"/>
      <c r="AN470" s="2"/>
    </row>
    <row r="471" spans="1:40" ht="16" x14ac:dyDescent="0.2">
      <c r="A471" s="2" t="s">
        <v>547</v>
      </c>
      <c r="B471" s="2">
        <v>157</v>
      </c>
      <c r="C471" s="2" t="b">
        <v>0</v>
      </c>
      <c r="D471" s="2" t="b">
        <v>0</v>
      </c>
      <c r="E471" s="2" t="b">
        <v>0</v>
      </c>
      <c r="F471" s="2" t="b">
        <v>0</v>
      </c>
      <c r="G471" s="2" t="s">
        <v>31</v>
      </c>
      <c r="H471" s="2" t="s">
        <v>548</v>
      </c>
      <c r="I471" s="2" t="s">
        <v>549</v>
      </c>
      <c r="J471" s="2" t="s">
        <v>35</v>
      </c>
      <c r="K471" s="2" t="s">
        <v>35</v>
      </c>
      <c r="L471" s="2" t="s">
        <v>35</v>
      </c>
      <c r="M471" s="2" t="s">
        <v>35</v>
      </c>
      <c r="N471" s="2" t="s">
        <v>35</v>
      </c>
      <c r="O471" s="11">
        <v>44736.402341493056</v>
      </c>
      <c r="P471" s="11">
        <v>44736.402649062496</v>
      </c>
      <c r="Q471" s="27">
        <v>3.0756944033782929E-4</v>
      </c>
      <c r="R471" s="27">
        <v>1.9807638818747364E-3</v>
      </c>
      <c r="S471" s="2">
        <v>0</v>
      </c>
      <c r="T471" s="2" t="s">
        <v>36</v>
      </c>
      <c r="U471" s="2" t="s">
        <v>37</v>
      </c>
      <c r="V471" s="2" t="s">
        <v>38</v>
      </c>
      <c r="W471" s="2" t="s">
        <v>35</v>
      </c>
      <c r="X471" s="2" t="s">
        <v>35</v>
      </c>
      <c r="Y471" s="2" t="s">
        <v>35</v>
      </c>
      <c r="Z471" s="2" t="b">
        <v>0</v>
      </c>
      <c r="AA471" s="2" t="s">
        <v>35</v>
      </c>
      <c r="AB471" s="2" t="s">
        <v>35</v>
      </c>
      <c r="AC471" s="2" t="s">
        <v>35</v>
      </c>
      <c r="AD471" s="2">
        <v>3</v>
      </c>
      <c r="AE471" s="2" t="s">
        <v>492</v>
      </c>
      <c r="AF471" s="11">
        <v>44736.387499942131</v>
      </c>
      <c r="AG471" s="53"/>
      <c r="AH471" s="53" t="b">
        <f t="shared" si="11"/>
        <v>0</v>
      </c>
      <c r="AI471" s="54" t="s">
        <v>10219</v>
      </c>
      <c r="AJ471" s="2"/>
      <c r="AK471" s="2"/>
      <c r="AL471" s="2"/>
      <c r="AM471" s="2"/>
      <c r="AN471" s="2"/>
    </row>
    <row r="472" spans="1:40" ht="16" x14ac:dyDescent="0.2">
      <c r="A472" s="68" t="s">
        <v>550</v>
      </c>
      <c r="B472" s="68">
        <v>158</v>
      </c>
      <c r="C472" s="68" t="b">
        <v>0</v>
      </c>
      <c r="D472" s="68" t="b">
        <v>0</v>
      </c>
      <c r="E472" s="68" t="b">
        <v>0</v>
      </c>
      <c r="F472" s="68" t="b">
        <v>0</v>
      </c>
      <c r="G472" s="68" t="s">
        <v>31</v>
      </c>
      <c r="H472" s="68" t="s">
        <v>149</v>
      </c>
      <c r="I472" s="68" t="s">
        <v>551</v>
      </c>
      <c r="J472" s="68" t="s">
        <v>35</v>
      </c>
      <c r="K472" s="68" t="s">
        <v>35</v>
      </c>
      <c r="L472" s="68" t="s">
        <v>35</v>
      </c>
      <c r="M472" s="68" t="s">
        <v>35</v>
      </c>
      <c r="N472" s="68" t="s">
        <v>35</v>
      </c>
      <c r="O472" s="69">
        <v>44736.404562476855</v>
      </c>
      <c r="P472" s="69">
        <v>44736.404653715275</v>
      </c>
      <c r="Q472" s="70">
        <v>9.123842028202489E-5</v>
      </c>
      <c r="R472" s="70">
        <v>2.0046527788508683E-3</v>
      </c>
      <c r="S472" s="68">
        <v>0</v>
      </c>
      <c r="T472" s="68" t="s">
        <v>36</v>
      </c>
      <c r="U472" s="68" t="s">
        <v>37</v>
      </c>
      <c r="V472" s="68" t="s">
        <v>38</v>
      </c>
      <c r="W472" s="68" t="s">
        <v>35</v>
      </c>
      <c r="X472" s="68" t="s">
        <v>35</v>
      </c>
      <c r="Y472" s="68" t="s">
        <v>35</v>
      </c>
      <c r="Z472" s="68" t="b">
        <v>0</v>
      </c>
      <c r="AA472" s="68" t="s">
        <v>35</v>
      </c>
      <c r="AB472" s="68" t="s">
        <v>35</v>
      </c>
      <c r="AC472" s="68" t="s">
        <v>35</v>
      </c>
      <c r="AD472" s="68">
        <v>2</v>
      </c>
      <c r="AE472" s="68" t="s">
        <v>492</v>
      </c>
      <c r="AF472" s="69">
        <v>44736.387499942131</v>
      </c>
      <c r="AG472" s="71"/>
      <c r="AH472" s="53" t="b">
        <f t="shared" si="11"/>
        <v>0</v>
      </c>
      <c r="AI472" s="56" t="s">
        <v>9471</v>
      </c>
      <c r="AJ472" s="68"/>
      <c r="AK472" s="68"/>
      <c r="AL472" s="68"/>
      <c r="AM472" s="68"/>
      <c r="AN472" s="68"/>
    </row>
    <row r="473" spans="1:40" ht="16" x14ac:dyDescent="0.2">
      <c r="A473" s="2" t="s">
        <v>568</v>
      </c>
      <c r="B473" s="2">
        <v>164</v>
      </c>
      <c r="C473" s="2" t="b">
        <v>0</v>
      </c>
      <c r="D473" s="2" t="b">
        <v>0</v>
      </c>
      <c r="E473" s="2" t="b">
        <v>0</v>
      </c>
      <c r="F473" s="2" t="b">
        <v>0</v>
      </c>
      <c r="G473" s="2" t="s">
        <v>31</v>
      </c>
      <c r="H473" s="2" t="s">
        <v>569</v>
      </c>
      <c r="I473" s="2" t="s">
        <v>570</v>
      </c>
      <c r="J473" s="2" t="s">
        <v>35</v>
      </c>
      <c r="K473" s="2" t="s">
        <v>35</v>
      </c>
      <c r="L473" s="2" t="s">
        <v>35</v>
      </c>
      <c r="M473" s="2" t="s">
        <v>35</v>
      </c>
      <c r="N473" s="2" t="s">
        <v>35</v>
      </c>
      <c r="O473" s="11">
        <v>44736.411900891202</v>
      </c>
      <c r="P473" s="11">
        <v>44736.412093206018</v>
      </c>
      <c r="Q473" s="27">
        <v>1.9231481564929709E-4</v>
      </c>
      <c r="R473" s="27">
        <v>1.4434374970733188E-3</v>
      </c>
      <c r="S473" s="2">
        <v>0</v>
      </c>
      <c r="T473" s="2" t="s">
        <v>36</v>
      </c>
      <c r="U473" s="2" t="s">
        <v>37</v>
      </c>
      <c r="V473" s="2" t="s">
        <v>38</v>
      </c>
      <c r="W473" s="2" t="s">
        <v>35</v>
      </c>
      <c r="X473" s="2" t="s">
        <v>35</v>
      </c>
      <c r="Y473" s="2" t="s">
        <v>35</v>
      </c>
      <c r="Z473" s="2" t="b">
        <v>0</v>
      </c>
      <c r="AA473" s="2" t="s">
        <v>35</v>
      </c>
      <c r="AB473" s="2" t="s">
        <v>35</v>
      </c>
      <c r="AC473" s="2" t="s">
        <v>35</v>
      </c>
      <c r="AD473" s="2">
        <v>3</v>
      </c>
      <c r="AE473" s="2" t="s">
        <v>492</v>
      </c>
      <c r="AF473" s="11">
        <v>44736.387499942131</v>
      </c>
      <c r="AG473" s="53"/>
      <c r="AH473" s="53" t="b">
        <f t="shared" si="11"/>
        <v>0</v>
      </c>
      <c r="AI473" s="54" t="s">
        <v>10220</v>
      </c>
      <c r="AJ473" s="2"/>
      <c r="AK473" s="2"/>
      <c r="AL473" s="2"/>
      <c r="AM473" s="2"/>
      <c r="AN473" s="2"/>
    </row>
    <row r="474" spans="1:40" ht="16" x14ac:dyDescent="0.2">
      <c r="A474" s="2" t="s">
        <v>574</v>
      </c>
      <c r="B474" s="2">
        <v>166</v>
      </c>
      <c r="C474" s="2" t="b">
        <v>0</v>
      </c>
      <c r="D474" s="2" t="b">
        <v>0</v>
      </c>
      <c r="E474" s="2" t="b">
        <v>0</v>
      </c>
      <c r="F474" s="2" t="b">
        <v>0</v>
      </c>
      <c r="G474" s="2" t="s">
        <v>31</v>
      </c>
      <c r="H474" s="2" t="s">
        <v>575</v>
      </c>
      <c r="I474" s="2" t="s">
        <v>576</v>
      </c>
      <c r="J474" s="2" t="s">
        <v>35</v>
      </c>
      <c r="K474" s="2" t="s">
        <v>35</v>
      </c>
      <c r="L474" s="2" t="s">
        <v>35</v>
      </c>
      <c r="M474" s="2" t="s">
        <v>35</v>
      </c>
      <c r="N474" s="2" t="s">
        <v>35</v>
      </c>
      <c r="O474" s="11">
        <v>44736.413240925925</v>
      </c>
      <c r="P474" s="11">
        <v>44736.41368863426</v>
      </c>
      <c r="Q474" s="27">
        <v>4.4770833483198658E-4</v>
      </c>
      <c r="R474" s="27">
        <v>8.5009259055368602E-4</v>
      </c>
      <c r="S474" s="2">
        <v>0</v>
      </c>
      <c r="T474" s="2" t="s">
        <v>36</v>
      </c>
      <c r="U474" s="2" t="s">
        <v>37</v>
      </c>
      <c r="V474" s="2" t="s">
        <v>38</v>
      </c>
      <c r="W474" s="2" t="s">
        <v>35</v>
      </c>
      <c r="X474" s="2" t="s">
        <v>35</v>
      </c>
      <c r="Y474" s="2" t="s">
        <v>35</v>
      </c>
      <c r="Z474" s="2" t="b">
        <v>0</v>
      </c>
      <c r="AA474" s="2" t="s">
        <v>35</v>
      </c>
      <c r="AB474" s="2" t="s">
        <v>35</v>
      </c>
      <c r="AC474" s="2">
        <v>8</v>
      </c>
      <c r="AD474" s="2" t="s">
        <v>35</v>
      </c>
      <c r="AE474" s="2" t="s">
        <v>492</v>
      </c>
      <c r="AF474" s="11">
        <v>44736.387499942131</v>
      </c>
      <c r="AG474" s="53"/>
      <c r="AH474" s="53" t="b">
        <f t="shared" si="11"/>
        <v>0</v>
      </c>
      <c r="AI474" s="54" t="s">
        <v>10221</v>
      </c>
      <c r="AJ474" s="2"/>
      <c r="AK474" s="2"/>
      <c r="AL474" s="2"/>
      <c r="AM474" s="2"/>
      <c r="AN474" s="2"/>
    </row>
    <row r="475" spans="1:40" ht="16" x14ac:dyDescent="0.2">
      <c r="A475" s="2" t="s">
        <v>577</v>
      </c>
      <c r="B475" s="2">
        <v>167</v>
      </c>
      <c r="C475" s="2" t="b">
        <v>0</v>
      </c>
      <c r="D475" s="2" t="b">
        <v>0</v>
      </c>
      <c r="E475" s="2" t="b">
        <v>0</v>
      </c>
      <c r="F475" s="2" t="b">
        <v>0</v>
      </c>
      <c r="G475" s="2" t="s">
        <v>31</v>
      </c>
      <c r="H475" s="2" t="s">
        <v>578</v>
      </c>
      <c r="I475" s="2" t="s">
        <v>579</v>
      </c>
      <c r="J475" s="2" t="s">
        <v>35</v>
      </c>
      <c r="K475" s="2" t="s">
        <v>35</v>
      </c>
      <c r="L475" s="2" t="s">
        <v>35</v>
      </c>
      <c r="M475" s="2" t="s">
        <v>35</v>
      </c>
      <c r="N475" s="2" t="s">
        <v>35</v>
      </c>
      <c r="O475" s="11">
        <v>44736.413720115743</v>
      </c>
      <c r="P475" s="11">
        <v>44736.413920069448</v>
      </c>
      <c r="Q475" s="27">
        <v>1.999537053052336E-4</v>
      </c>
      <c r="R475" s="27">
        <v>2.3143518774304539E-4</v>
      </c>
      <c r="S475" s="2">
        <v>0</v>
      </c>
      <c r="T475" s="2" t="s">
        <v>36</v>
      </c>
      <c r="U475" s="2" t="s">
        <v>37</v>
      </c>
      <c r="V475" s="2" t="s">
        <v>38</v>
      </c>
      <c r="W475" s="2" t="s">
        <v>35</v>
      </c>
      <c r="X475" s="2" t="s">
        <v>35</v>
      </c>
      <c r="Y475" s="2" t="s">
        <v>35</v>
      </c>
      <c r="Z475" s="2" t="b">
        <v>0</v>
      </c>
      <c r="AA475" s="2" t="s">
        <v>35</v>
      </c>
      <c r="AB475" s="2" t="s">
        <v>35</v>
      </c>
      <c r="AC475" s="2" t="s">
        <v>35</v>
      </c>
      <c r="AD475" s="2">
        <v>6</v>
      </c>
      <c r="AE475" s="2" t="s">
        <v>492</v>
      </c>
      <c r="AF475" s="11">
        <v>44736.387499942131</v>
      </c>
      <c r="AG475" s="53"/>
      <c r="AH475" s="53" t="b">
        <f t="shared" si="11"/>
        <v>0</v>
      </c>
      <c r="AI475" s="54" t="s">
        <v>10222</v>
      </c>
      <c r="AJ475" s="2"/>
      <c r="AK475" s="2"/>
      <c r="AL475" s="2"/>
      <c r="AM475" s="2"/>
      <c r="AN475" s="2"/>
    </row>
    <row r="476" spans="1:40" ht="16" x14ac:dyDescent="0.2">
      <c r="A476" s="2" t="s">
        <v>585</v>
      </c>
      <c r="B476" s="2">
        <v>170</v>
      </c>
      <c r="C476" s="2" t="b">
        <v>0</v>
      </c>
      <c r="D476" s="2" t="b">
        <v>0</v>
      </c>
      <c r="E476" s="2" t="b">
        <v>0</v>
      </c>
      <c r="F476" s="2" t="b">
        <v>0</v>
      </c>
      <c r="G476" s="2" t="s">
        <v>31</v>
      </c>
      <c r="H476" s="2" t="s">
        <v>586</v>
      </c>
      <c r="I476" s="2" t="s">
        <v>587</v>
      </c>
      <c r="J476" s="2" t="s">
        <v>588</v>
      </c>
      <c r="K476" s="2" t="s">
        <v>35</v>
      </c>
      <c r="L476" s="2" t="s">
        <v>35</v>
      </c>
      <c r="M476" s="2" t="s">
        <v>35</v>
      </c>
      <c r="N476" s="2" t="s">
        <v>35</v>
      </c>
      <c r="O476" s="11">
        <v>44736.418761226851</v>
      </c>
      <c r="P476" s="11">
        <v>44736.419815949077</v>
      </c>
      <c r="Q476" s="27">
        <v>1.0547222263994627E-3</v>
      </c>
      <c r="R476" s="27">
        <v>1.0402662082924508E-3</v>
      </c>
      <c r="S476" s="2">
        <v>0</v>
      </c>
      <c r="T476" s="2" t="s">
        <v>36</v>
      </c>
      <c r="U476" s="2" t="s">
        <v>37</v>
      </c>
      <c r="V476" s="2" t="s">
        <v>38</v>
      </c>
      <c r="W476" s="2" t="s">
        <v>35</v>
      </c>
      <c r="X476" s="2" t="s">
        <v>35</v>
      </c>
      <c r="Y476" s="2" t="s">
        <v>35</v>
      </c>
      <c r="Z476" s="2" t="b">
        <v>0</v>
      </c>
      <c r="AA476" s="2" t="s">
        <v>35</v>
      </c>
      <c r="AB476" s="2" t="s">
        <v>35</v>
      </c>
      <c r="AC476" s="2">
        <v>4</v>
      </c>
      <c r="AD476" s="2">
        <v>4</v>
      </c>
      <c r="AE476" s="2" t="s">
        <v>492</v>
      </c>
      <c r="AF476" s="11">
        <v>44736.387499942131</v>
      </c>
      <c r="AG476" s="53"/>
      <c r="AH476" s="53" t="str">
        <f t="shared" si="11"/>
        <v>TRUE</v>
      </c>
      <c r="AI476" s="54" t="s">
        <v>10223</v>
      </c>
      <c r="AJ476" s="2"/>
      <c r="AK476" s="2"/>
      <c r="AL476" s="2"/>
      <c r="AM476" s="2"/>
      <c r="AN476" s="2"/>
    </row>
    <row r="477" spans="1:40" ht="16" x14ac:dyDescent="0.2">
      <c r="A477" s="2" t="s">
        <v>589</v>
      </c>
      <c r="B477" s="2">
        <v>171</v>
      </c>
      <c r="C477" s="2" t="b">
        <v>0</v>
      </c>
      <c r="D477" s="2" t="b">
        <v>0</v>
      </c>
      <c r="E477" s="2" t="b">
        <v>0</v>
      </c>
      <c r="F477" s="2" t="b">
        <v>0</v>
      </c>
      <c r="G477" s="2" t="s">
        <v>31</v>
      </c>
      <c r="H477" s="2" t="s">
        <v>590</v>
      </c>
      <c r="I477" s="2" t="s">
        <v>591</v>
      </c>
      <c r="J477" s="2" t="s">
        <v>35</v>
      </c>
      <c r="K477" s="2" t="s">
        <v>35</v>
      </c>
      <c r="L477" s="2" t="s">
        <v>35</v>
      </c>
      <c r="M477" s="2" t="s">
        <v>35</v>
      </c>
      <c r="N477" s="2" t="s">
        <v>35</v>
      </c>
      <c r="O477" s="11">
        <v>44736.419866307871</v>
      </c>
      <c r="P477" s="11">
        <v>44736.420235196761</v>
      </c>
      <c r="Q477" s="27">
        <v>3.6888889007968828E-4</v>
      </c>
      <c r="R477" s="27">
        <v>4.1924768447643146E-4</v>
      </c>
      <c r="S477" s="2">
        <v>0</v>
      </c>
      <c r="T477" s="2" t="s">
        <v>36</v>
      </c>
      <c r="U477" s="2" t="s">
        <v>37</v>
      </c>
      <c r="V477" s="2" t="s">
        <v>38</v>
      </c>
      <c r="W477" s="2" t="s">
        <v>35</v>
      </c>
      <c r="X477" s="2" t="s">
        <v>35</v>
      </c>
      <c r="Y477" s="2" t="s">
        <v>35</v>
      </c>
      <c r="Z477" s="2" t="b">
        <v>0</v>
      </c>
      <c r="AA477" s="2" t="s">
        <v>35</v>
      </c>
      <c r="AB477" s="2" t="s">
        <v>35</v>
      </c>
      <c r="AC477" s="2" t="s">
        <v>35</v>
      </c>
      <c r="AD477" s="2">
        <v>4</v>
      </c>
      <c r="AE477" s="2" t="s">
        <v>492</v>
      </c>
      <c r="AF477" s="11">
        <v>44736.387499942131</v>
      </c>
      <c r="AG477" s="53"/>
      <c r="AH477" s="53" t="b">
        <f t="shared" ref="AH477:AH540" si="12">IF(Q477&gt;TIME(0,1,9),"TRUE")</f>
        <v>0</v>
      </c>
      <c r="AI477" s="54" t="s">
        <v>10224</v>
      </c>
      <c r="AJ477" s="2"/>
      <c r="AK477" s="2"/>
      <c r="AL477" s="2"/>
      <c r="AM477" s="2"/>
      <c r="AN477" s="2"/>
    </row>
    <row r="478" spans="1:40" ht="16" x14ac:dyDescent="0.2">
      <c r="A478" s="2" t="s">
        <v>592</v>
      </c>
      <c r="B478" s="2">
        <v>172</v>
      </c>
      <c r="C478" s="2" t="b">
        <v>0</v>
      </c>
      <c r="D478" s="2" t="b">
        <v>0</v>
      </c>
      <c r="E478" s="2" t="b">
        <v>0</v>
      </c>
      <c r="F478" s="2" t="b">
        <v>0</v>
      </c>
      <c r="G478" s="2" t="s">
        <v>31</v>
      </c>
      <c r="H478" s="2" t="s">
        <v>593</v>
      </c>
      <c r="I478" s="2" t="s">
        <v>594</v>
      </c>
      <c r="J478" s="2" t="s">
        <v>35</v>
      </c>
      <c r="K478" s="2" t="s">
        <v>35</v>
      </c>
      <c r="L478" s="2" t="s">
        <v>35</v>
      </c>
      <c r="M478" s="2" t="s">
        <v>35</v>
      </c>
      <c r="N478" s="2" t="s">
        <v>35</v>
      </c>
      <c r="O478" s="11">
        <v>44736.42148827546</v>
      </c>
      <c r="P478" s="11">
        <v>44736.421627997683</v>
      </c>
      <c r="Q478" s="27">
        <v>1.3972222222946584E-4</v>
      </c>
      <c r="R478" s="27">
        <v>1.3928009211667813E-3</v>
      </c>
      <c r="S478" s="2">
        <v>0</v>
      </c>
      <c r="T478" s="2" t="s">
        <v>36</v>
      </c>
      <c r="U478" s="2" t="s">
        <v>37</v>
      </c>
      <c r="V478" s="2" t="s">
        <v>38</v>
      </c>
      <c r="W478" s="2" t="s">
        <v>35</v>
      </c>
      <c r="X478" s="2" t="s">
        <v>35</v>
      </c>
      <c r="Y478" s="2" t="s">
        <v>35</v>
      </c>
      <c r="Z478" s="2" t="b">
        <v>0</v>
      </c>
      <c r="AA478" s="2" t="s">
        <v>35</v>
      </c>
      <c r="AB478" s="2" t="s">
        <v>35</v>
      </c>
      <c r="AC478" s="2" t="s">
        <v>35</v>
      </c>
      <c r="AD478" s="2">
        <v>2</v>
      </c>
      <c r="AE478" s="2" t="s">
        <v>492</v>
      </c>
      <c r="AF478" s="11">
        <v>44736.387499942131</v>
      </c>
      <c r="AG478" s="53"/>
      <c r="AH478" s="53" t="b">
        <f t="shared" si="12"/>
        <v>0</v>
      </c>
      <c r="AI478" s="54" t="s">
        <v>10225</v>
      </c>
      <c r="AJ478" s="2"/>
      <c r="AK478" s="2"/>
      <c r="AL478" s="2"/>
      <c r="AM478" s="2"/>
      <c r="AN478" s="2"/>
    </row>
    <row r="479" spans="1:40" ht="16" x14ac:dyDescent="0.2">
      <c r="A479" s="2" t="s">
        <v>595</v>
      </c>
      <c r="B479" s="2">
        <v>173</v>
      </c>
      <c r="C479" s="2" t="b">
        <v>0</v>
      </c>
      <c r="D479" s="2" t="b">
        <v>0</v>
      </c>
      <c r="E479" s="2" t="b">
        <v>0</v>
      </c>
      <c r="F479" s="2" t="b">
        <v>0</v>
      </c>
      <c r="G479" s="2" t="s">
        <v>31</v>
      </c>
      <c r="H479" s="2" t="s">
        <v>596</v>
      </c>
      <c r="I479" s="2" t="s">
        <v>597</v>
      </c>
      <c r="J479" s="2" t="s">
        <v>598</v>
      </c>
      <c r="K479" s="2" t="s">
        <v>35</v>
      </c>
      <c r="L479" s="2" t="s">
        <v>35</v>
      </c>
      <c r="M479" s="2" t="s">
        <v>35</v>
      </c>
      <c r="N479" s="2" t="s">
        <v>35</v>
      </c>
      <c r="O479" s="11">
        <v>44736.421960277781</v>
      </c>
      <c r="P479" s="11">
        <v>44736.422284652777</v>
      </c>
      <c r="Q479" s="27">
        <v>3.2437499612569809E-4</v>
      </c>
      <c r="R479" s="27">
        <v>6.5665509464452043E-4</v>
      </c>
      <c r="S479" s="2">
        <v>0</v>
      </c>
      <c r="T479" s="2" t="s">
        <v>36</v>
      </c>
      <c r="U479" s="2" t="s">
        <v>37</v>
      </c>
      <c r="V479" s="2" t="s">
        <v>38</v>
      </c>
      <c r="W479" s="2" t="s">
        <v>35</v>
      </c>
      <c r="X479" s="2" t="s">
        <v>35</v>
      </c>
      <c r="Y479" s="2" t="s">
        <v>35</v>
      </c>
      <c r="Z479" s="2" t="b">
        <v>0</v>
      </c>
      <c r="AA479" s="2" t="s">
        <v>35</v>
      </c>
      <c r="AB479" s="2" t="s">
        <v>35</v>
      </c>
      <c r="AC479" s="2">
        <v>4</v>
      </c>
      <c r="AD479" s="2" t="s">
        <v>35</v>
      </c>
      <c r="AE479" s="2" t="s">
        <v>492</v>
      </c>
      <c r="AF479" s="11">
        <v>44736.387499942131</v>
      </c>
      <c r="AG479" s="53"/>
      <c r="AH479" s="53" t="b">
        <f t="shared" si="12"/>
        <v>0</v>
      </c>
      <c r="AI479" s="54" t="s">
        <v>10226</v>
      </c>
      <c r="AJ479" s="2"/>
      <c r="AK479" s="2"/>
      <c r="AL479" s="2"/>
      <c r="AM479" s="2"/>
      <c r="AN479" s="2"/>
    </row>
    <row r="480" spans="1:40" ht="16" x14ac:dyDescent="0.2">
      <c r="A480" s="2" t="s">
        <v>599</v>
      </c>
      <c r="B480" s="2">
        <v>174</v>
      </c>
      <c r="C480" s="2" t="b">
        <v>0</v>
      </c>
      <c r="D480" s="2" t="b">
        <v>0</v>
      </c>
      <c r="E480" s="2" t="b">
        <v>0</v>
      </c>
      <c r="F480" s="2" t="b">
        <v>0</v>
      </c>
      <c r="G480" s="2" t="s">
        <v>31</v>
      </c>
      <c r="H480" s="2" t="s">
        <v>600</v>
      </c>
      <c r="I480" s="2" t="s">
        <v>601</v>
      </c>
      <c r="J480" s="2" t="s">
        <v>602</v>
      </c>
      <c r="K480" s="2" t="s">
        <v>35</v>
      </c>
      <c r="L480" s="2" t="s">
        <v>35</v>
      </c>
      <c r="M480" s="2" t="s">
        <v>35</v>
      </c>
      <c r="N480" s="2" t="s">
        <v>35</v>
      </c>
      <c r="O480" s="11">
        <v>44736.422736550929</v>
      </c>
      <c r="P480" s="11">
        <v>44736.423546458333</v>
      </c>
      <c r="Q480" s="27">
        <v>8.0990740389097482E-4</v>
      </c>
      <c r="R480" s="27">
        <v>1.2618055552593432E-3</v>
      </c>
      <c r="S480" s="2">
        <v>0</v>
      </c>
      <c r="T480" s="2" t="s">
        <v>36</v>
      </c>
      <c r="U480" s="2" t="s">
        <v>37</v>
      </c>
      <c r="V480" s="2" t="s">
        <v>38</v>
      </c>
      <c r="W480" s="2" t="s">
        <v>35</v>
      </c>
      <c r="X480" s="2" t="s">
        <v>35</v>
      </c>
      <c r="Y480" s="2" t="s">
        <v>35</v>
      </c>
      <c r="Z480" s="2" t="b">
        <v>0</v>
      </c>
      <c r="AA480" s="2" t="s">
        <v>35</v>
      </c>
      <c r="AB480" s="2" t="s">
        <v>35</v>
      </c>
      <c r="AC480" s="2">
        <v>5</v>
      </c>
      <c r="AD480" s="2" t="s">
        <v>35</v>
      </c>
      <c r="AE480" s="2" t="s">
        <v>492</v>
      </c>
      <c r="AF480" s="11">
        <v>44736.387499942131</v>
      </c>
      <c r="AG480" s="53"/>
      <c r="AH480" s="53" t="str">
        <f t="shared" si="12"/>
        <v>TRUE</v>
      </c>
      <c r="AI480" s="54" t="s">
        <v>10227</v>
      </c>
      <c r="AJ480" s="2"/>
      <c r="AK480" s="2"/>
      <c r="AL480" s="2"/>
      <c r="AM480" s="2"/>
      <c r="AN480" s="2"/>
    </row>
    <row r="481" spans="1:40" ht="16" x14ac:dyDescent="0.2">
      <c r="A481" s="2" t="s">
        <v>603</v>
      </c>
      <c r="B481" s="2">
        <v>175</v>
      </c>
      <c r="C481" s="2" t="b">
        <v>0</v>
      </c>
      <c r="D481" s="2" t="b">
        <v>0</v>
      </c>
      <c r="E481" s="2" t="b">
        <v>0</v>
      </c>
      <c r="F481" s="2" t="b">
        <v>0</v>
      </c>
      <c r="G481" s="2" t="s">
        <v>31</v>
      </c>
      <c r="H481" s="2" t="s">
        <v>604</v>
      </c>
      <c r="I481" s="2" t="s">
        <v>605</v>
      </c>
      <c r="J481" s="2" t="s">
        <v>35</v>
      </c>
      <c r="K481" s="2" t="s">
        <v>35</v>
      </c>
      <c r="L481" s="2" t="s">
        <v>35</v>
      </c>
      <c r="M481" s="2" t="s">
        <v>35</v>
      </c>
      <c r="N481" s="2" t="s">
        <v>35</v>
      </c>
      <c r="O481" s="11">
        <v>44736.424343287035</v>
      </c>
      <c r="P481" s="11">
        <v>44736.424500138892</v>
      </c>
      <c r="Q481" s="27">
        <v>1.5685185644542798E-4</v>
      </c>
      <c r="R481" s="27">
        <v>9.5368055917788297E-4</v>
      </c>
      <c r="S481" s="2">
        <v>0</v>
      </c>
      <c r="T481" s="2" t="s">
        <v>36</v>
      </c>
      <c r="U481" s="2" t="s">
        <v>37</v>
      </c>
      <c r="V481" s="2" t="s">
        <v>38</v>
      </c>
      <c r="W481" s="2" t="s">
        <v>35</v>
      </c>
      <c r="X481" s="2" t="s">
        <v>35</v>
      </c>
      <c r="Y481" s="2" t="s">
        <v>35</v>
      </c>
      <c r="Z481" s="2" t="b">
        <v>0</v>
      </c>
      <c r="AA481" s="2" t="s">
        <v>35</v>
      </c>
      <c r="AB481" s="2" t="s">
        <v>35</v>
      </c>
      <c r="AC481" s="2" t="s">
        <v>35</v>
      </c>
      <c r="AD481" s="2">
        <v>4</v>
      </c>
      <c r="AE481" s="2" t="s">
        <v>492</v>
      </c>
      <c r="AF481" s="11">
        <v>44736.387499942131</v>
      </c>
      <c r="AG481" s="53"/>
      <c r="AH481" s="53" t="b">
        <f t="shared" si="12"/>
        <v>0</v>
      </c>
      <c r="AI481" s="54" t="s">
        <v>10228</v>
      </c>
      <c r="AJ481" s="2"/>
      <c r="AK481" s="2"/>
      <c r="AL481" s="2"/>
      <c r="AM481" s="2"/>
      <c r="AN481" s="2"/>
    </row>
    <row r="482" spans="1:40" ht="16" x14ac:dyDescent="0.2">
      <c r="A482" s="2" t="s">
        <v>606</v>
      </c>
      <c r="B482" s="2">
        <v>176</v>
      </c>
      <c r="C482" s="2" t="b">
        <v>0</v>
      </c>
      <c r="D482" s="2" t="b">
        <v>0</v>
      </c>
      <c r="E482" s="2" t="b">
        <v>0</v>
      </c>
      <c r="F482" s="2" t="b">
        <v>0</v>
      </c>
      <c r="G482" s="2" t="s">
        <v>31</v>
      </c>
      <c r="H482" s="2" t="s">
        <v>607</v>
      </c>
      <c r="I482" s="2" t="s">
        <v>608</v>
      </c>
      <c r="J482" s="2" t="s">
        <v>35</v>
      </c>
      <c r="K482" s="2" t="s">
        <v>35</v>
      </c>
      <c r="L482" s="2" t="s">
        <v>35</v>
      </c>
      <c r="M482" s="2" t="s">
        <v>35</v>
      </c>
      <c r="N482" s="2" t="s">
        <v>35</v>
      </c>
      <c r="O482" s="11">
        <v>44736.426496342596</v>
      </c>
      <c r="P482" s="11">
        <v>44736.426652569447</v>
      </c>
      <c r="Q482" s="27">
        <v>1.5622685168636963E-4</v>
      </c>
      <c r="R482" s="27">
        <v>2.1524305557250045E-3</v>
      </c>
      <c r="S482" s="2">
        <v>0</v>
      </c>
      <c r="T482" s="2" t="s">
        <v>36</v>
      </c>
      <c r="U482" s="2" t="s">
        <v>37</v>
      </c>
      <c r="V482" s="2" t="s">
        <v>38</v>
      </c>
      <c r="W482" s="2" t="s">
        <v>35</v>
      </c>
      <c r="X482" s="2" t="s">
        <v>35</v>
      </c>
      <c r="Y482" s="2" t="s">
        <v>35</v>
      </c>
      <c r="Z482" s="2" t="b">
        <v>0</v>
      </c>
      <c r="AA482" s="2" t="s">
        <v>35</v>
      </c>
      <c r="AB482" s="2" t="s">
        <v>35</v>
      </c>
      <c r="AC482" s="2" t="s">
        <v>35</v>
      </c>
      <c r="AD482" s="2">
        <v>4</v>
      </c>
      <c r="AE482" s="2" t="s">
        <v>492</v>
      </c>
      <c r="AF482" s="11">
        <v>44736.387499942131</v>
      </c>
      <c r="AG482" s="53"/>
      <c r="AH482" s="53" t="b">
        <f t="shared" si="12"/>
        <v>0</v>
      </c>
      <c r="AI482" s="54" t="s">
        <v>10229</v>
      </c>
      <c r="AJ482" s="2"/>
      <c r="AK482" s="2"/>
      <c r="AL482" s="2"/>
      <c r="AM482" s="2"/>
      <c r="AN482" s="2"/>
    </row>
    <row r="483" spans="1:40" ht="16" x14ac:dyDescent="0.2">
      <c r="A483" s="2" t="s">
        <v>609</v>
      </c>
      <c r="B483" s="2">
        <v>177</v>
      </c>
      <c r="C483" s="2" t="b">
        <v>0</v>
      </c>
      <c r="D483" s="2" t="b">
        <v>0</v>
      </c>
      <c r="E483" s="2" t="b">
        <v>0</v>
      </c>
      <c r="F483" s="2" t="b">
        <v>0</v>
      </c>
      <c r="G483" s="2" t="s">
        <v>31</v>
      </c>
      <c r="H483" s="2" t="s">
        <v>610</v>
      </c>
      <c r="I483" s="2" t="s">
        <v>611</v>
      </c>
      <c r="J483" s="2" t="s">
        <v>35</v>
      </c>
      <c r="K483" s="2" t="s">
        <v>35</v>
      </c>
      <c r="L483" s="2" t="s">
        <v>35</v>
      </c>
      <c r="M483" s="2" t="s">
        <v>35</v>
      </c>
      <c r="N483" s="2" t="s">
        <v>35</v>
      </c>
      <c r="O483" s="11">
        <v>44736.427273831017</v>
      </c>
      <c r="P483" s="11">
        <v>44736.427495868054</v>
      </c>
      <c r="Q483" s="27">
        <v>2.2203703701961786E-4</v>
      </c>
      <c r="R483" s="27">
        <v>8.4329860692378134E-4</v>
      </c>
      <c r="S483" s="2">
        <v>0</v>
      </c>
      <c r="T483" s="2" t="s">
        <v>36</v>
      </c>
      <c r="U483" s="2" t="s">
        <v>37</v>
      </c>
      <c r="V483" s="2" t="s">
        <v>38</v>
      </c>
      <c r="W483" s="2" t="s">
        <v>35</v>
      </c>
      <c r="X483" s="2" t="s">
        <v>35</v>
      </c>
      <c r="Y483" s="2" t="s">
        <v>35</v>
      </c>
      <c r="Z483" s="2" t="b">
        <v>0</v>
      </c>
      <c r="AA483" s="2" t="s">
        <v>35</v>
      </c>
      <c r="AB483" s="2" t="s">
        <v>35</v>
      </c>
      <c r="AC483" s="2" t="s">
        <v>35</v>
      </c>
      <c r="AD483" s="2">
        <v>2</v>
      </c>
      <c r="AE483" s="2" t="s">
        <v>492</v>
      </c>
      <c r="AF483" s="11">
        <v>44736.387499942131</v>
      </c>
      <c r="AG483" s="53"/>
      <c r="AH483" s="53" t="b">
        <f t="shared" si="12"/>
        <v>0</v>
      </c>
      <c r="AI483" s="54" t="s">
        <v>10230</v>
      </c>
      <c r="AJ483" s="2"/>
      <c r="AK483" s="2"/>
      <c r="AL483" s="2"/>
      <c r="AM483" s="2"/>
      <c r="AN483" s="2"/>
    </row>
    <row r="484" spans="1:40" ht="16" x14ac:dyDescent="0.2">
      <c r="A484" s="2" t="s">
        <v>612</v>
      </c>
      <c r="B484" s="2">
        <v>178</v>
      </c>
      <c r="C484" s="2" t="b">
        <v>0</v>
      </c>
      <c r="D484" s="2" t="b">
        <v>0</v>
      </c>
      <c r="E484" s="2" t="b">
        <v>0</v>
      </c>
      <c r="F484" s="2" t="b">
        <v>0</v>
      </c>
      <c r="G484" s="2" t="s">
        <v>31</v>
      </c>
      <c r="H484" s="2" t="s">
        <v>613</v>
      </c>
      <c r="I484" s="2" t="s">
        <v>614</v>
      </c>
      <c r="J484" s="2" t="s">
        <v>35</v>
      </c>
      <c r="K484" s="2" t="s">
        <v>35</v>
      </c>
      <c r="L484" s="2" t="s">
        <v>35</v>
      </c>
      <c r="M484" s="2" t="s">
        <v>35</v>
      </c>
      <c r="N484" s="2" t="s">
        <v>35</v>
      </c>
      <c r="O484" s="11">
        <v>44736.428087997687</v>
      </c>
      <c r="P484" s="11">
        <v>44736.428263321759</v>
      </c>
      <c r="Q484" s="27">
        <v>1.7532407218823209E-4</v>
      </c>
      <c r="R484" s="27">
        <v>7.6745370461139828E-4</v>
      </c>
      <c r="S484" s="2">
        <v>0</v>
      </c>
      <c r="T484" s="2" t="s">
        <v>36</v>
      </c>
      <c r="U484" s="2" t="s">
        <v>37</v>
      </c>
      <c r="V484" s="2" t="s">
        <v>38</v>
      </c>
      <c r="W484" s="2" t="s">
        <v>35</v>
      </c>
      <c r="X484" s="2" t="s">
        <v>35</v>
      </c>
      <c r="Y484" s="2" t="s">
        <v>35</v>
      </c>
      <c r="Z484" s="2" t="b">
        <v>0</v>
      </c>
      <c r="AA484" s="2" t="s">
        <v>35</v>
      </c>
      <c r="AB484" s="2" t="s">
        <v>35</v>
      </c>
      <c r="AC484" s="2" t="s">
        <v>35</v>
      </c>
      <c r="AD484" s="2">
        <v>2</v>
      </c>
      <c r="AE484" s="2" t="s">
        <v>492</v>
      </c>
      <c r="AF484" s="11">
        <v>44736.387499942131</v>
      </c>
      <c r="AG484" s="53"/>
      <c r="AH484" s="53" t="b">
        <f t="shared" si="12"/>
        <v>0</v>
      </c>
      <c r="AI484" s="54" t="s">
        <v>10231</v>
      </c>
      <c r="AJ484" s="2"/>
      <c r="AK484" s="2"/>
      <c r="AL484" s="2"/>
      <c r="AM484" s="2"/>
      <c r="AN484" s="2"/>
    </row>
    <row r="485" spans="1:40" ht="16" x14ac:dyDescent="0.2">
      <c r="A485" s="2" t="s">
        <v>615</v>
      </c>
      <c r="B485" s="2">
        <v>179</v>
      </c>
      <c r="C485" s="2" t="b">
        <v>0</v>
      </c>
      <c r="D485" s="2" t="b">
        <v>0</v>
      </c>
      <c r="E485" s="2" t="b">
        <v>0</v>
      </c>
      <c r="F485" s="2" t="b">
        <v>0</v>
      </c>
      <c r="G485" s="2" t="s">
        <v>31</v>
      </c>
      <c r="H485" s="2" t="s">
        <v>616</v>
      </c>
      <c r="I485" s="2" t="s">
        <v>617</v>
      </c>
      <c r="J485" s="2" t="s">
        <v>35</v>
      </c>
      <c r="K485" s="2" t="s">
        <v>35</v>
      </c>
      <c r="L485" s="2" t="s">
        <v>35</v>
      </c>
      <c r="M485" s="2" t="s">
        <v>35</v>
      </c>
      <c r="N485" s="2" t="s">
        <v>35</v>
      </c>
      <c r="O485" s="11">
        <v>44736.429177916667</v>
      </c>
      <c r="P485" s="11">
        <v>44736.429305439815</v>
      </c>
      <c r="Q485" s="27">
        <v>1.2752314796671271E-4</v>
      </c>
      <c r="R485" s="27">
        <v>1.0421180559205823E-3</v>
      </c>
      <c r="S485" s="2">
        <v>0</v>
      </c>
      <c r="T485" s="2" t="s">
        <v>36</v>
      </c>
      <c r="U485" s="2" t="s">
        <v>37</v>
      </c>
      <c r="V485" s="2" t="s">
        <v>38</v>
      </c>
      <c r="W485" s="2" t="s">
        <v>35</v>
      </c>
      <c r="X485" s="2" t="s">
        <v>35</v>
      </c>
      <c r="Y485" s="2" t="s">
        <v>35</v>
      </c>
      <c r="Z485" s="2" t="b">
        <v>0</v>
      </c>
      <c r="AA485" s="2" t="s">
        <v>35</v>
      </c>
      <c r="AB485" s="2" t="s">
        <v>35</v>
      </c>
      <c r="AC485" s="2" t="s">
        <v>35</v>
      </c>
      <c r="AD485" s="2">
        <v>4</v>
      </c>
      <c r="AE485" s="2" t="s">
        <v>492</v>
      </c>
      <c r="AF485" s="11">
        <v>44736.387499942131</v>
      </c>
      <c r="AG485" s="53"/>
      <c r="AH485" s="53" t="b">
        <f t="shared" si="12"/>
        <v>0</v>
      </c>
      <c r="AI485" s="54" t="s">
        <v>10232</v>
      </c>
      <c r="AJ485" s="2"/>
      <c r="AK485" s="2"/>
      <c r="AL485" s="2"/>
      <c r="AM485" s="2"/>
      <c r="AN485" s="2"/>
    </row>
    <row r="486" spans="1:40" ht="16" x14ac:dyDescent="0.2">
      <c r="A486" s="2" t="s">
        <v>618</v>
      </c>
      <c r="B486" s="2">
        <v>180</v>
      </c>
      <c r="C486" s="2" t="b">
        <v>0</v>
      </c>
      <c r="D486" s="2" t="b">
        <v>0</v>
      </c>
      <c r="E486" s="2" t="b">
        <v>0</v>
      </c>
      <c r="F486" s="2" t="b">
        <v>0</v>
      </c>
      <c r="G486" s="2" t="s">
        <v>31</v>
      </c>
      <c r="H486" s="2" t="s">
        <v>619</v>
      </c>
      <c r="I486" s="2" t="s">
        <v>620</v>
      </c>
      <c r="J486" s="2" t="s">
        <v>621</v>
      </c>
      <c r="K486" s="2" t="s">
        <v>35</v>
      </c>
      <c r="L486" s="2" t="s">
        <v>35</v>
      </c>
      <c r="M486" s="2" t="s">
        <v>35</v>
      </c>
      <c r="N486" s="2" t="s">
        <v>35</v>
      </c>
      <c r="O486" s="11">
        <v>44736.429726724535</v>
      </c>
      <c r="P486" s="11">
        <v>44736.430408159722</v>
      </c>
      <c r="Q486" s="27">
        <v>6.8143518728902563E-4</v>
      </c>
      <c r="R486" s="27">
        <v>1.1027199070667848E-3</v>
      </c>
      <c r="S486" s="2">
        <v>0</v>
      </c>
      <c r="T486" s="2" t="s">
        <v>36</v>
      </c>
      <c r="U486" s="2" t="s">
        <v>37</v>
      </c>
      <c r="V486" s="2" t="s">
        <v>38</v>
      </c>
      <c r="W486" s="2" t="s">
        <v>35</v>
      </c>
      <c r="X486" s="2" t="s">
        <v>35</v>
      </c>
      <c r="Y486" s="2" t="s">
        <v>35</v>
      </c>
      <c r="Z486" s="2" t="b">
        <v>0</v>
      </c>
      <c r="AA486" s="2" t="s">
        <v>35</v>
      </c>
      <c r="AB486" s="2" t="s">
        <v>35</v>
      </c>
      <c r="AC486" s="2">
        <v>10</v>
      </c>
      <c r="AD486" s="2" t="s">
        <v>35</v>
      </c>
      <c r="AE486" s="2" t="s">
        <v>492</v>
      </c>
      <c r="AF486" s="11">
        <v>44736.387499942131</v>
      </c>
      <c r="AG486" s="53"/>
      <c r="AH486" s="53" t="b">
        <f t="shared" si="12"/>
        <v>0</v>
      </c>
      <c r="AI486" s="54" t="s">
        <v>10233</v>
      </c>
      <c r="AJ486" s="2"/>
      <c r="AK486" s="2"/>
      <c r="AL486" s="2"/>
      <c r="AM486" s="2"/>
      <c r="AN486" s="2"/>
    </row>
    <row r="487" spans="1:40" ht="16" x14ac:dyDescent="0.2">
      <c r="A487" s="2" t="s">
        <v>626</v>
      </c>
      <c r="B487" s="2">
        <v>182</v>
      </c>
      <c r="C487" s="2" t="b">
        <v>0</v>
      </c>
      <c r="D487" s="2" t="b">
        <v>0</v>
      </c>
      <c r="E487" s="2" t="b">
        <v>0</v>
      </c>
      <c r="F487" s="2" t="b">
        <v>0</v>
      </c>
      <c r="G487" s="2" t="s">
        <v>31</v>
      </c>
      <c r="H487" s="2" t="s">
        <v>627</v>
      </c>
      <c r="I487" s="2" t="s">
        <v>628</v>
      </c>
      <c r="J487" s="2" t="s">
        <v>35</v>
      </c>
      <c r="K487" s="2" t="s">
        <v>35</v>
      </c>
      <c r="L487" s="2" t="s">
        <v>35</v>
      </c>
      <c r="M487" s="2" t="s">
        <v>35</v>
      </c>
      <c r="N487" s="2" t="s">
        <v>35</v>
      </c>
      <c r="O487" s="11">
        <v>44736.431912094908</v>
      </c>
      <c r="P487" s="11">
        <v>44736.432055775462</v>
      </c>
      <c r="Q487" s="27">
        <v>1.4368055417435244E-4</v>
      </c>
      <c r="R487" s="27">
        <v>4.829513854929246E-4</v>
      </c>
      <c r="S487" s="2">
        <v>0</v>
      </c>
      <c r="T487" s="2" t="s">
        <v>36</v>
      </c>
      <c r="U487" s="2" t="s">
        <v>37</v>
      </c>
      <c r="V487" s="2" t="s">
        <v>38</v>
      </c>
      <c r="W487" s="2" t="s">
        <v>35</v>
      </c>
      <c r="X487" s="2" t="s">
        <v>35</v>
      </c>
      <c r="Y487" s="2" t="s">
        <v>35</v>
      </c>
      <c r="Z487" s="2" t="b">
        <v>0</v>
      </c>
      <c r="AA487" s="2" t="s">
        <v>35</v>
      </c>
      <c r="AB487" s="2" t="s">
        <v>35</v>
      </c>
      <c r="AC487" s="2" t="s">
        <v>35</v>
      </c>
      <c r="AD487" s="2">
        <v>2</v>
      </c>
      <c r="AE487" s="2" t="s">
        <v>492</v>
      </c>
      <c r="AF487" s="11">
        <v>44736.387499942131</v>
      </c>
      <c r="AG487" s="53"/>
      <c r="AH487" s="53" t="b">
        <f t="shared" si="12"/>
        <v>0</v>
      </c>
      <c r="AI487" s="54" t="s">
        <v>10234</v>
      </c>
      <c r="AJ487" s="2"/>
      <c r="AK487" s="2"/>
      <c r="AL487" s="2"/>
      <c r="AM487" s="2"/>
      <c r="AN487" s="2"/>
    </row>
    <row r="488" spans="1:40" ht="16" x14ac:dyDescent="0.2">
      <c r="A488" s="2" t="s">
        <v>629</v>
      </c>
      <c r="B488" s="2">
        <v>183</v>
      </c>
      <c r="C488" s="2" t="b">
        <v>0</v>
      </c>
      <c r="D488" s="2" t="b">
        <v>0</v>
      </c>
      <c r="E488" s="2" t="b">
        <v>0</v>
      </c>
      <c r="F488" s="2" t="b">
        <v>0</v>
      </c>
      <c r="G488" s="2" t="s">
        <v>31</v>
      </c>
      <c r="H488" s="2" t="s">
        <v>630</v>
      </c>
      <c r="I488" s="2" t="s">
        <v>631</v>
      </c>
      <c r="J488" s="2" t="s">
        <v>621</v>
      </c>
      <c r="K488" s="2" t="s">
        <v>35</v>
      </c>
      <c r="L488" s="2" t="s">
        <v>35</v>
      </c>
      <c r="M488" s="2" t="s">
        <v>35</v>
      </c>
      <c r="N488" s="2" t="s">
        <v>35</v>
      </c>
      <c r="O488" s="11">
        <v>44736.432479988427</v>
      </c>
      <c r="P488" s="11">
        <v>44736.433038136573</v>
      </c>
      <c r="Q488" s="27">
        <v>5.581481455010362E-4</v>
      </c>
      <c r="R488" s="27">
        <v>9.8236111080041155E-4</v>
      </c>
      <c r="S488" s="2">
        <v>0</v>
      </c>
      <c r="T488" s="2" t="s">
        <v>36</v>
      </c>
      <c r="U488" s="2" t="s">
        <v>37</v>
      </c>
      <c r="V488" s="2" t="s">
        <v>38</v>
      </c>
      <c r="W488" s="2" t="s">
        <v>35</v>
      </c>
      <c r="X488" s="2" t="s">
        <v>35</v>
      </c>
      <c r="Y488" s="2" t="s">
        <v>35</v>
      </c>
      <c r="Z488" s="2" t="b">
        <v>0</v>
      </c>
      <c r="AA488" s="2" t="s">
        <v>35</v>
      </c>
      <c r="AB488" s="2" t="s">
        <v>35</v>
      </c>
      <c r="AC488" s="2">
        <v>10</v>
      </c>
      <c r="AD488" s="2" t="s">
        <v>35</v>
      </c>
      <c r="AE488" s="2" t="s">
        <v>492</v>
      </c>
      <c r="AF488" s="11">
        <v>44736.387499942131</v>
      </c>
      <c r="AG488" s="53"/>
      <c r="AH488" s="53" t="b">
        <f t="shared" si="12"/>
        <v>0</v>
      </c>
      <c r="AI488" s="54" t="s">
        <v>10235</v>
      </c>
      <c r="AJ488" s="2"/>
      <c r="AK488" s="2"/>
      <c r="AL488" s="2"/>
      <c r="AM488" s="2"/>
      <c r="AN488" s="2"/>
    </row>
    <row r="489" spans="1:40" ht="16" x14ac:dyDescent="0.2">
      <c r="A489" s="2" t="s">
        <v>632</v>
      </c>
      <c r="B489" s="2">
        <v>184</v>
      </c>
      <c r="C489" s="2" t="b">
        <v>0</v>
      </c>
      <c r="D489" s="2" t="b">
        <v>0</v>
      </c>
      <c r="E489" s="2" t="b">
        <v>0</v>
      </c>
      <c r="F489" s="2" t="b">
        <v>0</v>
      </c>
      <c r="G489" s="2" t="s">
        <v>31</v>
      </c>
      <c r="H489" s="2" t="s">
        <v>633</v>
      </c>
      <c r="I489" s="2" t="s">
        <v>634</v>
      </c>
      <c r="J489" s="2" t="s">
        <v>35</v>
      </c>
      <c r="K489" s="2" t="s">
        <v>35</v>
      </c>
      <c r="L489" s="2" t="s">
        <v>35</v>
      </c>
      <c r="M489" s="2" t="s">
        <v>35</v>
      </c>
      <c r="N489" s="2" t="s">
        <v>35</v>
      </c>
      <c r="O489" s="11">
        <v>44736.433617754628</v>
      </c>
      <c r="P489" s="11">
        <v>44736.433797060185</v>
      </c>
      <c r="Q489" s="27">
        <v>1.7930555623024702E-4</v>
      </c>
      <c r="R489" s="27">
        <v>7.589236120111309E-4</v>
      </c>
      <c r="S489" s="2">
        <v>0</v>
      </c>
      <c r="T489" s="2" t="s">
        <v>36</v>
      </c>
      <c r="U489" s="2" t="s">
        <v>37</v>
      </c>
      <c r="V489" s="2" t="s">
        <v>38</v>
      </c>
      <c r="W489" s="2" t="s">
        <v>35</v>
      </c>
      <c r="X489" s="2" t="s">
        <v>35</v>
      </c>
      <c r="Y489" s="2" t="s">
        <v>35</v>
      </c>
      <c r="Z489" s="2" t="b">
        <v>0</v>
      </c>
      <c r="AA489" s="2" t="s">
        <v>35</v>
      </c>
      <c r="AB489" s="2" t="s">
        <v>35</v>
      </c>
      <c r="AC489" s="2" t="s">
        <v>35</v>
      </c>
      <c r="AD489" s="2">
        <v>3</v>
      </c>
      <c r="AE489" s="2" t="s">
        <v>492</v>
      </c>
      <c r="AF489" s="11">
        <v>44736.387499942131</v>
      </c>
      <c r="AG489" s="53"/>
      <c r="AH489" s="53" t="b">
        <f t="shared" si="12"/>
        <v>0</v>
      </c>
      <c r="AI489" s="54" t="s">
        <v>10236</v>
      </c>
      <c r="AJ489" s="2"/>
      <c r="AK489" s="2"/>
      <c r="AL489" s="2"/>
      <c r="AM489" s="2"/>
      <c r="AN489" s="2"/>
    </row>
    <row r="490" spans="1:40" ht="16" x14ac:dyDescent="0.2">
      <c r="A490" s="2" t="s">
        <v>635</v>
      </c>
      <c r="B490" s="2">
        <v>185</v>
      </c>
      <c r="C490" s="2" t="b">
        <v>0</v>
      </c>
      <c r="D490" s="2" t="b">
        <v>0</v>
      </c>
      <c r="E490" s="2" t="b">
        <v>0</v>
      </c>
      <c r="F490" s="2" t="b">
        <v>0</v>
      </c>
      <c r="G490" s="2" t="s">
        <v>31</v>
      </c>
      <c r="H490" s="2" t="s">
        <v>636</v>
      </c>
      <c r="I490" s="2" t="s">
        <v>637</v>
      </c>
      <c r="J490" s="2" t="s">
        <v>621</v>
      </c>
      <c r="K490" s="2" t="s">
        <v>35</v>
      </c>
      <c r="L490" s="2" t="s">
        <v>35</v>
      </c>
      <c r="M490" s="2" t="s">
        <v>35</v>
      </c>
      <c r="N490" s="2" t="s">
        <v>35</v>
      </c>
      <c r="O490" s="11">
        <v>44736.434579953704</v>
      </c>
      <c r="P490" s="11">
        <v>44736.434888541669</v>
      </c>
      <c r="Q490" s="27">
        <v>3.0858796526445076E-4</v>
      </c>
      <c r="R490" s="27">
        <v>1.0914814847637899E-3</v>
      </c>
      <c r="S490" s="2">
        <v>0</v>
      </c>
      <c r="T490" s="2" t="s">
        <v>36</v>
      </c>
      <c r="U490" s="2" t="s">
        <v>37</v>
      </c>
      <c r="V490" s="2" t="s">
        <v>38</v>
      </c>
      <c r="W490" s="2" t="s">
        <v>35</v>
      </c>
      <c r="X490" s="2" t="s">
        <v>35</v>
      </c>
      <c r="Y490" s="2" t="s">
        <v>35</v>
      </c>
      <c r="Z490" s="2" t="b">
        <v>0</v>
      </c>
      <c r="AA490" s="2" t="s">
        <v>35</v>
      </c>
      <c r="AB490" s="2" t="s">
        <v>35</v>
      </c>
      <c r="AC490" s="2">
        <v>6</v>
      </c>
      <c r="AD490" s="2" t="s">
        <v>35</v>
      </c>
      <c r="AE490" s="2" t="s">
        <v>492</v>
      </c>
      <c r="AF490" s="11">
        <v>44736.387499942131</v>
      </c>
      <c r="AG490" s="53"/>
      <c r="AH490" s="53" t="b">
        <f t="shared" si="12"/>
        <v>0</v>
      </c>
      <c r="AI490" s="54" t="s">
        <v>10237</v>
      </c>
      <c r="AJ490" s="2"/>
      <c r="AK490" s="2"/>
      <c r="AL490" s="2"/>
      <c r="AM490" s="2"/>
      <c r="AN490" s="2"/>
    </row>
    <row r="491" spans="1:40" ht="16" x14ac:dyDescent="0.2">
      <c r="A491" s="2" t="s">
        <v>638</v>
      </c>
      <c r="B491" s="2">
        <v>186</v>
      </c>
      <c r="C491" s="2" t="b">
        <v>0</v>
      </c>
      <c r="D491" s="2" t="b">
        <v>0</v>
      </c>
      <c r="E491" s="2" t="b">
        <v>0</v>
      </c>
      <c r="F491" s="2" t="b">
        <v>0</v>
      </c>
      <c r="G491" s="2" t="s">
        <v>31</v>
      </c>
      <c r="H491" s="2" t="s">
        <v>639</v>
      </c>
      <c r="I491" s="2" t="s">
        <v>640</v>
      </c>
      <c r="J491" s="2" t="s">
        <v>621</v>
      </c>
      <c r="K491" s="2" t="s">
        <v>35</v>
      </c>
      <c r="L491" s="2" t="s">
        <v>35</v>
      </c>
      <c r="M491" s="2" t="s">
        <v>35</v>
      </c>
      <c r="N491" s="2" t="s">
        <v>35</v>
      </c>
      <c r="O491" s="11">
        <v>44736.435659062503</v>
      </c>
      <c r="P491" s="11">
        <v>44736.435957291666</v>
      </c>
      <c r="Q491" s="27">
        <v>2.9822916258126497E-4</v>
      </c>
      <c r="R491" s="27">
        <v>1.068749996193219E-3</v>
      </c>
      <c r="S491" s="2">
        <v>0</v>
      </c>
      <c r="T491" s="2" t="s">
        <v>36</v>
      </c>
      <c r="U491" s="2" t="s">
        <v>37</v>
      </c>
      <c r="V491" s="2" t="s">
        <v>38</v>
      </c>
      <c r="W491" s="2" t="s">
        <v>35</v>
      </c>
      <c r="X491" s="2" t="s">
        <v>35</v>
      </c>
      <c r="Y491" s="2" t="s">
        <v>35</v>
      </c>
      <c r="Z491" s="2" t="b">
        <v>0</v>
      </c>
      <c r="AA491" s="2" t="s">
        <v>35</v>
      </c>
      <c r="AB491" s="2" t="s">
        <v>35</v>
      </c>
      <c r="AC491" s="2">
        <v>6</v>
      </c>
      <c r="AD491" s="2" t="s">
        <v>35</v>
      </c>
      <c r="AE491" s="2" t="s">
        <v>492</v>
      </c>
      <c r="AF491" s="11">
        <v>44736.387499942131</v>
      </c>
      <c r="AG491" s="53"/>
      <c r="AH491" s="53" t="b">
        <f t="shared" si="12"/>
        <v>0</v>
      </c>
      <c r="AI491" s="54" t="s">
        <v>10238</v>
      </c>
      <c r="AJ491" s="2"/>
      <c r="AK491" s="2"/>
      <c r="AL491" s="2"/>
      <c r="AM491" s="2"/>
      <c r="AN491" s="2"/>
    </row>
    <row r="492" spans="1:40" ht="16" x14ac:dyDescent="0.2">
      <c r="A492" s="2" t="s">
        <v>641</v>
      </c>
      <c r="B492" s="2">
        <v>187</v>
      </c>
      <c r="C492" s="2" t="b">
        <v>0</v>
      </c>
      <c r="D492" s="2" t="b">
        <v>0</v>
      </c>
      <c r="E492" s="2" t="b">
        <v>0</v>
      </c>
      <c r="F492" s="2" t="b">
        <v>0</v>
      </c>
      <c r="G492" s="2" t="s">
        <v>31</v>
      </c>
      <c r="H492" s="2" t="s">
        <v>642</v>
      </c>
      <c r="I492" s="2" t="s">
        <v>643</v>
      </c>
      <c r="J492" s="2" t="s">
        <v>35</v>
      </c>
      <c r="K492" s="2" t="s">
        <v>35</v>
      </c>
      <c r="L492" s="2" t="s">
        <v>35</v>
      </c>
      <c r="M492" s="2" t="s">
        <v>35</v>
      </c>
      <c r="N492" s="2" t="s">
        <v>35</v>
      </c>
      <c r="O492" s="11">
        <v>44736.436488715277</v>
      </c>
      <c r="P492" s="11">
        <v>44736.436678391205</v>
      </c>
      <c r="Q492" s="27">
        <v>1.8967592768603936E-4</v>
      </c>
      <c r="R492" s="27">
        <v>7.2109953907784075E-4</v>
      </c>
      <c r="S492" s="2">
        <v>0</v>
      </c>
      <c r="T492" s="2" t="s">
        <v>36</v>
      </c>
      <c r="U492" s="2" t="s">
        <v>37</v>
      </c>
      <c r="V492" s="2" t="s">
        <v>38</v>
      </c>
      <c r="W492" s="2" t="s">
        <v>35</v>
      </c>
      <c r="X492" s="2" t="s">
        <v>35</v>
      </c>
      <c r="Y492" s="2" t="s">
        <v>35</v>
      </c>
      <c r="Z492" s="2" t="b">
        <v>0</v>
      </c>
      <c r="AA492" s="2" t="s">
        <v>35</v>
      </c>
      <c r="AB492" s="2" t="s">
        <v>35</v>
      </c>
      <c r="AC492" s="2" t="s">
        <v>35</v>
      </c>
      <c r="AD492" s="2">
        <v>5</v>
      </c>
      <c r="AE492" s="2" t="s">
        <v>492</v>
      </c>
      <c r="AF492" s="11">
        <v>44736.387499942131</v>
      </c>
      <c r="AG492" s="53"/>
      <c r="AH492" s="53" t="b">
        <f t="shared" si="12"/>
        <v>0</v>
      </c>
      <c r="AI492" s="54" t="s">
        <v>10239</v>
      </c>
      <c r="AJ492" s="2"/>
      <c r="AK492" s="2"/>
      <c r="AL492" s="2"/>
      <c r="AM492" s="2"/>
      <c r="AN492" s="2"/>
    </row>
    <row r="493" spans="1:40" ht="16" x14ac:dyDescent="0.2">
      <c r="A493" s="2" t="s">
        <v>644</v>
      </c>
      <c r="B493" s="2">
        <v>188</v>
      </c>
      <c r="C493" s="2" t="b">
        <v>0</v>
      </c>
      <c r="D493" s="2" t="b">
        <v>0</v>
      </c>
      <c r="E493" s="2" t="b">
        <v>0</v>
      </c>
      <c r="F493" s="2" t="b">
        <v>0</v>
      </c>
      <c r="G493" s="2" t="s">
        <v>31</v>
      </c>
      <c r="H493" s="2" t="s">
        <v>645</v>
      </c>
      <c r="I493" s="2" t="s">
        <v>646</v>
      </c>
      <c r="J493" s="2" t="s">
        <v>621</v>
      </c>
      <c r="K493" s="2" t="s">
        <v>35</v>
      </c>
      <c r="L493" s="2" t="s">
        <v>35</v>
      </c>
      <c r="M493" s="2" t="s">
        <v>35</v>
      </c>
      <c r="N493" s="2" t="s">
        <v>35</v>
      </c>
      <c r="O493" s="11">
        <v>44736.437247499998</v>
      </c>
      <c r="P493" s="11">
        <v>44736.437903981481</v>
      </c>
      <c r="Q493" s="27">
        <v>6.564814830198884E-4</v>
      </c>
      <c r="R493" s="27">
        <v>1.2255902765900828E-3</v>
      </c>
      <c r="S493" s="2">
        <v>0</v>
      </c>
      <c r="T493" s="2" t="s">
        <v>36</v>
      </c>
      <c r="U493" s="2" t="s">
        <v>37</v>
      </c>
      <c r="V493" s="2" t="s">
        <v>38</v>
      </c>
      <c r="W493" s="2" t="s">
        <v>35</v>
      </c>
      <c r="X493" s="2" t="s">
        <v>35</v>
      </c>
      <c r="Y493" s="2" t="s">
        <v>35</v>
      </c>
      <c r="Z493" s="2" t="b">
        <v>0</v>
      </c>
      <c r="AA493" s="2" t="s">
        <v>35</v>
      </c>
      <c r="AB493" s="2" t="s">
        <v>35</v>
      </c>
      <c r="AC493" s="2">
        <v>7</v>
      </c>
      <c r="AD493" s="2" t="s">
        <v>35</v>
      </c>
      <c r="AE493" s="2" t="s">
        <v>492</v>
      </c>
      <c r="AF493" s="11">
        <v>44736.387499942131</v>
      </c>
      <c r="AG493" s="53"/>
      <c r="AH493" s="53" t="b">
        <f t="shared" si="12"/>
        <v>0</v>
      </c>
      <c r="AI493" s="54" t="s">
        <v>10242</v>
      </c>
      <c r="AJ493" s="2" t="s">
        <v>10240</v>
      </c>
      <c r="AK493" s="2" t="s">
        <v>10241</v>
      </c>
      <c r="AL493" s="2"/>
      <c r="AM493" s="2"/>
      <c r="AN493" s="2"/>
    </row>
    <row r="494" spans="1:40" ht="16" x14ac:dyDescent="0.2">
      <c r="A494" s="2" t="s">
        <v>647</v>
      </c>
      <c r="B494" s="2">
        <v>189</v>
      </c>
      <c r="C494" s="2" t="b">
        <v>0</v>
      </c>
      <c r="D494" s="2" t="b">
        <v>0</v>
      </c>
      <c r="E494" s="2" t="b">
        <v>0</v>
      </c>
      <c r="F494" s="2" t="b">
        <v>0</v>
      </c>
      <c r="G494" s="2" t="s">
        <v>31</v>
      </c>
      <c r="H494" s="2" t="s">
        <v>648</v>
      </c>
      <c r="I494" s="2" t="s">
        <v>649</v>
      </c>
      <c r="J494" s="2" t="s">
        <v>621</v>
      </c>
      <c r="K494" s="2" t="s">
        <v>35</v>
      </c>
      <c r="L494" s="2" t="s">
        <v>35</v>
      </c>
      <c r="M494" s="2" t="s">
        <v>35</v>
      </c>
      <c r="N494" s="2" t="s">
        <v>35</v>
      </c>
      <c r="O494" s="11">
        <v>44736.439377673611</v>
      </c>
      <c r="P494" s="11">
        <v>44736.439802581015</v>
      </c>
      <c r="Q494" s="27">
        <v>4.2490740452194586E-4</v>
      </c>
      <c r="R494" s="27">
        <v>1.8985995338880457E-3</v>
      </c>
      <c r="S494" s="2">
        <v>0</v>
      </c>
      <c r="T494" s="2" t="s">
        <v>36</v>
      </c>
      <c r="U494" s="2" t="s">
        <v>37</v>
      </c>
      <c r="V494" s="2" t="s">
        <v>38</v>
      </c>
      <c r="W494" s="2" t="s">
        <v>35</v>
      </c>
      <c r="X494" s="2" t="s">
        <v>35</v>
      </c>
      <c r="Y494" s="2" t="s">
        <v>35</v>
      </c>
      <c r="Z494" s="2" t="b">
        <v>0</v>
      </c>
      <c r="AA494" s="2" t="s">
        <v>35</v>
      </c>
      <c r="AB494" s="2" t="s">
        <v>35</v>
      </c>
      <c r="AC494" s="2">
        <v>4</v>
      </c>
      <c r="AD494" s="2">
        <v>3</v>
      </c>
      <c r="AE494" s="2" t="s">
        <v>492</v>
      </c>
      <c r="AF494" s="11">
        <v>44736.387499942131</v>
      </c>
      <c r="AG494" s="53"/>
      <c r="AH494" s="53" t="b">
        <f t="shared" si="12"/>
        <v>0</v>
      </c>
      <c r="AI494" s="54" t="s">
        <v>10243</v>
      </c>
      <c r="AJ494" s="2"/>
      <c r="AK494" s="2"/>
      <c r="AL494" s="2"/>
      <c r="AM494" s="2"/>
      <c r="AN494" s="2"/>
    </row>
    <row r="495" spans="1:40" ht="16" x14ac:dyDescent="0.2">
      <c r="A495" s="2" t="s">
        <v>650</v>
      </c>
      <c r="B495" s="2">
        <v>190</v>
      </c>
      <c r="C495" s="2" t="b">
        <v>0</v>
      </c>
      <c r="D495" s="2" t="b">
        <v>0</v>
      </c>
      <c r="E495" s="2" t="b">
        <v>0</v>
      </c>
      <c r="F495" s="2" t="b">
        <v>0</v>
      </c>
      <c r="G495" s="2" t="s">
        <v>31</v>
      </c>
      <c r="H495" s="2" t="s">
        <v>651</v>
      </c>
      <c r="I495" s="2" t="s">
        <v>652</v>
      </c>
      <c r="J495" s="2" t="s">
        <v>35</v>
      </c>
      <c r="K495" s="2" t="s">
        <v>35</v>
      </c>
      <c r="L495" s="2" t="s">
        <v>35</v>
      </c>
      <c r="M495" s="2" t="s">
        <v>35</v>
      </c>
      <c r="N495" s="2" t="s">
        <v>35</v>
      </c>
      <c r="O495" s="11">
        <v>44736.439967060185</v>
      </c>
      <c r="P495" s="11">
        <v>44736.440332500002</v>
      </c>
      <c r="Q495" s="27">
        <v>3.6543981696013361E-4</v>
      </c>
      <c r="R495" s="27">
        <v>5.2991898701293394E-4</v>
      </c>
      <c r="S495" s="2">
        <v>0</v>
      </c>
      <c r="T495" s="2" t="s">
        <v>36</v>
      </c>
      <c r="U495" s="2" t="s">
        <v>37</v>
      </c>
      <c r="V495" s="2" t="s">
        <v>38</v>
      </c>
      <c r="W495" s="2" t="s">
        <v>35</v>
      </c>
      <c r="X495" s="2" t="s">
        <v>35</v>
      </c>
      <c r="Y495" s="2" t="s">
        <v>35</v>
      </c>
      <c r="Z495" s="2" t="b">
        <v>0</v>
      </c>
      <c r="AA495" s="2" t="s">
        <v>35</v>
      </c>
      <c r="AB495" s="2" t="s">
        <v>35</v>
      </c>
      <c r="AC495" s="2" t="s">
        <v>35</v>
      </c>
      <c r="AD495" s="2">
        <v>6</v>
      </c>
      <c r="AE495" s="2" t="s">
        <v>492</v>
      </c>
      <c r="AF495" s="11">
        <v>44736.387499942131</v>
      </c>
      <c r="AG495" s="53"/>
      <c r="AH495" s="53" t="b">
        <f t="shared" si="12"/>
        <v>0</v>
      </c>
      <c r="AI495" s="54" t="s">
        <v>10244</v>
      </c>
      <c r="AJ495" s="2"/>
      <c r="AK495" s="2"/>
      <c r="AL495" s="2"/>
      <c r="AM495" s="2"/>
      <c r="AN495" s="2"/>
    </row>
    <row r="496" spans="1:40" ht="16" x14ac:dyDescent="0.2">
      <c r="A496" s="2" t="s">
        <v>653</v>
      </c>
      <c r="B496" s="2">
        <v>191</v>
      </c>
      <c r="C496" s="2" t="b">
        <v>0</v>
      </c>
      <c r="D496" s="2" t="b">
        <v>0</v>
      </c>
      <c r="E496" s="2" t="b">
        <v>0</v>
      </c>
      <c r="F496" s="2" t="b">
        <v>0</v>
      </c>
      <c r="G496" s="2" t="s">
        <v>31</v>
      </c>
      <c r="H496" s="2" t="s">
        <v>654</v>
      </c>
      <c r="I496" s="2" t="s">
        <v>655</v>
      </c>
      <c r="J496" s="2" t="s">
        <v>621</v>
      </c>
      <c r="K496" s="2" t="s">
        <v>35</v>
      </c>
      <c r="L496" s="2" t="s">
        <v>35</v>
      </c>
      <c r="M496" s="2" t="s">
        <v>35</v>
      </c>
      <c r="N496" s="2" t="s">
        <v>35</v>
      </c>
      <c r="O496" s="11">
        <v>44736.440649652781</v>
      </c>
      <c r="P496" s="11">
        <v>44736.440928680553</v>
      </c>
      <c r="Q496" s="27">
        <v>2.7902777219424024E-4</v>
      </c>
      <c r="R496" s="27">
        <v>5.9618055092869326E-4</v>
      </c>
      <c r="S496" s="2">
        <v>0</v>
      </c>
      <c r="T496" s="2" t="s">
        <v>36</v>
      </c>
      <c r="U496" s="2" t="s">
        <v>37</v>
      </c>
      <c r="V496" s="2" t="s">
        <v>38</v>
      </c>
      <c r="W496" s="2" t="s">
        <v>35</v>
      </c>
      <c r="X496" s="2" t="s">
        <v>35</v>
      </c>
      <c r="Y496" s="2" t="s">
        <v>35</v>
      </c>
      <c r="Z496" s="2" t="b">
        <v>0</v>
      </c>
      <c r="AA496" s="2" t="s">
        <v>35</v>
      </c>
      <c r="AB496" s="2" t="s">
        <v>35</v>
      </c>
      <c r="AC496" s="2">
        <v>4</v>
      </c>
      <c r="AD496" s="2">
        <v>5</v>
      </c>
      <c r="AE496" s="2" t="s">
        <v>492</v>
      </c>
      <c r="AF496" s="11">
        <v>44736.387499942131</v>
      </c>
      <c r="AG496" s="53"/>
      <c r="AH496" s="53" t="b">
        <f t="shared" si="12"/>
        <v>0</v>
      </c>
      <c r="AI496" s="54" t="s">
        <v>10245</v>
      </c>
      <c r="AJ496" s="2"/>
      <c r="AK496" s="2"/>
      <c r="AL496" s="2"/>
      <c r="AM496" s="2"/>
      <c r="AN496" s="2"/>
    </row>
    <row r="497" spans="1:40" ht="16" x14ac:dyDescent="0.2">
      <c r="A497" s="2" t="s">
        <v>656</v>
      </c>
      <c r="B497" s="2">
        <v>192</v>
      </c>
      <c r="C497" s="2" t="b">
        <v>0</v>
      </c>
      <c r="D497" s="2" t="b">
        <v>0</v>
      </c>
      <c r="E497" s="2" t="b">
        <v>0</v>
      </c>
      <c r="F497" s="2" t="b">
        <v>0</v>
      </c>
      <c r="G497" s="2" t="s">
        <v>31</v>
      </c>
      <c r="H497" s="2" t="s">
        <v>657</v>
      </c>
      <c r="I497" s="2" t="s">
        <v>658</v>
      </c>
      <c r="J497" s="2" t="s">
        <v>35</v>
      </c>
      <c r="K497" s="2" t="s">
        <v>35</v>
      </c>
      <c r="L497" s="2" t="s">
        <v>35</v>
      </c>
      <c r="M497" s="2" t="s">
        <v>35</v>
      </c>
      <c r="N497" s="2" t="s">
        <v>35</v>
      </c>
      <c r="O497" s="11">
        <v>44736.44180591435</v>
      </c>
      <c r="P497" s="11">
        <v>44736.441958113428</v>
      </c>
      <c r="Q497" s="27">
        <v>1.5219907800201327E-4</v>
      </c>
      <c r="R497" s="27">
        <v>1.0294328749296255E-3</v>
      </c>
      <c r="S497" s="2">
        <v>0</v>
      </c>
      <c r="T497" s="2" t="s">
        <v>36</v>
      </c>
      <c r="U497" s="2" t="s">
        <v>37</v>
      </c>
      <c r="V497" s="2" t="s">
        <v>38</v>
      </c>
      <c r="W497" s="2" t="s">
        <v>35</v>
      </c>
      <c r="X497" s="2" t="s">
        <v>35</v>
      </c>
      <c r="Y497" s="2" t="s">
        <v>35</v>
      </c>
      <c r="Z497" s="2" t="b">
        <v>0</v>
      </c>
      <c r="AA497" s="2" t="s">
        <v>35</v>
      </c>
      <c r="AB497" s="2" t="s">
        <v>35</v>
      </c>
      <c r="AC497" s="2" t="s">
        <v>35</v>
      </c>
      <c r="AD497" s="2">
        <v>2</v>
      </c>
      <c r="AE497" s="2" t="s">
        <v>492</v>
      </c>
      <c r="AF497" s="11">
        <v>44736.387499942131</v>
      </c>
      <c r="AG497" s="53"/>
      <c r="AH497" s="53" t="b">
        <f t="shared" si="12"/>
        <v>0</v>
      </c>
      <c r="AI497" s="54" t="s">
        <v>10246</v>
      </c>
      <c r="AJ497" s="2"/>
      <c r="AK497" s="2"/>
      <c r="AL497" s="2"/>
      <c r="AM497" s="2"/>
      <c r="AN497" s="2"/>
    </row>
    <row r="498" spans="1:40" ht="16" x14ac:dyDescent="0.2">
      <c r="A498" s="2" t="s">
        <v>659</v>
      </c>
      <c r="B498" s="2">
        <v>193</v>
      </c>
      <c r="C498" s="2" t="b">
        <v>0</v>
      </c>
      <c r="D498" s="2" t="b">
        <v>0</v>
      </c>
      <c r="E498" s="2" t="b">
        <v>0</v>
      </c>
      <c r="F498" s="2" t="b">
        <v>0</v>
      </c>
      <c r="G498" s="2" t="s">
        <v>31</v>
      </c>
      <c r="H498" s="2" t="s">
        <v>660</v>
      </c>
      <c r="I498" s="2" t="s">
        <v>661</v>
      </c>
      <c r="J498" s="2" t="s">
        <v>662</v>
      </c>
      <c r="K498" s="2" t="s">
        <v>35</v>
      </c>
      <c r="L498" s="2" t="s">
        <v>35</v>
      </c>
      <c r="M498" s="2" t="s">
        <v>35</v>
      </c>
      <c r="N498" s="2" t="s">
        <v>35</v>
      </c>
      <c r="O498" s="11">
        <v>44736.442537499999</v>
      </c>
      <c r="P498" s="11">
        <v>44736.442853842593</v>
      </c>
      <c r="Q498" s="27">
        <v>3.1634259357815608E-4</v>
      </c>
      <c r="R498" s="27">
        <v>8.9572916476754472E-4</v>
      </c>
      <c r="S498" s="2">
        <v>0</v>
      </c>
      <c r="T498" s="2" t="s">
        <v>36</v>
      </c>
      <c r="U498" s="2" t="s">
        <v>37</v>
      </c>
      <c r="V498" s="2" t="s">
        <v>38</v>
      </c>
      <c r="W498" s="2" t="s">
        <v>35</v>
      </c>
      <c r="X498" s="2" t="s">
        <v>35</v>
      </c>
      <c r="Y498" s="2" t="s">
        <v>35</v>
      </c>
      <c r="Z498" s="2" t="b">
        <v>0</v>
      </c>
      <c r="AA498" s="2" t="s">
        <v>35</v>
      </c>
      <c r="AB498" s="2" t="s">
        <v>35</v>
      </c>
      <c r="AC498" s="2">
        <v>6</v>
      </c>
      <c r="AD498" s="2" t="s">
        <v>35</v>
      </c>
      <c r="AE498" s="2" t="s">
        <v>492</v>
      </c>
      <c r="AF498" s="11">
        <v>44736.387499942131</v>
      </c>
      <c r="AG498" s="53"/>
      <c r="AH498" s="53" t="b">
        <f t="shared" si="12"/>
        <v>0</v>
      </c>
      <c r="AI498" s="54" t="s">
        <v>10247</v>
      </c>
      <c r="AJ498" s="2"/>
      <c r="AK498" s="2"/>
      <c r="AL498" s="2"/>
      <c r="AM498" s="2"/>
      <c r="AN498" s="2"/>
    </row>
    <row r="499" spans="1:40" ht="16" x14ac:dyDescent="0.2">
      <c r="A499" s="2" t="s">
        <v>663</v>
      </c>
      <c r="B499" s="2">
        <v>194</v>
      </c>
      <c r="C499" s="2" t="b">
        <v>0</v>
      </c>
      <c r="D499" s="2" t="b">
        <v>0</v>
      </c>
      <c r="E499" s="2" t="b">
        <v>0</v>
      </c>
      <c r="F499" s="2" t="b">
        <v>0</v>
      </c>
      <c r="G499" s="2" t="s">
        <v>31</v>
      </c>
      <c r="H499" s="2" t="s">
        <v>664</v>
      </c>
      <c r="I499" s="2" t="s">
        <v>665</v>
      </c>
      <c r="J499" s="2" t="s">
        <v>35</v>
      </c>
      <c r="K499" s="2" t="s">
        <v>35</v>
      </c>
      <c r="L499" s="2" t="s">
        <v>35</v>
      </c>
      <c r="M499" s="2" t="s">
        <v>35</v>
      </c>
      <c r="N499" s="2" t="s">
        <v>35</v>
      </c>
      <c r="O499" s="11">
        <v>44736.443556087965</v>
      </c>
      <c r="P499" s="11">
        <v>44736.443994502311</v>
      </c>
      <c r="Q499" s="27">
        <v>4.3841434671776369E-4</v>
      </c>
      <c r="R499" s="27">
        <v>1.1406597186578438E-3</v>
      </c>
      <c r="S499" s="2">
        <v>0</v>
      </c>
      <c r="T499" s="2" t="s">
        <v>36</v>
      </c>
      <c r="U499" s="2" t="s">
        <v>37</v>
      </c>
      <c r="V499" s="2" t="s">
        <v>38</v>
      </c>
      <c r="W499" s="2" t="s">
        <v>35</v>
      </c>
      <c r="X499" s="2" t="s">
        <v>35</v>
      </c>
      <c r="Y499" s="2" t="s">
        <v>35</v>
      </c>
      <c r="Z499" s="2" t="b">
        <v>0</v>
      </c>
      <c r="AA499" s="2" t="s">
        <v>35</v>
      </c>
      <c r="AB499" s="2" t="s">
        <v>35</v>
      </c>
      <c r="AC499" s="2">
        <v>5</v>
      </c>
      <c r="AD499" s="2">
        <v>5</v>
      </c>
      <c r="AE499" s="2" t="s">
        <v>492</v>
      </c>
      <c r="AF499" s="11">
        <v>44736.387499942131</v>
      </c>
      <c r="AG499" s="53"/>
      <c r="AH499" s="53" t="b">
        <f t="shared" si="12"/>
        <v>0</v>
      </c>
      <c r="AI499" s="54" t="s">
        <v>9558</v>
      </c>
      <c r="AJ499" s="2"/>
      <c r="AK499" s="2"/>
      <c r="AL499" s="2"/>
      <c r="AM499" s="2"/>
      <c r="AN499" s="2"/>
    </row>
    <row r="500" spans="1:40" ht="16" x14ac:dyDescent="0.2">
      <c r="A500" s="2" t="s">
        <v>666</v>
      </c>
      <c r="B500" s="2">
        <v>195</v>
      </c>
      <c r="C500" s="2" t="b">
        <v>0</v>
      </c>
      <c r="D500" s="2" t="b">
        <v>0</v>
      </c>
      <c r="E500" s="2" t="b">
        <v>0</v>
      </c>
      <c r="F500" s="2" t="b">
        <v>0</v>
      </c>
      <c r="G500" s="2" t="s">
        <v>31</v>
      </c>
      <c r="H500" s="2" t="s">
        <v>667</v>
      </c>
      <c r="I500" s="2" t="s">
        <v>668</v>
      </c>
      <c r="J500" s="2" t="s">
        <v>35</v>
      </c>
      <c r="K500" s="2" t="s">
        <v>35</v>
      </c>
      <c r="L500" s="2" t="s">
        <v>35</v>
      </c>
      <c r="M500" s="2" t="s">
        <v>35</v>
      </c>
      <c r="N500" s="2" t="s">
        <v>35</v>
      </c>
      <c r="O500" s="11">
        <v>44736.444668240743</v>
      </c>
      <c r="P500" s="11">
        <v>44736.444909027778</v>
      </c>
      <c r="Q500" s="27">
        <v>2.4078703427221626E-4</v>
      </c>
      <c r="R500" s="27">
        <v>9.1452546621439978E-4</v>
      </c>
      <c r="S500" s="2">
        <v>0</v>
      </c>
      <c r="T500" s="2" t="s">
        <v>36</v>
      </c>
      <c r="U500" s="2" t="s">
        <v>37</v>
      </c>
      <c r="V500" s="2" t="s">
        <v>38</v>
      </c>
      <c r="W500" s="2" t="s">
        <v>35</v>
      </c>
      <c r="X500" s="2" t="s">
        <v>35</v>
      </c>
      <c r="Y500" s="2" t="s">
        <v>35</v>
      </c>
      <c r="Z500" s="2" t="b">
        <v>0</v>
      </c>
      <c r="AA500" s="2" t="s">
        <v>35</v>
      </c>
      <c r="AB500" s="2" t="s">
        <v>35</v>
      </c>
      <c r="AC500" s="2" t="s">
        <v>35</v>
      </c>
      <c r="AD500" s="2">
        <v>3</v>
      </c>
      <c r="AE500" s="2" t="s">
        <v>492</v>
      </c>
      <c r="AF500" s="11">
        <v>44736.387499942131</v>
      </c>
      <c r="AG500" s="53"/>
      <c r="AH500" s="53" t="b">
        <f t="shared" si="12"/>
        <v>0</v>
      </c>
      <c r="AI500" s="54" t="s">
        <v>10248</v>
      </c>
      <c r="AJ500" s="2"/>
      <c r="AK500" s="2"/>
      <c r="AL500" s="2"/>
      <c r="AM500" s="2"/>
      <c r="AN500" s="2"/>
    </row>
    <row r="501" spans="1:40" ht="16" x14ac:dyDescent="0.2">
      <c r="A501" s="2" t="s">
        <v>669</v>
      </c>
      <c r="B501" s="2">
        <v>196</v>
      </c>
      <c r="C501" s="2" t="b">
        <v>0</v>
      </c>
      <c r="D501" s="2" t="b">
        <v>0</v>
      </c>
      <c r="E501" s="2" t="b">
        <v>0</v>
      </c>
      <c r="F501" s="2" t="b">
        <v>0</v>
      </c>
      <c r="G501" s="2" t="s">
        <v>31</v>
      </c>
      <c r="H501" s="2" t="s">
        <v>670</v>
      </c>
      <c r="I501" s="2" t="s">
        <v>671</v>
      </c>
      <c r="J501" s="2" t="s">
        <v>602</v>
      </c>
      <c r="K501" s="2" t="s">
        <v>35</v>
      </c>
      <c r="L501" s="2" t="s">
        <v>35</v>
      </c>
      <c r="M501" s="2" t="s">
        <v>35</v>
      </c>
      <c r="N501" s="2" t="s">
        <v>35</v>
      </c>
      <c r="O501" s="11">
        <v>44736.446847164349</v>
      </c>
      <c r="P501" s="11">
        <v>44736.447243414354</v>
      </c>
      <c r="Q501" s="27">
        <v>3.9625000499654561E-4</v>
      </c>
      <c r="R501" s="27">
        <v>2.3343865759670734E-3</v>
      </c>
      <c r="S501" s="2">
        <v>0</v>
      </c>
      <c r="T501" s="2" t="s">
        <v>36</v>
      </c>
      <c r="U501" s="2" t="s">
        <v>37</v>
      </c>
      <c r="V501" s="2" t="s">
        <v>38</v>
      </c>
      <c r="W501" s="2" t="s">
        <v>35</v>
      </c>
      <c r="X501" s="2" t="s">
        <v>35</v>
      </c>
      <c r="Y501" s="2" t="s">
        <v>35</v>
      </c>
      <c r="Z501" s="2" t="b">
        <v>0</v>
      </c>
      <c r="AA501" s="2" t="s">
        <v>35</v>
      </c>
      <c r="AB501" s="2" t="s">
        <v>35</v>
      </c>
      <c r="AC501" s="2">
        <v>4</v>
      </c>
      <c r="AD501" s="2" t="s">
        <v>35</v>
      </c>
      <c r="AE501" s="2" t="s">
        <v>492</v>
      </c>
      <c r="AF501" s="11">
        <v>44736.387499942131</v>
      </c>
      <c r="AG501" s="53"/>
      <c r="AH501" s="53" t="b">
        <f t="shared" si="12"/>
        <v>0</v>
      </c>
      <c r="AI501" s="54" t="s">
        <v>10249</v>
      </c>
      <c r="AJ501" s="2"/>
      <c r="AK501" s="2"/>
      <c r="AL501" s="2"/>
      <c r="AM501" s="2"/>
      <c r="AN501" s="2"/>
    </row>
    <row r="502" spans="1:40" ht="16" x14ac:dyDescent="0.2">
      <c r="A502" s="2" t="s">
        <v>676</v>
      </c>
      <c r="B502" s="2">
        <v>198</v>
      </c>
      <c r="C502" s="2" t="b">
        <v>0</v>
      </c>
      <c r="D502" s="2" t="b">
        <v>0</v>
      </c>
      <c r="E502" s="2" t="b">
        <v>0</v>
      </c>
      <c r="F502" s="2" t="b">
        <v>0</v>
      </c>
      <c r="G502" s="2" t="s">
        <v>31</v>
      </c>
      <c r="H502" s="2" t="s">
        <v>677</v>
      </c>
      <c r="I502" s="2" t="s">
        <v>678</v>
      </c>
      <c r="J502" s="2" t="s">
        <v>35</v>
      </c>
      <c r="K502" s="2" t="s">
        <v>35</v>
      </c>
      <c r="L502" s="2" t="s">
        <v>35</v>
      </c>
      <c r="M502" s="2" t="s">
        <v>35</v>
      </c>
      <c r="N502" s="2" t="s">
        <v>35</v>
      </c>
      <c r="O502" s="11">
        <v>44736.452521874999</v>
      </c>
      <c r="P502" s="11">
        <v>44736.452665856479</v>
      </c>
      <c r="Q502" s="27">
        <v>1.4398148050531745E-4</v>
      </c>
      <c r="R502" s="27">
        <v>1.7542708301334642E-3</v>
      </c>
      <c r="S502" s="2">
        <v>0</v>
      </c>
      <c r="T502" s="2" t="s">
        <v>36</v>
      </c>
      <c r="U502" s="2" t="s">
        <v>37</v>
      </c>
      <c r="V502" s="2" t="s">
        <v>38</v>
      </c>
      <c r="W502" s="2" t="s">
        <v>35</v>
      </c>
      <c r="X502" s="2" t="s">
        <v>35</v>
      </c>
      <c r="Y502" s="2" t="s">
        <v>35</v>
      </c>
      <c r="Z502" s="2" t="b">
        <v>0</v>
      </c>
      <c r="AA502" s="2" t="s">
        <v>35</v>
      </c>
      <c r="AB502" s="2" t="s">
        <v>35</v>
      </c>
      <c r="AC502" s="2" t="s">
        <v>35</v>
      </c>
      <c r="AD502" s="2">
        <v>2</v>
      </c>
      <c r="AE502" s="2" t="s">
        <v>492</v>
      </c>
      <c r="AF502" s="11">
        <v>44736.387499942131</v>
      </c>
      <c r="AG502" s="53"/>
      <c r="AH502" s="53" t="b">
        <f t="shared" si="12"/>
        <v>0</v>
      </c>
      <c r="AI502" s="54" t="s">
        <v>10250</v>
      </c>
      <c r="AJ502" s="2"/>
      <c r="AK502" s="2"/>
      <c r="AL502" s="2"/>
      <c r="AM502" s="2"/>
      <c r="AN502" s="2"/>
    </row>
    <row r="503" spans="1:40" ht="16" x14ac:dyDescent="0.2">
      <c r="A503" s="2" t="s">
        <v>692</v>
      </c>
      <c r="B503" s="2">
        <v>203</v>
      </c>
      <c r="C503" s="2" t="b">
        <v>0</v>
      </c>
      <c r="D503" s="2" t="b">
        <v>0</v>
      </c>
      <c r="E503" s="2" t="b">
        <v>0</v>
      </c>
      <c r="F503" s="2" t="b">
        <v>0</v>
      </c>
      <c r="G503" s="2" t="s">
        <v>31</v>
      </c>
      <c r="H503" s="2" t="s">
        <v>693</v>
      </c>
      <c r="I503" s="2" t="s">
        <v>691</v>
      </c>
      <c r="J503" s="2" t="s">
        <v>35</v>
      </c>
      <c r="K503" s="2" t="s">
        <v>35</v>
      </c>
      <c r="L503" s="2" t="s">
        <v>35</v>
      </c>
      <c r="M503" s="2" t="s">
        <v>35</v>
      </c>
      <c r="N503" s="2" t="s">
        <v>35</v>
      </c>
      <c r="O503" s="11">
        <v>44737.418235428238</v>
      </c>
      <c r="P503" s="11">
        <v>44737.418423414354</v>
      </c>
      <c r="Q503" s="27">
        <v>1.8798611563397571E-4</v>
      </c>
      <c r="R503" s="27">
        <v>5.3336806013248861E-4</v>
      </c>
      <c r="S503" s="2">
        <v>0</v>
      </c>
      <c r="T503" s="2" t="s">
        <v>36</v>
      </c>
      <c r="U503" s="2" t="s">
        <v>37</v>
      </c>
      <c r="V503" s="2" t="s">
        <v>38</v>
      </c>
      <c r="W503" s="2" t="s">
        <v>35</v>
      </c>
      <c r="X503" s="2" t="s">
        <v>35</v>
      </c>
      <c r="Y503" s="2" t="s">
        <v>35</v>
      </c>
      <c r="Z503" s="2" t="b">
        <v>0</v>
      </c>
      <c r="AA503" s="2" t="s">
        <v>35</v>
      </c>
      <c r="AB503" s="2" t="s">
        <v>35</v>
      </c>
      <c r="AC503" s="2" t="s">
        <v>35</v>
      </c>
      <c r="AD503" s="2">
        <v>3</v>
      </c>
      <c r="AE503" s="2" t="s">
        <v>688</v>
      </c>
      <c r="AF503" s="11">
        <v>44737.414583275466</v>
      </c>
      <c r="AG503" s="53"/>
      <c r="AH503" s="53" t="b">
        <f t="shared" si="12"/>
        <v>0</v>
      </c>
      <c r="AI503" s="54" t="s">
        <v>10251</v>
      </c>
      <c r="AJ503" s="2"/>
      <c r="AK503" s="2"/>
      <c r="AL503" s="2"/>
      <c r="AM503" s="2"/>
      <c r="AN503" s="2"/>
    </row>
    <row r="504" spans="1:40" ht="16" x14ac:dyDescent="0.2">
      <c r="A504" s="2" t="s">
        <v>694</v>
      </c>
      <c r="B504" s="2">
        <v>204</v>
      </c>
      <c r="C504" s="2" t="b">
        <v>0</v>
      </c>
      <c r="D504" s="2" t="b">
        <v>0</v>
      </c>
      <c r="E504" s="2" t="b">
        <v>0</v>
      </c>
      <c r="F504" s="2" t="b">
        <v>0</v>
      </c>
      <c r="G504" s="2" t="s">
        <v>31</v>
      </c>
      <c r="H504" s="2" t="s">
        <v>695</v>
      </c>
      <c r="I504" s="2" t="s">
        <v>696</v>
      </c>
      <c r="J504" s="2" t="s">
        <v>35</v>
      </c>
      <c r="K504" s="2" t="s">
        <v>35</v>
      </c>
      <c r="L504" s="2" t="s">
        <v>35</v>
      </c>
      <c r="M504" s="2" t="s">
        <v>35</v>
      </c>
      <c r="N504" s="2" t="s">
        <v>35</v>
      </c>
      <c r="O504" s="11">
        <v>44737.419182187499</v>
      </c>
      <c r="P504" s="11">
        <v>44737.419541122683</v>
      </c>
      <c r="Q504" s="27">
        <v>3.5893518361262977E-4</v>
      </c>
      <c r="R504" s="27">
        <v>1.1177083288202994E-3</v>
      </c>
      <c r="S504" s="2">
        <v>0</v>
      </c>
      <c r="T504" s="2" t="s">
        <v>36</v>
      </c>
      <c r="U504" s="2" t="s">
        <v>37</v>
      </c>
      <c r="V504" s="2" t="s">
        <v>38</v>
      </c>
      <c r="W504" s="2" t="s">
        <v>35</v>
      </c>
      <c r="X504" s="2" t="s">
        <v>35</v>
      </c>
      <c r="Y504" s="2" t="s">
        <v>35</v>
      </c>
      <c r="Z504" s="2" t="b">
        <v>0</v>
      </c>
      <c r="AA504" s="2" t="s">
        <v>35</v>
      </c>
      <c r="AB504" s="2" t="s">
        <v>35</v>
      </c>
      <c r="AC504" s="2" t="s">
        <v>35</v>
      </c>
      <c r="AD504" s="2">
        <v>3</v>
      </c>
      <c r="AE504" s="2" t="s">
        <v>688</v>
      </c>
      <c r="AF504" s="11">
        <v>44737.414583275466</v>
      </c>
      <c r="AG504" s="53"/>
      <c r="AH504" s="53" t="b">
        <f t="shared" si="12"/>
        <v>0</v>
      </c>
      <c r="AI504" s="54" t="s">
        <v>9557</v>
      </c>
      <c r="AJ504" s="2"/>
      <c r="AK504" s="2"/>
      <c r="AL504" s="2"/>
      <c r="AM504" s="2"/>
      <c r="AN504" s="2"/>
    </row>
    <row r="505" spans="1:40" ht="16" x14ac:dyDescent="0.2">
      <c r="A505" s="2" t="s">
        <v>697</v>
      </c>
      <c r="B505" s="2">
        <v>205</v>
      </c>
      <c r="C505" s="2" t="b">
        <v>0</v>
      </c>
      <c r="D505" s="2" t="b">
        <v>0</v>
      </c>
      <c r="E505" s="2" t="b">
        <v>0</v>
      </c>
      <c r="F505" s="2" t="b">
        <v>0</v>
      </c>
      <c r="G505" s="2" t="s">
        <v>31</v>
      </c>
      <c r="H505" s="2" t="s">
        <v>698</v>
      </c>
      <c r="I505" s="2" t="s">
        <v>699</v>
      </c>
      <c r="J505" s="2" t="s">
        <v>700</v>
      </c>
      <c r="K505" s="2" t="s">
        <v>35</v>
      </c>
      <c r="L505" s="2" t="s">
        <v>35</v>
      </c>
      <c r="M505" s="2" t="s">
        <v>35</v>
      </c>
      <c r="N505" s="2" t="s">
        <v>35</v>
      </c>
      <c r="O505" s="11">
        <v>44737.421559166665</v>
      </c>
      <c r="P505" s="11">
        <v>44737.422376898146</v>
      </c>
      <c r="Q505" s="27">
        <v>8.1773148122010753E-4</v>
      </c>
      <c r="R505" s="27">
        <v>2.8357754636090249E-3</v>
      </c>
      <c r="S505" s="2">
        <v>0</v>
      </c>
      <c r="T505" s="2" t="s">
        <v>36</v>
      </c>
      <c r="U505" s="2" t="s">
        <v>37</v>
      </c>
      <c r="V505" s="2" t="s">
        <v>38</v>
      </c>
      <c r="W505" s="2" t="s">
        <v>35</v>
      </c>
      <c r="X505" s="2" t="s">
        <v>35</v>
      </c>
      <c r="Y505" s="2" t="s">
        <v>35</v>
      </c>
      <c r="Z505" s="2" t="b">
        <v>0</v>
      </c>
      <c r="AA505" s="2" t="s">
        <v>35</v>
      </c>
      <c r="AB505" s="2" t="s">
        <v>35</v>
      </c>
      <c r="AC505" s="2">
        <v>4</v>
      </c>
      <c r="AD505" s="2">
        <v>2</v>
      </c>
      <c r="AE505" s="2" t="s">
        <v>688</v>
      </c>
      <c r="AF505" s="11">
        <v>44737.414583275466</v>
      </c>
      <c r="AG505" s="53"/>
      <c r="AH505" s="53" t="str">
        <f t="shared" si="12"/>
        <v>TRUE</v>
      </c>
      <c r="AI505" s="54" t="s">
        <v>10252</v>
      </c>
      <c r="AJ505" s="2"/>
      <c r="AK505" s="2"/>
      <c r="AL505" s="2"/>
      <c r="AM505" s="2"/>
      <c r="AN505" s="2"/>
    </row>
    <row r="506" spans="1:40" ht="16" x14ac:dyDescent="0.2">
      <c r="A506" s="2" t="s">
        <v>701</v>
      </c>
      <c r="B506" s="2">
        <v>206</v>
      </c>
      <c r="C506" s="2" t="b">
        <v>0</v>
      </c>
      <c r="D506" s="2" t="b">
        <v>0</v>
      </c>
      <c r="E506" s="2" t="b">
        <v>0</v>
      </c>
      <c r="F506" s="2" t="b">
        <v>0</v>
      </c>
      <c r="G506" s="2" t="s">
        <v>31</v>
      </c>
      <c r="H506" s="2" t="s">
        <v>702</v>
      </c>
      <c r="I506" s="2" t="s">
        <v>703</v>
      </c>
      <c r="J506" s="2" t="s">
        <v>35</v>
      </c>
      <c r="K506" s="2" t="s">
        <v>35</v>
      </c>
      <c r="L506" s="2" t="s">
        <v>35</v>
      </c>
      <c r="M506" s="2" t="s">
        <v>35</v>
      </c>
      <c r="N506" s="2" t="s">
        <v>35</v>
      </c>
      <c r="O506" s="11">
        <v>44737.422413865737</v>
      </c>
      <c r="P506" s="11">
        <v>44737.422642696758</v>
      </c>
      <c r="Q506" s="27">
        <v>2.2883102064952254E-4</v>
      </c>
      <c r="R506" s="27">
        <v>2.6579861150821671E-4</v>
      </c>
      <c r="S506" s="2">
        <v>0</v>
      </c>
      <c r="T506" s="2" t="s">
        <v>36</v>
      </c>
      <c r="U506" s="2" t="s">
        <v>37</v>
      </c>
      <c r="V506" s="2" t="s">
        <v>38</v>
      </c>
      <c r="W506" s="2" t="s">
        <v>35</v>
      </c>
      <c r="X506" s="2" t="s">
        <v>35</v>
      </c>
      <c r="Y506" s="2" t="s">
        <v>35</v>
      </c>
      <c r="Z506" s="2" t="b">
        <v>0</v>
      </c>
      <c r="AA506" s="2" t="s">
        <v>35</v>
      </c>
      <c r="AB506" s="2" t="s">
        <v>35</v>
      </c>
      <c r="AC506" s="2" t="s">
        <v>35</v>
      </c>
      <c r="AD506" s="2">
        <v>4</v>
      </c>
      <c r="AE506" s="2" t="s">
        <v>688</v>
      </c>
      <c r="AF506" s="11">
        <v>44737.414583275466</v>
      </c>
      <c r="AG506" s="53"/>
      <c r="AH506" s="53" t="b">
        <f t="shared" si="12"/>
        <v>0</v>
      </c>
      <c r="AI506" s="54" t="s">
        <v>10253</v>
      </c>
      <c r="AJ506" s="2"/>
      <c r="AK506" s="2"/>
      <c r="AL506" s="2"/>
      <c r="AM506" s="2"/>
      <c r="AN506" s="2"/>
    </row>
    <row r="507" spans="1:40" ht="16" x14ac:dyDescent="0.2">
      <c r="A507" s="2" t="s">
        <v>707</v>
      </c>
      <c r="B507" s="2">
        <v>208</v>
      </c>
      <c r="C507" s="2" t="b">
        <v>0</v>
      </c>
      <c r="D507" s="2" t="b">
        <v>0</v>
      </c>
      <c r="E507" s="2" t="b">
        <v>0</v>
      </c>
      <c r="F507" s="2" t="b">
        <v>0</v>
      </c>
      <c r="G507" s="2" t="s">
        <v>31</v>
      </c>
      <c r="H507" s="2" t="s">
        <v>708</v>
      </c>
      <c r="I507" s="2" t="s">
        <v>709</v>
      </c>
      <c r="J507" s="2" t="s">
        <v>35</v>
      </c>
      <c r="K507" s="2" t="s">
        <v>35</v>
      </c>
      <c r="L507" s="2" t="s">
        <v>35</v>
      </c>
      <c r="M507" s="2" t="s">
        <v>35</v>
      </c>
      <c r="N507" s="2" t="s">
        <v>35</v>
      </c>
      <c r="O507" s="11">
        <v>44737.423463321757</v>
      </c>
      <c r="P507" s="11">
        <v>44737.423833125002</v>
      </c>
      <c r="Q507" s="27">
        <v>3.6980324512114748E-4</v>
      </c>
      <c r="R507" s="27">
        <v>9.8469907243270427E-4</v>
      </c>
      <c r="S507" s="2">
        <v>0</v>
      </c>
      <c r="T507" s="2" t="s">
        <v>36</v>
      </c>
      <c r="U507" s="2" t="s">
        <v>37</v>
      </c>
      <c r="V507" s="2" t="s">
        <v>38</v>
      </c>
      <c r="W507" s="2" t="s">
        <v>35</v>
      </c>
      <c r="X507" s="2" t="s">
        <v>35</v>
      </c>
      <c r="Y507" s="2" t="s">
        <v>35</v>
      </c>
      <c r="Z507" s="2" t="b">
        <v>0</v>
      </c>
      <c r="AA507" s="2" t="s">
        <v>35</v>
      </c>
      <c r="AB507" s="2" t="s">
        <v>35</v>
      </c>
      <c r="AC507" s="2" t="s">
        <v>35</v>
      </c>
      <c r="AD507" s="2">
        <v>3</v>
      </c>
      <c r="AE507" s="2" t="s">
        <v>688</v>
      </c>
      <c r="AF507" s="11">
        <v>44737.414583275466</v>
      </c>
      <c r="AG507" s="53"/>
      <c r="AH507" s="53" t="b">
        <f t="shared" si="12"/>
        <v>0</v>
      </c>
      <c r="AI507" s="54" t="s">
        <v>10254</v>
      </c>
      <c r="AJ507" s="2"/>
      <c r="AK507" s="2"/>
      <c r="AL507" s="2"/>
      <c r="AM507" s="2"/>
      <c r="AN507" s="2"/>
    </row>
    <row r="508" spans="1:40" ht="16" x14ac:dyDescent="0.2">
      <c r="A508" s="2" t="s">
        <v>713</v>
      </c>
      <c r="B508" s="2">
        <v>210</v>
      </c>
      <c r="C508" s="2" t="b">
        <v>0</v>
      </c>
      <c r="D508" s="2" t="b">
        <v>0</v>
      </c>
      <c r="E508" s="2" t="b">
        <v>0</v>
      </c>
      <c r="F508" s="2" t="b">
        <v>0</v>
      </c>
      <c r="G508" s="2" t="s">
        <v>31</v>
      </c>
      <c r="H508" s="2" t="s">
        <v>714</v>
      </c>
      <c r="I508" s="2" t="s">
        <v>715</v>
      </c>
      <c r="J508" s="2" t="s">
        <v>35</v>
      </c>
      <c r="K508" s="2" t="s">
        <v>35</v>
      </c>
      <c r="L508" s="2" t="s">
        <v>35</v>
      </c>
      <c r="M508" s="2" t="s">
        <v>35</v>
      </c>
      <c r="N508" s="2" t="s">
        <v>35</v>
      </c>
      <c r="O508" s="11">
        <v>44737.424690532411</v>
      </c>
      <c r="P508" s="11">
        <v>44737.42517422454</v>
      </c>
      <c r="Q508" s="27">
        <v>4.8369212890975177E-4</v>
      </c>
      <c r="R508" s="27">
        <v>5.1915509538957849E-4</v>
      </c>
      <c r="S508" s="2">
        <v>0</v>
      </c>
      <c r="T508" s="2" t="s">
        <v>36</v>
      </c>
      <c r="U508" s="2" t="s">
        <v>37</v>
      </c>
      <c r="V508" s="2" t="s">
        <v>38</v>
      </c>
      <c r="W508" s="2" t="s">
        <v>35</v>
      </c>
      <c r="X508" s="2" t="s">
        <v>35</v>
      </c>
      <c r="Y508" s="2" t="s">
        <v>35</v>
      </c>
      <c r="Z508" s="2" t="b">
        <v>0</v>
      </c>
      <c r="AA508" s="2" t="s">
        <v>35</v>
      </c>
      <c r="AB508" s="2" t="s">
        <v>35</v>
      </c>
      <c r="AC508" s="2" t="s">
        <v>35</v>
      </c>
      <c r="AD508" s="2">
        <v>4</v>
      </c>
      <c r="AE508" s="2" t="s">
        <v>688</v>
      </c>
      <c r="AF508" s="11">
        <v>44737.414583275466</v>
      </c>
      <c r="AG508" s="53"/>
      <c r="AH508" s="53" t="b">
        <f t="shared" si="12"/>
        <v>0</v>
      </c>
      <c r="AI508" s="54" t="s">
        <v>10255</v>
      </c>
      <c r="AJ508" s="2"/>
      <c r="AK508" s="2"/>
      <c r="AL508" s="2"/>
      <c r="AM508" s="2"/>
      <c r="AN508" s="2"/>
    </row>
    <row r="509" spans="1:40" ht="16" x14ac:dyDescent="0.2">
      <c r="A509" s="2" t="s">
        <v>719</v>
      </c>
      <c r="B509" s="2">
        <v>212</v>
      </c>
      <c r="C509" s="2" t="b">
        <v>0</v>
      </c>
      <c r="D509" s="2" t="b">
        <v>0</v>
      </c>
      <c r="E509" s="2" t="b">
        <v>0</v>
      </c>
      <c r="F509" s="2" t="b">
        <v>0</v>
      </c>
      <c r="G509" s="2" t="s">
        <v>31</v>
      </c>
      <c r="H509" s="2" t="s">
        <v>720</v>
      </c>
      <c r="I509" s="2" t="s">
        <v>721</v>
      </c>
      <c r="J509" s="2" t="s">
        <v>35</v>
      </c>
      <c r="K509" s="2" t="s">
        <v>35</v>
      </c>
      <c r="L509" s="2" t="s">
        <v>35</v>
      </c>
      <c r="M509" s="2" t="s">
        <v>35</v>
      </c>
      <c r="N509" s="2" t="s">
        <v>35</v>
      </c>
      <c r="O509" s="11">
        <v>44737.426629837966</v>
      </c>
      <c r="P509" s="11">
        <v>44737.42687275463</v>
      </c>
      <c r="Q509" s="27">
        <v>2.4291666341014206E-4</v>
      </c>
      <c r="R509" s="27">
        <v>3.2062499667517841E-4</v>
      </c>
      <c r="S509" s="2">
        <v>0</v>
      </c>
      <c r="T509" s="2" t="s">
        <v>36</v>
      </c>
      <c r="U509" s="2" t="s">
        <v>37</v>
      </c>
      <c r="V509" s="2" t="s">
        <v>38</v>
      </c>
      <c r="W509" s="2" t="s">
        <v>35</v>
      </c>
      <c r="X509" s="2" t="s">
        <v>35</v>
      </c>
      <c r="Y509" s="2" t="s">
        <v>35</v>
      </c>
      <c r="Z509" s="2" t="b">
        <v>0</v>
      </c>
      <c r="AA509" s="2" t="s">
        <v>35</v>
      </c>
      <c r="AB509" s="2" t="s">
        <v>35</v>
      </c>
      <c r="AC509" s="2" t="s">
        <v>35</v>
      </c>
      <c r="AD509" s="2">
        <v>3</v>
      </c>
      <c r="AE509" s="2" t="s">
        <v>688</v>
      </c>
      <c r="AF509" s="11">
        <v>44737.414583275466</v>
      </c>
      <c r="AG509" s="53"/>
      <c r="AH509" s="53" t="b">
        <f t="shared" si="12"/>
        <v>0</v>
      </c>
      <c r="AI509" s="54" t="s">
        <v>10256</v>
      </c>
      <c r="AJ509" s="2"/>
      <c r="AK509" s="2"/>
      <c r="AL509" s="2"/>
      <c r="AM509" s="2"/>
      <c r="AN509" s="2"/>
    </row>
    <row r="510" spans="1:40" ht="16" x14ac:dyDescent="0.2">
      <c r="A510" s="2" t="s">
        <v>722</v>
      </c>
      <c r="B510" s="2">
        <v>213</v>
      </c>
      <c r="C510" s="2" t="b">
        <v>0</v>
      </c>
      <c r="D510" s="2" t="b">
        <v>0</v>
      </c>
      <c r="E510" s="2" t="b">
        <v>0</v>
      </c>
      <c r="F510" s="2" t="b">
        <v>0</v>
      </c>
      <c r="G510" s="2" t="s">
        <v>31</v>
      </c>
      <c r="H510" s="2" t="s">
        <v>723</v>
      </c>
      <c r="I510" s="2" t="s">
        <v>724</v>
      </c>
      <c r="J510" s="2" t="s">
        <v>725</v>
      </c>
      <c r="K510" s="2" t="s">
        <v>35</v>
      </c>
      <c r="L510" s="2" t="s">
        <v>35</v>
      </c>
      <c r="M510" s="2" t="s">
        <v>35</v>
      </c>
      <c r="N510" s="2" t="s">
        <v>35</v>
      </c>
      <c r="O510" s="11">
        <v>44737.427613472224</v>
      </c>
      <c r="P510" s="11">
        <v>44737.4280340162</v>
      </c>
      <c r="Q510" s="27">
        <v>4.2054397636093199E-4</v>
      </c>
      <c r="R510" s="27">
        <v>1.1612615708145313E-3</v>
      </c>
      <c r="S510" s="2">
        <v>0</v>
      </c>
      <c r="T510" s="2" t="s">
        <v>36</v>
      </c>
      <c r="U510" s="2" t="s">
        <v>37</v>
      </c>
      <c r="V510" s="2" t="s">
        <v>38</v>
      </c>
      <c r="W510" s="2" t="s">
        <v>35</v>
      </c>
      <c r="X510" s="2" t="s">
        <v>35</v>
      </c>
      <c r="Y510" s="2" t="s">
        <v>35</v>
      </c>
      <c r="Z510" s="2" t="b">
        <v>0</v>
      </c>
      <c r="AA510" s="2" t="s">
        <v>35</v>
      </c>
      <c r="AB510" s="2" t="s">
        <v>35</v>
      </c>
      <c r="AC510" s="2">
        <v>5</v>
      </c>
      <c r="AD510" s="2">
        <v>2</v>
      </c>
      <c r="AE510" s="2" t="s">
        <v>688</v>
      </c>
      <c r="AF510" s="11">
        <v>44737.414583275466</v>
      </c>
      <c r="AG510" s="53"/>
      <c r="AH510" s="53" t="b">
        <f t="shared" si="12"/>
        <v>0</v>
      </c>
      <c r="AI510" s="54" t="s">
        <v>10257</v>
      </c>
      <c r="AJ510" s="2"/>
      <c r="AK510" s="2"/>
      <c r="AL510" s="2"/>
      <c r="AM510" s="2"/>
      <c r="AN510" s="2"/>
    </row>
    <row r="511" spans="1:40" ht="16" x14ac:dyDescent="0.2">
      <c r="A511" s="68" t="s">
        <v>726</v>
      </c>
      <c r="B511" s="68">
        <v>214</v>
      </c>
      <c r="C511" s="68" t="b">
        <v>0</v>
      </c>
      <c r="D511" s="68" t="b">
        <v>0</v>
      </c>
      <c r="E511" s="68" t="b">
        <v>0</v>
      </c>
      <c r="F511" s="68" t="b">
        <v>0</v>
      </c>
      <c r="G511" s="68" t="s">
        <v>31</v>
      </c>
      <c r="H511" s="68" t="s">
        <v>149</v>
      </c>
      <c r="I511" s="68" t="s">
        <v>727</v>
      </c>
      <c r="J511" s="68" t="s">
        <v>725</v>
      </c>
      <c r="K511" s="68" t="s">
        <v>35</v>
      </c>
      <c r="L511" s="68" t="s">
        <v>35</v>
      </c>
      <c r="M511" s="68" t="s">
        <v>35</v>
      </c>
      <c r="N511" s="68" t="s">
        <v>35</v>
      </c>
      <c r="O511" s="69">
        <v>44737.429277800926</v>
      </c>
      <c r="P511" s="69">
        <v>44737.429609814812</v>
      </c>
      <c r="Q511" s="70">
        <v>3.320138857816346E-4</v>
      </c>
      <c r="R511" s="70">
        <v>1.5757986111566424E-3</v>
      </c>
      <c r="S511" s="68">
        <v>0</v>
      </c>
      <c r="T511" s="68" t="s">
        <v>36</v>
      </c>
      <c r="U511" s="68" t="s">
        <v>37</v>
      </c>
      <c r="V511" s="68" t="s">
        <v>38</v>
      </c>
      <c r="W511" s="68" t="s">
        <v>35</v>
      </c>
      <c r="X511" s="68" t="s">
        <v>35</v>
      </c>
      <c r="Y511" s="68" t="s">
        <v>35</v>
      </c>
      <c r="Z511" s="68" t="b">
        <v>0</v>
      </c>
      <c r="AA511" s="68" t="s">
        <v>35</v>
      </c>
      <c r="AB511" s="68" t="s">
        <v>35</v>
      </c>
      <c r="AC511" s="68">
        <v>5</v>
      </c>
      <c r="AD511" s="68" t="s">
        <v>35</v>
      </c>
      <c r="AE511" s="68" t="s">
        <v>688</v>
      </c>
      <c r="AF511" s="69">
        <v>44737.414583275466</v>
      </c>
      <c r="AG511" s="71"/>
      <c r="AH511" s="53" t="b">
        <f t="shared" si="12"/>
        <v>0</v>
      </c>
      <c r="AI511" s="56" t="s">
        <v>35</v>
      </c>
      <c r="AJ511" s="68"/>
      <c r="AK511" s="68"/>
      <c r="AL511" s="68"/>
      <c r="AM511" s="68"/>
      <c r="AN511" s="68"/>
    </row>
    <row r="512" spans="1:40" ht="16" x14ac:dyDescent="0.2">
      <c r="A512" s="2" t="s">
        <v>728</v>
      </c>
      <c r="B512" s="2">
        <v>215</v>
      </c>
      <c r="C512" s="2" t="b">
        <v>0</v>
      </c>
      <c r="D512" s="2" t="b">
        <v>0</v>
      </c>
      <c r="E512" s="2" t="b">
        <v>0</v>
      </c>
      <c r="F512" s="2" t="b">
        <v>0</v>
      </c>
      <c r="G512" s="2" t="s">
        <v>31</v>
      </c>
      <c r="H512" s="2" t="s">
        <v>729</v>
      </c>
      <c r="I512" s="2" t="s">
        <v>730</v>
      </c>
      <c r="J512" s="2" t="s">
        <v>725</v>
      </c>
      <c r="K512" s="2" t="s">
        <v>35</v>
      </c>
      <c r="L512" s="2" t="s">
        <v>35</v>
      </c>
      <c r="M512" s="2" t="s">
        <v>35</v>
      </c>
      <c r="N512" s="2" t="s">
        <v>35</v>
      </c>
      <c r="O512" s="11">
        <v>44737.430784374999</v>
      </c>
      <c r="P512" s="11">
        <v>44737.431031597225</v>
      </c>
      <c r="Q512" s="27">
        <v>2.4722222588025033E-4</v>
      </c>
      <c r="R512" s="27">
        <v>1.4217824136721902E-3</v>
      </c>
      <c r="S512" s="2">
        <v>0</v>
      </c>
      <c r="T512" s="2" t="s">
        <v>36</v>
      </c>
      <c r="U512" s="2" t="s">
        <v>37</v>
      </c>
      <c r="V512" s="2" t="s">
        <v>38</v>
      </c>
      <c r="W512" s="2" t="s">
        <v>35</v>
      </c>
      <c r="X512" s="2" t="s">
        <v>35</v>
      </c>
      <c r="Y512" s="2" t="s">
        <v>35</v>
      </c>
      <c r="Z512" s="2" t="b">
        <v>0</v>
      </c>
      <c r="AA512" s="2" t="s">
        <v>35</v>
      </c>
      <c r="AB512" s="2" t="s">
        <v>35</v>
      </c>
      <c r="AC512" s="2">
        <v>4</v>
      </c>
      <c r="AD512" s="2" t="s">
        <v>35</v>
      </c>
      <c r="AE512" s="2" t="s">
        <v>688</v>
      </c>
      <c r="AF512" s="11">
        <v>44737.414583275466</v>
      </c>
      <c r="AG512" s="53"/>
      <c r="AH512" s="53" t="b">
        <f t="shared" si="12"/>
        <v>0</v>
      </c>
      <c r="AI512" s="54" t="s">
        <v>10258</v>
      </c>
      <c r="AJ512" s="2"/>
      <c r="AK512" s="2"/>
      <c r="AL512" s="2"/>
      <c r="AM512" s="2"/>
      <c r="AN512" s="2"/>
    </row>
    <row r="513" spans="1:40" ht="16" x14ac:dyDescent="0.2">
      <c r="A513" s="68" t="s">
        <v>734</v>
      </c>
      <c r="B513" s="68">
        <v>217</v>
      </c>
      <c r="C513" s="68" t="b">
        <v>0</v>
      </c>
      <c r="D513" s="68" t="b">
        <v>0</v>
      </c>
      <c r="E513" s="68" t="b">
        <v>0</v>
      </c>
      <c r="F513" s="68" t="b">
        <v>0</v>
      </c>
      <c r="G513" s="68" t="s">
        <v>31</v>
      </c>
      <c r="H513" s="68" t="s">
        <v>149</v>
      </c>
      <c r="I513" s="68" t="s">
        <v>735</v>
      </c>
      <c r="J513" s="68" t="s">
        <v>736</v>
      </c>
      <c r="K513" s="68" t="s">
        <v>35</v>
      </c>
      <c r="L513" s="68" t="s">
        <v>35</v>
      </c>
      <c r="M513" s="68" t="s">
        <v>35</v>
      </c>
      <c r="N513" s="68" t="s">
        <v>35</v>
      </c>
      <c r="O513" s="69">
        <v>44737.434814189815</v>
      </c>
      <c r="P513" s="69">
        <v>44737.435091423613</v>
      </c>
      <c r="Q513" s="70">
        <v>2.7723379753297195E-4</v>
      </c>
      <c r="R513" s="70">
        <v>1.3699189803446643E-3</v>
      </c>
      <c r="S513" s="68">
        <v>0</v>
      </c>
      <c r="T513" s="68" t="s">
        <v>36</v>
      </c>
      <c r="U513" s="68" t="s">
        <v>37</v>
      </c>
      <c r="V513" s="68" t="s">
        <v>38</v>
      </c>
      <c r="W513" s="68" t="s">
        <v>35</v>
      </c>
      <c r="X513" s="68" t="s">
        <v>35</v>
      </c>
      <c r="Y513" s="68" t="s">
        <v>35</v>
      </c>
      <c r="Z513" s="68" t="b">
        <v>0</v>
      </c>
      <c r="AA513" s="68" t="s">
        <v>35</v>
      </c>
      <c r="AB513" s="68" t="s">
        <v>35</v>
      </c>
      <c r="AC513" s="68">
        <v>12</v>
      </c>
      <c r="AD513" s="68" t="s">
        <v>35</v>
      </c>
      <c r="AE513" s="68" t="s">
        <v>688</v>
      </c>
      <c r="AF513" s="69">
        <v>44737.414583275466</v>
      </c>
      <c r="AG513" s="71"/>
      <c r="AH513" s="53" t="b">
        <f t="shared" si="12"/>
        <v>0</v>
      </c>
      <c r="AI513" s="56" t="s">
        <v>35</v>
      </c>
      <c r="AJ513" s="68"/>
      <c r="AK513" s="68"/>
      <c r="AL513" s="68"/>
      <c r="AM513" s="68"/>
      <c r="AN513" s="68"/>
    </row>
    <row r="514" spans="1:40" ht="16" x14ac:dyDescent="0.2">
      <c r="A514" s="2" t="s">
        <v>737</v>
      </c>
      <c r="B514" s="2">
        <v>218</v>
      </c>
      <c r="C514" s="2" t="b">
        <v>0</v>
      </c>
      <c r="D514" s="2" t="b">
        <v>0</v>
      </c>
      <c r="E514" s="2" t="b">
        <v>0</v>
      </c>
      <c r="F514" s="2" t="b">
        <v>0</v>
      </c>
      <c r="G514" s="2" t="s">
        <v>31</v>
      </c>
      <c r="H514" s="2" t="s">
        <v>738</v>
      </c>
      <c r="I514" s="2" t="s">
        <v>739</v>
      </c>
      <c r="J514" s="2" t="s">
        <v>740</v>
      </c>
      <c r="K514" s="2" t="s">
        <v>35</v>
      </c>
      <c r="L514" s="2" t="s">
        <v>35</v>
      </c>
      <c r="M514" s="2" t="s">
        <v>35</v>
      </c>
      <c r="N514" s="2" t="s">
        <v>35</v>
      </c>
      <c r="O514" s="11">
        <v>44737.436764409722</v>
      </c>
      <c r="P514" s="11">
        <v>44737.437331331021</v>
      </c>
      <c r="Q514" s="27">
        <v>5.6692129874136299E-4</v>
      </c>
      <c r="R514" s="27">
        <v>2.2399074077839032E-3</v>
      </c>
      <c r="S514" s="2">
        <v>0</v>
      </c>
      <c r="T514" s="2" t="s">
        <v>36</v>
      </c>
      <c r="U514" s="2" t="s">
        <v>37</v>
      </c>
      <c r="V514" s="2" t="s">
        <v>38</v>
      </c>
      <c r="W514" s="2" t="s">
        <v>35</v>
      </c>
      <c r="X514" s="2" t="s">
        <v>35</v>
      </c>
      <c r="Y514" s="2" t="s">
        <v>35</v>
      </c>
      <c r="Z514" s="2" t="b">
        <v>0</v>
      </c>
      <c r="AA514" s="2" t="s">
        <v>35</v>
      </c>
      <c r="AB514" s="2" t="s">
        <v>35</v>
      </c>
      <c r="AC514" s="2">
        <v>4</v>
      </c>
      <c r="AD514" s="2">
        <v>3</v>
      </c>
      <c r="AE514" s="2" t="s">
        <v>688</v>
      </c>
      <c r="AF514" s="11">
        <v>44737.414583275466</v>
      </c>
      <c r="AG514" s="53"/>
      <c r="AH514" s="53" t="b">
        <f t="shared" si="12"/>
        <v>0</v>
      </c>
      <c r="AI514" s="54" t="s">
        <v>9556</v>
      </c>
      <c r="AJ514" s="2"/>
      <c r="AK514" s="2"/>
      <c r="AL514" s="2"/>
      <c r="AM514" s="2"/>
      <c r="AN514" s="2"/>
    </row>
    <row r="515" spans="1:40" ht="16" x14ac:dyDescent="0.2">
      <c r="A515" s="2" t="s">
        <v>741</v>
      </c>
      <c r="B515" s="2">
        <v>219</v>
      </c>
      <c r="C515" s="2" t="b">
        <v>0</v>
      </c>
      <c r="D515" s="2" t="b">
        <v>0</v>
      </c>
      <c r="E515" s="2" t="b">
        <v>0</v>
      </c>
      <c r="F515" s="2" t="b">
        <v>0</v>
      </c>
      <c r="G515" s="2" t="s">
        <v>31</v>
      </c>
      <c r="H515" s="2" t="s">
        <v>742</v>
      </c>
      <c r="I515" s="2" t="s">
        <v>743</v>
      </c>
      <c r="J515" s="2" t="s">
        <v>35</v>
      </c>
      <c r="K515" s="2" t="s">
        <v>35</v>
      </c>
      <c r="L515" s="2" t="s">
        <v>35</v>
      </c>
      <c r="M515" s="2" t="s">
        <v>35</v>
      </c>
      <c r="N515" s="2" t="s">
        <v>35</v>
      </c>
      <c r="O515" s="11">
        <v>44737.438985358793</v>
      </c>
      <c r="P515" s="11">
        <v>44737.439096064816</v>
      </c>
      <c r="Q515" s="27">
        <v>1.1070602340623736E-4</v>
      </c>
      <c r="R515" s="27">
        <v>1.7647337954258546E-3</v>
      </c>
      <c r="S515" s="2">
        <v>0</v>
      </c>
      <c r="T515" s="2" t="s">
        <v>36</v>
      </c>
      <c r="U515" s="2" t="s">
        <v>37</v>
      </c>
      <c r="V515" s="2" t="s">
        <v>38</v>
      </c>
      <c r="W515" s="2" t="s">
        <v>35</v>
      </c>
      <c r="X515" s="2" t="s">
        <v>35</v>
      </c>
      <c r="Y515" s="2" t="s">
        <v>35</v>
      </c>
      <c r="Z515" s="2" t="b">
        <v>0</v>
      </c>
      <c r="AA515" s="2" t="s">
        <v>35</v>
      </c>
      <c r="AB515" s="2" t="s">
        <v>35</v>
      </c>
      <c r="AC515" s="2" t="s">
        <v>35</v>
      </c>
      <c r="AD515" s="2">
        <v>2</v>
      </c>
      <c r="AE515" s="2" t="s">
        <v>688</v>
      </c>
      <c r="AF515" s="11">
        <v>44737.414583275466</v>
      </c>
      <c r="AG515" s="53"/>
      <c r="AH515" s="53" t="b">
        <f t="shared" si="12"/>
        <v>0</v>
      </c>
      <c r="AI515" s="54" t="s">
        <v>10259</v>
      </c>
      <c r="AJ515" s="2"/>
      <c r="AK515" s="2"/>
      <c r="AL515" s="2"/>
      <c r="AM515" s="2"/>
      <c r="AN515" s="2"/>
    </row>
    <row r="516" spans="1:40" ht="16" x14ac:dyDescent="0.2">
      <c r="A516" s="2" t="s">
        <v>747</v>
      </c>
      <c r="B516" s="2">
        <v>221</v>
      </c>
      <c r="C516" s="2" t="b">
        <v>0</v>
      </c>
      <c r="D516" s="2" t="b">
        <v>0</v>
      </c>
      <c r="E516" s="2" t="b">
        <v>0</v>
      </c>
      <c r="F516" s="2" t="b">
        <v>0</v>
      </c>
      <c r="G516" s="2" t="s">
        <v>31</v>
      </c>
      <c r="H516" s="2" t="s">
        <v>748</v>
      </c>
      <c r="I516" s="2" t="s">
        <v>749</v>
      </c>
      <c r="J516" s="2" t="s">
        <v>736</v>
      </c>
      <c r="K516" s="2" t="s">
        <v>35</v>
      </c>
      <c r="L516" s="2" t="s">
        <v>35</v>
      </c>
      <c r="M516" s="2" t="s">
        <v>35</v>
      </c>
      <c r="N516" s="2" t="s">
        <v>35</v>
      </c>
      <c r="O516" s="11">
        <v>44737.44006025463</v>
      </c>
      <c r="P516" s="11">
        <v>44737.44147484954</v>
      </c>
      <c r="Q516" s="27">
        <v>1.4145949098747224E-3</v>
      </c>
      <c r="R516" s="27">
        <v>1.5118865776457824E-3</v>
      </c>
      <c r="S516" s="2">
        <v>0</v>
      </c>
      <c r="T516" s="2" t="s">
        <v>36</v>
      </c>
      <c r="U516" s="2" t="s">
        <v>37</v>
      </c>
      <c r="V516" s="2" t="s">
        <v>38</v>
      </c>
      <c r="W516" s="2" t="s">
        <v>35</v>
      </c>
      <c r="X516" s="2" t="s">
        <v>35</v>
      </c>
      <c r="Y516" s="2" t="s">
        <v>35</v>
      </c>
      <c r="Z516" s="2" t="b">
        <v>0</v>
      </c>
      <c r="AA516" s="2" t="s">
        <v>35</v>
      </c>
      <c r="AB516" s="2" t="s">
        <v>35</v>
      </c>
      <c r="AC516" s="2">
        <v>4</v>
      </c>
      <c r="AD516" s="2">
        <v>5</v>
      </c>
      <c r="AE516" s="2" t="s">
        <v>688</v>
      </c>
      <c r="AF516" s="11">
        <v>44737.414583275466</v>
      </c>
      <c r="AG516" s="53"/>
      <c r="AH516" s="53" t="str">
        <f t="shared" si="12"/>
        <v>TRUE</v>
      </c>
      <c r="AI516" s="54" t="s">
        <v>10261</v>
      </c>
      <c r="AJ516" s="2" t="s">
        <v>10260</v>
      </c>
      <c r="AK516" s="2"/>
      <c r="AL516" s="2"/>
      <c r="AM516" s="2"/>
      <c r="AN516" s="2"/>
    </row>
    <row r="517" spans="1:40" ht="16" x14ac:dyDescent="0.2">
      <c r="A517" s="2" t="s">
        <v>750</v>
      </c>
      <c r="B517" s="2">
        <v>222</v>
      </c>
      <c r="C517" s="2" t="b">
        <v>0</v>
      </c>
      <c r="D517" s="2" t="b">
        <v>0</v>
      </c>
      <c r="E517" s="2" t="b">
        <v>0</v>
      </c>
      <c r="F517" s="2" t="b">
        <v>0</v>
      </c>
      <c r="G517" s="2" t="s">
        <v>31</v>
      </c>
      <c r="H517" s="2" t="s">
        <v>751</v>
      </c>
      <c r="I517" s="2" t="s">
        <v>752</v>
      </c>
      <c r="J517" s="2" t="s">
        <v>35</v>
      </c>
      <c r="K517" s="2" t="s">
        <v>35</v>
      </c>
      <c r="L517" s="2" t="s">
        <v>35</v>
      </c>
      <c r="M517" s="2" t="s">
        <v>35</v>
      </c>
      <c r="N517" s="2" t="s">
        <v>35</v>
      </c>
      <c r="O517" s="11">
        <v>44737.443087083331</v>
      </c>
      <c r="P517" s="11">
        <v>44737.44319982639</v>
      </c>
      <c r="Q517" s="27">
        <v>1.1274305870756507E-4</v>
      </c>
      <c r="R517" s="27">
        <v>1.7249768498004414E-3</v>
      </c>
      <c r="S517" s="2">
        <v>0</v>
      </c>
      <c r="T517" s="2" t="s">
        <v>36</v>
      </c>
      <c r="U517" s="2" t="s">
        <v>37</v>
      </c>
      <c r="V517" s="2" t="s">
        <v>38</v>
      </c>
      <c r="W517" s="2" t="s">
        <v>35</v>
      </c>
      <c r="X517" s="2" t="s">
        <v>35</v>
      </c>
      <c r="Y517" s="2" t="s">
        <v>35</v>
      </c>
      <c r="Z517" s="2" t="b">
        <v>0</v>
      </c>
      <c r="AA517" s="2" t="s">
        <v>35</v>
      </c>
      <c r="AB517" s="2" t="s">
        <v>35</v>
      </c>
      <c r="AC517" s="2" t="s">
        <v>35</v>
      </c>
      <c r="AD517" s="2">
        <v>2</v>
      </c>
      <c r="AE517" s="2" t="s">
        <v>688</v>
      </c>
      <c r="AF517" s="11">
        <v>44737.414583275466</v>
      </c>
      <c r="AG517" s="53"/>
      <c r="AH517" s="53" t="b">
        <f t="shared" si="12"/>
        <v>0</v>
      </c>
      <c r="AI517" s="54" t="s">
        <v>10262</v>
      </c>
      <c r="AJ517" s="2"/>
      <c r="AK517" s="2"/>
      <c r="AL517" s="2"/>
      <c r="AM517" s="2"/>
      <c r="AN517" s="2"/>
    </row>
    <row r="518" spans="1:40" ht="16" x14ac:dyDescent="0.2">
      <c r="A518" s="2" t="s">
        <v>753</v>
      </c>
      <c r="B518" s="2">
        <v>223</v>
      </c>
      <c r="C518" s="2" t="b">
        <v>0</v>
      </c>
      <c r="D518" s="2" t="b">
        <v>0</v>
      </c>
      <c r="E518" s="2" t="b">
        <v>0</v>
      </c>
      <c r="F518" s="2" t="b">
        <v>0</v>
      </c>
      <c r="G518" s="2" t="s">
        <v>31</v>
      </c>
      <c r="H518" s="2" t="s">
        <v>754</v>
      </c>
      <c r="I518" s="2" t="s">
        <v>755</v>
      </c>
      <c r="J518" s="2" t="s">
        <v>736</v>
      </c>
      <c r="K518" s="2" t="s">
        <v>35</v>
      </c>
      <c r="L518" s="2" t="s">
        <v>35</v>
      </c>
      <c r="M518" s="2" t="s">
        <v>35</v>
      </c>
      <c r="N518" s="2" t="s">
        <v>35</v>
      </c>
      <c r="O518" s="11">
        <v>44737.444362592592</v>
      </c>
      <c r="P518" s="11">
        <v>44737.444947638891</v>
      </c>
      <c r="Q518" s="27">
        <v>5.8504629851086065E-4</v>
      </c>
      <c r="R518" s="27">
        <v>1.747812500980217E-3</v>
      </c>
      <c r="S518" s="2">
        <v>0</v>
      </c>
      <c r="T518" s="2" t="s">
        <v>36</v>
      </c>
      <c r="U518" s="2" t="s">
        <v>37</v>
      </c>
      <c r="V518" s="2" t="s">
        <v>38</v>
      </c>
      <c r="W518" s="2" t="s">
        <v>35</v>
      </c>
      <c r="X518" s="2" t="s">
        <v>35</v>
      </c>
      <c r="Y518" s="2" t="s">
        <v>35</v>
      </c>
      <c r="Z518" s="2" t="b">
        <v>0</v>
      </c>
      <c r="AA518" s="2" t="s">
        <v>35</v>
      </c>
      <c r="AB518" s="2" t="s">
        <v>35</v>
      </c>
      <c r="AC518" s="2">
        <v>4</v>
      </c>
      <c r="AD518" s="2" t="s">
        <v>35</v>
      </c>
      <c r="AE518" s="2" t="s">
        <v>688</v>
      </c>
      <c r="AF518" s="11">
        <v>44737.414583275466</v>
      </c>
      <c r="AG518" s="53"/>
      <c r="AH518" s="53" t="b">
        <f t="shared" si="12"/>
        <v>0</v>
      </c>
      <c r="AI518" s="54" t="s">
        <v>10263</v>
      </c>
      <c r="AJ518" s="2"/>
      <c r="AK518" s="2"/>
      <c r="AL518" s="2"/>
      <c r="AM518" s="2"/>
      <c r="AN518" s="2"/>
    </row>
    <row r="519" spans="1:40" ht="16" x14ac:dyDescent="0.2">
      <c r="A519" s="2" t="s">
        <v>760</v>
      </c>
      <c r="B519" s="2">
        <v>225</v>
      </c>
      <c r="C519" s="2" t="b">
        <v>0</v>
      </c>
      <c r="D519" s="2" t="b">
        <v>0</v>
      </c>
      <c r="E519" s="2" t="b">
        <v>0</v>
      </c>
      <c r="F519" s="2" t="b">
        <v>0</v>
      </c>
      <c r="G519" s="2" t="s">
        <v>31</v>
      </c>
      <c r="H519" s="2" t="s">
        <v>761</v>
      </c>
      <c r="I519" s="2" t="s">
        <v>762</v>
      </c>
      <c r="J519" s="2" t="s">
        <v>35</v>
      </c>
      <c r="K519" s="2" t="s">
        <v>35</v>
      </c>
      <c r="L519" s="2" t="s">
        <v>35</v>
      </c>
      <c r="M519" s="2" t="s">
        <v>35</v>
      </c>
      <c r="N519" s="2" t="s">
        <v>35</v>
      </c>
      <c r="O519" s="11">
        <v>44737.448360821756</v>
      </c>
      <c r="P519" s="11">
        <v>44737.448481134263</v>
      </c>
      <c r="Q519" s="27">
        <v>1.2031250662403181E-4</v>
      </c>
      <c r="R519" s="27">
        <v>4.3582176294876263E-4</v>
      </c>
      <c r="S519" s="2">
        <v>0</v>
      </c>
      <c r="T519" s="2" t="s">
        <v>36</v>
      </c>
      <c r="U519" s="2" t="s">
        <v>37</v>
      </c>
      <c r="V519" s="2" t="s">
        <v>38</v>
      </c>
      <c r="W519" s="2" t="s">
        <v>35</v>
      </c>
      <c r="X519" s="2" t="s">
        <v>35</v>
      </c>
      <c r="Y519" s="2" t="s">
        <v>35</v>
      </c>
      <c r="Z519" s="2" t="b">
        <v>0</v>
      </c>
      <c r="AA519" s="2" t="s">
        <v>35</v>
      </c>
      <c r="AB519" s="2" t="s">
        <v>35</v>
      </c>
      <c r="AC519" s="2" t="s">
        <v>35</v>
      </c>
      <c r="AD519" s="2">
        <v>5</v>
      </c>
      <c r="AE519" s="2" t="s">
        <v>688</v>
      </c>
      <c r="AF519" s="11">
        <v>44737.414583275466</v>
      </c>
      <c r="AG519" s="53"/>
      <c r="AH519" s="53" t="b">
        <f t="shared" si="12"/>
        <v>0</v>
      </c>
      <c r="AI519" s="54" t="s">
        <v>10264</v>
      </c>
      <c r="AJ519" s="2"/>
      <c r="AK519" s="2"/>
      <c r="AL519" s="2"/>
      <c r="AM519" s="2"/>
      <c r="AN519" s="2"/>
    </row>
    <row r="520" spans="1:40" ht="16" x14ac:dyDescent="0.2">
      <c r="A520" s="2" t="s">
        <v>763</v>
      </c>
      <c r="B520" s="2">
        <v>226</v>
      </c>
      <c r="C520" s="2" t="b">
        <v>0</v>
      </c>
      <c r="D520" s="2" t="b">
        <v>0</v>
      </c>
      <c r="E520" s="2" t="b">
        <v>0</v>
      </c>
      <c r="F520" s="2" t="b">
        <v>0</v>
      </c>
      <c r="G520" s="2" t="s">
        <v>31</v>
      </c>
      <c r="H520" s="2" t="s">
        <v>764</v>
      </c>
      <c r="I520" s="2" t="s">
        <v>765</v>
      </c>
      <c r="J520" s="2" t="s">
        <v>766</v>
      </c>
      <c r="K520" s="2" t="s">
        <v>35</v>
      </c>
      <c r="L520" s="2" t="s">
        <v>35</v>
      </c>
      <c r="M520" s="2" t="s">
        <v>35</v>
      </c>
      <c r="N520" s="2" t="s">
        <v>35</v>
      </c>
      <c r="O520" s="11">
        <v>44737.449153344911</v>
      </c>
      <c r="P520" s="11">
        <v>44737.449407673608</v>
      </c>
      <c r="Q520" s="27">
        <v>2.5432869733776897E-4</v>
      </c>
      <c r="R520" s="27">
        <v>9.265393455279991E-4</v>
      </c>
      <c r="S520" s="2">
        <v>0</v>
      </c>
      <c r="T520" s="2" t="s">
        <v>36</v>
      </c>
      <c r="U520" s="2" t="s">
        <v>37</v>
      </c>
      <c r="V520" s="2" t="s">
        <v>38</v>
      </c>
      <c r="W520" s="2" t="s">
        <v>35</v>
      </c>
      <c r="X520" s="2" t="s">
        <v>35</v>
      </c>
      <c r="Y520" s="2" t="s">
        <v>35</v>
      </c>
      <c r="Z520" s="2" t="b">
        <v>0</v>
      </c>
      <c r="AA520" s="2" t="s">
        <v>35</v>
      </c>
      <c r="AB520" s="2" t="s">
        <v>35</v>
      </c>
      <c r="AC520" s="2">
        <v>4</v>
      </c>
      <c r="AD520" s="2">
        <v>3</v>
      </c>
      <c r="AE520" s="2" t="s">
        <v>688</v>
      </c>
      <c r="AF520" s="11">
        <v>44737.414583275466</v>
      </c>
      <c r="AG520" s="53"/>
      <c r="AH520" s="53" t="b">
        <f t="shared" si="12"/>
        <v>0</v>
      </c>
      <c r="AI520" s="54" t="s">
        <v>10265</v>
      </c>
      <c r="AJ520" s="2"/>
      <c r="AK520" s="2"/>
      <c r="AL520" s="2"/>
      <c r="AM520" s="2"/>
      <c r="AN520" s="2"/>
    </row>
    <row r="521" spans="1:40" ht="16" x14ac:dyDescent="0.2">
      <c r="A521" s="2" t="s">
        <v>767</v>
      </c>
      <c r="B521" s="2">
        <v>227</v>
      </c>
      <c r="C521" s="2" t="b">
        <v>0</v>
      </c>
      <c r="D521" s="2" t="b">
        <v>0</v>
      </c>
      <c r="E521" s="2" t="b">
        <v>0</v>
      </c>
      <c r="F521" s="2" t="b">
        <v>0</v>
      </c>
      <c r="G521" s="2" t="s">
        <v>31</v>
      </c>
      <c r="H521" s="2" t="s">
        <v>768</v>
      </c>
      <c r="I521" s="2" t="s">
        <v>769</v>
      </c>
      <c r="J521" s="2" t="s">
        <v>766</v>
      </c>
      <c r="K521" s="2" t="s">
        <v>35</v>
      </c>
      <c r="L521" s="2" t="s">
        <v>35</v>
      </c>
      <c r="M521" s="2" t="s">
        <v>35</v>
      </c>
      <c r="N521" s="2" t="s">
        <v>35</v>
      </c>
      <c r="O521" s="11">
        <v>44737.44971079861</v>
      </c>
      <c r="P521" s="11">
        <v>44737.4508446412</v>
      </c>
      <c r="Q521" s="27">
        <v>1.1338425902067684E-3</v>
      </c>
      <c r="R521" s="27">
        <v>1.4369675918715075E-3</v>
      </c>
      <c r="S521" s="2">
        <v>0</v>
      </c>
      <c r="T521" s="2" t="s">
        <v>36</v>
      </c>
      <c r="U521" s="2" t="s">
        <v>37</v>
      </c>
      <c r="V521" s="2" t="s">
        <v>38</v>
      </c>
      <c r="W521" s="2" t="s">
        <v>35</v>
      </c>
      <c r="X521" s="2" t="s">
        <v>35</v>
      </c>
      <c r="Y521" s="2" t="s">
        <v>35</v>
      </c>
      <c r="Z521" s="2" t="b">
        <v>0</v>
      </c>
      <c r="AA521" s="2" t="s">
        <v>35</v>
      </c>
      <c r="AB521" s="2" t="s">
        <v>35</v>
      </c>
      <c r="AC521" s="2">
        <v>4</v>
      </c>
      <c r="AD521" s="2">
        <v>7</v>
      </c>
      <c r="AE521" s="2" t="s">
        <v>688</v>
      </c>
      <c r="AF521" s="11">
        <v>44737.414583275466</v>
      </c>
      <c r="AG521" s="53"/>
      <c r="AH521" s="53" t="str">
        <f t="shared" si="12"/>
        <v>TRUE</v>
      </c>
      <c r="AI521" s="54" t="s">
        <v>10266</v>
      </c>
      <c r="AJ521" s="2"/>
      <c r="AK521" s="2"/>
      <c r="AL521" s="2"/>
      <c r="AM521" s="2"/>
      <c r="AN521" s="2"/>
    </row>
    <row r="522" spans="1:40" ht="16" x14ac:dyDescent="0.2">
      <c r="A522" s="2" t="s">
        <v>770</v>
      </c>
      <c r="B522" s="2">
        <v>228</v>
      </c>
      <c r="C522" s="2" t="b">
        <v>0</v>
      </c>
      <c r="D522" s="2" t="b">
        <v>0</v>
      </c>
      <c r="E522" s="2" t="b">
        <v>0</v>
      </c>
      <c r="F522" s="2" t="b">
        <v>0</v>
      </c>
      <c r="G522" s="2" t="s">
        <v>31</v>
      </c>
      <c r="H522" s="2" t="s">
        <v>771</v>
      </c>
      <c r="I522" s="2" t="s">
        <v>772</v>
      </c>
      <c r="J522" s="2" t="s">
        <v>773</v>
      </c>
      <c r="K522" s="2" t="s">
        <v>35</v>
      </c>
      <c r="L522" s="2" t="s">
        <v>35</v>
      </c>
      <c r="M522" s="2" t="s">
        <v>35</v>
      </c>
      <c r="N522" s="2" t="s">
        <v>35</v>
      </c>
      <c r="O522" s="11">
        <v>44737.45124771991</v>
      </c>
      <c r="P522" s="11">
        <v>44737.451695694443</v>
      </c>
      <c r="Q522" s="27">
        <v>4.4797453301725909E-4</v>
      </c>
      <c r="R522" s="27">
        <v>8.5105324251344427E-4</v>
      </c>
      <c r="S522" s="2">
        <v>0</v>
      </c>
      <c r="T522" s="2" t="s">
        <v>36</v>
      </c>
      <c r="U522" s="2" t="s">
        <v>37</v>
      </c>
      <c r="V522" s="2" t="s">
        <v>38</v>
      </c>
      <c r="W522" s="2" t="s">
        <v>35</v>
      </c>
      <c r="X522" s="2" t="s">
        <v>35</v>
      </c>
      <c r="Y522" s="2" t="s">
        <v>35</v>
      </c>
      <c r="Z522" s="2" t="b">
        <v>0</v>
      </c>
      <c r="AA522" s="2" t="s">
        <v>35</v>
      </c>
      <c r="AB522" s="2" t="s">
        <v>35</v>
      </c>
      <c r="AC522" s="2">
        <v>9</v>
      </c>
      <c r="AD522" s="2" t="s">
        <v>35</v>
      </c>
      <c r="AE522" s="2" t="s">
        <v>688</v>
      </c>
      <c r="AF522" s="11">
        <v>44737.414583275466</v>
      </c>
      <c r="AG522" s="53"/>
      <c r="AH522" s="53" t="b">
        <f t="shared" si="12"/>
        <v>0</v>
      </c>
      <c r="AI522" s="54" t="s">
        <v>10267</v>
      </c>
      <c r="AJ522" s="2"/>
      <c r="AK522" s="2"/>
      <c r="AL522" s="2"/>
      <c r="AM522" s="2"/>
      <c r="AN522" s="2"/>
    </row>
    <row r="523" spans="1:40" ht="16" x14ac:dyDescent="0.2">
      <c r="A523" s="2" t="s">
        <v>777</v>
      </c>
      <c r="B523" s="2">
        <v>230</v>
      </c>
      <c r="C523" s="2" t="b">
        <v>0</v>
      </c>
      <c r="D523" s="2" t="b">
        <v>0</v>
      </c>
      <c r="E523" s="2" t="b">
        <v>0</v>
      </c>
      <c r="F523" s="2" t="b">
        <v>0</v>
      </c>
      <c r="G523" s="2" t="s">
        <v>31</v>
      </c>
      <c r="H523" s="2" t="s">
        <v>778</v>
      </c>
      <c r="I523" s="2" t="s">
        <v>779</v>
      </c>
      <c r="J523" s="2" t="s">
        <v>35</v>
      </c>
      <c r="K523" s="2" t="s">
        <v>35</v>
      </c>
      <c r="L523" s="2" t="s">
        <v>35</v>
      </c>
      <c r="M523" s="2" t="s">
        <v>35</v>
      </c>
      <c r="N523" s="2" t="s">
        <v>35</v>
      </c>
      <c r="O523" s="11">
        <v>44737.455675509256</v>
      </c>
      <c r="P523" s="11">
        <v>44737.455867280092</v>
      </c>
      <c r="Q523" s="27">
        <v>1.9177083595423028E-4</v>
      </c>
      <c r="R523" s="27">
        <v>2.5793981476454064E-3</v>
      </c>
      <c r="S523" s="2">
        <v>0</v>
      </c>
      <c r="T523" s="2" t="s">
        <v>36</v>
      </c>
      <c r="U523" s="2" t="s">
        <v>37</v>
      </c>
      <c r="V523" s="2" t="s">
        <v>38</v>
      </c>
      <c r="W523" s="2" t="s">
        <v>35</v>
      </c>
      <c r="X523" s="2" t="s">
        <v>35</v>
      </c>
      <c r="Y523" s="2" t="s">
        <v>35</v>
      </c>
      <c r="Z523" s="2" t="b">
        <v>0</v>
      </c>
      <c r="AA523" s="2" t="s">
        <v>35</v>
      </c>
      <c r="AB523" s="2" t="s">
        <v>35</v>
      </c>
      <c r="AC523" s="2" t="s">
        <v>35</v>
      </c>
      <c r="AD523" s="2">
        <v>5</v>
      </c>
      <c r="AE523" s="2" t="s">
        <v>688</v>
      </c>
      <c r="AF523" s="11">
        <v>44737.414583275466</v>
      </c>
      <c r="AG523" s="53"/>
      <c r="AH523" s="53" t="b">
        <f t="shared" si="12"/>
        <v>0</v>
      </c>
      <c r="AI523" s="54" t="s">
        <v>9554</v>
      </c>
      <c r="AJ523" s="2"/>
      <c r="AK523" s="2"/>
      <c r="AL523" s="2"/>
      <c r="AM523" s="2"/>
      <c r="AN523" s="2"/>
    </row>
    <row r="524" spans="1:40" ht="16" x14ac:dyDescent="0.2">
      <c r="A524" s="2" t="s">
        <v>783</v>
      </c>
      <c r="B524" s="2">
        <v>232</v>
      </c>
      <c r="C524" s="2" t="b">
        <v>0</v>
      </c>
      <c r="D524" s="2" t="b">
        <v>0</v>
      </c>
      <c r="E524" s="2" t="b">
        <v>0</v>
      </c>
      <c r="F524" s="2" t="b">
        <v>0</v>
      </c>
      <c r="G524" s="2" t="s">
        <v>31</v>
      </c>
      <c r="H524" s="2" t="s">
        <v>784</v>
      </c>
      <c r="I524" s="2" t="s">
        <v>785</v>
      </c>
      <c r="J524" s="2" t="s">
        <v>773</v>
      </c>
      <c r="K524" s="2" t="s">
        <v>35</v>
      </c>
      <c r="L524" s="2" t="s">
        <v>35</v>
      </c>
      <c r="M524" s="2" t="s">
        <v>35</v>
      </c>
      <c r="N524" s="2" t="s">
        <v>35</v>
      </c>
      <c r="O524" s="11">
        <v>44737.456719583337</v>
      </c>
      <c r="P524" s="11">
        <v>44737.457253761575</v>
      </c>
      <c r="Q524" s="27">
        <v>5.3417823801282793E-4</v>
      </c>
      <c r="R524" s="27">
        <v>6.6519676329335198E-4</v>
      </c>
      <c r="S524" s="2">
        <v>0</v>
      </c>
      <c r="T524" s="2" t="s">
        <v>36</v>
      </c>
      <c r="U524" s="2" t="s">
        <v>37</v>
      </c>
      <c r="V524" s="2" t="s">
        <v>38</v>
      </c>
      <c r="W524" s="2" t="s">
        <v>35</v>
      </c>
      <c r="X524" s="2" t="s">
        <v>35</v>
      </c>
      <c r="Y524" s="2" t="s">
        <v>35</v>
      </c>
      <c r="Z524" s="2" t="b">
        <v>0</v>
      </c>
      <c r="AA524" s="2" t="s">
        <v>35</v>
      </c>
      <c r="AB524" s="2" t="s">
        <v>35</v>
      </c>
      <c r="AC524" s="2">
        <v>6</v>
      </c>
      <c r="AD524" s="2" t="s">
        <v>35</v>
      </c>
      <c r="AE524" s="2" t="s">
        <v>688</v>
      </c>
      <c r="AF524" s="11">
        <v>44737.414583275466</v>
      </c>
      <c r="AG524" s="53"/>
      <c r="AH524" s="53" t="b">
        <f t="shared" si="12"/>
        <v>0</v>
      </c>
      <c r="AI524" s="54" t="s">
        <v>10268</v>
      </c>
      <c r="AJ524" s="2"/>
      <c r="AK524" s="2"/>
      <c r="AL524" s="2"/>
      <c r="AM524" s="2"/>
      <c r="AN524" s="2"/>
    </row>
    <row r="525" spans="1:40" ht="16" x14ac:dyDescent="0.2">
      <c r="A525" s="2" t="s">
        <v>786</v>
      </c>
      <c r="B525" s="2">
        <v>233</v>
      </c>
      <c r="C525" s="2" t="b">
        <v>0</v>
      </c>
      <c r="D525" s="2" t="b">
        <v>0</v>
      </c>
      <c r="E525" s="2" t="b">
        <v>0</v>
      </c>
      <c r="F525" s="2" t="b">
        <v>0</v>
      </c>
      <c r="G525" s="2" t="s">
        <v>31</v>
      </c>
      <c r="H525" s="2" t="s">
        <v>787</v>
      </c>
      <c r="I525" s="2" t="s">
        <v>788</v>
      </c>
      <c r="J525" s="2" t="s">
        <v>773</v>
      </c>
      <c r="K525" s="2" t="s">
        <v>35</v>
      </c>
      <c r="L525" s="2" t="s">
        <v>35</v>
      </c>
      <c r="M525" s="2" t="s">
        <v>35</v>
      </c>
      <c r="N525" s="2" t="s">
        <v>35</v>
      </c>
      <c r="O525" s="11">
        <v>44737.459764247687</v>
      </c>
      <c r="P525" s="11">
        <v>44737.460178541667</v>
      </c>
      <c r="Q525" s="27">
        <v>4.1429397970205173E-4</v>
      </c>
      <c r="R525" s="27">
        <v>2.9247800921439193E-3</v>
      </c>
      <c r="S525" s="2">
        <v>0</v>
      </c>
      <c r="T525" s="2" t="s">
        <v>36</v>
      </c>
      <c r="U525" s="2" t="s">
        <v>37</v>
      </c>
      <c r="V525" s="2" t="s">
        <v>38</v>
      </c>
      <c r="W525" s="2" t="s">
        <v>35</v>
      </c>
      <c r="X525" s="2" t="s">
        <v>35</v>
      </c>
      <c r="Y525" s="2" t="s">
        <v>35</v>
      </c>
      <c r="Z525" s="2" t="b">
        <v>0</v>
      </c>
      <c r="AA525" s="2" t="s">
        <v>35</v>
      </c>
      <c r="AB525" s="2" t="s">
        <v>35</v>
      </c>
      <c r="AC525" s="2">
        <v>7</v>
      </c>
      <c r="AD525" s="2" t="s">
        <v>35</v>
      </c>
      <c r="AE525" s="2" t="s">
        <v>688</v>
      </c>
      <c r="AF525" s="11">
        <v>44737.414583275466</v>
      </c>
      <c r="AG525" s="53"/>
      <c r="AH525" s="53" t="b">
        <f t="shared" si="12"/>
        <v>0</v>
      </c>
      <c r="AI525" s="54" t="s">
        <v>10269</v>
      </c>
      <c r="AJ525" s="2"/>
      <c r="AK525" s="2"/>
      <c r="AL525" s="2"/>
      <c r="AM525" s="2"/>
      <c r="AN525" s="2"/>
    </row>
    <row r="526" spans="1:40" ht="16" x14ac:dyDescent="0.2">
      <c r="A526" s="2" t="s">
        <v>789</v>
      </c>
      <c r="B526" s="2">
        <v>234</v>
      </c>
      <c r="C526" s="2" t="b">
        <v>0</v>
      </c>
      <c r="D526" s="2" t="b">
        <v>0</v>
      </c>
      <c r="E526" s="2" t="b">
        <v>0</v>
      </c>
      <c r="F526" s="2" t="b">
        <v>0</v>
      </c>
      <c r="G526" s="2" t="s">
        <v>31</v>
      </c>
      <c r="H526" s="2" t="s">
        <v>790</v>
      </c>
      <c r="I526" s="2" t="s">
        <v>791</v>
      </c>
      <c r="J526" s="2" t="s">
        <v>35</v>
      </c>
      <c r="K526" s="2" t="s">
        <v>35</v>
      </c>
      <c r="L526" s="2" t="s">
        <v>35</v>
      </c>
      <c r="M526" s="2" t="s">
        <v>35</v>
      </c>
      <c r="N526" s="2" t="s">
        <v>35</v>
      </c>
      <c r="O526" s="11">
        <v>44737.464108136577</v>
      </c>
      <c r="P526" s="11">
        <v>44737.464261053239</v>
      </c>
      <c r="Q526" s="27">
        <v>1.5291666204575449E-4</v>
      </c>
      <c r="R526" s="27">
        <v>3.7216435157461092E-4</v>
      </c>
      <c r="S526" s="2">
        <v>0</v>
      </c>
      <c r="T526" s="2" t="s">
        <v>36</v>
      </c>
      <c r="U526" s="2" t="s">
        <v>37</v>
      </c>
      <c r="V526" s="2" t="s">
        <v>38</v>
      </c>
      <c r="W526" s="2" t="s">
        <v>35</v>
      </c>
      <c r="X526" s="2" t="s">
        <v>35</v>
      </c>
      <c r="Y526" s="2" t="s">
        <v>35</v>
      </c>
      <c r="Z526" s="2" t="b">
        <v>0</v>
      </c>
      <c r="AA526" s="2" t="s">
        <v>35</v>
      </c>
      <c r="AB526" s="2" t="s">
        <v>35</v>
      </c>
      <c r="AC526" s="2" t="s">
        <v>35</v>
      </c>
      <c r="AD526" s="2">
        <v>3</v>
      </c>
      <c r="AE526" s="2" t="s">
        <v>792</v>
      </c>
      <c r="AF526" s="11">
        <v>44737.463888888888</v>
      </c>
      <c r="AG526" s="53"/>
      <c r="AH526" s="53" t="b">
        <f t="shared" si="12"/>
        <v>0</v>
      </c>
      <c r="AI526" s="54" t="s">
        <v>10270</v>
      </c>
      <c r="AJ526" s="2"/>
      <c r="AK526" s="2"/>
      <c r="AL526" s="2"/>
      <c r="AM526" s="2"/>
      <c r="AN526" s="2"/>
    </row>
    <row r="527" spans="1:40" ht="16" x14ac:dyDescent="0.2">
      <c r="A527" s="2" t="s">
        <v>793</v>
      </c>
      <c r="B527" s="2">
        <v>235</v>
      </c>
      <c r="C527" s="2" t="b">
        <v>0</v>
      </c>
      <c r="D527" s="2" t="b">
        <v>0</v>
      </c>
      <c r="E527" s="2" t="b">
        <v>0</v>
      </c>
      <c r="F527" s="2" t="b">
        <v>0</v>
      </c>
      <c r="G527" s="2" t="s">
        <v>31</v>
      </c>
      <c r="H527" s="2" t="s">
        <v>794</v>
      </c>
      <c r="I527" s="2" t="s">
        <v>795</v>
      </c>
      <c r="J527" s="2" t="s">
        <v>35</v>
      </c>
      <c r="K527" s="2" t="s">
        <v>35</v>
      </c>
      <c r="L527" s="2" t="s">
        <v>35</v>
      </c>
      <c r="M527" s="2" t="s">
        <v>35</v>
      </c>
      <c r="N527" s="2" t="s">
        <v>35</v>
      </c>
      <c r="O527" s="11">
        <v>44737.466522395836</v>
      </c>
      <c r="P527" s="11">
        <v>44737.466633483797</v>
      </c>
      <c r="Q527" s="27">
        <v>1.1108796024927869E-4</v>
      </c>
      <c r="R527" s="27">
        <v>2.3724305574432947E-3</v>
      </c>
      <c r="S527" s="2">
        <v>0</v>
      </c>
      <c r="T527" s="2" t="s">
        <v>36</v>
      </c>
      <c r="U527" s="2" t="s">
        <v>37</v>
      </c>
      <c r="V527" s="2" t="s">
        <v>38</v>
      </c>
      <c r="W527" s="2" t="s">
        <v>35</v>
      </c>
      <c r="X527" s="2" t="s">
        <v>35</v>
      </c>
      <c r="Y527" s="2" t="s">
        <v>35</v>
      </c>
      <c r="Z527" s="2" t="b">
        <v>0</v>
      </c>
      <c r="AA527" s="2" t="s">
        <v>35</v>
      </c>
      <c r="AB527" s="2" t="s">
        <v>35</v>
      </c>
      <c r="AC527" s="2" t="s">
        <v>35</v>
      </c>
      <c r="AD527" s="2">
        <v>2</v>
      </c>
      <c r="AE527" s="2" t="s">
        <v>792</v>
      </c>
      <c r="AF527" s="11">
        <v>44737.463888888888</v>
      </c>
      <c r="AG527" s="53"/>
      <c r="AH527" s="53" t="b">
        <f t="shared" si="12"/>
        <v>0</v>
      </c>
      <c r="AI527" s="54" t="s">
        <v>10271</v>
      </c>
      <c r="AJ527" s="2"/>
      <c r="AK527" s="2"/>
      <c r="AL527" s="2"/>
      <c r="AM527" s="2"/>
      <c r="AN527" s="2"/>
    </row>
    <row r="528" spans="1:40" ht="16" x14ac:dyDescent="0.2">
      <c r="A528" s="2" t="s">
        <v>796</v>
      </c>
      <c r="B528" s="2">
        <v>236</v>
      </c>
      <c r="C528" s="2" t="b">
        <v>0</v>
      </c>
      <c r="D528" s="2" t="b">
        <v>0</v>
      </c>
      <c r="E528" s="2" t="b">
        <v>0</v>
      </c>
      <c r="F528" s="2" t="b">
        <v>0</v>
      </c>
      <c r="G528" s="2" t="s">
        <v>31</v>
      </c>
      <c r="H528" s="2" t="s">
        <v>797</v>
      </c>
      <c r="I528" s="2" t="s">
        <v>798</v>
      </c>
      <c r="J528" s="2" t="s">
        <v>35</v>
      </c>
      <c r="K528" s="2" t="s">
        <v>35</v>
      </c>
      <c r="L528" s="2" t="s">
        <v>35</v>
      </c>
      <c r="M528" s="2" t="s">
        <v>35</v>
      </c>
      <c r="N528" s="2" t="s">
        <v>35</v>
      </c>
      <c r="O528" s="11">
        <v>44737.467113831015</v>
      </c>
      <c r="P528" s="11">
        <v>44737.467305289349</v>
      </c>
      <c r="Q528" s="27">
        <v>1.914583335747011E-4</v>
      </c>
      <c r="R528" s="27">
        <v>6.7180555197410285E-4</v>
      </c>
      <c r="S528" s="2">
        <v>0</v>
      </c>
      <c r="T528" s="2" t="s">
        <v>36</v>
      </c>
      <c r="U528" s="2" t="s">
        <v>37</v>
      </c>
      <c r="V528" s="2" t="s">
        <v>38</v>
      </c>
      <c r="W528" s="2" t="s">
        <v>35</v>
      </c>
      <c r="X528" s="2" t="s">
        <v>35</v>
      </c>
      <c r="Y528" s="2" t="s">
        <v>35</v>
      </c>
      <c r="Z528" s="2" t="b">
        <v>0</v>
      </c>
      <c r="AA528" s="2" t="s">
        <v>35</v>
      </c>
      <c r="AB528" s="2" t="s">
        <v>35</v>
      </c>
      <c r="AC528" s="2" t="s">
        <v>35</v>
      </c>
      <c r="AD528" s="2">
        <v>2</v>
      </c>
      <c r="AE528" s="2" t="s">
        <v>792</v>
      </c>
      <c r="AF528" s="11">
        <v>44737.463888831022</v>
      </c>
      <c r="AG528" s="53"/>
      <c r="AH528" s="53" t="b">
        <f t="shared" si="12"/>
        <v>0</v>
      </c>
      <c r="AI528" s="54" t="s">
        <v>10272</v>
      </c>
      <c r="AJ528" s="2"/>
      <c r="AK528" s="2"/>
      <c r="AL528" s="2"/>
      <c r="AM528" s="2"/>
      <c r="AN528" s="2"/>
    </row>
    <row r="529" spans="1:40" ht="16" x14ac:dyDescent="0.2">
      <c r="A529" s="2" t="s">
        <v>802</v>
      </c>
      <c r="B529" s="2">
        <v>238</v>
      </c>
      <c r="C529" s="2" t="b">
        <v>0</v>
      </c>
      <c r="D529" s="2" t="b">
        <v>0</v>
      </c>
      <c r="E529" s="2" t="b">
        <v>0</v>
      </c>
      <c r="F529" s="2" t="b">
        <v>0</v>
      </c>
      <c r="G529" s="2" t="s">
        <v>31</v>
      </c>
      <c r="H529" s="2" t="s">
        <v>803</v>
      </c>
      <c r="I529" s="2" t="s">
        <v>804</v>
      </c>
      <c r="J529" s="2" t="s">
        <v>35</v>
      </c>
      <c r="K529" s="2" t="s">
        <v>35</v>
      </c>
      <c r="L529" s="2" t="s">
        <v>35</v>
      </c>
      <c r="M529" s="2" t="s">
        <v>35</v>
      </c>
      <c r="N529" s="2" t="s">
        <v>35</v>
      </c>
      <c r="O529" s="11">
        <v>44737.468881527777</v>
      </c>
      <c r="P529" s="11">
        <v>44737.469520567131</v>
      </c>
      <c r="Q529" s="27">
        <v>6.390393537003547E-4</v>
      </c>
      <c r="R529" s="27">
        <v>1.5434143497259356E-3</v>
      </c>
      <c r="S529" s="2">
        <v>0</v>
      </c>
      <c r="T529" s="2" t="s">
        <v>36</v>
      </c>
      <c r="U529" s="2" t="s">
        <v>37</v>
      </c>
      <c r="V529" s="2" t="s">
        <v>38</v>
      </c>
      <c r="W529" s="2" t="s">
        <v>35</v>
      </c>
      <c r="X529" s="2" t="s">
        <v>35</v>
      </c>
      <c r="Y529" s="2" t="s">
        <v>35</v>
      </c>
      <c r="Z529" s="2" t="b">
        <v>0</v>
      </c>
      <c r="AA529" s="2" t="s">
        <v>35</v>
      </c>
      <c r="AB529" s="2" t="s">
        <v>35</v>
      </c>
      <c r="AC529" s="2" t="s">
        <v>35</v>
      </c>
      <c r="AD529" s="2">
        <v>3</v>
      </c>
      <c r="AE529" s="2" t="s">
        <v>792</v>
      </c>
      <c r="AF529" s="11">
        <v>44737.463888831022</v>
      </c>
      <c r="AG529" s="53"/>
      <c r="AH529" s="53" t="b">
        <f t="shared" si="12"/>
        <v>0</v>
      </c>
      <c r="AI529" s="54" t="s">
        <v>10273</v>
      </c>
      <c r="AJ529" s="2"/>
      <c r="AK529" s="2"/>
      <c r="AL529" s="2"/>
      <c r="AM529" s="2"/>
      <c r="AN529" s="2"/>
    </row>
    <row r="530" spans="1:40" ht="16" x14ac:dyDescent="0.2">
      <c r="A530" s="2" t="s">
        <v>805</v>
      </c>
      <c r="B530" s="2">
        <v>239</v>
      </c>
      <c r="C530" s="2" t="b">
        <v>0</v>
      </c>
      <c r="D530" s="2" t="b">
        <v>0</v>
      </c>
      <c r="E530" s="2" t="b">
        <v>0</v>
      </c>
      <c r="F530" s="2" t="b">
        <v>0</v>
      </c>
      <c r="G530" s="2" t="s">
        <v>31</v>
      </c>
      <c r="H530" s="2" t="s">
        <v>806</v>
      </c>
      <c r="I530" s="2" t="s">
        <v>807</v>
      </c>
      <c r="J530" s="2" t="s">
        <v>35</v>
      </c>
      <c r="K530" s="2" t="s">
        <v>35</v>
      </c>
      <c r="L530" s="2" t="s">
        <v>35</v>
      </c>
      <c r="M530" s="2" t="s">
        <v>35</v>
      </c>
      <c r="N530" s="2" t="s">
        <v>35</v>
      </c>
      <c r="O530" s="11">
        <v>44737.470912523146</v>
      </c>
      <c r="P530" s="11">
        <v>44737.471022152778</v>
      </c>
      <c r="Q530" s="27">
        <v>1.096296327887103E-4</v>
      </c>
      <c r="R530" s="27">
        <v>1.5015856479294598E-3</v>
      </c>
      <c r="S530" s="2">
        <v>0</v>
      </c>
      <c r="T530" s="2" t="s">
        <v>36</v>
      </c>
      <c r="U530" s="2" t="s">
        <v>37</v>
      </c>
      <c r="V530" s="2" t="s">
        <v>38</v>
      </c>
      <c r="W530" s="2" t="s">
        <v>35</v>
      </c>
      <c r="X530" s="2" t="s">
        <v>35</v>
      </c>
      <c r="Y530" s="2" t="s">
        <v>35</v>
      </c>
      <c r="Z530" s="2" t="b">
        <v>0</v>
      </c>
      <c r="AA530" s="2" t="s">
        <v>35</v>
      </c>
      <c r="AB530" s="2" t="s">
        <v>35</v>
      </c>
      <c r="AC530" s="2" t="s">
        <v>35</v>
      </c>
      <c r="AD530" s="2">
        <v>4</v>
      </c>
      <c r="AE530" s="2" t="s">
        <v>792</v>
      </c>
      <c r="AF530" s="11">
        <v>44737.463888831022</v>
      </c>
      <c r="AG530" s="53"/>
      <c r="AH530" s="53" t="b">
        <f t="shared" si="12"/>
        <v>0</v>
      </c>
      <c r="AI530" s="54" t="s">
        <v>9553</v>
      </c>
      <c r="AJ530" s="2"/>
      <c r="AK530" s="2"/>
      <c r="AL530" s="2"/>
      <c r="AM530" s="2"/>
      <c r="AN530" s="2"/>
    </row>
    <row r="531" spans="1:40" ht="16" x14ac:dyDescent="0.2">
      <c r="A531" s="2" t="s">
        <v>808</v>
      </c>
      <c r="B531" s="2">
        <v>240</v>
      </c>
      <c r="C531" s="2" t="b">
        <v>0</v>
      </c>
      <c r="D531" s="2" t="b">
        <v>0</v>
      </c>
      <c r="E531" s="2" t="b">
        <v>0</v>
      </c>
      <c r="F531" s="2" t="b">
        <v>0</v>
      </c>
      <c r="G531" s="2" t="s">
        <v>31</v>
      </c>
      <c r="H531" s="2" t="s">
        <v>809</v>
      </c>
      <c r="I531" s="2" t="s">
        <v>810</v>
      </c>
      <c r="J531" s="2" t="s">
        <v>35</v>
      </c>
      <c r="K531" s="2" t="s">
        <v>35</v>
      </c>
      <c r="L531" s="2" t="s">
        <v>35</v>
      </c>
      <c r="M531" s="2" t="s">
        <v>35</v>
      </c>
      <c r="N531" s="2" t="s">
        <v>35</v>
      </c>
      <c r="O531" s="11">
        <v>44737.475397905095</v>
      </c>
      <c r="P531" s="11">
        <v>44737.475664803242</v>
      </c>
      <c r="Q531" s="27">
        <v>2.6689814694691449E-4</v>
      </c>
      <c r="R531" s="27">
        <v>4.6426504632108845E-3</v>
      </c>
      <c r="S531" s="2">
        <v>0</v>
      </c>
      <c r="T531" s="2" t="s">
        <v>36</v>
      </c>
      <c r="U531" s="2" t="s">
        <v>37</v>
      </c>
      <c r="V531" s="2" t="s">
        <v>38</v>
      </c>
      <c r="W531" s="2" t="s">
        <v>35</v>
      </c>
      <c r="X531" s="2" t="s">
        <v>35</v>
      </c>
      <c r="Y531" s="2" t="s">
        <v>35</v>
      </c>
      <c r="Z531" s="2" t="b">
        <v>0</v>
      </c>
      <c r="AA531" s="2" t="s">
        <v>35</v>
      </c>
      <c r="AB531" s="2">
        <v>116</v>
      </c>
      <c r="AC531" s="2" t="s">
        <v>35</v>
      </c>
      <c r="AD531" s="2">
        <v>2</v>
      </c>
      <c r="AE531" s="2" t="s">
        <v>792</v>
      </c>
      <c r="AF531" s="11">
        <v>44737.463888831022</v>
      </c>
      <c r="AG531" s="53"/>
      <c r="AH531" s="53" t="b">
        <f t="shared" si="12"/>
        <v>0</v>
      </c>
      <c r="AI531" s="54" t="s">
        <v>10274</v>
      </c>
      <c r="AJ531" s="2"/>
      <c r="AK531" s="2"/>
      <c r="AL531" s="2"/>
      <c r="AM531" s="2"/>
      <c r="AN531" s="2"/>
    </row>
    <row r="532" spans="1:40" ht="16" x14ac:dyDescent="0.2">
      <c r="A532" s="68" t="s">
        <v>811</v>
      </c>
      <c r="B532" s="68">
        <v>241</v>
      </c>
      <c r="C532" s="68" t="b">
        <v>0</v>
      </c>
      <c r="D532" s="68" t="b">
        <v>0</v>
      </c>
      <c r="E532" s="68" t="b">
        <v>0</v>
      </c>
      <c r="F532" s="68" t="b">
        <v>0</v>
      </c>
      <c r="G532" s="68" t="s">
        <v>31</v>
      </c>
      <c r="H532" s="68" t="s">
        <v>149</v>
      </c>
      <c r="I532" s="68" t="s">
        <v>812</v>
      </c>
      <c r="J532" s="68" t="s">
        <v>35</v>
      </c>
      <c r="K532" s="68" t="s">
        <v>35</v>
      </c>
      <c r="L532" s="68" t="s">
        <v>35</v>
      </c>
      <c r="M532" s="68" t="s">
        <v>35</v>
      </c>
      <c r="N532" s="68" t="s">
        <v>35</v>
      </c>
      <c r="O532" s="69">
        <v>44737.476955231483</v>
      </c>
      <c r="P532" s="69">
        <v>44737.477078275464</v>
      </c>
      <c r="Q532" s="70">
        <v>1.2304398114793003E-4</v>
      </c>
      <c r="R532" s="70">
        <v>1.4134722223388962E-3</v>
      </c>
      <c r="S532" s="68">
        <v>0</v>
      </c>
      <c r="T532" s="68" t="s">
        <v>36</v>
      </c>
      <c r="U532" s="68" t="s">
        <v>37</v>
      </c>
      <c r="V532" s="68" t="s">
        <v>38</v>
      </c>
      <c r="W532" s="68" t="s">
        <v>35</v>
      </c>
      <c r="X532" s="68" t="s">
        <v>35</v>
      </c>
      <c r="Y532" s="68" t="s">
        <v>35</v>
      </c>
      <c r="Z532" s="68" t="b">
        <v>0</v>
      </c>
      <c r="AA532" s="68" t="s">
        <v>35</v>
      </c>
      <c r="AB532" s="68" t="s">
        <v>35</v>
      </c>
      <c r="AC532" s="68" t="s">
        <v>35</v>
      </c>
      <c r="AD532" s="68">
        <v>2</v>
      </c>
      <c r="AE532" s="68" t="s">
        <v>792</v>
      </c>
      <c r="AF532" s="69">
        <v>44737.463888831022</v>
      </c>
      <c r="AG532" s="71"/>
      <c r="AH532" s="53" t="b">
        <f t="shared" si="12"/>
        <v>0</v>
      </c>
      <c r="AI532" s="56" t="s">
        <v>35</v>
      </c>
      <c r="AJ532" s="68"/>
      <c r="AK532" s="68"/>
      <c r="AL532" s="68"/>
      <c r="AM532" s="68"/>
      <c r="AN532" s="68"/>
    </row>
    <row r="533" spans="1:40" ht="16" x14ac:dyDescent="0.2">
      <c r="A533" s="2" t="s">
        <v>816</v>
      </c>
      <c r="B533" s="2">
        <v>243</v>
      </c>
      <c r="C533" s="2" t="b">
        <v>0</v>
      </c>
      <c r="D533" s="2" t="b">
        <v>0</v>
      </c>
      <c r="E533" s="2" t="b">
        <v>0</v>
      </c>
      <c r="F533" s="2" t="b">
        <v>0</v>
      </c>
      <c r="G533" s="2" t="s">
        <v>31</v>
      </c>
      <c r="H533" s="2" t="s">
        <v>817</v>
      </c>
      <c r="I533" s="2" t="s">
        <v>818</v>
      </c>
      <c r="J533" s="2" t="s">
        <v>35</v>
      </c>
      <c r="K533" s="2" t="s">
        <v>35</v>
      </c>
      <c r="L533" s="2" t="s">
        <v>35</v>
      </c>
      <c r="M533" s="2" t="s">
        <v>35</v>
      </c>
      <c r="N533" s="2" t="s">
        <v>35</v>
      </c>
      <c r="O533" s="11">
        <v>44737.478603773146</v>
      </c>
      <c r="P533" s="11">
        <v>44737.47876351852</v>
      </c>
      <c r="Q533" s="27">
        <v>1.5974537382135168E-4</v>
      </c>
      <c r="R533" s="27">
        <v>1.1057986121159047E-3</v>
      </c>
      <c r="S533" s="2">
        <v>0</v>
      </c>
      <c r="T533" s="2" t="s">
        <v>36</v>
      </c>
      <c r="U533" s="2" t="s">
        <v>37</v>
      </c>
      <c r="V533" s="2" t="s">
        <v>38</v>
      </c>
      <c r="W533" s="2" t="s">
        <v>35</v>
      </c>
      <c r="X533" s="2" t="s">
        <v>35</v>
      </c>
      <c r="Y533" s="2" t="s">
        <v>35</v>
      </c>
      <c r="Z533" s="2" t="b">
        <v>0</v>
      </c>
      <c r="AA533" s="2" t="s">
        <v>35</v>
      </c>
      <c r="AB533" s="2" t="s">
        <v>35</v>
      </c>
      <c r="AC533" s="2" t="s">
        <v>35</v>
      </c>
      <c r="AD533" s="2">
        <v>3</v>
      </c>
      <c r="AE533" s="2" t="s">
        <v>792</v>
      </c>
      <c r="AF533" s="11">
        <v>44737.463888831022</v>
      </c>
      <c r="AG533" s="53"/>
      <c r="AH533" s="53" t="b">
        <f t="shared" si="12"/>
        <v>0</v>
      </c>
      <c r="AI533" s="54" t="s">
        <v>10275</v>
      </c>
      <c r="AJ533" s="2"/>
      <c r="AK533" s="2"/>
      <c r="AL533" s="2"/>
      <c r="AM533" s="2"/>
      <c r="AN533" s="2"/>
    </row>
    <row r="534" spans="1:40" ht="16" x14ac:dyDescent="0.2">
      <c r="A534" s="2" t="s">
        <v>822</v>
      </c>
      <c r="B534" s="2">
        <v>245</v>
      </c>
      <c r="C534" s="2" t="b">
        <v>0</v>
      </c>
      <c r="D534" s="2" t="b">
        <v>0</v>
      </c>
      <c r="E534" s="2" t="b">
        <v>0</v>
      </c>
      <c r="F534" s="2" t="b">
        <v>0</v>
      </c>
      <c r="G534" s="2" t="s">
        <v>31</v>
      </c>
      <c r="H534" s="2" t="s">
        <v>823</v>
      </c>
      <c r="I534" s="2" t="s">
        <v>821</v>
      </c>
      <c r="J534" s="2" t="s">
        <v>35</v>
      </c>
      <c r="K534" s="2" t="s">
        <v>35</v>
      </c>
      <c r="L534" s="2" t="s">
        <v>35</v>
      </c>
      <c r="M534" s="2" t="s">
        <v>35</v>
      </c>
      <c r="N534" s="2" t="s">
        <v>35</v>
      </c>
      <c r="O534" s="11">
        <v>44737.479511805555</v>
      </c>
      <c r="P534" s="11">
        <v>44737.479644768522</v>
      </c>
      <c r="Q534" s="27">
        <v>1.3296296674525365E-4</v>
      </c>
      <c r="R534" s="27">
        <v>4.9015046533895656E-4</v>
      </c>
      <c r="S534" s="2">
        <v>0</v>
      </c>
      <c r="T534" s="2" t="s">
        <v>36</v>
      </c>
      <c r="U534" s="2" t="s">
        <v>37</v>
      </c>
      <c r="V534" s="2" t="s">
        <v>38</v>
      </c>
      <c r="W534" s="2" t="s">
        <v>35</v>
      </c>
      <c r="X534" s="2" t="s">
        <v>35</v>
      </c>
      <c r="Y534" s="2" t="s">
        <v>35</v>
      </c>
      <c r="Z534" s="2" t="b">
        <v>0</v>
      </c>
      <c r="AA534" s="2" t="s">
        <v>35</v>
      </c>
      <c r="AB534" s="2" t="s">
        <v>35</v>
      </c>
      <c r="AC534" s="2" t="s">
        <v>35</v>
      </c>
      <c r="AD534" s="2">
        <v>3</v>
      </c>
      <c r="AE534" s="2" t="s">
        <v>792</v>
      </c>
      <c r="AF534" s="11">
        <v>44737.463888831022</v>
      </c>
      <c r="AG534" s="53"/>
      <c r="AH534" s="53" t="b">
        <f t="shared" si="12"/>
        <v>0</v>
      </c>
      <c r="AI534" s="54" t="s">
        <v>10276</v>
      </c>
      <c r="AJ534" s="2"/>
      <c r="AK534" s="2"/>
      <c r="AL534" s="2"/>
      <c r="AM534" s="2"/>
      <c r="AN534" s="2"/>
    </row>
    <row r="535" spans="1:40" ht="16" x14ac:dyDescent="0.2">
      <c r="A535" s="2" t="s">
        <v>824</v>
      </c>
      <c r="B535" s="2">
        <v>246</v>
      </c>
      <c r="C535" s="2" t="b">
        <v>0</v>
      </c>
      <c r="D535" s="2" t="b">
        <v>0</v>
      </c>
      <c r="E535" s="2" t="b">
        <v>0</v>
      </c>
      <c r="F535" s="2" t="b">
        <v>0</v>
      </c>
      <c r="G535" s="2" t="s">
        <v>31</v>
      </c>
      <c r="H535" s="2" t="s">
        <v>825</v>
      </c>
      <c r="I535" s="2" t="s">
        <v>826</v>
      </c>
      <c r="J535" s="2" t="s">
        <v>35</v>
      </c>
      <c r="K535" s="2" t="s">
        <v>35</v>
      </c>
      <c r="L535" s="2" t="s">
        <v>35</v>
      </c>
      <c r="M535" s="2" t="s">
        <v>35</v>
      </c>
      <c r="N535" s="2" t="s">
        <v>35</v>
      </c>
      <c r="O535" s="11">
        <v>44737.480972673613</v>
      </c>
      <c r="P535" s="11">
        <v>44737.48117097222</v>
      </c>
      <c r="Q535" s="27">
        <v>1.9829860684694722E-4</v>
      </c>
      <c r="R535" s="27">
        <v>1.5262036977219395E-3</v>
      </c>
      <c r="S535" s="2">
        <v>0</v>
      </c>
      <c r="T535" s="2" t="s">
        <v>36</v>
      </c>
      <c r="U535" s="2" t="s">
        <v>37</v>
      </c>
      <c r="V535" s="2" t="s">
        <v>38</v>
      </c>
      <c r="W535" s="2" t="s">
        <v>35</v>
      </c>
      <c r="X535" s="2" t="s">
        <v>35</v>
      </c>
      <c r="Y535" s="2" t="s">
        <v>35</v>
      </c>
      <c r="Z535" s="2" t="b">
        <v>0</v>
      </c>
      <c r="AA535" s="2" t="s">
        <v>35</v>
      </c>
      <c r="AB535" s="2" t="s">
        <v>35</v>
      </c>
      <c r="AC535" s="2" t="s">
        <v>35</v>
      </c>
      <c r="AD535" s="2">
        <v>2</v>
      </c>
      <c r="AE535" s="2" t="s">
        <v>792</v>
      </c>
      <c r="AF535" s="11">
        <v>44737.463888831022</v>
      </c>
      <c r="AG535" s="53"/>
      <c r="AH535" s="53" t="b">
        <f t="shared" si="12"/>
        <v>0</v>
      </c>
      <c r="AI535" s="54" t="s">
        <v>10277</v>
      </c>
      <c r="AJ535" s="2"/>
      <c r="AK535" s="2"/>
      <c r="AL535" s="2"/>
      <c r="AM535" s="2"/>
      <c r="AN535" s="2"/>
    </row>
    <row r="536" spans="1:40" ht="16" x14ac:dyDescent="0.2">
      <c r="A536" s="68" t="s">
        <v>833</v>
      </c>
      <c r="B536" s="68">
        <v>249</v>
      </c>
      <c r="C536" s="68" t="b">
        <v>0</v>
      </c>
      <c r="D536" s="68" t="b">
        <v>0</v>
      </c>
      <c r="E536" s="68" t="b">
        <v>0</v>
      </c>
      <c r="F536" s="68" t="b">
        <v>0</v>
      </c>
      <c r="G536" s="68" t="s">
        <v>31</v>
      </c>
      <c r="H536" s="68" t="s">
        <v>149</v>
      </c>
      <c r="I536" s="68" t="s">
        <v>834</v>
      </c>
      <c r="J536" s="68" t="s">
        <v>35</v>
      </c>
      <c r="K536" s="68" t="s">
        <v>35</v>
      </c>
      <c r="L536" s="68" t="s">
        <v>35</v>
      </c>
      <c r="M536" s="68" t="s">
        <v>35</v>
      </c>
      <c r="N536" s="68" t="s">
        <v>35</v>
      </c>
      <c r="O536" s="69">
        <v>44737.486048900464</v>
      </c>
      <c r="P536" s="69">
        <v>44737.486262615741</v>
      </c>
      <c r="Q536" s="70">
        <v>2.1371527691371739E-4</v>
      </c>
      <c r="R536" s="70">
        <v>2.8823611137340777E-3</v>
      </c>
      <c r="S536" s="68">
        <v>0</v>
      </c>
      <c r="T536" s="68" t="s">
        <v>36</v>
      </c>
      <c r="U536" s="68" t="s">
        <v>37</v>
      </c>
      <c r="V536" s="68" t="s">
        <v>38</v>
      </c>
      <c r="W536" s="68" t="s">
        <v>35</v>
      </c>
      <c r="X536" s="68" t="s">
        <v>35</v>
      </c>
      <c r="Y536" s="68" t="s">
        <v>35</v>
      </c>
      <c r="Z536" s="68" t="b">
        <v>0</v>
      </c>
      <c r="AA536" s="68" t="s">
        <v>35</v>
      </c>
      <c r="AB536" s="68" t="s">
        <v>35</v>
      </c>
      <c r="AC536" s="68" t="s">
        <v>35</v>
      </c>
      <c r="AD536" s="68">
        <v>3</v>
      </c>
      <c r="AE536" s="68" t="s">
        <v>792</v>
      </c>
      <c r="AF536" s="69">
        <v>44737.463888831022</v>
      </c>
      <c r="AG536" s="71"/>
      <c r="AH536" s="53" t="b">
        <f t="shared" si="12"/>
        <v>0</v>
      </c>
      <c r="AI536" s="56" t="s">
        <v>35</v>
      </c>
      <c r="AJ536" s="68"/>
      <c r="AK536" s="68"/>
      <c r="AL536" s="68"/>
      <c r="AM536" s="68"/>
      <c r="AN536" s="68"/>
    </row>
    <row r="537" spans="1:40" ht="16" x14ac:dyDescent="0.2">
      <c r="A537" s="2" t="s">
        <v>835</v>
      </c>
      <c r="B537" s="2">
        <v>250</v>
      </c>
      <c r="C537" s="2" t="b">
        <v>0</v>
      </c>
      <c r="D537" s="2" t="b">
        <v>0</v>
      </c>
      <c r="E537" s="2" t="b">
        <v>0</v>
      </c>
      <c r="F537" s="2" t="b">
        <v>0</v>
      </c>
      <c r="G537" s="2" t="s">
        <v>31</v>
      </c>
      <c r="H537" s="2" t="s">
        <v>836</v>
      </c>
      <c r="I537" s="2" t="s">
        <v>837</v>
      </c>
      <c r="J537" s="2" t="s">
        <v>838</v>
      </c>
      <c r="K537" s="2" t="s">
        <v>35</v>
      </c>
      <c r="L537" s="2" t="s">
        <v>35</v>
      </c>
      <c r="M537" s="2" t="s">
        <v>35</v>
      </c>
      <c r="N537" s="2" t="s">
        <v>35</v>
      </c>
      <c r="O537" s="11">
        <v>44737.48721741898</v>
      </c>
      <c r="P537" s="11">
        <v>44737.487750335647</v>
      </c>
      <c r="Q537" s="27">
        <v>5.3291666699806228E-4</v>
      </c>
      <c r="R537" s="27">
        <v>1.4877199064358138E-3</v>
      </c>
      <c r="S537" s="2">
        <v>0</v>
      </c>
      <c r="T537" s="2" t="s">
        <v>36</v>
      </c>
      <c r="U537" s="2" t="s">
        <v>37</v>
      </c>
      <c r="V537" s="2" t="s">
        <v>38</v>
      </c>
      <c r="W537" s="2" t="s">
        <v>35</v>
      </c>
      <c r="X537" s="2" t="s">
        <v>35</v>
      </c>
      <c r="Y537" s="2" t="s">
        <v>839</v>
      </c>
      <c r="Z537" s="2" t="b">
        <v>0</v>
      </c>
      <c r="AA537" s="2" t="s">
        <v>35</v>
      </c>
      <c r="AB537" s="2">
        <v>100</v>
      </c>
      <c r="AC537" s="2" t="s">
        <v>35</v>
      </c>
      <c r="AD537" s="2" t="s">
        <v>35</v>
      </c>
      <c r="AE537" s="2" t="s">
        <v>792</v>
      </c>
      <c r="AF537" s="11">
        <v>44737.463888831022</v>
      </c>
      <c r="AG537" s="53"/>
      <c r="AH537" s="53" t="b">
        <f t="shared" si="12"/>
        <v>0</v>
      </c>
      <c r="AI537" s="54" t="s">
        <v>10278</v>
      </c>
      <c r="AJ537" s="2"/>
      <c r="AK537" s="2"/>
      <c r="AL537" s="2"/>
      <c r="AM537" s="2"/>
      <c r="AN537" s="2"/>
    </row>
    <row r="538" spans="1:40" ht="16" x14ac:dyDescent="0.2">
      <c r="A538" s="2" t="s">
        <v>840</v>
      </c>
      <c r="B538" s="2">
        <v>251</v>
      </c>
      <c r="C538" s="2" t="b">
        <v>0</v>
      </c>
      <c r="D538" s="2" t="b">
        <v>0</v>
      </c>
      <c r="E538" s="2" t="b">
        <v>0</v>
      </c>
      <c r="F538" s="2" t="b">
        <v>0</v>
      </c>
      <c r="G538" s="2" t="s">
        <v>31</v>
      </c>
      <c r="H538" s="2" t="s">
        <v>841</v>
      </c>
      <c r="I538" s="2" t="s">
        <v>842</v>
      </c>
      <c r="J538" s="2" t="s">
        <v>35</v>
      </c>
      <c r="K538" s="2" t="s">
        <v>35</v>
      </c>
      <c r="L538" s="2" t="s">
        <v>35</v>
      </c>
      <c r="M538" s="2" t="s">
        <v>35</v>
      </c>
      <c r="N538" s="2" t="s">
        <v>35</v>
      </c>
      <c r="O538" s="11">
        <v>44737.488465555558</v>
      </c>
      <c r="P538" s="11">
        <v>44737.488612615743</v>
      </c>
      <c r="Q538" s="27">
        <v>1.4706018555443734E-4</v>
      </c>
      <c r="R538" s="27">
        <v>8.622800960438326E-4</v>
      </c>
      <c r="S538" s="2">
        <v>0</v>
      </c>
      <c r="T538" s="2" t="s">
        <v>36</v>
      </c>
      <c r="U538" s="2" t="s">
        <v>37</v>
      </c>
      <c r="V538" s="2" t="s">
        <v>38</v>
      </c>
      <c r="W538" s="2" t="s">
        <v>35</v>
      </c>
      <c r="X538" s="2" t="s">
        <v>35</v>
      </c>
      <c r="Y538" s="2" t="s">
        <v>35</v>
      </c>
      <c r="Z538" s="2" t="b">
        <v>0</v>
      </c>
      <c r="AA538" s="2" t="s">
        <v>35</v>
      </c>
      <c r="AB538" s="2" t="s">
        <v>35</v>
      </c>
      <c r="AC538" s="2" t="s">
        <v>35</v>
      </c>
      <c r="AD538" s="2">
        <v>4</v>
      </c>
      <c r="AE538" s="2" t="s">
        <v>792</v>
      </c>
      <c r="AF538" s="11">
        <v>44737.463888831022</v>
      </c>
      <c r="AG538" s="53"/>
      <c r="AH538" s="53" t="b">
        <f t="shared" si="12"/>
        <v>0</v>
      </c>
      <c r="AI538" s="54" t="s">
        <v>10279</v>
      </c>
      <c r="AJ538" s="2"/>
      <c r="AK538" s="2"/>
      <c r="AL538" s="2"/>
      <c r="AM538" s="2"/>
      <c r="AN538" s="2"/>
    </row>
    <row r="539" spans="1:40" ht="16" x14ac:dyDescent="0.2">
      <c r="A539" s="2" t="s">
        <v>862</v>
      </c>
      <c r="B539" s="2">
        <v>258</v>
      </c>
      <c r="C539" s="2" t="b">
        <v>0</v>
      </c>
      <c r="D539" s="2" t="b">
        <v>0</v>
      </c>
      <c r="E539" s="2" t="b">
        <v>0</v>
      </c>
      <c r="F539" s="2" t="b">
        <v>0</v>
      </c>
      <c r="G539" s="2" t="s">
        <v>31</v>
      </c>
      <c r="H539" s="2" t="s">
        <v>863</v>
      </c>
      <c r="I539" s="2" t="s">
        <v>864</v>
      </c>
      <c r="J539" s="2" t="s">
        <v>35</v>
      </c>
      <c r="K539" s="2" t="s">
        <v>35</v>
      </c>
      <c r="L539" s="2" t="s">
        <v>35</v>
      </c>
      <c r="M539" s="2" t="s">
        <v>35</v>
      </c>
      <c r="N539" s="2" t="s">
        <v>35</v>
      </c>
      <c r="O539" s="11">
        <v>44737.511554328703</v>
      </c>
      <c r="P539" s="11">
        <v>44737.511744108793</v>
      </c>
      <c r="Q539" s="27">
        <v>1.8978009029524401E-4</v>
      </c>
      <c r="R539" s="27">
        <v>3.7446527712745592E-3</v>
      </c>
      <c r="S539" s="2">
        <v>0</v>
      </c>
      <c r="T539" s="2" t="s">
        <v>36</v>
      </c>
      <c r="U539" s="2" t="s">
        <v>37</v>
      </c>
      <c r="V539" s="2" t="s">
        <v>38</v>
      </c>
      <c r="W539" s="2" t="s">
        <v>35</v>
      </c>
      <c r="X539" s="2" t="s">
        <v>35</v>
      </c>
      <c r="Y539" s="2" t="s">
        <v>35</v>
      </c>
      <c r="Z539" s="2" t="b">
        <v>0</v>
      </c>
      <c r="AA539" s="2" t="s">
        <v>35</v>
      </c>
      <c r="AB539" s="2" t="s">
        <v>35</v>
      </c>
      <c r="AC539" s="2" t="s">
        <v>35</v>
      </c>
      <c r="AD539" s="2">
        <v>2</v>
      </c>
      <c r="AE539" s="2" t="s">
        <v>792</v>
      </c>
      <c r="AF539" s="11">
        <v>44737.463888831022</v>
      </c>
      <c r="AG539" s="53"/>
      <c r="AH539" s="53" t="b">
        <f t="shared" si="12"/>
        <v>0</v>
      </c>
      <c r="AI539" s="54" t="s">
        <v>10280</v>
      </c>
      <c r="AJ539" s="2"/>
      <c r="AK539" s="2"/>
      <c r="AL539" s="2"/>
      <c r="AM539" s="2"/>
      <c r="AN539" s="2"/>
    </row>
    <row r="540" spans="1:40" ht="16" x14ac:dyDescent="0.2">
      <c r="A540" s="2" t="s">
        <v>868</v>
      </c>
      <c r="B540" s="2">
        <v>260</v>
      </c>
      <c r="C540" s="2" t="b">
        <v>0</v>
      </c>
      <c r="D540" s="2" t="b">
        <v>0</v>
      </c>
      <c r="E540" s="2" t="b">
        <v>0</v>
      </c>
      <c r="F540" s="2" t="b">
        <v>0</v>
      </c>
      <c r="G540" s="2" t="s">
        <v>31</v>
      </c>
      <c r="H540" s="2" t="s">
        <v>869</v>
      </c>
      <c r="I540" s="2" t="s">
        <v>870</v>
      </c>
      <c r="J540" s="2" t="s">
        <v>35</v>
      </c>
      <c r="K540" s="2" t="s">
        <v>35</v>
      </c>
      <c r="L540" s="2" t="s">
        <v>35</v>
      </c>
      <c r="M540" s="2" t="s">
        <v>35</v>
      </c>
      <c r="N540" s="2" t="s">
        <v>35</v>
      </c>
      <c r="O540" s="11">
        <v>44737.51307050926</v>
      </c>
      <c r="P540" s="11">
        <v>44737.513197384258</v>
      </c>
      <c r="Q540" s="27">
        <v>1.2687499838648364E-4</v>
      </c>
      <c r="R540" s="27">
        <v>9.5450231310678646E-4</v>
      </c>
      <c r="S540" s="2">
        <v>0</v>
      </c>
      <c r="T540" s="2" t="s">
        <v>36</v>
      </c>
      <c r="U540" s="2" t="s">
        <v>37</v>
      </c>
      <c r="V540" s="2" t="s">
        <v>38</v>
      </c>
      <c r="W540" s="2" t="s">
        <v>35</v>
      </c>
      <c r="X540" s="2" t="s">
        <v>35</v>
      </c>
      <c r="Y540" s="2" t="s">
        <v>35</v>
      </c>
      <c r="Z540" s="2" t="b">
        <v>0</v>
      </c>
      <c r="AA540" s="2" t="s">
        <v>35</v>
      </c>
      <c r="AB540" s="2" t="s">
        <v>35</v>
      </c>
      <c r="AC540" s="2" t="s">
        <v>35</v>
      </c>
      <c r="AD540" s="2">
        <v>3</v>
      </c>
      <c r="AE540" s="2" t="s">
        <v>792</v>
      </c>
      <c r="AF540" s="11">
        <v>44737.463888831022</v>
      </c>
      <c r="AG540" s="53"/>
      <c r="AH540" s="53" t="b">
        <f t="shared" si="12"/>
        <v>0</v>
      </c>
      <c r="AI540" s="54" t="s">
        <v>10281</v>
      </c>
      <c r="AJ540" s="2"/>
      <c r="AK540" s="2"/>
      <c r="AL540" s="2"/>
      <c r="AM540" s="2"/>
      <c r="AN540" s="2"/>
    </row>
    <row r="541" spans="1:40" ht="16" x14ac:dyDescent="0.2">
      <c r="A541" s="2" t="s">
        <v>890</v>
      </c>
      <c r="B541" s="2">
        <v>267</v>
      </c>
      <c r="C541" s="2" t="b">
        <v>0</v>
      </c>
      <c r="D541" s="2" t="b">
        <v>0</v>
      </c>
      <c r="E541" s="2" t="b">
        <v>0</v>
      </c>
      <c r="F541" s="2" t="b">
        <v>0</v>
      </c>
      <c r="G541" s="2" t="s">
        <v>31</v>
      </c>
      <c r="H541" s="2" t="s">
        <v>891</v>
      </c>
      <c r="I541" s="2" t="s">
        <v>892</v>
      </c>
      <c r="J541" s="2" t="s">
        <v>35</v>
      </c>
      <c r="K541" s="2" t="s">
        <v>35</v>
      </c>
      <c r="L541" s="2" t="s">
        <v>35</v>
      </c>
      <c r="M541" s="2" t="s">
        <v>35</v>
      </c>
      <c r="N541" s="2" t="s">
        <v>35</v>
      </c>
      <c r="O541" s="11">
        <v>44737.519880115738</v>
      </c>
      <c r="P541" s="11">
        <v>44737.520084502314</v>
      </c>
      <c r="Q541" s="27">
        <v>2.0438657520571724E-4</v>
      </c>
      <c r="R541" s="27">
        <v>9.1296296159271151E-4</v>
      </c>
      <c r="S541" s="2">
        <v>0</v>
      </c>
      <c r="T541" s="2" t="s">
        <v>36</v>
      </c>
      <c r="U541" s="2" t="s">
        <v>37</v>
      </c>
      <c r="V541" s="2" t="s">
        <v>38</v>
      </c>
      <c r="W541" s="2" t="s">
        <v>35</v>
      </c>
      <c r="X541" s="2" t="s">
        <v>35</v>
      </c>
      <c r="Y541" s="2" t="s">
        <v>35</v>
      </c>
      <c r="Z541" s="2" t="b">
        <v>0</v>
      </c>
      <c r="AA541" s="2" t="s">
        <v>35</v>
      </c>
      <c r="AB541" s="2" t="s">
        <v>35</v>
      </c>
      <c r="AC541" s="2" t="s">
        <v>35</v>
      </c>
      <c r="AD541" s="2">
        <v>2</v>
      </c>
      <c r="AE541" s="2" t="s">
        <v>792</v>
      </c>
      <c r="AF541" s="11">
        <v>44737.463888831022</v>
      </c>
      <c r="AG541" s="53"/>
      <c r="AH541" s="53" t="b">
        <f t="shared" ref="AH541:AH604" si="13">IF(Q541&gt;TIME(0,1,9),"TRUE")</f>
        <v>0</v>
      </c>
      <c r="AI541" s="54" t="s">
        <v>10282</v>
      </c>
      <c r="AJ541" s="2"/>
      <c r="AK541" s="2"/>
      <c r="AL541" s="2"/>
      <c r="AM541" s="2"/>
      <c r="AN541" s="2"/>
    </row>
    <row r="542" spans="1:40" ht="16" x14ac:dyDescent="0.2">
      <c r="A542" s="2" t="s">
        <v>900</v>
      </c>
      <c r="B542" s="2">
        <v>270</v>
      </c>
      <c r="C542" s="2" t="b">
        <v>0</v>
      </c>
      <c r="D542" s="2" t="b">
        <v>0</v>
      </c>
      <c r="E542" s="2" t="b">
        <v>0</v>
      </c>
      <c r="F542" s="2" t="b">
        <v>0</v>
      </c>
      <c r="G542" s="2" t="s">
        <v>31</v>
      </c>
      <c r="H542" s="2" t="s">
        <v>901</v>
      </c>
      <c r="I542" s="2" t="s">
        <v>902</v>
      </c>
      <c r="J542" s="2" t="s">
        <v>35</v>
      </c>
      <c r="K542" s="2" t="s">
        <v>35</v>
      </c>
      <c r="L542" s="2" t="s">
        <v>35</v>
      </c>
      <c r="M542" s="2" t="s">
        <v>35</v>
      </c>
      <c r="N542" s="2" t="s">
        <v>35</v>
      </c>
      <c r="O542" s="11">
        <v>44737.522726041665</v>
      </c>
      <c r="P542" s="11">
        <v>44737.522883981481</v>
      </c>
      <c r="Q542" s="27">
        <v>1.579398158355616E-4</v>
      </c>
      <c r="R542" s="27">
        <v>9.9276620312593877E-4</v>
      </c>
      <c r="S542" s="2">
        <v>0</v>
      </c>
      <c r="T542" s="2" t="s">
        <v>36</v>
      </c>
      <c r="U542" s="2" t="s">
        <v>37</v>
      </c>
      <c r="V542" s="2" t="s">
        <v>38</v>
      </c>
      <c r="W542" s="2" t="s">
        <v>35</v>
      </c>
      <c r="X542" s="2" t="s">
        <v>35</v>
      </c>
      <c r="Y542" s="2" t="s">
        <v>35</v>
      </c>
      <c r="Z542" s="2" t="b">
        <v>0</v>
      </c>
      <c r="AA542" s="2" t="s">
        <v>35</v>
      </c>
      <c r="AB542" s="2" t="s">
        <v>35</v>
      </c>
      <c r="AC542" s="2" t="s">
        <v>35</v>
      </c>
      <c r="AD542" s="2">
        <v>2</v>
      </c>
      <c r="AE542" s="2" t="s">
        <v>792</v>
      </c>
      <c r="AF542" s="11">
        <v>44737.463888831022</v>
      </c>
      <c r="AG542" s="53"/>
      <c r="AH542" s="53" t="b">
        <f t="shared" si="13"/>
        <v>0</v>
      </c>
      <c r="AI542" s="54" t="s">
        <v>10283</v>
      </c>
      <c r="AJ542" s="2"/>
      <c r="AK542" s="2"/>
      <c r="AL542" s="2"/>
      <c r="AM542" s="2"/>
      <c r="AN542" s="2"/>
    </row>
    <row r="543" spans="1:40" ht="16" x14ac:dyDescent="0.2">
      <c r="A543" s="2" t="s">
        <v>903</v>
      </c>
      <c r="B543" s="2">
        <v>271</v>
      </c>
      <c r="C543" s="2" t="b">
        <v>0</v>
      </c>
      <c r="D543" s="2" t="b">
        <v>0</v>
      </c>
      <c r="E543" s="2" t="b">
        <v>0</v>
      </c>
      <c r="F543" s="2" t="b">
        <v>0</v>
      </c>
      <c r="G543" s="2" t="s">
        <v>31</v>
      </c>
      <c r="H543" s="2" t="s">
        <v>904</v>
      </c>
      <c r="I543" s="2" t="s">
        <v>905</v>
      </c>
      <c r="J543" s="2" t="s">
        <v>906</v>
      </c>
      <c r="K543" s="2" t="s">
        <v>35</v>
      </c>
      <c r="L543" s="2" t="s">
        <v>35</v>
      </c>
      <c r="M543" s="2" t="s">
        <v>35</v>
      </c>
      <c r="N543" s="2" t="s">
        <v>35</v>
      </c>
      <c r="O543" s="11">
        <v>44737.523461215278</v>
      </c>
      <c r="P543" s="11">
        <v>44737.523752141205</v>
      </c>
      <c r="Q543" s="27">
        <v>2.9092592740198597E-4</v>
      </c>
      <c r="R543" s="27">
        <v>8.6815972463227808E-4</v>
      </c>
      <c r="S543" s="2">
        <v>0</v>
      </c>
      <c r="T543" s="2" t="s">
        <v>36</v>
      </c>
      <c r="U543" s="2" t="s">
        <v>37</v>
      </c>
      <c r="V543" s="2" t="s">
        <v>38</v>
      </c>
      <c r="W543" s="2" t="s">
        <v>35</v>
      </c>
      <c r="X543" s="2" t="s">
        <v>35</v>
      </c>
      <c r="Y543" s="2" t="s">
        <v>35</v>
      </c>
      <c r="Z543" s="2" t="b">
        <v>0</v>
      </c>
      <c r="AA543" s="2" t="s">
        <v>35</v>
      </c>
      <c r="AB543" s="2" t="s">
        <v>35</v>
      </c>
      <c r="AC543" s="2">
        <v>6</v>
      </c>
      <c r="AD543" s="2" t="s">
        <v>35</v>
      </c>
      <c r="AE543" s="2" t="s">
        <v>792</v>
      </c>
      <c r="AF543" s="11">
        <v>44737.463888831022</v>
      </c>
      <c r="AG543" s="53"/>
      <c r="AH543" s="53" t="b">
        <f t="shared" si="13"/>
        <v>0</v>
      </c>
      <c r="AI543" s="54" t="s">
        <v>10286</v>
      </c>
      <c r="AJ543" s="2" t="s">
        <v>10284</v>
      </c>
      <c r="AK543" s="2" t="s">
        <v>10285</v>
      </c>
      <c r="AL543" s="2"/>
      <c r="AM543" s="2"/>
      <c r="AN543" s="2"/>
    </row>
    <row r="544" spans="1:40" ht="16" x14ac:dyDescent="0.2">
      <c r="A544" s="2" t="s">
        <v>909</v>
      </c>
      <c r="B544" s="2">
        <v>273</v>
      </c>
      <c r="C544" s="2" t="b">
        <v>0</v>
      </c>
      <c r="D544" s="2" t="b">
        <v>0</v>
      </c>
      <c r="E544" s="2" t="b">
        <v>0</v>
      </c>
      <c r="F544" s="2" t="b">
        <v>0</v>
      </c>
      <c r="G544" s="2" t="s">
        <v>31</v>
      </c>
      <c r="H544" s="2" t="s">
        <v>910</v>
      </c>
      <c r="I544" s="2" t="s">
        <v>911</v>
      </c>
      <c r="J544" s="2" t="s">
        <v>906</v>
      </c>
      <c r="K544" s="2" t="s">
        <v>35</v>
      </c>
      <c r="L544" s="2" t="s">
        <v>35</v>
      </c>
      <c r="M544" s="2" t="s">
        <v>35</v>
      </c>
      <c r="N544" s="2" t="s">
        <v>35</v>
      </c>
      <c r="O544" s="11">
        <v>44737.524854386575</v>
      </c>
      <c r="P544" s="11">
        <v>44737.525200081021</v>
      </c>
      <c r="Q544" s="27">
        <v>3.4569444687804207E-4</v>
      </c>
      <c r="R544" s="27">
        <v>8.3009259833488613E-4</v>
      </c>
      <c r="S544" s="2">
        <v>0</v>
      </c>
      <c r="T544" s="2" t="s">
        <v>36</v>
      </c>
      <c r="U544" s="2" t="s">
        <v>37</v>
      </c>
      <c r="V544" s="2" t="s">
        <v>38</v>
      </c>
      <c r="W544" s="2" t="s">
        <v>35</v>
      </c>
      <c r="X544" s="2" t="s">
        <v>35</v>
      </c>
      <c r="Y544" s="2" t="s">
        <v>35</v>
      </c>
      <c r="Z544" s="2" t="b">
        <v>0</v>
      </c>
      <c r="AA544" s="2" t="s">
        <v>35</v>
      </c>
      <c r="AB544" s="2" t="s">
        <v>35</v>
      </c>
      <c r="AC544" s="2">
        <v>4</v>
      </c>
      <c r="AD544" s="2" t="s">
        <v>35</v>
      </c>
      <c r="AE544" s="2" t="s">
        <v>792</v>
      </c>
      <c r="AF544" s="11">
        <v>44737.463888831022</v>
      </c>
      <c r="AG544" s="53"/>
      <c r="AH544" s="53" t="b">
        <f t="shared" si="13"/>
        <v>0</v>
      </c>
      <c r="AI544" s="54" t="s">
        <v>9551</v>
      </c>
      <c r="AJ544" s="2"/>
      <c r="AK544" s="2"/>
      <c r="AL544" s="2"/>
      <c r="AM544" s="2"/>
      <c r="AN544" s="2"/>
    </row>
    <row r="545" spans="1:40" ht="16" x14ac:dyDescent="0.2">
      <c r="A545" s="2" t="s">
        <v>928</v>
      </c>
      <c r="B545" s="2">
        <v>279</v>
      </c>
      <c r="C545" s="2" t="b">
        <v>0</v>
      </c>
      <c r="D545" s="2" t="b">
        <v>0</v>
      </c>
      <c r="E545" s="2" t="b">
        <v>0</v>
      </c>
      <c r="F545" s="2" t="b">
        <v>0</v>
      </c>
      <c r="G545" s="2" t="s">
        <v>31</v>
      </c>
      <c r="H545" s="2" t="s">
        <v>929</v>
      </c>
      <c r="I545" s="2" t="s">
        <v>930</v>
      </c>
      <c r="J545" s="2" t="s">
        <v>35</v>
      </c>
      <c r="K545" s="2" t="s">
        <v>35</v>
      </c>
      <c r="L545" s="2" t="s">
        <v>35</v>
      </c>
      <c r="M545" s="2" t="s">
        <v>35</v>
      </c>
      <c r="N545" s="2" t="s">
        <v>35</v>
      </c>
      <c r="O545" s="11">
        <v>44737.532058229168</v>
      </c>
      <c r="P545" s="11">
        <v>44737.532222604168</v>
      </c>
      <c r="Q545" s="27">
        <v>1.6437500016763806E-4</v>
      </c>
      <c r="R545" s="27">
        <v>1.3131018567946739E-3</v>
      </c>
      <c r="S545" s="2">
        <v>0</v>
      </c>
      <c r="T545" s="2" t="s">
        <v>36</v>
      </c>
      <c r="U545" s="2" t="s">
        <v>37</v>
      </c>
      <c r="V545" s="2" t="s">
        <v>38</v>
      </c>
      <c r="W545" s="2" t="s">
        <v>35</v>
      </c>
      <c r="X545" s="2" t="s">
        <v>35</v>
      </c>
      <c r="Y545" s="2" t="s">
        <v>35</v>
      </c>
      <c r="Z545" s="2" t="b">
        <v>0</v>
      </c>
      <c r="AA545" s="2" t="s">
        <v>35</v>
      </c>
      <c r="AB545" s="2" t="s">
        <v>35</v>
      </c>
      <c r="AC545" s="2" t="s">
        <v>35</v>
      </c>
      <c r="AD545" s="2">
        <v>3</v>
      </c>
      <c r="AE545" s="2" t="s">
        <v>792</v>
      </c>
      <c r="AF545" s="11">
        <v>44737.463888831022</v>
      </c>
      <c r="AG545" s="53"/>
      <c r="AH545" s="53" t="b">
        <f t="shared" si="13"/>
        <v>0</v>
      </c>
      <c r="AI545" s="54" t="s">
        <v>10287</v>
      </c>
      <c r="AJ545" s="2"/>
      <c r="AK545" s="2"/>
      <c r="AL545" s="2"/>
      <c r="AM545" s="2"/>
      <c r="AN545" s="2"/>
    </row>
    <row r="546" spans="1:40" ht="16" x14ac:dyDescent="0.2">
      <c r="A546" s="2" t="s">
        <v>963</v>
      </c>
      <c r="B546" s="2">
        <v>290</v>
      </c>
      <c r="C546" s="2" t="b">
        <v>0</v>
      </c>
      <c r="D546" s="2" t="b">
        <v>0</v>
      </c>
      <c r="E546" s="2" t="b">
        <v>0</v>
      </c>
      <c r="F546" s="2" t="b">
        <v>0</v>
      </c>
      <c r="G546" s="2" t="s">
        <v>31</v>
      </c>
      <c r="H546" s="2" t="s">
        <v>964</v>
      </c>
      <c r="I546" s="2" t="s">
        <v>965</v>
      </c>
      <c r="J546" s="2" t="s">
        <v>35</v>
      </c>
      <c r="K546" s="2" t="s">
        <v>35</v>
      </c>
      <c r="L546" s="2" t="s">
        <v>35</v>
      </c>
      <c r="M546" s="2" t="s">
        <v>35</v>
      </c>
      <c r="N546" s="2" t="s">
        <v>35</v>
      </c>
      <c r="O546" s="11">
        <v>44740.459044907409</v>
      </c>
      <c r="P546" s="11">
        <v>44740.459317731482</v>
      </c>
      <c r="Q546" s="27">
        <v>2.7282407245365903E-4</v>
      </c>
      <c r="R546" s="27">
        <v>2.8642592587857507E-3</v>
      </c>
      <c r="S546" s="2">
        <v>0</v>
      </c>
      <c r="T546" s="2" t="s">
        <v>36</v>
      </c>
      <c r="U546" s="2" t="s">
        <v>37</v>
      </c>
      <c r="V546" s="2" t="s">
        <v>38</v>
      </c>
      <c r="W546" s="2" t="s">
        <v>35</v>
      </c>
      <c r="X546" s="2" t="s">
        <v>35</v>
      </c>
      <c r="Y546" s="2" t="s">
        <v>35</v>
      </c>
      <c r="Z546" s="2" t="b">
        <v>0</v>
      </c>
      <c r="AA546" s="2" t="s">
        <v>35</v>
      </c>
      <c r="AB546" s="2" t="s">
        <v>35</v>
      </c>
      <c r="AC546" s="2" t="s">
        <v>35</v>
      </c>
      <c r="AD546" s="2">
        <v>2</v>
      </c>
      <c r="AE546" s="2" t="s">
        <v>941</v>
      </c>
      <c r="AF546" s="11">
        <v>44740.448611053238</v>
      </c>
      <c r="AG546" s="53"/>
      <c r="AH546" s="53" t="b">
        <f t="shared" si="13"/>
        <v>0</v>
      </c>
      <c r="AI546" s="54" t="s">
        <v>10288</v>
      </c>
      <c r="AJ546" s="2"/>
      <c r="AK546" s="2"/>
      <c r="AL546" s="2"/>
      <c r="AM546" s="2"/>
      <c r="AN546" s="2"/>
    </row>
    <row r="547" spans="1:40" ht="16" x14ac:dyDescent="0.2">
      <c r="A547" s="2" t="s">
        <v>980</v>
      </c>
      <c r="B547" s="2">
        <v>295</v>
      </c>
      <c r="C547" s="2" t="b">
        <v>0</v>
      </c>
      <c r="D547" s="2" t="b">
        <v>0</v>
      </c>
      <c r="E547" s="2" t="b">
        <v>0</v>
      </c>
      <c r="F547" s="2" t="b">
        <v>0</v>
      </c>
      <c r="G547" s="2" t="s">
        <v>31</v>
      </c>
      <c r="H547" s="2" t="s">
        <v>981</v>
      </c>
      <c r="I547" s="2" t="s">
        <v>982</v>
      </c>
      <c r="J547" s="2" t="s">
        <v>35</v>
      </c>
      <c r="K547" s="2" t="s">
        <v>35</v>
      </c>
      <c r="L547" s="2" t="s">
        <v>35</v>
      </c>
      <c r="M547" s="2" t="s">
        <v>35</v>
      </c>
      <c r="N547" s="2" t="s">
        <v>35</v>
      </c>
      <c r="O547" s="11">
        <v>44740.468285625</v>
      </c>
      <c r="P547" s="11">
        <v>44740.46851697917</v>
      </c>
      <c r="Q547" s="27">
        <v>2.3135416995501146E-4</v>
      </c>
      <c r="R547" s="27">
        <v>2.673726856301073E-3</v>
      </c>
      <c r="S547" s="2">
        <v>0</v>
      </c>
      <c r="T547" s="2" t="s">
        <v>36</v>
      </c>
      <c r="U547" s="2" t="s">
        <v>37</v>
      </c>
      <c r="V547" s="2" t="s">
        <v>38</v>
      </c>
      <c r="W547" s="2" t="s">
        <v>35</v>
      </c>
      <c r="X547" s="2" t="s">
        <v>35</v>
      </c>
      <c r="Y547" s="2" t="s">
        <v>35</v>
      </c>
      <c r="Z547" s="2" t="b">
        <v>0</v>
      </c>
      <c r="AA547" s="2" t="s">
        <v>35</v>
      </c>
      <c r="AB547" s="2" t="s">
        <v>35</v>
      </c>
      <c r="AC547" s="2" t="s">
        <v>35</v>
      </c>
      <c r="AD547" s="2">
        <v>2</v>
      </c>
      <c r="AE547" s="2" t="s">
        <v>941</v>
      </c>
      <c r="AF547" s="11">
        <v>44740.448611053238</v>
      </c>
      <c r="AG547" s="53"/>
      <c r="AH547" s="53" t="b">
        <f t="shared" si="13"/>
        <v>0</v>
      </c>
      <c r="AI547" s="54" t="s">
        <v>10289</v>
      </c>
      <c r="AJ547" s="2"/>
      <c r="AK547" s="2"/>
      <c r="AL547" s="2"/>
      <c r="AM547" s="2"/>
      <c r="AN547" s="2"/>
    </row>
    <row r="548" spans="1:40" ht="16" x14ac:dyDescent="0.2">
      <c r="A548" s="2" t="s">
        <v>986</v>
      </c>
      <c r="B548" s="2">
        <v>297</v>
      </c>
      <c r="C548" s="2" t="b">
        <v>0</v>
      </c>
      <c r="D548" s="2" t="b">
        <v>0</v>
      </c>
      <c r="E548" s="2" t="b">
        <v>0</v>
      </c>
      <c r="F548" s="2" t="b">
        <v>0</v>
      </c>
      <c r="G548" s="2" t="s">
        <v>31</v>
      </c>
      <c r="H548" s="2" t="s">
        <v>987</v>
      </c>
      <c r="I548" s="2" t="s">
        <v>988</v>
      </c>
      <c r="J548" s="2" t="s">
        <v>35</v>
      </c>
      <c r="K548" s="2" t="s">
        <v>35</v>
      </c>
      <c r="L548" s="2" t="s">
        <v>35</v>
      </c>
      <c r="M548" s="2" t="s">
        <v>35</v>
      </c>
      <c r="N548" s="2" t="s">
        <v>35</v>
      </c>
      <c r="O548" s="11">
        <v>44740.475054699076</v>
      </c>
      <c r="P548" s="11">
        <v>44740.4752853588</v>
      </c>
      <c r="Q548" s="27">
        <v>2.3065972345648333E-4</v>
      </c>
      <c r="R548" s="27">
        <v>1.7277314836974256E-3</v>
      </c>
      <c r="S548" s="2">
        <v>0</v>
      </c>
      <c r="T548" s="2" t="s">
        <v>36</v>
      </c>
      <c r="U548" s="2" t="s">
        <v>37</v>
      </c>
      <c r="V548" s="2" t="s">
        <v>38</v>
      </c>
      <c r="W548" s="2" t="s">
        <v>35</v>
      </c>
      <c r="X548" s="2" t="s">
        <v>35</v>
      </c>
      <c r="Y548" s="2" t="s">
        <v>35</v>
      </c>
      <c r="Z548" s="2" t="b">
        <v>0</v>
      </c>
      <c r="AA548" s="2" t="s">
        <v>35</v>
      </c>
      <c r="AB548" s="2" t="s">
        <v>35</v>
      </c>
      <c r="AC548" s="2" t="s">
        <v>35</v>
      </c>
      <c r="AD548" s="2">
        <v>2</v>
      </c>
      <c r="AE548" s="2" t="s">
        <v>941</v>
      </c>
      <c r="AF548" s="11">
        <v>44740.448611053238</v>
      </c>
      <c r="AG548" s="53"/>
      <c r="AH548" s="53" t="b">
        <f t="shared" si="13"/>
        <v>0</v>
      </c>
      <c r="AI548" s="54" t="s">
        <v>10290</v>
      </c>
      <c r="AJ548" s="2"/>
      <c r="AK548" s="2"/>
      <c r="AL548" s="2"/>
      <c r="AM548" s="2"/>
      <c r="AN548" s="2"/>
    </row>
    <row r="549" spans="1:40" ht="16" x14ac:dyDescent="0.2">
      <c r="A549" s="2" t="s">
        <v>992</v>
      </c>
      <c r="B549" s="2">
        <v>299</v>
      </c>
      <c r="C549" s="2" t="b">
        <v>0</v>
      </c>
      <c r="D549" s="2" t="b">
        <v>0</v>
      </c>
      <c r="E549" s="2" t="b">
        <v>0</v>
      </c>
      <c r="F549" s="2" t="b">
        <v>0</v>
      </c>
      <c r="G549" s="2" t="s">
        <v>31</v>
      </c>
      <c r="H549" s="2" t="s">
        <v>993</v>
      </c>
      <c r="I549" s="2" t="s">
        <v>994</v>
      </c>
      <c r="J549" s="2" t="s">
        <v>35</v>
      </c>
      <c r="K549" s="2" t="s">
        <v>35</v>
      </c>
      <c r="L549" s="2" t="s">
        <v>35</v>
      </c>
      <c r="M549" s="2" t="s">
        <v>35</v>
      </c>
      <c r="N549" s="2" t="s">
        <v>35</v>
      </c>
      <c r="O549" s="11">
        <v>44740.476735358796</v>
      </c>
      <c r="P549" s="11">
        <v>44740.476877986112</v>
      </c>
      <c r="Q549" s="27">
        <v>1.426273156539537E-4</v>
      </c>
      <c r="R549" s="27">
        <v>1.0246180536341853E-3</v>
      </c>
      <c r="S549" s="2">
        <v>0</v>
      </c>
      <c r="T549" s="2" t="s">
        <v>36</v>
      </c>
      <c r="U549" s="2" t="s">
        <v>37</v>
      </c>
      <c r="V549" s="2" t="s">
        <v>38</v>
      </c>
      <c r="W549" s="2" t="s">
        <v>35</v>
      </c>
      <c r="X549" s="2" t="s">
        <v>35</v>
      </c>
      <c r="Y549" s="2" t="s">
        <v>35</v>
      </c>
      <c r="Z549" s="2" t="b">
        <v>0</v>
      </c>
      <c r="AA549" s="2" t="s">
        <v>35</v>
      </c>
      <c r="AB549" s="2" t="s">
        <v>35</v>
      </c>
      <c r="AC549" s="2" t="s">
        <v>35</v>
      </c>
      <c r="AD549" s="2">
        <v>2</v>
      </c>
      <c r="AE549" s="2" t="s">
        <v>941</v>
      </c>
      <c r="AF549" s="11">
        <v>44740.448611053238</v>
      </c>
      <c r="AG549" s="53"/>
      <c r="AH549" s="53" t="b">
        <f t="shared" si="13"/>
        <v>0</v>
      </c>
      <c r="AI549" s="54" t="s">
        <v>10291</v>
      </c>
      <c r="AJ549" s="2"/>
      <c r="AK549" s="2"/>
      <c r="AL549" s="2"/>
      <c r="AM549" s="2"/>
      <c r="AN549" s="2"/>
    </row>
    <row r="550" spans="1:40" ht="16" x14ac:dyDescent="0.2">
      <c r="A550" s="2" t="s">
        <v>995</v>
      </c>
      <c r="B550" s="2">
        <v>300</v>
      </c>
      <c r="C550" s="2" t="b">
        <v>0</v>
      </c>
      <c r="D550" s="2" t="b">
        <v>0</v>
      </c>
      <c r="E550" s="2" t="b">
        <v>0</v>
      </c>
      <c r="F550" s="2" t="b">
        <v>0</v>
      </c>
      <c r="G550" s="2" t="s">
        <v>31</v>
      </c>
      <c r="H550" s="2" t="s">
        <v>996</v>
      </c>
      <c r="I550" s="2" t="s">
        <v>997</v>
      </c>
      <c r="J550" s="2" t="s">
        <v>35</v>
      </c>
      <c r="K550" s="2" t="s">
        <v>35</v>
      </c>
      <c r="L550" s="2" t="s">
        <v>35</v>
      </c>
      <c r="M550" s="2" t="s">
        <v>35</v>
      </c>
      <c r="N550" s="2" t="s">
        <v>35</v>
      </c>
      <c r="O550" s="11">
        <v>44740.47823177083</v>
      </c>
      <c r="P550" s="11">
        <v>44740.47840709491</v>
      </c>
      <c r="Q550" s="27">
        <v>1.7532407946418971E-4</v>
      </c>
      <c r="R550" s="27">
        <v>1.529108798422385E-3</v>
      </c>
      <c r="S550" s="2">
        <v>0</v>
      </c>
      <c r="T550" s="2" t="s">
        <v>36</v>
      </c>
      <c r="U550" s="2" t="s">
        <v>37</v>
      </c>
      <c r="V550" s="2" t="s">
        <v>38</v>
      </c>
      <c r="W550" s="2" t="s">
        <v>35</v>
      </c>
      <c r="X550" s="2" t="s">
        <v>35</v>
      </c>
      <c r="Y550" s="2" t="s">
        <v>35</v>
      </c>
      <c r="Z550" s="2" t="b">
        <v>0</v>
      </c>
      <c r="AA550" s="2" t="s">
        <v>35</v>
      </c>
      <c r="AB550" s="2" t="s">
        <v>35</v>
      </c>
      <c r="AC550" s="2" t="s">
        <v>35</v>
      </c>
      <c r="AD550" s="2">
        <v>5</v>
      </c>
      <c r="AE550" s="2" t="s">
        <v>941</v>
      </c>
      <c r="AF550" s="11">
        <v>44740.448611053238</v>
      </c>
      <c r="AG550" s="53"/>
      <c r="AH550" s="53" t="b">
        <f t="shared" si="13"/>
        <v>0</v>
      </c>
      <c r="AI550" s="54" t="s">
        <v>10292</v>
      </c>
      <c r="AJ550" s="2"/>
      <c r="AK550" s="2"/>
      <c r="AL550" s="2"/>
      <c r="AM550" s="2"/>
      <c r="AN550" s="2"/>
    </row>
    <row r="551" spans="1:40" ht="16" x14ac:dyDescent="0.2">
      <c r="A551" s="2" t="s">
        <v>998</v>
      </c>
      <c r="B551" s="2">
        <v>301</v>
      </c>
      <c r="C551" s="2" t="b">
        <v>0</v>
      </c>
      <c r="D551" s="2" t="b">
        <v>0</v>
      </c>
      <c r="E551" s="2" t="b">
        <v>0</v>
      </c>
      <c r="F551" s="2" t="b">
        <v>0</v>
      </c>
      <c r="G551" s="2" t="s">
        <v>31</v>
      </c>
      <c r="H551" s="2" t="s">
        <v>999</v>
      </c>
      <c r="I551" s="2" t="s">
        <v>1000</v>
      </c>
      <c r="J551" s="2" t="s">
        <v>35</v>
      </c>
      <c r="K551" s="2" t="s">
        <v>35</v>
      </c>
      <c r="L551" s="2" t="s">
        <v>35</v>
      </c>
      <c r="M551" s="2" t="s">
        <v>35</v>
      </c>
      <c r="N551" s="2" t="s">
        <v>35</v>
      </c>
      <c r="O551" s="11">
        <v>44740.479016018522</v>
      </c>
      <c r="P551" s="11">
        <v>44740.479122662036</v>
      </c>
      <c r="Q551" s="27">
        <v>1.0664351430023089E-4</v>
      </c>
      <c r="R551" s="27">
        <v>7.1556712646270171E-4</v>
      </c>
      <c r="S551" s="2">
        <v>0</v>
      </c>
      <c r="T551" s="2" t="s">
        <v>36</v>
      </c>
      <c r="U551" s="2" t="s">
        <v>37</v>
      </c>
      <c r="V551" s="2" t="s">
        <v>38</v>
      </c>
      <c r="W551" s="2" t="s">
        <v>35</v>
      </c>
      <c r="X551" s="2" t="s">
        <v>35</v>
      </c>
      <c r="Y551" s="2" t="s">
        <v>35</v>
      </c>
      <c r="Z551" s="2" t="b">
        <v>0</v>
      </c>
      <c r="AA551" s="2" t="s">
        <v>35</v>
      </c>
      <c r="AB551" s="2" t="s">
        <v>35</v>
      </c>
      <c r="AC551" s="2" t="s">
        <v>35</v>
      </c>
      <c r="AD551" s="2">
        <v>5</v>
      </c>
      <c r="AE551" s="2" t="s">
        <v>941</v>
      </c>
      <c r="AF551" s="11">
        <v>44740.448611053238</v>
      </c>
      <c r="AG551" s="53"/>
      <c r="AH551" s="53" t="b">
        <f t="shared" si="13"/>
        <v>0</v>
      </c>
      <c r="AI551" s="54" t="s">
        <v>10293</v>
      </c>
      <c r="AJ551" s="2"/>
      <c r="AK551" s="2"/>
      <c r="AL551" s="2"/>
      <c r="AM551" s="2"/>
      <c r="AN551" s="2"/>
    </row>
    <row r="552" spans="1:40" ht="16" x14ac:dyDescent="0.2">
      <c r="A552" s="2" t="s">
        <v>1001</v>
      </c>
      <c r="B552" s="2">
        <v>302</v>
      </c>
      <c r="C552" s="2" t="b">
        <v>0</v>
      </c>
      <c r="D552" s="2" t="b">
        <v>0</v>
      </c>
      <c r="E552" s="2" t="b">
        <v>0</v>
      </c>
      <c r="F552" s="2" t="b">
        <v>0</v>
      </c>
      <c r="G552" s="2" t="s">
        <v>31</v>
      </c>
      <c r="H552" s="2" t="s">
        <v>1002</v>
      </c>
      <c r="I552" s="2" t="s">
        <v>1003</v>
      </c>
      <c r="J552" s="2" t="s">
        <v>1004</v>
      </c>
      <c r="K552" s="2" t="s">
        <v>35</v>
      </c>
      <c r="L552" s="2" t="s">
        <v>35</v>
      </c>
      <c r="M552" s="2" t="s">
        <v>35</v>
      </c>
      <c r="N552" s="2" t="s">
        <v>35</v>
      </c>
      <c r="O552" s="11">
        <v>44740.481651076392</v>
      </c>
      <c r="P552" s="11">
        <v>44740.481877372687</v>
      </c>
      <c r="Q552" s="27">
        <v>2.2629629529546946E-4</v>
      </c>
      <c r="R552" s="27">
        <v>2.754710651061032E-3</v>
      </c>
      <c r="S552" s="2">
        <v>0</v>
      </c>
      <c r="T552" s="2" t="s">
        <v>36</v>
      </c>
      <c r="U552" s="2" t="s">
        <v>37</v>
      </c>
      <c r="V552" s="2" t="s">
        <v>38</v>
      </c>
      <c r="W552" s="2" t="s">
        <v>35</v>
      </c>
      <c r="X552" s="2" t="s">
        <v>35</v>
      </c>
      <c r="Y552" s="2" t="s">
        <v>35</v>
      </c>
      <c r="Z552" s="2" t="b">
        <v>0</v>
      </c>
      <c r="AA552" s="2" t="s">
        <v>35</v>
      </c>
      <c r="AB552" s="2" t="s">
        <v>35</v>
      </c>
      <c r="AC552" s="2">
        <v>5</v>
      </c>
      <c r="AD552" s="2" t="s">
        <v>35</v>
      </c>
      <c r="AE552" s="2" t="s">
        <v>941</v>
      </c>
      <c r="AF552" s="11">
        <v>44740.448611053238</v>
      </c>
      <c r="AG552" s="53"/>
      <c r="AH552" s="53" t="b">
        <f t="shared" si="13"/>
        <v>0</v>
      </c>
      <c r="AI552" s="54" t="s">
        <v>10294</v>
      </c>
      <c r="AJ552" s="2"/>
      <c r="AK552" s="2"/>
      <c r="AL552" s="2"/>
      <c r="AM552" s="2"/>
      <c r="AN552" s="2"/>
    </row>
    <row r="553" spans="1:40" ht="16" x14ac:dyDescent="0.2">
      <c r="A553" s="2" t="s">
        <v>1005</v>
      </c>
      <c r="B553" s="2">
        <v>303</v>
      </c>
      <c r="C553" s="2" t="b">
        <v>0</v>
      </c>
      <c r="D553" s="2" t="b">
        <v>0</v>
      </c>
      <c r="E553" s="2" t="b">
        <v>0</v>
      </c>
      <c r="F553" s="2" t="b">
        <v>0</v>
      </c>
      <c r="G553" s="2" t="s">
        <v>31</v>
      </c>
      <c r="H553" s="2" t="s">
        <v>1006</v>
      </c>
      <c r="I553" s="2" t="s">
        <v>1007</v>
      </c>
      <c r="J553" s="2" t="s">
        <v>35</v>
      </c>
      <c r="K553" s="2" t="s">
        <v>35</v>
      </c>
      <c r="L553" s="2" t="s">
        <v>35</v>
      </c>
      <c r="M553" s="2" t="s">
        <v>35</v>
      </c>
      <c r="N553" s="2" t="s">
        <v>35</v>
      </c>
      <c r="O553" s="11">
        <v>44740.483220023147</v>
      </c>
      <c r="P553" s="11">
        <v>44740.483433912035</v>
      </c>
      <c r="Q553" s="27">
        <v>2.1388888853834942E-4</v>
      </c>
      <c r="R553" s="27">
        <v>1.5565393478027545E-3</v>
      </c>
      <c r="S553" s="2">
        <v>0</v>
      </c>
      <c r="T553" s="2" t="s">
        <v>36</v>
      </c>
      <c r="U553" s="2" t="s">
        <v>37</v>
      </c>
      <c r="V553" s="2" t="s">
        <v>38</v>
      </c>
      <c r="W553" s="2" t="s">
        <v>35</v>
      </c>
      <c r="X553" s="2" t="s">
        <v>35</v>
      </c>
      <c r="Y553" s="2" t="s">
        <v>35</v>
      </c>
      <c r="Z553" s="2" t="b">
        <v>0</v>
      </c>
      <c r="AA553" s="2" t="s">
        <v>1008</v>
      </c>
      <c r="AB553" s="2" t="s">
        <v>35</v>
      </c>
      <c r="AC553" s="2" t="s">
        <v>35</v>
      </c>
      <c r="AD553" s="2" t="s">
        <v>35</v>
      </c>
      <c r="AE553" s="2" t="s">
        <v>941</v>
      </c>
      <c r="AF553" s="11">
        <v>44740.448611053238</v>
      </c>
      <c r="AG553" s="53"/>
      <c r="AH553" s="53" t="b">
        <f t="shared" si="13"/>
        <v>0</v>
      </c>
      <c r="AI553" s="54" t="s">
        <v>10295</v>
      </c>
      <c r="AJ553" s="2"/>
      <c r="AK553" s="2"/>
      <c r="AL553" s="2"/>
      <c r="AM553" s="2"/>
      <c r="AN553" s="2"/>
    </row>
    <row r="554" spans="1:40" ht="16" x14ac:dyDescent="0.2">
      <c r="A554" s="2" t="s">
        <v>1009</v>
      </c>
      <c r="B554" s="2">
        <v>304</v>
      </c>
      <c r="C554" s="2" t="b">
        <v>0</v>
      </c>
      <c r="D554" s="2" t="b">
        <v>0</v>
      </c>
      <c r="E554" s="2" t="b">
        <v>0</v>
      </c>
      <c r="F554" s="2" t="b">
        <v>0</v>
      </c>
      <c r="G554" s="2" t="s">
        <v>31</v>
      </c>
      <c r="H554" s="2" t="s">
        <v>1010</v>
      </c>
      <c r="I554" s="2" t="s">
        <v>1011</v>
      </c>
      <c r="J554" s="2" t="s">
        <v>1012</v>
      </c>
      <c r="K554" s="2" t="s">
        <v>35</v>
      </c>
      <c r="L554" s="2" t="s">
        <v>35</v>
      </c>
      <c r="M554" s="2" t="s">
        <v>35</v>
      </c>
      <c r="N554" s="2" t="s">
        <v>35</v>
      </c>
      <c r="O554" s="11">
        <v>44740.484845856481</v>
      </c>
      <c r="P554" s="11">
        <v>44740.485190335647</v>
      </c>
      <c r="Q554" s="27">
        <v>3.4447916550561786E-4</v>
      </c>
      <c r="R554" s="27">
        <v>1.7564236113685183E-3</v>
      </c>
      <c r="S554" s="2">
        <v>0</v>
      </c>
      <c r="T554" s="2" t="s">
        <v>36</v>
      </c>
      <c r="U554" s="2" t="s">
        <v>37</v>
      </c>
      <c r="V554" s="2" t="s">
        <v>38</v>
      </c>
      <c r="W554" s="2" t="s">
        <v>35</v>
      </c>
      <c r="X554" s="2" t="s">
        <v>35</v>
      </c>
      <c r="Y554" s="2" t="s">
        <v>35</v>
      </c>
      <c r="Z554" s="2" t="b">
        <v>0</v>
      </c>
      <c r="AA554" s="2" t="s">
        <v>35</v>
      </c>
      <c r="AB554" s="2" t="s">
        <v>35</v>
      </c>
      <c r="AC554" s="2">
        <v>4</v>
      </c>
      <c r="AD554" s="2" t="s">
        <v>35</v>
      </c>
      <c r="AE554" s="2" t="s">
        <v>941</v>
      </c>
      <c r="AF554" s="11">
        <v>44740.448611053238</v>
      </c>
      <c r="AG554" s="53"/>
      <c r="AH554" s="53" t="b">
        <f t="shared" si="13"/>
        <v>0</v>
      </c>
      <c r="AI554" s="54" t="s">
        <v>10296</v>
      </c>
      <c r="AJ554" s="2"/>
      <c r="AK554" s="2"/>
      <c r="AL554" s="2"/>
      <c r="AM554" s="2"/>
      <c r="AN554" s="2"/>
    </row>
    <row r="555" spans="1:40" ht="16" x14ac:dyDescent="0.2">
      <c r="A555" s="2" t="s">
        <v>1013</v>
      </c>
      <c r="B555" s="2">
        <v>305</v>
      </c>
      <c r="C555" s="2" t="b">
        <v>0</v>
      </c>
      <c r="D555" s="2" t="b">
        <v>0</v>
      </c>
      <c r="E555" s="2" t="b">
        <v>0</v>
      </c>
      <c r="F555" s="2" t="b">
        <v>0</v>
      </c>
      <c r="G555" s="2" t="s">
        <v>31</v>
      </c>
      <c r="H555" s="2" t="s">
        <v>1014</v>
      </c>
      <c r="I555" s="2" t="s">
        <v>1015</v>
      </c>
      <c r="J555" s="2" t="s">
        <v>35</v>
      </c>
      <c r="K555" s="2" t="s">
        <v>35</v>
      </c>
      <c r="L555" s="2" t="s">
        <v>35</v>
      </c>
      <c r="M555" s="2" t="s">
        <v>35</v>
      </c>
      <c r="N555" s="2" t="s">
        <v>35</v>
      </c>
      <c r="O555" s="11">
        <v>44740.485820416667</v>
      </c>
      <c r="P555" s="11">
        <v>44740.486120844907</v>
      </c>
      <c r="Q555" s="27">
        <v>3.0042824073461816E-4</v>
      </c>
      <c r="R555" s="27">
        <v>9.3050926079740748E-4</v>
      </c>
      <c r="S555" s="2">
        <v>0</v>
      </c>
      <c r="T555" s="2" t="s">
        <v>36</v>
      </c>
      <c r="U555" s="2" t="s">
        <v>37</v>
      </c>
      <c r="V555" s="2" t="s">
        <v>38</v>
      </c>
      <c r="W555" s="2" t="s">
        <v>35</v>
      </c>
      <c r="X555" s="2" t="s">
        <v>35</v>
      </c>
      <c r="Y555" s="2" t="s">
        <v>35</v>
      </c>
      <c r="Z555" s="2" t="b">
        <v>0</v>
      </c>
      <c r="AA555" s="2" t="s">
        <v>1016</v>
      </c>
      <c r="AB555" s="2" t="s">
        <v>35</v>
      </c>
      <c r="AC555" s="2" t="s">
        <v>35</v>
      </c>
      <c r="AD555" s="2" t="s">
        <v>35</v>
      </c>
      <c r="AE555" s="2" t="s">
        <v>941</v>
      </c>
      <c r="AF555" s="11">
        <v>44740.448611053238</v>
      </c>
      <c r="AG555" s="53"/>
      <c r="AH555" s="53" t="b">
        <f t="shared" si="13"/>
        <v>0</v>
      </c>
      <c r="AI555" s="54" t="s">
        <v>10297</v>
      </c>
      <c r="AJ555" s="2"/>
      <c r="AK555" s="2"/>
      <c r="AL555" s="2"/>
      <c r="AM555" s="2"/>
      <c r="AN555" s="2"/>
    </row>
    <row r="556" spans="1:40" ht="16" x14ac:dyDescent="0.2">
      <c r="A556" s="2" t="s">
        <v>1024</v>
      </c>
      <c r="B556" s="2">
        <v>308</v>
      </c>
      <c r="C556" s="2" t="b">
        <v>0</v>
      </c>
      <c r="D556" s="2" t="b">
        <v>0</v>
      </c>
      <c r="E556" s="2" t="b">
        <v>0</v>
      </c>
      <c r="F556" s="2" t="b">
        <v>0</v>
      </c>
      <c r="G556" s="2" t="s">
        <v>31</v>
      </c>
      <c r="H556" s="2" t="s">
        <v>1025</v>
      </c>
      <c r="I556" s="2" t="s">
        <v>1026</v>
      </c>
      <c r="J556" s="2" t="s">
        <v>1027</v>
      </c>
      <c r="K556" s="2" t="s">
        <v>35</v>
      </c>
      <c r="L556" s="2" t="s">
        <v>35</v>
      </c>
      <c r="M556" s="2" t="s">
        <v>35</v>
      </c>
      <c r="N556" s="2" t="s">
        <v>35</v>
      </c>
      <c r="O556" s="11">
        <v>44740.493087337964</v>
      </c>
      <c r="P556" s="11">
        <v>44740.493371064818</v>
      </c>
      <c r="Q556" s="27">
        <v>2.8372685483191162E-4</v>
      </c>
      <c r="R556" s="27">
        <v>1.4332407445181161E-3</v>
      </c>
      <c r="S556" s="2">
        <v>0</v>
      </c>
      <c r="T556" s="2" t="s">
        <v>36</v>
      </c>
      <c r="U556" s="2" t="s">
        <v>37</v>
      </c>
      <c r="V556" s="2" t="s">
        <v>38</v>
      </c>
      <c r="W556" s="2" t="s">
        <v>35</v>
      </c>
      <c r="X556" s="2" t="s">
        <v>35</v>
      </c>
      <c r="Y556" s="2" t="s">
        <v>35</v>
      </c>
      <c r="Z556" s="2" t="b">
        <v>0</v>
      </c>
      <c r="AA556" s="2" t="s">
        <v>35</v>
      </c>
      <c r="AB556" s="2" t="s">
        <v>35</v>
      </c>
      <c r="AC556" s="2">
        <v>4</v>
      </c>
      <c r="AD556" s="2" t="s">
        <v>35</v>
      </c>
      <c r="AE556" s="2" t="s">
        <v>941</v>
      </c>
      <c r="AF556" s="11">
        <v>44740.448611053238</v>
      </c>
      <c r="AG556" s="53"/>
      <c r="AH556" s="53" t="b">
        <f t="shared" si="13"/>
        <v>0</v>
      </c>
      <c r="AI556" s="54" t="s">
        <v>9549</v>
      </c>
      <c r="AJ556" s="2"/>
      <c r="AK556" s="2"/>
      <c r="AL556" s="2"/>
      <c r="AM556" s="2"/>
      <c r="AN556" s="2"/>
    </row>
    <row r="557" spans="1:40" ht="16" x14ac:dyDescent="0.2">
      <c r="A557" s="2" t="s">
        <v>1028</v>
      </c>
      <c r="B557" s="2">
        <v>309</v>
      </c>
      <c r="C557" s="2" t="b">
        <v>0</v>
      </c>
      <c r="D557" s="2" t="b">
        <v>0</v>
      </c>
      <c r="E557" s="2" t="b">
        <v>0</v>
      </c>
      <c r="F557" s="2" t="b">
        <v>0</v>
      </c>
      <c r="G557" s="2" t="s">
        <v>31</v>
      </c>
      <c r="H557" s="2" t="s">
        <v>1029</v>
      </c>
      <c r="I557" s="2" t="s">
        <v>1030</v>
      </c>
      <c r="J557" s="2" t="s">
        <v>1031</v>
      </c>
      <c r="K557" s="2" t="s">
        <v>35</v>
      </c>
      <c r="L557" s="2" t="s">
        <v>35</v>
      </c>
      <c r="M557" s="2" t="s">
        <v>35</v>
      </c>
      <c r="N557" s="2" t="s">
        <v>35</v>
      </c>
      <c r="O557" s="11">
        <v>44740.494386747683</v>
      </c>
      <c r="P557" s="11">
        <v>44740.494619872683</v>
      </c>
      <c r="Q557" s="27">
        <v>2.3312499979510903E-4</v>
      </c>
      <c r="R557" s="27">
        <v>1.2488078646128997E-3</v>
      </c>
      <c r="S557" s="2">
        <v>0</v>
      </c>
      <c r="T557" s="2" t="s">
        <v>36</v>
      </c>
      <c r="U557" s="2" t="s">
        <v>37</v>
      </c>
      <c r="V557" s="2" t="s">
        <v>38</v>
      </c>
      <c r="W557" s="2" t="s">
        <v>35</v>
      </c>
      <c r="X557" s="2" t="s">
        <v>35</v>
      </c>
      <c r="Y557" s="2" t="s">
        <v>35</v>
      </c>
      <c r="Z557" s="2" t="b">
        <v>0</v>
      </c>
      <c r="AA557" s="2" t="s">
        <v>35</v>
      </c>
      <c r="AB557" s="2" t="s">
        <v>35</v>
      </c>
      <c r="AC557" s="2">
        <v>4</v>
      </c>
      <c r="AD557" s="2" t="s">
        <v>35</v>
      </c>
      <c r="AE557" s="2" t="s">
        <v>941</v>
      </c>
      <c r="AF557" s="11">
        <v>44740.448611053238</v>
      </c>
      <c r="AG557" s="53"/>
      <c r="AH557" s="53" t="b">
        <f t="shared" si="13"/>
        <v>0</v>
      </c>
      <c r="AI557" s="54" t="s">
        <v>10298</v>
      </c>
      <c r="AJ557" s="2"/>
      <c r="AK557" s="2"/>
      <c r="AL557" s="2"/>
      <c r="AM557" s="2"/>
      <c r="AN557" s="2"/>
    </row>
    <row r="558" spans="1:40" ht="16" x14ac:dyDescent="0.2">
      <c r="A558" s="2" t="s">
        <v>1032</v>
      </c>
      <c r="B558" s="2">
        <v>310</v>
      </c>
      <c r="C558" s="2" t="b">
        <v>0</v>
      </c>
      <c r="D558" s="2" t="b">
        <v>0</v>
      </c>
      <c r="E558" s="2" t="b">
        <v>0</v>
      </c>
      <c r="F558" s="2" t="b">
        <v>0</v>
      </c>
      <c r="G558" s="2" t="s">
        <v>31</v>
      </c>
      <c r="H558" s="2" t="s">
        <v>1033</v>
      </c>
      <c r="I558" s="2" t="s">
        <v>1034</v>
      </c>
      <c r="J558" s="2" t="s">
        <v>35</v>
      </c>
      <c r="K558" s="2" t="s">
        <v>35</v>
      </c>
      <c r="L558" s="2" t="s">
        <v>35</v>
      </c>
      <c r="M558" s="2" t="s">
        <v>35</v>
      </c>
      <c r="N558" s="2" t="s">
        <v>35</v>
      </c>
      <c r="O558" s="11">
        <v>44740.494937523152</v>
      </c>
      <c r="P558" s="11">
        <v>44740.495197511576</v>
      </c>
      <c r="Q558" s="27">
        <v>2.5998842465924099E-4</v>
      </c>
      <c r="R558" s="27">
        <v>5.7763889344641939E-4</v>
      </c>
      <c r="S558" s="2">
        <v>0</v>
      </c>
      <c r="T558" s="2" t="s">
        <v>36</v>
      </c>
      <c r="U558" s="2" t="s">
        <v>37</v>
      </c>
      <c r="V558" s="2" t="s">
        <v>38</v>
      </c>
      <c r="W558" s="2" t="s">
        <v>35</v>
      </c>
      <c r="X558" s="2" t="s">
        <v>35</v>
      </c>
      <c r="Y558" s="2" t="s">
        <v>35</v>
      </c>
      <c r="Z558" s="2" t="b">
        <v>0</v>
      </c>
      <c r="AA558" s="2" t="s">
        <v>35</v>
      </c>
      <c r="AB558" s="2" t="s">
        <v>35</v>
      </c>
      <c r="AC558" s="2" t="s">
        <v>35</v>
      </c>
      <c r="AD558" s="2">
        <v>4</v>
      </c>
      <c r="AE558" s="2" t="s">
        <v>941</v>
      </c>
      <c r="AF558" s="11">
        <v>44740.448611053238</v>
      </c>
      <c r="AG558" s="53"/>
      <c r="AH558" s="53" t="b">
        <f t="shared" si="13"/>
        <v>0</v>
      </c>
      <c r="AI558" s="54" t="s">
        <v>10301</v>
      </c>
      <c r="AJ558" s="2" t="s">
        <v>10299</v>
      </c>
      <c r="AK558" s="2" t="s">
        <v>10300</v>
      </c>
      <c r="AL558" s="2"/>
      <c r="AM558" s="2"/>
      <c r="AN558" s="2"/>
    </row>
    <row r="559" spans="1:40" ht="16" x14ac:dyDescent="0.2">
      <c r="A559" s="68" t="s">
        <v>1042</v>
      </c>
      <c r="B559" s="68">
        <v>313</v>
      </c>
      <c r="C559" s="68" t="b">
        <v>0</v>
      </c>
      <c r="D559" s="68" t="b">
        <v>0</v>
      </c>
      <c r="E559" s="68" t="b">
        <v>0</v>
      </c>
      <c r="F559" s="68" t="b">
        <v>0</v>
      </c>
      <c r="G559" s="68" t="s">
        <v>31</v>
      </c>
      <c r="H559" s="68" t="s">
        <v>149</v>
      </c>
      <c r="I559" s="68" t="s">
        <v>1043</v>
      </c>
      <c r="J559" s="68" t="s">
        <v>35</v>
      </c>
      <c r="K559" s="68" t="s">
        <v>35</v>
      </c>
      <c r="L559" s="68" t="s">
        <v>35</v>
      </c>
      <c r="M559" s="68" t="s">
        <v>35</v>
      </c>
      <c r="N559" s="68" t="s">
        <v>35</v>
      </c>
      <c r="O559" s="69">
        <v>44740.499368055556</v>
      </c>
      <c r="P559" s="69">
        <v>44740.499604155091</v>
      </c>
      <c r="Q559" s="70">
        <v>2.3609953495906666E-4</v>
      </c>
      <c r="R559" s="70">
        <v>7.175810169428587E-4</v>
      </c>
      <c r="S559" s="68">
        <v>0</v>
      </c>
      <c r="T559" s="68" t="s">
        <v>36</v>
      </c>
      <c r="U559" s="68" t="s">
        <v>37</v>
      </c>
      <c r="V559" s="68" t="s">
        <v>38</v>
      </c>
      <c r="W559" s="68" t="s">
        <v>35</v>
      </c>
      <c r="X559" s="68" t="s">
        <v>35</v>
      </c>
      <c r="Y559" s="68" t="s">
        <v>35</v>
      </c>
      <c r="Z559" s="68" t="b">
        <v>0</v>
      </c>
      <c r="AA559" s="68" t="s">
        <v>35</v>
      </c>
      <c r="AB559" s="68" t="s">
        <v>35</v>
      </c>
      <c r="AC559" s="68" t="s">
        <v>35</v>
      </c>
      <c r="AD559" s="68">
        <v>4</v>
      </c>
      <c r="AE559" s="68" t="s">
        <v>941</v>
      </c>
      <c r="AF559" s="69">
        <v>44740.448611053238</v>
      </c>
      <c r="AG559" s="71"/>
      <c r="AH559" s="53" t="b">
        <f t="shared" si="13"/>
        <v>0</v>
      </c>
      <c r="AI559" s="56" t="s">
        <v>35</v>
      </c>
      <c r="AJ559" s="68"/>
      <c r="AK559" s="68"/>
      <c r="AL559" s="68"/>
      <c r="AM559" s="68"/>
      <c r="AN559" s="68"/>
    </row>
    <row r="560" spans="1:40" ht="16" x14ac:dyDescent="0.2">
      <c r="A560" s="68" t="s">
        <v>1044</v>
      </c>
      <c r="B560" s="68">
        <v>314</v>
      </c>
      <c r="C560" s="68" t="b">
        <v>0</v>
      </c>
      <c r="D560" s="68" t="b">
        <v>0</v>
      </c>
      <c r="E560" s="68" t="b">
        <v>0</v>
      </c>
      <c r="F560" s="68" t="b">
        <v>0</v>
      </c>
      <c r="G560" s="68" t="s">
        <v>31</v>
      </c>
      <c r="H560" s="68" t="s">
        <v>149</v>
      </c>
      <c r="I560" s="68" t="s">
        <v>1045</v>
      </c>
      <c r="J560" s="68" t="s">
        <v>35</v>
      </c>
      <c r="K560" s="68" t="s">
        <v>35</v>
      </c>
      <c r="L560" s="68" t="s">
        <v>35</v>
      </c>
      <c r="M560" s="68" t="s">
        <v>35</v>
      </c>
      <c r="N560" s="68" t="s">
        <v>35</v>
      </c>
      <c r="O560" s="69">
        <v>44740.501539780096</v>
      </c>
      <c r="P560" s="69">
        <v>44740.501695624997</v>
      </c>
      <c r="Q560" s="70">
        <v>1.5584490029141307E-4</v>
      </c>
      <c r="R560" s="70">
        <v>2.0914699052809738E-3</v>
      </c>
      <c r="S560" s="68">
        <v>0</v>
      </c>
      <c r="T560" s="68" t="s">
        <v>36</v>
      </c>
      <c r="U560" s="68" t="s">
        <v>37</v>
      </c>
      <c r="V560" s="68" t="s">
        <v>38</v>
      </c>
      <c r="W560" s="68" t="s">
        <v>35</v>
      </c>
      <c r="X560" s="68" t="s">
        <v>35</v>
      </c>
      <c r="Y560" s="68" t="s">
        <v>35</v>
      </c>
      <c r="Z560" s="68" t="b">
        <v>0</v>
      </c>
      <c r="AA560" s="68" t="s">
        <v>35</v>
      </c>
      <c r="AB560" s="68" t="s">
        <v>35</v>
      </c>
      <c r="AC560" s="68" t="s">
        <v>35</v>
      </c>
      <c r="AD560" s="68">
        <v>3</v>
      </c>
      <c r="AE560" s="68" t="s">
        <v>941</v>
      </c>
      <c r="AF560" s="69">
        <v>44740.448611053238</v>
      </c>
      <c r="AG560" s="71"/>
      <c r="AH560" s="53" t="b">
        <f t="shared" si="13"/>
        <v>0</v>
      </c>
      <c r="AI560" s="56" t="s">
        <v>35</v>
      </c>
      <c r="AJ560" s="68"/>
      <c r="AK560" s="68"/>
      <c r="AL560" s="68"/>
      <c r="AM560" s="68"/>
      <c r="AN560" s="68"/>
    </row>
    <row r="561" spans="1:40" ht="16" x14ac:dyDescent="0.2">
      <c r="A561" s="2" t="s">
        <v>1046</v>
      </c>
      <c r="B561" s="2">
        <v>315</v>
      </c>
      <c r="C561" s="2" t="b">
        <v>0</v>
      </c>
      <c r="D561" s="2" t="b">
        <v>0</v>
      </c>
      <c r="E561" s="2" t="b">
        <v>0</v>
      </c>
      <c r="F561" s="2" t="b">
        <v>0</v>
      </c>
      <c r="G561" s="2" t="s">
        <v>31</v>
      </c>
      <c r="H561" s="2" t="s">
        <v>1047</v>
      </c>
      <c r="I561" s="2" t="s">
        <v>1048</v>
      </c>
      <c r="J561" s="2" t="s">
        <v>35</v>
      </c>
      <c r="K561" s="2" t="s">
        <v>35</v>
      </c>
      <c r="L561" s="2" t="s">
        <v>35</v>
      </c>
      <c r="M561" s="2" t="s">
        <v>35</v>
      </c>
      <c r="N561" s="2" t="s">
        <v>35</v>
      </c>
      <c r="O561" s="11">
        <v>44740.502857939813</v>
      </c>
      <c r="P561" s="11">
        <v>44740.502968298613</v>
      </c>
      <c r="Q561" s="27">
        <v>1.103588001569733E-4</v>
      </c>
      <c r="R561" s="27">
        <v>1.2726736167678609E-3</v>
      </c>
      <c r="S561" s="2">
        <v>0</v>
      </c>
      <c r="T561" s="2" t="s">
        <v>36</v>
      </c>
      <c r="U561" s="2" t="s">
        <v>37</v>
      </c>
      <c r="V561" s="2" t="s">
        <v>38</v>
      </c>
      <c r="W561" s="2" t="s">
        <v>35</v>
      </c>
      <c r="X561" s="2" t="s">
        <v>35</v>
      </c>
      <c r="Y561" s="2" t="s">
        <v>35</v>
      </c>
      <c r="Z561" s="2" t="b">
        <v>0</v>
      </c>
      <c r="AA561" s="2" t="s">
        <v>35</v>
      </c>
      <c r="AB561" s="2" t="s">
        <v>35</v>
      </c>
      <c r="AC561" s="2" t="s">
        <v>35</v>
      </c>
      <c r="AD561" s="2">
        <v>2</v>
      </c>
      <c r="AE561" s="2" t="s">
        <v>941</v>
      </c>
      <c r="AF561" s="11">
        <v>44740.448611053238</v>
      </c>
      <c r="AG561" s="53"/>
      <c r="AH561" s="53" t="b">
        <f t="shared" si="13"/>
        <v>0</v>
      </c>
      <c r="AI561" s="54" t="s">
        <v>10302</v>
      </c>
      <c r="AJ561" s="2"/>
      <c r="AK561" s="2"/>
      <c r="AL561" s="2"/>
      <c r="AM561" s="2"/>
      <c r="AN561" s="2"/>
    </row>
    <row r="562" spans="1:40" ht="16" x14ac:dyDescent="0.2">
      <c r="A562" s="2" t="s">
        <v>1049</v>
      </c>
      <c r="B562" s="2">
        <v>316</v>
      </c>
      <c r="C562" s="2" t="b">
        <v>0</v>
      </c>
      <c r="D562" s="2" t="b">
        <v>0</v>
      </c>
      <c r="E562" s="2" t="b">
        <v>0</v>
      </c>
      <c r="F562" s="2" t="b">
        <v>0</v>
      </c>
      <c r="G562" s="2" t="s">
        <v>31</v>
      </c>
      <c r="H562" s="2" t="s">
        <v>1050</v>
      </c>
      <c r="I562" s="2" t="s">
        <v>1051</v>
      </c>
      <c r="J562" s="2" t="s">
        <v>35</v>
      </c>
      <c r="K562" s="2" t="s">
        <v>35</v>
      </c>
      <c r="L562" s="2" t="s">
        <v>35</v>
      </c>
      <c r="M562" s="2" t="s">
        <v>35</v>
      </c>
      <c r="N562" s="2" t="s">
        <v>35</v>
      </c>
      <c r="O562" s="11">
        <v>44740.504366597219</v>
      </c>
      <c r="P562" s="11">
        <v>44740.504527754631</v>
      </c>
      <c r="Q562" s="27">
        <v>1.6115741163957864E-4</v>
      </c>
      <c r="R562" s="27">
        <v>1.5594560172758065E-3</v>
      </c>
      <c r="S562" s="2">
        <v>0</v>
      </c>
      <c r="T562" s="2" t="s">
        <v>36</v>
      </c>
      <c r="U562" s="2" t="s">
        <v>37</v>
      </c>
      <c r="V562" s="2" t="s">
        <v>38</v>
      </c>
      <c r="W562" s="2" t="s">
        <v>35</v>
      </c>
      <c r="X562" s="2" t="s">
        <v>35</v>
      </c>
      <c r="Y562" s="2" t="s">
        <v>35</v>
      </c>
      <c r="Z562" s="2" t="b">
        <v>0</v>
      </c>
      <c r="AA562" s="2" t="s">
        <v>35</v>
      </c>
      <c r="AB562" s="2" t="s">
        <v>35</v>
      </c>
      <c r="AC562" s="2" t="s">
        <v>35</v>
      </c>
      <c r="AD562" s="2">
        <v>4</v>
      </c>
      <c r="AE562" s="2" t="s">
        <v>941</v>
      </c>
      <c r="AF562" s="11">
        <v>44740.448611053238</v>
      </c>
      <c r="AG562" s="53"/>
      <c r="AH562" s="53" t="b">
        <f t="shared" si="13"/>
        <v>0</v>
      </c>
      <c r="AI562" s="54" t="s">
        <v>10303</v>
      </c>
      <c r="AJ562" s="2"/>
      <c r="AK562" s="2"/>
      <c r="AL562" s="2"/>
      <c r="AM562" s="2"/>
      <c r="AN562" s="2"/>
    </row>
    <row r="563" spans="1:40" ht="16" x14ac:dyDescent="0.2">
      <c r="A563" s="2" t="s">
        <v>1069</v>
      </c>
      <c r="B563" s="2">
        <v>323</v>
      </c>
      <c r="C563" s="2" t="b">
        <v>0</v>
      </c>
      <c r="D563" s="2" t="b">
        <v>0</v>
      </c>
      <c r="E563" s="2" t="b">
        <v>0</v>
      </c>
      <c r="F563" s="2" t="b">
        <v>0</v>
      </c>
      <c r="G563" s="2" t="s">
        <v>31</v>
      </c>
      <c r="H563" s="2" t="s">
        <v>1070</v>
      </c>
      <c r="I563" s="2" t="s">
        <v>1071</v>
      </c>
      <c r="J563" s="2" t="s">
        <v>35</v>
      </c>
      <c r="K563" s="2" t="s">
        <v>35</v>
      </c>
      <c r="L563" s="2" t="s">
        <v>35</v>
      </c>
      <c r="M563" s="2" t="s">
        <v>35</v>
      </c>
      <c r="N563" s="2" t="s">
        <v>35</v>
      </c>
      <c r="O563" s="11">
        <v>44740.515258611114</v>
      </c>
      <c r="P563" s="11">
        <v>44740.515367974534</v>
      </c>
      <c r="Q563" s="27">
        <v>1.0936342005152255E-4</v>
      </c>
      <c r="R563" s="27">
        <v>4.0259837915073149E-3</v>
      </c>
      <c r="S563" s="2">
        <v>0</v>
      </c>
      <c r="T563" s="2" t="s">
        <v>36</v>
      </c>
      <c r="U563" s="2" t="s">
        <v>37</v>
      </c>
      <c r="V563" s="2" t="s">
        <v>38</v>
      </c>
      <c r="W563" s="2" t="s">
        <v>35</v>
      </c>
      <c r="X563" s="2" t="s">
        <v>35</v>
      </c>
      <c r="Y563" s="2" t="s">
        <v>35</v>
      </c>
      <c r="Z563" s="2" t="b">
        <v>0</v>
      </c>
      <c r="AA563" s="2" t="s">
        <v>35</v>
      </c>
      <c r="AB563" s="2" t="s">
        <v>35</v>
      </c>
      <c r="AC563" s="2" t="s">
        <v>35</v>
      </c>
      <c r="AD563" s="2">
        <v>3</v>
      </c>
      <c r="AE563" s="2" t="s">
        <v>941</v>
      </c>
      <c r="AF563" s="11">
        <v>44740.448611053238</v>
      </c>
      <c r="AG563" s="53"/>
      <c r="AH563" s="53" t="b">
        <f t="shared" si="13"/>
        <v>0</v>
      </c>
      <c r="AI563" s="54" t="s">
        <v>10304</v>
      </c>
      <c r="AJ563" s="2"/>
      <c r="AK563" s="2"/>
      <c r="AL563" s="2"/>
      <c r="AM563" s="2"/>
      <c r="AN563" s="2"/>
    </row>
    <row r="564" spans="1:40" ht="16" x14ac:dyDescent="0.2">
      <c r="A564" s="2" t="s">
        <v>1103</v>
      </c>
      <c r="B564" s="2">
        <v>333</v>
      </c>
      <c r="C564" s="2" t="b">
        <v>0</v>
      </c>
      <c r="D564" s="2" t="b">
        <v>0</v>
      </c>
      <c r="E564" s="2" t="b">
        <v>0</v>
      </c>
      <c r="F564" s="2" t="b">
        <v>0</v>
      </c>
      <c r="G564" s="2" t="s">
        <v>31</v>
      </c>
      <c r="H564" s="2" t="s">
        <v>1104</v>
      </c>
      <c r="I564" s="2" t="s">
        <v>1105</v>
      </c>
      <c r="J564" s="2" t="s">
        <v>1106</v>
      </c>
      <c r="K564" s="2" t="s">
        <v>35</v>
      </c>
      <c r="L564" s="2" t="s">
        <v>35</v>
      </c>
      <c r="M564" s="2" t="s">
        <v>35</v>
      </c>
      <c r="N564" s="2" t="s">
        <v>35</v>
      </c>
      <c r="O564" s="11">
        <v>44740.535989456017</v>
      </c>
      <c r="P564" s="11">
        <v>44740.536977974538</v>
      </c>
      <c r="Q564" s="27">
        <v>9.8851852089865133E-4</v>
      </c>
      <c r="R564" s="27">
        <v>2.6917708310065791E-3</v>
      </c>
      <c r="S564" s="2">
        <v>0</v>
      </c>
      <c r="T564" s="2" t="s">
        <v>36</v>
      </c>
      <c r="U564" s="2" t="s">
        <v>37</v>
      </c>
      <c r="V564" s="2" t="s">
        <v>38</v>
      </c>
      <c r="W564" s="2" t="s">
        <v>35</v>
      </c>
      <c r="X564" s="2" t="s">
        <v>35</v>
      </c>
      <c r="Y564" s="2" t="s">
        <v>35</v>
      </c>
      <c r="Z564" s="2" t="b">
        <v>0</v>
      </c>
      <c r="AA564" s="2" t="s">
        <v>35</v>
      </c>
      <c r="AB564" s="2" t="s">
        <v>35</v>
      </c>
      <c r="AC564" s="2">
        <v>7</v>
      </c>
      <c r="AD564" s="2" t="s">
        <v>35</v>
      </c>
      <c r="AE564" s="2" t="s">
        <v>941</v>
      </c>
      <c r="AF564" s="11">
        <v>44740.448611053238</v>
      </c>
      <c r="AG564" s="53"/>
      <c r="AH564" s="53" t="str">
        <f t="shared" si="13"/>
        <v>TRUE</v>
      </c>
      <c r="AI564" s="54" t="s">
        <v>10305</v>
      </c>
      <c r="AJ564" s="2"/>
      <c r="AK564" s="2"/>
      <c r="AL564" s="2"/>
      <c r="AM564" s="2"/>
      <c r="AN564" s="2"/>
    </row>
    <row r="565" spans="1:40" ht="16" x14ac:dyDescent="0.2">
      <c r="A565" s="2" t="s">
        <v>1107</v>
      </c>
      <c r="B565" s="2">
        <v>334</v>
      </c>
      <c r="C565" s="2" t="b">
        <v>0</v>
      </c>
      <c r="D565" s="2" t="b">
        <v>0</v>
      </c>
      <c r="E565" s="2" t="b">
        <v>0</v>
      </c>
      <c r="F565" s="2" t="b">
        <v>0</v>
      </c>
      <c r="G565" s="2" t="s">
        <v>31</v>
      </c>
      <c r="H565" s="2" t="s">
        <v>1108</v>
      </c>
      <c r="I565" s="2" t="s">
        <v>1109</v>
      </c>
      <c r="J565" s="2" t="s">
        <v>1110</v>
      </c>
      <c r="K565" s="2" t="s">
        <v>35</v>
      </c>
      <c r="L565" s="2" t="s">
        <v>35</v>
      </c>
      <c r="M565" s="2" t="s">
        <v>35</v>
      </c>
      <c r="N565" s="2" t="s">
        <v>35</v>
      </c>
      <c r="O565" s="11">
        <v>44740.537943657408</v>
      </c>
      <c r="P565" s="11">
        <v>44740.538253587962</v>
      </c>
      <c r="Q565" s="27">
        <v>3.0993055406725034E-4</v>
      </c>
      <c r="R565" s="27">
        <v>1.2756134237861261E-3</v>
      </c>
      <c r="S565" s="2">
        <v>0</v>
      </c>
      <c r="T565" s="2" t="s">
        <v>36</v>
      </c>
      <c r="U565" s="2" t="s">
        <v>37</v>
      </c>
      <c r="V565" s="2" t="s">
        <v>38</v>
      </c>
      <c r="W565" s="2" t="s">
        <v>35</v>
      </c>
      <c r="X565" s="2" t="s">
        <v>35</v>
      </c>
      <c r="Y565" s="2" t="s">
        <v>35</v>
      </c>
      <c r="Z565" s="2" t="b">
        <v>0</v>
      </c>
      <c r="AA565" s="2" t="s">
        <v>35</v>
      </c>
      <c r="AB565" s="2" t="s">
        <v>35</v>
      </c>
      <c r="AC565" s="2">
        <v>9</v>
      </c>
      <c r="AD565" s="2" t="s">
        <v>35</v>
      </c>
      <c r="AE565" s="2" t="s">
        <v>941</v>
      </c>
      <c r="AF565" s="11">
        <v>44740.448611053238</v>
      </c>
      <c r="AG565" s="53"/>
      <c r="AH565" s="53" t="b">
        <f t="shared" si="13"/>
        <v>0</v>
      </c>
      <c r="AI565" s="54" t="s">
        <v>10306</v>
      </c>
      <c r="AJ565" s="2"/>
      <c r="AK565" s="2"/>
      <c r="AL565" s="2"/>
      <c r="AM565" s="2"/>
      <c r="AN565" s="2"/>
    </row>
    <row r="566" spans="1:40" ht="16" x14ac:dyDescent="0.2">
      <c r="A566" s="2" t="s">
        <v>1118</v>
      </c>
      <c r="B566" s="2">
        <v>337</v>
      </c>
      <c r="C566" s="2" t="b">
        <v>0</v>
      </c>
      <c r="D566" s="2" t="b">
        <v>0</v>
      </c>
      <c r="E566" s="2" t="b">
        <v>0</v>
      </c>
      <c r="F566" s="2" t="b">
        <v>0</v>
      </c>
      <c r="G566" s="2" t="s">
        <v>31</v>
      </c>
      <c r="H566" s="2" t="s">
        <v>1119</v>
      </c>
      <c r="I566" s="2" t="s">
        <v>1120</v>
      </c>
      <c r="J566" s="2" t="s">
        <v>602</v>
      </c>
      <c r="K566" s="2" t="s">
        <v>35</v>
      </c>
      <c r="L566" s="2" t="s">
        <v>35</v>
      </c>
      <c r="M566" s="2" t="s">
        <v>35</v>
      </c>
      <c r="N566" s="2" t="s">
        <v>35</v>
      </c>
      <c r="O566" s="11">
        <v>44743.594386736113</v>
      </c>
      <c r="P566" s="11">
        <v>44743.594732847225</v>
      </c>
      <c r="Q566" s="27">
        <v>3.461111118667759E-4</v>
      </c>
      <c r="R566" s="27">
        <v>1.7232638929272071E-3</v>
      </c>
      <c r="S566" s="2">
        <v>0</v>
      </c>
      <c r="T566" s="2" t="s">
        <v>36</v>
      </c>
      <c r="U566" s="2" t="s">
        <v>37</v>
      </c>
      <c r="V566" s="2" t="s">
        <v>38</v>
      </c>
      <c r="W566" s="2" t="s">
        <v>35</v>
      </c>
      <c r="X566" s="2" t="s">
        <v>35</v>
      </c>
      <c r="Y566" s="2" t="s">
        <v>35</v>
      </c>
      <c r="Z566" s="2" t="b">
        <v>0</v>
      </c>
      <c r="AA566" s="2" t="s">
        <v>35</v>
      </c>
      <c r="AB566" s="2" t="s">
        <v>35</v>
      </c>
      <c r="AC566" s="2">
        <v>4</v>
      </c>
      <c r="AD566" s="2">
        <v>4</v>
      </c>
      <c r="AE566" s="2" t="s">
        <v>1117</v>
      </c>
      <c r="AF566" s="11">
        <v>44743.59097222222</v>
      </c>
      <c r="AG566" s="53"/>
      <c r="AH566" s="53" t="b">
        <f t="shared" si="13"/>
        <v>0</v>
      </c>
      <c r="AI566" s="54" t="s">
        <v>10307</v>
      </c>
      <c r="AJ566" s="2"/>
      <c r="AK566" s="2"/>
      <c r="AL566" s="2"/>
      <c r="AM566" s="2"/>
      <c r="AN566" s="2"/>
    </row>
    <row r="567" spans="1:40" ht="16" x14ac:dyDescent="0.2">
      <c r="A567" s="31" t="s">
        <v>1125</v>
      </c>
      <c r="B567" s="31">
        <v>339</v>
      </c>
      <c r="C567" s="31" t="b">
        <v>0</v>
      </c>
      <c r="D567" s="31" t="b">
        <v>0</v>
      </c>
      <c r="E567" s="31" t="b">
        <v>0</v>
      </c>
      <c r="F567" s="31" t="b">
        <v>0</v>
      </c>
      <c r="G567" s="31" t="s">
        <v>31</v>
      </c>
      <c r="H567" s="31" t="s">
        <v>1126</v>
      </c>
      <c r="I567" s="31" t="s">
        <v>1127</v>
      </c>
      <c r="J567" s="31" t="s">
        <v>1128</v>
      </c>
      <c r="K567" s="31" t="s">
        <v>35</v>
      </c>
      <c r="L567" s="31" t="s">
        <v>35</v>
      </c>
      <c r="M567" s="31" t="s">
        <v>35</v>
      </c>
      <c r="N567" s="31" t="s">
        <v>35</v>
      </c>
      <c r="O567" s="32">
        <v>44743.610585115741</v>
      </c>
      <c r="P567" s="32">
        <v>44743.610838229164</v>
      </c>
      <c r="Q567" s="30">
        <v>2.5311342324130237E-4</v>
      </c>
      <c r="R567" s="30">
        <v>1.3648472217028029E-2</v>
      </c>
      <c r="S567" s="31">
        <v>0</v>
      </c>
      <c r="T567" s="31" t="s">
        <v>36</v>
      </c>
      <c r="U567" s="31" t="s">
        <v>37</v>
      </c>
      <c r="V567" s="31" t="s">
        <v>38</v>
      </c>
      <c r="W567" s="31" t="s">
        <v>35</v>
      </c>
      <c r="X567" s="31" t="s">
        <v>35</v>
      </c>
      <c r="Y567" s="31" t="s">
        <v>35</v>
      </c>
      <c r="Z567" s="31" t="b">
        <v>0</v>
      </c>
      <c r="AA567" s="31" t="s">
        <v>35</v>
      </c>
      <c r="AB567" s="31" t="s">
        <v>35</v>
      </c>
      <c r="AC567" s="31">
        <v>4</v>
      </c>
      <c r="AD567" s="31">
        <v>3</v>
      </c>
      <c r="AE567" s="31" t="s">
        <v>1117</v>
      </c>
      <c r="AF567" s="32">
        <v>44743.590972164355</v>
      </c>
      <c r="AG567" s="55" t="s">
        <v>9408</v>
      </c>
      <c r="AH567" s="53" t="b">
        <f t="shared" si="13"/>
        <v>0</v>
      </c>
      <c r="AI567" s="62" t="s">
        <v>10842</v>
      </c>
      <c r="AJ567" s="31"/>
      <c r="AK567" s="31"/>
      <c r="AL567" s="31"/>
      <c r="AM567" s="31"/>
      <c r="AN567" s="31"/>
    </row>
    <row r="568" spans="1:40" ht="16" x14ac:dyDescent="0.2">
      <c r="A568" s="2" t="s">
        <v>1129</v>
      </c>
      <c r="B568" s="2">
        <v>340</v>
      </c>
      <c r="C568" s="2" t="b">
        <v>0</v>
      </c>
      <c r="D568" s="2" t="b">
        <v>0</v>
      </c>
      <c r="E568" s="2" t="b">
        <v>0</v>
      </c>
      <c r="F568" s="2" t="b">
        <v>0</v>
      </c>
      <c r="G568" s="2" t="s">
        <v>31</v>
      </c>
      <c r="H568" s="2" t="s">
        <v>1130</v>
      </c>
      <c r="I568" s="2" t="s">
        <v>1131</v>
      </c>
      <c r="J568" s="2" t="s">
        <v>35</v>
      </c>
      <c r="K568" s="2" t="s">
        <v>35</v>
      </c>
      <c r="L568" s="2" t="s">
        <v>35</v>
      </c>
      <c r="M568" s="2" t="s">
        <v>35</v>
      </c>
      <c r="N568" s="2" t="s">
        <v>35</v>
      </c>
      <c r="O568" s="11">
        <v>44743.611167858799</v>
      </c>
      <c r="P568" s="11">
        <v>44743.611326736114</v>
      </c>
      <c r="Q568" s="27">
        <v>1.5887731569819152E-4</v>
      </c>
      <c r="R568" s="27">
        <v>4.8850695020519197E-4</v>
      </c>
      <c r="S568" s="2">
        <v>0</v>
      </c>
      <c r="T568" s="2" t="s">
        <v>36</v>
      </c>
      <c r="U568" s="2" t="s">
        <v>37</v>
      </c>
      <c r="V568" s="2" t="s">
        <v>38</v>
      </c>
      <c r="W568" s="2" t="s">
        <v>35</v>
      </c>
      <c r="X568" s="2" t="s">
        <v>35</v>
      </c>
      <c r="Y568" s="2" t="s">
        <v>35</v>
      </c>
      <c r="Z568" s="2" t="b">
        <v>0</v>
      </c>
      <c r="AA568" s="2" t="s">
        <v>35</v>
      </c>
      <c r="AB568" s="2" t="s">
        <v>35</v>
      </c>
      <c r="AC568" s="2" t="s">
        <v>35</v>
      </c>
      <c r="AD568" s="2">
        <v>2</v>
      </c>
      <c r="AE568" s="2" t="s">
        <v>1117</v>
      </c>
      <c r="AF568" s="11">
        <v>44743.590972164355</v>
      </c>
      <c r="AG568" s="53"/>
      <c r="AH568" s="53" t="b">
        <f t="shared" si="13"/>
        <v>0</v>
      </c>
      <c r="AI568" s="54" t="s">
        <v>10308</v>
      </c>
      <c r="AJ568" s="2"/>
      <c r="AK568" s="2"/>
      <c r="AL568" s="2"/>
      <c r="AM568" s="2"/>
      <c r="AN568" s="2"/>
    </row>
    <row r="569" spans="1:40" ht="16" x14ac:dyDescent="0.2">
      <c r="A569" s="2" t="s">
        <v>1138</v>
      </c>
      <c r="B569" s="2">
        <v>343</v>
      </c>
      <c r="C569" s="2" t="b">
        <v>0</v>
      </c>
      <c r="D569" s="2" t="b">
        <v>0</v>
      </c>
      <c r="E569" s="2" t="b">
        <v>0</v>
      </c>
      <c r="F569" s="2" t="b">
        <v>0</v>
      </c>
      <c r="G569" s="2" t="s">
        <v>31</v>
      </c>
      <c r="H569" s="2" t="s">
        <v>1139</v>
      </c>
      <c r="I569" s="2" t="s">
        <v>1140</v>
      </c>
      <c r="J569" s="2" t="s">
        <v>1141</v>
      </c>
      <c r="K569" s="2" t="s">
        <v>35</v>
      </c>
      <c r="L569" s="2" t="s">
        <v>35</v>
      </c>
      <c r="M569" s="2" t="s">
        <v>35</v>
      </c>
      <c r="N569" s="2" t="s">
        <v>35</v>
      </c>
      <c r="O569" s="11">
        <v>44743.614108715279</v>
      </c>
      <c r="P569" s="11">
        <v>44743.614588252312</v>
      </c>
      <c r="Q569" s="27">
        <v>4.7953703324310482E-4</v>
      </c>
      <c r="R569" s="27">
        <v>1.3374074042076245E-3</v>
      </c>
      <c r="S569" s="2">
        <v>0</v>
      </c>
      <c r="T569" s="2" t="s">
        <v>36</v>
      </c>
      <c r="U569" s="2" t="s">
        <v>37</v>
      </c>
      <c r="V569" s="2" t="s">
        <v>38</v>
      </c>
      <c r="W569" s="2" t="s">
        <v>35</v>
      </c>
      <c r="X569" s="2" t="s">
        <v>35</v>
      </c>
      <c r="Y569" s="2" t="s">
        <v>35</v>
      </c>
      <c r="Z569" s="2" t="b">
        <v>0</v>
      </c>
      <c r="AA569" s="2" t="s">
        <v>35</v>
      </c>
      <c r="AB569" s="2" t="s">
        <v>35</v>
      </c>
      <c r="AC569" s="2">
        <v>4</v>
      </c>
      <c r="AD569" s="2" t="s">
        <v>35</v>
      </c>
      <c r="AE569" s="2" t="s">
        <v>1117</v>
      </c>
      <c r="AF569" s="11">
        <v>44743.590972164355</v>
      </c>
      <c r="AG569" s="53"/>
      <c r="AH569" s="53" t="b">
        <f t="shared" si="13"/>
        <v>0</v>
      </c>
      <c r="AI569" s="54" t="s">
        <v>10311</v>
      </c>
      <c r="AJ569" s="2" t="s">
        <v>10309</v>
      </c>
      <c r="AK569" s="2" t="s">
        <v>10310</v>
      </c>
      <c r="AL569" s="2"/>
      <c r="AM569" s="2"/>
      <c r="AN569" s="2"/>
    </row>
    <row r="570" spans="1:40" ht="16" x14ac:dyDescent="0.2">
      <c r="A570" s="2" t="s">
        <v>1142</v>
      </c>
      <c r="B570" s="2">
        <v>344</v>
      </c>
      <c r="C570" s="2" t="b">
        <v>0</v>
      </c>
      <c r="D570" s="2" t="b">
        <v>0</v>
      </c>
      <c r="E570" s="2" t="b">
        <v>0</v>
      </c>
      <c r="F570" s="2" t="b">
        <v>0</v>
      </c>
      <c r="G570" s="2" t="s">
        <v>31</v>
      </c>
      <c r="H570" s="2" t="s">
        <v>1143</v>
      </c>
      <c r="I570" s="2" t="s">
        <v>1144</v>
      </c>
      <c r="J570" s="2" t="s">
        <v>602</v>
      </c>
      <c r="K570" s="2" t="s">
        <v>35</v>
      </c>
      <c r="L570" s="2" t="s">
        <v>35</v>
      </c>
      <c r="M570" s="2" t="s">
        <v>35</v>
      </c>
      <c r="N570" s="2" t="s">
        <v>35</v>
      </c>
      <c r="O570" s="11">
        <v>44743.615936168979</v>
      </c>
      <c r="P570" s="11">
        <v>44743.616377094906</v>
      </c>
      <c r="Q570" s="27">
        <v>4.4092592725064605E-4</v>
      </c>
      <c r="R570" s="27">
        <v>1.78884259366896E-3</v>
      </c>
      <c r="S570" s="2">
        <v>0</v>
      </c>
      <c r="T570" s="2" t="s">
        <v>36</v>
      </c>
      <c r="U570" s="2" t="s">
        <v>37</v>
      </c>
      <c r="V570" s="2" t="s">
        <v>38</v>
      </c>
      <c r="W570" s="2" t="s">
        <v>35</v>
      </c>
      <c r="X570" s="2" t="s">
        <v>35</v>
      </c>
      <c r="Y570" s="2" t="s">
        <v>35</v>
      </c>
      <c r="Z570" s="2" t="b">
        <v>0</v>
      </c>
      <c r="AA570" s="2" t="s">
        <v>35</v>
      </c>
      <c r="AB570" s="2" t="s">
        <v>35</v>
      </c>
      <c r="AC570" s="2">
        <v>4</v>
      </c>
      <c r="AD570" s="2" t="s">
        <v>35</v>
      </c>
      <c r="AE570" s="2" t="s">
        <v>1117</v>
      </c>
      <c r="AF570" s="11">
        <v>44743.590972164355</v>
      </c>
      <c r="AG570" s="53"/>
      <c r="AH570" s="53" t="b">
        <f t="shared" si="13"/>
        <v>0</v>
      </c>
      <c r="AI570" s="54" t="s">
        <v>10312</v>
      </c>
      <c r="AJ570" s="2"/>
      <c r="AK570" s="2"/>
      <c r="AL570" s="2"/>
      <c r="AM570" s="2"/>
      <c r="AN570" s="2"/>
    </row>
    <row r="571" spans="1:40" ht="16" x14ac:dyDescent="0.2">
      <c r="A571" s="2" t="s">
        <v>1151</v>
      </c>
      <c r="B571" s="2">
        <v>347</v>
      </c>
      <c r="C571" s="2" t="b">
        <v>0</v>
      </c>
      <c r="D571" s="2" t="b">
        <v>0</v>
      </c>
      <c r="E571" s="2" t="b">
        <v>0</v>
      </c>
      <c r="F571" s="2" t="b">
        <v>0</v>
      </c>
      <c r="G571" s="2" t="s">
        <v>31</v>
      </c>
      <c r="H571" s="2" t="s">
        <v>1152</v>
      </c>
      <c r="I571" s="2" t="s">
        <v>1153</v>
      </c>
      <c r="J571" s="2" t="s">
        <v>35</v>
      </c>
      <c r="K571" s="2" t="s">
        <v>35</v>
      </c>
      <c r="L571" s="2" t="s">
        <v>35</v>
      </c>
      <c r="M571" s="2" t="s">
        <v>35</v>
      </c>
      <c r="N571" s="2" t="s">
        <v>35</v>
      </c>
      <c r="O571" s="11">
        <v>44743.618534733796</v>
      </c>
      <c r="P571" s="11">
        <v>44743.618689270836</v>
      </c>
      <c r="Q571" s="27">
        <v>1.5453703963430598E-4</v>
      </c>
      <c r="R571" s="27">
        <v>1.1808101844508201E-3</v>
      </c>
      <c r="S571" s="2">
        <v>0</v>
      </c>
      <c r="T571" s="2" t="s">
        <v>36</v>
      </c>
      <c r="U571" s="2" t="s">
        <v>37</v>
      </c>
      <c r="V571" s="2" t="s">
        <v>38</v>
      </c>
      <c r="W571" s="2" t="s">
        <v>35</v>
      </c>
      <c r="X571" s="2" t="s">
        <v>35</v>
      </c>
      <c r="Y571" s="2" t="s">
        <v>35</v>
      </c>
      <c r="Z571" s="2" t="b">
        <v>0</v>
      </c>
      <c r="AA571" s="2" t="s">
        <v>35</v>
      </c>
      <c r="AB571" s="2" t="s">
        <v>35</v>
      </c>
      <c r="AC571" s="2" t="s">
        <v>35</v>
      </c>
      <c r="AD571" s="2">
        <v>2</v>
      </c>
      <c r="AE571" s="2" t="s">
        <v>1117</v>
      </c>
      <c r="AF571" s="11">
        <v>44743.590972164355</v>
      </c>
      <c r="AG571" s="53"/>
      <c r="AH571" s="53" t="b">
        <f t="shared" si="13"/>
        <v>0</v>
      </c>
      <c r="AI571" s="54" t="s">
        <v>10313</v>
      </c>
      <c r="AJ571" s="2"/>
      <c r="AK571" s="2"/>
      <c r="AL571" s="2"/>
      <c r="AM571" s="2"/>
      <c r="AN571" s="2"/>
    </row>
    <row r="572" spans="1:40" ht="16" x14ac:dyDescent="0.2">
      <c r="A572" s="2" t="s">
        <v>1154</v>
      </c>
      <c r="B572" s="2">
        <v>348</v>
      </c>
      <c r="C572" s="2" t="b">
        <v>0</v>
      </c>
      <c r="D572" s="2" t="b">
        <v>0</v>
      </c>
      <c r="E572" s="2" t="b">
        <v>0</v>
      </c>
      <c r="F572" s="2" t="b">
        <v>0</v>
      </c>
      <c r="G572" s="2" t="s">
        <v>31</v>
      </c>
      <c r="H572" s="2" t="s">
        <v>1155</v>
      </c>
      <c r="I572" s="2" t="s">
        <v>1156</v>
      </c>
      <c r="J572" s="2" t="s">
        <v>35</v>
      </c>
      <c r="K572" s="2" t="s">
        <v>35</v>
      </c>
      <c r="L572" s="2" t="s">
        <v>35</v>
      </c>
      <c r="M572" s="2" t="s">
        <v>35</v>
      </c>
      <c r="N572" s="2" t="s">
        <v>35</v>
      </c>
      <c r="O572" s="11">
        <v>44743.620396967592</v>
      </c>
      <c r="P572" s="11">
        <v>44743.620642476853</v>
      </c>
      <c r="Q572" s="27">
        <v>2.4550926173105836E-4</v>
      </c>
      <c r="R572" s="27">
        <v>1.9532060177880339E-3</v>
      </c>
      <c r="S572" s="2">
        <v>0</v>
      </c>
      <c r="T572" s="2" t="s">
        <v>36</v>
      </c>
      <c r="U572" s="2" t="s">
        <v>37</v>
      </c>
      <c r="V572" s="2" t="s">
        <v>38</v>
      </c>
      <c r="W572" s="2" t="s">
        <v>35</v>
      </c>
      <c r="X572" s="2" t="s">
        <v>35</v>
      </c>
      <c r="Y572" s="2" t="s">
        <v>35</v>
      </c>
      <c r="Z572" s="2" t="b">
        <v>0</v>
      </c>
      <c r="AA572" s="2" t="s">
        <v>35</v>
      </c>
      <c r="AB572" s="2" t="s">
        <v>35</v>
      </c>
      <c r="AC572" s="2" t="s">
        <v>35</v>
      </c>
      <c r="AD572" s="2">
        <v>2</v>
      </c>
      <c r="AE572" s="2" t="s">
        <v>1117</v>
      </c>
      <c r="AF572" s="11">
        <v>44743.590972164355</v>
      </c>
      <c r="AG572" s="53"/>
      <c r="AH572" s="53" t="b">
        <f t="shared" si="13"/>
        <v>0</v>
      </c>
      <c r="AI572" s="54" t="s">
        <v>10314</v>
      </c>
      <c r="AJ572" s="2"/>
      <c r="AK572" s="2"/>
      <c r="AL572" s="2"/>
      <c r="AM572" s="2"/>
      <c r="AN572" s="2"/>
    </row>
    <row r="573" spans="1:40" ht="16" x14ac:dyDescent="0.2">
      <c r="A573" s="2" t="s">
        <v>1157</v>
      </c>
      <c r="B573" s="2">
        <v>349</v>
      </c>
      <c r="C573" s="2" t="b">
        <v>0</v>
      </c>
      <c r="D573" s="2" t="b">
        <v>0</v>
      </c>
      <c r="E573" s="2" t="b">
        <v>0</v>
      </c>
      <c r="F573" s="2" t="b">
        <v>0</v>
      </c>
      <c r="G573" s="2" t="s">
        <v>31</v>
      </c>
      <c r="H573" s="2" t="s">
        <v>1158</v>
      </c>
      <c r="I573" s="2" t="s">
        <v>1159</v>
      </c>
      <c r="J573" s="2" t="s">
        <v>602</v>
      </c>
      <c r="K573" s="2" t="s">
        <v>35</v>
      </c>
      <c r="L573" s="2" t="s">
        <v>35</v>
      </c>
      <c r="M573" s="2" t="s">
        <v>35</v>
      </c>
      <c r="N573" s="2" t="s">
        <v>35</v>
      </c>
      <c r="O573" s="11">
        <v>44743.622902337964</v>
      </c>
      <c r="P573" s="11">
        <v>44743.623267430557</v>
      </c>
      <c r="Q573" s="27">
        <v>3.6509259371086955E-4</v>
      </c>
      <c r="R573" s="27">
        <v>2.6249537040712312E-3</v>
      </c>
      <c r="S573" s="2">
        <v>0</v>
      </c>
      <c r="T573" s="2" t="s">
        <v>36</v>
      </c>
      <c r="U573" s="2" t="s">
        <v>37</v>
      </c>
      <c r="V573" s="2" t="s">
        <v>38</v>
      </c>
      <c r="W573" s="2" t="s">
        <v>35</v>
      </c>
      <c r="X573" s="2" t="s">
        <v>35</v>
      </c>
      <c r="Y573" s="2" t="s">
        <v>35</v>
      </c>
      <c r="Z573" s="2" t="b">
        <v>0</v>
      </c>
      <c r="AA573" s="2" t="s">
        <v>35</v>
      </c>
      <c r="AB573" s="2" t="s">
        <v>35</v>
      </c>
      <c r="AC573" s="2">
        <v>4</v>
      </c>
      <c r="AD573" s="2" t="s">
        <v>35</v>
      </c>
      <c r="AE573" s="2" t="s">
        <v>1117</v>
      </c>
      <c r="AF573" s="11">
        <v>44743.590972164355</v>
      </c>
      <c r="AG573" s="53"/>
      <c r="AH573" s="53" t="b">
        <f t="shared" si="13"/>
        <v>0</v>
      </c>
      <c r="AI573" s="54" t="s">
        <v>10315</v>
      </c>
      <c r="AJ573" s="2"/>
      <c r="AK573" s="2"/>
      <c r="AL573" s="2"/>
      <c r="AM573" s="2"/>
      <c r="AN573" s="2"/>
    </row>
    <row r="574" spans="1:40" ht="16" x14ac:dyDescent="0.2">
      <c r="A574" s="2" t="s">
        <v>1160</v>
      </c>
      <c r="B574" s="2">
        <v>350</v>
      </c>
      <c r="C574" s="2" t="b">
        <v>0</v>
      </c>
      <c r="D574" s="2" t="b">
        <v>0</v>
      </c>
      <c r="E574" s="2" t="b">
        <v>0</v>
      </c>
      <c r="F574" s="2" t="b">
        <v>0</v>
      </c>
      <c r="G574" s="2" t="s">
        <v>31</v>
      </c>
      <c r="H574" s="2" t="s">
        <v>1161</v>
      </c>
      <c r="I574" s="2" t="s">
        <v>1162</v>
      </c>
      <c r="J574" s="2" t="s">
        <v>35</v>
      </c>
      <c r="K574" s="2" t="s">
        <v>35</v>
      </c>
      <c r="L574" s="2" t="s">
        <v>35</v>
      </c>
      <c r="M574" s="2" t="s">
        <v>35</v>
      </c>
      <c r="N574" s="2" t="s">
        <v>35</v>
      </c>
      <c r="O574" s="11">
        <v>44743.623940902777</v>
      </c>
      <c r="P574" s="11">
        <v>44743.624220925929</v>
      </c>
      <c r="Q574" s="27">
        <v>2.8002315229969099E-4</v>
      </c>
      <c r="R574" s="27">
        <v>9.5349537150468677E-4</v>
      </c>
      <c r="S574" s="2">
        <v>0</v>
      </c>
      <c r="T574" s="2" t="s">
        <v>36</v>
      </c>
      <c r="U574" s="2" t="s">
        <v>37</v>
      </c>
      <c r="V574" s="2" t="s">
        <v>38</v>
      </c>
      <c r="W574" s="2" t="s">
        <v>35</v>
      </c>
      <c r="X574" s="2" t="s">
        <v>35</v>
      </c>
      <c r="Y574" s="2" t="s">
        <v>35</v>
      </c>
      <c r="Z574" s="2" t="b">
        <v>0</v>
      </c>
      <c r="AA574" s="2" t="s">
        <v>35</v>
      </c>
      <c r="AB574" s="2" t="s">
        <v>35</v>
      </c>
      <c r="AC574" s="2" t="s">
        <v>35</v>
      </c>
      <c r="AD574" s="2">
        <v>3</v>
      </c>
      <c r="AE574" s="2" t="s">
        <v>1117</v>
      </c>
      <c r="AF574" s="11">
        <v>44743.590972164355</v>
      </c>
      <c r="AG574" s="53"/>
      <c r="AH574" s="53" t="b">
        <f t="shared" si="13"/>
        <v>0</v>
      </c>
      <c r="AI574" s="54" t="s">
        <v>10316</v>
      </c>
      <c r="AJ574" s="2"/>
      <c r="AK574" s="2"/>
      <c r="AL574" s="2"/>
      <c r="AM574" s="2"/>
      <c r="AN574" s="2"/>
    </row>
    <row r="575" spans="1:40" ht="16" x14ac:dyDescent="0.2">
      <c r="A575" s="2" t="s">
        <v>1163</v>
      </c>
      <c r="B575" s="2">
        <v>351</v>
      </c>
      <c r="C575" s="2" t="b">
        <v>0</v>
      </c>
      <c r="D575" s="2" t="b">
        <v>0</v>
      </c>
      <c r="E575" s="2" t="b">
        <v>0</v>
      </c>
      <c r="F575" s="2" t="b">
        <v>0</v>
      </c>
      <c r="G575" s="2" t="s">
        <v>31</v>
      </c>
      <c r="H575" s="2" t="s">
        <v>1164</v>
      </c>
      <c r="I575" s="2" t="s">
        <v>1165</v>
      </c>
      <c r="J575" s="2" t="s">
        <v>602</v>
      </c>
      <c r="K575" s="2" t="s">
        <v>35</v>
      </c>
      <c r="L575" s="2" t="s">
        <v>35</v>
      </c>
      <c r="M575" s="2" t="s">
        <v>35</v>
      </c>
      <c r="N575" s="2" t="s">
        <v>35</v>
      </c>
      <c r="O575" s="11">
        <v>44743.625078969904</v>
      </c>
      <c r="P575" s="11">
        <v>44743.625502152776</v>
      </c>
      <c r="Q575" s="27">
        <v>4.2318287160014734E-4</v>
      </c>
      <c r="R575" s="27">
        <v>1.2812268469133414E-3</v>
      </c>
      <c r="S575" s="2">
        <v>0</v>
      </c>
      <c r="T575" s="2" t="s">
        <v>36</v>
      </c>
      <c r="U575" s="2" t="s">
        <v>37</v>
      </c>
      <c r="V575" s="2" t="s">
        <v>38</v>
      </c>
      <c r="W575" s="2" t="s">
        <v>35</v>
      </c>
      <c r="X575" s="2" t="s">
        <v>35</v>
      </c>
      <c r="Y575" s="2" t="s">
        <v>35</v>
      </c>
      <c r="Z575" s="2" t="b">
        <v>0</v>
      </c>
      <c r="AA575" s="2" t="s">
        <v>35</v>
      </c>
      <c r="AB575" s="2" t="s">
        <v>35</v>
      </c>
      <c r="AC575" s="2">
        <v>9</v>
      </c>
      <c r="AD575" s="2">
        <v>4</v>
      </c>
      <c r="AE575" s="2" t="s">
        <v>1117</v>
      </c>
      <c r="AF575" s="11">
        <v>44743.590972164355</v>
      </c>
      <c r="AG575" s="53"/>
      <c r="AH575" s="53" t="b">
        <f t="shared" si="13"/>
        <v>0</v>
      </c>
      <c r="AI575" s="54" t="s">
        <v>10317</v>
      </c>
      <c r="AJ575" s="2"/>
      <c r="AK575" s="2"/>
      <c r="AL575" s="2"/>
      <c r="AM575" s="2"/>
      <c r="AN575" s="2"/>
    </row>
    <row r="576" spans="1:40" ht="16" x14ac:dyDescent="0.2">
      <c r="A576" s="2" t="s">
        <v>1170</v>
      </c>
      <c r="B576" s="2">
        <v>353</v>
      </c>
      <c r="C576" s="2" t="b">
        <v>0</v>
      </c>
      <c r="D576" s="2" t="b">
        <v>0</v>
      </c>
      <c r="E576" s="2" t="b">
        <v>0</v>
      </c>
      <c r="F576" s="2" t="b">
        <v>0</v>
      </c>
      <c r="G576" s="2" t="s">
        <v>31</v>
      </c>
      <c r="H576" s="2" t="s">
        <v>1171</v>
      </c>
      <c r="I576" s="2" t="s">
        <v>1172</v>
      </c>
      <c r="J576" s="2" t="s">
        <v>1173</v>
      </c>
      <c r="K576" s="2" t="s">
        <v>35</v>
      </c>
      <c r="L576" s="2" t="s">
        <v>35</v>
      </c>
      <c r="M576" s="2" t="s">
        <v>35</v>
      </c>
      <c r="N576" s="2" t="s">
        <v>35</v>
      </c>
      <c r="O576" s="11">
        <v>44743.626282372687</v>
      </c>
      <c r="P576" s="11">
        <v>44743.62684084491</v>
      </c>
      <c r="Q576" s="27">
        <v>5.5847222392912954E-4</v>
      </c>
      <c r="R576" s="27">
        <v>6.1309028387768194E-4</v>
      </c>
      <c r="S576" s="2">
        <v>0</v>
      </c>
      <c r="T576" s="2" t="s">
        <v>36</v>
      </c>
      <c r="U576" s="2" t="s">
        <v>37</v>
      </c>
      <c r="V576" s="2" t="s">
        <v>38</v>
      </c>
      <c r="W576" s="2" t="s">
        <v>35</v>
      </c>
      <c r="X576" s="2" t="s">
        <v>35</v>
      </c>
      <c r="Y576" s="2" t="s">
        <v>35</v>
      </c>
      <c r="Z576" s="2" t="b">
        <v>0</v>
      </c>
      <c r="AA576" s="2" t="s">
        <v>35</v>
      </c>
      <c r="AB576" s="2" t="s">
        <v>35</v>
      </c>
      <c r="AC576" s="2">
        <v>11</v>
      </c>
      <c r="AD576" s="2" t="s">
        <v>35</v>
      </c>
      <c r="AE576" s="2" t="s">
        <v>1117</v>
      </c>
      <c r="AF576" s="11">
        <v>44743.590972164355</v>
      </c>
      <c r="AG576" s="53"/>
      <c r="AH576" s="53" t="b">
        <f t="shared" si="13"/>
        <v>0</v>
      </c>
      <c r="AI576" s="54" t="s">
        <v>10318</v>
      </c>
      <c r="AJ576" s="2"/>
      <c r="AK576" s="2"/>
      <c r="AL576" s="2"/>
      <c r="AM576" s="2"/>
      <c r="AN576" s="2"/>
    </row>
    <row r="577" spans="1:40" ht="16" x14ac:dyDescent="0.2">
      <c r="A577" s="2" t="s">
        <v>1174</v>
      </c>
      <c r="B577" s="2">
        <v>354</v>
      </c>
      <c r="C577" s="2" t="b">
        <v>0</v>
      </c>
      <c r="D577" s="2" t="b">
        <v>0</v>
      </c>
      <c r="E577" s="2" t="b">
        <v>0</v>
      </c>
      <c r="F577" s="2" t="b">
        <v>0</v>
      </c>
      <c r="G577" s="2" t="s">
        <v>31</v>
      </c>
      <c r="H577" s="2" t="s">
        <v>1175</v>
      </c>
      <c r="I577" s="2" t="s">
        <v>1176</v>
      </c>
      <c r="J577" s="2" t="s">
        <v>1177</v>
      </c>
      <c r="K577" s="2" t="s">
        <v>35</v>
      </c>
      <c r="L577" s="2" t="s">
        <v>35</v>
      </c>
      <c r="M577" s="2" t="s">
        <v>35</v>
      </c>
      <c r="N577" s="2" t="s">
        <v>35</v>
      </c>
      <c r="O577" s="11">
        <v>44743.627843090275</v>
      </c>
      <c r="P577" s="11">
        <v>44743.628229988426</v>
      </c>
      <c r="Q577" s="27">
        <v>3.8689815119141713E-4</v>
      </c>
      <c r="R577" s="27">
        <v>1.3891435155528598E-3</v>
      </c>
      <c r="S577" s="2">
        <v>0</v>
      </c>
      <c r="T577" s="2" t="s">
        <v>36</v>
      </c>
      <c r="U577" s="2" t="s">
        <v>37</v>
      </c>
      <c r="V577" s="2" t="s">
        <v>38</v>
      </c>
      <c r="W577" s="2" t="s">
        <v>35</v>
      </c>
      <c r="X577" s="2" t="s">
        <v>35</v>
      </c>
      <c r="Y577" s="2" t="s">
        <v>35</v>
      </c>
      <c r="Z577" s="2" t="b">
        <v>0</v>
      </c>
      <c r="AA577" s="2" t="s">
        <v>35</v>
      </c>
      <c r="AB577" s="2" t="s">
        <v>35</v>
      </c>
      <c r="AC577" s="2">
        <v>7</v>
      </c>
      <c r="AD577" s="2" t="s">
        <v>35</v>
      </c>
      <c r="AE577" s="2" t="s">
        <v>1117</v>
      </c>
      <c r="AF577" s="11">
        <v>44743.590972164355</v>
      </c>
      <c r="AG577" s="53"/>
      <c r="AH577" s="53" t="b">
        <f t="shared" si="13"/>
        <v>0</v>
      </c>
      <c r="AI577" s="54" t="s">
        <v>10319</v>
      </c>
      <c r="AJ577" s="2"/>
      <c r="AK577" s="2"/>
      <c r="AL577" s="2"/>
      <c r="AM577" s="2"/>
      <c r="AN577" s="2"/>
    </row>
    <row r="578" spans="1:40" ht="16" x14ac:dyDescent="0.2">
      <c r="A578" s="2" t="s">
        <v>1182</v>
      </c>
      <c r="B578" s="2">
        <v>356</v>
      </c>
      <c r="C578" s="2" t="b">
        <v>0</v>
      </c>
      <c r="D578" s="2" t="b">
        <v>0</v>
      </c>
      <c r="E578" s="2" t="b">
        <v>0</v>
      </c>
      <c r="F578" s="2" t="b">
        <v>0</v>
      </c>
      <c r="G578" s="2" t="s">
        <v>31</v>
      </c>
      <c r="H578" s="2" t="s">
        <v>1183</v>
      </c>
      <c r="I578" s="2" t="s">
        <v>1184</v>
      </c>
      <c r="J578" s="2" t="s">
        <v>1185</v>
      </c>
      <c r="K578" s="2" t="s">
        <v>35</v>
      </c>
      <c r="L578" s="2" t="s">
        <v>35</v>
      </c>
      <c r="M578" s="2" t="s">
        <v>35</v>
      </c>
      <c r="N578" s="2" t="s">
        <v>35</v>
      </c>
      <c r="O578" s="11">
        <v>44743.629506574071</v>
      </c>
      <c r="P578" s="11">
        <v>44743.629745138889</v>
      </c>
      <c r="Q578" s="27">
        <v>2.3856481857364997E-4</v>
      </c>
      <c r="R578" s="27">
        <v>2.9233796522021294E-4</v>
      </c>
      <c r="S578" s="2">
        <v>0</v>
      </c>
      <c r="T578" s="2" t="s">
        <v>36</v>
      </c>
      <c r="U578" s="2" t="s">
        <v>37</v>
      </c>
      <c r="V578" s="2" t="s">
        <v>38</v>
      </c>
      <c r="W578" s="2" t="s">
        <v>35</v>
      </c>
      <c r="X578" s="2" t="s">
        <v>35</v>
      </c>
      <c r="Y578" s="2" t="s">
        <v>35</v>
      </c>
      <c r="Z578" s="2" t="b">
        <v>0</v>
      </c>
      <c r="AA578" s="2" t="s">
        <v>35</v>
      </c>
      <c r="AB578" s="2" t="s">
        <v>35</v>
      </c>
      <c r="AC578" s="2">
        <v>13</v>
      </c>
      <c r="AD578" s="2" t="s">
        <v>35</v>
      </c>
      <c r="AE578" s="2" t="s">
        <v>1117</v>
      </c>
      <c r="AF578" s="11">
        <v>44743.590972164355</v>
      </c>
      <c r="AG578" s="53"/>
      <c r="AH578" s="53" t="b">
        <f t="shared" si="13"/>
        <v>0</v>
      </c>
      <c r="AI578" s="54" t="s">
        <v>10320</v>
      </c>
      <c r="AJ578" s="2"/>
      <c r="AK578" s="2"/>
      <c r="AL578" s="2"/>
      <c r="AM578" s="2"/>
      <c r="AN578" s="2"/>
    </row>
    <row r="579" spans="1:40" ht="16" x14ac:dyDescent="0.2">
      <c r="A579" s="2" t="s">
        <v>1186</v>
      </c>
      <c r="B579" s="2">
        <v>357</v>
      </c>
      <c r="C579" s="2" t="b">
        <v>0</v>
      </c>
      <c r="D579" s="2" t="b">
        <v>0</v>
      </c>
      <c r="E579" s="2" t="b">
        <v>0</v>
      </c>
      <c r="F579" s="2" t="b">
        <v>0</v>
      </c>
      <c r="G579" s="2" t="s">
        <v>31</v>
      </c>
      <c r="H579" s="2" t="s">
        <v>1187</v>
      </c>
      <c r="I579" s="2" t="s">
        <v>1188</v>
      </c>
      <c r="J579" s="2" t="s">
        <v>35</v>
      </c>
      <c r="K579" s="2" t="s">
        <v>35</v>
      </c>
      <c r="L579" s="2" t="s">
        <v>35</v>
      </c>
      <c r="M579" s="2" t="s">
        <v>35</v>
      </c>
      <c r="N579" s="2" t="s">
        <v>35</v>
      </c>
      <c r="O579" s="11">
        <v>44743.630332418979</v>
      </c>
      <c r="P579" s="11">
        <v>44743.630586064814</v>
      </c>
      <c r="Q579" s="27">
        <v>2.5364583416376263E-4</v>
      </c>
      <c r="R579" s="27">
        <v>8.4092592442175373E-4</v>
      </c>
      <c r="S579" s="2">
        <v>0</v>
      </c>
      <c r="T579" s="2" t="s">
        <v>36</v>
      </c>
      <c r="U579" s="2" t="s">
        <v>37</v>
      </c>
      <c r="V579" s="2" t="s">
        <v>38</v>
      </c>
      <c r="W579" s="2" t="s">
        <v>35</v>
      </c>
      <c r="X579" s="2" t="s">
        <v>35</v>
      </c>
      <c r="Y579" s="2" t="s">
        <v>35</v>
      </c>
      <c r="Z579" s="2" t="b">
        <v>0</v>
      </c>
      <c r="AA579" s="2" t="s">
        <v>35</v>
      </c>
      <c r="AB579" s="2" t="s">
        <v>35</v>
      </c>
      <c r="AC579" s="2" t="s">
        <v>35</v>
      </c>
      <c r="AD579" s="2">
        <v>8</v>
      </c>
      <c r="AE579" s="2" t="s">
        <v>1117</v>
      </c>
      <c r="AF579" s="11">
        <v>44743.590972164355</v>
      </c>
      <c r="AG579" s="53"/>
      <c r="AH579" s="53" t="b">
        <f t="shared" si="13"/>
        <v>0</v>
      </c>
      <c r="AI579" s="54" t="s">
        <v>10321</v>
      </c>
      <c r="AJ579" s="2"/>
      <c r="AK579" s="2"/>
      <c r="AL579" s="2"/>
      <c r="AM579" s="2"/>
      <c r="AN579" s="2"/>
    </row>
    <row r="580" spans="1:40" ht="16" x14ac:dyDescent="0.2">
      <c r="A580" s="2" t="s">
        <v>1189</v>
      </c>
      <c r="B580" s="2">
        <v>358</v>
      </c>
      <c r="C580" s="2" t="b">
        <v>0</v>
      </c>
      <c r="D580" s="2" t="b">
        <v>0</v>
      </c>
      <c r="E580" s="2" t="b">
        <v>0</v>
      </c>
      <c r="F580" s="2" t="b">
        <v>0</v>
      </c>
      <c r="G580" s="2" t="s">
        <v>31</v>
      </c>
      <c r="H580" s="2" t="s">
        <v>1190</v>
      </c>
      <c r="I580" s="2" t="s">
        <v>1191</v>
      </c>
      <c r="J580" s="2" t="s">
        <v>35</v>
      </c>
      <c r="K580" s="2" t="s">
        <v>35</v>
      </c>
      <c r="L580" s="2" t="s">
        <v>35</v>
      </c>
      <c r="M580" s="2" t="s">
        <v>35</v>
      </c>
      <c r="N580" s="2" t="s">
        <v>35</v>
      </c>
      <c r="O580" s="11">
        <v>44743.632037175928</v>
      </c>
      <c r="P580" s="11">
        <v>44743.632155057872</v>
      </c>
      <c r="Q580" s="27">
        <v>1.1788194387918338E-4</v>
      </c>
      <c r="R580" s="27">
        <v>1.5689930587541312E-3</v>
      </c>
      <c r="S580" s="2">
        <v>0</v>
      </c>
      <c r="T580" s="2" t="s">
        <v>36</v>
      </c>
      <c r="U580" s="2" t="s">
        <v>37</v>
      </c>
      <c r="V580" s="2" t="s">
        <v>38</v>
      </c>
      <c r="W580" s="2" t="s">
        <v>35</v>
      </c>
      <c r="X580" s="2" t="s">
        <v>35</v>
      </c>
      <c r="Y580" s="2" t="s">
        <v>35</v>
      </c>
      <c r="Z580" s="2" t="b">
        <v>0</v>
      </c>
      <c r="AA580" s="2" t="s">
        <v>35</v>
      </c>
      <c r="AB580" s="2" t="s">
        <v>35</v>
      </c>
      <c r="AC580" s="2" t="s">
        <v>35</v>
      </c>
      <c r="AD580" s="2">
        <v>6</v>
      </c>
      <c r="AE580" s="2" t="s">
        <v>1117</v>
      </c>
      <c r="AF580" s="11">
        <v>44743.590972164355</v>
      </c>
      <c r="AG580" s="53"/>
      <c r="AH580" s="53" t="b">
        <f t="shared" si="13"/>
        <v>0</v>
      </c>
      <c r="AI580" s="54" t="s">
        <v>10322</v>
      </c>
      <c r="AJ580" s="2"/>
      <c r="AK580" s="2"/>
      <c r="AL580" s="2"/>
      <c r="AM580" s="2"/>
      <c r="AN580" s="2"/>
    </row>
    <row r="581" spans="1:40" ht="16" x14ac:dyDescent="0.2">
      <c r="A581" s="2" t="s">
        <v>1192</v>
      </c>
      <c r="B581" s="2">
        <v>359</v>
      </c>
      <c r="C581" s="2" t="b">
        <v>0</v>
      </c>
      <c r="D581" s="2" t="b">
        <v>0</v>
      </c>
      <c r="E581" s="2" t="b">
        <v>0</v>
      </c>
      <c r="F581" s="2" t="b">
        <v>0</v>
      </c>
      <c r="G581" s="2" t="s">
        <v>31</v>
      </c>
      <c r="H581" s="2" t="s">
        <v>1193</v>
      </c>
      <c r="I581" s="2" t="s">
        <v>1194</v>
      </c>
      <c r="J581" s="2" t="s">
        <v>35</v>
      </c>
      <c r="K581" s="2" t="s">
        <v>35</v>
      </c>
      <c r="L581" s="2" t="s">
        <v>35</v>
      </c>
      <c r="M581" s="2" t="s">
        <v>35</v>
      </c>
      <c r="N581" s="2" t="s">
        <v>35</v>
      </c>
      <c r="O581" s="11">
        <v>44743.633863703704</v>
      </c>
      <c r="P581" s="11">
        <v>44743.633999074074</v>
      </c>
      <c r="Q581" s="27">
        <v>1.3537037011701614E-4</v>
      </c>
      <c r="R581" s="27">
        <v>1.8440162020851858E-3</v>
      </c>
      <c r="S581" s="2">
        <v>0</v>
      </c>
      <c r="T581" s="2" t="s">
        <v>36</v>
      </c>
      <c r="U581" s="2" t="s">
        <v>37</v>
      </c>
      <c r="V581" s="2" t="s">
        <v>38</v>
      </c>
      <c r="W581" s="2" t="s">
        <v>35</v>
      </c>
      <c r="X581" s="2" t="s">
        <v>35</v>
      </c>
      <c r="Y581" s="2" t="s">
        <v>35</v>
      </c>
      <c r="Z581" s="2" t="b">
        <v>0</v>
      </c>
      <c r="AA581" s="2" t="s">
        <v>35</v>
      </c>
      <c r="AB581" s="2" t="s">
        <v>35</v>
      </c>
      <c r="AC581" s="2" t="s">
        <v>35</v>
      </c>
      <c r="AD581" s="2">
        <v>5</v>
      </c>
      <c r="AE581" s="2" t="s">
        <v>1117</v>
      </c>
      <c r="AF581" s="11">
        <v>44743.590972164355</v>
      </c>
      <c r="AG581" s="53"/>
      <c r="AH581" s="53" t="b">
        <f t="shared" si="13"/>
        <v>0</v>
      </c>
      <c r="AI581" s="54" t="s">
        <v>9548</v>
      </c>
      <c r="AJ581" s="2"/>
      <c r="AK581" s="2"/>
      <c r="AL581" s="2"/>
      <c r="AM581" s="2"/>
      <c r="AN581" s="2"/>
    </row>
    <row r="582" spans="1:40" ht="16" x14ac:dyDescent="0.2">
      <c r="A582" s="2" t="s">
        <v>1195</v>
      </c>
      <c r="B582" s="2">
        <v>360</v>
      </c>
      <c r="C582" s="2" t="b">
        <v>0</v>
      </c>
      <c r="D582" s="2" t="b">
        <v>0</v>
      </c>
      <c r="E582" s="2" t="b">
        <v>0</v>
      </c>
      <c r="F582" s="2" t="b">
        <v>0</v>
      </c>
      <c r="G582" s="2" t="s">
        <v>31</v>
      </c>
      <c r="H582" s="2" t="s">
        <v>1196</v>
      </c>
      <c r="I582" s="2" t="s">
        <v>1197</v>
      </c>
      <c r="J582" s="2" t="s">
        <v>1198</v>
      </c>
      <c r="K582" s="2" t="s">
        <v>35</v>
      </c>
      <c r="L582" s="2" t="s">
        <v>35</v>
      </c>
      <c r="M582" s="2" t="s">
        <v>35</v>
      </c>
      <c r="N582" s="2" t="s">
        <v>35</v>
      </c>
      <c r="O582" s="11">
        <v>44743.63453920139</v>
      </c>
      <c r="P582" s="11">
        <v>44743.63503016204</v>
      </c>
      <c r="Q582" s="27">
        <v>4.909606504952535E-4</v>
      </c>
      <c r="R582" s="27">
        <v>1.0310879661119543E-3</v>
      </c>
      <c r="S582" s="2">
        <v>0</v>
      </c>
      <c r="T582" s="2" t="s">
        <v>36</v>
      </c>
      <c r="U582" s="2" t="s">
        <v>37</v>
      </c>
      <c r="V582" s="2" t="s">
        <v>38</v>
      </c>
      <c r="W582" s="2" t="s">
        <v>35</v>
      </c>
      <c r="X582" s="2" t="s">
        <v>35</v>
      </c>
      <c r="Y582" s="2" t="s">
        <v>35</v>
      </c>
      <c r="Z582" s="2" t="b">
        <v>0</v>
      </c>
      <c r="AA582" s="2" t="s">
        <v>35</v>
      </c>
      <c r="AB582" s="2" t="s">
        <v>35</v>
      </c>
      <c r="AC582" s="2">
        <v>5</v>
      </c>
      <c r="AD582" s="2">
        <v>3</v>
      </c>
      <c r="AE582" s="2" t="s">
        <v>1117</v>
      </c>
      <c r="AF582" s="11">
        <v>44743.590972164355</v>
      </c>
      <c r="AG582" s="53"/>
      <c r="AH582" s="53" t="b">
        <f t="shared" si="13"/>
        <v>0</v>
      </c>
      <c r="AI582" s="54" t="s">
        <v>10323</v>
      </c>
      <c r="AJ582" s="2"/>
      <c r="AK582" s="2"/>
      <c r="AL582" s="2"/>
      <c r="AM582" s="2"/>
      <c r="AN582" s="2"/>
    </row>
    <row r="583" spans="1:40" ht="16" x14ac:dyDescent="0.2">
      <c r="A583" s="2" t="s">
        <v>1199</v>
      </c>
      <c r="B583" s="2">
        <v>361</v>
      </c>
      <c r="C583" s="2" t="b">
        <v>0</v>
      </c>
      <c r="D583" s="2" t="b">
        <v>0</v>
      </c>
      <c r="E583" s="2" t="b">
        <v>0</v>
      </c>
      <c r="F583" s="2" t="b">
        <v>0</v>
      </c>
      <c r="G583" s="2" t="s">
        <v>31</v>
      </c>
      <c r="H583" s="2" t="s">
        <v>1200</v>
      </c>
      <c r="I583" s="2" t="s">
        <v>1201</v>
      </c>
      <c r="J583" s="2" t="s">
        <v>35</v>
      </c>
      <c r="K583" s="2" t="s">
        <v>35</v>
      </c>
      <c r="L583" s="2" t="s">
        <v>35</v>
      </c>
      <c r="M583" s="2" t="s">
        <v>35</v>
      </c>
      <c r="N583" s="2" t="s">
        <v>35</v>
      </c>
      <c r="O583" s="11">
        <v>44743.635363252317</v>
      </c>
      <c r="P583" s="11">
        <v>44743.635515428243</v>
      </c>
      <c r="Q583" s="27">
        <v>1.5217592590488493E-4</v>
      </c>
      <c r="R583" s="27">
        <v>4.852662023040466E-4</v>
      </c>
      <c r="S583" s="2">
        <v>0</v>
      </c>
      <c r="T583" s="2" t="s">
        <v>36</v>
      </c>
      <c r="U583" s="2" t="s">
        <v>37</v>
      </c>
      <c r="V583" s="2" t="s">
        <v>38</v>
      </c>
      <c r="W583" s="2" t="s">
        <v>35</v>
      </c>
      <c r="X583" s="2" t="s">
        <v>35</v>
      </c>
      <c r="Y583" s="2" t="s">
        <v>35</v>
      </c>
      <c r="Z583" s="2" t="b">
        <v>0</v>
      </c>
      <c r="AA583" s="2" t="s">
        <v>35</v>
      </c>
      <c r="AB583" s="2" t="s">
        <v>35</v>
      </c>
      <c r="AC583" s="2" t="s">
        <v>35</v>
      </c>
      <c r="AD583" s="2">
        <v>4</v>
      </c>
      <c r="AE583" s="2" t="s">
        <v>1117</v>
      </c>
      <c r="AF583" s="11">
        <v>44743.590972164355</v>
      </c>
      <c r="AG583" s="53"/>
      <c r="AH583" s="53" t="b">
        <f t="shared" si="13"/>
        <v>0</v>
      </c>
      <c r="AI583" s="54" t="s">
        <v>10324</v>
      </c>
      <c r="AJ583" s="2"/>
      <c r="AK583" s="2"/>
      <c r="AL583" s="2"/>
      <c r="AM583" s="2"/>
      <c r="AN583" s="2"/>
    </row>
    <row r="584" spans="1:40" ht="16" x14ac:dyDescent="0.2">
      <c r="A584" s="2" t="s">
        <v>1202</v>
      </c>
      <c r="B584" s="2">
        <v>362</v>
      </c>
      <c r="C584" s="2" t="b">
        <v>0</v>
      </c>
      <c r="D584" s="2" t="b">
        <v>0</v>
      </c>
      <c r="E584" s="2" t="b">
        <v>0</v>
      </c>
      <c r="F584" s="2" t="b">
        <v>0</v>
      </c>
      <c r="G584" s="2" t="s">
        <v>31</v>
      </c>
      <c r="H584" s="2" t="s">
        <v>1203</v>
      </c>
      <c r="I584" s="2" t="s">
        <v>1204</v>
      </c>
      <c r="J584" s="2" t="s">
        <v>1198</v>
      </c>
      <c r="K584" s="2" t="s">
        <v>35</v>
      </c>
      <c r="L584" s="2" t="s">
        <v>35</v>
      </c>
      <c r="M584" s="2" t="s">
        <v>35</v>
      </c>
      <c r="N584" s="2" t="s">
        <v>35</v>
      </c>
      <c r="O584" s="11">
        <v>44743.636718078706</v>
      </c>
      <c r="P584" s="11">
        <v>44743.637017835645</v>
      </c>
      <c r="Q584" s="27">
        <v>2.9975693905726075E-4</v>
      </c>
      <c r="R584" s="27">
        <v>1.5024074018583633E-3</v>
      </c>
      <c r="S584" s="2">
        <v>0</v>
      </c>
      <c r="T584" s="2" t="s">
        <v>36</v>
      </c>
      <c r="U584" s="2" t="s">
        <v>37</v>
      </c>
      <c r="V584" s="2" t="s">
        <v>38</v>
      </c>
      <c r="W584" s="2" t="s">
        <v>35</v>
      </c>
      <c r="X584" s="2" t="s">
        <v>35</v>
      </c>
      <c r="Y584" s="2" t="s">
        <v>35</v>
      </c>
      <c r="Z584" s="2" t="b">
        <v>0</v>
      </c>
      <c r="AA584" s="2" t="s">
        <v>35</v>
      </c>
      <c r="AB584" s="2" t="s">
        <v>35</v>
      </c>
      <c r="AC584" s="2">
        <v>5</v>
      </c>
      <c r="AD584" s="2" t="s">
        <v>35</v>
      </c>
      <c r="AE584" s="2" t="s">
        <v>1117</v>
      </c>
      <c r="AF584" s="11">
        <v>44743.590972164355</v>
      </c>
      <c r="AG584" s="53"/>
      <c r="AH584" s="53" t="b">
        <f t="shared" si="13"/>
        <v>0</v>
      </c>
      <c r="AI584" s="54" t="s">
        <v>10325</v>
      </c>
      <c r="AJ584" s="2"/>
      <c r="AK584" s="2"/>
      <c r="AL584" s="2"/>
      <c r="AM584" s="2"/>
      <c r="AN584" s="2"/>
    </row>
    <row r="585" spans="1:40" ht="16" x14ac:dyDescent="0.2">
      <c r="A585" s="2" t="s">
        <v>1205</v>
      </c>
      <c r="B585" s="2">
        <v>363</v>
      </c>
      <c r="C585" s="2" t="b">
        <v>0</v>
      </c>
      <c r="D585" s="2" t="b">
        <v>0</v>
      </c>
      <c r="E585" s="2" t="b">
        <v>0</v>
      </c>
      <c r="F585" s="2" t="b">
        <v>0</v>
      </c>
      <c r="G585" s="2" t="s">
        <v>31</v>
      </c>
      <c r="H585" s="2" t="s">
        <v>1206</v>
      </c>
      <c r="I585" s="2" t="s">
        <v>1207</v>
      </c>
      <c r="J585" s="2" t="s">
        <v>35</v>
      </c>
      <c r="K585" s="2" t="s">
        <v>35</v>
      </c>
      <c r="L585" s="2" t="s">
        <v>35</v>
      </c>
      <c r="M585" s="2" t="s">
        <v>35</v>
      </c>
      <c r="N585" s="2" t="s">
        <v>35</v>
      </c>
      <c r="O585" s="11">
        <v>44743.63786855324</v>
      </c>
      <c r="P585" s="11">
        <v>44743.638029594906</v>
      </c>
      <c r="Q585" s="27">
        <v>1.6104166570585221E-4</v>
      </c>
      <c r="R585" s="27">
        <v>1.0117592610185966E-3</v>
      </c>
      <c r="S585" s="2">
        <v>0</v>
      </c>
      <c r="T585" s="2" t="s">
        <v>36</v>
      </c>
      <c r="U585" s="2" t="s">
        <v>37</v>
      </c>
      <c r="V585" s="2" t="s">
        <v>38</v>
      </c>
      <c r="W585" s="2" t="s">
        <v>35</v>
      </c>
      <c r="X585" s="2" t="s">
        <v>35</v>
      </c>
      <c r="Y585" s="2" t="s">
        <v>35</v>
      </c>
      <c r="Z585" s="2" t="b">
        <v>0</v>
      </c>
      <c r="AA585" s="2" t="s">
        <v>35</v>
      </c>
      <c r="AB585" s="2" t="s">
        <v>35</v>
      </c>
      <c r="AC585" s="2" t="s">
        <v>35</v>
      </c>
      <c r="AD585" s="2">
        <v>2</v>
      </c>
      <c r="AE585" s="2" t="s">
        <v>1117</v>
      </c>
      <c r="AF585" s="11">
        <v>44743.590972164355</v>
      </c>
      <c r="AG585" s="53"/>
      <c r="AH585" s="53" t="b">
        <f t="shared" si="13"/>
        <v>0</v>
      </c>
      <c r="AI585" s="54" t="s">
        <v>10326</v>
      </c>
      <c r="AJ585" s="2"/>
      <c r="AK585" s="2"/>
      <c r="AL585" s="2"/>
      <c r="AM585" s="2"/>
      <c r="AN585" s="2"/>
    </row>
    <row r="586" spans="1:40" ht="16" x14ac:dyDescent="0.2">
      <c r="A586" s="2" t="s">
        <v>1214</v>
      </c>
      <c r="B586" s="2">
        <v>366</v>
      </c>
      <c r="C586" s="2" t="b">
        <v>0</v>
      </c>
      <c r="D586" s="2" t="b">
        <v>0</v>
      </c>
      <c r="E586" s="2" t="b">
        <v>0</v>
      </c>
      <c r="F586" s="2" t="b">
        <v>0</v>
      </c>
      <c r="G586" s="2" t="s">
        <v>31</v>
      </c>
      <c r="H586" s="2" t="s">
        <v>1215</v>
      </c>
      <c r="I586" s="2" t="s">
        <v>1216</v>
      </c>
      <c r="J586" s="2" t="s">
        <v>1217</v>
      </c>
      <c r="K586" s="2" t="s">
        <v>35</v>
      </c>
      <c r="L586" s="2" t="s">
        <v>35</v>
      </c>
      <c r="M586" s="2" t="s">
        <v>35</v>
      </c>
      <c r="N586" s="2" t="s">
        <v>35</v>
      </c>
      <c r="O586" s="11">
        <v>44743.640327997688</v>
      </c>
      <c r="P586" s="11">
        <v>44743.640885312503</v>
      </c>
      <c r="Q586" s="27">
        <v>5.5731481552356854E-4</v>
      </c>
      <c r="R586" s="27">
        <v>6.7877315450459719E-4</v>
      </c>
      <c r="S586" s="2">
        <v>0</v>
      </c>
      <c r="T586" s="2" t="s">
        <v>36</v>
      </c>
      <c r="U586" s="2" t="s">
        <v>37</v>
      </c>
      <c r="V586" s="2" t="s">
        <v>38</v>
      </c>
      <c r="W586" s="2" t="s">
        <v>35</v>
      </c>
      <c r="X586" s="2" t="s">
        <v>35</v>
      </c>
      <c r="Y586" s="2" t="s">
        <v>35</v>
      </c>
      <c r="Z586" s="2" t="b">
        <v>0</v>
      </c>
      <c r="AA586" s="2" t="s">
        <v>35</v>
      </c>
      <c r="AB586" s="2" t="s">
        <v>35</v>
      </c>
      <c r="AC586" s="2">
        <v>6</v>
      </c>
      <c r="AD586" s="2" t="s">
        <v>35</v>
      </c>
      <c r="AE586" s="2" t="s">
        <v>1117</v>
      </c>
      <c r="AF586" s="11">
        <v>44743.590972164355</v>
      </c>
      <c r="AG586" s="53"/>
      <c r="AH586" s="53" t="b">
        <f t="shared" si="13"/>
        <v>0</v>
      </c>
      <c r="AI586" s="54" t="s">
        <v>10327</v>
      </c>
      <c r="AJ586" s="2"/>
      <c r="AK586" s="2"/>
      <c r="AL586" s="2"/>
      <c r="AM586" s="2"/>
      <c r="AN586" s="2"/>
    </row>
    <row r="587" spans="1:40" ht="16" x14ac:dyDescent="0.2">
      <c r="A587" s="31" t="s">
        <v>1218</v>
      </c>
      <c r="B587" s="31">
        <v>367</v>
      </c>
      <c r="C587" s="31" t="b">
        <v>0</v>
      </c>
      <c r="D587" s="31" t="b">
        <v>0</v>
      </c>
      <c r="E587" s="31" t="b">
        <v>0</v>
      </c>
      <c r="F587" s="31" t="b">
        <v>0</v>
      </c>
      <c r="G587" s="31" t="s">
        <v>31</v>
      </c>
      <c r="H587" s="31" t="s">
        <v>1219</v>
      </c>
      <c r="I587" s="31" t="s">
        <v>1220</v>
      </c>
      <c r="J587" s="31" t="s">
        <v>1221</v>
      </c>
      <c r="K587" s="31" t="s">
        <v>35</v>
      </c>
      <c r="L587" s="31" t="s">
        <v>35</v>
      </c>
      <c r="M587" s="31" t="s">
        <v>35</v>
      </c>
      <c r="N587" s="31" t="s">
        <v>35</v>
      </c>
      <c r="O587" s="32">
        <v>44743.66871125</v>
      </c>
      <c r="P587" s="32">
        <v>44743.668975370369</v>
      </c>
      <c r="Q587" s="30">
        <v>2.6412036822875962E-4</v>
      </c>
      <c r="R587" s="30">
        <v>2.8090057865483686E-2</v>
      </c>
      <c r="S587" s="31">
        <v>0</v>
      </c>
      <c r="T587" s="31" t="s">
        <v>36</v>
      </c>
      <c r="U587" s="31" t="s">
        <v>37</v>
      </c>
      <c r="V587" s="31" t="s">
        <v>38</v>
      </c>
      <c r="W587" s="31" t="s">
        <v>35</v>
      </c>
      <c r="X587" s="31" t="s">
        <v>35</v>
      </c>
      <c r="Y587" s="31" t="s">
        <v>35</v>
      </c>
      <c r="Z587" s="31" t="b">
        <v>0</v>
      </c>
      <c r="AA587" s="31" t="s">
        <v>35</v>
      </c>
      <c r="AB587" s="31" t="s">
        <v>35</v>
      </c>
      <c r="AC587" s="31">
        <v>4</v>
      </c>
      <c r="AD587" s="31" t="s">
        <v>35</v>
      </c>
      <c r="AE587" s="31" t="s">
        <v>1117</v>
      </c>
      <c r="AF587" s="32">
        <v>44743.590972164355</v>
      </c>
      <c r="AG587" s="55" t="s">
        <v>9406</v>
      </c>
      <c r="AH587" s="53" t="b">
        <f t="shared" si="13"/>
        <v>0</v>
      </c>
      <c r="AI587" s="62" t="s">
        <v>10843</v>
      </c>
      <c r="AJ587" s="31"/>
      <c r="AK587" s="31"/>
      <c r="AL587" s="31"/>
      <c r="AM587" s="31"/>
      <c r="AN587" s="31"/>
    </row>
    <row r="588" spans="1:40" ht="16" x14ac:dyDescent="0.2">
      <c r="A588" s="2" t="s">
        <v>1228</v>
      </c>
      <c r="B588" s="2">
        <v>370</v>
      </c>
      <c r="C588" s="2" t="b">
        <v>0</v>
      </c>
      <c r="D588" s="2" t="b">
        <v>0</v>
      </c>
      <c r="E588" s="2" t="b">
        <v>0</v>
      </c>
      <c r="F588" s="2" t="b">
        <v>0</v>
      </c>
      <c r="G588" s="2" t="s">
        <v>31</v>
      </c>
      <c r="H588" s="2" t="s">
        <v>1229</v>
      </c>
      <c r="I588" s="2" t="s">
        <v>1230</v>
      </c>
      <c r="J588" s="2" t="s">
        <v>1231</v>
      </c>
      <c r="K588" s="2" t="s">
        <v>35</v>
      </c>
      <c r="L588" s="2" t="s">
        <v>35</v>
      </c>
      <c r="M588" s="2" t="s">
        <v>35</v>
      </c>
      <c r="N588" s="2" t="s">
        <v>35</v>
      </c>
      <c r="O588" s="11">
        <v>44743.672406307873</v>
      </c>
      <c r="P588" s="11">
        <v>44743.672835474536</v>
      </c>
      <c r="Q588" s="27">
        <v>4.2916666279779747E-4</v>
      </c>
      <c r="R588" s="27">
        <v>2.0098495369893499E-3</v>
      </c>
      <c r="S588" s="2">
        <v>0</v>
      </c>
      <c r="T588" s="2" t="s">
        <v>36</v>
      </c>
      <c r="U588" s="2" t="s">
        <v>37</v>
      </c>
      <c r="V588" s="2" t="s">
        <v>38</v>
      </c>
      <c r="W588" s="2" t="s">
        <v>35</v>
      </c>
      <c r="X588" s="2" t="s">
        <v>35</v>
      </c>
      <c r="Y588" s="2" t="s">
        <v>35</v>
      </c>
      <c r="Z588" s="2" t="b">
        <v>0</v>
      </c>
      <c r="AA588" s="2" t="s">
        <v>35</v>
      </c>
      <c r="AB588" s="2" t="s">
        <v>35</v>
      </c>
      <c r="AC588" s="2">
        <v>8</v>
      </c>
      <c r="AD588" s="2" t="s">
        <v>35</v>
      </c>
      <c r="AE588" s="2" t="s">
        <v>1117</v>
      </c>
      <c r="AF588" s="11">
        <v>44743.590972164355</v>
      </c>
      <c r="AG588" s="53"/>
      <c r="AH588" s="53" t="b">
        <f t="shared" si="13"/>
        <v>0</v>
      </c>
      <c r="AI588" s="54" t="s">
        <v>10328</v>
      </c>
      <c r="AJ588" s="2"/>
      <c r="AK588" s="2"/>
      <c r="AL588" s="2"/>
      <c r="AM588" s="2"/>
      <c r="AN588" s="2"/>
    </row>
    <row r="589" spans="1:40" ht="16" x14ac:dyDescent="0.2">
      <c r="A589" s="2" t="s">
        <v>1232</v>
      </c>
      <c r="B589" s="2">
        <v>371</v>
      </c>
      <c r="C589" s="2" t="b">
        <v>0</v>
      </c>
      <c r="D589" s="2" t="b">
        <v>0</v>
      </c>
      <c r="E589" s="2" t="b">
        <v>0</v>
      </c>
      <c r="F589" s="2" t="b">
        <v>0</v>
      </c>
      <c r="G589" s="2" t="s">
        <v>31</v>
      </c>
      <c r="H589" s="2" t="s">
        <v>1233</v>
      </c>
      <c r="I589" s="2" t="s">
        <v>1234</v>
      </c>
      <c r="J589" s="2" t="s">
        <v>35</v>
      </c>
      <c r="K589" s="2" t="s">
        <v>35</v>
      </c>
      <c r="L589" s="2" t="s">
        <v>35</v>
      </c>
      <c r="M589" s="2" t="s">
        <v>35</v>
      </c>
      <c r="N589" s="2" t="s">
        <v>35</v>
      </c>
      <c r="O589" s="11">
        <v>44743.67432677083</v>
      </c>
      <c r="P589" s="11">
        <v>44743.674549351854</v>
      </c>
      <c r="Q589" s="27">
        <v>2.2258102399064228E-4</v>
      </c>
      <c r="R589" s="27">
        <v>1.7138773182523437E-3</v>
      </c>
      <c r="S589" s="2">
        <v>0</v>
      </c>
      <c r="T589" s="2" t="s">
        <v>36</v>
      </c>
      <c r="U589" s="2" t="s">
        <v>37</v>
      </c>
      <c r="V589" s="2" t="s">
        <v>38</v>
      </c>
      <c r="W589" s="2" t="s">
        <v>35</v>
      </c>
      <c r="X589" s="2" t="s">
        <v>35</v>
      </c>
      <c r="Y589" s="2" t="s">
        <v>35</v>
      </c>
      <c r="Z589" s="2" t="b">
        <v>0</v>
      </c>
      <c r="AA589" s="2" t="s">
        <v>1235</v>
      </c>
      <c r="AB589" s="2" t="s">
        <v>35</v>
      </c>
      <c r="AC589" s="2" t="s">
        <v>35</v>
      </c>
      <c r="AD589" s="2" t="s">
        <v>35</v>
      </c>
      <c r="AE589" s="2" t="s">
        <v>1117</v>
      </c>
      <c r="AF589" s="11">
        <v>44743.590972164355</v>
      </c>
      <c r="AG589" s="53"/>
      <c r="AH589" s="53" t="b">
        <f t="shared" si="13"/>
        <v>0</v>
      </c>
      <c r="AI589" s="54" t="s">
        <v>9477</v>
      </c>
      <c r="AJ589" s="2"/>
      <c r="AK589" s="2"/>
      <c r="AL589" s="2"/>
      <c r="AM589" s="2"/>
      <c r="AN589" s="2"/>
    </row>
    <row r="590" spans="1:40" ht="16" x14ac:dyDescent="0.2">
      <c r="A590" s="68" t="s">
        <v>1236</v>
      </c>
      <c r="B590" s="68">
        <v>372</v>
      </c>
      <c r="C590" s="68" t="b">
        <v>0</v>
      </c>
      <c r="D590" s="68" t="b">
        <v>0</v>
      </c>
      <c r="E590" s="68" t="b">
        <v>0</v>
      </c>
      <c r="F590" s="68" t="b">
        <v>0</v>
      </c>
      <c r="G590" s="68" t="s">
        <v>31</v>
      </c>
      <c r="H590" s="68" t="s">
        <v>149</v>
      </c>
      <c r="I590" s="68" t="s">
        <v>1237</v>
      </c>
      <c r="J590" s="68" t="s">
        <v>35</v>
      </c>
      <c r="K590" s="68" t="s">
        <v>35</v>
      </c>
      <c r="L590" s="68" t="s">
        <v>35</v>
      </c>
      <c r="M590" s="68" t="s">
        <v>35</v>
      </c>
      <c r="N590" s="68" t="s">
        <v>35</v>
      </c>
      <c r="O590" s="69">
        <v>44743.674980127318</v>
      </c>
      <c r="P590" s="69">
        <v>44743.675089745368</v>
      </c>
      <c r="Q590" s="70">
        <v>1.0961804946418852E-4</v>
      </c>
      <c r="R590" s="70">
        <v>5.4039351380197331E-4</v>
      </c>
      <c r="S590" s="68">
        <v>0</v>
      </c>
      <c r="T590" s="68" t="s">
        <v>36</v>
      </c>
      <c r="U590" s="68" t="s">
        <v>37</v>
      </c>
      <c r="V590" s="68" t="s">
        <v>38</v>
      </c>
      <c r="W590" s="68" t="s">
        <v>35</v>
      </c>
      <c r="X590" s="68" t="s">
        <v>35</v>
      </c>
      <c r="Y590" s="68" t="s">
        <v>35</v>
      </c>
      <c r="Z590" s="68" t="b">
        <v>0</v>
      </c>
      <c r="AA590" s="68" t="s">
        <v>35</v>
      </c>
      <c r="AB590" s="68" t="s">
        <v>35</v>
      </c>
      <c r="AC590" s="68" t="s">
        <v>35</v>
      </c>
      <c r="AD590" s="68">
        <v>6</v>
      </c>
      <c r="AE590" s="68" t="s">
        <v>1117</v>
      </c>
      <c r="AF590" s="69">
        <v>44743.590972164355</v>
      </c>
      <c r="AG590" s="71"/>
      <c r="AH590" s="53" t="b">
        <f t="shared" si="13"/>
        <v>0</v>
      </c>
      <c r="AI590" s="56" t="s">
        <v>9477</v>
      </c>
      <c r="AJ590" s="68"/>
      <c r="AK590" s="68"/>
      <c r="AL590" s="68"/>
      <c r="AM590" s="68"/>
      <c r="AN590" s="68"/>
    </row>
    <row r="591" spans="1:40" ht="16" x14ac:dyDescent="0.2">
      <c r="A591" s="2" t="s">
        <v>1238</v>
      </c>
      <c r="B591" s="2">
        <v>373</v>
      </c>
      <c r="C591" s="2" t="b">
        <v>0</v>
      </c>
      <c r="D591" s="2" t="b">
        <v>0</v>
      </c>
      <c r="E591" s="2" t="b">
        <v>0</v>
      </c>
      <c r="F591" s="2" t="b">
        <v>0</v>
      </c>
      <c r="G591" s="2" t="s">
        <v>31</v>
      </c>
      <c r="H591" s="2" t="s">
        <v>1239</v>
      </c>
      <c r="I591" s="2" t="s">
        <v>1240</v>
      </c>
      <c r="J591" s="2" t="s">
        <v>1221</v>
      </c>
      <c r="K591" s="2" t="s">
        <v>35</v>
      </c>
      <c r="L591" s="2" t="s">
        <v>35</v>
      </c>
      <c r="M591" s="2" t="s">
        <v>35</v>
      </c>
      <c r="N591" s="2" t="s">
        <v>35</v>
      </c>
      <c r="O591" s="11">
        <v>44743.675814212962</v>
      </c>
      <c r="P591" s="11">
        <v>44743.676411180553</v>
      </c>
      <c r="Q591" s="27">
        <v>5.9696759126381949E-4</v>
      </c>
      <c r="R591" s="27">
        <v>1.321435185673181E-3</v>
      </c>
      <c r="S591" s="2">
        <v>0</v>
      </c>
      <c r="T591" s="2" t="s">
        <v>36</v>
      </c>
      <c r="U591" s="2" t="s">
        <v>37</v>
      </c>
      <c r="V591" s="2" t="s">
        <v>38</v>
      </c>
      <c r="W591" s="2" t="s">
        <v>35</v>
      </c>
      <c r="X591" s="2" t="s">
        <v>35</v>
      </c>
      <c r="Y591" s="2" t="s">
        <v>35</v>
      </c>
      <c r="Z591" s="2" t="b">
        <v>0</v>
      </c>
      <c r="AA591" s="2" t="s">
        <v>35</v>
      </c>
      <c r="AB591" s="2" t="s">
        <v>35</v>
      </c>
      <c r="AC591" s="2">
        <v>10</v>
      </c>
      <c r="AD591" s="2" t="s">
        <v>35</v>
      </c>
      <c r="AE591" s="2" t="s">
        <v>1117</v>
      </c>
      <c r="AF591" s="11">
        <v>44743.590972164355</v>
      </c>
      <c r="AG591" s="53"/>
      <c r="AH591" s="53" t="b">
        <f t="shared" si="13"/>
        <v>0</v>
      </c>
      <c r="AI591" s="54" t="s">
        <v>10329</v>
      </c>
      <c r="AJ591" s="2"/>
      <c r="AK591" s="2"/>
      <c r="AL591" s="2"/>
      <c r="AM591" s="2"/>
      <c r="AN591" s="2"/>
    </row>
    <row r="592" spans="1:40" ht="16" x14ac:dyDescent="0.2">
      <c r="A592" s="2" t="s">
        <v>1241</v>
      </c>
      <c r="B592" s="2">
        <v>374</v>
      </c>
      <c r="C592" s="2" t="b">
        <v>0</v>
      </c>
      <c r="D592" s="2" t="b">
        <v>0</v>
      </c>
      <c r="E592" s="2" t="b">
        <v>0</v>
      </c>
      <c r="F592" s="2" t="b">
        <v>0</v>
      </c>
      <c r="G592" s="2" t="s">
        <v>31</v>
      </c>
      <c r="H592" s="2" t="s">
        <v>1242</v>
      </c>
      <c r="I592" s="2" t="s">
        <v>1243</v>
      </c>
      <c r="J592" s="2" t="s">
        <v>1221</v>
      </c>
      <c r="K592" s="2" t="s">
        <v>35</v>
      </c>
      <c r="L592" s="2" t="s">
        <v>35</v>
      </c>
      <c r="M592" s="2" t="s">
        <v>35</v>
      </c>
      <c r="N592" s="2" t="s">
        <v>35</v>
      </c>
      <c r="O592" s="11">
        <v>44743.677382048612</v>
      </c>
      <c r="P592" s="11">
        <v>44743.677712743054</v>
      </c>
      <c r="Q592" s="27">
        <v>3.3069444180000573E-4</v>
      </c>
      <c r="R592" s="27">
        <v>1.3015625008847564E-3</v>
      </c>
      <c r="S592" s="2">
        <v>0</v>
      </c>
      <c r="T592" s="2" t="s">
        <v>36</v>
      </c>
      <c r="U592" s="2" t="s">
        <v>37</v>
      </c>
      <c r="V592" s="2" t="s">
        <v>38</v>
      </c>
      <c r="W592" s="2" t="s">
        <v>35</v>
      </c>
      <c r="X592" s="2" t="s">
        <v>35</v>
      </c>
      <c r="Y592" s="2" t="s">
        <v>35</v>
      </c>
      <c r="Z592" s="2" t="b">
        <v>0</v>
      </c>
      <c r="AA592" s="2" t="s">
        <v>35</v>
      </c>
      <c r="AB592" s="2" t="s">
        <v>35</v>
      </c>
      <c r="AC592" s="2">
        <v>5</v>
      </c>
      <c r="AD592" s="2" t="s">
        <v>35</v>
      </c>
      <c r="AE592" s="2" t="s">
        <v>1117</v>
      </c>
      <c r="AF592" s="11">
        <v>44743.590972164355</v>
      </c>
      <c r="AG592" s="53"/>
      <c r="AH592" s="53" t="b">
        <f t="shared" si="13"/>
        <v>0</v>
      </c>
      <c r="AI592" s="54" t="s">
        <v>10330</v>
      </c>
      <c r="AJ592" s="2"/>
      <c r="AK592" s="2"/>
      <c r="AL592" s="2"/>
      <c r="AM592" s="2"/>
      <c r="AN592" s="2"/>
    </row>
    <row r="593" spans="1:40" ht="16" x14ac:dyDescent="0.2">
      <c r="A593" s="2" t="s">
        <v>1250</v>
      </c>
      <c r="B593" s="2">
        <v>377</v>
      </c>
      <c r="C593" s="2" t="b">
        <v>0</v>
      </c>
      <c r="D593" s="2" t="b">
        <v>0</v>
      </c>
      <c r="E593" s="2" t="b">
        <v>0</v>
      </c>
      <c r="F593" s="2" t="b">
        <v>0</v>
      </c>
      <c r="G593" s="2" t="s">
        <v>31</v>
      </c>
      <c r="H593" s="2" t="s">
        <v>1251</v>
      </c>
      <c r="I593" s="2" t="s">
        <v>1252</v>
      </c>
      <c r="J593" s="2" t="s">
        <v>1221</v>
      </c>
      <c r="K593" s="2" t="s">
        <v>35</v>
      </c>
      <c r="L593" s="2" t="s">
        <v>35</v>
      </c>
      <c r="M593" s="2" t="s">
        <v>35</v>
      </c>
      <c r="N593" s="2" t="s">
        <v>35</v>
      </c>
      <c r="O593" s="11">
        <v>44743.680383252315</v>
      </c>
      <c r="P593" s="11">
        <v>44743.680687314816</v>
      </c>
      <c r="Q593" s="27">
        <v>3.0406250152736902E-4</v>
      </c>
      <c r="R593" s="27">
        <v>1.8628588004503399E-3</v>
      </c>
      <c r="S593" s="2">
        <v>0</v>
      </c>
      <c r="T593" s="2" t="s">
        <v>36</v>
      </c>
      <c r="U593" s="2" t="s">
        <v>37</v>
      </c>
      <c r="V593" s="2" t="s">
        <v>38</v>
      </c>
      <c r="W593" s="2" t="s">
        <v>35</v>
      </c>
      <c r="X593" s="2" t="s">
        <v>35</v>
      </c>
      <c r="Y593" s="2" t="s">
        <v>35</v>
      </c>
      <c r="Z593" s="2" t="b">
        <v>0</v>
      </c>
      <c r="AA593" s="2" t="s">
        <v>35</v>
      </c>
      <c r="AB593" s="2" t="s">
        <v>35</v>
      </c>
      <c r="AC593" s="2">
        <v>10</v>
      </c>
      <c r="AD593" s="2" t="s">
        <v>35</v>
      </c>
      <c r="AE593" s="2" t="s">
        <v>1117</v>
      </c>
      <c r="AF593" s="11">
        <v>44743.590972164355</v>
      </c>
      <c r="AG593" s="53"/>
      <c r="AH593" s="53" t="b">
        <f t="shared" si="13"/>
        <v>0</v>
      </c>
      <c r="AI593" s="54" t="s">
        <v>10331</v>
      </c>
      <c r="AJ593" s="2"/>
      <c r="AK593" s="2"/>
      <c r="AL593" s="2"/>
      <c r="AM593" s="2"/>
      <c r="AN593" s="2"/>
    </row>
    <row r="594" spans="1:40" ht="16" x14ac:dyDescent="0.2">
      <c r="A594" s="2" t="s">
        <v>1256</v>
      </c>
      <c r="B594" s="2">
        <v>379</v>
      </c>
      <c r="C594" s="2" t="b">
        <v>0</v>
      </c>
      <c r="D594" s="2" t="b">
        <v>0</v>
      </c>
      <c r="E594" s="2" t="b">
        <v>0</v>
      </c>
      <c r="F594" s="2" t="b">
        <v>0</v>
      </c>
      <c r="G594" s="2" t="s">
        <v>31</v>
      </c>
      <c r="H594" s="2" t="s">
        <v>1257</v>
      </c>
      <c r="I594" s="2" t="s">
        <v>1258</v>
      </c>
      <c r="J594" s="2" t="s">
        <v>1259</v>
      </c>
      <c r="K594" s="2" t="s">
        <v>35</v>
      </c>
      <c r="L594" s="2" t="s">
        <v>35</v>
      </c>
      <c r="M594" s="2" t="s">
        <v>35</v>
      </c>
      <c r="N594" s="2" t="s">
        <v>35</v>
      </c>
      <c r="O594" s="11">
        <v>44743.68186138889</v>
      </c>
      <c r="P594" s="11">
        <v>44743.68227892361</v>
      </c>
      <c r="Q594" s="27">
        <v>4.1753472032723948E-4</v>
      </c>
      <c r="R594" s="27">
        <v>6.77002317388542E-4</v>
      </c>
      <c r="S594" s="2">
        <v>0</v>
      </c>
      <c r="T594" s="2" t="s">
        <v>36</v>
      </c>
      <c r="U594" s="2" t="s">
        <v>37</v>
      </c>
      <c r="V594" s="2" t="s">
        <v>38</v>
      </c>
      <c r="W594" s="2" t="s">
        <v>35</v>
      </c>
      <c r="X594" s="2" t="s">
        <v>35</v>
      </c>
      <c r="Y594" s="2" t="s">
        <v>35</v>
      </c>
      <c r="Z594" s="2" t="b">
        <v>0</v>
      </c>
      <c r="AA594" s="2" t="s">
        <v>35</v>
      </c>
      <c r="AB594" s="2" t="s">
        <v>35</v>
      </c>
      <c r="AC594" s="2">
        <v>6</v>
      </c>
      <c r="AD594" s="2" t="s">
        <v>35</v>
      </c>
      <c r="AE594" s="2" t="s">
        <v>1117</v>
      </c>
      <c r="AF594" s="11">
        <v>44743.590972164355</v>
      </c>
      <c r="AG594" s="53"/>
      <c r="AH594" s="53" t="b">
        <f t="shared" si="13"/>
        <v>0</v>
      </c>
      <c r="AI594" s="54" t="s">
        <v>10332</v>
      </c>
      <c r="AJ594" s="2"/>
      <c r="AK594" s="2"/>
      <c r="AL594" s="2"/>
      <c r="AM594" s="2"/>
      <c r="AN594" s="2"/>
    </row>
    <row r="595" spans="1:40" ht="16" x14ac:dyDescent="0.2">
      <c r="A595" s="2" t="s">
        <v>1260</v>
      </c>
      <c r="B595" s="2">
        <v>380</v>
      </c>
      <c r="C595" s="2" t="b">
        <v>0</v>
      </c>
      <c r="D595" s="2" t="b">
        <v>0</v>
      </c>
      <c r="E595" s="2" t="b">
        <v>0</v>
      </c>
      <c r="F595" s="2" t="b">
        <v>0</v>
      </c>
      <c r="G595" s="2" t="s">
        <v>31</v>
      </c>
      <c r="H595" s="2" t="s">
        <v>1261</v>
      </c>
      <c r="I595" s="2" t="s">
        <v>1262</v>
      </c>
      <c r="J595" s="2" t="s">
        <v>1221</v>
      </c>
      <c r="K595" s="2" t="s">
        <v>35</v>
      </c>
      <c r="L595" s="2" t="s">
        <v>35</v>
      </c>
      <c r="M595" s="2" t="s">
        <v>35</v>
      </c>
      <c r="N595" s="2" t="s">
        <v>35</v>
      </c>
      <c r="O595" s="11">
        <v>44743.684881967594</v>
      </c>
      <c r="P595" s="11">
        <v>44743.685166423609</v>
      </c>
      <c r="Q595" s="27">
        <v>2.8445601492421702E-4</v>
      </c>
      <c r="R595" s="27">
        <v>2.887499998905696E-3</v>
      </c>
      <c r="S595" s="2">
        <v>0</v>
      </c>
      <c r="T595" s="2" t="s">
        <v>36</v>
      </c>
      <c r="U595" s="2" t="s">
        <v>37</v>
      </c>
      <c r="V595" s="2" t="s">
        <v>38</v>
      </c>
      <c r="W595" s="2" t="s">
        <v>35</v>
      </c>
      <c r="X595" s="2" t="s">
        <v>35</v>
      </c>
      <c r="Y595" s="2" t="s">
        <v>35</v>
      </c>
      <c r="Z595" s="2" t="b">
        <v>0</v>
      </c>
      <c r="AA595" s="2" t="s">
        <v>35</v>
      </c>
      <c r="AB595" s="2" t="s">
        <v>35</v>
      </c>
      <c r="AC595" s="2">
        <v>6</v>
      </c>
      <c r="AD595" s="2" t="s">
        <v>35</v>
      </c>
      <c r="AE595" s="2" t="s">
        <v>1117</v>
      </c>
      <c r="AF595" s="11">
        <v>44743.590972164355</v>
      </c>
      <c r="AG595" s="53"/>
      <c r="AH595" s="53" t="b">
        <f t="shared" si="13"/>
        <v>0</v>
      </c>
      <c r="AI595" s="54" t="s">
        <v>9547</v>
      </c>
      <c r="AJ595" s="2"/>
      <c r="AK595" s="2"/>
      <c r="AL595" s="2"/>
      <c r="AM595" s="2"/>
      <c r="AN595" s="2"/>
    </row>
    <row r="596" spans="1:40" ht="16" x14ac:dyDescent="0.2">
      <c r="A596" s="2" t="s">
        <v>1263</v>
      </c>
      <c r="B596" s="2">
        <v>381</v>
      </c>
      <c r="C596" s="2" t="b">
        <v>0</v>
      </c>
      <c r="D596" s="2" t="b">
        <v>0</v>
      </c>
      <c r="E596" s="2" t="b">
        <v>0</v>
      </c>
      <c r="F596" s="2" t="b">
        <v>0</v>
      </c>
      <c r="G596" s="2" t="s">
        <v>31</v>
      </c>
      <c r="H596" s="2" t="s">
        <v>1264</v>
      </c>
      <c r="I596" s="2" t="s">
        <v>1265</v>
      </c>
      <c r="J596" s="2" t="s">
        <v>35</v>
      </c>
      <c r="K596" s="2" t="s">
        <v>35</v>
      </c>
      <c r="L596" s="2" t="s">
        <v>35</v>
      </c>
      <c r="M596" s="2" t="s">
        <v>35</v>
      </c>
      <c r="N596" s="2" t="s">
        <v>35</v>
      </c>
      <c r="O596" s="11">
        <v>44743.685663518518</v>
      </c>
      <c r="P596" s="11">
        <v>44743.686395798613</v>
      </c>
      <c r="Q596" s="27">
        <v>7.3228009568993002E-4</v>
      </c>
      <c r="R596" s="27">
        <v>1.229375004186295E-3</v>
      </c>
      <c r="S596" s="2">
        <v>0</v>
      </c>
      <c r="T596" s="2" t="s">
        <v>36</v>
      </c>
      <c r="U596" s="2" t="s">
        <v>37</v>
      </c>
      <c r="V596" s="2" t="s">
        <v>38</v>
      </c>
      <c r="W596" s="2" t="s">
        <v>35</v>
      </c>
      <c r="X596" s="2" t="s">
        <v>35</v>
      </c>
      <c r="Y596" s="2" t="s">
        <v>35</v>
      </c>
      <c r="Z596" s="2" t="b">
        <v>0</v>
      </c>
      <c r="AA596" s="2" t="s">
        <v>35</v>
      </c>
      <c r="AB596" s="2" t="s">
        <v>35</v>
      </c>
      <c r="AC596" s="2" t="s">
        <v>35</v>
      </c>
      <c r="AD596" s="2">
        <v>3</v>
      </c>
      <c r="AE596" s="2" t="s">
        <v>1117</v>
      </c>
      <c r="AF596" s="11">
        <v>44743.590972164355</v>
      </c>
      <c r="AG596" s="53"/>
      <c r="AH596" s="53" t="b">
        <f t="shared" si="13"/>
        <v>0</v>
      </c>
      <c r="AI596" s="54" t="s">
        <v>10333</v>
      </c>
      <c r="AJ596" s="2"/>
      <c r="AK596" s="2"/>
      <c r="AL596" s="2"/>
      <c r="AM596" s="2"/>
      <c r="AN596" s="2"/>
    </row>
    <row r="597" spans="1:40" ht="16" x14ac:dyDescent="0.2">
      <c r="A597" s="2" t="s">
        <v>1266</v>
      </c>
      <c r="B597" s="2">
        <v>382</v>
      </c>
      <c r="C597" s="2" t="b">
        <v>0</v>
      </c>
      <c r="D597" s="2" t="b">
        <v>0</v>
      </c>
      <c r="E597" s="2" t="b">
        <v>0</v>
      </c>
      <c r="F597" s="2" t="b">
        <v>0</v>
      </c>
      <c r="G597" s="2" t="s">
        <v>31</v>
      </c>
      <c r="H597" s="2" t="s">
        <v>1267</v>
      </c>
      <c r="I597" s="2" t="s">
        <v>1268</v>
      </c>
      <c r="J597" s="2" t="s">
        <v>35</v>
      </c>
      <c r="K597" s="2" t="s">
        <v>35</v>
      </c>
      <c r="L597" s="2" t="s">
        <v>35</v>
      </c>
      <c r="M597" s="2" t="s">
        <v>35</v>
      </c>
      <c r="N597" s="2" t="s">
        <v>35</v>
      </c>
      <c r="O597" s="11">
        <v>44743.686924027781</v>
      </c>
      <c r="P597" s="11">
        <v>44743.68721935185</v>
      </c>
      <c r="Q597" s="27">
        <v>2.9532406915677711E-4</v>
      </c>
      <c r="R597" s="27">
        <v>8.235532368416898E-4</v>
      </c>
      <c r="S597" s="2">
        <v>0</v>
      </c>
      <c r="T597" s="2" t="s">
        <v>36</v>
      </c>
      <c r="U597" s="2" t="s">
        <v>37</v>
      </c>
      <c r="V597" s="2" t="s">
        <v>38</v>
      </c>
      <c r="W597" s="2" t="s">
        <v>35</v>
      </c>
      <c r="X597" s="2" t="s">
        <v>35</v>
      </c>
      <c r="Y597" s="2" t="s">
        <v>35</v>
      </c>
      <c r="Z597" s="2" t="b">
        <v>0</v>
      </c>
      <c r="AA597" s="2" t="s">
        <v>35</v>
      </c>
      <c r="AB597" s="2" t="s">
        <v>35</v>
      </c>
      <c r="AC597" s="2" t="s">
        <v>35</v>
      </c>
      <c r="AD597" s="2">
        <v>3</v>
      </c>
      <c r="AE597" s="2" t="s">
        <v>1117</v>
      </c>
      <c r="AF597" s="11">
        <v>44743.590972164355</v>
      </c>
      <c r="AG597" s="53"/>
      <c r="AH597" s="53" t="b">
        <f t="shared" si="13"/>
        <v>0</v>
      </c>
      <c r="AI597" s="54" t="s">
        <v>9546</v>
      </c>
      <c r="AJ597" s="2"/>
      <c r="AK597" s="2"/>
      <c r="AL597" s="2"/>
      <c r="AM597" s="2"/>
      <c r="AN597" s="2"/>
    </row>
    <row r="598" spans="1:40" ht="16" x14ac:dyDescent="0.2">
      <c r="A598" s="2" t="s">
        <v>1269</v>
      </c>
      <c r="B598" s="2">
        <v>383</v>
      </c>
      <c r="C598" s="2" t="b">
        <v>0</v>
      </c>
      <c r="D598" s="2" t="b">
        <v>0</v>
      </c>
      <c r="E598" s="2" t="b">
        <v>0</v>
      </c>
      <c r="F598" s="2" t="b">
        <v>0</v>
      </c>
      <c r="G598" s="2" t="s">
        <v>31</v>
      </c>
      <c r="H598" s="2" t="s">
        <v>1270</v>
      </c>
      <c r="I598" s="2" t="s">
        <v>1271</v>
      </c>
      <c r="J598" s="2" t="s">
        <v>1221</v>
      </c>
      <c r="K598" s="2" t="s">
        <v>35</v>
      </c>
      <c r="L598" s="2" t="s">
        <v>35</v>
      </c>
      <c r="M598" s="2" t="s">
        <v>35</v>
      </c>
      <c r="N598" s="2" t="s">
        <v>35</v>
      </c>
      <c r="O598" s="11">
        <v>44743.687393645836</v>
      </c>
      <c r="P598" s="11">
        <v>44743.68783693287</v>
      </c>
      <c r="Q598" s="27">
        <v>4.4328703370410949E-4</v>
      </c>
      <c r="R598" s="27">
        <v>6.1758101946907118E-4</v>
      </c>
      <c r="S598" s="2">
        <v>0</v>
      </c>
      <c r="T598" s="2" t="s">
        <v>36</v>
      </c>
      <c r="U598" s="2" t="s">
        <v>37</v>
      </c>
      <c r="V598" s="2" t="s">
        <v>38</v>
      </c>
      <c r="W598" s="2" t="s">
        <v>35</v>
      </c>
      <c r="X598" s="2" t="s">
        <v>35</v>
      </c>
      <c r="Y598" s="2" t="s">
        <v>35</v>
      </c>
      <c r="Z598" s="2" t="b">
        <v>0</v>
      </c>
      <c r="AA598" s="2" t="s">
        <v>35</v>
      </c>
      <c r="AB598" s="2" t="s">
        <v>35</v>
      </c>
      <c r="AC598" s="2">
        <v>6</v>
      </c>
      <c r="AD598" s="2" t="s">
        <v>35</v>
      </c>
      <c r="AE598" s="2" t="s">
        <v>1117</v>
      </c>
      <c r="AF598" s="11">
        <v>44743.590972164355</v>
      </c>
      <c r="AG598" s="53"/>
      <c r="AH598" s="53" t="b">
        <f t="shared" si="13"/>
        <v>0</v>
      </c>
      <c r="AI598" s="54" t="s">
        <v>10334</v>
      </c>
      <c r="AJ598" s="2"/>
      <c r="AK598" s="2"/>
      <c r="AL598" s="2"/>
      <c r="AM598" s="2"/>
      <c r="AN598" s="2"/>
    </row>
    <row r="599" spans="1:40" ht="16" x14ac:dyDescent="0.2">
      <c r="A599" s="2" t="s">
        <v>1272</v>
      </c>
      <c r="B599" s="2">
        <v>384</v>
      </c>
      <c r="C599" s="2" t="b">
        <v>0</v>
      </c>
      <c r="D599" s="2" t="b">
        <v>0</v>
      </c>
      <c r="E599" s="2" t="b">
        <v>0</v>
      </c>
      <c r="F599" s="2" t="b">
        <v>0</v>
      </c>
      <c r="G599" s="2" t="s">
        <v>31</v>
      </c>
      <c r="H599" s="2" t="s">
        <v>1273</v>
      </c>
      <c r="I599" s="2" t="s">
        <v>1274</v>
      </c>
      <c r="J599" s="2" t="s">
        <v>1275</v>
      </c>
      <c r="K599" s="2" t="s">
        <v>35</v>
      </c>
      <c r="L599" s="2" t="s">
        <v>35</v>
      </c>
      <c r="M599" s="2" t="s">
        <v>35</v>
      </c>
      <c r="N599" s="2" t="s">
        <v>35</v>
      </c>
      <c r="O599" s="11">
        <v>44743.688588078701</v>
      </c>
      <c r="P599" s="11">
        <v>44743.689048159722</v>
      </c>
      <c r="Q599" s="27">
        <v>4.6008102071937174E-4</v>
      </c>
      <c r="R599" s="27">
        <v>1.211226852319669E-3</v>
      </c>
      <c r="S599" s="2">
        <v>0</v>
      </c>
      <c r="T599" s="2" t="s">
        <v>36</v>
      </c>
      <c r="U599" s="2" t="s">
        <v>37</v>
      </c>
      <c r="V599" s="2" t="s">
        <v>38</v>
      </c>
      <c r="W599" s="2" t="s">
        <v>35</v>
      </c>
      <c r="X599" s="2" t="s">
        <v>35</v>
      </c>
      <c r="Y599" s="2" t="s">
        <v>35</v>
      </c>
      <c r="Z599" s="2" t="b">
        <v>0</v>
      </c>
      <c r="AA599" s="2" t="s">
        <v>35</v>
      </c>
      <c r="AB599" s="2" t="s">
        <v>35</v>
      </c>
      <c r="AC599" s="2">
        <v>5</v>
      </c>
      <c r="AD599" s="2" t="s">
        <v>35</v>
      </c>
      <c r="AE599" s="2" t="s">
        <v>1117</v>
      </c>
      <c r="AF599" s="11">
        <v>44743.590972164355</v>
      </c>
      <c r="AG599" s="53"/>
      <c r="AH599" s="53" t="b">
        <f t="shared" si="13"/>
        <v>0</v>
      </c>
      <c r="AI599" s="54" t="s">
        <v>10335</v>
      </c>
      <c r="AJ599" s="2"/>
      <c r="AK599" s="2"/>
      <c r="AL599" s="2"/>
      <c r="AM599" s="2"/>
      <c r="AN599" s="2"/>
    </row>
    <row r="600" spans="1:40" ht="16" x14ac:dyDescent="0.2">
      <c r="A600" s="2" t="s">
        <v>1276</v>
      </c>
      <c r="B600" s="2">
        <v>385</v>
      </c>
      <c r="C600" s="2" t="b">
        <v>0</v>
      </c>
      <c r="D600" s="2" t="b">
        <v>0</v>
      </c>
      <c r="E600" s="2" t="b">
        <v>0</v>
      </c>
      <c r="F600" s="2" t="b">
        <v>0</v>
      </c>
      <c r="G600" s="2" t="s">
        <v>31</v>
      </c>
      <c r="H600" s="2" t="s">
        <v>1277</v>
      </c>
      <c r="I600" s="2" t="s">
        <v>1278</v>
      </c>
      <c r="J600" s="2" t="s">
        <v>662</v>
      </c>
      <c r="K600" s="2" t="s">
        <v>35</v>
      </c>
      <c r="L600" s="2" t="s">
        <v>35</v>
      </c>
      <c r="M600" s="2" t="s">
        <v>35</v>
      </c>
      <c r="N600" s="2" t="s">
        <v>35</v>
      </c>
      <c r="O600" s="11">
        <v>44743.689745127318</v>
      </c>
      <c r="P600" s="11">
        <v>44743.690047430558</v>
      </c>
      <c r="Q600" s="27">
        <v>3.02303240459878E-4</v>
      </c>
      <c r="R600" s="27">
        <v>9.9927083647344261E-4</v>
      </c>
      <c r="S600" s="2">
        <v>0</v>
      </c>
      <c r="T600" s="2" t="s">
        <v>36</v>
      </c>
      <c r="U600" s="2" t="s">
        <v>37</v>
      </c>
      <c r="V600" s="2" t="s">
        <v>38</v>
      </c>
      <c r="W600" s="2" t="s">
        <v>35</v>
      </c>
      <c r="X600" s="2" t="s">
        <v>35</v>
      </c>
      <c r="Y600" s="2" t="s">
        <v>35</v>
      </c>
      <c r="Z600" s="2" t="b">
        <v>0</v>
      </c>
      <c r="AA600" s="2" t="s">
        <v>35</v>
      </c>
      <c r="AB600" s="2" t="s">
        <v>35</v>
      </c>
      <c r="AC600" s="2">
        <v>7</v>
      </c>
      <c r="AD600" s="2">
        <v>2</v>
      </c>
      <c r="AE600" s="2" t="s">
        <v>1117</v>
      </c>
      <c r="AF600" s="11">
        <v>44743.590972164355</v>
      </c>
      <c r="AG600" s="53"/>
      <c r="AH600" s="53" t="b">
        <f t="shared" si="13"/>
        <v>0</v>
      </c>
      <c r="AI600" s="54" t="s">
        <v>10336</v>
      </c>
      <c r="AJ600" s="2"/>
      <c r="AK600" s="2"/>
      <c r="AL600" s="2"/>
      <c r="AM600" s="2"/>
      <c r="AN600" s="2"/>
    </row>
    <row r="601" spans="1:40" ht="16" x14ac:dyDescent="0.2">
      <c r="A601" s="2" t="s">
        <v>1279</v>
      </c>
      <c r="B601" s="2">
        <v>386</v>
      </c>
      <c r="C601" s="2" t="b">
        <v>0</v>
      </c>
      <c r="D601" s="2" t="b">
        <v>0</v>
      </c>
      <c r="E601" s="2" t="b">
        <v>0</v>
      </c>
      <c r="F601" s="2" t="b">
        <v>0</v>
      </c>
      <c r="G601" s="2" t="s">
        <v>31</v>
      </c>
      <c r="H601" s="2" t="s">
        <v>1280</v>
      </c>
      <c r="I601" s="2" t="s">
        <v>1281</v>
      </c>
      <c r="J601" s="2" t="s">
        <v>1275</v>
      </c>
      <c r="K601" s="2" t="s">
        <v>35</v>
      </c>
      <c r="L601" s="2" t="s">
        <v>35</v>
      </c>
      <c r="M601" s="2" t="s">
        <v>35</v>
      </c>
      <c r="N601" s="2" t="s">
        <v>35</v>
      </c>
      <c r="O601" s="11">
        <v>44743.690827662038</v>
      </c>
      <c r="P601" s="11">
        <v>44743.691209722223</v>
      </c>
      <c r="Q601" s="27">
        <v>3.8206018507480621E-4</v>
      </c>
      <c r="R601" s="27">
        <v>1.1622916645137593E-3</v>
      </c>
      <c r="S601" s="2">
        <v>0</v>
      </c>
      <c r="T601" s="2" t="s">
        <v>36</v>
      </c>
      <c r="U601" s="2" t="s">
        <v>37</v>
      </c>
      <c r="V601" s="2" t="s">
        <v>38</v>
      </c>
      <c r="W601" s="2" t="s">
        <v>35</v>
      </c>
      <c r="X601" s="2" t="s">
        <v>35</v>
      </c>
      <c r="Y601" s="2" t="s">
        <v>35</v>
      </c>
      <c r="Z601" s="2" t="b">
        <v>0</v>
      </c>
      <c r="AA601" s="2" t="s">
        <v>35</v>
      </c>
      <c r="AB601" s="2" t="s">
        <v>35</v>
      </c>
      <c r="AC601" s="2">
        <v>4</v>
      </c>
      <c r="AD601" s="2" t="s">
        <v>35</v>
      </c>
      <c r="AE601" s="2" t="s">
        <v>1117</v>
      </c>
      <c r="AF601" s="11">
        <v>44743.590972164355</v>
      </c>
      <c r="AG601" s="53"/>
      <c r="AH601" s="53" t="b">
        <f t="shared" si="13"/>
        <v>0</v>
      </c>
      <c r="AI601" s="54" t="s">
        <v>10337</v>
      </c>
      <c r="AJ601" s="2"/>
      <c r="AK601" s="2"/>
      <c r="AL601" s="2"/>
      <c r="AM601" s="2"/>
      <c r="AN601" s="2"/>
    </row>
    <row r="602" spans="1:40" ht="16" x14ac:dyDescent="0.2">
      <c r="A602" s="2" t="s">
        <v>1282</v>
      </c>
      <c r="B602" s="2">
        <v>387</v>
      </c>
      <c r="C602" s="2" t="b">
        <v>0</v>
      </c>
      <c r="D602" s="2" t="b">
        <v>0</v>
      </c>
      <c r="E602" s="2" t="b">
        <v>0</v>
      </c>
      <c r="F602" s="2" t="b">
        <v>0</v>
      </c>
      <c r="G602" s="2" t="s">
        <v>31</v>
      </c>
      <c r="H602" s="2" t="s">
        <v>1283</v>
      </c>
      <c r="I602" s="2" t="s">
        <v>1284</v>
      </c>
      <c r="J602" s="2" t="s">
        <v>1173</v>
      </c>
      <c r="K602" s="2" t="s">
        <v>35</v>
      </c>
      <c r="L602" s="2" t="s">
        <v>35</v>
      </c>
      <c r="M602" s="2" t="s">
        <v>35</v>
      </c>
      <c r="N602" s="2" t="s">
        <v>35</v>
      </c>
      <c r="O602" s="11">
        <v>44743.691254884259</v>
      </c>
      <c r="P602" s="11">
        <v>44743.691672673609</v>
      </c>
      <c r="Q602" s="27">
        <v>4.1778934973990545E-4</v>
      </c>
      <c r="R602" s="27">
        <v>4.629513859981671E-4</v>
      </c>
      <c r="S602" s="2">
        <v>0</v>
      </c>
      <c r="T602" s="2" t="s">
        <v>36</v>
      </c>
      <c r="U602" s="2" t="s">
        <v>37</v>
      </c>
      <c r="V602" s="2" t="s">
        <v>38</v>
      </c>
      <c r="W602" s="2" t="s">
        <v>35</v>
      </c>
      <c r="X602" s="2" t="s">
        <v>35</v>
      </c>
      <c r="Y602" s="2" t="s">
        <v>35</v>
      </c>
      <c r="Z602" s="2" t="b">
        <v>0</v>
      </c>
      <c r="AA602" s="2" t="s">
        <v>35</v>
      </c>
      <c r="AB602" s="2" t="s">
        <v>35</v>
      </c>
      <c r="AC602" s="2">
        <v>8</v>
      </c>
      <c r="AD602" s="2" t="s">
        <v>35</v>
      </c>
      <c r="AE602" s="2" t="s">
        <v>1117</v>
      </c>
      <c r="AF602" s="11">
        <v>44743.590972164355</v>
      </c>
      <c r="AG602" s="53"/>
      <c r="AH602" s="53" t="b">
        <f t="shared" si="13"/>
        <v>0</v>
      </c>
      <c r="AI602" s="54" t="s">
        <v>10338</v>
      </c>
      <c r="AJ602" s="2"/>
      <c r="AK602" s="2"/>
      <c r="AL602" s="2"/>
      <c r="AM602" s="2"/>
      <c r="AN602" s="2"/>
    </row>
    <row r="603" spans="1:40" ht="16" x14ac:dyDescent="0.2">
      <c r="A603" s="2" t="s">
        <v>1285</v>
      </c>
      <c r="B603" s="2">
        <v>388</v>
      </c>
      <c r="C603" s="2" t="b">
        <v>0</v>
      </c>
      <c r="D603" s="2" t="b">
        <v>0</v>
      </c>
      <c r="E603" s="2" t="b">
        <v>0</v>
      </c>
      <c r="F603" s="2" t="b">
        <v>0</v>
      </c>
      <c r="G603" s="2" t="s">
        <v>31</v>
      </c>
      <c r="H603" s="2" t="s">
        <v>1286</v>
      </c>
      <c r="I603" s="2" t="s">
        <v>1287</v>
      </c>
      <c r="J603" s="2" t="s">
        <v>662</v>
      </c>
      <c r="K603" s="2" t="s">
        <v>35</v>
      </c>
      <c r="L603" s="2" t="s">
        <v>35</v>
      </c>
      <c r="M603" s="2" t="s">
        <v>35</v>
      </c>
      <c r="N603" s="2" t="s">
        <v>35</v>
      </c>
      <c r="O603" s="11">
        <v>44743.692362847221</v>
      </c>
      <c r="P603" s="11">
        <v>44743.692701608794</v>
      </c>
      <c r="Q603" s="27">
        <v>3.3876157249324024E-4</v>
      </c>
      <c r="R603" s="27">
        <v>1.0289351848769002E-3</v>
      </c>
      <c r="S603" s="2">
        <v>0</v>
      </c>
      <c r="T603" s="2" t="s">
        <v>36</v>
      </c>
      <c r="U603" s="2" t="s">
        <v>37</v>
      </c>
      <c r="V603" s="2" t="s">
        <v>38</v>
      </c>
      <c r="W603" s="2" t="s">
        <v>35</v>
      </c>
      <c r="X603" s="2" t="s">
        <v>35</v>
      </c>
      <c r="Y603" s="2" t="s">
        <v>35</v>
      </c>
      <c r="Z603" s="2" t="b">
        <v>0</v>
      </c>
      <c r="AA603" s="2" t="s">
        <v>35</v>
      </c>
      <c r="AB603" s="2" t="s">
        <v>35</v>
      </c>
      <c r="AC603" s="2">
        <v>8</v>
      </c>
      <c r="AD603" s="2" t="s">
        <v>35</v>
      </c>
      <c r="AE603" s="2" t="s">
        <v>1117</v>
      </c>
      <c r="AF603" s="11">
        <v>44743.590972164355</v>
      </c>
      <c r="AG603" s="53"/>
      <c r="AH603" s="53" t="b">
        <f t="shared" si="13"/>
        <v>0</v>
      </c>
      <c r="AI603" s="54" t="s">
        <v>10339</v>
      </c>
      <c r="AJ603" s="2"/>
      <c r="AK603" s="2"/>
      <c r="AL603" s="2"/>
      <c r="AM603" s="2"/>
      <c r="AN603" s="2"/>
    </row>
    <row r="604" spans="1:40" ht="16" x14ac:dyDescent="0.2">
      <c r="A604" s="2" t="s">
        <v>1292</v>
      </c>
      <c r="B604" s="2">
        <v>390</v>
      </c>
      <c r="C604" s="2" t="b">
        <v>0</v>
      </c>
      <c r="D604" s="2" t="b">
        <v>0</v>
      </c>
      <c r="E604" s="2" t="b">
        <v>0</v>
      </c>
      <c r="F604" s="2" t="b">
        <v>0</v>
      </c>
      <c r="G604" s="2" t="s">
        <v>31</v>
      </c>
      <c r="H604" s="2" t="s">
        <v>1293</v>
      </c>
      <c r="I604" s="2" t="s">
        <v>1294</v>
      </c>
      <c r="J604" s="2" t="s">
        <v>1221</v>
      </c>
      <c r="K604" s="2" t="s">
        <v>35</v>
      </c>
      <c r="L604" s="2" t="s">
        <v>35</v>
      </c>
      <c r="M604" s="2" t="s">
        <v>35</v>
      </c>
      <c r="N604" s="2" t="s">
        <v>35</v>
      </c>
      <c r="O604" s="11">
        <v>44743.699186423612</v>
      </c>
      <c r="P604" s="11">
        <v>44743.699401851853</v>
      </c>
      <c r="Q604" s="27">
        <v>2.1542824106290936E-4</v>
      </c>
      <c r="R604" s="27">
        <v>6.0342824071994983E-3</v>
      </c>
      <c r="S604" s="2">
        <v>0</v>
      </c>
      <c r="T604" s="2" t="s">
        <v>36</v>
      </c>
      <c r="U604" s="2" t="s">
        <v>37</v>
      </c>
      <c r="V604" s="2" t="s">
        <v>38</v>
      </c>
      <c r="W604" s="2" t="s">
        <v>35</v>
      </c>
      <c r="X604" s="2" t="s">
        <v>35</v>
      </c>
      <c r="Y604" s="2" t="s">
        <v>35</v>
      </c>
      <c r="Z604" s="2" t="b">
        <v>0</v>
      </c>
      <c r="AA604" s="2" t="s">
        <v>35</v>
      </c>
      <c r="AB604" s="2" t="s">
        <v>35</v>
      </c>
      <c r="AC604" s="2">
        <v>4</v>
      </c>
      <c r="AD604" s="2" t="s">
        <v>35</v>
      </c>
      <c r="AE604" s="2" t="s">
        <v>1117</v>
      </c>
      <c r="AF604" s="11">
        <v>44743.590972164355</v>
      </c>
      <c r="AG604" s="53"/>
      <c r="AH604" s="53" t="b">
        <f t="shared" si="13"/>
        <v>0</v>
      </c>
      <c r="AI604" s="54" t="s">
        <v>10340</v>
      </c>
      <c r="AJ604" s="2"/>
      <c r="AK604" s="2"/>
      <c r="AL604" s="2"/>
      <c r="AM604" s="2"/>
      <c r="AN604" s="2"/>
    </row>
    <row r="605" spans="1:40" ht="16" x14ac:dyDescent="0.2">
      <c r="A605" s="2" t="s">
        <v>1301</v>
      </c>
      <c r="B605" s="2">
        <v>393</v>
      </c>
      <c r="C605" s="2" t="b">
        <v>0</v>
      </c>
      <c r="D605" s="2" t="b">
        <v>0</v>
      </c>
      <c r="E605" s="2" t="b">
        <v>0</v>
      </c>
      <c r="F605" s="2" t="b">
        <v>0</v>
      </c>
      <c r="G605" s="2" t="s">
        <v>31</v>
      </c>
      <c r="H605" s="2" t="s">
        <v>1302</v>
      </c>
      <c r="I605" s="2" t="s">
        <v>1303</v>
      </c>
      <c r="J605" s="2" t="s">
        <v>1221</v>
      </c>
      <c r="K605" s="2" t="s">
        <v>35</v>
      </c>
      <c r="L605" s="2" t="s">
        <v>35</v>
      </c>
      <c r="M605" s="2" t="s">
        <v>35</v>
      </c>
      <c r="N605" s="2" t="s">
        <v>35</v>
      </c>
      <c r="O605" s="11">
        <v>44743.700345300924</v>
      </c>
      <c r="P605" s="11">
        <v>44743.700689155092</v>
      </c>
      <c r="Q605" s="27">
        <v>3.4385416802251711E-4</v>
      </c>
      <c r="R605" s="27">
        <v>6.4304398256354034E-4</v>
      </c>
      <c r="S605" s="2">
        <v>0</v>
      </c>
      <c r="T605" s="2" t="s">
        <v>36</v>
      </c>
      <c r="U605" s="2" t="s">
        <v>37</v>
      </c>
      <c r="V605" s="2" t="s">
        <v>38</v>
      </c>
      <c r="W605" s="2" t="s">
        <v>35</v>
      </c>
      <c r="X605" s="2" t="s">
        <v>35</v>
      </c>
      <c r="Y605" s="2" t="s">
        <v>35</v>
      </c>
      <c r="Z605" s="2" t="b">
        <v>0</v>
      </c>
      <c r="AA605" s="2" t="s">
        <v>35</v>
      </c>
      <c r="AB605" s="2" t="s">
        <v>35</v>
      </c>
      <c r="AC605" s="2">
        <v>7</v>
      </c>
      <c r="AD605" s="2" t="s">
        <v>35</v>
      </c>
      <c r="AE605" s="2" t="s">
        <v>1117</v>
      </c>
      <c r="AF605" s="11">
        <v>44743.590972164355</v>
      </c>
      <c r="AG605" s="53"/>
      <c r="AH605" s="53" t="b">
        <f t="shared" ref="AH605:AH668" si="14">IF(Q605&gt;TIME(0,1,9),"TRUE")</f>
        <v>0</v>
      </c>
      <c r="AI605" s="54" t="s">
        <v>9545</v>
      </c>
      <c r="AJ605" s="2"/>
      <c r="AK605" s="2"/>
      <c r="AL605" s="2"/>
      <c r="AM605" s="2"/>
      <c r="AN605" s="2"/>
    </row>
    <row r="606" spans="1:40" ht="16" x14ac:dyDescent="0.2">
      <c r="A606" s="2" t="s">
        <v>1304</v>
      </c>
      <c r="B606" s="2">
        <v>394</v>
      </c>
      <c r="C606" s="2" t="b">
        <v>0</v>
      </c>
      <c r="D606" s="2" t="b">
        <v>0</v>
      </c>
      <c r="E606" s="2" t="b">
        <v>0</v>
      </c>
      <c r="F606" s="2" t="b">
        <v>0</v>
      </c>
      <c r="G606" s="2" t="s">
        <v>31</v>
      </c>
      <c r="H606" s="2" t="s">
        <v>1305</v>
      </c>
      <c r="I606" s="2" t="s">
        <v>1306</v>
      </c>
      <c r="J606" s="2" t="s">
        <v>662</v>
      </c>
      <c r="K606" s="2" t="s">
        <v>35</v>
      </c>
      <c r="L606" s="2" t="s">
        <v>35</v>
      </c>
      <c r="M606" s="2" t="s">
        <v>35</v>
      </c>
      <c r="N606" s="2" t="s">
        <v>35</v>
      </c>
      <c r="O606" s="11">
        <v>44743.702285740743</v>
      </c>
      <c r="P606" s="11">
        <v>44743.702504756948</v>
      </c>
      <c r="Q606" s="27">
        <v>2.1901620493736118E-4</v>
      </c>
      <c r="R606" s="27">
        <v>1.8156018559238873E-3</v>
      </c>
      <c r="S606" s="2">
        <v>0</v>
      </c>
      <c r="T606" s="2" t="s">
        <v>36</v>
      </c>
      <c r="U606" s="2" t="s">
        <v>37</v>
      </c>
      <c r="V606" s="2" t="s">
        <v>38</v>
      </c>
      <c r="W606" s="2" t="s">
        <v>35</v>
      </c>
      <c r="X606" s="2" t="s">
        <v>35</v>
      </c>
      <c r="Y606" s="2" t="s">
        <v>35</v>
      </c>
      <c r="Z606" s="2" t="b">
        <v>0</v>
      </c>
      <c r="AA606" s="2" t="s">
        <v>35</v>
      </c>
      <c r="AB606" s="2" t="s">
        <v>35</v>
      </c>
      <c r="AC606" s="2">
        <v>8</v>
      </c>
      <c r="AD606" s="2" t="s">
        <v>35</v>
      </c>
      <c r="AE606" s="2" t="s">
        <v>1117</v>
      </c>
      <c r="AF606" s="11">
        <v>44743.590972164355</v>
      </c>
      <c r="AG606" s="53"/>
      <c r="AH606" s="53" t="b">
        <f t="shared" si="14"/>
        <v>0</v>
      </c>
      <c r="AI606" s="54" t="s">
        <v>10341</v>
      </c>
      <c r="AJ606" s="2"/>
      <c r="AK606" s="2"/>
      <c r="AL606" s="2"/>
      <c r="AM606" s="2"/>
      <c r="AN606" s="2"/>
    </row>
    <row r="607" spans="1:40" ht="16" x14ac:dyDescent="0.2">
      <c r="A607" s="2" t="s">
        <v>1307</v>
      </c>
      <c r="B607" s="2">
        <v>395</v>
      </c>
      <c r="C607" s="2" t="b">
        <v>0</v>
      </c>
      <c r="D607" s="2" t="b">
        <v>0</v>
      </c>
      <c r="E607" s="2" t="b">
        <v>0</v>
      </c>
      <c r="F607" s="2" t="b">
        <v>0</v>
      </c>
      <c r="G607" s="2" t="s">
        <v>31</v>
      </c>
      <c r="H607" s="2" t="s">
        <v>1308</v>
      </c>
      <c r="I607" s="2" t="s">
        <v>1309</v>
      </c>
      <c r="J607" s="2" t="s">
        <v>35</v>
      </c>
      <c r="K607" s="2" t="s">
        <v>35</v>
      </c>
      <c r="L607" s="2" t="s">
        <v>35</v>
      </c>
      <c r="M607" s="2" t="s">
        <v>35</v>
      </c>
      <c r="N607" s="2" t="s">
        <v>35</v>
      </c>
      <c r="O607" s="11">
        <v>44743.703955972225</v>
      </c>
      <c r="P607" s="11">
        <v>44743.70408945602</v>
      </c>
      <c r="Q607" s="27">
        <v>1.3348379434319213E-4</v>
      </c>
      <c r="R607" s="27">
        <v>1.5846990718273446E-3</v>
      </c>
      <c r="S607" s="2">
        <v>0</v>
      </c>
      <c r="T607" s="2" t="s">
        <v>36</v>
      </c>
      <c r="U607" s="2" t="s">
        <v>37</v>
      </c>
      <c r="V607" s="2" t="s">
        <v>38</v>
      </c>
      <c r="W607" s="2" t="s">
        <v>35</v>
      </c>
      <c r="X607" s="2" t="s">
        <v>35</v>
      </c>
      <c r="Y607" s="2" t="s">
        <v>35</v>
      </c>
      <c r="Z607" s="2" t="b">
        <v>0</v>
      </c>
      <c r="AA607" s="2" t="s">
        <v>35</v>
      </c>
      <c r="AB607" s="2" t="s">
        <v>35</v>
      </c>
      <c r="AC607" s="2" t="s">
        <v>35</v>
      </c>
      <c r="AD607" s="2">
        <v>4</v>
      </c>
      <c r="AE607" s="2" t="s">
        <v>1117</v>
      </c>
      <c r="AF607" s="11">
        <v>44743.590972164355</v>
      </c>
      <c r="AG607" s="53"/>
      <c r="AH607" s="53" t="b">
        <f t="shared" si="14"/>
        <v>0</v>
      </c>
      <c r="AI607" s="54" t="s">
        <v>10342</v>
      </c>
      <c r="AJ607" s="2"/>
      <c r="AK607" s="2"/>
      <c r="AL607" s="2"/>
      <c r="AM607" s="2"/>
      <c r="AN607" s="2"/>
    </row>
    <row r="608" spans="1:40" ht="16" x14ac:dyDescent="0.2">
      <c r="A608" s="2" t="s">
        <v>1310</v>
      </c>
      <c r="B608" s="2">
        <v>396</v>
      </c>
      <c r="C608" s="2" t="b">
        <v>0</v>
      </c>
      <c r="D608" s="2" t="b">
        <v>0</v>
      </c>
      <c r="E608" s="2" t="b">
        <v>0</v>
      </c>
      <c r="F608" s="2" t="b">
        <v>0</v>
      </c>
      <c r="G608" s="2" t="s">
        <v>31</v>
      </c>
      <c r="H608" s="2" t="s">
        <v>1311</v>
      </c>
      <c r="I608" s="2" t="s">
        <v>1312</v>
      </c>
      <c r="J608" s="2" t="s">
        <v>1313</v>
      </c>
      <c r="K608" s="2" t="s">
        <v>35</v>
      </c>
      <c r="L608" s="2" t="s">
        <v>35</v>
      </c>
      <c r="M608" s="2" t="s">
        <v>35</v>
      </c>
      <c r="N608" s="2" t="s">
        <v>35</v>
      </c>
      <c r="O608" s="11">
        <v>44743.704600625002</v>
      </c>
      <c r="P608" s="11">
        <v>44743.704986307872</v>
      </c>
      <c r="Q608" s="27">
        <v>3.8568286981899291E-4</v>
      </c>
      <c r="R608" s="27">
        <v>8.9685185230337083E-4</v>
      </c>
      <c r="S608" s="2">
        <v>0</v>
      </c>
      <c r="T608" s="2" t="s">
        <v>36</v>
      </c>
      <c r="U608" s="2" t="s">
        <v>37</v>
      </c>
      <c r="V608" s="2" t="s">
        <v>38</v>
      </c>
      <c r="W608" s="2" t="s">
        <v>35</v>
      </c>
      <c r="X608" s="2" t="s">
        <v>35</v>
      </c>
      <c r="Y608" s="2" t="s">
        <v>35</v>
      </c>
      <c r="Z608" s="2" t="b">
        <v>0</v>
      </c>
      <c r="AA608" s="2" t="s">
        <v>35</v>
      </c>
      <c r="AB608" s="2" t="s">
        <v>35</v>
      </c>
      <c r="AC608" s="2">
        <v>14</v>
      </c>
      <c r="AD608" s="2" t="s">
        <v>35</v>
      </c>
      <c r="AE608" s="2" t="s">
        <v>1117</v>
      </c>
      <c r="AF608" s="11">
        <v>44743.590972164355</v>
      </c>
      <c r="AG608" s="53"/>
      <c r="AH608" s="53" t="b">
        <f t="shared" si="14"/>
        <v>0</v>
      </c>
      <c r="AI608" s="54" t="s">
        <v>10343</v>
      </c>
      <c r="AJ608" s="2"/>
      <c r="AK608" s="2"/>
      <c r="AL608" s="2"/>
      <c r="AM608" s="2"/>
      <c r="AN608" s="2"/>
    </row>
    <row r="609" spans="1:40" ht="16" x14ac:dyDescent="0.2">
      <c r="A609" s="2" t="s">
        <v>1317</v>
      </c>
      <c r="B609" s="2">
        <v>398</v>
      </c>
      <c r="C609" s="2" t="b">
        <v>0</v>
      </c>
      <c r="D609" s="2" t="b">
        <v>0</v>
      </c>
      <c r="E609" s="2" t="b">
        <v>0</v>
      </c>
      <c r="F609" s="2" t="b">
        <v>0</v>
      </c>
      <c r="G609" s="2" t="s">
        <v>31</v>
      </c>
      <c r="H609" s="2" t="s">
        <v>1318</v>
      </c>
      <c r="I609" s="2" t="s">
        <v>1319</v>
      </c>
      <c r="J609" s="2" t="s">
        <v>1313</v>
      </c>
      <c r="K609" s="2" t="s">
        <v>35</v>
      </c>
      <c r="L609" s="2" t="s">
        <v>35</v>
      </c>
      <c r="M609" s="2" t="s">
        <v>35</v>
      </c>
      <c r="N609" s="2" t="s">
        <v>35</v>
      </c>
      <c r="O609" s="11">
        <v>44743.706187326388</v>
      </c>
      <c r="P609" s="11">
        <v>44743.706436689812</v>
      </c>
      <c r="Q609" s="27">
        <v>2.4936342379078269E-4</v>
      </c>
      <c r="R609" s="27">
        <v>7.2167823964264244E-4</v>
      </c>
      <c r="S609" s="2">
        <v>0</v>
      </c>
      <c r="T609" s="2" t="s">
        <v>36</v>
      </c>
      <c r="U609" s="2" t="s">
        <v>37</v>
      </c>
      <c r="V609" s="2" t="s">
        <v>38</v>
      </c>
      <c r="W609" s="2" t="s">
        <v>35</v>
      </c>
      <c r="X609" s="2" t="s">
        <v>35</v>
      </c>
      <c r="Y609" s="2" t="s">
        <v>35</v>
      </c>
      <c r="Z609" s="2" t="b">
        <v>0</v>
      </c>
      <c r="AA609" s="2" t="s">
        <v>35</v>
      </c>
      <c r="AB609" s="2" t="s">
        <v>35</v>
      </c>
      <c r="AC609" s="2">
        <v>8</v>
      </c>
      <c r="AD609" s="2" t="s">
        <v>35</v>
      </c>
      <c r="AE609" s="2" t="s">
        <v>1117</v>
      </c>
      <c r="AF609" s="11">
        <v>44743.590972164355</v>
      </c>
      <c r="AG609" s="53"/>
      <c r="AH609" s="53" t="b">
        <f t="shared" si="14"/>
        <v>0</v>
      </c>
      <c r="AI609" s="54" t="s">
        <v>10344</v>
      </c>
      <c r="AJ609" s="2"/>
      <c r="AK609" s="2"/>
      <c r="AL609" s="2"/>
      <c r="AM609" s="2"/>
      <c r="AN609" s="2"/>
    </row>
    <row r="610" spans="1:40" ht="16" x14ac:dyDescent="0.2">
      <c r="A610" s="2" t="s">
        <v>1333</v>
      </c>
      <c r="B610" s="2">
        <v>403</v>
      </c>
      <c r="C610" s="2" t="b">
        <v>0</v>
      </c>
      <c r="D610" s="2" t="b">
        <v>0</v>
      </c>
      <c r="E610" s="2" t="b">
        <v>0</v>
      </c>
      <c r="F610" s="2" t="b">
        <v>0</v>
      </c>
      <c r="G610" s="2" t="s">
        <v>31</v>
      </c>
      <c r="H610" s="2" t="s">
        <v>1334</v>
      </c>
      <c r="I610" s="2" t="s">
        <v>1335</v>
      </c>
      <c r="J610" s="2" t="s">
        <v>1336</v>
      </c>
      <c r="K610" s="2" t="s">
        <v>35</v>
      </c>
      <c r="L610" s="2" t="s">
        <v>35</v>
      </c>
      <c r="M610" s="2" t="s">
        <v>35</v>
      </c>
      <c r="N610" s="2" t="s">
        <v>35</v>
      </c>
      <c r="O610" s="11">
        <v>44743.710730405095</v>
      </c>
      <c r="P610" s="11">
        <v>44743.71098520833</v>
      </c>
      <c r="Q610" s="27">
        <v>2.5480323529336601E-4</v>
      </c>
      <c r="R610" s="27">
        <v>8.3783564332406968E-4</v>
      </c>
      <c r="S610" s="2">
        <v>0</v>
      </c>
      <c r="T610" s="2" t="s">
        <v>36</v>
      </c>
      <c r="U610" s="2" t="s">
        <v>37</v>
      </c>
      <c r="V610" s="2" t="s">
        <v>38</v>
      </c>
      <c r="W610" s="2" t="s">
        <v>35</v>
      </c>
      <c r="X610" s="2" t="s">
        <v>35</v>
      </c>
      <c r="Y610" s="2" t="s">
        <v>35</v>
      </c>
      <c r="Z610" s="2" t="b">
        <v>0</v>
      </c>
      <c r="AA610" s="2" t="s">
        <v>35</v>
      </c>
      <c r="AB610" s="2" t="s">
        <v>35</v>
      </c>
      <c r="AC610" s="2">
        <v>4</v>
      </c>
      <c r="AD610" s="2" t="s">
        <v>35</v>
      </c>
      <c r="AE610" s="2" t="s">
        <v>1117</v>
      </c>
      <c r="AF610" s="11">
        <v>44743.590972164355</v>
      </c>
      <c r="AG610" s="53"/>
      <c r="AH610" s="53" t="b">
        <f t="shared" si="14"/>
        <v>0</v>
      </c>
      <c r="AI610" s="54" t="s">
        <v>10345</v>
      </c>
      <c r="AJ610" s="2"/>
      <c r="AK610" s="2"/>
      <c r="AL610" s="2"/>
      <c r="AM610" s="2"/>
      <c r="AN610" s="2"/>
    </row>
    <row r="611" spans="1:40" ht="16" x14ac:dyDescent="0.2">
      <c r="A611" s="2" t="s">
        <v>1337</v>
      </c>
      <c r="B611" s="2">
        <v>404</v>
      </c>
      <c r="C611" s="2" t="b">
        <v>0</v>
      </c>
      <c r="D611" s="2" t="b">
        <v>0</v>
      </c>
      <c r="E611" s="2" t="b">
        <v>0</v>
      </c>
      <c r="F611" s="2" t="b">
        <v>0</v>
      </c>
      <c r="G611" s="2" t="s">
        <v>31</v>
      </c>
      <c r="H611" s="2" t="s">
        <v>1338</v>
      </c>
      <c r="I611" s="2" t="s">
        <v>1339</v>
      </c>
      <c r="J611" s="2" t="s">
        <v>662</v>
      </c>
      <c r="K611" s="2" t="s">
        <v>35</v>
      </c>
      <c r="L611" s="2" t="s">
        <v>35</v>
      </c>
      <c r="M611" s="2" t="s">
        <v>35</v>
      </c>
      <c r="N611" s="2" t="s">
        <v>35</v>
      </c>
      <c r="O611" s="11">
        <v>44743.711198645833</v>
      </c>
      <c r="P611" s="11">
        <v>44743.711436967591</v>
      </c>
      <c r="Q611" s="27">
        <v>2.3832175793359056E-4</v>
      </c>
      <c r="R611" s="27">
        <v>4.5175926061347127E-4</v>
      </c>
      <c r="S611" s="2">
        <v>0</v>
      </c>
      <c r="T611" s="2" t="s">
        <v>36</v>
      </c>
      <c r="U611" s="2" t="s">
        <v>37</v>
      </c>
      <c r="V611" s="2" t="s">
        <v>38</v>
      </c>
      <c r="W611" s="2" t="s">
        <v>35</v>
      </c>
      <c r="X611" s="2" t="s">
        <v>35</v>
      </c>
      <c r="Y611" s="2" t="s">
        <v>35</v>
      </c>
      <c r="Z611" s="2" t="b">
        <v>0</v>
      </c>
      <c r="AA611" s="2" t="s">
        <v>35</v>
      </c>
      <c r="AB611" s="2" t="s">
        <v>35</v>
      </c>
      <c r="AC611" s="2">
        <v>10</v>
      </c>
      <c r="AD611" s="2" t="s">
        <v>35</v>
      </c>
      <c r="AE611" s="2" t="s">
        <v>1117</v>
      </c>
      <c r="AF611" s="11">
        <v>44743.590972164355</v>
      </c>
      <c r="AG611" s="53"/>
      <c r="AH611" s="53" t="b">
        <f t="shared" si="14"/>
        <v>0</v>
      </c>
      <c r="AI611" s="54" t="s">
        <v>10346</v>
      </c>
      <c r="AJ611" s="2"/>
      <c r="AK611" s="2"/>
      <c r="AL611" s="2"/>
      <c r="AM611" s="2"/>
      <c r="AN611" s="2"/>
    </row>
    <row r="612" spans="1:40" ht="16" x14ac:dyDescent="0.2">
      <c r="A612" s="2" t="s">
        <v>1346</v>
      </c>
      <c r="B612" s="2">
        <v>407</v>
      </c>
      <c r="C612" s="2" t="b">
        <v>0</v>
      </c>
      <c r="D612" s="2" t="b">
        <v>0</v>
      </c>
      <c r="E612" s="2" t="b">
        <v>0</v>
      </c>
      <c r="F612" s="2" t="b">
        <v>0</v>
      </c>
      <c r="G612" s="2" t="s">
        <v>31</v>
      </c>
      <c r="H612" s="2" t="s">
        <v>1347</v>
      </c>
      <c r="I612" s="2" t="s">
        <v>1348</v>
      </c>
      <c r="J612" s="2" t="s">
        <v>1349</v>
      </c>
      <c r="K612" s="2" t="s">
        <v>35</v>
      </c>
      <c r="L612" s="2" t="s">
        <v>35</v>
      </c>
      <c r="M612" s="2" t="s">
        <v>35</v>
      </c>
      <c r="N612" s="2" t="s">
        <v>35</v>
      </c>
      <c r="O612" s="11">
        <v>44743.712671053239</v>
      </c>
      <c r="P612" s="11">
        <v>44743.713663541668</v>
      </c>
      <c r="Q612" s="27">
        <v>9.9248842889210209E-4</v>
      </c>
      <c r="R612" s="27">
        <v>1.2993402779102325E-3</v>
      </c>
      <c r="S612" s="2">
        <v>0</v>
      </c>
      <c r="T612" s="2" t="s">
        <v>36</v>
      </c>
      <c r="U612" s="2" t="s">
        <v>37</v>
      </c>
      <c r="V612" s="2" t="s">
        <v>38</v>
      </c>
      <c r="W612" s="2" t="s">
        <v>35</v>
      </c>
      <c r="X612" s="2" t="s">
        <v>35</v>
      </c>
      <c r="Y612" s="2" t="s">
        <v>35</v>
      </c>
      <c r="Z612" s="2" t="b">
        <v>0</v>
      </c>
      <c r="AA612" s="2" t="s">
        <v>35</v>
      </c>
      <c r="AB612" s="2" t="s">
        <v>35</v>
      </c>
      <c r="AC612" s="2">
        <v>4</v>
      </c>
      <c r="AD612" s="2">
        <v>3</v>
      </c>
      <c r="AE612" s="2" t="s">
        <v>1117</v>
      </c>
      <c r="AF612" s="11">
        <v>44743.590972164355</v>
      </c>
      <c r="AG612" s="53"/>
      <c r="AH612" s="53" t="str">
        <f t="shared" si="14"/>
        <v>TRUE</v>
      </c>
      <c r="AI612" s="54" t="s">
        <v>10349</v>
      </c>
      <c r="AJ612" s="2" t="s">
        <v>10347</v>
      </c>
      <c r="AK612" s="2" t="s">
        <v>10348</v>
      </c>
      <c r="AL612" s="2"/>
      <c r="AM612" s="2"/>
      <c r="AN612" s="2"/>
    </row>
    <row r="613" spans="1:40" ht="16" x14ac:dyDescent="0.2">
      <c r="A613" s="2" t="s">
        <v>1353</v>
      </c>
      <c r="B613" s="2">
        <v>409</v>
      </c>
      <c r="C613" s="2" t="b">
        <v>0</v>
      </c>
      <c r="D613" s="2" t="b">
        <v>0</v>
      </c>
      <c r="E613" s="2" t="b">
        <v>0</v>
      </c>
      <c r="F613" s="2" t="b">
        <v>0</v>
      </c>
      <c r="G613" s="2" t="s">
        <v>31</v>
      </c>
      <c r="H613" s="2" t="s">
        <v>1354</v>
      </c>
      <c r="I613" s="2" t="s">
        <v>1355</v>
      </c>
      <c r="J613" s="2" t="s">
        <v>1313</v>
      </c>
      <c r="K613" s="2" t="s">
        <v>35</v>
      </c>
      <c r="L613" s="2" t="s">
        <v>35</v>
      </c>
      <c r="M613" s="2" t="s">
        <v>35</v>
      </c>
      <c r="N613" s="2" t="s">
        <v>35</v>
      </c>
      <c r="O613" s="11">
        <v>44743.714273645834</v>
      </c>
      <c r="P613" s="11">
        <v>44743.714589386575</v>
      </c>
      <c r="Q613" s="27">
        <v>3.1574074091622606E-4</v>
      </c>
      <c r="R613" s="27">
        <v>3.3670139237074181E-4</v>
      </c>
      <c r="S613" s="2">
        <v>0</v>
      </c>
      <c r="T613" s="2" t="s">
        <v>36</v>
      </c>
      <c r="U613" s="2" t="s">
        <v>37</v>
      </c>
      <c r="V613" s="2" t="s">
        <v>38</v>
      </c>
      <c r="W613" s="2" t="s">
        <v>35</v>
      </c>
      <c r="X613" s="2" t="s">
        <v>35</v>
      </c>
      <c r="Y613" s="2" t="s">
        <v>35</v>
      </c>
      <c r="Z613" s="2" t="b">
        <v>0</v>
      </c>
      <c r="AA613" s="2" t="s">
        <v>35</v>
      </c>
      <c r="AB613" s="2" t="s">
        <v>35</v>
      </c>
      <c r="AC613" s="2">
        <v>9</v>
      </c>
      <c r="AD613" s="2" t="s">
        <v>35</v>
      </c>
      <c r="AE613" s="2" t="s">
        <v>1117</v>
      </c>
      <c r="AF613" s="11">
        <v>44743.590972164355</v>
      </c>
      <c r="AG613" s="53"/>
      <c r="AH613" s="53" t="b">
        <f t="shared" si="14"/>
        <v>0</v>
      </c>
      <c r="AI613" s="54" t="s">
        <v>10350</v>
      </c>
      <c r="AJ613" s="2"/>
      <c r="AK613" s="2"/>
      <c r="AL613" s="2"/>
      <c r="AM613" s="2"/>
      <c r="AN613" s="2"/>
    </row>
    <row r="614" spans="1:40" ht="16" x14ac:dyDescent="0.2">
      <c r="A614" s="2" t="s">
        <v>1356</v>
      </c>
      <c r="B614" s="2">
        <v>410</v>
      </c>
      <c r="C614" s="2" t="b">
        <v>0</v>
      </c>
      <c r="D614" s="2" t="b">
        <v>0</v>
      </c>
      <c r="E614" s="2" t="b">
        <v>0</v>
      </c>
      <c r="F614" s="2" t="b">
        <v>0</v>
      </c>
      <c r="G614" s="2" t="s">
        <v>31</v>
      </c>
      <c r="H614" s="2" t="s">
        <v>1357</v>
      </c>
      <c r="I614" s="2" t="s">
        <v>1358</v>
      </c>
      <c r="J614" s="2" t="s">
        <v>35</v>
      </c>
      <c r="K614" s="2" t="s">
        <v>35</v>
      </c>
      <c r="L614" s="2" t="s">
        <v>35</v>
      </c>
      <c r="M614" s="2" t="s">
        <v>35</v>
      </c>
      <c r="N614" s="2" t="s">
        <v>35</v>
      </c>
      <c r="O614" s="11">
        <v>44743.715229629626</v>
      </c>
      <c r="P614" s="11">
        <v>44743.715337534719</v>
      </c>
      <c r="Q614" s="27">
        <v>1.0790509259095415E-4</v>
      </c>
      <c r="R614" s="27">
        <v>7.4814814433921129E-4</v>
      </c>
      <c r="S614" s="2">
        <v>0</v>
      </c>
      <c r="T614" s="2" t="s">
        <v>36</v>
      </c>
      <c r="U614" s="2" t="s">
        <v>37</v>
      </c>
      <c r="V614" s="2" t="s">
        <v>38</v>
      </c>
      <c r="W614" s="2" t="s">
        <v>35</v>
      </c>
      <c r="X614" s="2" t="s">
        <v>35</v>
      </c>
      <c r="Y614" s="2" t="s">
        <v>35</v>
      </c>
      <c r="Z614" s="2" t="b">
        <v>0</v>
      </c>
      <c r="AA614" s="2" t="s">
        <v>35</v>
      </c>
      <c r="AB614" s="2" t="s">
        <v>35</v>
      </c>
      <c r="AC614" s="2" t="s">
        <v>35</v>
      </c>
      <c r="AD614" s="2">
        <v>3</v>
      </c>
      <c r="AE614" s="2" t="s">
        <v>1117</v>
      </c>
      <c r="AF614" s="11">
        <v>44743.590972164355</v>
      </c>
      <c r="AG614" s="53"/>
      <c r="AH614" s="53" t="b">
        <f t="shared" si="14"/>
        <v>0</v>
      </c>
      <c r="AI614" s="54" t="s">
        <v>9543</v>
      </c>
      <c r="AJ614" s="2"/>
      <c r="AK614" s="2"/>
      <c r="AL614" s="2"/>
      <c r="AM614" s="2"/>
      <c r="AN614" s="2"/>
    </row>
    <row r="615" spans="1:40" ht="16" x14ac:dyDescent="0.2">
      <c r="A615" s="2" t="s">
        <v>1359</v>
      </c>
      <c r="B615" s="2">
        <v>411</v>
      </c>
      <c r="C615" s="2" t="b">
        <v>0</v>
      </c>
      <c r="D615" s="2" t="b">
        <v>0</v>
      </c>
      <c r="E615" s="2" t="b">
        <v>0</v>
      </c>
      <c r="F615" s="2" t="b">
        <v>0</v>
      </c>
      <c r="G615" s="2" t="s">
        <v>31</v>
      </c>
      <c r="H615" s="2" t="s">
        <v>1360</v>
      </c>
      <c r="I615" s="2" t="s">
        <v>1361</v>
      </c>
      <c r="J615" s="2" t="s">
        <v>662</v>
      </c>
      <c r="K615" s="2" t="s">
        <v>35</v>
      </c>
      <c r="L615" s="2" t="s">
        <v>35</v>
      </c>
      <c r="M615" s="2" t="s">
        <v>35</v>
      </c>
      <c r="N615" s="2" t="s">
        <v>35</v>
      </c>
      <c r="O615" s="11">
        <v>44743.715468078706</v>
      </c>
      <c r="P615" s="11">
        <v>44743.71650790509</v>
      </c>
      <c r="Q615" s="27">
        <v>1.039826383930631E-3</v>
      </c>
      <c r="R615" s="27">
        <v>1.170370371255558E-3</v>
      </c>
      <c r="S615" s="2">
        <v>0</v>
      </c>
      <c r="T615" s="2" t="s">
        <v>36</v>
      </c>
      <c r="U615" s="2" t="s">
        <v>37</v>
      </c>
      <c r="V615" s="2" t="s">
        <v>38</v>
      </c>
      <c r="W615" s="2" t="s">
        <v>35</v>
      </c>
      <c r="X615" s="2" t="s">
        <v>35</v>
      </c>
      <c r="Y615" s="2" t="s">
        <v>35</v>
      </c>
      <c r="Z615" s="2" t="b">
        <v>0</v>
      </c>
      <c r="AA615" s="2" t="s">
        <v>35</v>
      </c>
      <c r="AB615" s="2" t="s">
        <v>35</v>
      </c>
      <c r="AC615" s="2">
        <v>9</v>
      </c>
      <c r="AD615" s="2" t="s">
        <v>35</v>
      </c>
      <c r="AE615" s="2" t="s">
        <v>1117</v>
      </c>
      <c r="AF615" s="11">
        <v>44743.590972164355</v>
      </c>
      <c r="AG615" s="53"/>
      <c r="AH615" s="53" t="str">
        <f t="shared" si="14"/>
        <v>TRUE</v>
      </c>
      <c r="AI615" s="54" t="s">
        <v>10351</v>
      </c>
      <c r="AJ615" s="2"/>
      <c r="AK615" s="2"/>
      <c r="AL615" s="2"/>
      <c r="AM615" s="2"/>
      <c r="AN615" s="2"/>
    </row>
    <row r="616" spans="1:40" ht="16" x14ac:dyDescent="0.2">
      <c r="A616" s="2" t="s">
        <v>1362</v>
      </c>
      <c r="B616" s="2">
        <v>412</v>
      </c>
      <c r="C616" s="2" t="b">
        <v>0</v>
      </c>
      <c r="D616" s="2" t="b">
        <v>0</v>
      </c>
      <c r="E616" s="2" t="b">
        <v>0</v>
      </c>
      <c r="F616" s="2" t="b">
        <v>0</v>
      </c>
      <c r="G616" s="2" t="s">
        <v>31</v>
      </c>
      <c r="H616" s="2" t="s">
        <v>1363</v>
      </c>
      <c r="I616" s="2" t="s">
        <v>1364</v>
      </c>
      <c r="J616" s="2" t="s">
        <v>662</v>
      </c>
      <c r="K616" s="2" t="s">
        <v>35</v>
      </c>
      <c r="L616" s="2" t="s">
        <v>35</v>
      </c>
      <c r="M616" s="2" t="s">
        <v>35</v>
      </c>
      <c r="N616" s="2" t="s">
        <v>35</v>
      </c>
      <c r="O616" s="11">
        <v>44743.717036458336</v>
      </c>
      <c r="P616" s="11">
        <v>44743.717329895837</v>
      </c>
      <c r="Q616" s="27">
        <v>2.9343750065891072E-4</v>
      </c>
      <c r="R616" s="27">
        <v>8.2199074677191675E-4</v>
      </c>
      <c r="S616" s="2">
        <v>0</v>
      </c>
      <c r="T616" s="2" t="s">
        <v>36</v>
      </c>
      <c r="U616" s="2" t="s">
        <v>37</v>
      </c>
      <c r="V616" s="2" t="s">
        <v>38</v>
      </c>
      <c r="W616" s="2" t="s">
        <v>35</v>
      </c>
      <c r="X616" s="2" t="s">
        <v>35</v>
      </c>
      <c r="Y616" s="2" t="s">
        <v>35</v>
      </c>
      <c r="Z616" s="2" t="b">
        <v>0</v>
      </c>
      <c r="AA616" s="2" t="s">
        <v>35</v>
      </c>
      <c r="AB616" s="2" t="s">
        <v>35</v>
      </c>
      <c r="AC616" s="2">
        <v>5</v>
      </c>
      <c r="AD616" s="2" t="s">
        <v>35</v>
      </c>
      <c r="AE616" s="2" t="s">
        <v>1117</v>
      </c>
      <c r="AF616" s="11">
        <v>44743.590972164355</v>
      </c>
      <c r="AG616" s="53"/>
      <c r="AH616" s="53" t="b">
        <f t="shared" si="14"/>
        <v>0</v>
      </c>
      <c r="AI616" s="54" t="s">
        <v>10352</v>
      </c>
      <c r="AJ616" s="2"/>
      <c r="AK616" s="2"/>
      <c r="AL616" s="2"/>
      <c r="AM616" s="2"/>
      <c r="AN616" s="2"/>
    </row>
    <row r="617" spans="1:40" ht="16" x14ac:dyDescent="0.2">
      <c r="A617" s="2" t="s">
        <v>1365</v>
      </c>
      <c r="B617" s="2">
        <v>413</v>
      </c>
      <c r="C617" s="2" t="b">
        <v>0</v>
      </c>
      <c r="D617" s="2" t="b">
        <v>0</v>
      </c>
      <c r="E617" s="2" t="b">
        <v>0</v>
      </c>
      <c r="F617" s="2" t="b">
        <v>0</v>
      </c>
      <c r="G617" s="2" t="s">
        <v>31</v>
      </c>
      <c r="H617" s="2" t="s">
        <v>1366</v>
      </c>
      <c r="I617" s="2" t="s">
        <v>1367</v>
      </c>
      <c r="J617" s="2" t="s">
        <v>35</v>
      </c>
      <c r="K617" s="2" t="s">
        <v>35</v>
      </c>
      <c r="L617" s="2" t="s">
        <v>35</v>
      </c>
      <c r="M617" s="2" t="s">
        <v>35</v>
      </c>
      <c r="N617" s="2" t="s">
        <v>35</v>
      </c>
      <c r="O617" s="11">
        <v>44743.717754710648</v>
      </c>
      <c r="P617" s="11">
        <v>44743.717971493053</v>
      </c>
      <c r="Q617" s="27">
        <v>2.1678240591427311E-4</v>
      </c>
      <c r="R617" s="27">
        <v>6.4159721659962088E-4</v>
      </c>
      <c r="S617" s="2">
        <v>0</v>
      </c>
      <c r="T617" s="2" t="s">
        <v>36</v>
      </c>
      <c r="U617" s="2" t="s">
        <v>37</v>
      </c>
      <c r="V617" s="2" t="s">
        <v>38</v>
      </c>
      <c r="W617" s="2" t="s">
        <v>35</v>
      </c>
      <c r="X617" s="2" t="s">
        <v>35</v>
      </c>
      <c r="Y617" s="2" t="s">
        <v>35</v>
      </c>
      <c r="Z617" s="2" t="b">
        <v>0</v>
      </c>
      <c r="AA617" s="2" t="s">
        <v>35</v>
      </c>
      <c r="AB617" s="2" t="s">
        <v>35</v>
      </c>
      <c r="AC617" s="2" t="s">
        <v>35</v>
      </c>
      <c r="AD617" s="2">
        <v>3</v>
      </c>
      <c r="AE617" s="2" t="s">
        <v>1117</v>
      </c>
      <c r="AF617" s="11">
        <v>44743.590972164355</v>
      </c>
      <c r="AG617" s="53"/>
      <c r="AH617" s="53" t="b">
        <f t="shared" si="14"/>
        <v>0</v>
      </c>
      <c r="AI617" s="54" t="s">
        <v>10353</v>
      </c>
      <c r="AJ617" s="2"/>
      <c r="AK617" s="2"/>
      <c r="AL617" s="2"/>
      <c r="AM617" s="2"/>
      <c r="AN617" s="2"/>
    </row>
    <row r="618" spans="1:40" ht="16" x14ac:dyDescent="0.2">
      <c r="A618" s="2" t="s">
        <v>1368</v>
      </c>
      <c r="B618" s="2">
        <v>414</v>
      </c>
      <c r="C618" s="2" t="b">
        <v>0</v>
      </c>
      <c r="D618" s="2" t="b">
        <v>0</v>
      </c>
      <c r="E618" s="2" t="b">
        <v>0</v>
      </c>
      <c r="F618" s="2" t="b">
        <v>0</v>
      </c>
      <c r="G618" s="2" t="s">
        <v>31</v>
      </c>
      <c r="H618" s="2" t="s">
        <v>1369</v>
      </c>
      <c r="I618" s="2" t="s">
        <v>1370</v>
      </c>
      <c r="J618" s="2" t="s">
        <v>662</v>
      </c>
      <c r="K618" s="2" t="s">
        <v>35</v>
      </c>
      <c r="L618" s="2" t="s">
        <v>35</v>
      </c>
      <c r="M618" s="2" t="s">
        <v>35</v>
      </c>
      <c r="N618" s="2" t="s">
        <v>35</v>
      </c>
      <c r="O618" s="11">
        <v>44743.718067986112</v>
      </c>
      <c r="P618" s="11">
        <v>44743.718477071758</v>
      </c>
      <c r="Q618" s="27">
        <v>4.0908564551500604E-4</v>
      </c>
      <c r="R618" s="27">
        <v>5.0557870417833328E-4</v>
      </c>
      <c r="S618" s="2">
        <v>0</v>
      </c>
      <c r="T618" s="2" t="s">
        <v>36</v>
      </c>
      <c r="U618" s="2" t="s">
        <v>37</v>
      </c>
      <c r="V618" s="2" t="s">
        <v>38</v>
      </c>
      <c r="W618" s="2" t="s">
        <v>35</v>
      </c>
      <c r="X618" s="2" t="s">
        <v>35</v>
      </c>
      <c r="Y618" s="2" t="s">
        <v>35</v>
      </c>
      <c r="Z618" s="2" t="b">
        <v>0</v>
      </c>
      <c r="AA618" s="2" t="s">
        <v>35</v>
      </c>
      <c r="AB618" s="2" t="s">
        <v>35</v>
      </c>
      <c r="AC618" s="2">
        <v>6</v>
      </c>
      <c r="AD618" s="2" t="s">
        <v>35</v>
      </c>
      <c r="AE618" s="2" t="s">
        <v>1117</v>
      </c>
      <c r="AF618" s="11">
        <v>44743.590972164355</v>
      </c>
      <c r="AG618" s="53"/>
      <c r="AH618" s="53" t="b">
        <f t="shared" si="14"/>
        <v>0</v>
      </c>
      <c r="AI618" s="54" t="s">
        <v>9542</v>
      </c>
      <c r="AJ618" s="2"/>
      <c r="AK618" s="2"/>
      <c r="AL618" s="2"/>
      <c r="AM618" s="2"/>
      <c r="AN618" s="2"/>
    </row>
    <row r="619" spans="1:40" ht="16" x14ac:dyDescent="0.2">
      <c r="A619" s="2" t="s">
        <v>1371</v>
      </c>
      <c r="B619" s="2">
        <v>415</v>
      </c>
      <c r="C619" s="2" t="b">
        <v>0</v>
      </c>
      <c r="D619" s="2" t="b">
        <v>0</v>
      </c>
      <c r="E619" s="2" t="b">
        <v>0</v>
      </c>
      <c r="F619" s="2" t="b">
        <v>0</v>
      </c>
      <c r="G619" s="2" t="s">
        <v>31</v>
      </c>
      <c r="H619" s="2" t="s">
        <v>1372</v>
      </c>
      <c r="I619" s="2" t="s">
        <v>1373</v>
      </c>
      <c r="J619" s="2" t="s">
        <v>662</v>
      </c>
      <c r="K619" s="2" t="s">
        <v>35</v>
      </c>
      <c r="L619" s="2" t="s">
        <v>35</v>
      </c>
      <c r="M619" s="2" t="s">
        <v>35</v>
      </c>
      <c r="N619" s="2" t="s">
        <v>35</v>
      </c>
      <c r="O619" s="11">
        <v>44743.719262847226</v>
      </c>
      <c r="P619" s="11">
        <v>44743.719481643515</v>
      </c>
      <c r="Q619" s="27">
        <v>2.1879628911847249E-4</v>
      </c>
      <c r="R619" s="27">
        <v>1.0045717572211288E-3</v>
      </c>
      <c r="S619" s="2">
        <v>0</v>
      </c>
      <c r="T619" s="2" t="s">
        <v>36</v>
      </c>
      <c r="U619" s="2" t="s">
        <v>37</v>
      </c>
      <c r="V619" s="2" t="s">
        <v>38</v>
      </c>
      <c r="W619" s="2" t="s">
        <v>35</v>
      </c>
      <c r="X619" s="2" t="s">
        <v>35</v>
      </c>
      <c r="Y619" s="2" t="s">
        <v>35</v>
      </c>
      <c r="Z619" s="2" t="b">
        <v>0</v>
      </c>
      <c r="AA619" s="2" t="s">
        <v>35</v>
      </c>
      <c r="AB619" s="2" t="s">
        <v>35</v>
      </c>
      <c r="AC619" s="2">
        <v>4</v>
      </c>
      <c r="AD619" s="2" t="s">
        <v>35</v>
      </c>
      <c r="AE619" s="2" t="s">
        <v>1117</v>
      </c>
      <c r="AF619" s="11">
        <v>44743.590972164355</v>
      </c>
      <c r="AG619" s="53"/>
      <c r="AH619" s="53" t="b">
        <f t="shared" si="14"/>
        <v>0</v>
      </c>
      <c r="AI619" s="54" t="s">
        <v>10354</v>
      </c>
      <c r="AJ619" s="2"/>
      <c r="AK619" s="2"/>
      <c r="AL619" s="2"/>
      <c r="AM619" s="2"/>
      <c r="AN619" s="2"/>
    </row>
    <row r="620" spans="1:40" ht="16" x14ac:dyDescent="0.2">
      <c r="A620" s="2" t="s">
        <v>1374</v>
      </c>
      <c r="B620" s="2">
        <v>416</v>
      </c>
      <c r="C620" s="2" t="b">
        <v>0</v>
      </c>
      <c r="D620" s="2" t="b">
        <v>0</v>
      </c>
      <c r="E620" s="2" t="b">
        <v>0</v>
      </c>
      <c r="F620" s="2" t="b">
        <v>0</v>
      </c>
      <c r="G620" s="2" t="s">
        <v>31</v>
      </c>
      <c r="H620" s="2" t="s">
        <v>1375</v>
      </c>
      <c r="I620" s="2" t="s">
        <v>1376</v>
      </c>
      <c r="J620" s="2" t="s">
        <v>662</v>
      </c>
      <c r="K620" s="2" t="s">
        <v>35</v>
      </c>
      <c r="L620" s="2" t="s">
        <v>35</v>
      </c>
      <c r="M620" s="2" t="s">
        <v>35</v>
      </c>
      <c r="N620" s="2" t="s">
        <v>35</v>
      </c>
      <c r="O620" s="11">
        <v>44743.719758784726</v>
      </c>
      <c r="P620" s="11">
        <v>44743.719990659723</v>
      </c>
      <c r="Q620" s="27">
        <v>2.3187499755294994E-4</v>
      </c>
      <c r="R620" s="27">
        <v>5.090162085252814E-4</v>
      </c>
      <c r="S620" s="2">
        <v>0</v>
      </c>
      <c r="T620" s="2" t="s">
        <v>36</v>
      </c>
      <c r="U620" s="2" t="s">
        <v>37</v>
      </c>
      <c r="V620" s="2" t="s">
        <v>38</v>
      </c>
      <c r="W620" s="2" t="s">
        <v>35</v>
      </c>
      <c r="X620" s="2" t="s">
        <v>35</v>
      </c>
      <c r="Y620" s="2" t="s">
        <v>35</v>
      </c>
      <c r="Z620" s="2" t="b">
        <v>0</v>
      </c>
      <c r="AA620" s="2" t="s">
        <v>35</v>
      </c>
      <c r="AB620" s="2" t="s">
        <v>35</v>
      </c>
      <c r="AC620" s="2">
        <v>4</v>
      </c>
      <c r="AD620" s="2" t="s">
        <v>35</v>
      </c>
      <c r="AE620" s="2" t="s">
        <v>1117</v>
      </c>
      <c r="AF620" s="11">
        <v>44743.590972164355</v>
      </c>
      <c r="AG620" s="53"/>
      <c r="AH620" s="53" t="b">
        <f t="shared" si="14"/>
        <v>0</v>
      </c>
      <c r="AI620" s="54" t="s">
        <v>10355</v>
      </c>
      <c r="AJ620" s="2"/>
      <c r="AK620" s="2"/>
      <c r="AL620" s="2"/>
      <c r="AM620" s="2"/>
      <c r="AN620" s="2"/>
    </row>
    <row r="621" spans="1:40" ht="16" x14ac:dyDescent="0.2">
      <c r="A621" s="2" t="s">
        <v>1377</v>
      </c>
      <c r="B621" s="2">
        <v>417</v>
      </c>
      <c r="C621" s="2" t="b">
        <v>0</v>
      </c>
      <c r="D621" s="2" t="b">
        <v>0</v>
      </c>
      <c r="E621" s="2" t="b">
        <v>0</v>
      </c>
      <c r="F621" s="2" t="b">
        <v>0</v>
      </c>
      <c r="G621" s="2" t="s">
        <v>31</v>
      </c>
      <c r="H621" s="2" t="s">
        <v>1378</v>
      </c>
      <c r="I621" s="2" t="s">
        <v>1379</v>
      </c>
      <c r="J621" s="2" t="s">
        <v>35</v>
      </c>
      <c r="K621" s="2" t="s">
        <v>35</v>
      </c>
      <c r="L621" s="2" t="s">
        <v>35</v>
      </c>
      <c r="M621" s="2" t="s">
        <v>35</v>
      </c>
      <c r="N621" s="2" t="s">
        <v>35</v>
      </c>
      <c r="O621" s="11">
        <v>44743.720656990743</v>
      </c>
      <c r="P621" s="11">
        <v>44743.720811481478</v>
      </c>
      <c r="Q621" s="27">
        <v>1.5449073544004932E-4</v>
      </c>
      <c r="R621" s="27">
        <v>8.2082175504183397E-4</v>
      </c>
      <c r="S621" s="2">
        <v>0</v>
      </c>
      <c r="T621" s="2" t="s">
        <v>36</v>
      </c>
      <c r="U621" s="2" t="s">
        <v>37</v>
      </c>
      <c r="V621" s="2" t="s">
        <v>38</v>
      </c>
      <c r="W621" s="2" t="s">
        <v>35</v>
      </c>
      <c r="X621" s="2" t="s">
        <v>35</v>
      </c>
      <c r="Y621" s="2" t="s">
        <v>35</v>
      </c>
      <c r="Z621" s="2" t="b">
        <v>0</v>
      </c>
      <c r="AA621" s="2" t="s">
        <v>35</v>
      </c>
      <c r="AB621" s="2" t="s">
        <v>35</v>
      </c>
      <c r="AC621" s="2" t="s">
        <v>35</v>
      </c>
      <c r="AD621" s="2">
        <v>3</v>
      </c>
      <c r="AE621" s="2" t="s">
        <v>1117</v>
      </c>
      <c r="AF621" s="11">
        <v>44743.590972164355</v>
      </c>
      <c r="AG621" s="53"/>
      <c r="AH621" s="53" t="b">
        <f t="shared" si="14"/>
        <v>0</v>
      </c>
      <c r="AI621" s="54" t="s">
        <v>10356</v>
      </c>
      <c r="AJ621" s="2"/>
      <c r="AK621" s="2"/>
      <c r="AL621" s="2"/>
      <c r="AM621" s="2"/>
      <c r="AN621" s="2"/>
    </row>
    <row r="622" spans="1:40" ht="16" x14ac:dyDescent="0.2">
      <c r="A622" s="2" t="s">
        <v>1380</v>
      </c>
      <c r="B622" s="2">
        <v>418</v>
      </c>
      <c r="C622" s="2" t="b">
        <v>0</v>
      </c>
      <c r="D622" s="2" t="b">
        <v>0</v>
      </c>
      <c r="E622" s="2" t="b">
        <v>0</v>
      </c>
      <c r="F622" s="2" t="b">
        <v>0</v>
      </c>
      <c r="G622" s="2" t="s">
        <v>31</v>
      </c>
      <c r="H622" s="2" t="s">
        <v>1381</v>
      </c>
      <c r="I622" s="2" t="s">
        <v>1382</v>
      </c>
      <c r="J622" s="2" t="s">
        <v>35</v>
      </c>
      <c r="K622" s="2" t="s">
        <v>35</v>
      </c>
      <c r="L622" s="2" t="s">
        <v>35</v>
      </c>
      <c r="M622" s="2" t="s">
        <v>35</v>
      </c>
      <c r="N622" s="2" t="s">
        <v>35</v>
      </c>
      <c r="O622" s="11">
        <v>44743.722308506942</v>
      </c>
      <c r="P622" s="11">
        <v>44743.722461249999</v>
      </c>
      <c r="Q622" s="27">
        <v>1.5274305769708008E-4</v>
      </c>
      <c r="R622" s="27">
        <v>1.6497685210197233E-3</v>
      </c>
      <c r="S622" s="2">
        <v>0</v>
      </c>
      <c r="T622" s="2" t="s">
        <v>36</v>
      </c>
      <c r="U622" s="2" t="s">
        <v>37</v>
      </c>
      <c r="V622" s="2" t="s">
        <v>38</v>
      </c>
      <c r="W622" s="2" t="s">
        <v>35</v>
      </c>
      <c r="X622" s="2" t="s">
        <v>35</v>
      </c>
      <c r="Y622" s="2" t="s">
        <v>35</v>
      </c>
      <c r="Z622" s="2" t="b">
        <v>0</v>
      </c>
      <c r="AA622" s="2" t="s">
        <v>35</v>
      </c>
      <c r="AB622" s="2" t="s">
        <v>35</v>
      </c>
      <c r="AC622" s="2" t="s">
        <v>35</v>
      </c>
      <c r="AD622" s="2">
        <v>3</v>
      </c>
      <c r="AE622" s="2" t="s">
        <v>1117</v>
      </c>
      <c r="AF622" s="11">
        <v>44743.590972164355</v>
      </c>
      <c r="AG622" s="53"/>
      <c r="AH622" s="53" t="b">
        <f t="shared" si="14"/>
        <v>0</v>
      </c>
      <c r="AI622" s="54" t="s">
        <v>10357</v>
      </c>
      <c r="AJ622" s="2"/>
      <c r="AK622" s="2"/>
      <c r="AL622" s="2"/>
      <c r="AM622" s="2"/>
      <c r="AN622" s="2"/>
    </row>
    <row r="623" spans="1:40" ht="16" x14ac:dyDescent="0.2">
      <c r="A623" s="68" t="s">
        <v>1386</v>
      </c>
      <c r="B623" s="68">
        <v>420</v>
      </c>
      <c r="C623" s="68" t="b">
        <v>0</v>
      </c>
      <c r="D623" s="68" t="b">
        <v>0</v>
      </c>
      <c r="E623" s="68" t="b">
        <v>0</v>
      </c>
      <c r="F623" s="68" t="b">
        <v>0</v>
      </c>
      <c r="G623" s="68" t="s">
        <v>31</v>
      </c>
      <c r="H623" s="68" t="s">
        <v>149</v>
      </c>
      <c r="I623" s="68" t="s">
        <v>1387</v>
      </c>
      <c r="J623" s="68" t="s">
        <v>35</v>
      </c>
      <c r="K623" s="68" t="s">
        <v>35</v>
      </c>
      <c r="L623" s="68" t="s">
        <v>35</v>
      </c>
      <c r="M623" s="68" t="s">
        <v>35</v>
      </c>
      <c r="N623" s="68" t="s">
        <v>35</v>
      </c>
      <c r="O623" s="69">
        <v>44743.725456250002</v>
      </c>
      <c r="P623" s="69">
        <v>44743.72565104167</v>
      </c>
      <c r="Q623" s="70">
        <v>1.9479166803648695E-4</v>
      </c>
      <c r="R623" s="70">
        <v>6.9489583984250203E-4</v>
      </c>
      <c r="S623" s="68">
        <v>0</v>
      </c>
      <c r="T623" s="68" t="s">
        <v>36</v>
      </c>
      <c r="U623" s="68" t="s">
        <v>37</v>
      </c>
      <c r="V623" s="68" t="s">
        <v>38</v>
      </c>
      <c r="W623" s="68" t="s">
        <v>35</v>
      </c>
      <c r="X623" s="68" t="s">
        <v>35</v>
      </c>
      <c r="Y623" s="68" t="s">
        <v>35</v>
      </c>
      <c r="Z623" s="68" t="b">
        <v>0</v>
      </c>
      <c r="AA623" s="68" t="s">
        <v>35</v>
      </c>
      <c r="AB623" s="68" t="s">
        <v>35</v>
      </c>
      <c r="AC623" s="68" t="s">
        <v>35</v>
      </c>
      <c r="AD623" s="68">
        <v>2</v>
      </c>
      <c r="AE623" s="68" t="s">
        <v>1117</v>
      </c>
      <c r="AF623" s="69">
        <v>44743.590972164355</v>
      </c>
      <c r="AG623" s="71"/>
      <c r="AH623" s="53" t="b">
        <f t="shared" si="14"/>
        <v>0</v>
      </c>
      <c r="AI623" s="56" t="s">
        <v>35</v>
      </c>
      <c r="AJ623" s="68"/>
      <c r="AK623" s="68"/>
      <c r="AL623" s="68"/>
      <c r="AM623" s="68"/>
      <c r="AN623" s="68"/>
    </row>
    <row r="624" spans="1:40" ht="16" x14ac:dyDescent="0.2">
      <c r="A624" s="2" t="s">
        <v>1391</v>
      </c>
      <c r="B624" s="2">
        <v>422</v>
      </c>
      <c r="C624" s="2" t="b">
        <v>0</v>
      </c>
      <c r="D624" s="2" t="b">
        <v>0</v>
      </c>
      <c r="E624" s="2" t="b">
        <v>0</v>
      </c>
      <c r="F624" s="2" t="b">
        <v>0</v>
      </c>
      <c r="G624" s="2" t="s">
        <v>31</v>
      </c>
      <c r="H624" s="2" t="s">
        <v>1392</v>
      </c>
      <c r="I624" s="2" t="s">
        <v>1393</v>
      </c>
      <c r="J624" s="2" t="s">
        <v>35</v>
      </c>
      <c r="K624" s="2" t="s">
        <v>35</v>
      </c>
      <c r="L624" s="2" t="s">
        <v>35</v>
      </c>
      <c r="M624" s="2" t="s">
        <v>35</v>
      </c>
      <c r="N624" s="2" t="s">
        <v>35</v>
      </c>
      <c r="O624" s="11">
        <v>44743.726454629628</v>
      </c>
      <c r="P624" s="11">
        <v>44743.726577638889</v>
      </c>
      <c r="Q624" s="27">
        <v>1.2300926027819514E-4</v>
      </c>
      <c r="R624" s="27">
        <v>3.271759269409813E-4</v>
      </c>
      <c r="S624" s="2">
        <v>0</v>
      </c>
      <c r="T624" s="2" t="s">
        <v>36</v>
      </c>
      <c r="U624" s="2" t="s">
        <v>37</v>
      </c>
      <c r="V624" s="2" t="s">
        <v>38</v>
      </c>
      <c r="W624" s="2" t="s">
        <v>35</v>
      </c>
      <c r="X624" s="2" t="s">
        <v>35</v>
      </c>
      <c r="Y624" s="2" t="s">
        <v>35</v>
      </c>
      <c r="Z624" s="2" t="b">
        <v>0</v>
      </c>
      <c r="AA624" s="2" t="s">
        <v>35</v>
      </c>
      <c r="AB624" s="2" t="s">
        <v>35</v>
      </c>
      <c r="AC624" s="2" t="s">
        <v>35</v>
      </c>
      <c r="AD624" s="2">
        <v>4</v>
      </c>
      <c r="AE624" s="2" t="s">
        <v>1117</v>
      </c>
      <c r="AF624" s="11">
        <v>44743.590972164355</v>
      </c>
      <c r="AG624" s="53"/>
      <c r="AH624" s="53" t="b">
        <f t="shared" si="14"/>
        <v>0</v>
      </c>
      <c r="AI624" s="54" t="s">
        <v>9540</v>
      </c>
      <c r="AJ624" s="2"/>
      <c r="AK624" s="2"/>
      <c r="AL624" s="2"/>
      <c r="AM624" s="2"/>
      <c r="AN624" s="2"/>
    </row>
    <row r="625" spans="1:40" ht="16" x14ac:dyDescent="0.2">
      <c r="A625" s="2" t="s">
        <v>1394</v>
      </c>
      <c r="B625" s="2">
        <v>423</v>
      </c>
      <c r="C625" s="2" t="b">
        <v>0</v>
      </c>
      <c r="D625" s="2" t="b">
        <v>0</v>
      </c>
      <c r="E625" s="2" t="b">
        <v>0</v>
      </c>
      <c r="F625" s="2" t="b">
        <v>0</v>
      </c>
      <c r="G625" s="2" t="s">
        <v>31</v>
      </c>
      <c r="H625" s="2" t="s">
        <v>1395</v>
      </c>
      <c r="I625" s="2" t="s">
        <v>1396</v>
      </c>
      <c r="J625" s="2" t="s">
        <v>35</v>
      </c>
      <c r="K625" s="2" t="s">
        <v>35</v>
      </c>
      <c r="L625" s="2" t="s">
        <v>35</v>
      </c>
      <c r="M625" s="2" t="s">
        <v>35</v>
      </c>
      <c r="N625" s="2" t="s">
        <v>35</v>
      </c>
      <c r="O625" s="11">
        <v>44743.727087453706</v>
      </c>
      <c r="P625" s="11">
        <v>44743.727269328701</v>
      </c>
      <c r="Q625" s="27">
        <v>1.8187499517807737E-4</v>
      </c>
      <c r="R625" s="27">
        <v>6.9168981281109154E-4</v>
      </c>
      <c r="S625" s="2">
        <v>0</v>
      </c>
      <c r="T625" s="2" t="s">
        <v>36</v>
      </c>
      <c r="U625" s="2" t="s">
        <v>37</v>
      </c>
      <c r="V625" s="2" t="s">
        <v>38</v>
      </c>
      <c r="W625" s="2" t="s">
        <v>35</v>
      </c>
      <c r="X625" s="2" t="s">
        <v>35</v>
      </c>
      <c r="Y625" s="2" t="s">
        <v>35</v>
      </c>
      <c r="Z625" s="2" t="b">
        <v>0</v>
      </c>
      <c r="AA625" s="2" t="s">
        <v>35</v>
      </c>
      <c r="AB625" s="2" t="s">
        <v>35</v>
      </c>
      <c r="AC625" s="2" t="s">
        <v>35</v>
      </c>
      <c r="AD625" s="2">
        <v>3</v>
      </c>
      <c r="AE625" s="2" t="s">
        <v>1117</v>
      </c>
      <c r="AF625" s="11">
        <v>44743.590972164355</v>
      </c>
      <c r="AG625" s="53"/>
      <c r="AH625" s="53" t="b">
        <f t="shared" si="14"/>
        <v>0</v>
      </c>
      <c r="AI625" s="54" t="s">
        <v>10358</v>
      </c>
      <c r="AJ625" s="2"/>
      <c r="AK625" s="2"/>
      <c r="AL625" s="2"/>
      <c r="AM625" s="2"/>
      <c r="AN625" s="2"/>
    </row>
    <row r="626" spans="1:40" ht="16" x14ac:dyDescent="0.2">
      <c r="A626" s="2" t="s">
        <v>1397</v>
      </c>
      <c r="B626" s="2">
        <v>424</v>
      </c>
      <c r="C626" s="2" t="b">
        <v>0</v>
      </c>
      <c r="D626" s="2" t="b">
        <v>0</v>
      </c>
      <c r="E626" s="2" t="b">
        <v>0</v>
      </c>
      <c r="F626" s="2" t="b">
        <v>0</v>
      </c>
      <c r="G626" s="2" t="s">
        <v>31</v>
      </c>
      <c r="H626" s="2" t="s">
        <v>1398</v>
      </c>
      <c r="I626" s="2" t="s">
        <v>1399</v>
      </c>
      <c r="J626" s="2" t="s">
        <v>35</v>
      </c>
      <c r="K626" s="2" t="s">
        <v>35</v>
      </c>
      <c r="L626" s="2" t="s">
        <v>35</v>
      </c>
      <c r="M626" s="2" t="s">
        <v>35</v>
      </c>
      <c r="N626" s="2" t="s">
        <v>35</v>
      </c>
      <c r="O626" s="11">
        <v>44743.728233032409</v>
      </c>
      <c r="P626" s="11">
        <v>44743.728356574073</v>
      </c>
      <c r="Q626" s="27">
        <v>1.2354166392469779E-4</v>
      </c>
      <c r="R626" s="27">
        <v>1.087245371309109E-3</v>
      </c>
      <c r="S626" s="2">
        <v>0</v>
      </c>
      <c r="T626" s="2" t="s">
        <v>36</v>
      </c>
      <c r="U626" s="2" t="s">
        <v>37</v>
      </c>
      <c r="V626" s="2" t="s">
        <v>38</v>
      </c>
      <c r="W626" s="2" t="s">
        <v>35</v>
      </c>
      <c r="X626" s="2" t="s">
        <v>35</v>
      </c>
      <c r="Y626" s="2" t="s">
        <v>35</v>
      </c>
      <c r="Z626" s="2" t="b">
        <v>0</v>
      </c>
      <c r="AA626" s="2" t="s">
        <v>35</v>
      </c>
      <c r="AB626" s="2" t="s">
        <v>35</v>
      </c>
      <c r="AC626" s="2" t="s">
        <v>35</v>
      </c>
      <c r="AD626" s="2">
        <v>3</v>
      </c>
      <c r="AE626" s="2" t="s">
        <v>1117</v>
      </c>
      <c r="AF626" s="11">
        <v>44743.590972164355</v>
      </c>
      <c r="AG626" s="53"/>
      <c r="AH626" s="53" t="b">
        <f t="shared" si="14"/>
        <v>0</v>
      </c>
      <c r="AI626" s="54" t="s">
        <v>10359</v>
      </c>
      <c r="AJ626" s="2"/>
      <c r="AK626" s="2"/>
      <c r="AL626" s="2"/>
      <c r="AM626" s="2"/>
      <c r="AN626" s="2"/>
    </row>
    <row r="627" spans="1:40" ht="16" x14ac:dyDescent="0.2">
      <c r="A627" s="2" t="s">
        <v>1400</v>
      </c>
      <c r="B627" s="2">
        <v>425</v>
      </c>
      <c r="C627" s="2" t="b">
        <v>0</v>
      </c>
      <c r="D627" s="2" t="b">
        <v>0</v>
      </c>
      <c r="E627" s="2" t="b">
        <v>0</v>
      </c>
      <c r="F627" s="2" t="b">
        <v>0</v>
      </c>
      <c r="G627" s="2" t="s">
        <v>31</v>
      </c>
      <c r="H627" s="2" t="s">
        <v>1401</v>
      </c>
      <c r="I627" s="2" t="s">
        <v>1402</v>
      </c>
      <c r="J627" s="2" t="s">
        <v>35</v>
      </c>
      <c r="K627" s="2" t="s">
        <v>35</v>
      </c>
      <c r="L627" s="2" t="s">
        <v>35</v>
      </c>
      <c r="M627" s="2" t="s">
        <v>35</v>
      </c>
      <c r="N627" s="2" t="s">
        <v>35</v>
      </c>
      <c r="O627" s="11">
        <v>44743.729044826388</v>
      </c>
      <c r="P627" s="11">
        <v>44743.72917471065</v>
      </c>
      <c r="Q627" s="27">
        <v>1.2988426169613376E-4</v>
      </c>
      <c r="R627" s="27">
        <v>8.181365774362348E-4</v>
      </c>
      <c r="S627" s="2">
        <v>0</v>
      </c>
      <c r="T627" s="2" t="s">
        <v>36</v>
      </c>
      <c r="U627" s="2" t="s">
        <v>37</v>
      </c>
      <c r="V627" s="2" t="s">
        <v>38</v>
      </c>
      <c r="W627" s="2" t="s">
        <v>35</v>
      </c>
      <c r="X627" s="2" t="s">
        <v>35</v>
      </c>
      <c r="Y627" s="2" t="s">
        <v>35</v>
      </c>
      <c r="Z627" s="2" t="b">
        <v>0</v>
      </c>
      <c r="AA627" s="2" t="s">
        <v>35</v>
      </c>
      <c r="AB627" s="2" t="s">
        <v>35</v>
      </c>
      <c r="AC627" s="2" t="s">
        <v>35</v>
      </c>
      <c r="AD627" s="2">
        <v>2</v>
      </c>
      <c r="AE627" s="2" t="s">
        <v>1117</v>
      </c>
      <c r="AF627" s="11">
        <v>44743.590972164355</v>
      </c>
      <c r="AG627" s="53"/>
      <c r="AH627" s="53" t="b">
        <f t="shared" si="14"/>
        <v>0</v>
      </c>
      <c r="AI627" s="54" t="s">
        <v>10360</v>
      </c>
      <c r="AJ627" s="2"/>
      <c r="AK627" s="2"/>
      <c r="AL627" s="2"/>
      <c r="AM627" s="2"/>
      <c r="AN627" s="2"/>
    </row>
    <row r="628" spans="1:40" ht="16" x14ac:dyDescent="0.2">
      <c r="A628" s="2" t="s">
        <v>1403</v>
      </c>
      <c r="B628" s="2">
        <v>426</v>
      </c>
      <c r="C628" s="2" t="b">
        <v>0</v>
      </c>
      <c r="D628" s="2" t="b">
        <v>0</v>
      </c>
      <c r="E628" s="2" t="b">
        <v>0</v>
      </c>
      <c r="F628" s="2" t="b">
        <v>0</v>
      </c>
      <c r="G628" s="2" t="s">
        <v>31</v>
      </c>
      <c r="H628" s="2" t="s">
        <v>1404</v>
      </c>
      <c r="I628" s="2" t="s">
        <v>1405</v>
      </c>
      <c r="J628" s="2" t="s">
        <v>1406</v>
      </c>
      <c r="K628" s="2" t="s">
        <v>35</v>
      </c>
      <c r="L628" s="2" t="s">
        <v>35</v>
      </c>
      <c r="M628" s="2" t="s">
        <v>35</v>
      </c>
      <c r="N628" s="2" t="s">
        <v>35</v>
      </c>
      <c r="O628" s="11">
        <v>44743.730694826387</v>
      </c>
      <c r="P628" s="11">
        <v>44743.731128807871</v>
      </c>
      <c r="Q628" s="27">
        <v>4.3398148409323767E-4</v>
      </c>
      <c r="R628" s="27">
        <v>1.9540972207323648E-3</v>
      </c>
      <c r="S628" s="2">
        <v>0</v>
      </c>
      <c r="T628" s="2" t="s">
        <v>36</v>
      </c>
      <c r="U628" s="2" t="s">
        <v>37</v>
      </c>
      <c r="V628" s="2" t="s">
        <v>38</v>
      </c>
      <c r="W628" s="2" t="s">
        <v>35</v>
      </c>
      <c r="X628" s="2" t="s">
        <v>35</v>
      </c>
      <c r="Y628" s="2" t="s">
        <v>35</v>
      </c>
      <c r="Z628" s="2" t="b">
        <v>0</v>
      </c>
      <c r="AA628" s="2" t="s">
        <v>35</v>
      </c>
      <c r="AB628" s="2" t="s">
        <v>35</v>
      </c>
      <c r="AC628" s="2">
        <v>4</v>
      </c>
      <c r="AD628" s="2" t="s">
        <v>35</v>
      </c>
      <c r="AE628" s="2" t="s">
        <v>1117</v>
      </c>
      <c r="AF628" s="11">
        <v>44743.590972164355</v>
      </c>
      <c r="AG628" s="53"/>
      <c r="AH628" s="53" t="b">
        <f t="shared" si="14"/>
        <v>0</v>
      </c>
      <c r="AI628" s="54" t="s">
        <v>10361</v>
      </c>
      <c r="AJ628" s="2"/>
      <c r="AK628" s="2"/>
      <c r="AL628" s="2"/>
      <c r="AM628" s="2"/>
      <c r="AN628" s="2"/>
    </row>
    <row r="629" spans="1:40" ht="16" x14ac:dyDescent="0.2">
      <c r="A629" s="2" t="s">
        <v>1407</v>
      </c>
      <c r="B629" s="2">
        <v>427</v>
      </c>
      <c r="C629" s="2" t="b">
        <v>0</v>
      </c>
      <c r="D629" s="2" t="b">
        <v>0</v>
      </c>
      <c r="E629" s="2" t="b">
        <v>0</v>
      </c>
      <c r="F629" s="2" t="b">
        <v>0</v>
      </c>
      <c r="G629" s="2" t="s">
        <v>31</v>
      </c>
      <c r="H629" s="2" t="s">
        <v>1408</v>
      </c>
      <c r="I629" s="2" t="s">
        <v>1409</v>
      </c>
      <c r="J629" s="2" t="s">
        <v>35</v>
      </c>
      <c r="K629" s="2" t="s">
        <v>35</v>
      </c>
      <c r="L629" s="2" t="s">
        <v>35</v>
      </c>
      <c r="M629" s="2" t="s">
        <v>35</v>
      </c>
      <c r="N629" s="2" t="s">
        <v>35</v>
      </c>
      <c r="O629" s="11">
        <v>44743.732691458332</v>
      </c>
      <c r="P629" s="11">
        <v>44743.732822789352</v>
      </c>
      <c r="Q629" s="27">
        <v>1.3133102038409561E-4</v>
      </c>
      <c r="R629" s="27">
        <v>1.6939814813667908E-3</v>
      </c>
      <c r="S629" s="2">
        <v>0</v>
      </c>
      <c r="T629" s="2" t="s">
        <v>36</v>
      </c>
      <c r="U629" s="2" t="s">
        <v>37</v>
      </c>
      <c r="V629" s="2" t="s">
        <v>38</v>
      </c>
      <c r="W629" s="2" t="s">
        <v>35</v>
      </c>
      <c r="X629" s="2" t="s">
        <v>35</v>
      </c>
      <c r="Y629" s="2" t="s">
        <v>35</v>
      </c>
      <c r="Z629" s="2" t="b">
        <v>0</v>
      </c>
      <c r="AA629" s="2" t="s">
        <v>35</v>
      </c>
      <c r="AB629" s="2" t="s">
        <v>35</v>
      </c>
      <c r="AC629" s="2" t="s">
        <v>35</v>
      </c>
      <c r="AD629" s="2">
        <v>4</v>
      </c>
      <c r="AE629" s="2" t="s">
        <v>1117</v>
      </c>
      <c r="AF629" s="11">
        <v>44743.590972164355</v>
      </c>
      <c r="AG629" s="53"/>
      <c r="AH629" s="53" t="b">
        <f t="shared" si="14"/>
        <v>0</v>
      </c>
      <c r="AI629" s="54" t="s">
        <v>10362</v>
      </c>
      <c r="AJ629" s="2"/>
      <c r="AK629" s="2"/>
      <c r="AL629" s="2"/>
      <c r="AM629" s="2"/>
      <c r="AN629" s="2"/>
    </row>
    <row r="630" spans="1:40" ht="16" x14ac:dyDescent="0.2">
      <c r="A630" s="2" t="s">
        <v>1422</v>
      </c>
      <c r="B630" s="2">
        <v>432</v>
      </c>
      <c r="C630" s="2" t="b">
        <v>0</v>
      </c>
      <c r="D630" s="2" t="b">
        <v>0</v>
      </c>
      <c r="E630" s="2" t="b">
        <v>0</v>
      </c>
      <c r="F630" s="2" t="b">
        <v>0</v>
      </c>
      <c r="G630" s="2" t="s">
        <v>31</v>
      </c>
      <c r="H630" s="2" t="s">
        <v>1423</v>
      </c>
      <c r="I630" s="2" t="s">
        <v>1424</v>
      </c>
      <c r="J630" s="2" t="s">
        <v>736</v>
      </c>
      <c r="K630" s="2" t="s">
        <v>35</v>
      </c>
      <c r="L630" s="2" t="s">
        <v>35</v>
      </c>
      <c r="M630" s="2" t="s">
        <v>35</v>
      </c>
      <c r="N630" s="2" t="s">
        <v>35</v>
      </c>
      <c r="O630" s="11">
        <v>44747.396360162034</v>
      </c>
      <c r="P630" s="11">
        <v>44747.396896932871</v>
      </c>
      <c r="Q630" s="27">
        <v>5.3677083633374423E-4</v>
      </c>
      <c r="R630" s="27">
        <v>1.7580439816811122E-3</v>
      </c>
      <c r="S630" s="2">
        <v>0</v>
      </c>
      <c r="T630" s="2" t="s">
        <v>36</v>
      </c>
      <c r="U630" s="2" t="s">
        <v>37</v>
      </c>
      <c r="V630" s="2" t="s">
        <v>38</v>
      </c>
      <c r="W630" s="2" t="s">
        <v>35</v>
      </c>
      <c r="X630" s="2" t="s">
        <v>35</v>
      </c>
      <c r="Y630" s="2" t="s">
        <v>35</v>
      </c>
      <c r="Z630" s="2" t="b">
        <v>0</v>
      </c>
      <c r="AA630" s="2" t="s">
        <v>35</v>
      </c>
      <c r="AB630" s="2" t="s">
        <v>35</v>
      </c>
      <c r="AC630" s="2">
        <v>6</v>
      </c>
      <c r="AD630" s="2" t="s">
        <v>35</v>
      </c>
      <c r="AE630" s="2" t="s">
        <v>688</v>
      </c>
      <c r="AF630" s="11">
        <v>44747.395138888889</v>
      </c>
      <c r="AG630" s="53"/>
      <c r="AH630" s="53" t="b">
        <f t="shared" si="14"/>
        <v>0</v>
      </c>
      <c r="AI630" s="54" t="s">
        <v>10365</v>
      </c>
      <c r="AJ630" s="2" t="s">
        <v>10363</v>
      </c>
      <c r="AK630" s="2" t="s">
        <v>10364</v>
      </c>
      <c r="AL630" s="2"/>
      <c r="AM630" s="2"/>
      <c r="AN630" s="2"/>
    </row>
    <row r="631" spans="1:40" ht="16" x14ac:dyDescent="0.2">
      <c r="A631" s="2" t="s">
        <v>1434</v>
      </c>
      <c r="B631" s="2">
        <v>436</v>
      </c>
      <c r="C631" s="2" t="b">
        <v>0</v>
      </c>
      <c r="D631" s="2" t="b">
        <v>0</v>
      </c>
      <c r="E631" s="2" t="b">
        <v>0</v>
      </c>
      <c r="F631" s="2" t="b">
        <v>0</v>
      </c>
      <c r="G631" s="2" t="s">
        <v>31</v>
      </c>
      <c r="H631" s="2" t="s">
        <v>1435</v>
      </c>
      <c r="I631" s="2" t="s">
        <v>1436</v>
      </c>
      <c r="J631" s="2" t="s">
        <v>736</v>
      </c>
      <c r="K631" s="2" t="s">
        <v>35</v>
      </c>
      <c r="L631" s="2" t="s">
        <v>35</v>
      </c>
      <c r="M631" s="2" t="s">
        <v>35</v>
      </c>
      <c r="N631" s="2" t="s">
        <v>35</v>
      </c>
      <c r="O631" s="11">
        <v>44747.400510451385</v>
      </c>
      <c r="P631" s="11">
        <v>44747.400771157409</v>
      </c>
      <c r="Q631" s="27">
        <v>2.6070602325489745E-4</v>
      </c>
      <c r="R631" s="27">
        <v>1.4614120373153128E-3</v>
      </c>
      <c r="S631" s="2">
        <v>0</v>
      </c>
      <c r="T631" s="2" t="s">
        <v>36</v>
      </c>
      <c r="U631" s="2" t="s">
        <v>37</v>
      </c>
      <c r="V631" s="2" t="s">
        <v>38</v>
      </c>
      <c r="W631" s="2" t="s">
        <v>35</v>
      </c>
      <c r="X631" s="2" t="s">
        <v>35</v>
      </c>
      <c r="Y631" s="2" t="s">
        <v>35</v>
      </c>
      <c r="Z631" s="2" t="b">
        <v>0</v>
      </c>
      <c r="AA631" s="2" t="s">
        <v>35</v>
      </c>
      <c r="AB631" s="2" t="s">
        <v>35</v>
      </c>
      <c r="AC631" s="2">
        <v>7</v>
      </c>
      <c r="AD631" s="2">
        <v>2</v>
      </c>
      <c r="AE631" s="2" t="s">
        <v>688</v>
      </c>
      <c r="AF631" s="11">
        <v>44747.395138888889</v>
      </c>
      <c r="AG631" s="53"/>
      <c r="AH631" s="53" t="b">
        <f t="shared" si="14"/>
        <v>0</v>
      </c>
      <c r="AI631" s="54" t="s">
        <v>10366</v>
      </c>
      <c r="AJ631" s="2"/>
      <c r="AK631" s="2"/>
      <c r="AL631" s="2"/>
      <c r="AM631" s="2"/>
      <c r="AN631" s="2"/>
    </row>
    <row r="632" spans="1:40" ht="16" x14ac:dyDescent="0.2">
      <c r="A632" s="2" t="s">
        <v>1441</v>
      </c>
      <c r="B632" s="2">
        <v>438</v>
      </c>
      <c r="C632" s="2" t="b">
        <v>0</v>
      </c>
      <c r="D632" s="2" t="b">
        <v>0</v>
      </c>
      <c r="E632" s="2" t="b">
        <v>0</v>
      </c>
      <c r="F632" s="2" t="b">
        <v>0</v>
      </c>
      <c r="G632" s="2" t="s">
        <v>31</v>
      </c>
      <c r="H632" s="2" t="s">
        <v>1442</v>
      </c>
      <c r="I632" s="2" t="s">
        <v>1443</v>
      </c>
      <c r="J632" s="2" t="s">
        <v>1444</v>
      </c>
      <c r="K632" s="2" t="s">
        <v>35</v>
      </c>
      <c r="L632" s="2" t="s">
        <v>35</v>
      </c>
      <c r="M632" s="2" t="s">
        <v>35</v>
      </c>
      <c r="N632" s="2" t="s">
        <v>35</v>
      </c>
      <c r="O632" s="11">
        <v>44747.403844641201</v>
      </c>
      <c r="P632" s="11">
        <v>44747.404262337965</v>
      </c>
      <c r="Q632" s="27">
        <v>4.1769676317926496E-4</v>
      </c>
      <c r="R632" s="27">
        <v>1.8197569443145767E-3</v>
      </c>
      <c r="S632" s="2">
        <v>0</v>
      </c>
      <c r="T632" s="2" t="s">
        <v>36</v>
      </c>
      <c r="U632" s="2" t="s">
        <v>37</v>
      </c>
      <c r="V632" s="2" t="s">
        <v>38</v>
      </c>
      <c r="W632" s="2" t="s">
        <v>35</v>
      </c>
      <c r="X632" s="2" t="s">
        <v>35</v>
      </c>
      <c r="Y632" s="2" t="s">
        <v>35</v>
      </c>
      <c r="Z632" s="2" t="b">
        <v>0</v>
      </c>
      <c r="AA632" s="2" t="s">
        <v>35</v>
      </c>
      <c r="AB632" s="2" t="s">
        <v>35</v>
      </c>
      <c r="AC632" s="2">
        <v>5</v>
      </c>
      <c r="AD632" s="2" t="s">
        <v>35</v>
      </c>
      <c r="AE632" s="2" t="s">
        <v>688</v>
      </c>
      <c r="AF632" s="11">
        <v>44747.395138888889</v>
      </c>
      <c r="AG632" s="53"/>
      <c r="AH632" s="53" t="b">
        <f t="shared" si="14"/>
        <v>0</v>
      </c>
      <c r="AI632" s="54" t="s">
        <v>10367</v>
      </c>
      <c r="AJ632" s="2"/>
      <c r="AK632" s="2"/>
      <c r="AL632" s="2"/>
      <c r="AM632" s="2"/>
      <c r="AN632" s="2"/>
    </row>
    <row r="633" spans="1:40" ht="16" x14ac:dyDescent="0.2">
      <c r="A633" s="2" t="s">
        <v>1451</v>
      </c>
      <c r="B633" s="2">
        <v>441</v>
      </c>
      <c r="C633" s="2" t="b">
        <v>0</v>
      </c>
      <c r="D633" s="2" t="b">
        <v>0</v>
      </c>
      <c r="E633" s="2" t="b">
        <v>0</v>
      </c>
      <c r="F633" s="2" t="b">
        <v>0</v>
      </c>
      <c r="G633" s="2" t="s">
        <v>31</v>
      </c>
      <c r="H633" s="2" t="s">
        <v>1452</v>
      </c>
      <c r="I633" s="2" t="s">
        <v>1453</v>
      </c>
      <c r="J633" s="2" t="s">
        <v>736</v>
      </c>
      <c r="K633" s="2" t="s">
        <v>35</v>
      </c>
      <c r="L633" s="2" t="s">
        <v>35</v>
      </c>
      <c r="M633" s="2" t="s">
        <v>35</v>
      </c>
      <c r="N633" s="2" t="s">
        <v>35</v>
      </c>
      <c r="O633" s="11">
        <v>44747.408570844906</v>
      </c>
      <c r="P633" s="11">
        <v>44747.409111099536</v>
      </c>
      <c r="Q633" s="27">
        <v>5.4025463032303378E-4</v>
      </c>
      <c r="R633" s="27">
        <v>3.2376967574236915E-3</v>
      </c>
      <c r="S633" s="2">
        <v>0</v>
      </c>
      <c r="T633" s="2" t="s">
        <v>36</v>
      </c>
      <c r="U633" s="2" t="s">
        <v>37</v>
      </c>
      <c r="V633" s="2" t="s">
        <v>38</v>
      </c>
      <c r="W633" s="2" t="s">
        <v>35</v>
      </c>
      <c r="X633" s="2" t="s">
        <v>35</v>
      </c>
      <c r="Y633" s="2" t="s">
        <v>35</v>
      </c>
      <c r="Z633" s="2" t="b">
        <v>0</v>
      </c>
      <c r="AA633" s="2" t="s">
        <v>35</v>
      </c>
      <c r="AB633" s="2" t="s">
        <v>35</v>
      </c>
      <c r="AC633" s="2">
        <v>6</v>
      </c>
      <c r="AD633" s="2" t="s">
        <v>35</v>
      </c>
      <c r="AE633" s="2" t="s">
        <v>688</v>
      </c>
      <c r="AF633" s="11">
        <v>44747.395138888889</v>
      </c>
      <c r="AG633" s="53"/>
      <c r="AH633" s="53" t="b">
        <f t="shared" si="14"/>
        <v>0</v>
      </c>
      <c r="AI633" s="54" t="s">
        <v>10368</v>
      </c>
      <c r="AJ633" s="2"/>
      <c r="AK633" s="2"/>
      <c r="AL633" s="2"/>
      <c r="AM633" s="2"/>
      <c r="AN633" s="2"/>
    </row>
    <row r="634" spans="1:40" ht="16" x14ac:dyDescent="0.2">
      <c r="A634" s="2" t="s">
        <v>1454</v>
      </c>
      <c r="B634" s="2">
        <v>442</v>
      </c>
      <c r="C634" s="2" t="b">
        <v>0</v>
      </c>
      <c r="D634" s="2" t="b">
        <v>0</v>
      </c>
      <c r="E634" s="2" t="b">
        <v>0</v>
      </c>
      <c r="F634" s="2" t="b">
        <v>0</v>
      </c>
      <c r="G634" s="2" t="s">
        <v>31</v>
      </c>
      <c r="H634" s="2" t="s">
        <v>1455</v>
      </c>
      <c r="I634" s="2" t="s">
        <v>1456</v>
      </c>
      <c r="J634" s="2" t="s">
        <v>35</v>
      </c>
      <c r="K634" s="2" t="s">
        <v>35</v>
      </c>
      <c r="L634" s="2" t="s">
        <v>35</v>
      </c>
      <c r="M634" s="2" t="s">
        <v>35</v>
      </c>
      <c r="N634" s="2" t="s">
        <v>35</v>
      </c>
      <c r="O634" s="11">
        <v>44747.40978577546</v>
      </c>
      <c r="P634" s="11">
        <v>44747.409916458331</v>
      </c>
      <c r="Q634" s="27">
        <v>1.3068287080386654E-4</v>
      </c>
      <c r="R634" s="27">
        <v>8.0535879533272237E-4</v>
      </c>
      <c r="S634" s="2">
        <v>0</v>
      </c>
      <c r="T634" s="2" t="s">
        <v>36</v>
      </c>
      <c r="U634" s="2" t="s">
        <v>37</v>
      </c>
      <c r="V634" s="2" t="s">
        <v>38</v>
      </c>
      <c r="W634" s="2" t="s">
        <v>35</v>
      </c>
      <c r="X634" s="2" t="s">
        <v>35</v>
      </c>
      <c r="Y634" s="2" t="s">
        <v>35</v>
      </c>
      <c r="Z634" s="2" t="b">
        <v>0</v>
      </c>
      <c r="AA634" s="2" t="s">
        <v>35</v>
      </c>
      <c r="AB634" s="2" t="s">
        <v>35</v>
      </c>
      <c r="AC634" s="2" t="s">
        <v>35</v>
      </c>
      <c r="AD634" s="2">
        <v>3</v>
      </c>
      <c r="AE634" s="2" t="s">
        <v>688</v>
      </c>
      <c r="AF634" s="11">
        <v>44747.395138888889</v>
      </c>
      <c r="AG634" s="53"/>
      <c r="AH634" s="53" t="b">
        <f t="shared" si="14"/>
        <v>0</v>
      </c>
      <c r="AI634" s="54" t="s">
        <v>10369</v>
      </c>
      <c r="AJ634" s="2"/>
      <c r="AK634" s="2"/>
      <c r="AL634" s="2"/>
      <c r="AM634" s="2"/>
      <c r="AN634" s="2"/>
    </row>
    <row r="635" spans="1:40" ht="16" x14ac:dyDescent="0.2">
      <c r="A635" s="2" t="s">
        <v>1457</v>
      </c>
      <c r="B635" s="2">
        <v>443</v>
      </c>
      <c r="C635" s="2" t="b">
        <v>0</v>
      </c>
      <c r="D635" s="2" t="b">
        <v>0</v>
      </c>
      <c r="E635" s="2" t="b">
        <v>0</v>
      </c>
      <c r="F635" s="2" t="b">
        <v>0</v>
      </c>
      <c r="G635" s="2" t="s">
        <v>31</v>
      </c>
      <c r="H635" s="2" t="s">
        <v>1458</v>
      </c>
      <c r="I635" s="2" t="s">
        <v>1459</v>
      </c>
      <c r="J635" s="2" t="s">
        <v>1460</v>
      </c>
      <c r="K635" s="2" t="s">
        <v>35</v>
      </c>
      <c r="L635" s="2" t="s">
        <v>35</v>
      </c>
      <c r="M635" s="2" t="s">
        <v>35</v>
      </c>
      <c r="N635" s="2" t="s">
        <v>35</v>
      </c>
      <c r="O635" s="11">
        <v>44747.411463923614</v>
      </c>
      <c r="P635" s="11">
        <v>44747.4117772338</v>
      </c>
      <c r="Q635" s="27">
        <v>3.1331018544733524E-4</v>
      </c>
      <c r="R635" s="27">
        <v>1.8607754682307132E-3</v>
      </c>
      <c r="S635" s="2">
        <v>0</v>
      </c>
      <c r="T635" s="2" t="s">
        <v>36</v>
      </c>
      <c r="U635" s="2" t="s">
        <v>37</v>
      </c>
      <c r="V635" s="2" t="s">
        <v>38</v>
      </c>
      <c r="W635" s="2" t="s">
        <v>35</v>
      </c>
      <c r="X635" s="2" t="s">
        <v>35</v>
      </c>
      <c r="Y635" s="2" t="s">
        <v>35</v>
      </c>
      <c r="Z635" s="2" t="b">
        <v>0</v>
      </c>
      <c r="AA635" s="2" t="s">
        <v>35</v>
      </c>
      <c r="AB635" s="2" t="s">
        <v>35</v>
      </c>
      <c r="AC635" s="2">
        <v>5</v>
      </c>
      <c r="AD635" s="2">
        <v>3</v>
      </c>
      <c r="AE635" s="2" t="s">
        <v>688</v>
      </c>
      <c r="AF635" s="11">
        <v>44747.395138888889</v>
      </c>
      <c r="AG635" s="53"/>
      <c r="AH635" s="53" t="b">
        <f t="shared" si="14"/>
        <v>0</v>
      </c>
      <c r="AI635" s="54" t="s">
        <v>10370</v>
      </c>
      <c r="AJ635" s="2"/>
      <c r="AK635" s="2"/>
      <c r="AL635" s="2"/>
      <c r="AM635" s="2"/>
      <c r="AN635" s="2"/>
    </row>
    <row r="636" spans="1:40" ht="16" x14ac:dyDescent="0.2">
      <c r="A636" s="2" t="s">
        <v>1491</v>
      </c>
      <c r="B636" s="2">
        <v>453</v>
      </c>
      <c r="C636" s="2" t="b">
        <v>0</v>
      </c>
      <c r="D636" s="2" t="b">
        <v>0</v>
      </c>
      <c r="E636" s="2" t="b">
        <v>0</v>
      </c>
      <c r="F636" s="2" t="b">
        <v>0</v>
      </c>
      <c r="G636" s="2" t="s">
        <v>31</v>
      </c>
      <c r="H636" s="2" t="s">
        <v>1492</v>
      </c>
      <c r="I636" s="2" t="s">
        <v>1493</v>
      </c>
      <c r="J636" s="2" t="s">
        <v>35</v>
      </c>
      <c r="K636" s="2" t="s">
        <v>35</v>
      </c>
      <c r="L636" s="2" t="s">
        <v>35</v>
      </c>
      <c r="M636" s="2" t="s">
        <v>35</v>
      </c>
      <c r="N636" s="2" t="s">
        <v>35</v>
      </c>
      <c r="O636" s="11">
        <v>44747.435256238423</v>
      </c>
      <c r="P636" s="11">
        <v>44747.435404004631</v>
      </c>
      <c r="Q636" s="27">
        <v>1.4776620810152963E-4</v>
      </c>
      <c r="R636" s="27">
        <v>1.023333337798249E-3</v>
      </c>
      <c r="S636" s="2">
        <v>0</v>
      </c>
      <c r="T636" s="2" t="s">
        <v>36</v>
      </c>
      <c r="U636" s="2" t="s">
        <v>37</v>
      </c>
      <c r="V636" s="2" t="s">
        <v>38</v>
      </c>
      <c r="W636" s="2" t="s">
        <v>35</v>
      </c>
      <c r="X636" s="2" t="s">
        <v>35</v>
      </c>
      <c r="Y636" s="2" t="s">
        <v>35</v>
      </c>
      <c r="Z636" s="2" t="b">
        <v>0</v>
      </c>
      <c r="AA636" s="2" t="s">
        <v>35</v>
      </c>
      <c r="AB636" s="2" t="s">
        <v>35</v>
      </c>
      <c r="AC636" s="2" t="s">
        <v>35</v>
      </c>
      <c r="AD636" s="2">
        <v>3</v>
      </c>
      <c r="AE636" s="2" t="s">
        <v>1464</v>
      </c>
      <c r="AF636" s="11">
        <v>44747.425694386577</v>
      </c>
      <c r="AG636" s="53"/>
      <c r="AH636" s="53" t="b">
        <f t="shared" si="14"/>
        <v>0</v>
      </c>
      <c r="AI636" s="54" t="s">
        <v>9539</v>
      </c>
      <c r="AJ636" s="2"/>
      <c r="AK636" s="2"/>
      <c r="AL636" s="2"/>
      <c r="AM636" s="2"/>
      <c r="AN636" s="2"/>
    </row>
    <row r="637" spans="1:40" ht="16" x14ac:dyDescent="0.2">
      <c r="A637" s="2" t="s">
        <v>1494</v>
      </c>
      <c r="B637" s="2">
        <v>454</v>
      </c>
      <c r="C637" s="2" t="b">
        <v>0</v>
      </c>
      <c r="D637" s="2" t="b">
        <v>0</v>
      </c>
      <c r="E637" s="2" t="b">
        <v>0</v>
      </c>
      <c r="F637" s="2" t="b">
        <v>0</v>
      </c>
      <c r="G637" s="2" t="s">
        <v>31</v>
      </c>
      <c r="H637" s="2" t="s">
        <v>1495</v>
      </c>
      <c r="I637" s="2" t="s">
        <v>1496</v>
      </c>
      <c r="J637" s="2" t="s">
        <v>35</v>
      </c>
      <c r="K637" s="2" t="s">
        <v>35</v>
      </c>
      <c r="L637" s="2" t="s">
        <v>35</v>
      </c>
      <c r="M637" s="2" t="s">
        <v>35</v>
      </c>
      <c r="N637" s="2" t="s">
        <v>35</v>
      </c>
      <c r="O637" s="11">
        <v>44747.436111689814</v>
      </c>
      <c r="P637" s="11">
        <v>44747.436241909723</v>
      </c>
      <c r="Q637" s="27">
        <v>1.3021990889683366E-4</v>
      </c>
      <c r="R637" s="27">
        <v>8.3790509233949706E-4</v>
      </c>
      <c r="S637" s="2">
        <v>0</v>
      </c>
      <c r="T637" s="2" t="s">
        <v>36</v>
      </c>
      <c r="U637" s="2" t="s">
        <v>37</v>
      </c>
      <c r="V637" s="2" t="s">
        <v>38</v>
      </c>
      <c r="W637" s="2" t="s">
        <v>35</v>
      </c>
      <c r="X637" s="2" t="s">
        <v>35</v>
      </c>
      <c r="Y637" s="2" t="s">
        <v>35</v>
      </c>
      <c r="Z637" s="2" t="b">
        <v>0</v>
      </c>
      <c r="AA637" s="2" t="s">
        <v>35</v>
      </c>
      <c r="AB637" s="2" t="s">
        <v>35</v>
      </c>
      <c r="AC637" s="2" t="s">
        <v>35</v>
      </c>
      <c r="AD637" s="2">
        <v>4</v>
      </c>
      <c r="AE637" s="2" t="s">
        <v>1464</v>
      </c>
      <c r="AF637" s="11">
        <v>44747.425694386577</v>
      </c>
      <c r="AG637" s="53"/>
      <c r="AH637" s="53" t="b">
        <f t="shared" si="14"/>
        <v>0</v>
      </c>
      <c r="AI637" s="54" t="s">
        <v>10371</v>
      </c>
      <c r="AJ637" s="2"/>
      <c r="AK637" s="2"/>
      <c r="AL637" s="2"/>
      <c r="AM637" s="2"/>
      <c r="AN637" s="2"/>
    </row>
    <row r="638" spans="1:40" ht="16" x14ac:dyDescent="0.2">
      <c r="A638" s="68" t="s">
        <v>1497</v>
      </c>
      <c r="B638" s="68">
        <v>455</v>
      </c>
      <c r="C638" s="68" t="b">
        <v>0</v>
      </c>
      <c r="D638" s="68" t="b">
        <v>0</v>
      </c>
      <c r="E638" s="68" t="b">
        <v>0</v>
      </c>
      <c r="F638" s="68" t="b">
        <v>0</v>
      </c>
      <c r="G638" s="68" t="s">
        <v>31</v>
      </c>
      <c r="H638" s="68" t="s">
        <v>149</v>
      </c>
      <c r="I638" s="68" t="s">
        <v>1498</v>
      </c>
      <c r="J638" s="68" t="s">
        <v>35</v>
      </c>
      <c r="K638" s="68" t="s">
        <v>35</v>
      </c>
      <c r="L638" s="68" t="s">
        <v>35</v>
      </c>
      <c r="M638" s="68" t="s">
        <v>35</v>
      </c>
      <c r="N638" s="68" t="s">
        <v>35</v>
      </c>
      <c r="O638" s="69">
        <v>44747.437792395831</v>
      </c>
      <c r="P638" s="69">
        <v>44747.437917499999</v>
      </c>
      <c r="Q638" s="70">
        <v>1.2510416854638606E-4</v>
      </c>
      <c r="R638" s="70">
        <v>1.675590276136063E-3</v>
      </c>
      <c r="S638" s="68">
        <v>0</v>
      </c>
      <c r="T638" s="68" t="s">
        <v>36</v>
      </c>
      <c r="U638" s="68" t="s">
        <v>37</v>
      </c>
      <c r="V638" s="68" t="s">
        <v>38</v>
      </c>
      <c r="W638" s="68" t="s">
        <v>35</v>
      </c>
      <c r="X638" s="68" t="s">
        <v>35</v>
      </c>
      <c r="Y638" s="68" t="s">
        <v>35</v>
      </c>
      <c r="Z638" s="68" t="b">
        <v>0</v>
      </c>
      <c r="AA638" s="68" t="s">
        <v>35</v>
      </c>
      <c r="AB638" s="68" t="s">
        <v>35</v>
      </c>
      <c r="AC638" s="68" t="s">
        <v>35</v>
      </c>
      <c r="AD638" s="68">
        <v>3</v>
      </c>
      <c r="AE638" s="68" t="s">
        <v>1464</v>
      </c>
      <c r="AF638" s="69">
        <v>44747.425694386577</v>
      </c>
      <c r="AG638" s="71"/>
      <c r="AH638" s="53" t="b">
        <f t="shared" si="14"/>
        <v>0</v>
      </c>
      <c r="AI638" s="56" t="s">
        <v>35</v>
      </c>
      <c r="AJ638" s="68"/>
      <c r="AK638" s="68"/>
      <c r="AL638" s="68"/>
      <c r="AM638" s="68"/>
      <c r="AN638" s="68"/>
    </row>
    <row r="639" spans="1:40" ht="16" x14ac:dyDescent="0.2">
      <c r="A639" s="2" t="s">
        <v>1499</v>
      </c>
      <c r="B639" s="2">
        <v>456</v>
      </c>
      <c r="C639" s="2" t="b">
        <v>0</v>
      </c>
      <c r="D639" s="2" t="b">
        <v>0</v>
      </c>
      <c r="E639" s="2" t="b">
        <v>0</v>
      </c>
      <c r="F639" s="2" t="b">
        <v>0</v>
      </c>
      <c r="G639" s="2" t="s">
        <v>31</v>
      </c>
      <c r="H639" s="2" t="s">
        <v>1500</v>
      </c>
      <c r="I639" s="2" t="s">
        <v>1501</v>
      </c>
      <c r="J639" s="2" t="s">
        <v>35</v>
      </c>
      <c r="K639" s="2" t="s">
        <v>35</v>
      </c>
      <c r="L639" s="2" t="s">
        <v>35</v>
      </c>
      <c r="M639" s="2" t="s">
        <v>35</v>
      </c>
      <c r="N639" s="2" t="s">
        <v>35</v>
      </c>
      <c r="O639" s="11">
        <v>44747.439230231481</v>
      </c>
      <c r="P639" s="11">
        <v>44747.439370138891</v>
      </c>
      <c r="Q639" s="27">
        <v>1.3990740990266204E-4</v>
      </c>
      <c r="R639" s="27">
        <v>1.4526388913509436E-3</v>
      </c>
      <c r="S639" s="2">
        <v>0</v>
      </c>
      <c r="T639" s="2" t="s">
        <v>36</v>
      </c>
      <c r="U639" s="2" t="s">
        <v>37</v>
      </c>
      <c r="V639" s="2" t="s">
        <v>38</v>
      </c>
      <c r="W639" s="2" t="s">
        <v>35</v>
      </c>
      <c r="X639" s="2" t="s">
        <v>35</v>
      </c>
      <c r="Y639" s="2" t="s">
        <v>35</v>
      </c>
      <c r="Z639" s="2" t="b">
        <v>0</v>
      </c>
      <c r="AA639" s="2" t="s">
        <v>35</v>
      </c>
      <c r="AB639" s="2" t="s">
        <v>35</v>
      </c>
      <c r="AC639" s="2" t="s">
        <v>35</v>
      </c>
      <c r="AD639" s="2">
        <v>3</v>
      </c>
      <c r="AE639" s="2" t="s">
        <v>1464</v>
      </c>
      <c r="AF639" s="11">
        <v>44747.425694386577</v>
      </c>
      <c r="AG639" s="53"/>
      <c r="AH639" s="53" t="b">
        <f t="shared" si="14"/>
        <v>0</v>
      </c>
      <c r="AI639" s="54" t="s">
        <v>9538</v>
      </c>
      <c r="AJ639" s="2"/>
      <c r="AK639" s="2"/>
      <c r="AL639" s="2"/>
      <c r="AM639" s="2"/>
      <c r="AN639" s="2"/>
    </row>
    <row r="640" spans="1:40" ht="16" x14ac:dyDescent="0.2">
      <c r="A640" s="2" t="s">
        <v>1502</v>
      </c>
      <c r="B640" s="2">
        <v>457</v>
      </c>
      <c r="C640" s="2" t="b">
        <v>0</v>
      </c>
      <c r="D640" s="2" t="b">
        <v>0</v>
      </c>
      <c r="E640" s="2" t="b">
        <v>0</v>
      </c>
      <c r="F640" s="2" t="b">
        <v>0</v>
      </c>
      <c r="G640" s="2" t="s">
        <v>31</v>
      </c>
      <c r="H640" s="2" t="s">
        <v>1503</v>
      </c>
      <c r="I640" s="2" t="s">
        <v>1504</v>
      </c>
      <c r="J640" s="2" t="s">
        <v>1505</v>
      </c>
      <c r="K640" s="2" t="s">
        <v>35</v>
      </c>
      <c r="L640" s="2" t="s">
        <v>35</v>
      </c>
      <c r="M640" s="2" t="s">
        <v>35</v>
      </c>
      <c r="N640" s="2" t="s">
        <v>35</v>
      </c>
      <c r="O640" s="11">
        <v>44747.441109201391</v>
      </c>
      <c r="P640" s="11">
        <v>44747.441422164353</v>
      </c>
      <c r="Q640" s="27">
        <v>3.1296296219807118E-4</v>
      </c>
      <c r="R640" s="27">
        <v>2.0520254620350897E-3</v>
      </c>
      <c r="S640" s="2">
        <v>0</v>
      </c>
      <c r="T640" s="2" t="s">
        <v>36</v>
      </c>
      <c r="U640" s="2" t="s">
        <v>37</v>
      </c>
      <c r="V640" s="2" t="s">
        <v>38</v>
      </c>
      <c r="W640" s="2" t="s">
        <v>35</v>
      </c>
      <c r="X640" s="2" t="s">
        <v>35</v>
      </c>
      <c r="Y640" s="2" t="s">
        <v>35</v>
      </c>
      <c r="Z640" s="2" t="b">
        <v>0</v>
      </c>
      <c r="AA640" s="2" t="s">
        <v>35</v>
      </c>
      <c r="AB640" s="2" t="s">
        <v>35</v>
      </c>
      <c r="AC640" s="2">
        <v>4</v>
      </c>
      <c r="AD640" s="2">
        <v>3</v>
      </c>
      <c r="AE640" s="2" t="s">
        <v>1464</v>
      </c>
      <c r="AF640" s="11">
        <v>44747.425694386577</v>
      </c>
      <c r="AG640" s="53"/>
      <c r="AH640" s="53" t="b">
        <f t="shared" si="14"/>
        <v>0</v>
      </c>
      <c r="AI640" s="54" t="s">
        <v>10372</v>
      </c>
      <c r="AJ640" s="2"/>
      <c r="AK640" s="2"/>
      <c r="AL640" s="2"/>
      <c r="AM640" s="2"/>
      <c r="AN640" s="2"/>
    </row>
    <row r="641" spans="1:40" ht="16" x14ac:dyDescent="0.2">
      <c r="A641" s="2" t="s">
        <v>1506</v>
      </c>
      <c r="B641" s="2">
        <v>458</v>
      </c>
      <c r="C641" s="2" t="b">
        <v>0</v>
      </c>
      <c r="D641" s="2" t="b">
        <v>0</v>
      </c>
      <c r="E641" s="2" t="b">
        <v>0</v>
      </c>
      <c r="F641" s="2" t="b">
        <v>0</v>
      </c>
      <c r="G641" s="2" t="s">
        <v>31</v>
      </c>
      <c r="H641" s="2" t="s">
        <v>1507</v>
      </c>
      <c r="I641" s="2" t="s">
        <v>1508</v>
      </c>
      <c r="J641" s="2" t="s">
        <v>35</v>
      </c>
      <c r="K641" s="2" t="s">
        <v>35</v>
      </c>
      <c r="L641" s="2" t="s">
        <v>35</v>
      </c>
      <c r="M641" s="2" t="s">
        <v>35</v>
      </c>
      <c r="N641" s="2" t="s">
        <v>35</v>
      </c>
      <c r="O641" s="11">
        <v>44747.442461099534</v>
      </c>
      <c r="P641" s="11">
        <v>44747.44258978009</v>
      </c>
      <c r="Q641" s="27">
        <v>1.2868055637227371E-4</v>
      </c>
      <c r="R641" s="27">
        <v>1.1676157373585738E-3</v>
      </c>
      <c r="S641" s="2">
        <v>0</v>
      </c>
      <c r="T641" s="2" t="s">
        <v>36</v>
      </c>
      <c r="U641" s="2" t="s">
        <v>37</v>
      </c>
      <c r="V641" s="2" t="s">
        <v>38</v>
      </c>
      <c r="W641" s="2" t="s">
        <v>35</v>
      </c>
      <c r="X641" s="2" t="s">
        <v>35</v>
      </c>
      <c r="Y641" s="2" t="s">
        <v>35</v>
      </c>
      <c r="Z641" s="2" t="b">
        <v>0</v>
      </c>
      <c r="AA641" s="2" t="s">
        <v>35</v>
      </c>
      <c r="AB641" s="2" t="s">
        <v>35</v>
      </c>
      <c r="AC641" s="2" t="s">
        <v>35</v>
      </c>
      <c r="AD641" s="2">
        <v>5</v>
      </c>
      <c r="AE641" s="2" t="s">
        <v>1464</v>
      </c>
      <c r="AF641" s="11">
        <v>44747.425694386577</v>
      </c>
      <c r="AG641" s="53"/>
      <c r="AH641" s="53" t="b">
        <f t="shared" si="14"/>
        <v>0</v>
      </c>
      <c r="AI641" s="54" t="s">
        <v>10373</v>
      </c>
      <c r="AJ641" s="2"/>
      <c r="AK641" s="2"/>
      <c r="AL641" s="2"/>
      <c r="AM641" s="2"/>
      <c r="AN641" s="2"/>
    </row>
    <row r="642" spans="1:40" ht="16" x14ac:dyDescent="0.2">
      <c r="A642" s="2" t="s">
        <v>1512</v>
      </c>
      <c r="B642" s="2">
        <v>460</v>
      </c>
      <c r="C642" s="2" t="b">
        <v>0</v>
      </c>
      <c r="D642" s="2" t="b">
        <v>0</v>
      </c>
      <c r="E642" s="2" t="b">
        <v>0</v>
      </c>
      <c r="F642" s="2" t="b">
        <v>0</v>
      </c>
      <c r="G642" s="2" t="s">
        <v>31</v>
      </c>
      <c r="H642" s="2" t="s">
        <v>1513</v>
      </c>
      <c r="I642" s="2" t="s">
        <v>1514</v>
      </c>
      <c r="J642" s="2" t="s">
        <v>1515</v>
      </c>
      <c r="K642" s="2" t="s">
        <v>35</v>
      </c>
      <c r="L642" s="2" t="s">
        <v>35</v>
      </c>
      <c r="M642" s="2" t="s">
        <v>35</v>
      </c>
      <c r="N642" s="2" t="s">
        <v>35</v>
      </c>
      <c r="O642" s="11">
        <v>44747.444102974536</v>
      </c>
      <c r="P642" s="11">
        <v>44747.444402013891</v>
      </c>
      <c r="Q642" s="27">
        <v>2.9903935501351953E-4</v>
      </c>
      <c r="R642" s="27">
        <v>1.5037615739856847E-3</v>
      </c>
      <c r="S642" s="2">
        <v>0</v>
      </c>
      <c r="T642" s="2" t="s">
        <v>36</v>
      </c>
      <c r="U642" s="2" t="s">
        <v>37</v>
      </c>
      <c r="V642" s="2" t="s">
        <v>38</v>
      </c>
      <c r="W642" s="2" t="s">
        <v>35</v>
      </c>
      <c r="X642" s="2" t="s">
        <v>35</v>
      </c>
      <c r="Y642" s="2" t="s">
        <v>35</v>
      </c>
      <c r="Z642" s="2" t="b">
        <v>0</v>
      </c>
      <c r="AA642" s="2" t="s">
        <v>35</v>
      </c>
      <c r="AB642" s="2" t="s">
        <v>35</v>
      </c>
      <c r="AC642" s="2">
        <v>4</v>
      </c>
      <c r="AD642" s="2">
        <v>3</v>
      </c>
      <c r="AE642" s="2" t="s">
        <v>1464</v>
      </c>
      <c r="AF642" s="11">
        <v>44747.425694386577</v>
      </c>
      <c r="AG642" s="53"/>
      <c r="AH642" s="53" t="b">
        <f t="shared" si="14"/>
        <v>0</v>
      </c>
      <c r="AI642" s="54" t="s">
        <v>10374</v>
      </c>
      <c r="AJ642" s="2"/>
      <c r="AK642" s="2"/>
      <c r="AL642" s="2"/>
      <c r="AM642" s="2"/>
      <c r="AN642" s="2"/>
    </row>
    <row r="643" spans="1:40" ht="16" x14ac:dyDescent="0.2">
      <c r="A643" s="2" t="s">
        <v>1516</v>
      </c>
      <c r="B643" s="2">
        <v>461</v>
      </c>
      <c r="C643" s="2" t="b">
        <v>0</v>
      </c>
      <c r="D643" s="2" t="b">
        <v>0</v>
      </c>
      <c r="E643" s="2" t="b">
        <v>0</v>
      </c>
      <c r="F643" s="2" t="b">
        <v>0</v>
      </c>
      <c r="G643" s="2" t="s">
        <v>31</v>
      </c>
      <c r="H643" s="2" t="s">
        <v>1517</v>
      </c>
      <c r="I643" s="2" t="s">
        <v>1518</v>
      </c>
      <c r="J643" s="2" t="s">
        <v>35</v>
      </c>
      <c r="K643" s="2" t="s">
        <v>35</v>
      </c>
      <c r="L643" s="2" t="s">
        <v>35</v>
      </c>
      <c r="M643" s="2" t="s">
        <v>35</v>
      </c>
      <c r="N643" s="2" t="s">
        <v>35</v>
      </c>
      <c r="O643" s="11">
        <v>44747.445540208333</v>
      </c>
      <c r="P643" s="11">
        <v>44747.445717083334</v>
      </c>
      <c r="Q643" s="27">
        <v>1.768750007613562E-4</v>
      </c>
      <c r="R643" s="27">
        <v>1.3150694430805743E-3</v>
      </c>
      <c r="S643" s="2">
        <v>0</v>
      </c>
      <c r="T643" s="2" t="s">
        <v>36</v>
      </c>
      <c r="U643" s="2" t="s">
        <v>37</v>
      </c>
      <c r="V643" s="2" t="s">
        <v>38</v>
      </c>
      <c r="W643" s="2" t="s">
        <v>35</v>
      </c>
      <c r="X643" s="2" t="s">
        <v>35</v>
      </c>
      <c r="Y643" s="2" t="s">
        <v>35</v>
      </c>
      <c r="Z643" s="2" t="b">
        <v>0</v>
      </c>
      <c r="AA643" s="2" t="s">
        <v>35</v>
      </c>
      <c r="AB643" s="2" t="s">
        <v>35</v>
      </c>
      <c r="AC643" s="2" t="s">
        <v>35</v>
      </c>
      <c r="AD643" s="2">
        <v>4</v>
      </c>
      <c r="AE643" s="2" t="s">
        <v>1464</v>
      </c>
      <c r="AF643" s="11">
        <v>44747.425694386577</v>
      </c>
      <c r="AG643" s="53"/>
      <c r="AH643" s="53" t="b">
        <f t="shared" si="14"/>
        <v>0</v>
      </c>
      <c r="AI643" s="54" t="s">
        <v>10375</v>
      </c>
      <c r="AJ643" s="2"/>
      <c r="AK643" s="2"/>
      <c r="AL643" s="2"/>
      <c r="AM643" s="2"/>
      <c r="AN643" s="2"/>
    </row>
    <row r="644" spans="1:40" ht="16" x14ac:dyDescent="0.2">
      <c r="A644" s="2" t="s">
        <v>1529</v>
      </c>
      <c r="B644" s="2">
        <v>465</v>
      </c>
      <c r="C644" s="2" t="b">
        <v>0</v>
      </c>
      <c r="D644" s="2" t="b">
        <v>0</v>
      </c>
      <c r="E644" s="2" t="b">
        <v>0</v>
      </c>
      <c r="F644" s="2" t="b">
        <v>0</v>
      </c>
      <c r="G644" s="2" t="s">
        <v>31</v>
      </c>
      <c r="H644" s="2" t="s">
        <v>1530</v>
      </c>
      <c r="I644" s="2" t="s">
        <v>1531</v>
      </c>
      <c r="J644" s="2" t="s">
        <v>1505</v>
      </c>
      <c r="K644" s="2" t="s">
        <v>35</v>
      </c>
      <c r="L644" s="2" t="s">
        <v>35</v>
      </c>
      <c r="M644" s="2" t="s">
        <v>35</v>
      </c>
      <c r="N644" s="2" t="s">
        <v>35</v>
      </c>
      <c r="O644" s="11">
        <v>44747.44880510417</v>
      </c>
      <c r="P644" s="11">
        <v>44747.449113391202</v>
      </c>
      <c r="Q644" s="27">
        <v>3.0828703165752813E-4</v>
      </c>
      <c r="R644" s="27">
        <v>1.0638425883371383E-3</v>
      </c>
      <c r="S644" s="2">
        <v>0</v>
      </c>
      <c r="T644" s="2" t="s">
        <v>36</v>
      </c>
      <c r="U644" s="2" t="s">
        <v>37</v>
      </c>
      <c r="V644" s="2" t="s">
        <v>38</v>
      </c>
      <c r="W644" s="2" t="s">
        <v>35</v>
      </c>
      <c r="X644" s="2" t="s">
        <v>35</v>
      </c>
      <c r="Y644" s="2" t="s">
        <v>35</v>
      </c>
      <c r="Z644" s="2" t="b">
        <v>0</v>
      </c>
      <c r="AA644" s="2" t="s">
        <v>35</v>
      </c>
      <c r="AB644" s="2" t="s">
        <v>35</v>
      </c>
      <c r="AC644" s="2">
        <v>7</v>
      </c>
      <c r="AD644" s="2">
        <v>2</v>
      </c>
      <c r="AE644" s="2" t="s">
        <v>1464</v>
      </c>
      <c r="AF644" s="11">
        <v>44747.425694386577</v>
      </c>
      <c r="AG644" s="53"/>
      <c r="AH644" s="53" t="b">
        <f t="shared" si="14"/>
        <v>0</v>
      </c>
      <c r="AI644" s="54" t="s">
        <v>10376</v>
      </c>
      <c r="AJ644" s="2"/>
      <c r="AK644" s="2"/>
      <c r="AL644" s="2"/>
      <c r="AM644" s="2"/>
      <c r="AN644" s="2"/>
    </row>
    <row r="645" spans="1:40" ht="16" x14ac:dyDescent="0.2">
      <c r="A645" s="2" t="s">
        <v>1532</v>
      </c>
      <c r="B645" s="2">
        <v>466</v>
      </c>
      <c r="C645" s="2" t="b">
        <v>0</v>
      </c>
      <c r="D645" s="2" t="b">
        <v>0</v>
      </c>
      <c r="E645" s="2" t="b">
        <v>0</v>
      </c>
      <c r="F645" s="2" t="b">
        <v>0</v>
      </c>
      <c r="G645" s="2" t="s">
        <v>31</v>
      </c>
      <c r="H645" s="2" t="s">
        <v>1533</v>
      </c>
      <c r="I645" s="2" t="s">
        <v>1534</v>
      </c>
      <c r="J645" s="2" t="s">
        <v>35</v>
      </c>
      <c r="K645" s="2" t="s">
        <v>35</v>
      </c>
      <c r="L645" s="2" t="s">
        <v>35</v>
      </c>
      <c r="M645" s="2" t="s">
        <v>35</v>
      </c>
      <c r="N645" s="2" t="s">
        <v>35</v>
      </c>
      <c r="O645" s="11">
        <v>44747.45001552083</v>
      </c>
      <c r="P645" s="11">
        <v>44747.450554305557</v>
      </c>
      <c r="Q645" s="27">
        <v>5.3878472681390122E-4</v>
      </c>
      <c r="R645" s="27">
        <v>1.4409143550437875E-3</v>
      </c>
      <c r="S645" s="2">
        <v>0</v>
      </c>
      <c r="T645" s="2" t="s">
        <v>36</v>
      </c>
      <c r="U645" s="2" t="s">
        <v>37</v>
      </c>
      <c r="V645" s="2" t="s">
        <v>38</v>
      </c>
      <c r="W645" s="2" t="s">
        <v>35</v>
      </c>
      <c r="X645" s="2" t="s">
        <v>35</v>
      </c>
      <c r="Y645" s="2" t="s">
        <v>35</v>
      </c>
      <c r="Z645" s="2" t="b">
        <v>0</v>
      </c>
      <c r="AA645" s="2" t="s">
        <v>35</v>
      </c>
      <c r="AB645" s="2" t="s">
        <v>35</v>
      </c>
      <c r="AC645" s="2" t="s">
        <v>35</v>
      </c>
      <c r="AD645" s="2">
        <v>5</v>
      </c>
      <c r="AE645" s="2" t="s">
        <v>1464</v>
      </c>
      <c r="AF645" s="11">
        <v>44747.425694386577</v>
      </c>
      <c r="AG645" s="53"/>
      <c r="AH645" s="53" t="b">
        <f t="shared" si="14"/>
        <v>0</v>
      </c>
      <c r="AI645" s="54" t="s">
        <v>10377</v>
      </c>
      <c r="AJ645" s="2"/>
      <c r="AK645" s="2"/>
      <c r="AL645" s="2"/>
      <c r="AM645" s="2"/>
      <c r="AN645" s="2"/>
    </row>
    <row r="646" spans="1:40" ht="16" x14ac:dyDescent="0.2">
      <c r="A646" s="2" t="s">
        <v>1535</v>
      </c>
      <c r="B646" s="2">
        <v>467</v>
      </c>
      <c r="C646" s="2" t="b">
        <v>0</v>
      </c>
      <c r="D646" s="2" t="b">
        <v>0</v>
      </c>
      <c r="E646" s="2" t="b">
        <v>0</v>
      </c>
      <c r="F646" s="2" t="b">
        <v>0</v>
      </c>
      <c r="G646" s="2" t="s">
        <v>31</v>
      </c>
      <c r="H646" s="2" t="s">
        <v>1536</v>
      </c>
      <c r="I646" s="2" t="s">
        <v>1537</v>
      </c>
      <c r="J646" s="2" t="s">
        <v>35</v>
      </c>
      <c r="K646" s="2" t="s">
        <v>35</v>
      </c>
      <c r="L646" s="2" t="s">
        <v>35</v>
      </c>
      <c r="M646" s="2" t="s">
        <v>35</v>
      </c>
      <c r="N646" s="2" t="s">
        <v>35</v>
      </c>
      <c r="O646" s="11">
        <v>44747.451429953704</v>
      </c>
      <c r="P646" s="11">
        <v>44747.451570914352</v>
      </c>
      <c r="Q646" s="27">
        <v>1.4096064842306077E-4</v>
      </c>
      <c r="R646" s="27">
        <v>1.0166087959078141E-3</v>
      </c>
      <c r="S646" s="2">
        <v>0</v>
      </c>
      <c r="T646" s="2" t="s">
        <v>36</v>
      </c>
      <c r="U646" s="2" t="s">
        <v>37</v>
      </c>
      <c r="V646" s="2" t="s">
        <v>38</v>
      </c>
      <c r="W646" s="2" t="s">
        <v>35</v>
      </c>
      <c r="X646" s="2" t="s">
        <v>35</v>
      </c>
      <c r="Y646" s="2" t="s">
        <v>35</v>
      </c>
      <c r="Z646" s="2" t="b">
        <v>0</v>
      </c>
      <c r="AA646" s="2" t="s">
        <v>35</v>
      </c>
      <c r="AB646" s="2" t="s">
        <v>35</v>
      </c>
      <c r="AC646" s="2" t="s">
        <v>35</v>
      </c>
      <c r="AD646" s="2">
        <v>3</v>
      </c>
      <c r="AE646" s="2" t="s">
        <v>1464</v>
      </c>
      <c r="AF646" s="11">
        <v>44747.425694386577</v>
      </c>
      <c r="AG646" s="53"/>
      <c r="AH646" s="53" t="b">
        <f t="shared" si="14"/>
        <v>0</v>
      </c>
      <c r="AI646" s="54" t="s">
        <v>10378</v>
      </c>
      <c r="AJ646" s="2"/>
      <c r="AK646" s="2"/>
      <c r="AL646" s="2"/>
      <c r="AM646" s="2"/>
      <c r="AN646" s="2"/>
    </row>
    <row r="647" spans="1:40" ht="16" x14ac:dyDescent="0.2">
      <c r="A647" s="2" t="s">
        <v>1544</v>
      </c>
      <c r="B647" s="2">
        <v>470</v>
      </c>
      <c r="C647" s="2" t="b">
        <v>0</v>
      </c>
      <c r="D647" s="2" t="b">
        <v>0</v>
      </c>
      <c r="E647" s="2" t="b">
        <v>0</v>
      </c>
      <c r="F647" s="2" t="b">
        <v>0</v>
      </c>
      <c r="G647" s="2" t="s">
        <v>31</v>
      </c>
      <c r="H647" s="2" t="s">
        <v>1545</v>
      </c>
      <c r="I647" s="2" t="s">
        <v>1546</v>
      </c>
      <c r="J647" s="2" t="s">
        <v>35</v>
      </c>
      <c r="K647" s="2" t="s">
        <v>35</v>
      </c>
      <c r="L647" s="2" t="s">
        <v>35</v>
      </c>
      <c r="M647" s="2" t="s">
        <v>35</v>
      </c>
      <c r="N647" s="2" t="s">
        <v>35</v>
      </c>
      <c r="O647" s="11">
        <v>44747.453460196761</v>
      </c>
      <c r="P647" s="11">
        <v>44747.453572500002</v>
      </c>
      <c r="Q647" s="27">
        <v>1.1230324162170291E-4</v>
      </c>
      <c r="R647" s="27">
        <v>4.9331018817611039E-4</v>
      </c>
      <c r="S647" s="2">
        <v>0</v>
      </c>
      <c r="T647" s="2" t="s">
        <v>36</v>
      </c>
      <c r="U647" s="2" t="s">
        <v>37</v>
      </c>
      <c r="V647" s="2" t="s">
        <v>38</v>
      </c>
      <c r="W647" s="2" t="s">
        <v>35</v>
      </c>
      <c r="X647" s="2" t="s">
        <v>35</v>
      </c>
      <c r="Y647" s="2" t="s">
        <v>35</v>
      </c>
      <c r="Z647" s="2" t="b">
        <v>0</v>
      </c>
      <c r="AA647" s="2" t="s">
        <v>35</v>
      </c>
      <c r="AB647" s="2" t="s">
        <v>35</v>
      </c>
      <c r="AC647" s="2" t="s">
        <v>35</v>
      </c>
      <c r="AD647" s="2">
        <v>2</v>
      </c>
      <c r="AE647" s="2" t="s">
        <v>1464</v>
      </c>
      <c r="AF647" s="11">
        <v>44747.425694386577</v>
      </c>
      <c r="AG647" s="53"/>
      <c r="AH647" s="53" t="b">
        <f t="shared" si="14"/>
        <v>0</v>
      </c>
      <c r="AI647" s="54" t="s">
        <v>10379</v>
      </c>
      <c r="AJ647" s="2"/>
      <c r="AK647" s="2"/>
      <c r="AL647" s="2"/>
      <c r="AM647" s="2"/>
      <c r="AN647" s="2"/>
    </row>
    <row r="648" spans="1:40" ht="16" x14ac:dyDescent="0.2">
      <c r="A648" s="2" t="s">
        <v>1547</v>
      </c>
      <c r="B648" s="2">
        <v>471</v>
      </c>
      <c r="C648" s="2" t="b">
        <v>0</v>
      </c>
      <c r="D648" s="2" t="b">
        <v>0</v>
      </c>
      <c r="E648" s="2" t="b">
        <v>0</v>
      </c>
      <c r="F648" s="2" t="b">
        <v>0</v>
      </c>
      <c r="G648" s="2" t="s">
        <v>31</v>
      </c>
      <c r="H648" s="2" t="s">
        <v>1548</v>
      </c>
      <c r="I648" s="2" t="s">
        <v>1549</v>
      </c>
      <c r="J648" s="2" t="s">
        <v>35</v>
      </c>
      <c r="K648" s="2" t="s">
        <v>35</v>
      </c>
      <c r="L648" s="2" t="s">
        <v>35</v>
      </c>
      <c r="M648" s="2" t="s">
        <v>35</v>
      </c>
      <c r="N648" s="2" t="s">
        <v>35</v>
      </c>
      <c r="O648" s="11">
        <v>44747.454365196762</v>
      </c>
      <c r="P648" s="11">
        <v>44747.45448266204</v>
      </c>
      <c r="Q648" s="27">
        <v>1.1746527889044955E-4</v>
      </c>
      <c r="R648" s="27">
        <v>9.1016203805338591E-4</v>
      </c>
      <c r="S648" s="2">
        <v>0</v>
      </c>
      <c r="T648" s="2" t="s">
        <v>36</v>
      </c>
      <c r="U648" s="2" t="s">
        <v>37</v>
      </c>
      <c r="V648" s="2" t="s">
        <v>38</v>
      </c>
      <c r="W648" s="2" t="s">
        <v>35</v>
      </c>
      <c r="X648" s="2" t="s">
        <v>35</v>
      </c>
      <c r="Y648" s="2" t="s">
        <v>35</v>
      </c>
      <c r="Z648" s="2" t="b">
        <v>0</v>
      </c>
      <c r="AA648" s="2" t="s">
        <v>35</v>
      </c>
      <c r="AB648" s="2" t="s">
        <v>35</v>
      </c>
      <c r="AC648" s="2" t="s">
        <v>35</v>
      </c>
      <c r="AD648" s="2">
        <v>4</v>
      </c>
      <c r="AE648" s="2" t="s">
        <v>1464</v>
      </c>
      <c r="AF648" s="11">
        <v>44747.425694386577</v>
      </c>
      <c r="AG648" s="53"/>
      <c r="AH648" s="53" t="b">
        <f t="shared" si="14"/>
        <v>0</v>
      </c>
      <c r="AI648" s="54" t="s">
        <v>10380</v>
      </c>
      <c r="AJ648" s="2"/>
      <c r="AK648" s="2"/>
      <c r="AL648" s="2"/>
      <c r="AM648" s="2"/>
      <c r="AN648" s="2"/>
    </row>
    <row r="649" spans="1:40" ht="16" x14ac:dyDescent="0.2">
      <c r="A649" s="2" t="s">
        <v>1550</v>
      </c>
      <c r="B649" s="2">
        <v>472</v>
      </c>
      <c r="C649" s="2" t="b">
        <v>0</v>
      </c>
      <c r="D649" s="2" t="b">
        <v>0</v>
      </c>
      <c r="E649" s="2" t="b">
        <v>0</v>
      </c>
      <c r="F649" s="2" t="b">
        <v>0</v>
      </c>
      <c r="G649" s="2" t="s">
        <v>31</v>
      </c>
      <c r="H649" s="2" t="s">
        <v>1551</v>
      </c>
      <c r="I649" s="2" t="s">
        <v>1552</v>
      </c>
      <c r="J649" s="2" t="s">
        <v>1553</v>
      </c>
      <c r="K649" s="2" t="s">
        <v>35</v>
      </c>
      <c r="L649" s="2" t="s">
        <v>35</v>
      </c>
      <c r="M649" s="2" t="s">
        <v>35</v>
      </c>
      <c r="N649" s="2" t="s">
        <v>35</v>
      </c>
      <c r="O649" s="11">
        <v>44747.455788391206</v>
      </c>
      <c r="P649" s="11">
        <v>44747.456024039355</v>
      </c>
      <c r="Q649" s="27">
        <v>2.3564814910059795E-4</v>
      </c>
      <c r="R649" s="27">
        <v>1.5413773144246079E-3</v>
      </c>
      <c r="S649" s="2">
        <v>0</v>
      </c>
      <c r="T649" s="2" t="s">
        <v>36</v>
      </c>
      <c r="U649" s="2" t="s">
        <v>37</v>
      </c>
      <c r="V649" s="2" t="s">
        <v>38</v>
      </c>
      <c r="W649" s="2" t="s">
        <v>35</v>
      </c>
      <c r="X649" s="2" t="s">
        <v>35</v>
      </c>
      <c r="Y649" s="2" t="s">
        <v>35</v>
      </c>
      <c r="Z649" s="2" t="b">
        <v>0</v>
      </c>
      <c r="AA649" s="2" t="s">
        <v>35</v>
      </c>
      <c r="AB649" s="2" t="s">
        <v>35</v>
      </c>
      <c r="AC649" s="2">
        <v>4</v>
      </c>
      <c r="AD649" s="2">
        <v>4</v>
      </c>
      <c r="AE649" s="2" t="s">
        <v>1464</v>
      </c>
      <c r="AF649" s="11">
        <v>44747.425694386577</v>
      </c>
      <c r="AG649" s="53"/>
      <c r="AH649" s="53" t="b">
        <f t="shared" si="14"/>
        <v>0</v>
      </c>
      <c r="AI649" s="54" t="s">
        <v>10381</v>
      </c>
      <c r="AJ649" s="2"/>
      <c r="AK649" s="2"/>
      <c r="AL649" s="2"/>
      <c r="AM649" s="2"/>
      <c r="AN649" s="2"/>
    </row>
    <row r="650" spans="1:40" ht="16" x14ac:dyDescent="0.2">
      <c r="A650" s="2" t="s">
        <v>1554</v>
      </c>
      <c r="B650" s="2">
        <v>473</v>
      </c>
      <c r="C650" s="2" t="b">
        <v>0</v>
      </c>
      <c r="D650" s="2" t="b">
        <v>0</v>
      </c>
      <c r="E650" s="2" t="b">
        <v>0</v>
      </c>
      <c r="F650" s="2" t="b">
        <v>0</v>
      </c>
      <c r="G650" s="2" t="s">
        <v>31</v>
      </c>
      <c r="H650" s="2" t="s">
        <v>1555</v>
      </c>
      <c r="I650" s="2" t="s">
        <v>1556</v>
      </c>
      <c r="J650" s="2" t="s">
        <v>1557</v>
      </c>
      <c r="K650" s="2" t="s">
        <v>35</v>
      </c>
      <c r="L650" s="2" t="s">
        <v>35</v>
      </c>
      <c r="M650" s="2" t="s">
        <v>35</v>
      </c>
      <c r="N650" s="2" t="s">
        <v>35</v>
      </c>
      <c r="O650" s="11">
        <v>44747.45700923611</v>
      </c>
      <c r="P650" s="11">
        <v>44747.457495219911</v>
      </c>
      <c r="Q650" s="27">
        <v>4.8598380089970306E-4</v>
      </c>
      <c r="R650" s="27">
        <v>1.4711805561091751E-3</v>
      </c>
      <c r="S650" s="2">
        <v>0</v>
      </c>
      <c r="T650" s="2" t="s">
        <v>36</v>
      </c>
      <c r="U650" s="2" t="s">
        <v>37</v>
      </c>
      <c r="V650" s="2" t="s">
        <v>38</v>
      </c>
      <c r="W650" s="2" t="s">
        <v>35</v>
      </c>
      <c r="X650" s="2" t="s">
        <v>35</v>
      </c>
      <c r="Y650" s="2" t="s">
        <v>35</v>
      </c>
      <c r="Z650" s="2" t="b">
        <v>0</v>
      </c>
      <c r="AA650" s="2" t="s">
        <v>35</v>
      </c>
      <c r="AB650" s="2" t="s">
        <v>35</v>
      </c>
      <c r="AC650" s="2">
        <v>6</v>
      </c>
      <c r="AD650" s="2" t="s">
        <v>35</v>
      </c>
      <c r="AE650" s="2" t="s">
        <v>1464</v>
      </c>
      <c r="AF650" s="11">
        <v>44747.425694386577</v>
      </c>
      <c r="AG650" s="53"/>
      <c r="AH650" s="53" t="b">
        <f t="shared" si="14"/>
        <v>0</v>
      </c>
      <c r="AI650" s="54" t="s">
        <v>10382</v>
      </c>
      <c r="AJ650" s="2"/>
      <c r="AK650" s="2"/>
      <c r="AL650" s="2"/>
      <c r="AM650" s="2"/>
      <c r="AN650" s="2"/>
    </row>
    <row r="651" spans="1:40" ht="16" x14ac:dyDescent="0.2">
      <c r="A651" s="2" t="s">
        <v>1562</v>
      </c>
      <c r="B651" s="2">
        <v>475</v>
      </c>
      <c r="C651" s="2" t="b">
        <v>0</v>
      </c>
      <c r="D651" s="2" t="b">
        <v>0</v>
      </c>
      <c r="E651" s="2" t="b">
        <v>0</v>
      </c>
      <c r="F651" s="2" t="b">
        <v>0</v>
      </c>
      <c r="G651" s="2" t="s">
        <v>31</v>
      </c>
      <c r="H651" s="2" t="s">
        <v>1563</v>
      </c>
      <c r="I651" s="2" t="s">
        <v>1564</v>
      </c>
      <c r="J651" s="2" t="s">
        <v>1565</v>
      </c>
      <c r="K651" s="2" t="s">
        <v>35</v>
      </c>
      <c r="L651" s="2" t="s">
        <v>35</v>
      </c>
      <c r="M651" s="2" t="s">
        <v>35</v>
      </c>
      <c r="N651" s="2" t="s">
        <v>35</v>
      </c>
      <c r="O651" s="11">
        <v>44747.459511215275</v>
      </c>
      <c r="P651" s="11">
        <v>44747.460035150463</v>
      </c>
      <c r="Q651" s="27">
        <v>5.2393518853932619E-4</v>
      </c>
      <c r="R651" s="27">
        <v>1.5470601865672506E-3</v>
      </c>
      <c r="S651" s="2">
        <v>0</v>
      </c>
      <c r="T651" s="2" t="s">
        <v>36</v>
      </c>
      <c r="U651" s="2" t="s">
        <v>37</v>
      </c>
      <c r="V651" s="2" t="s">
        <v>38</v>
      </c>
      <c r="W651" s="2" t="s">
        <v>35</v>
      </c>
      <c r="X651" s="2" t="s">
        <v>35</v>
      </c>
      <c r="Y651" s="2" t="s">
        <v>35</v>
      </c>
      <c r="Z651" s="2" t="b">
        <v>0</v>
      </c>
      <c r="AA651" s="2" t="s">
        <v>35</v>
      </c>
      <c r="AB651" s="2" t="s">
        <v>35</v>
      </c>
      <c r="AC651" s="2">
        <v>9</v>
      </c>
      <c r="AD651" s="2">
        <v>3</v>
      </c>
      <c r="AE651" s="2" t="s">
        <v>1464</v>
      </c>
      <c r="AF651" s="11">
        <v>44747.425694386577</v>
      </c>
      <c r="AG651" s="53"/>
      <c r="AH651" s="53" t="b">
        <f t="shared" si="14"/>
        <v>0</v>
      </c>
      <c r="AI651" s="54" t="s">
        <v>10383</v>
      </c>
      <c r="AJ651" s="2"/>
      <c r="AK651" s="2"/>
      <c r="AL651" s="2"/>
      <c r="AM651" s="2"/>
      <c r="AN651" s="2"/>
    </row>
    <row r="652" spans="1:40" ht="16" x14ac:dyDescent="0.2">
      <c r="A652" s="68" t="s">
        <v>1566</v>
      </c>
      <c r="B652" s="68">
        <v>476</v>
      </c>
      <c r="C652" s="68" t="b">
        <v>0</v>
      </c>
      <c r="D652" s="68" t="b">
        <v>0</v>
      </c>
      <c r="E652" s="68" t="b">
        <v>0</v>
      </c>
      <c r="F652" s="68" t="b">
        <v>0</v>
      </c>
      <c r="G652" s="68" t="s">
        <v>31</v>
      </c>
      <c r="H652" s="68" t="s">
        <v>149</v>
      </c>
      <c r="I652" s="68" t="s">
        <v>1567</v>
      </c>
      <c r="J652" s="68" t="s">
        <v>1553</v>
      </c>
      <c r="K652" s="68" t="s">
        <v>35</v>
      </c>
      <c r="L652" s="68" t="s">
        <v>35</v>
      </c>
      <c r="M652" s="68" t="s">
        <v>35</v>
      </c>
      <c r="N652" s="68" t="s">
        <v>35</v>
      </c>
      <c r="O652" s="69">
        <v>44747.464382280094</v>
      </c>
      <c r="P652" s="69">
        <v>44747.464586724534</v>
      </c>
      <c r="Q652" s="70">
        <v>2.0444444089662284E-4</v>
      </c>
      <c r="R652" s="70">
        <v>4.5515740712289698E-3</v>
      </c>
      <c r="S652" s="68">
        <v>0</v>
      </c>
      <c r="T652" s="68" t="s">
        <v>36</v>
      </c>
      <c r="U652" s="68" t="s">
        <v>37</v>
      </c>
      <c r="V652" s="68" t="s">
        <v>38</v>
      </c>
      <c r="W652" s="68" t="s">
        <v>35</v>
      </c>
      <c r="X652" s="68" t="s">
        <v>35</v>
      </c>
      <c r="Y652" s="68" t="s">
        <v>35</v>
      </c>
      <c r="Z652" s="68" t="b">
        <v>0</v>
      </c>
      <c r="AA652" s="68" t="s">
        <v>35</v>
      </c>
      <c r="AB652" s="68" t="s">
        <v>35</v>
      </c>
      <c r="AC652" s="68">
        <v>10</v>
      </c>
      <c r="AD652" s="68" t="s">
        <v>35</v>
      </c>
      <c r="AE652" s="68" t="s">
        <v>1464</v>
      </c>
      <c r="AF652" s="69">
        <v>44747.425694386577</v>
      </c>
      <c r="AG652" s="71"/>
      <c r="AH652" s="53" t="b">
        <f t="shared" si="14"/>
        <v>0</v>
      </c>
      <c r="AI652" s="56" t="s">
        <v>35</v>
      </c>
      <c r="AJ652" s="68"/>
      <c r="AK652" s="68"/>
      <c r="AL652" s="68"/>
      <c r="AM652" s="68"/>
      <c r="AN652" s="68"/>
    </row>
    <row r="653" spans="1:40" ht="16" x14ac:dyDescent="0.2">
      <c r="A653" s="2" t="s">
        <v>1568</v>
      </c>
      <c r="B653" s="2">
        <v>477</v>
      </c>
      <c r="C653" s="2" t="b">
        <v>0</v>
      </c>
      <c r="D653" s="2" t="b">
        <v>0</v>
      </c>
      <c r="E653" s="2" t="b">
        <v>0</v>
      </c>
      <c r="F653" s="2" t="b">
        <v>0</v>
      </c>
      <c r="G653" s="2" t="s">
        <v>31</v>
      </c>
      <c r="H653" s="2" t="s">
        <v>1569</v>
      </c>
      <c r="I653" s="2" t="s">
        <v>1570</v>
      </c>
      <c r="J653" s="2" t="s">
        <v>1553</v>
      </c>
      <c r="K653" s="2" t="s">
        <v>35</v>
      </c>
      <c r="L653" s="2" t="s">
        <v>35</v>
      </c>
      <c r="M653" s="2" t="s">
        <v>35</v>
      </c>
      <c r="N653" s="2" t="s">
        <v>35</v>
      </c>
      <c r="O653" s="11">
        <v>44747.465783252315</v>
      </c>
      <c r="P653" s="11">
        <v>44747.465989108794</v>
      </c>
      <c r="Q653" s="27">
        <v>2.058564787148498E-4</v>
      </c>
      <c r="R653" s="27">
        <v>1.4023842595634051E-3</v>
      </c>
      <c r="S653" s="2">
        <v>0</v>
      </c>
      <c r="T653" s="2" t="s">
        <v>36</v>
      </c>
      <c r="U653" s="2" t="s">
        <v>37</v>
      </c>
      <c r="V653" s="2" t="s">
        <v>38</v>
      </c>
      <c r="W653" s="2" t="s">
        <v>35</v>
      </c>
      <c r="X653" s="2" t="s">
        <v>35</v>
      </c>
      <c r="Y653" s="2" t="s">
        <v>35</v>
      </c>
      <c r="Z653" s="2" t="b">
        <v>0</v>
      </c>
      <c r="AA653" s="2" t="s">
        <v>35</v>
      </c>
      <c r="AB653" s="2" t="s">
        <v>35</v>
      </c>
      <c r="AC653" s="2">
        <v>9</v>
      </c>
      <c r="AD653" s="2" t="s">
        <v>35</v>
      </c>
      <c r="AE653" s="2" t="s">
        <v>1464</v>
      </c>
      <c r="AF653" s="11">
        <v>44747.425694386577</v>
      </c>
      <c r="AG653" s="53"/>
      <c r="AH653" s="53" t="b">
        <f t="shared" si="14"/>
        <v>0</v>
      </c>
      <c r="AI653" s="54" t="s">
        <v>10384</v>
      </c>
      <c r="AJ653" s="2"/>
      <c r="AK653" s="2"/>
      <c r="AL653" s="2"/>
      <c r="AM653" s="2"/>
      <c r="AN653" s="2"/>
    </row>
    <row r="654" spans="1:40" ht="16" x14ac:dyDescent="0.2">
      <c r="A654" s="2" t="s">
        <v>1575</v>
      </c>
      <c r="B654" s="2">
        <v>479</v>
      </c>
      <c r="C654" s="2" t="b">
        <v>0</v>
      </c>
      <c r="D654" s="2" t="b">
        <v>0</v>
      </c>
      <c r="E654" s="2" t="b">
        <v>0</v>
      </c>
      <c r="F654" s="2" t="b">
        <v>0</v>
      </c>
      <c r="G654" s="2" t="s">
        <v>31</v>
      </c>
      <c r="H654" s="2" t="s">
        <v>1576</v>
      </c>
      <c r="I654" s="2" t="s">
        <v>1577</v>
      </c>
      <c r="J654" s="2" t="s">
        <v>35</v>
      </c>
      <c r="K654" s="2" t="s">
        <v>35</v>
      </c>
      <c r="L654" s="2" t="s">
        <v>35</v>
      </c>
      <c r="M654" s="2" t="s">
        <v>35</v>
      </c>
      <c r="N654" s="2" t="s">
        <v>35</v>
      </c>
      <c r="O654" s="11">
        <v>44747.466877013889</v>
      </c>
      <c r="P654" s="11">
        <v>44747.467009537038</v>
      </c>
      <c r="Q654" s="27">
        <v>1.3252314965939149E-4</v>
      </c>
      <c r="R654" s="27">
        <v>2.996527764480561E-4</v>
      </c>
      <c r="S654" s="2">
        <v>0</v>
      </c>
      <c r="T654" s="2" t="s">
        <v>36</v>
      </c>
      <c r="U654" s="2" t="s">
        <v>37</v>
      </c>
      <c r="V654" s="2" t="s">
        <v>38</v>
      </c>
      <c r="W654" s="2" t="s">
        <v>35</v>
      </c>
      <c r="X654" s="2" t="s">
        <v>35</v>
      </c>
      <c r="Y654" s="2" t="s">
        <v>35</v>
      </c>
      <c r="Z654" s="2" t="b">
        <v>0</v>
      </c>
      <c r="AA654" s="2" t="s">
        <v>1235</v>
      </c>
      <c r="AB654" s="2" t="s">
        <v>35</v>
      </c>
      <c r="AC654" s="2" t="s">
        <v>35</v>
      </c>
      <c r="AD654" s="2" t="s">
        <v>35</v>
      </c>
      <c r="AE654" s="2" t="s">
        <v>1464</v>
      </c>
      <c r="AF654" s="11">
        <v>44747.425694386577</v>
      </c>
      <c r="AG654" s="53"/>
      <c r="AH654" s="53" t="b">
        <f t="shared" si="14"/>
        <v>0</v>
      </c>
      <c r="AI654" s="54" t="s">
        <v>10385</v>
      </c>
      <c r="AJ654" s="2"/>
      <c r="AK654" s="2"/>
      <c r="AL654" s="2"/>
      <c r="AM654" s="2"/>
      <c r="AN654" s="2"/>
    </row>
    <row r="655" spans="1:40" ht="16" x14ac:dyDescent="0.2">
      <c r="A655" s="2" t="s">
        <v>1581</v>
      </c>
      <c r="B655" s="2">
        <v>481</v>
      </c>
      <c r="C655" s="2" t="b">
        <v>0</v>
      </c>
      <c r="D655" s="2" t="b">
        <v>0</v>
      </c>
      <c r="E655" s="2" t="b">
        <v>0</v>
      </c>
      <c r="F655" s="2" t="b">
        <v>0</v>
      </c>
      <c r="G655" s="2" t="s">
        <v>31</v>
      </c>
      <c r="H655" s="2" t="s">
        <v>1582</v>
      </c>
      <c r="I655" s="2" t="s">
        <v>1583</v>
      </c>
      <c r="J655" s="2" t="s">
        <v>35</v>
      </c>
      <c r="K655" s="2" t="s">
        <v>35</v>
      </c>
      <c r="L655" s="2" t="s">
        <v>35</v>
      </c>
      <c r="M655" s="2" t="s">
        <v>35</v>
      </c>
      <c r="N655" s="2" t="s">
        <v>35</v>
      </c>
      <c r="O655" s="11">
        <v>44747.468021273147</v>
      </c>
      <c r="P655" s="11">
        <v>44747.468170949076</v>
      </c>
      <c r="Q655" s="27">
        <v>1.4967592869652435E-4</v>
      </c>
      <c r="R655" s="27">
        <v>6.4873843075474724E-4</v>
      </c>
      <c r="S655" s="2">
        <v>0</v>
      </c>
      <c r="T655" s="2" t="s">
        <v>36</v>
      </c>
      <c r="U655" s="2" t="s">
        <v>37</v>
      </c>
      <c r="V655" s="2" t="s">
        <v>38</v>
      </c>
      <c r="W655" s="2" t="s">
        <v>35</v>
      </c>
      <c r="X655" s="2" t="s">
        <v>35</v>
      </c>
      <c r="Y655" s="2" t="s">
        <v>35</v>
      </c>
      <c r="Z655" s="2" t="b">
        <v>0</v>
      </c>
      <c r="AA655" s="2" t="s">
        <v>1235</v>
      </c>
      <c r="AB655" s="2" t="s">
        <v>35</v>
      </c>
      <c r="AC655" s="2" t="s">
        <v>35</v>
      </c>
      <c r="AD655" s="2" t="s">
        <v>35</v>
      </c>
      <c r="AE655" s="2" t="s">
        <v>1464</v>
      </c>
      <c r="AF655" s="11">
        <v>44747.425694386577</v>
      </c>
      <c r="AG655" s="53"/>
      <c r="AH655" s="53" t="b">
        <f t="shared" si="14"/>
        <v>0</v>
      </c>
      <c r="AI655" s="54" t="s">
        <v>10386</v>
      </c>
      <c r="AJ655" s="2"/>
      <c r="AK655" s="2"/>
      <c r="AL655" s="2"/>
      <c r="AM655" s="2"/>
      <c r="AN655" s="2"/>
    </row>
    <row r="656" spans="1:40" ht="16" x14ac:dyDescent="0.2">
      <c r="A656" s="2" t="s">
        <v>1584</v>
      </c>
      <c r="B656" s="2">
        <v>482</v>
      </c>
      <c r="C656" s="2" t="b">
        <v>0</v>
      </c>
      <c r="D656" s="2" t="b">
        <v>0</v>
      </c>
      <c r="E656" s="2" t="b">
        <v>0</v>
      </c>
      <c r="F656" s="2" t="b">
        <v>0</v>
      </c>
      <c r="G656" s="2" t="s">
        <v>31</v>
      </c>
      <c r="H656" s="2" t="s">
        <v>1585</v>
      </c>
      <c r="I656" s="2" t="s">
        <v>1586</v>
      </c>
      <c r="J656" s="2" t="s">
        <v>1587</v>
      </c>
      <c r="K656" s="2" t="s">
        <v>35</v>
      </c>
      <c r="L656" s="2" t="s">
        <v>35</v>
      </c>
      <c r="M656" s="2" t="s">
        <v>35</v>
      </c>
      <c r="N656" s="2" t="s">
        <v>35</v>
      </c>
      <c r="O656" s="11">
        <v>44747.470437349541</v>
      </c>
      <c r="P656" s="11">
        <v>44747.470839988426</v>
      </c>
      <c r="Q656" s="27">
        <v>4.0263888513436541E-4</v>
      </c>
      <c r="R656" s="27">
        <v>2.6690393497119658E-3</v>
      </c>
      <c r="S656" s="2">
        <v>0</v>
      </c>
      <c r="T656" s="2" t="s">
        <v>36</v>
      </c>
      <c r="U656" s="2" t="s">
        <v>37</v>
      </c>
      <c r="V656" s="2" t="s">
        <v>38</v>
      </c>
      <c r="W656" s="2" t="s">
        <v>35</v>
      </c>
      <c r="X656" s="2" t="s">
        <v>35</v>
      </c>
      <c r="Y656" s="2" t="s">
        <v>35</v>
      </c>
      <c r="Z656" s="2" t="b">
        <v>0</v>
      </c>
      <c r="AA656" s="2" t="s">
        <v>35</v>
      </c>
      <c r="AB656" s="2" t="s">
        <v>35</v>
      </c>
      <c r="AC656" s="2">
        <v>7</v>
      </c>
      <c r="AD656" s="2" t="s">
        <v>35</v>
      </c>
      <c r="AE656" s="2" t="s">
        <v>1464</v>
      </c>
      <c r="AF656" s="11">
        <v>44747.425694386577</v>
      </c>
      <c r="AG656" s="53"/>
      <c r="AH656" s="53" t="b">
        <f t="shared" si="14"/>
        <v>0</v>
      </c>
      <c r="AI656" s="54" t="s">
        <v>10387</v>
      </c>
      <c r="AJ656" s="2"/>
      <c r="AK656" s="2"/>
      <c r="AL656" s="2"/>
      <c r="AM656" s="2"/>
      <c r="AN656" s="2"/>
    </row>
    <row r="657" spans="1:40" ht="16" x14ac:dyDescent="0.2">
      <c r="A657" s="2" t="s">
        <v>1591</v>
      </c>
      <c r="B657" s="2">
        <v>484</v>
      </c>
      <c r="C657" s="2" t="b">
        <v>0</v>
      </c>
      <c r="D657" s="2" t="b">
        <v>0</v>
      </c>
      <c r="E657" s="2" t="b">
        <v>0</v>
      </c>
      <c r="F657" s="2" t="b">
        <v>0</v>
      </c>
      <c r="G657" s="2" t="s">
        <v>31</v>
      </c>
      <c r="H657" s="2" t="s">
        <v>1592</v>
      </c>
      <c r="I657" s="2" t="s">
        <v>1593</v>
      </c>
      <c r="J657" s="2" t="s">
        <v>1594</v>
      </c>
      <c r="K657" s="2" t="s">
        <v>35</v>
      </c>
      <c r="L657" s="2" t="s">
        <v>35</v>
      </c>
      <c r="M657" s="2" t="s">
        <v>35</v>
      </c>
      <c r="N657" s="2" t="s">
        <v>35</v>
      </c>
      <c r="O657" s="11">
        <v>44747.476083946756</v>
      </c>
      <c r="P657" s="11">
        <v>44747.476291423613</v>
      </c>
      <c r="Q657" s="27">
        <v>2.0747685630340129E-4</v>
      </c>
      <c r="R657" s="27">
        <v>7.3059027636190876E-4</v>
      </c>
      <c r="S657" s="2">
        <v>0</v>
      </c>
      <c r="T657" s="2" t="s">
        <v>36</v>
      </c>
      <c r="U657" s="2" t="s">
        <v>37</v>
      </c>
      <c r="V657" s="2" t="s">
        <v>38</v>
      </c>
      <c r="W657" s="2" t="s">
        <v>35</v>
      </c>
      <c r="X657" s="2" t="s">
        <v>35</v>
      </c>
      <c r="Y657" s="2" t="s">
        <v>35</v>
      </c>
      <c r="Z657" s="2" t="b">
        <v>0</v>
      </c>
      <c r="AA657" s="2" t="s">
        <v>35</v>
      </c>
      <c r="AB657" s="2" t="s">
        <v>35</v>
      </c>
      <c r="AC657" s="2">
        <v>10</v>
      </c>
      <c r="AD657" s="2" t="s">
        <v>35</v>
      </c>
      <c r="AE657" s="2" t="s">
        <v>1464</v>
      </c>
      <c r="AF657" s="11">
        <v>44747.425694386577</v>
      </c>
      <c r="AG657" s="53"/>
      <c r="AH657" s="53" t="b">
        <f t="shared" si="14"/>
        <v>0</v>
      </c>
      <c r="AI657" s="54" t="s">
        <v>10388</v>
      </c>
      <c r="AJ657" s="2"/>
      <c r="AK657" s="2"/>
      <c r="AL657" s="2"/>
      <c r="AM657" s="2"/>
      <c r="AN657" s="2"/>
    </row>
    <row r="658" spans="1:40" ht="16" x14ac:dyDescent="0.2">
      <c r="A658" s="2" t="s">
        <v>1595</v>
      </c>
      <c r="B658" s="2">
        <v>485</v>
      </c>
      <c r="C658" s="2" t="b">
        <v>0</v>
      </c>
      <c r="D658" s="2" t="b">
        <v>0</v>
      </c>
      <c r="E658" s="2" t="b">
        <v>0</v>
      </c>
      <c r="F658" s="2" t="b">
        <v>0</v>
      </c>
      <c r="G658" s="2" t="s">
        <v>31</v>
      </c>
      <c r="H658" s="2" t="s">
        <v>1596</v>
      </c>
      <c r="I658" s="2" t="s">
        <v>1597</v>
      </c>
      <c r="J658" s="2" t="s">
        <v>1598</v>
      </c>
      <c r="K658" s="2" t="s">
        <v>35</v>
      </c>
      <c r="L658" s="2" t="s">
        <v>35</v>
      </c>
      <c r="M658" s="2" t="s">
        <v>35</v>
      </c>
      <c r="N658" s="2" t="s">
        <v>35</v>
      </c>
      <c r="O658" s="11">
        <v>44747.476850381943</v>
      </c>
      <c r="P658" s="11">
        <v>44747.477094733797</v>
      </c>
      <c r="Q658" s="27">
        <v>2.4435185332549736E-4</v>
      </c>
      <c r="R658" s="27">
        <v>8.0331018398283049E-4</v>
      </c>
      <c r="S658" s="2">
        <v>0</v>
      </c>
      <c r="T658" s="2" t="s">
        <v>36</v>
      </c>
      <c r="U658" s="2" t="s">
        <v>37</v>
      </c>
      <c r="V658" s="2" t="s">
        <v>38</v>
      </c>
      <c r="W658" s="2" t="s">
        <v>35</v>
      </c>
      <c r="X658" s="2" t="s">
        <v>35</v>
      </c>
      <c r="Y658" s="2" t="s">
        <v>35</v>
      </c>
      <c r="Z658" s="2" t="b">
        <v>0</v>
      </c>
      <c r="AA658" s="2" t="s">
        <v>35</v>
      </c>
      <c r="AB658" s="2" t="s">
        <v>35</v>
      </c>
      <c r="AC658" s="2">
        <v>7</v>
      </c>
      <c r="AD658" s="2">
        <v>4</v>
      </c>
      <c r="AE658" s="2" t="s">
        <v>1464</v>
      </c>
      <c r="AF658" s="11">
        <v>44747.425694386577</v>
      </c>
      <c r="AG658" s="53"/>
      <c r="AH658" s="53" t="b">
        <f t="shared" si="14"/>
        <v>0</v>
      </c>
      <c r="AI658" s="54" t="s">
        <v>10389</v>
      </c>
      <c r="AJ658" s="2"/>
      <c r="AK658" s="2"/>
      <c r="AL658" s="2"/>
      <c r="AM658" s="2"/>
      <c r="AN658" s="2"/>
    </row>
    <row r="659" spans="1:40" ht="16" x14ac:dyDescent="0.2">
      <c r="A659" s="2" t="s">
        <v>1608</v>
      </c>
      <c r="B659" s="2">
        <v>489</v>
      </c>
      <c r="C659" s="2" t="b">
        <v>0</v>
      </c>
      <c r="D659" s="2" t="b">
        <v>0</v>
      </c>
      <c r="E659" s="2" t="b">
        <v>0</v>
      </c>
      <c r="F659" s="2" t="b">
        <v>0</v>
      </c>
      <c r="G659" s="2" t="s">
        <v>31</v>
      </c>
      <c r="H659" s="2" t="s">
        <v>1609</v>
      </c>
      <c r="I659" s="2" t="s">
        <v>1610</v>
      </c>
      <c r="J659" s="2" t="s">
        <v>1587</v>
      </c>
      <c r="K659" s="2" t="s">
        <v>35</v>
      </c>
      <c r="L659" s="2" t="s">
        <v>35</v>
      </c>
      <c r="M659" s="2" t="s">
        <v>35</v>
      </c>
      <c r="N659" s="2" t="s">
        <v>35</v>
      </c>
      <c r="O659" s="11">
        <v>44747.47970152778</v>
      </c>
      <c r="P659" s="11">
        <v>44747.480001006945</v>
      </c>
      <c r="Q659" s="27">
        <v>2.9947916482342407E-4</v>
      </c>
      <c r="R659" s="27">
        <v>7.5315972208045423E-4</v>
      </c>
      <c r="S659" s="2">
        <v>0</v>
      </c>
      <c r="T659" s="2" t="s">
        <v>36</v>
      </c>
      <c r="U659" s="2" t="s">
        <v>37</v>
      </c>
      <c r="V659" s="2" t="s">
        <v>38</v>
      </c>
      <c r="W659" s="2" t="s">
        <v>35</v>
      </c>
      <c r="X659" s="2" t="s">
        <v>35</v>
      </c>
      <c r="Y659" s="2" t="s">
        <v>35</v>
      </c>
      <c r="Z659" s="2" t="b">
        <v>0</v>
      </c>
      <c r="AA659" s="2" t="s">
        <v>35</v>
      </c>
      <c r="AB659" s="2" t="s">
        <v>35</v>
      </c>
      <c r="AC659" s="2">
        <v>6</v>
      </c>
      <c r="AD659" s="2" t="s">
        <v>35</v>
      </c>
      <c r="AE659" s="2" t="s">
        <v>1464</v>
      </c>
      <c r="AF659" s="11">
        <v>44747.425694386577</v>
      </c>
      <c r="AG659" s="53"/>
      <c r="AH659" s="53" t="b">
        <f t="shared" si="14"/>
        <v>0</v>
      </c>
      <c r="AI659" s="54" t="s">
        <v>9536</v>
      </c>
      <c r="AJ659" s="2"/>
      <c r="AK659" s="2"/>
      <c r="AL659" s="2"/>
      <c r="AM659" s="2"/>
      <c r="AN659" s="2"/>
    </row>
    <row r="660" spans="1:40" ht="16" x14ac:dyDescent="0.2">
      <c r="A660" s="2" t="s">
        <v>1611</v>
      </c>
      <c r="B660" s="2">
        <v>490</v>
      </c>
      <c r="C660" s="2" t="b">
        <v>0</v>
      </c>
      <c r="D660" s="2" t="b">
        <v>0</v>
      </c>
      <c r="E660" s="2" t="b">
        <v>0</v>
      </c>
      <c r="F660" s="2" t="b">
        <v>0</v>
      </c>
      <c r="G660" s="2" t="s">
        <v>31</v>
      </c>
      <c r="H660" s="2" t="s">
        <v>1612</v>
      </c>
      <c r="I660" s="2" t="s">
        <v>1613</v>
      </c>
      <c r="J660" s="2" t="s">
        <v>1614</v>
      </c>
      <c r="K660" s="2" t="s">
        <v>35</v>
      </c>
      <c r="L660" s="2" t="s">
        <v>35</v>
      </c>
      <c r="M660" s="2" t="s">
        <v>35</v>
      </c>
      <c r="N660" s="2" t="s">
        <v>35</v>
      </c>
      <c r="O660" s="11">
        <v>44747.482956041669</v>
      </c>
      <c r="P660" s="11">
        <v>44747.483618692131</v>
      </c>
      <c r="Q660" s="27">
        <v>6.6265046189073473E-4</v>
      </c>
      <c r="R660" s="27">
        <v>3.6176851863274351E-3</v>
      </c>
      <c r="S660" s="2">
        <v>0</v>
      </c>
      <c r="T660" s="2" t="s">
        <v>36</v>
      </c>
      <c r="U660" s="2" t="s">
        <v>37</v>
      </c>
      <c r="V660" s="2" t="s">
        <v>38</v>
      </c>
      <c r="W660" s="2" t="s">
        <v>35</v>
      </c>
      <c r="X660" s="2" t="s">
        <v>35</v>
      </c>
      <c r="Y660" s="2" t="s">
        <v>35</v>
      </c>
      <c r="Z660" s="2" t="b">
        <v>0</v>
      </c>
      <c r="AA660" s="2" t="s">
        <v>35</v>
      </c>
      <c r="AB660" s="2" t="s">
        <v>35</v>
      </c>
      <c r="AC660" s="2">
        <v>7</v>
      </c>
      <c r="AD660" s="2" t="s">
        <v>35</v>
      </c>
      <c r="AE660" s="2" t="s">
        <v>1464</v>
      </c>
      <c r="AF660" s="11">
        <v>44747.425694386577</v>
      </c>
      <c r="AG660" s="53"/>
      <c r="AH660" s="53" t="b">
        <f t="shared" si="14"/>
        <v>0</v>
      </c>
      <c r="AI660" s="54" t="s">
        <v>10390</v>
      </c>
      <c r="AJ660" s="2"/>
      <c r="AK660" s="2"/>
      <c r="AL660" s="2"/>
      <c r="AM660" s="2"/>
      <c r="AN660" s="2"/>
    </row>
    <row r="661" spans="1:40" ht="16" x14ac:dyDescent="0.2">
      <c r="A661" s="2" t="s">
        <v>1615</v>
      </c>
      <c r="B661" s="2">
        <v>491</v>
      </c>
      <c r="C661" s="2" t="b">
        <v>0</v>
      </c>
      <c r="D661" s="2" t="b">
        <v>0</v>
      </c>
      <c r="E661" s="2" t="b">
        <v>0</v>
      </c>
      <c r="F661" s="2" t="b">
        <v>0</v>
      </c>
      <c r="G661" s="2" t="s">
        <v>31</v>
      </c>
      <c r="H661" s="2" t="s">
        <v>1616</v>
      </c>
      <c r="I661" s="2" t="s">
        <v>1617</v>
      </c>
      <c r="J661" s="2" t="s">
        <v>1614</v>
      </c>
      <c r="K661" s="2" t="s">
        <v>35</v>
      </c>
      <c r="L661" s="2" t="s">
        <v>35</v>
      </c>
      <c r="M661" s="2" t="s">
        <v>35</v>
      </c>
      <c r="N661" s="2" t="s">
        <v>35</v>
      </c>
      <c r="O661" s="11">
        <v>44747.484232708332</v>
      </c>
      <c r="P661" s="11">
        <v>44747.484611678243</v>
      </c>
      <c r="Q661" s="27">
        <v>3.7896991125307977E-4</v>
      </c>
      <c r="R661" s="27">
        <v>9.9298611166886985E-4</v>
      </c>
      <c r="S661" s="2">
        <v>0</v>
      </c>
      <c r="T661" s="2" t="s">
        <v>36</v>
      </c>
      <c r="U661" s="2" t="s">
        <v>37</v>
      </c>
      <c r="V661" s="2" t="s">
        <v>38</v>
      </c>
      <c r="W661" s="2" t="s">
        <v>35</v>
      </c>
      <c r="X661" s="2" t="s">
        <v>35</v>
      </c>
      <c r="Y661" s="2" t="s">
        <v>35</v>
      </c>
      <c r="Z661" s="2" t="b">
        <v>0</v>
      </c>
      <c r="AA661" s="2" t="s">
        <v>35</v>
      </c>
      <c r="AB661" s="2" t="s">
        <v>35</v>
      </c>
      <c r="AC661" s="2">
        <v>5</v>
      </c>
      <c r="AD661" s="2" t="s">
        <v>35</v>
      </c>
      <c r="AE661" s="2" t="s">
        <v>1464</v>
      </c>
      <c r="AF661" s="11">
        <v>44747.425694386577</v>
      </c>
      <c r="AG661" s="53"/>
      <c r="AH661" s="53" t="b">
        <f t="shared" si="14"/>
        <v>0</v>
      </c>
      <c r="AI661" s="54" t="s">
        <v>10391</v>
      </c>
      <c r="AJ661" s="2"/>
      <c r="AK661" s="2"/>
      <c r="AL661" s="2"/>
      <c r="AM661" s="2"/>
      <c r="AN661" s="2"/>
    </row>
    <row r="662" spans="1:40" ht="16" x14ac:dyDescent="0.2">
      <c r="A662" s="2" t="s">
        <v>1618</v>
      </c>
      <c r="B662" s="2">
        <v>492</v>
      </c>
      <c r="C662" s="2" t="b">
        <v>0</v>
      </c>
      <c r="D662" s="2" t="b">
        <v>0</v>
      </c>
      <c r="E662" s="2" t="b">
        <v>0</v>
      </c>
      <c r="F662" s="2" t="b">
        <v>0</v>
      </c>
      <c r="G662" s="2" t="s">
        <v>31</v>
      </c>
      <c r="H662" s="2" t="s">
        <v>1619</v>
      </c>
      <c r="I662" s="2" t="s">
        <v>1620</v>
      </c>
      <c r="J662" s="2" t="s">
        <v>1614</v>
      </c>
      <c r="K662" s="2" t="s">
        <v>35</v>
      </c>
      <c r="L662" s="2" t="s">
        <v>35</v>
      </c>
      <c r="M662" s="2" t="s">
        <v>35</v>
      </c>
      <c r="N662" s="2" t="s">
        <v>35</v>
      </c>
      <c r="O662" s="11">
        <v>44747.485138483797</v>
      </c>
      <c r="P662" s="11">
        <v>44747.485324374997</v>
      </c>
      <c r="Q662" s="27">
        <v>1.8589120008982718E-4</v>
      </c>
      <c r="R662" s="27">
        <v>7.1269675390794873E-4</v>
      </c>
      <c r="S662" s="2">
        <v>0</v>
      </c>
      <c r="T662" s="2" t="s">
        <v>36</v>
      </c>
      <c r="U662" s="2" t="s">
        <v>37</v>
      </c>
      <c r="V662" s="2" t="s">
        <v>38</v>
      </c>
      <c r="W662" s="2" t="s">
        <v>35</v>
      </c>
      <c r="X662" s="2" t="s">
        <v>35</v>
      </c>
      <c r="Y662" s="2" t="s">
        <v>35</v>
      </c>
      <c r="Z662" s="2" t="b">
        <v>0</v>
      </c>
      <c r="AA662" s="2" t="s">
        <v>35</v>
      </c>
      <c r="AB662" s="2" t="s">
        <v>35</v>
      </c>
      <c r="AC662" s="2">
        <v>5</v>
      </c>
      <c r="AD662" s="2" t="s">
        <v>35</v>
      </c>
      <c r="AE662" s="2" t="s">
        <v>1464</v>
      </c>
      <c r="AF662" s="11">
        <v>44747.425694386577</v>
      </c>
      <c r="AG662" s="53"/>
      <c r="AH662" s="53" t="b">
        <f t="shared" si="14"/>
        <v>0</v>
      </c>
      <c r="AI662" s="54" t="s">
        <v>10392</v>
      </c>
      <c r="AJ662" s="2"/>
      <c r="AK662" s="2"/>
      <c r="AL662" s="2"/>
      <c r="AM662" s="2"/>
      <c r="AN662" s="2"/>
    </row>
    <row r="663" spans="1:40" ht="16" x14ac:dyDescent="0.2">
      <c r="A663" s="2" t="s">
        <v>1621</v>
      </c>
      <c r="B663" s="2">
        <v>493</v>
      </c>
      <c r="C663" s="2" t="b">
        <v>0</v>
      </c>
      <c r="D663" s="2" t="b">
        <v>0</v>
      </c>
      <c r="E663" s="2" t="b">
        <v>0</v>
      </c>
      <c r="F663" s="2" t="b">
        <v>0</v>
      </c>
      <c r="G663" s="2" t="s">
        <v>31</v>
      </c>
      <c r="H663" s="2" t="s">
        <v>1622</v>
      </c>
      <c r="I663" s="2" t="s">
        <v>1623</v>
      </c>
      <c r="J663" s="2" t="s">
        <v>35</v>
      </c>
      <c r="K663" s="2" t="s">
        <v>35</v>
      </c>
      <c r="L663" s="2" t="s">
        <v>35</v>
      </c>
      <c r="M663" s="2" t="s">
        <v>35</v>
      </c>
      <c r="N663" s="2" t="s">
        <v>35</v>
      </c>
      <c r="O663" s="11">
        <v>44747.485829594909</v>
      </c>
      <c r="P663" s="11">
        <v>44747.485935879631</v>
      </c>
      <c r="Q663" s="27">
        <v>1.0628472227836028E-4</v>
      </c>
      <c r="R663" s="27">
        <v>6.1150463443482295E-4</v>
      </c>
      <c r="S663" s="2">
        <v>0</v>
      </c>
      <c r="T663" s="2" t="s">
        <v>36</v>
      </c>
      <c r="U663" s="2" t="s">
        <v>37</v>
      </c>
      <c r="V663" s="2" t="s">
        <v>38</v>
      </c>
      <c r="W663" s="2" t="s">
        <v>35</v>
      </c>
      <c r="X663" s="2" t="s">
        <v>35</v>
      </c>
      <c r="Y663" s="2" t="s">
        <v>35</v>
      </c>
      <c r="Z663" s="2" t="b">
        <v>0</v>
      </c>
      <c r="AA663" s="2" t="s">
        <v>35</v>
      </c>
      <c r="AB663" s="2" t="s">
        <v>35</v>
      </c>
      <c r="AC663" s="2" t="s">
        <v>35</v>
      </c>
      <c r="AD663" s="2">
        <v>4</v>
      </c>
      <c r="AE663" s="2" t="s">
        <v>1464</v>
      </c>
      <c r="AF663" s="11">
        <v>44747.425694386577</v>
      </c>
      <c r="AG663" s="53"/>
      <c r="AH663" s="53" t="b">
        <f t="shared" si="14"/>
        <v>0</v>
      </c>
      <c r="AI663" s="54" t="s">
        <v>10393</v>
      </c>
      <c r="AJ663" s="2"/>
      <c r="AK663" s="2"/>
      <c r="AL663" s="2"/>
      <c r="AM663" s="2"/>
      <c r="AN663" s="2"/>
    </row>
    <row r="664" spans="1:40" ht="16" x14ac:dyDescent="0.2">
      <c r="A664" s="2" t="s">
        <v>1628</v>
      </c>
      <c r="B664" s="2">
        <v>495</v>
      </c>
      <c r="C664" s="2" t="b">
        <v>0</v>
      </c>
      <c r="D664" s="2" t="b">
        <v>0</v>
      </c>
      <c r="E664" s="2" t="b">
        <v>0</v>
      </c>
      <c r="F664" s="2" t="b">
        <v>0</v>
      </c>
      <c r="G664" s="2" t="s">
        <v>31</v>
      </c>
      <c r="H664" s="2" t="s">
        <v>1629</v>
      </c>
      <c r="I664" s="2" t="s">
        <v>1630</v>
      </c>
      <c r="J664" s="2" t="s">
        <v>1631</v>
      </c>
      <c r="K664" s="2" t="s">
        <v>35</v>
      </c>
      <c r="L664" s="2" t="s">
        <v>35</v>
      </c>
      <c r="M664" s="2" t="s">
        <v>35</v>
      </c>
      <c r="N664" s="2" t="s">
        <v>35</v>
      </c>
      <c r="O664" s="11">
        <v>44747.487491840278</v>
      </c>
      <c r="P664" s="11">
        <v>44747.487977986108</v>
      </c>
      <c r="Q664" s="27">
        <v>4.8614582919981331E-4</v>
      </c>
      <c r="R664" s="27">
        <v>1.1557986072148196E-3</v>
      </c>
      <c r="S664" s="2">
        <v>0</v>
      </c>
      <c r="T664" s="2" t="s">
        <v>36</v>
      </c>
      <c r="U664" s="2" t="s">
        <v>37</v>
      </c>
      <c r="V664" s="2" t="s">
        <v>38</v>
      </c>
      <c r="W664" s="2" t="s">
        <v>35</v>
      </c>
      <c r="X664" s="2" t="s">
        <v>35</v>
      </c>
      <c r="Y664" s="2" t="s">
        <v>35</v>
      </c>
      <c r="Z664" s="2" t="b">
        <v>0</v>
      </c>
      <c r="AA664" s="2" t="s">
        <v>35</v>
      </c>
      <c r="AB664" s="2" t="s">
        <v>35</v>
      </c>
      <c r="AC664" s="2">
        <v>4</v>
      </c>
      <c r="AD664" s="2">
        <v>2</v>
      </c>
      <c r="AE664" s="2" t="s">
        <v>1464</v>
      </c>
      <c r="AF664" s="11">
        <v>44747.425694386577</v>
      </c>
      <c r="AG664" s="53"/>
      <c r="AH664" s="53" t="b">
        <f t="shared" si="14"/>
        <v>0</v>
      </c>
      <c r="AI664" s="54" t="s">
        <v>10394</v>
      </c>
      <c r="AJ664" s="2"/>
      <c r="AK664" s="2"/>
      <c r="AL664" s="2"/>
      <c r="AM664" s="2"/>
      <c r="AN664" s="2"/>
    </row>
    <row r="665" spans="1:40" ht="16" x14ac:dyDescent="0.2">
      <c r="A665" s="2" t="s">
        <v>1632</v>
      </c>
      <c r="B665" s="2">
        <v>496</v>
      </c>
      <c r="C665" s="2" t="b">
        <v>0</v>
      </c>
      <c r="D665" s="2" t="b">
        <v>0</v>
      </c>
      <c r="E665" s="2" t="b">
        <v>0</v>
      </c>
      <c r="F665" s="2" t="b">
        <v>0</v>
      </c>
      <c r="G665" s="2" t="s">
        <v>31</v>
      </c>
      <c r="H665" s="2" t="s">
        <v>1633</v>
      </c>
      <c r="I665" s="2" t="s">
        <v>1634</v>
      </c>
      <c r="J665" s="2" t="s">
        <v>1631</v>
      </c>
      <c r="K665" s="2" t="s">
        <v>35</v>
      </c>
      <c r="L665" s="2" t="s">
        <v>35</v>
      </c>
      <c r="M665" s="2" t="s">
        <v>35</v>
      </c>
      <c r="N665" s="2" t="s">
        <v>35</v>
      </c>
      <c r="O665" s="11">
        <v>44747.488799131941</v>
      </c>
      <c r="P665" s="11">
        <v>44747.489005833333</v>
      </c>
      <c r="Q665" s="27">
        <v>2.0670139201683924E-4</v>
      </c>
      <c r="R665" s="27">
        <v>1.0278472254867665E-3</v>
      </c>
      <c r="S665" s="2">
        <v>0</v>
      </c>
      <c r="T665" s="2" t="s">
        <v>36</v>
      </c>
      <c r="U665" s="2" t="s">
        <v>37</v>
      </c>
      <c r="V665" s="2" t="s">
        <v>38</v>
      </c>
      <c r="W665" s="2" t="s">
        <v>35</v>
      </c>
      <c r="X665" s="2" t="s">
        <v>35</v>
      </c>
      <c r="Y665" s="2" t="s">
        <v>35</v>
      </c>
      <c r="Z665" s="2" t="b">
        <v>0</v>
      </c>
      <c r="AA665" s="2" t="s">
        <v>35</v>
      </c>
      <c r="AB665" s="2" t="s">
        <v>35</v>
      </c>
      <c r="AC665" s="2">
        <v>5</v>
      </c>
      <c r="AD665" s="2">
        <v>2</v>
      </c>
      <c r="AE665" s="2" t="s">
        <v>1464</v>
      </c>
      <c r="AF665" s="11">
        <v>44747.425694386577</v>
      </c>
      <c r="AG665" s="53"/>
      <c r="AH665" s="53" t="b">
        <f t="shared" si="14"/>
        <v>0</v>
      </c>
      <c r="AI665" s="54" t="s">
        <v>10395</v>
      </c>
      <c r="AJ665" s="2"/>
      <c r="AK665" s="2"/>
      <c r="AL665" s="2"/>
      <c r="AM665" s="2"/>
      <c r="AN665" s="2"/>
    </row>
    <row r="666" spans="1:40" ht="16" x14ac:dyDescent="0.2">
      <c r="A666" s="2" t="s">
        <v>1635</v>
      </c>
      <c r="B666" s="2">
        <v>497</v>
      </c>
      <c r="C666" s="2" t="b">
        <v>0</v>
      </c>
      <c r="D666" s="2" t="b">
        <v>0</v>
      </c>
      <c r="E666" s="2" t="b">
        <v>0</v>
      </c>
      <c r="F666" s="2" t="b">
        <v>0</v>
      </c>
      <c r="G666" s="2" t="s">
        <v>31</v>
      </c>
      <c r="H666" s="2" t="s">
        <v>1636</v>
      </c>
      <c r="I666" s="2" t="s">
        <v>1637</v>
      </c>
      <c r="J666" s="2" t="s">
        <v>1631</v>
      </c>
      <c r="K666" s="2" t="s">
        <v>35</v>
      </c>
      <c r="L666" s="2" t="s">
        <v>35</v>
      </c>
      <c r="M666" s="2" t="s">
        <v>35</v>
      </c>
      <c r="N666" s="2" t="s">
        <v>35</v>
      </c>
      <c r="O666" s="11">
        <v>44747.490100057868</v>
      </c>
      <c r="P666" s="11">
        <v>44747.490311574074</v>
      </c>
      <c r="Q666" s="27">
        <v>2.1151620603632182E-4</v>
      </c>
      <c r="R666" s="27">
        <v>1.3057407413725741E-3</v>
      </c>
      <c r="S666" s="2">
        <v>0</v>
      </c>
      <c r="T666" s="2" t="s">
        <v>36</v>
      </c>
      <c r="U666" s="2" t="s">
        <v>37</v>
      </c>
      <c r="V666" s="2" t="s">
        <v>38</v>
      </c>
      <c r="W666" s="2" t="s">
        <v>35</v>
      </c>
      <c r="X666" s="2" t="s">
        <v>35</v>
      </c>
      <c r="Y666" s="2" t="s">
        <v>35</v>
      </c>
      <c r="Z666" s="2" t="b">
        <v>0</v>
      </c>
      <c r="AA666" s="2" t="s">
        <v>35</v>
      </c>
      <c r="AB666" s="2" t="s">
        <v>35</v>
      </c>
      <c r="AC666" s="2">
        <v>4</v>
      </c>
      <c r="AD666" s="2" t="s">
        <v>35</v>
      </c>
      <c r="AE666" s="2" t="s">
        <v>1464</v>
      </c>
      <c r="AF666" s="11">
        <v>44747.425694386577</v>
      </c>
      <c r="AG666" s="53"/>
      <c r="AH666" s="53" t="b">
        <f t="shared" si="14"/>
        <v>0</v>
      </c>
      <c r="AI666" s="54" t="s">
        <v>10396</v>
      </c>
      <c r="AJ666" s="2"/>
      <c r="AK666" s="2"/>
      <c r="AL666" s="2"/>
      <c r="AM666" s="2"/>
      <c r="AN666" s="2"/>
    </row>
    <row r="667" spans="1:40" ht="16" x14ac:dyDescent="0.2">
      <c r="A667" s="2" t="s">
        <v>1638</v>
      </c>
      <c r="B667" s="2">
        <v>498</v>
      </c>
      <c r="C667" s="2" t="b">
        <v>0</v>
      </c>
      <c r="D667" s="2" t="b">
        <v>0</v>
      </c>
      <c r="E667" s="2" t="b">
        <v>0</v>
      </c>
      <c r="F667" s="2" t="b">
        <v>0</v>
      </c>
      <c r="G667" s="2" t="s">
        <v>31</v>
      </c>
      <c r="H667" s="2" t="s">
        <v>1639</v>
      </c>
      <c r="I667" s="2" t="s">
        <v>1640</v>
      </c>
      <c r="J667" s="2" t="s">
        <v>1515</v>
      </c>
      <c r="K667" s="2" t="s">
        <v>35</v>
      </c>
      <c r="L667" s="2" t="s">
        <v>35</v>
      </c>
      <c r="M667" s="2" t="s">
        <v>35</v>
      </c>
      <c r="N667" s="2" t="s">
        <v>35</v>
      </c>
      <c r="O667" s="11">
        <v>44747.491263402779</v>
      </c>
      <c r="P667" s="11">
        <v>44747.491579733796</v>
      </c>
      <c r="Q667" s="27">
        <v>3.1633101752959192E-4</v>
      </c>
      <c r="R667" s="27">
        <v>1.2681597218033858E-3</v>
      </c>
      <c r="S667" s="2">
        <v>0</v>
      </c>
      <c r="T667" s="2" t="s">
        <v>36</v>
      </c>
      <c r="U667" s="2" t="s">
        <v>37</v>
      </c>
      <c r="V667" s="2" t="s">
        <v>38</v>
      </c>
      <c r="W667" s="2" t="s">
        <v>35</v>
      </c>
      <c r="X667" s="2" t="s">
        <v>35</v>
      </c>
      <c r="Y667" s="2" t="s">
        <v>35</v>
      </c>
      <c r="Z667" s="2" t="b">
        <v>0</v>
      </c>
      <c r="AA667" s="2" t="s">
        <v>35</v>
      </c>
      <c r="AB667" s="2" t="s">
        <v>35</v>
      </c>
      <c r="AC667" s="2">
        <v>4</v>
      </c>
      <c r="AD667" s="2" t="s">
        <v>35</v>
      </c>
      <c r="AE667" s="2" t="s">
        <v>1464</v>
      </c>
      <c r="AF667" s="11">
        <v>44747.425694386577</v>
      </c>
      <c r="AG667" s="53"/>
      <c r="AH667" s="53" t="b">
        <f t="shared" si="14"/>
        <v>0</v>
      </c>
      <c r="AI667" s="54" t="s">
        <v>10397</v>
      </c>
      <c r="AJ667" s="2"/>
      <c r="AK667" s="2"/>
      <c r="AL667" s="2"/>
      <c r="AM667" s="2"/>
      <c r="AN667" s="2"/>
    </row>
    <row r="668" spans="1:40" ht="16" x14ac:dyDescent="0.2">
      <c r="A668" s="2" t="s">
        <v>1641</v>
      </c>
      <c r="B668" s="2">
        <v>499</v>
      </c>
      <c r="C668" s="2" t="b">
        <v>0</v>
      </c>
      <c r="D668" s="2" t="b">
        <v>0</v>
      </c>
      <c r="E668" s="2" t="b">
        <v>0</v>
      </c>
      <c r="F668" s="2" t="b">
        <v>0</v>
      </c>
      <c r="G668" s="2" t="s">
        <v>31</v>
      </c>
      <c r="H668" s="2" t="s">
        <v>1642</v>
      </c>
      <c r="I668" s="2" t="s">
        <v>1643</v>
      </c>
      <c r="J668" s="2" t="s">
        <v>1515</v>
      </c>
      <c r="K668" s="2" t="s">
        <v>35</v>
      </c>
      <c r="L668" s="2" t="s">
        <v>35</v>
      </c>
      <c r="M668" s="2" t="s">
        <v>35</v>
      </c>
      <c r="N668" s="2" t="s">
        <v>35</v>
      </c>
      <c r="O668" s="11">
        <v>44747.49239605324</v>
      </c>
      <c r="P668" s="11">
        <v>44747.492615844909</v>
      </c>
      <c r="Q668" s="27">
        <v>2.1979166922392324E-4</v>
      </c>
      <c r="R668" s="27">
        <v>1.0361111126258038E-3</v>
      </c>
      <c r="S668" s="2">
        <v>0</v>
      </c>
      <c r="T668" s="2" t="s">
        <v>36</v>
      </c>
      <c r="U668" s="2" t="s">
        <v>37</v>
      </c>
      <c r="V668" s="2" t="s">
        <v>38</v>
      </c>
      <c r="W668" s="2" t="s">
        <v>35</v>
      </c>
      <c r="X668" s="2" t="s">
        <v>35</v>
      </c>
      <c r="Y668" s="2" t="s">
        <v>35</v>
      </c>
      <c r="Z668" s="2" t="b">
        <v>0</v>
      </c>
      <c r="AA668" s="2" t="s">
        <v>35</v>
      </c>
      <c r="AB668" s="2" t="s">
        <v>35</v>
      </c>
      <c r="AC668" s="2">
        <v>7</v>
      </c>
      <c r="AD668" s="2">
        <v>4</v>
      </c>
      <c r="AE668" s="2" t="s">
        <v>1464</v>
      </c>
      <c r="AF668" s="11">
        <v>44747.425694386577</v>
      </c>
      <c r="AG668" s="53"/>
      <c r="AH668" s="53" t="b">
        <f t="shared" si="14"/>
        <v>0</v>
      </c>
      <c r="AI668" s="54" t="s">
        <v>10398</v>
      </c>
      <c r="AJ668" s="2"/>
      <c r="AK668" s="2"/>
      <c r="AL668" s="2"/>
      <c r="AM668" s="2"/>
      <c r="AN668" s="2"/>
    </row>
    <row r="669" spans="1:40" ht="16" x14ac:dyDescent="0.2">
      <c r="A669" s="2" t="s">
        <v>1644</v>
      </c>
      <c r="B669" s="2">
        <v>500</v>
      </c>
      <c r="C669" s="2" t="b">
        <v>0</v>
      </c>
      <c r="D669" s="2" t="b">
        <v>0</v>
      </c>
      <c r="E669" s="2" t="b">
        <v>0</v>
      </c>
      <c r="F669" s="2" t="b">
        <v>0</v>
      </c>
      <c r="G669" s="2" t="s">
        <v>31</v>
      </c>
      <c r="H669" s="2" t="s">
        <v>1645</v>
      </c>
      <c r="I669" s="2" t="s">
        <v>1646</v>
      </c>
      <c r="J669" s="2" t="s">
        <v>1647</v>
      </c>
      <c r="K669" s="2" t="s">
        <v>35</v>
      </c>
      <c r="L669" s="2" t="s">
        <v>35</v>
      </c>
      <c r="M669" s="2" t="s">
        <v>35</v>
      </c>
      <c r="N669" s="2" t="s">
        <v>35</v>
      </c>
      <c r="O669" s="11">
        <v>44747.493568321763</v>
      </c>
      <c r="P669" s="11">
        <v>44747.494365706021</v>
      </c>
      <c r="Q669" s="27">
        <v>7.9738425847608596E-4</v>
      </c>
      <c r="R669" s="27">
        <v>1.7498611123301089E-3</v>
      </c>
      <c r="S669" s="2">
        <v>0</v>
      </c>
      <c r="T669" s="2" t="s">
        <v>36</v>
      </c>
      <c r="U669" s="2" t="s">
        <v>37</v>
      </c>
      <c r="V669" s="2" t="s">
        <v>38</v>
      </c>
      <c r="W669" s="2" t="s">
        <v>35</v>
      </c>
      <c r="X669" s="2" t="s">
        <v>35</v>
      </c>
      <c r="Y669" s="2" t="s">
        <v>35</v>
      </c>
      <c r="Z669" s="2" t="b">
        <v>0</v>
      </c>
      <c r="AA669" s="2" t="s">
        <v>35</v>
      </c>
      <c r="AB669" s="2" t="s">
        <v>35</v>
      </c>
      <c r="AC669" s="2">
        <v>7</v>
      </c>
      <c r="AD669" s="2">
        <v>4</v>
      </c>
      <c r="AE669" s="2" t="s">
        <v>1464</v>
      </c>
      <c r="AF669" s="11">
        <v>44747.425694386577</v>
      </c>
      <c r="AG669" s="53"/>
      <c r="AH669" s="53" t="b">
        <f t="shared" ref="AH669:AH732" si="15">IF(Q669&gt;TIME(0,1,9),"TRUE")</f>
        <v>0</v>
      </c>
      <c r="AI669" s="54" t="s">
        <v>10399</v>
      </c>
      <c r="AJ669" s="2"/>
      <c r="AK669" s="2"/>
      <c r="AL669" s="2"/>
      <c r="AM669" s="2"/>
      <c r="AN669" s="2"/>
    </row>
    <row r="670" spans="1:40" ht="16" x14ac:dyDescent="0.2">
      <c r="A670" s="2" t="s">
        <v>1648</v>
      </c>
      <c r="B670" s="2">
        <v>501</v>
      </c>
      <c r="C670" s="2" t="b">
        <v>0</v>
      </c>
      <c r="D670" s="2" t="b">
        <v>0</v>
      </c>
      <c r="E670" s="2" t="b">
        <v>0</v>
      </c>
      <c r="F670" s="2" t="b">
        <v>0</v>
      </c>
      <c r="G670" s="2" t="s">
        <v>31</v>
      </c>
      <c r="H670" s="2" t="s">
        <v>1649</v>
      </c>
      <c r="I670" s="2" t="s">
        <v>1650</v>
      </c>
      <c r="J670" s="2" t="s">
        <v>1647</v>
      </c>
      <c r="K670" s="2" t="s">
        <v>35</v>
      </c>
      <c r="L670" s="2" t="s">
        <v>35</v>
      </c>
      <c r="M670" s="2" t="s">
        <v>35</v>
      </c>
      <c r="N670" s="2" t="s">
        <v>35</v>
      </c>
      <c r="O670" s="11">
        <v>44747.495219976852</v>
      </c>
      <c r="P670" s="11">
        <v>44747.495505844905</v>
      </c>
      <c r="Q670" s="27">
        <v>2.8586805274244398E-4</v>
      </c>
      <c r="R670" s="27">
        <v>1.1401388837839477E-3</v>
      </c>
      <c r="S670" s="2">
        <v>0</v>
      </c>
      <c r="T670" s="2" t="s">
        <v>36</v>
      </c>
      <c r="U670" s="2" t="s">
        <v>37</v>
      </c>
      <c r="V670" s="2" t="s">
        <v>38</v>
      </c>
      <c r="W670" s="2" t="s">
        <v>35</v>
      </c>
      <c r="X670" s="2" t="s">
        <v>35</v>
      </c>
      <c r="Y670" s="2" t="s">
        <v>35</v>
      </c>
      <c r="Z670" s="2" t="b">
        <v>0</v>
      </c>
      <c r="AA670" s="2" t="s">
        <v>35</v>
      </c>
      <c r="AB670" s="2" t="s">
        <v>35</v>
      </c>
      <c r="AC670" s="2">
        <v>5</v>
      </c>
      <c r="AD670" s="2" t="s">
        <v>35</v>
      </c>
      <c r="AE670" s="2" t="s">
        <v>1464</v>
      </c>
      <c r="AF670" s="11">
        <v>44747.425694386577</v>
      </c>
      <c r="AG670" s="53"/>
      <c r="AH670" s="53" t="b">
        <f t="shared" si="15"/>
        <v>0</v>
      </c>
      <c r="AI670" s="54" t="s">
        <v>10400</v>
      </c>
      <c r="AJ670" s="2"/>
      <c r="AK670" s="2"/>
      <c r="AL670" s="2"/>
      <c r="AM670" s="2"/>
      <c r="AN670" s="2"/>
    </row>
    <row r="671" spans="1:40" ht="16" x14ac:dyDescent="0.2">
      <c r="A671" s="2" t="s">
        <v>1651</v>
      </c>
      <c r="B671" s="2">
        <v>502</v>
      </c>
      <c r="C671" s="2" t="b">
        <v>0</v>
      </c>
      <c r="D671" s="2" t="b">
        <v>0</v>
      </c>
      <c r="E671" s="2" t="b">
        <v>0</v>
      </c>
      <c r="F671" s="2" t="b">
        <v>0</v>
      </c>
      <c r="G671" s="2" t="s">
        <v>31</v>
      </c>
      <c r="H671" s="2" t="s">
        <v>1652</v>
      </c>
      <c r="I671" s="2" t="s">
        <v>1653</v>
      </c>
      <c r="J671" s="2" t="s">
        <v>1654</v>
      </c>
      <c r="K671" s="2" t="s">
        <v>35</v>
      </c>
      <c r="L671" s="2" t="s">
        <v>35</v>
      </c>
      <c r="M671" s="2" t="s">
        <v>35</v>
      </c>
      <c r="N671" s="2" t="s">
        <v>35</v>
      </c>
      <c r="O671" s="11">
        <v>44747.498322013889</v>
      </c>
      <c r="P671" s="11">
        <v>44747.498622430554</v>
      </c>
      <c r="Q671" s="27">
        <v>3.0041666468605399E-4</v>
      </c>
      <c r="R671" s="27">
        <v>3.1165856489678845E-3</v>
      </c>
      <c r="S671" s="2">
        <v>0</v>
      </c>
      <c r="T671" s="2" t="s">
        <v>36</v>
      </c>
      <c r="U671" s="2" t="s">
        <v>37</v>
      </c>
      <c r="V671" s="2" t="s">
        <v>38</v>
      </c>
      <c r="W671" s="2" t="s">
        <v>35</v>
      </c>
      <c r="X671" s="2" t="s">
        <v>35</v>
      </c>
      <c r="Y671" s="2" t="s">
        <v>35</v>
      </c>
      <c r="Z671" s="2" t="b">
        <v>0</v>
      </c>
      <c r="AA671" s="2" t="s">
        <v>35</v>
      </c>
      <c r="AB671" s="2" t="s">
        <v>35</v>
      </c>
      <c r="AC671" s="2">
        <v>5</v>
      </c>
      <c r="AD671" s="2">
        <v>3</v>
      </c>
      <c r="AE671" s="2" t="s">
        <v>1464</v>
      </c>
      <c r="AF671" s="11">
        <v>44747.425694386577</v>
      </c>
      <c r="AG671" s="53"/>
      <c r="AH671" s="53" t="b">
        <f t="shared" si="15"/>
        <v>0</v>
      </c>
      <c r="AI671" s="54" t="s">
        <v>10401</v>
      </c>
      <c r="AJ671" s="2"/>
      <c r="AK671" s="2"/>
      <c r="AL671" s="2"/>
      <c r="AM671" s="2"/>
      <c r="AN671" s="2"/>
    </row>
    <row r="672" spans="1:40" ht="16" x14ac:dyDescent="0.2">
      <c r="A672" s="2" t="s">
        <v>1665</v>
      </c>
      <c r="B672" s="2">
        <v>506</v>
      </c>
      <c r="C672" s="2" t="b">
        <v>0</v>
      </c>
      <c r="D672" s="2" t="b">
        <v>0</v>
      </c>
      <c r="E672" s="2" t="b">
        <v>0</v>
      </c>
      <c r="F672" s="2" t="b">
        <v>0</v>
      </c>
      <c r="G672" s="2" t="s">
        <v>31</v>
      </c>
      <c r="H672" s="2" t="s">
        <v>1666</v>
      </c>
      <c r="I672" s="2" t="s">
        <v>1667</v>
      </c>
      <c r="J672" s="2" t="s">
        <v>1668</v>
      </c>
      <c r="K672" s="2" t="s">
        <v>35</v>
      </c>
      <c r="L672" s="2" t="s">
        <v>35</v>
      </c>
      <c r="M672" s="2" t="s">
        <v>35</v>
      </c>
      <c r="N672" s="2" t="s">
        <v>35</v>
      </c>
      <c r="O672" s="11">
        <v>44747.501525416665</v>
      </c>
      <c r="P672" s="11">
        <v>44747.501783310188</v>
      </c>
      <c r="Q672" s="27">
        <v>2.5789352366700768E-4</v>
      </c>
      <c r="R672" s="27">
        <v>8.7684028403600678E-4</v>
      </c>
      <c r="S672" s="2">
        <v>0</v>
      </c>
      <c r="T672" s="2" t="s">
        <v>36</v>
      </c>
      <c r="U672" s="2" t="s">
        <v>37</v>
      </c>
      <c r="V672" s="2" t="s">
        <v>38</v>
      </c>
      <c r="W672" s="2" t="s">
        <v>35</v>
      </c>
      <c r="X672" s="2" t="s">
        <v>35</v>
      </c>
      <c r="Y672" s="2" t="s">
        <v>35</v>
      </c>
      <c r="Z672" s="2" t="b">
        <v>0</v>
      </c>
      <c r="AA672" s="2" t="s">
        <v>35</v>
      </c>
      <c r="AB672" s="2" t="s">
        <v>35</v>
      </c>
      <c r="AC672" s="2">
        <v>11</v>
      </c>
      <c r="AD672" s="2" t="s">
        <v>35</v>
      </c>
      <c r="AE672" s="2" t="s">
        <v>1464</v>
      </c>
      <c r="AF672" s="11">
        <v>44747.425694386577</v>
      </c>
      <c r="AG672" s="53"/>
      <c r="AH672" s="53" t="b">
        <f t="shared" si="15"/>
        <v>0</v>
      </c>
      <c r="AI672" s="54" t="s">
        <v>10402</v>
      </c>
      <c r="AJ672" s="2"/>
      <c r="AK672" s="2"/>
      <c r="AL672" s="2"/>
      <c r="AM672" s="2"/>
      <c r="AN672" s="2"/>
    </row>
    <row r="673" spans="1:40" ht="16" x14ac:dyDescent="0.2">
      <c r="A673" s="68" t="s">
        <v>1675</v>
      </c>
      <c r="B673" s="68">
        <v>509</v>
      </c>
      <c r="C673" s="68" t="b">
        <v>0</v>
      </c>
      <c r="D673" s="68" t="b">
        <v>0</v>
      </c>
      <c r="E673" s="68" t="b">
        <v>0</v>
      </c>
      <c r="F673" s="68" t="b">
        <v>0</v>
      </c>
      <c r="G673" s="68" t="s">
        <v>31</v>
      </c>
      <c r="H673" s="68" t="s">
        <v>149</v>
      </c>
      <c r="I673" s="68" t="s">
        <v>1676</v>
      </c>
      <c r="J673" s="68" t="s">
        <v>1654</v>
      </c>
      <c r="K673" s="68" t="s">
        <v>35</v>
      </c>
      <c r="L673" s="68" t="s">
        <v>35</v>
      </c>
      <c r="M673" s="68" t="s">
        <v>35</v>
      </c>
      <c r="N673" s="68" t="s">
        <v>35</v>
      </c>
      <c r="O673" s="69">
        <v>44747.504125046296</v>
      </c>
      <c r="P673" s="69">
        <v>44747.504345972222</v>
      </c>
      <c r="Q673" s="70">
        <v>2.209259255323559E-4</v>
      </c>
      <c r="R673" s="70">
        <v>1.0013657374656759E-3</v>
      </c>
      <c r="S673" s="68">
        <v>0</v>
      </c>
      <c r="T673" s="68" t="s">
        <v>36</v>
      </c>
      <c r="U673" s="68" t="s">
        <v>37</v>
      </c>
      <c r="V673" s="68" t="s">
        <v>38</v>
      </c>
      <c r="W673" s="68" t="s">
        <v>35</v>
      </c>
      <c r="X673" s="68" t="s">
        <v>35</v>
      </c>
      <c r="Y673" s="68" t="s">
        <v>35</v>
      </c>
      <c r="Z673" s="68" t="b">
        <v>0</v>
      </c>
      <c r="AA673" s="68" t="s">
        <v>35</v>
      </c>
      <c r="AB673" s="68" t="s">
        <v>35</v>
      </c>
      <c r="AC673" s="68">
        <v>8</v>
      </c>
      <c r="AD673" s="68">
        <v>3</v>
      </c>
      <c r="AE673" s="68" t="s">
        <v>1464</v>
      </c>
      <c r="AF673" s="69">
        <v>44747.425694386577</v>
      </c>
      <c r="AG673" s="71"/>
      <c r="AH673" s="53" t="b">
        <f t="shared" si="15"/>
        <v>0</v>
      </c>
      <c r="AI673" s="56" t="s">
        <v>35</v>
      </c>
      <c r="AJ673" s="68"/>
      <c r="AK673" s="68"/>
      <c r="AL673" s="68"/>
      <c r="AM673" s="68"/>
      <c r="AN673" s="68"/>
    </row>
    <row r="674" spans="1:40" ht="16" x14ac:dyDescent="0.2">
      <c r="A674" s="2" t="s">
        <v>1681</v>
      </c>
      <c r="B674" s="2">
        <v>511</v>
      </c>
      <c r="C674" s="2" t="b">
        <v>0</v>
      </c>
      <c r="D674" s="2" t="b">
        <v>0</v>
      </c>
      <c r="E674" s="2" t="b">
        <v>0</v>
      </c>
      <c r="F674" s="2" t="b">
        <v>0</v>
      </c>
      <c r="G674" s="2" t="s">
        <v>31</v>
      </c>
      <c r="H674" s="2" t="s">
        <v>1682</v>
      </c>
      <c r="I674" s="2" t="s">
        <v>1683</v>
      </c>
      <c r="J674" s="2" t="s">
        <v>1594</v>
      </c>
      <c r="K674" s="2" t="s">
        <v>35</v>
      </c>
      <c r="L674" s="2" t="s">
        <v>35</v>
      </c>
      <c r="M674" s="2" t="s">
        <v>35</v>
      </c>
      <c r="N674" s="2" t="s">
        <v>35</v>
      </c>
      <c r="O674" s="11">
        <v>44747.505834814816</v>
      </c>
      <c r="P674" s="11">
        <v>44747.506048495372</v>
      </c>
      <c r="Q674" s="27">
        <v>2.1368055604398251E-4</v>
      </c>
      <c r="R674" s="27">
        <v>9.3314814876066521E-4</v>
      </c>
      <c r="S674" s="2">
        <v>0</v>
      </c>
      <c r="T674" s="2" t="s">
        <v>36</v>
      </c>
      <c r="U674" s="2" t="s">
        <v>37</v>
      </c>
      <c r="V674" s="2" t="s">
        <v>38</v>
      </c>
      <c r="W674" s="2" t="s">
        <v>35</v>
      </c>
      <c r="X674" s="2" t="s">
        <v>35</v>
      </c>
      <c r="Y674" s="2" t="s">
        <v>35</v>
      </c>
      <c r="Z674" s="2" t="b">
        <v>0</v>
      </c>
      <c r="AA674" s="2" t="s">
        <v>35</v>
      </c>
      <c r="AB674" s="2" t="s">
        <v>35</v>
      </c>
      <c r="AC674" s="2">
        <v>9</v>
      </c>
      <c r="AD674" s="2" t="s">
        <v>35</v>
      </c>
      <c r="AE674" s="2" t="s">
        <v>1464</v>
      </c>
      <c r="AF674" s="11">
        <v>44747.425694386577</v>
      </c>
      <c r="AG674" s="53"/>
      <c r="AH674" s="53" t="b">
        <f t="shared" si="15"/>
        <v>0</v>
      </c>
      <c r="AI674" s="54" t="s">
        <v>10403</v>
      </c>
      <c r="AJ674" s="2"/>
      <c r="AK674" s="2"/>
      <c r="AL674" s="2"/>
      <c r="AM674" s="2"/>
      <c r="AN674" s="2"/>
    </row>
    <row r="675" spans="1:40" ht="16" x14ac:dyDescent="0.2">
      <c r="A675" s="2" t="s">
        <v>1692</v>
      </c>
      <c r="B675" s="2">
        <v>515</v>
      </c>
      <c r="C675" s="2" t="b">
        <v>0</v>
      </c>
      <c r="D675" s="2" t="b">
        <v>0</v>
      </c>
      <c r="E675" s="2" t="b">
        <v>0</v>
      </c>
      <c r="F675" s="2" t="b">
        <v>0</v>
      </c>
      <c r="G675" s="2" t="s">
        <v>31</v>
      </c>
      <c r="H675" s="2" t="s">
        <v>1693</v>
      </c>
      <c r="I675" s="2" t="s">
        <v>1694</v>
      </c>
      <c r="J675" s="2" t="s">
        <v>1594</v>
      </c>
      <c r="K675" s="2" t="s">
        <v>35</v>
      </c>
      <c r="L675" s="2" t="s">
        <v>35</v>
      </c>
      <c r="M675" s="2" t="s">
        <v>35</v>
      </c>
      <c r="N675" s="2" t="s">
        <v>35</v>
      </c>
      <c r="O675" s="11">
        <v>44747.50967107639</v>
      </c>
      <c r="P675" s="11">
        <v>44747.510113923614</v>
      </c>
      <c r="Q675" s="27">
        <v>4.4284722389420494E-4</v>
      </c>
      <c r="R675" s="27">
        <v>1.088182871171739E-3</v>
      </c>
      <c r="S675" s="2">
        <v>0</v>
      </c>
      <c r="T675" s="2" t="s">
        <v>36</v>
      </c>
      <c r="U675" s="2" t="s">
        <v>37</v>
      </c>
      <c r="V675" s="2" t="s">
        <v>38</v>
      </c>
      <c r="W675" s="2" t="s">
        <v>35</v>
      </c>
      <c r="X675" s="2" t="s">
        <v>35</v>
      </c>
      <c r="Y675" s="2" t="s">
        <v>35</v>
      </c>
      <c r="Z675" s="2" t="b">
        <v>0</v>
      </c>
      <c r="AA675" s="2" t="s">
        <v>35</v>
      </c>
      <c r="AB675" s="2" t="s">
        <v>35</v>
      </c>
      <c r="AC675" s="2">
        <v>7</v>
      </c>
      <c r="AD675" s="2" t="s">
        <v>35</v>
      </c>
      <c r="AE675" s="2" t="s">
        <v>1464</v>
      </c>
      <c r="AF675" s="11">
        <v>44747.425694386577</v>
      </c>
      <c r="AG675" s="53"/>
      <c r="AH675" s="53" t="b">
        <f t="shared" si="15"/>
        <v>0</v>
      </c>
      <c r="AI675" s="54" t="s">
        <v>10404</v>
      </c>
      <c r="AJ675" s="2"/>
      <c r="AK675" s="2"/>
      <c r="AL675" s="2"/>
      <c r="AM675" s="2"/>
      <c r="AN675" s="2"/>
    </row>
    <row r="676" spans="1:40" ht="16" x14ac:dyDescent="0.2">
      <c r="A676" s="2" t="s">
        <v>1735</v>
      </c>
      <c r="B676" s="2">
        <v>529</v>
      </c>
      <c r="C676" s="2" t="b">
        <v>0</v>
      </c>
      <c r="D676" s="2" t="b">
        <v>0</v>
      </c>
      <c r="E676" s="2" t="b">
        <v>0</v>
      </c>
      <c r="F676" s="2" t="b">
        <v>0</v>
      </c>
      <c r="G676" s="2" t="s">
        <v>31</v>
      </c>
      <c r="H676" s="2" t="s">
        <v>1736</v>
      </c>
      <c r="I676" s="2" t="s">
        <v>1737</v>
      </c>
      <c r="J676" s="2" t="s">
        <v>1738</v>
      </c>
      <c r="K676" s="2" t="s">
        <v>35</v>
      </c>
      <c r="L676" s="2" t="s">
        <v>35</v>
      </c>
      <c r="M676" s="2" t="s">
        <v>35</v>
      </c>
      <c r="N676" s="2" t="s">
        <v>35</v>
      </c>
      <c r="O676" s="11">
        <v>44747.52464452546</v>
      </c>
      <c r="P676" s="11">
        <v>44747.525009351855</v>
      </c>
      <c r="Q676" s="27">
        <v>3.6482639552559704E-4</v>
      </c>
      <c r="R676" s="27">
        <v>2.849861113645602E-3</v>
      </c>
      <c r="S676" s="2">
        <v>0</v>
      </c>
      <c r="T676" s="2" t="s">
        <v>36</v>
      </c>
      <c r="U676" s="2" t="s">
        <v>37</v>
      </c>
      <c r="V676" s="2" t="s">
        <v>38</v>
      </c>
      <c r="W676" s="2" t="s">
        <v>35</v>
      </c>
      <c r="X676" s="2" t="s">
        <v>35</v>
      </c>
      <c r="Y676" s="2" t="s">
        <v>35</v>
      </c>
      <c r="Z676" s="2" t="b">
        <v>0</v>
      </c>
      <c r="AA676" s="2" t="s">
        <v>35</v>
      </c>
      <c r="AB676" s="2" t="s">
        <v>35</v>
      </c>
      <c r="AC676" s="2">
        <v>12</v>
      </c>
      <c r="AD676" s="2">
        <v>4</v>
      </c>
      <c r="AE676" s="2" t="s">
        <v>1464</v>
      </c>
      <c r="AF676" s="11">
        <v>44747.425694386577</v>
      </c>
      <c r="AG676" s="53"/>
      <c r="AH676" s="53" t="b">
        <f t="shared" si="15"/>
        <v>0</v>
      </c>
      <c r="AI676" s="54" t="s">
        <v>10405</v>
      </c>
      <c r="AJ676" s="2"/>
      <c r="AK676" s="2"/>
      <c r="AL676" s="2"/>
      <c r="AM676" s="2"/>
      <c r="AN676" s="2"/>
    </row>
    <row r="677" spans="1:40" ht="16" x14ac:dyDescent="0.2">
      <c r="A677" s="2" t="s">
        <v>1739</v>
      </c>
      <c r="B677" s="2">
        <v>530</v>
      </c>
      <c r="C677" s="2" t="b">
        <v>0</v>
      </c>
      <c r="D677" s="2" t="b">
        <v>0</v>
      </c>
      <c r="E677" s="2" t="b">
        <v>0</v>
      </c>
      <c r="F677" s="2" t="b">
        <v>0</v>
      </c>
      <c r="G677" s="2" t="s">
        <v>31</v>
      </c>
      <c r="H677" s="2" t="s">
        <v>1740</v>
      </c>
      <c r="I677" s="2" t="s">
        <v>1741</v>
      </c>
      <c r="J677" s="2" t="s">
        <v>1742</v>
      </c>
      <c r="K677" s="2" t="s">
        <v>35</v>
      </c>
      <c r="L677" s="2" t="s">
        <v>35</v>
      </c>
      <c r="M677" s="2" t="s">
        <v>35</v>
      </c>
      <c r="N677" s="2" t="s">
        <v>35</v>
      </c>
      <c r="O677" s="11">
        <v>44747.525952372685</v>
      </c>
      <c r="P677" s="11">
        <v>44747.526260960651</v>
      </c>
      <c r="Q677" s="27">
        <v>3.0858796526445076E-4</v>
      </c>
      <c r="R677" s="27">
        <v>1.2516087954281829E-3</v>
      </c>
      <c r="S677" s="2">
        <v>0</v>
      </c>
      <c r="T677" s="2" t="s">
        <v>36</v>
      </c>
      <c r="U677" s="2" t="s">
        <v>37</v>
      </c>
      <c r="V677" s="2" t="s">
        <v>38</v>
      </c>
      <c r="W677" s="2" t="s">
        <v>35</v>
      </c>
      <c r="X677" s="2" t="s">
        <v>35</v>
      </c>
      <c r="Y677" s="2" t="s">
        <v>35</v>
      </c>
      <c r="Z677" s="2" t="b">
        <v>0</v>
      </c>
      <c r="AA677" s="2" t="s">
        <v>35</v>
      </c>
      <c r="AB677" s="2" t="s">
        <v>35</v>
      </c>
      <c r="AC677" s="2">
        <v>4</v>
      </c>
      <c r="AD677" s="2" t="s">
        <v>35</v>
      </c>
      <c r="AE677" s="2" t="s">
        <v>1464</v>
      </c>
      <c r="AF677" s="11">
        <v>44747.425694386577</v>
      </c>
      <c r="AG677" s="53"/>
      <c r="AH677" s="53" t="b">
        <f t="shared" si="15"/>
        <v>0</v>
      </c>
      <c r="AI677" s="54" t="s">
        <v>10406</v>
      </c>
      <c r="AJ677" s="2"/>
      <c r="AK677" s="2"/>
      <c r="AL677" s="2"/>
      <c r="AM677" s="2"/>
      <c r="AN677" s="2"/>
    </row>
    <row r="678" spans="1:40" ht="16" x14ac:dyDescent="0.2">
      <c r="A678" s="2" t="s">
        <v>1743</v>
      </c>
      <c r="B678" s="2">
        <v>531</v>
      </c>
      <c r="C678" s="2" t="b">
        <v>0</v>
      </c>
      <c r="D678" s="2" t="b">
        <v>0</v>
      </c>
      <c r="E678" s="2" t="b">
        <v>0</v>
      </c>
      <c r="F678" s="2" t="b">
        <v>0</v>
      </c>
      <c r="G678" s="2" t="s">
        <v>31</v>
      </c>
      <c r="H678" s="2" t="s">
        <v>1744</v>
      </c>
      <c r="I678" s="2" t="s">
        <v>1745</v>
      </c>
      <c r="J678" s="2" t="s">
        <v>35</v>
      </c>
      <c r="K678" s="2" t="s">
        <v>35</v>
      </c>
      <c r="L678" s="2" t="s">
        <v>35</v>
      </c>
      <c r="M678" s="2" t="s">
        <v>35</v>
      </c>
      <c r="N678" s="2" t="s">
        <v>35</v>
      </c>
      <c r="O678" s="11">
        <v>44748.590499143516</v>
      </c>
      <c r="P678" s="11">
        <v>44748.590690625002</v>
      </c>
      <c r="Q678" s="27">
        <v>1.9148148567182943E-4</v>
      </c>
      <c r="R678" s="27">
        <v>3.1906250005704351E-3</v>
      </c>
      <c r="S678" s="2">
        <v>0</v>
      </c>
      <c r="T678" s="2" t="s">
        <v>36</v>
      </c>
      <c r="U678" s="2" t="s">
        <v>37</v>
      </c>
      <c r="V678" s="2" t="s">
        <v>38</v>
      </c>
      <c r="W678" s="2" t="s">
        <v>35</v>
      </c>
      <c r="X678" s="2" t="s">
        <v>35</v>
      </c>
      <c r="Y678" s="2" t="s">
        <v>35</v>
      </c>
      <c r="Z678" s="2" t="b">
        <v>0</v>
      </c>
      <c r="AA678" s="2" t="s">
        <v>35</v>
      </c>
      <c r="AB678" s="2" t="s">
        <v>35</v>
      </c>
      <c r="AC678" s="2" t="s">
        <v>35</v>
      </c>
      <c r="AD678" s="2">
        <v>2</v>
      </c>
      <c r="AE678" s="2" t="s">
        <v>941</v>
      </c>
      <c r="AF678" s="11">
        <v>44748.587500000001</v>
      </c>
      <c r="AG678" s="53"/>
      <c r="AH678" s="53" t="b">
        <f t="shared" si="15"/>
        <v>0</v>
      </c>
      <c r="AI678" s="54" t="s">
        <v>10407</v>
      </c>
      <c r="AJ678" s="2"/>
      <c r="AK678" s="2"/>
      <c r="AL678" s="2"/>
      <c r="AM678" s="2"/>
      <c r="AN678" s="2"/>
    </row>
    <row r="679" spans="1:40" ht="16" x14ac:dyDescent="0.2">
      <c r="A679" s="2" t="s">
        <v>1762</v>
      </c>
      <c r="B679" s="2">
        <v>537</v>
      </c>
      <c r="C679" s="2" t="b">
        <v>0</v>
      </c>
      <c r="D679" s="2" t="b">
        <v>0</v>
      </c>
      <c r="E679" s="2" t="b">
        <v>0</v>
      </c>
      <c r="F679" s="2" t="b">
        <v>0</v>
      </c>
      <c r="G679" s="2" t="s">
        <v>31</v>
      </c>
      <c r="H679" s="2" t="s">
        <v>1763</v>
      </c>
      <c r="I679" s="2" t="s">
        <v>1764</v>
      </c>
      <c r="J679" s="2" t="s">
        <v>1765</v>
      </c>
      <c r="K679" s="2" t="s">
        <v>35</v>
      </c>
      <c r="L679" s="2" t="s">
        <v>35</v>
      </c>
      <c r="M679" s="2" t="s">
        <v>35</v>
      </c>
      <c r="N679" s="2" t="s">
        <v>35</v>
      </c>
      <c r="O679" s="11">
        <v>44748.595314479164</v>
      </c>
      <c r="P679" s="11">
        <v>44748.595608067131</v>
      </c>
      <c r="Q679" s="27">
        <v>2.9358796746237203E-4</v>
      </c>
      <c r="R679" s="27">
        <v>7.9699074558448046E-4</v>
      </c>
      <c r="S679" s="2">
        <v>0</v>
      </c>
      <c r="T679" s="2" t="s">
        <v>36</v>
      </c>
      <c r="U679" s="2" t="s">
        <v>37</v>
      </c>
      <c r="V679" s="2" t="s">
        <v>38</v>
      </c>
      <c r="W679" s="2" t="s">
        <v>35</v>
      </c>
      <c r="X679" s="2" t="s">
        <v>35</v>
      </c>
      <c r="Y679" s="2" t="s">
        <v>35</v>
      </c>
      <c r="Z679" s="2" t="b">
        <v>0</v>
      </c>
      <c r="AA679" s="2" t="s">
        <v>35</v>
      </c>
      <c r="AB679" s="2" t="s">
        <v>35</v>
      </c>
      <c r="AC679" s="2">
        <v>8</v>
      </c>
      <c r="AD679" s="2" t="s">
        <v>35</v>
      </c>
      <c r="AE679" s="2" t="s">
        <v>941</v>
      </c>
      <c r="AF679" s="11">
        <v>44748.587500000001</v>
      </c>
      <c r="AG679" s="53"/>
      <c r="AH679" s="53" t="b">
        <f t="shared" si="15"/>
        <v>0</v>
      </c>
      <c r="AI679" s="54" t="s">
        <v>10408</v>
      </c>
      <c r="AJ679" s="2"/>
      <c r="AK679" s="2"/>
      <c r="AL679" s="2"/>
      <c r="AM679" s="2"/>
      <c r="AN679" s="2"/>
    </row>
    <row r="680" spans="1:40" ht="16" x14ac:dyDescent="0.2">
      <c r="A680" s="2" t="s">
        <v>1772</v>
      </c>
      <c r="B680" s="2">
        <v>540</v>
      </c>
      <c r="C680" s="2" t="b">
        <v>0</v>
      </c>
      <c r="D680" s="2" t="b">
        <v>0</v>
      </c>
      <c r="E680" s="2" t="b">
        <v>0</v>
      </c>
      <c r="F680" s="2" t="b">
        <v>0</v>
      </c>
      <c r="G680" s="2" t="s">
        <v>31</v>
      </c>
      <c r="H680" s="2" t="s">
        <v>1773</v>
      </c>
      <c r="I680" s="2" t="s">
        <v>1774</v>
      </c>
      <c r="J680" s="2" t="s">
        <v>35</v>
      </c>
      <c r="K680" s="2" t="s">
        <v>35</v>
      </c>
      <c r="L680" s="2" t="s">
        <v>35</v>
      </c>
      <c r="M680" s="2" t="s">
        <v>35</v>
      </c>
      <c r="N680" s="2" t="s">
        <v>35</v>
      </c>
      <c r="O680" s="11">
        <v>44748.597242384261</v>
      </c>
      <c r="P680" s="11">
        <v>44748.597549062499</v>
      </c>
      <c r="Q680" s="27">
        <v>3.0667823739349842E-4</v>
      </c>
      <c r="R680" s="27">
        <v>3.4255786886205897E-4</v>
      </c>
      <c r="S680" s="2">
        <v>0</v>
      </c>
      <c r="T680" s="2" t="s">
        <v>36</v>
      </c>
      <c r="U680" s="2" t="s">
        <v>37</v>
      </c>
      <c r="V680" s="2" t="s">
        <v>38</v>
      </c>
      <c r="W680" s="2" t="s">
        <v>35</v>
      </c>
      <c r="X680" s="2" t="s">
        <v>35</v>
      </c>
      <c r="Y680" s="2" t="s">
        <v>35</v>
      </c>
      <c r="Z680" s="2" t="b">
        <v>0</v>
      </c>
      <c r="AA680" s="2" t="s">
        <v>165</v>
      </c>
      <c r="AB680" s="2" t="s">
        <v>35</v>
      </c>
      <c r="AC680" s="2" t="s">
        <v>35</v>
      </c>
      <c r="AD680" s="2" t="s">
        <v>35</v>
      </c>
      <c r="AE680" s="2" t="s">
        <v>941</v>
      </c>
      <c r="AF680" s="11">
        <v>44748.587500000001</v>
      </c>
      <c r="AG680" s="53"/>
      <c r="AH680" s="53" t="b">
        <f t="shared" si="15"/>
        <v>0</v>
      </c>
      <c r="AI680" s="54" t="s">
        <v>10409</v>
      </c>
      <c r="AJ680" s="2"/>
      <c r="AK680" s="2"/>
      <c r="AL680" s="2"/>
      <c r="AM680" s="2"/>
      <c r="AN680" s="2"/>
    </row>
    <row r="681" spans="1:40" ht="16" x14ac:dyDescent="0.2">
      <c r="A681" s="2" t="s">
        <v>1789</v>
      </c>
      <c r="B681" s="2">
        <v>546</v>
      </c>
      <c r="C681" s="2" t="b">
        <v>0</v>
      </c>
      <c r="D681" s="2" t="b">
        <v>0</v>
      </c>
      <c r="E681" s="2" t="b">
        <v>0</v>
      </c>
      <c r="F681" s="2" t="b">
        <v>0</v>
      </c>
      <c r="G681" s="2" t="s">
        <v>31</v>
      </c>
      <c r="H681" s="2" t="s">
        <v>1790</v>
      </c>
      <c r="I681" s="2" t="s">
        <v>1791</v>
      </c>
      <c r="J681" s="2" t="s">
        <v>35</v>
      </c>
      <c r="K681" s="2" t="s">
        <v>35</v>
      </c>
      <c r="L681" s="2" t="s">
        <v>35</v>
      </c>
      <c r="M681" s="2" t="s">
        <v>35</v>
      </c>
      <c r="N681" s="2" t="s">
        <v>35</v>
      </c>
      <c r="O681" s="11">
        <v>44748.603703171299</v>
      </c>
      <c r="P681" s="11">
        <v>44748.604172638887</v>
      </c>
      <c r="Q681" s="27">
        <v>4.6946758811827749E-4</v>
      </c>
      <c r="R681" s="27">
        <v>6.6298610909143463E-4</v>
      </c>
      <c r="S681" s="2">
        <v>0</v>
      </c>
      <c r="T681" s="2" t="s">
        <v>36</v>
      </c>
      <c r="U681" s="2" t="s">
        <v>37</v>
      </c>
      <c r="V681" s="2" t="s">
        <v>38</v>
      </c>
      <c r="W681" s="2" t="s">
        <v>35</v>
      </c>
      <c r="X681" s="2" t="s">
        <v>35</v>
      </c>
      <c r="Y681" s="2" t="s">
        <v>35</v>
      </c>
      <c r="Z681" s="2" t="b">
        <v>0</v>
      </c>
      <c r="AA681" s="2" t="s">
        <v>35</v>
      </c>
      <c r="AB681" s="2" t="s">
        <v>35</v>
      </c>
      <c r="AC681" s="2" t="s">
        <v>35</v>
      </c>
      <c r="AD681" s="2">
        <v>2</v>
      </c>
      <c r="AE681" s="2" t="s">
        <v>941</v>
      </c>
      <c r="AF681" s="11">
        <v>44748.587500000001</v>
      </c>
      <c r="AG681" s="53"/>
      <c r="AH681" s="53" t="b">
        <f t="shared" si="15"/>
        <v>0</v>
      </c>
      <c r="AI681" s="54" t="s">
        <v>9535</v>
      </c>
      <c r="AJ681" s="2"/>
      <c r="AK681" s="2"/>
      <c r="AL681" s="2"/>
      <c r="AM681" s="2"/>
      <c r="AN681" s="2"/>
    </row>
    <row r="682" spans="1:40" ht="16" x14ac:dyDescent="0.2">
      <c r="A682" s="2" t="s">
        <v>1792</v>
      </c>
      <c r="B682" s="2">
        <v>547</v>
      </c>
      <c r="C682" s="2" t="b">
        <v>0</v>
      </c>
      <c r="D682" s="2" t="b">
        <v>0</v>
      </c>
      <c r="E682" s="2" t="b">
        <v>0</v>
      </c>
      <c r="F682" s="2" t="b">
        <v>0</v>
      </c>
      <c r="G682" s="2" t="s">
        <v>31</v>
      </c>
      <c r="H682" s="2" t="s">
        <v>1793</v>
      </c>
      <c r="I682" s="2" t="s">
        <v>1794</v>
      </c>
      <c r="J682" s="2" t="s">
        <v>35</v>
      </c>
      <c r="K682" s="2" t="s">
        <v>35</v>
      </c>
      <c r="L682" s="2" t="s">
        <v>35</v>
      </c>
      <c r="M682" s="2" t="s">
        <v>35</v>
      </c>
      <c r="N682" s="2" t="s">
        <v>35</v>
      </c>
      <c r="O682" s="11">
        <v>44748.604962581019</v>
      </c>
      <c r="P682" s="11">
        <v>44748.605159317129</v>
      </c>
      <c r="Q682" s="27">
        <v>1.9673610950121656E-4</v>
      </c>
      <c r="R682" s="27">
        <v>9.8667824204312637E-4</v>
      </c>
      <c r="S682" s="2">
        <v>0</v>
      </c>
      <c r="T682" s="2" t="s">
        <v>36</v>
      </c>
      <c r="U682" s="2" t="s">
        <v>37</v>
      </c>
      <c r="V682" s="2" t="s">
        <v>38</v>
      </c>
      <c r="W682" s="2" t="s">
        <v>35</v>
      </c>
      <c r="X682" s="2" t="s">
        <v>35</v>
      </c>
      <c r="Y682" s="2" t="s">
        <v>35</v>
      </c>
      <c r="Z682" s="2" t="b">
        <v>0</v>
      </c>
      <c r="AA682" s="2" t="s">
        <v>35</v>
      </c>
      <c r="AB682" s="2" t="s">
        <v>35</v>
      </c>
      <c r="AC682" s="2" t="s">
        <v>35</v>
      </c>
      <c r="AD682" s="2">
        <v>2</v>
      </c>
      <c r="AE682" s="2" t="s">
        <v>941</v>
      </c>
      <c r="AF682" s="11">
        <v>44748.587500000001</v>
      </c>
      <c r="AG682" s="53"/>
      <c r="AH682" s="53" t="b">
        <f t="shared" si="15"/>
        <v>0</v>
      </c>
      <c r="AI682" s="54" t="s">
        <v>10410</v>
      </c>
      <c r="AJ682" s="2"/>
      <c r="AK682" s="2"/>
      <c r="AL682" s="2"/>
      <c r="AM682" s="2"/>
      <c r="AN682" s="2"/>
    </row>
    <row r="683" spans="1:40" ht="16" x14ac:dyDescent="0.2">
      <c r="A683" s="2" t="s">
        <v>1795</v>
      </c>
      <c r="B683" s="2">
        <v>548</v>
      </c>
      <c r="C683" s="2" t="b">
        <v>0</v>
      </c>
      <c r="D683" s="2" t="b">
        <v>0</v>
      </c>
      <c r="E683" s="2" t="b">
        <v>0</v>
      </c>
      <c r="F683" s="2" t="b">
        <v>0</v>
      </c>
      <c r="G683" s="2" t="s">
        <v>31</v>
      </c>
      <c r="H683" s="2" t="s">
        <v>1796</v>
      </c>
      <c r="I683" s="2" t="s">
        <v>1797</v>
      </c>
      <c r="J683" s="2" t="s">
        <v>35</v>
      </c>
      <c r="K683" s="2" t="s">
        <v>35</v>
      </c>
      <c r="L683" s="2" t="s">
        <v>35</v>
      </c>
      <c r="M683" s="2" t="s">
        <v>35</v>
      </c>
      <c r="N683" s="2" t="s">
        <v>35</v>
      </c>
      <c r="O683" s="11">
        <v>44748.606437604169</v>
      </c>
      <c r="P683" s="11">
        <v>44748.606557326391</v>
      </c>
      <c r="Q683" s="27">
        <v>1.1972222273470834E-4</v>
      </c>
      <c r="R683" s="27">
        <v>1.3980092626297846E-3</v>
      </c>
      <c r="S683" s="2">
        <v>0</v>
      </c>
      <c r="T683" s="2" t="s">
        <v>36</v>
      </c>
      <c r="U683" s="2" t="s">
        <v>37</v>
      </c>
      <c r="V683" s="2" t="s">
        <v>38</v>
      </c>
      <c r="W683" s="2" t="s">
        <v>35</v>
      </c>
      <c r="X683" s="2" t="s">
        <v>35</v>
      </c>
      <c r="Y683" s="2" t="s">
        <v>35</v>
      </c>
      <c r="Z683" s="2" t="b">
        <v>0</v>
      </c>
      <c r="AA683" s="2" t="s">
        <v>35</v>
      </c>
      <c r="AB683" s="2" t="s">
        <v>35</v>
      </c>
      <c r="AC683" s="2" t="s">
        <v>35</v>
      </c>
      <c r="AD683" s="2">
        <v>3</v>
      </c>
      <c r="AE683" s="2" t="s">
        <v>941</v>
      </c>
      <c r="AF683" s="11">
        <v>44748.587500000001</v>
      </c>
      <c r="AG683" s="53"/>
      <c r="AH683" s="53" t="b">
        <f t="shared" si="15"/>
        <v>0</v>
      </c>
      <c r="AI683" s="54" t="s">
        <v>10411</v>
      </c>
      <c r="AJ683" s="2"/>
      <c r="AK683" s="2"/>
      <c r="AL683" s="2"/>
      <c r="AM683" s="2"/>
      <c r="AN683" s="2"/>
    </row>
    <row r="684" spans="1:40" ht="16" x14ac:dyDescent="0.2">
      <c r="A684" s="2" t="s">
        <v>1798</v>
      </c>
      <c r="B684" s="2">
        <v>549</v>
      </c>
      <c r="C684" s="2" t="b">
        <v>0</v>
      </c>
      <c r="D684" s="2" t="b">
        <v>0</v>
      </c>
      <c r="E684" s="2" t="b">
        <v>0</v>
      </c>
      <c r="F684" s="2" t="b">
        <v>0</v>
      </c>
      <c r="G684" s="2" t="s">
        <v>31</v>
      </c>
      <c r="H684" s="2" t="s">
        <v>1799</v>
      </c>
      <c r="I684" s="2" t="s">
        <v>1800</v>
      </c>
      <c r="J684" s="2" t="s">
        <v>35</v>
      </c>
      <c r="K684" s="2" t="s">
        <v>35</v>
      </c>
      <c r="L684" s="2" t="s">
        <v>35</v>
      </c>
      <c r="M684" s="2" t="s">
        <v>35</v>
      </c>
      <c r="N684" s="2" t="s">
        <v>35</v>
      </c>
      <c r="O684" s="11">
        <v>44748.607157106482</v>
      </c>
      <c r="P684" s="11">
        <v>44748.607420763889</v>
      </c>
      <c r="Q684" s="27">
        <v>2.6365740632172674E-4</v>
      </c>
      <c r="R684" s="27">
        <v>8.6343749717343599E-4</v>
      </c>
      <c r="S684" s="2">
        <v>0</v>
      </c>
      <c r="T684" s="2" t="s">
        <v>36</v>
      </c>
      <c r="U684" s="2" t="s">
        <v>37</v>
      </c>
      <c r="V684" s="2" t="s">
        <v>38</v>
      </c>
      <c r="W684" s="2" t="s">
        <v>35</v>
      </c>
      <c r="X684" s="2" t="s">
        <v>35</v>
      </c>
      <c r="Y684" s="2" t="s">
        <v>35</v>
      </c>
      <c r="Z684" s="2" t="b">
        <v>0</v>
      </c>
      <c r="AA684" s="2" t="s">
        <v>35</v>
      </c>
      <c r="AB684" s="2" t="s">
        <v>35</v>
      </c>
      <c r="AC684" s="2" t="s">
        <v>35</v>
      </c>
      <c r="AD684" s="2">
        <v>2</v>
      </c>
      <c r="AE684" s="2" t="s">
        <v>941</v>
      </c>
      <c r="AF684" s="11">
        <v>44748.587500000001</v>
      </c>
      <c r="AG684" s="53"/>
      <c r="AH684" s="53" t="b">
        <f t="shared" si="15"/>
        <v>0</v>
      </c>
      <c r="AI684" s="54" t="s">
        <v>9533</v>
      </c>
      <c r="AJ684" s="2"/>
      <c r="AK684" s="2"/>
      <c r="AL684" s="2"/>
      <c r="AM684" s="2"/>
      <c r="AN684" s="2"/>
    </row>
    <row r="685" spans="1:40" ht="16" x14ac:dyDescent="0.2">
      <c r="A685" s="2" t="s">
        <v>1801</v>
      </c>
      <c r="B685" s="2">
        <v>550</v>
      </c>
      <c r="C685" s="2" t="b">
        <v>0</v>
      </c>
      <c r="D685" s="2" t="b">
        <v>0</v>
      </c>
      <c r="E685" s="2" t="b">
        <v>0</v>
      </c>
      <c r="F685" s="2" t="b">
        <v>0</v>
      </c>
      <c r="G685" s="2" t="s">
        <v>31</v>
      </c>
      <c r="H685" s="2" t="s">
        <v>1802</v>
      </c>
      <c r="I685" s="2" t="s">
        <v>1803</v>
      </c>
      <c r="J685" s="2" t="s">
        <v>35</v>
      </c>
      <c r="K685" s="2" t="s">
        <v>35</v>
      </c>
      <c r="L685" s="2" t="s">
        <v>35</v>
      </c>
      <c r="M685" s="2" t="s">
        <v>35</v>
      </c>
      <c r="N685" s="2" t="s">
        <v>35</v>
      </c>
      <c r="O685" s="11">
        <v>44748.609893530091</v>
      </c>
      <c r="P685" s="11">
        <v>44748.61001585648</v>
      </c>
      <c r="Q685" s="27">
        <v>1.2232638982823119E-4</v>
      </c>
      <c r="R685" s="27">
        <v>2.5950925919460133E-3</v>
      </c>
      <c r="S685" s="2">
        <v>0</v>
      </c>
      <c r="T685" s="2" t="s">
        <v>36</v>
      </c>
      <c r="U685" s="2" t="s">
        <v>37</v>
      </c>
      <c r="V685" s="2" t="s">
        <v>38</v>
      </c>
      <c r="W685" s="2" t="s">
        <v>35</v>
      </c>
      <c r="X685" s="2" t="s">
        <v>35</v>
      </c>
      <c r="Y685" s="2" t="s">
        <v>35</v>
      </c>
      <c r="Z685" s="2" t="b">
        <v>0</v>
      </c>
      <c r="AA685" s="2" t="s">
        <v>35</v>
      </c>
      <c r="AB685" s="2" t="s">
        <v>35</v>
      </c>
      <c r="AC685" s="2" t="s">
        <v>35</v>
      </c>
      <c r="AD685" s="2">
        <v>4</v>
      </c>
      <c r="AE685" s="2" t="s">
        <v>941</v>
      </c>
      <c r="AF685" s="11">
        <v>44748.587500000001</v>
      </c>
      <c r="AG685" s="53"/>
      <c r="AH685" s="53" t="b">
        <f t="shared" si="15"/>
        <v>0</v>
      </c>
      <c r="AI685" s="54" t="s">
        <v>10412</v>
      </c>
      <c r="AJ685" s="2"/>
      <c r="AK685" s="2"/>
      <c r="AL685" s="2"/>
      <c r="AM685" s="2"/>
      <c r="AN685" s="2"/>
    </row>
    <row r="686" spans="1:40" ht="16" x14ac:dyDescent="0.2">
      <c r="A686" s="2" t="s">
        <v>1811</v>
      </c>
      <c r="B686" s="2">
        <v>553</v>
      </c>
      <c r="C686" s="2" t="b">
        <v>0</v>
      </c>
      <c r="D686" s="2" t="b">
        <v>0</v>
      </c>
      <c r="E686" s="2" t="b">
        <v>0</v>
      </c>
      <c r="F686" s="2" t="b">
        <v>0</v>
      </c>
      <c r="G686" s="2" t="s">
        <v>31</v>
      </c>
      <c r="H686" s="2" t="s">
        <v>1812</v>
      </c>
      <c r="I686" s="2" t="s">
        <v>1813</v>
      </c>
      <c r="J686" s="2" t="s">
        <v>35</v>
      </c>
      <c r="K686" s="2" t="s">
        <v>35</v>
      </c>
      <c r="L686" s="2" t="s">
        <v>35</v>
      </c>
      <c r="M686" s="2" t="s">
        <v>35</v>
      </c>
      <c r="N686" s="2" t="s">
        <v>35</v>
      </c>
      <c r="O686" s="11">
        <v>44748.613734837963</v>
      </c>
      <c r="P686" s="11">
        <v>44748.613858171295</v>
      </c>
      <c r="Q686" s="27">
        <v>1.2333333143033087E-4</v>
      </c>
      <c r="R686" s="27">
        <v>5.8146990340901539E-4</v>
      </c>
      <c r="S686" s="2">
        <v>0</v>
      </c>
      <c r="T686" s="2" t="s">
        <v>36</v>
      </c>
      <c r="U686" s="2" t="s">
        <v>37</v>
      </c>
      <c r="V686" s="2" t="s">
        <v>38</v>
      </c>
      <c r="W686" s="2" t="s">
        <v>35</v>
      </c>
      <c r="X686" s="2" t="s">
        <v>35</v>
      </c>
      <c r="Y686" s="2" t="s">
        <v>35</v>
      </c>
      <c r="Z686" s="2" t="b">
        <v>0</v>
      </c>
      <c r="AA686" s="2" t="s">
        <v>35</v>
      </c>
      <c r="AB686" s="2" t="s">
        <v>35</v>
      </c>
      <c r="AC686" s="2" t="s">
        <v>35</v>
      </c>
      <c r="AD686" s="2">
        <v>3</v>
      </c>
      <c r="AE686" s="2" t="s">
        <v>941</v>
      </c>
      <c r="AF686" s="11">
        <v>44748.587500000001</v>
      </c>
      <c r="AG686" s="53"/>
      <c r="AH686" s="53" t="b">
        <f t="shared" si="15"/>
        <v>0</v>
      </c>
      <c r="AI686" s="54" t="s">
        <v>10413</v>
      </c>
      <c r="AJ686" s="2"/>
      <c r="AK686" s="2"/>
      <c r="AL686" s="2"/>
      <c r="AM686" s="2"/>
      <c r="AN686" s="2"/>
    </row>
    <row r="687" spans="1:40" ht="16" x14ac:dyDescent="0.2">
      <c r="A687" s="2" t="s">
        <v>1814</v>
      </c>
      <c r="B687" s="2">
        <v>554</v>
      </c>
      <c r="C687" s="2" t="b">
        <v>0</v>
      </c>
      <c r="D687" s="2" t="b">
        <v>0</v>
      </c>
      <c r="E687" s="2" t="b">
        <v>0</v>
      </c>
      <c r="F687" s="2" t="b">
        <v>0</v>
      </c>
      <c r="G687" s="2" t="s">
        <v>31</v>
      </c>
      <c r="H687" s="2" t="s">
        <v>1815</v>
      </c>
      <c r="I687" s="2" t="s">
        <v>1816</v>
      </c>
      <c r="J687" s="2" t="s">
        <v>35</v>
      </c>
      <c r="K687" s="2" t="s">
        <v>35</v>
      </c>
      <c r="L687" s="2" t="s">
        <v>35</v>
      </c>
      <c r="M687" s="2" t="s">
        <v>35</v>
      </c>
      <c r="N687" s="2" t="s">
        <v>35</v>
      </c>
      <c r="O687" s="11">
        <v>44748.615874027775</v>
      </c>
      <c r="P687" s="11">
        <v>44748.616050416669</v>
      </c>
      <c r="Q687" s="27">
        <v>1.7638889403315261E-4</v>
      </c>
      <c r="R687" s="27">
        <v>2.1922453743172809E-3</v>
      </c>
      <c r="S687" s="2">
        <v>0</v>
      </c>
      <c r="T687" s="2" t="s">
        <v>36</v>
      </c>
      <c r="U687" s="2" t="s">
        <v>37</v>
      </c>
      <c r="V687" s="2" t="s">
        <v>38</v>
      </c>
      <c r="W687" s="2" t="s">
        <v>35</v>
      </c>
      <c r="X687" s="2" t="s">
        <v>35</v>
      </c>
      <c r="Y687" s="2" t="s">
        <v>35</v>
      </c>
      <c r="Z687" s="2" t="b">
        <v>0</v>
      </c>
      <c r="AA687" s="2" t="s">
        <v>35</v>
      </c>
      <c r="AB687" s="2" t="s">
        <v>35</v>
      </c>
      <c r="AC687" s="2" t="s">
        <v>35</v>
      </c>
      <c r="AD687" s="2">
        <v>2</v>
      </c>
      <c r="AE687" s="2" t="s">
        <v>941</v>
      </c>
      <c r="AF687" s="11">
        <v>44748.587500000001</v>
      </c>
      <c r="AG687" s="53"/>
      <c r="AH687" s="53" t="b">
        <f t="shared" si="15"/>
        <v>0</v>
      </c>
      <c r="AI687" s="54" t="s">
        <v>10414</v>
      </c>
      <c r="AJ687" s="2"/>
      <c r="AK687" s="2"/>
      <c r="AL687" s="2"/>
      <c r="AM687" s="2"/>
      <c r="AN687" s="2"/>
    </row>
    <row r="688" spans="1:40" ht="16" x14ac:dyDescent="0.2">
      <c r="A688" s="2" t="s">
        <v>1828</v>
      </c>
      <c r="B688" s="2">
        <v>559</v>
      </c>
      <c r="C688" s="2" t="b">
        <v>0</v>
      </c>
      <c r="D688" s="2" t="b">
        <v>0</v>
      </c>
      <c r="E688" s="2" t="b">
        <v>0</v>
      </c>
      <c r="F688" s="2" t="b">
        <v>0</v>
      </c>
      <c r="G688" s="2" t="s">
        <v>31</v>
      </c>
      <c r="H688" s="2" t="s">
        <v>1829</v>
      </c>
      <c r="I688" s="2" t="s">
        <v>1830</v>
      </c>
      <c r="J688" s="2" t="s">
        <v>1831</v>
      </c>
      <c r="K688" s="2" t="s">
        <v>35</v>
      </c>
      <c r="L688" s="2" t="s">
        <v>35</v>
      </c>
      <c r="M688" s="2" t="s">
        <v>35</v>
      </c>
      <c r="N688" s="2" t="s">
        <v>35</v>
      </c>
      <c r="O688" s="11">
        <v>44748.632398576388</v>
      </c>
      <c r="P688" s="11">
        <v>44748.632904386577</v>
      </c>
      <c r="Q688" s="27">
        <v>5.0581018876982853E-4</v>
      </c>
      <c r="R688" s="27">
        <v>4.9079861491918564E-4</v>
      </c>
      <c r="S688" s="2">
        <v>0</v>
      </c>
      <c r="T688" s="2" t="s">
        <v>36</v>
      </c>
      <c r="U688" s="2" t="s">
        <v>37</v>
      </c>
      <c r="V688" s="2" t="s">
        <v>38</v>
      </c>
      <c r="W688" s="2" t="s">
        <v>35</v>
      </c>
      <c r="X688" s="2" t="s">
        <v>35</v>
      </c>
      <c r="Y688" s="2" t="s">
        <v>35</v>
      </c>
      <c r="Z688" s="2" t="b">
        <v>0</v>
      </c>
      <c r="AA688" s="2" t="s">
        <v>35</v>
      </c>
      <c r="AB688" s="2">
        <v>4</v>
      </c>
      <c r="AC688" s="2">
        <v>3</v>
      </c>
      <c r="AD688" s="2" t="s">
        <v>35</v>
      </c>
      <c r="AE688" s="2" t="s">
        <v>1826</v>
      </c>
      <c r="AF688" s="11">
        <v>44748.629166666666</v>
      </c>
      <c r="AG688" s="53"/>
      <c r="AH688" s="53" t="b">
        <f t="shared" si="15"/>
        <v>0</v>
      </c>
      <c r="AI688" s="54" t="s">
        <v>10415</v>
      </c>
      <c r="AJ688" s="2"/>
      <c r="AK688" s="2"/>
      <c r="AL688" s="2"/>
      <c r="AM688" s="2"/>
      <c r="AN688" s="2"/>
    </row>
    <row r="689" spans="1:40" ht="16" x14ac:dyDescent="0.2">
      <c r="A689" s="68" t="s">
        <v>1833</v>
      </c>
      <c r="B689" s="68">
        <v>561</v>
      </c>
      <c r="C689" s="68" t="b">
        <v>0</v>
      </c>
      <c r="D689" s="68" t="b">
        <v>0</v>
      </c>
      <c r="E689" s="68" t="b">
        <v>0</v>
      </c>
      <c r="F689" s="68" t="b">
        <v>0</v>
      </c>
      <c r="G689" s="68" t="s">
        <v>31</v>
      </c>
      <c r="H689" s="68" t="s">
        <v>149</v>
      </c>
      <c r="I689" s="68" t="s">
        <v>1834</v>
      </c>
      <c r="J689" s="68" t="s">
        <v>1835</v>
      </c>
      <c r="K689" s="68" t="s">
        <v>35</v>
      </c>
      <c r="L689" s="68" t="s">
        <v>35</v>
      </c>
      <c r="M689" s="68" t="s">
        <v>35</v>
      </c>
      <c r="N689" s="68" t="s">
        <v>35</v>
      </c>
      <c r="O689" s="69">
        <v>44748.634756111111</v>
      </c>
      <c r="P689" s="69">
        <v>44748.635266516205</v>
      </c>
      <c r="Q689" s="70">
        <v>5.1040509424638003E-4</v>
      </c>
      <c r="R689" s="70">
        <v>2.8529166665975936E-3</v>
      </c>
      <c r="S689" s="68">
        <v>0</v>
      </c>
      <c r="T689" s="68" t="s">
        <v>36</v>
      </c>
      <c r="U689" s="68" t="s">
        <v>37</v>
      </c>
      <c r="V689" s="68" t="s">
        <v>38</v>
      </c>
      <c r="W689" s="68" t="s">
        <v>35</v>
      </c>
      <c r="X689" s="68" t="s">
        <v>35</v>
      </c>
      <c r="Y689" s="68" t="s">
        <v>35</v>
      </c>
      <c r="Z689" s="68" t="b">
        <v>0</v>
      </c>
      <c r="AA689" s="68" t="s">
        <v>35</v>
      </c>
      <c r="AB689" s="68" t="s">
        <v>35</v>
      </c>
      <c r="AC689" s="68">
        <v>6</v>
      </c>
      <c r="AD689" s="68" t="s">
        <v>35</v>
      </c>
      <c r="AE689" s="68" t="s">
        <v>1826</v>
      </c>
      <c r="AF689" s="69">
        <v>44748.629166666666</v>
      </c>
      <c r="AG689" s="71"/>
      <c r="AH689" s="53" t="b">
        <f t="shared" si="15"/>
        <v>0</v>
      </c>
      <c r="AI689" s="56" t="s">
        <v>35</v>
      </c>
      <c r="AJ689" s="68"/>
      <c r="AK689" s="68"/>
      <c r="AL689" s="68"/>
      <c r="AM689" s="68"/>
      <c r="AN689" s="68"/>
    </row>
    <row r="690" spans="1:40" ht="16" x14ac:dyDescent="0.2">
      <c r="A690" s="68" t="s">
        <v>1840</v>
      </c>
      <c r="B690" s="68">
        <v>564</v>
      </c>
      <c r="C690" s="68" t="b">
        <v>0</v>
      </c>
      <c r="D690" s="68" t="b">
        <v>0</v>
      </c>
      <c r="E690" s="68" t="b">
        <v>0</v>
      </c>
      <c r="F690" s="68" t="b">
        <v>0</v>
      </c>
      <c r="G690" s="68" t="s">
        <v>31</v>
      </c>
      <c r="H690" s="68" t="s">
        <v>149</v>
      </c>
      <c r="I690" s="68" t="s">
        <v>1841</v>
      </c>
      <c r="J690" s="68" t="s">
        <v>35</v>
      </c>
      <c r="K690" s="68" t="s">
        <v>35</v>
      </c>
      <c r="L690" s="68" t="s">
        <v>35</v>
      </c>
      <c r="M690" s="68" t="s">
        <v>35</v>
      </c>
      <c r="N690" s="68" t="s">
        <v>35</v>
      </c>
      <c r="O690" s="69">
        <v>44748.637738333331</v>
      </c>
      <c r="P690" s="69">
        <v>44748.637836608796</v>
      </c>
      <c r="Q690" s="70">
        <v>9.8275464551988989E-5</v>
      </c>
      <c r="R690" s="70">
        <v>8.6744212603662163E-4</v>
      </c>
      <c r="S690" s="68">
        <v>0</v>
      </c>
      <c r="T690" s="68" t="s">
        <v>36</v>
      </c>
      <c r="U690" s="68" t="s">
        <v>37</v>
      </c>
      <c r="V690" s="68" t="s">
        <v>38</v>
      </c>
      <c r="W690" s="68" t="s">
        <v>35</v>
      </c>
      <c r="X690" s="68" t="s">
        <v>35</v>
      </c>
      <c r="Y690" s="68" t="s">
        <v>35</v>
      </c>
      <c r="Z690" s="68" t="b">
        <v>0</v>
      </c>
      <c r="AA690" s="68" t="s">
        <v>35</v>
      </c>
      <c r="AB690" s="68" t="s">
        <v>35</v>
      </c>
      <c r="AC690" s="68" t="s">
        <v>35</v>
      </c>
      <c r="AD690" s="68">
        <v>2</v>
      </c>
      <c r="AE690" s="68" t="s">
        <v>1826</v>
      </c>
      <c r="AF690" s="69">
        <v>44748.629166608793</v>
      </c>
      <c r="AG690" s="71"/>
      <c r="AH690" s="53" t="b">
        <f t="shared" si="15"/>
        <v>0</v>
      </c>
      <c r="AI690" s="56" t="s">
        <v>35</v>
      </c>
      <c r="AJ690" s="68"/>
      <c r="AK690" s="68"/>
      <c r="AL690" s="68"/>
      <c r="AM690" s="68"/>
      <c r="AN690" s="68"/>
    </row>
    <row r="691" spans="1:40" ht="16" x14ac:dyDescent="0.2">
      <c r="A691" s="2" t="s">
        <v>1847</v>
      </c>
      <c r="B691" s="2">
        <v>567</v>
      </c>
      <c r="C691" s="2" t="b">
        <v>0</v>
      </c>
      <c r="D691" s="2" t="b">
        <v>0</v>
      </c>
      <c r="E691" s="2" t="b">
        <v>0</v>
      </c>
      <c r="F691" s="2" t="b">
        <v>0</v>
      </c>
      <c r="G691" s="2" t="s">
        <v>31</v>
      </c>
      <c r="H691" s="2" t="s">
        <v>1848</v>
      </c>
      <c r="I691" s="2" t="s">
        <v>1849</v>
      </c>
      <c r="J691" s="2" t="s">
        <v>1850</v>
      </c>
      <c r="K691" s="2" t="s">
        <v>35</v>
      </c>
      <c r="L691" s="2" t="s">
        <v>35</v>
      </c>
      <c r="M691" s="2" t="s">
        <v>35</v>
      </c>
      <c r="N691" s="2" t="s">
        <v>35</v>
      </c>
      <c r="O691" s="11">
        <v>44748.644376296295</v>
      </c>
      <c r="P691" s="11">
        <v>44748.644803819443</v>
      </c>
      <c r="Q691" s="27">
        <v>4.2752314766403288E-4</v>
      </c>
      <c r="R691" s="27">
        <v>2.8437500004656613E-3</v>
      </c>
      <c r="S691" s="2">
        <v>0</v>
      </c>
      <c r="T691" s="2" t="s">
        <v>36</v>
      </c>
      <c r="U691" s="2" t="s">
        <v>37</v>
      </c>
      <c r="V691" s="2" t="s">
        <v>38</v>
      </c>
      <c r="W691" s="2" t="s">
        <v>35</v>
      </c>
      <c r="X691" s="2" t="s">
        <v>35</v>
      </c>
      <c r="Y691" s="2" t="s">
        <v>35</v>
      </c>
      <c r="Z691" s="2" t="b">
        <v>0</v>
      </c>
      <c r="AA691" s="2" t="s">
        <v>35</v>
      </c>
      <c r="AB691" s="2" t="s">
        <v>35</v>
      </c>
      <c r="AC691" s="2">
        <v>6</v>
      </c>
      <c r="AD691" s="2" t="s">
        <v>35</v>
      </c>
      <c r="AE691" s="2" t="s">
        <v>1826</v>
      </c>
      <c r="AF691" s="11">
        <v>44748.629166608793</v>
      </c>
      <c r="AG691" s="53"/>
      <c r="AH691" s="53" t="b">
        <f t="shared" si="15"/>
        <v>0</v>
      </c>
      <c r="AI691" s="54" t="s">
        <v>10416</v>
      </c>
      <c r="AJ691" s="2"/>
      <c r="AK691" s="2"/>
      <c r="AL691" s="2"/>
      <c r="AM691" s="2"/>
      <c r="AN691" s="2"/>
    </row>
    <row r="692" spans="1:40" ht="16" x14ac:dyDescent="0.2">
      <c r="A692" s="68" t="s">
        <v>1851</v>
      </c>
      <c r="B692" s="68">
        <v>568</v>
      </c>
      <c r="C692" s="68" t="b">
        <v>0</v>
      </c>
      <c r="D692" s="68" t="b">
        <v>0</v>
      </c>
      <c r="E692" s="68" t="b">
        <v>0</v>
      </c>
      <c r="F692" s="68" t="b">
        <v>0</v>
      </c>
      <c r="G692" s="68" t="s">
        <v>31</v>
      </c>
      <c r="H692" s="68" t="s">
        <v>149</v>
      </c>
      <c r="I692" s="68" t="s">
        <v>1852</v>
      </c>
      <c r="J692" s="68" t="s">
        <v>35</v>
      </c>
      <c r="K692" s="68" t="s">
        <v>35</v>
      </c>
      <c r="L692" s="68" t="s">
        <v>35</v>
      </c>
      <c r="M692" s="68" t="s">
        <v>35</v>
      </c>
      <c r="N692" s="68" t="s">
        <v>35</v>
      </c>
      <c r="O692" s="69">
        <v>44748.645682893519</v>
      </c>
      <c r="P692" s="69">
        <v>44748.645792546296</v>
      </c>
      <c r="Q692" s="70">
        <v>1.0965277760988101E-4</v>
      </c>
      <c r="R692" s="70">
        <v>9.8872685339301825E-4</v>
      </c>
      <c r="S692" s="68">
        <v>0</v>
      </c>
      <c r="T692" s="68" t="s">
        <v>36</v>
      </c>
      <c r="U692" s="68" t="s">
        <v>37</v>
      </c>
      <c r="V692" s="68" t="s">
        <v>38</v>
      </c>
      <c r="W692" s="68" t="s">
        <v>35</v>
      </c>
      <c r="X692" s="68" t="s">
        <v>35</v>
      </c>
      <c r="Y692" s="68" t="s">
        <v>35</v>
      </c>
      <c r="Z692" s="68" t="b">
        <v>0</v>
      </c>
      <c r="AA692" s="68" t="s">
        <v>35</v>
      </c>
      <c r="AB692" s="68" t="s">
        <v>35</v>
      </c>
      <c r="AC692" s="68" t="s">
        <v>35</v>
      </c>
      <c r="AD692" s="68">
        <v>3</v>
      </c>
      <c r="AE692" s="68" t="s">
        <v>1826</v>
      </c>
      <c r="AF692" s="69">
        <v>44748.629166608793</v>
      </c>
      <c r="AG692" s="71"/>
      <c r="AH692" s="53" t="b">
        <f t="shared" si="15"/>
        <v>0</v>
      </c>
      <c r="AI692" s="56" t="s">
        <v>35</v>
      </c>
      <c r="AJ692" s="68"/>
      <c r="AK692" s="68"/>
      <c r="AL692" s="68"/>
      <c r="AM692" s="68"/>
      <c r="AN692" s="68"/>
    </row>
    <row r="693" spans="1:40" ht="16" x14ac:dyDescent="0.2">
      <c r="A693" s="2" t="s">
        <v>1853</v>
      </c>
      <c r="B693" s="2">
        <v>569</v>
      </c>
      <c r="C693" s="2" t="b">
        <v>0</v>
      </c>
      <c r="D693" s="2" t="b">
        <v>0</v>
      </c>
      <c r="E693" s="2" t="b">
        <v>0</v>
      </c>
      <c r="F693" s="2" t="b">
        <v>0</v>
      </c>
      <c r="G693" s="2" t="s">
        <v>31</v>
      </c>
      <c r="H693" s="2" t="s">
        <v>1854</v>
      </c>
      <c r="I693" s="2" t="s">
        <v>1855</v>
      </c>
      <c r="J693" s="2" t="s">
        <v>1850</v>
      </c>
      <c r="K693" s="2" t="s">
        <v>35</v>
      </c>
      <c r="L693" s="2" t="s">
        <v>35</v>
      </c>
      <c r="M693" s="2" t="s">
        <v>35</v>
      </c>
      <c r="N693" s="2" t="s">
        <v>35</v>
      </c>
      <c r="O693" s="11">
        <v>44748.646535254629</v>
      </c>
      <c r="P693" s="11">
        <v>44748.64697047454</v>
      </c>
      <c r="Q693" s="27">
        <v>4.352199102868326E-4</v>
      </c>
      <c r="R693" s="27">
        <v>1.1779282431234606E-3</v>
      </c>
      <c r="S693" s="2">
        <v>0</v>
      </c>
      <c r="T693" s="2" t="s">
        <v>36</v>
      </c>
      <c r="U693" s="2" t="s">
        <v>37</v>
      </c>
      <c r="V693" s="2" t="s">
        <v>38</v>
      </c>
      <c r="W693" s="2" t="s">
        <v>35</v>
      </c>
      <c r="X693" s="2" t="s">
        <v>35</v>
      </c>
      <c r="Y693" s="2" t="s">
        <v>35</v>
      </c>
      <c r="Z693" s="2" t="b">
        <v>0</v>
      </c>
      <c r="AA693" s="2" t="s">
        <v>35</v>
      </c>
      <c r="AB693" s="2" t="s">
        <v>35</v>
      </c>
      <c r="AC693" s="2">
        <v>6</v>
      </c>
      <c r="AD693" s="2" t="s">
        <v>35</v>
      </c>
      <c r="AE693" s="2" t="s">
        <v>1826</v>
      </c>
      <c r="AF693" s="11">
        <v>44748.629166608793</v>
      </c>
      <c r="AG693" s="53"/>
      <c r="AH693" s="53" t="b">
        <f t="shared" si="15"/>
        <v>0</v>
      </c>
      <c r="AI693" s="54" t="s">
        <v>10417</v>
      </c>
      <c r="AJ693" s="2"/>
      <c r="AK693" s="2"/>
      <c r="AL693" s="2"/>
      <c r="AM693" s="2"/>
      <c r="AN693" s="2"/>
    </row>
    <row r="694" spans="1:40" ht="16" x14ac:dyDescent="0.2">
      <c r="A694" s="2" t="s">
        <v>1873</v>
      </c>
      <c r="B694" s="2">
        <v>576</v>
      </c>
      <c r="C694" s="2" t="b">
        <v>0</v>
      </c>
      <c r="D694" s="2" t="b">
        <v>0</v>
      </c>
      <c r="E694" s="2" t="b">
        <v>0</v>
      </c>
      <c r="F694" s="2" t="b">
        <v>0</v>
      </c>
      <c r="G694" s="2" t="s">
        <v>31</v>
      </c>
      <c r="H694" s="2" t="s">
        <v>1874</v>
      </c>
      <c r="I694" s="2" t="s">
        <v>1875</v>
      </c>
      <c r="J694" s="2" t="s">
        <v>35</v>
      </c>
      <c r="K694" s="2" t="s">
        <v>35</v>
      </c>
      <c r="L694" s="2" t="s">
        <v>35</v>
      </c>
      <c r="M694" s="2" t="s">
        <v>35</v>
      </c>
      <c r="N694" s="2" t="s">
        <v>35</v>
      </c>
      <c r="O694" s="11">
        <v>44748.653324733794</v>
      </c>
      <c r="P694" s="11">
        <v>44748.653696875001</v>
      </c>
      <c r="Q694" s="27">
        <v>3.721412067534402E-4</v>
      </c>
      <c r="R694" s="27">
        <v>9.0907407138729468E-4</v>
      </c>
      <c r="S694" s="2">
        <v>0</v>
      </c>
      <c r="T694" s="2" t="s">
        <v>36</v>
      </c>
      <c r="U694" s="2" t="s">
        <v>37</v>
      </c>
      <c r="V694" s="2" t="s">
        <v>38</v>
      </c>
      <c r="W694" s="2" t="s">
        <v>35</v>
      </c>
      <c r="X694" s="2" t="s">
        <v>35</v>
      </c>
      <c r="Y694" s="2" t="s">
        <v>35</v>
      </c>
      <c r="Z694" s="2" t="b">
        <v>0</v>
      </c>
      <c r="AA694" s="2" t="s">
        <v>35</v>
      </c>
      <c r="AB694" s="2" t="s">
        <v>35</v>
      </c>
      <c r="AC694" s="2" t="s">
        <v>35</v>
      </c>
      <c r="AD694" s="2">
        <v>3</v>
      </c>
      <c r="AE694" s="2" t="s">
        <v>1826</v>
      </c>
      <c r="AF694" s="11">
        <v>44748.629166608793</v>
      </c>
      <c r="AG694" s="53"/>
      <c r="AH694" s="53" t="b">
        <f t="shared" si="15"/>
        <v>0</v>
      </c>
      <c r="AI694" s="54" t="s">
        <v>10418</v>
      </c>
      <c r="AJ694" s="2"/>
      <c r="AK694" s="2"/>
      <c r="AL694" s="2"/>
      <c r="AM694" s="2"/>
      <c r="AN694" s="2"/>
    </row>
    <row r="695" spans="1:40" ht="16" x14ac:dyDescent="0.2">
      <c r="A695" s="2" t="s">
        <v>1888</v>
      </c>
      <c r="B695" s="2">
        <v>581</v>
      </c>
      <c r="C695" s="2" t="b">
        <v>0</v>
      </c>
      <c r="D695" s="2" t="b">
        <v>0</v>
      </c>
      <c r="E695" s="2" t="b">
        <v>0</v>
      </c>
      <c r="F695" s="2" t="b">
        <v>0</v>
      </c>
      <c r="G695" s="2" t="s">
        <v>31</v>
      </c>
      <c r="H695" s="2" t="s">
        <v>1889</v>
      </c>
      <c r="I695" s="2" t="s">
        <v>1890</v>
      </c>
      <c r="J695" s="2" t="s">
        <v>35</v>
      </c>
      <c r="K695" s="2" t="s">
        <v>35</v>
      </c>
      <c r="L695" s="2" t="s">
        <v>35</v>
      </c>
      <c r="M695" s="2" t="s">
        <v>35</v>
      </c>
      <c r="N695" s="2" t="s">
        <v>35</v>
      </c>
      <c r="O695" s="11">
        <v>44748.665382303239</v>
      </c>
      <c r="P695" s="11">
        <v>44748.665591319441</v>
      </c>
      <c r="Q695" s="27">
        <v>2.0901620155200362E-4</v>
      </c>
      <c r="R695" s="27">
        <v>5.7340972198289819E-3</v>
      </c>
      <c r="S695" s="2">
        <v>0</v>
      </c>
      <c r="T695" s="2" t="s">
        <v>36</v>
      </c>
      <c r="U695" s="2" t="s">
        <v>37</v>
      </c>
      <c r="V695" s="2" t="s">
        <v>38</v>
      </c>
      <c r="W695" s="2" t="s">
        <v>35</v>
      </c>
      <c r="X695" s="2" t="s">
        <v>35</v>
      </c>
      <c r="Y695" s="2" t="s">
        <v>35</v>
      </c>
      <c r="Z695" s="2" t="b">
        <v>0</v>
      </c>
      <c r="AA695" s="2" t="s">
        <v>1891</v>
      </c>
      <c r="AB695" s="2" t="s">
        <v>35</v>
      </c>
      <c r="AC695" s="2" t="s">
        <v>35</v>
      </c>
      <c r="AD695" s="2" t="s">
        <v>35</v>
      </c>
      <c r="AE695" s="2" t="s">
        <v>1826</v>
      </c>
      <c r="AF695" s="11">
        <v>44748.629166608793</v>
      </c>
      <c r="AG695" s="53"/>
      <c r="AH695" s="53" t="b">
        <f t="shared" si="15"/>
        <v>0</v>
      </c>
      <c r="AI695" s="54" t="s">
        <v>10419</v>
      </c>
      <c r="AJ695" s="2"/>
      <c r="AK695" s="2"/>
      <c r="AL695" s="2"/>
      <c r="AM695" s="2"/>
      <c r="AN695" s="2"/>
    </row>
    <row r="696" spans="1:40" ht="16" x14ac:dyDescent="0.2">
      <c r="A696" s="68" t="s">
        <v>1900</v>
      </c>
      <c r="B696" s="68">
        <v>585</v>
      </c>
      <c r="C696" s="68" t="b">
        <v>0</v>
      </c>
      <c r="D696" s="68" t="b">
        <v>0</v>
      </c>
      <c r="E696" s="68" t="b">
        <v>0</v>
      </c>
      <c r="F696" s="68" t="b">
        <v>0</v>
      </c>
      <c r="G696" s="68" t="s">
        <v>31</v>
      </c>
      <c r="H696" s="68" t="s">
        <v>149</v>
      </c>
      <c r="I696" s="68" t="s">
        <v>1901</v>
      </c>
      <c r="J696" s="68" t="s">
        <v>35</v>
      </c>
      <c r="K696" s="68" t="s">
        <v>35</v>
      </c>
      <c r="L696" s="68" t="s">
        <v>35</v>
      </c>
      <c r="M696" s="68" t="s">
        <v>35</v>
      </c>
      <c r="N696" s="68" t="s">
        <v>35</v>
      </c>
      <c r="O696" s="69">
        <v>44748.668928067127</v>
      </c>
      <c r="P696" s="69">
        <v>44748.669076666665</v>
      </c>
      <c r="Q696" s="70">
        <v>1.4859953807899728E-4</v>
      </c>
      <c r="R696" s="70">
        <v>3.4364582825219259E-4</v>
      </c>
      <c r="S696" s="68">
        <v>0</v>
      </c>
      <c r="T696" s="68" t="s">
        <v>36</v>
      </c>
      <c r="U696" s="68" t="s">
        <v>37</v>
      </c>
      <c r="V696" s="68" t="s">
        <v>38</v>
      </c>
      <c r="W696" s="68" t="s">
        <v>35</v>
      </c>
      <c r="X696" s="68" t="s">
        <v>35</v>
      </c>
      <c r="Y696" s="68" t="s">
        <v>35</v>
      </c>
      <c r="Z696" s="68" t="b">
        <v>0</v>
      </c>
      <c r="AA696" s="68" t="s">
        <v>1891</v>
      </c>
      <c r="AB696" s="68" t="s">
        <v>35</v>
      </c>
      <c r="AC696" s="68" t="s">
        <v>35</v>
      </c>
      <c r="AD696" s="68" t="s">
        <v>35</v>
      </c>
      <c r="AE696" s="68" t="s">
        <v>1826</v>
      </c>
      <c r="AF696" s="69">
        <v>44748.629166608793</v>
      </c>
      <c r="AG696" s="71"/>
      <c r="AH696" s="53" t="b">
        <f t="shared" si="15"/>
        <v>0</v>
      </c>
      <c r="AI696" s="56" t="s">
        <v>35</v>
      </c>
      <c r="AJ696" s="68"/>
      <c r="AK696" s="68"/>
      <c r="AL696" s="68"/>
      <c r="AM696" s="68"/>
      <c r="AN696" s="68"/>
    </row>
    <row r="697" spans="1:40" ht="16" x14ac:dyDescent="0.2">
      <c r="A697" s="2" t="s">
        <v>1905</v>
      </c>
      <c r="B697" s="2">
        <v>587</v>
      </c>
      <c r="C697" s="2" t="b">
        <v>0</v>
      </c>
      <c r="D697" s="2" t="b">
        <v>0</v>
      </c>
      <c r="E697" s="2" t="b">
        <v>0</v>
      </c>
      <c r="F697" s="2" t="b">
        <v>0</v>
      </c>
      <c r="G697" s="2" t="s">
        <v>31</v>
      </c>
      <c r="H697" s="2" t="s">
        <v>1906</v>
      </c>
      <c r="I697" s="2" t="s">
        <v>1907</v>
      </c>
      <c r="J697" s="2" t="s">
        <v>35</v>
      </c>
      <c r="K697" s="2" t="s">
        <v>35</v>
      </c>
      <c r="L697" s="2" t="s">
        <v>35</v>
      </c>
      <c r="M697" s="2" t="s">
        <v>35</v>
      </c>
      <c r="N697" s="2" t="s">
        <v>35</v>
      </c>
      <c r="O697" s="11">
        <v>44748.671551898151</v>
      </c>
      <c r="P697" s="11">
        <v>44748.671674062498</v>
      </c>
      <c r="Q697" s="27">
        <v>1.2216434697620571E-4</v>
      </c>
      <c r="R697" s="27">
        <v>1.4084374997764826E-3</v>
      </c>
      <c r="S697" s="2">
        <v>0</v>
      </c>
      <c r="T697" s="2" t="s">
        <v>36</v>
      </c>
      <c r="U697" s="2" t="s">
        <v>37</v>
      </c>
      <c r="V697" s="2" t="s">
        <v>38</v>
      </c>
      <c r="W697" s="2" t="s">
        <v>35</v>
      </c>
      <c r="X697" s="2" t="s">
        <v>35</v>
      </c>
      <c r="Y697" s="2" t="s">
        <v>35</v>
      </c>
      <c r="Z697" s="2" t="b">
        <v>0</v>
      </c>
      <c r="AA697" s="2" t="s">
        <v>35</v>
      </c>
      <c r="AB697" s="2" t="s">
        <v>35</v>
      </c>
      <c r="AC697" s="2" t="s">
        <v>35</v>
      </c>
      <c r="AD697" s="2">
        <v>2</v>
      </c>
      <c r="AE697" s="2" t="s">
        <v>1826</v>
      </c>
      <c r="AF697" s="11">
        <v>44748.629166608793</v>
      </c>
      <c r="AG697" s="53"/>
      <c r="AH697" s="53" t="b">
        <f t="shared" si="15"/>
        <v>0</v>
      </c>
      <c r="AI697" s="54" t="s">
        <v>9531</v>
      </c>
      <c r="AJ697" s="2"/>
      <c r="AK697" s="2"/>
      <c r="AL697" s="2"/>
      <c r="AM697" s="2"/>
      <c r="AN697" s="2"/>
    </row>
    <row r="698" spans="1:40" ht="16" x14ac:dyDescent="0.2">
      <c r="A698" s="2" t="s">
        <v>1911</v>
      </c>
      <c r="B698" s="2">
        <v>589</v>
      </c>
      <c r="C698" s="2" t="b">
        <v>0</v>
      </c>
      <c r="D698" s="2" t="b">
        <v>0</v>
      </c>
      <c r="E698" s="2" t="b">
        <v>0</v>
      </c>
      <c r="F698" s="2" t="b">
        <v>0</v>
      </c>
      <c r="G698" s="2" t="s">
        <v>31</v>
      </c>
      <c r="H698" s="2" t="s">
        <v>1912</v>
      </c>
      <c r="I698" s="2" t="s">
        <v>1913</v>
      </c>
      <c r="J698" s="2" t="s">
        <v>35</v>
      </c>
      <c r="K698" s="2" t="s">
        <v>35</v>
      </c>
      <c r="L698" s="2" t="s">
        <v>35</v>
      </c>
      <c r="M698" s="2" t="s">
        <v>35</v>
      </c>
      <c r="N698" s="2" t="s">
        <v>35</v>
      </c>
      <c r="O698" s="11">
        <v>44748.675166747686</v>
      </c>
      <c r="P698" s="11">
        <v>44748.675366145835</v>
      </c>
      <c r="Q698" s="27">
        <v>1.9939814956160262E-4</v>
      </c>
      <c r="R698" s="27">
        <v>9.2849537031725049E-4</v>
      </c>
      <c r="S698" s="2">
        <v>0</v>
      </c>
      <c r="T698" s="2" t="s">
        <v>36</v>
      </c>
      <c r="U698" s="2" t="s">
        <v>37</v>
      </c>
      <c r="V698" s="2" t="s">
        <v>38</v>
      </c>
      <c r="W698" s="2" t="s">
        <v>35</v>
      </c>
      <c r="X698" s="2" t="s">
        <v>35</v>
      </c>
      <c r="Y698" s="2" t="s">
        <v>35</v>
      </c>
      <c r="Z698" s="2" t="b">
        <v>0</v>
      </c>
      <c r="AA698" s="2" t="s">
        <v>1891</v>
      </c>
      <c r="AB698" s="2" t="s">
        <v>35</v>
      </c>
      <c r="AC698" s="2" t="s">
        <v>35</v>
      </c>
      <c r="AD698" s="2" t="s">
        <v>35</v>
      </c>
      <c r="AE698" s="2" t="s">
        <v>1826</v>
      </c>
      <c r="AF698" s="11">
        <v>44748.629166608793</v>
      </c>
      <c r="AG698" s="53"/>
      <c r="AH698" s="53" t="b">
        <f t="shared" si="15"/>
        <v>0</v>
      </c>
      <c r="AI698" s="54" t="s">
        <v>10420</v>
      </c>
      <c r="AJ698" s="2"/>
      <c r="AK698" s="2"/>
      <c r="AL698" s="2"/>
      <c r="AM698" s="2"/>
      <c r="AN698" s="2"/>
    </row>
    <row r="699" spans="1:40" ht="16" x14ac:dyDescent="0.2">
      <c r="A699" s="2" t="s">
        <v>1917</v>
      </c>
      <c r="B699" s="2">
        <v>591</v>
      </c>
      <c r="C699" s="2" t="b">
        <v>0</v>
      </c>
      <c r="D699" s="2" t="b">
        <v>0</v>
      </c>
      <c r="E699" s="2" t="b">
        <v>0</v>
      </c>
      <c r="F699" s="2" t="b">
        <v>0</v>
      </c>
      <c r="G699" s="2" t="s">
        <v>31</v>
      </c>
      <c r="H699" s="2" t="s">
        <v>1918</v>
      </c>
      <c r="I699" s="2" t="s">
        <v>1919</v>
      </c>
      <c r="J699" s="2" t="s">
        <v>35</v>
      </c>
      <c r="K699" s="2" t="s">
        <v>35</v>
      </c>
      <c r="L699" s="2" t="s">
        <v>35</v>
      </c>
      <c r="M699" s="2" t="s">
        <v>35</v>
      </c>
      <c r="N699" s="2" t="s">
        <v>35</v>
      </c>
      <c r="O699" s="11">
        <v>44748.676592754629</v>
      </c>
      <c r="P699" s="11">
        <v>44748.676858217594</v>
      </c>
      <c r="Q699" s="27">
        <v>2.6546296430751681E-4</v>
      </c>
      <c r="R699" s="27">
        <v>3.6820601962972432E-4</v>
      </c>
      <c r="S699" s="2">
        <v>0</v>
      </c>
      <c r="T699" s="2" t="s">
        <v>36</v>
      </c>
      <c r="U699" s="2" t="s">
        <v>37</v>
      </c>
      <c r="V699" s="2" t="s">
        <v>38</v>
      </c>
      <c r="W699" s="2" t="s">
        <v>35</v>
      </c>
      <c r="X699" s="2" t="s">
        <v>35</v>
      </c>
      <c r="Y699" s="2" t="s">
        <v>35</v>
      </c>
      <c r="Z699" s="2" t="b">
        <v>0</v>
      </c>
      <c r="AA699" s="2" t="s">
        <v>1920</v>
      </c>
      <c r="AB699" s="2" t="s">
        <v>35</v>
      </c>
      <c r="AC699" s="2" t="s">
        <v>35</v>
      </c>
      <c r="AD699" s="2" t="s">
        <v>35</v>
      </c>
      <c r="AE699" s="2" t="s">
        <v>1826</v>
      </c>
      <c r="AF699" s="11">
        <v>44748.629166608793</v>
      </c>
      <c r="AG699" s="53"/>
      <c r="AH699" s="53" t="b">
        <f t="shared" si="15"/>
        <v>0</v>
      </c>
      <c r="AI699" s="54" t="s">
        <v>10421</v>
      </c>
      <c r="AJ699" s="2"/>
      <c r="AK699" s="2"/>
      <c r="AL699" s="2"/>
      <c r="AM699" s="2"/>
      <c r="AN699" s="2"/>
    </row>
    <row r="700" spans="1:40" ht="16" x14ac:dyDescent="0.2">
      <c r="A700" s="68" t="s">
        <v>1942</v>
      </c>
      <c r="B700" s="68">
        <v>599</v>
      </c>
      <c r="C700" s="68" t="b">
        <v>0</v>
      </c>
      <c r="D700" s="68" t="b">
        <v>0</v>
      </c>
      <c r="E700" s="68" t="b">
        <v>0</v>
      </c>
      <c r="F700" s="68" t="b">
        <v>0</v>
      </c>
      <c r="G700" s="68" t="s">
        <v>31</v>
      </c>
      <c r="H700" s="68" t="s">
        <v>149</v>
      </c>
      <c r="I700" s="68" t="s">
        <v>1943</v>
      </c>
      <c r="J700" s="68" t="s">
        <v>1944</v>
      </c>
      <c r="K700" s="68" t="s">
        <v>35</v>
      </c>
      <c r="L700" s="68" t="s">
        <v>35</v>
      </c>
      <c r="M700" s="68" t="s">
        <v>35</v>
      </c>
      <c r="N700" s="68" t="s">
        <v>35</v>
      </c>
      <c r="O700" s="69">
        <v>44748.697846840281</v>
      </c>
      <c r="P700" s="69">
        <v>44748.698133032405</v>
      </c>
      <c r="Q700" s="70">
        <v>2.8619212389457971E-4</v>
      </c>
      <c r="R700" s="70">
        <v>9.1081018035765737E-4</v>
      </c>
      <c r="S700" s="68">
        <v>0</v>
      </c>
      <c r="T700" s="68" t="s">
        <v>36</v>
      </c>
      <c r="U700" s="68" t="s">
        <v>37</v>
      </c>
      <c r="V700" s="68" t="s">
        <v>38</v>
      </c>
      <c r="W700" s="68" t="s">
        <v>35</v>
      </c>
      <c r="X700" s="68" t="s">
        <v>35</v>
      </c>
      <c r="Y700" s="68" t="s">
        <v>35</v>
      </c>
      <c r="Z700" s="68" t="b">
        <v>0</v>
      </c>
      <c r="AA700" s="68" t="s">
        <v>35</v>
      </c>
      <c r="AB700" s="68" t="s">
        <v>35</v>
      </c>
      <c r="AC700" s="68">
        <v>4</v>
      </c>
      <c r="AD700" s="68" t="s">
        <v>35</v>
      </c>
      <c r="AE700" s="68" t="s">
        <v>1945</v>
      </c>
      <c r="AF700" s="69">
        <v>44748.697222222225</v>
      </c>
      <c r="AG700" s="71"/>
      <c r="AH700" s="53" t="b">
        <f t="shared" si="15"/>
        <v>0</v>
      </c>
      <c r="AI700" s="56" t="s">
        <v>35</v>
      </c>
      <c r="AJ700" s="68"/>
      <c r="AK700" s="68"/>
      <c r="AL700" s="68"/>
      <c r="AM700" s="68"/>
      <c r="AN700" s="68"/>
    </row>
    <row r="701" spans="1:40" ht="16" x14ac:dyDescent="0.2">
      <c r="A701" s="2" t="s">
        <v>1946</v>
      </c>
      <c r="B701" s="2">
        <v>600</v>
      </c>
      <c r="C701" s="2" t="b">
        <v>0</v>
      </c>
      <c r="D701" s="2" t="b">
        <v>0</v>
      </c>
      <c r="E701" s="2" t="b">
        <v>0</v>
      </c>
      <c r="F701" s="2" t="b">
        <v>0</v>
      </c>
      <c r="G701" s="2" t="s">
        <v>31</v>
      </c>
      <c r="H701" s="2" t="s">
        <v>1947</v>
      </c>
      <c r="I701" s="2" t="s">
        <v>1948</v>
      </c>
      <c r="J701" s="2" t="s">
        <v>35</v>
      </c>
      <c r="K701" s="2" t="s">
        <v>35</v>
      </c>
      <c r="L701" s="2" t="s">
        <v>35</v>
      </c>
      <c r="M701" s="2" t="s">
        <v>35</v>
      </c>
      <c r="N701" s="2" t="s">
        <v>35</v>
      </c>
      <c r="O701" s="11">
        <v>44748.698957141205</v>
      </c>
      <c r="P701" s="11">
        <v>44748.699073657408</v>
      </c>
      <c r="Q701" s="27">
        <v>1.1651620297925547E-4</v>
      </c>
      <c r="R701" s="27">
        <v>9.4062500284053385E-4</v>
      </c>
      <c r="S701" s="2">
        <v>0</v>
      </c>
      <c r="T701" s="2" t="s">
        <v>36</v>
      </c>
      <c r="U701" s="2" t="s">
        <v>37</v>
      </c>
      <c r="V701" s="2" t="s">
        <v>38</v>
      </c>
      <c r="W701" s="2" t="s">
        <v>35</v>
      </c>
      <c r="X701" s="2" t="s">
        <v>35</v>
      </c>
      <c r="Y701" s="2" t="s">
        <v>35</v>
      </c>
      <c r="Z701" s="2" t="b">
        <v>0</v>
      </c>
      <c r="AA701" s="2" t="s">
        <v>35</v>
      </c>
      <c r="AB701" s="2" t="s">
        <v>35</v>
      </c>
      <c r="AC701" s="2" t="s">
        <v>35</v>
      </c>
      <c r="AD701" s="2">
        <v>3</v>
      </c>
      <c r="AE701" s="2" t="s">
        <v>1945</v>
      </c>
      <c r="AF701" s="11">
        <v>44748.697222222225</v>
      </c>
      <c r="AG701" s="53"/>
      <c r="AH701" s="53" t="b">
        <f t="shared" si="15"/>
        <v>0</v>
      </c>
      <c r="AI701" s="54" t="s">
        <v>10422</v>
      </c>
      <c r="AJ701" s="2"/>
      <c r="AK701" s="2"/>
      <c r="AL701" s="2"/>
      <c r="AM701" s="2"/>
      <c r="AN701" s="2"/>
    </row>
    <row r="702" spans="1:40" ht="16" x14ac:dyDescent="0.2">
      <c r="A702" s="2" t="s">
        <v>1949</v>
      </c>
      <c r="B702" s="2">
        <v>601</v>
      </c>
      <c r="C702" s="2" t="b">
        <v>0</v>
      </c>
      <c r="D702" s="2" t="b">
        <v>0</v>
      </c>
      <c r="E702" s="2" t="b">
        <v>0</v>
      </c>
      <c r="F702" s="2" t="b">
        <v>0</v>
      </c>
      <c r="G702" s="2" t="s">
        <v>31</v>
      </c>
      <c r="H702" s="2" t="s">
        <v>1950</v>
      </c>
      <c r="I702" s="2" t="s">
        <v>1951</v>
      </c>
      <c r="J702" s="2" t="s">
        <v>35</v>
      </c>
      <c r="K702" s="2" t="s">
        <v>35</v>
      </c>
      <c r="L702" s="2" t="s">
        <v>35</v>
      </c>
      <c r="M702" s="2" t="s">
        <v>35</v>
      </c>
      <c r="N702" s="2" t="s">
        <v>35</v>
      </c>
      <c r="O702" s="11">
        <v>44748.699630023148</v>
      </c>
      <c r="P702" s="11">
        <v>44748.699753530091</v>
      </c>
      <c r="Q702" s="27">
        <v>1.235069430549629E-4</v>
      </c>
      <c r="R702" s="27">
        <v>6.7987268266733736E-4</v>
      </c>
      <c r="S702" s="2">
        <v>0</v>
      </c>
      <c r="T702" s="2" t="s">
        <v>36</v>
      </c>
      <c r="U702" s="2" t="s">
        <v>37</v>
      </c>
      <c r="V702" s="2" t="s">
        <v>38</v>
      </c>
      <c r="W702" s="2" t="s">
        <v>35</v>
      </c>
      <c r="X702" s="2" t="s">
        <v>35</v>
      </c>
      <c r="Y702" s="2" t="s">
        <v>35</v>
      </c>
      <c r="Z702" s="2" t="b">
        <v>0</v>
      </c>
      <c r="AA702" s="2" t="s">
        <v>165</v>
      </c>
      <c r="AB702" s="2" t="s">
        <v>35</v>
      </c>
      <c r="AC702" s="2" t="s">
        <v>35</v>
      </c>
      <c r="AD702" s="2" t="s">
        <v>35</v>
      </c>
      <c r="AE702" s="2" t="s">
        <v>1945</v>
      </c>
      <c r="AF702" s="11">
        <v>44748.697222222225</v>
      </c>
      <c r="AG702" s="53"/>
      <c r="AH702" s="53" t="b">
        <f t="shared" si="15"/>
        <v>0</v>
      </c>
      <c r="AI702" s="54" t="s">
        <v>10423</v>
      </c>
      <c r="AJ702" s="2"/>
      <c r="AK702" s="2"/>
      <c r="AL702" s="2"/>
      <c r="AM702" s="2"/>
      <c r="AN702" s="2"/>
    </row>
    <row r="703" spans="1:40" ht="16" x14ac:dyDescent="0.2">
      <c r="A703" s="68" t="s">
        <v>1954</v>
      </c>
      <c r="B703" s="68">
        <v>603</v>
      </c>
      <c r="C703" s="68" t="b">
        <v>0</v>
      </c>
      <c r="D703" s="68" t="b">
        <v>0</v>
      </c>
      <c r="E703" s="68" t="b">
        <v>0</v>
      </c>
      <c r="F703" s="68" t="b">
        <v>0</v>
      </c>
      <c r="G703" s="68" t="s">
        <v>31</v>
      </c>
      <c r="H703" s="68" t="s">
        <v>149</v>
      </c>
      <c r="I703" s="68" t="s">
        <v>1955</v>
      </c>
      <c r="J703" s="68" t="s">
        <v>35</v>
      </c>
      <c r="K703" s="68" t="s">
        <v>35</v>
      </c>
      <c r="L703" s="68" t="s">
        <v>35</v>
      </c>
      <c r="M703" s="68" t="s">
        <v>35</v>
      </c>
      <c r="N703" s="68" t="s">
        <v>35</v>
      </c>
      <c r="O703" s="69">
        <v>44748.700371851854</v>
      </c>
      <c r="P703" s="69">
        <v>44748.700529502312</v>
      </c>
      <c r="Q703" s="70">
        <v>1.5765045827720314E-4</v>
      </c>
      <c r="R703" s="70">
        <v>3.22696752846241E-4</v>
      </c>
      <c r="S703" s="68">
        <v>0</v>
      </c>
      <c r="T703" s="68" t="s">
        <v>36</v>
      </c>
      <c r="U703" s="68" t="s">
        <v>37</v>
      </c>
      <c r="V703" s="68" t="s">
        <v>38</v>
      </c>
      <c r="W703" s="68" t="s">
        <v>35</v>
      </c>
      <c r="X703" s="68" t="s">
        <v>35</v>
      </c>
      <c r="Y703" s="68" t="s">
        <v>35</v>
      </c>
      <c r="Z703" s="68" t="b">
        <v>0</v>
      </c>
      <c r="AA703" s="68" t="s">
        <v>165</v>
      </c>
      <c r="AB703" s="68" t="s">
        <v>35</v>
      </c>
      <c r="AC703" s="68" t="s">
        <v>35</v>
      </c>
      <c r="AD703" s="68" t="s">
        <v>35</v>
      </c>
      <c r="AE703" s="68" t="s">
        <v>1945</v>
      </c>
      <c r="AF703" s="69">
        <v>44748.697222222225</v>
      </c>
      <c r="AG703" s="71"/>
      <c r="AH703" s="53" t="b">
        <f t="shared" si="15"/>
        <v>0</v>
      </c>
      <c r="AI703" s="56" t="s">
        <v>35</v>
      </c>
      <c r="AJ703" s="68"/>
      <c r="AK703" s="68"/>
      <c r="AL703" s="68"/>
      <c r="AM703" s="68"/>
      <c r="AN703" s="68"/>
    </row>
    <row r="704" spans="1:40" ht="16" x14ac:dyDescent="0.2">
      <c r="A704" s="68" t="s">
        <v>1956</v>
      </c>
      <c r="B704" s="68">
        <v>604</v>
      </c>
      <c r="C704" s="68" t="b">
        <v>0</v>
      </c>
      <c r="D704" s="68" t="b">
        <v>0</v>
      </c>
      <c r="E704" s="68" t="b">
        <v>0</v>
      </c>
      <c r="F704" s="68" t="b">
        <v>0</v>
      </c>
      <c r="G704" s="68" t="s">
        <v>31</v>
      </c>
      <c r="H704" s="68" t="s">
        <v>149</v>
      </c>
      <c r="I704" s="68" t="s">
        <v>1957</v>
      </c>
      <c r="J704" s="68" t="s">
        <v>35</v>
      </c>
      <c r="K704" s="68" t="s">
        <v>35</v>
      </c>
      <c r="L704" s="68" t="s">
        <v>35</v>
      </c>
      <c r="M704" s="68" t="s">
        <v>35</v>
      </c>
      <c r="N704" s="68" t="s">
        <v>35</v>
      </c>
      <c r="O704" s="69">
        <v>44748.700623657409</v>
      </c>
      <c r="P704" s="69">
        <v>44748.700762939814</v>
      </c>
      <c r="Q704" s="70">
        <v>1.3928240514360368E-4</v>
      </c>
      <c r="R704" s="70">
        <v>2.3343750217463821E-4</v>
      </c>
      <c r="S704" s="68">
        <v>0</v>
      </c>
      <c r="T704" s="68" t="s">
        <v>36</v>
      </c>
      <c r="U704" s="68" t="s">
        <v>37</v>
      </c>
      <c r="V704" s="68" t="s">
        <v>38</v>
      </c>
      <c r="W704" s="68" t="s">
        <v>35</v>
      </c>
      <c r="X704" s="68" t="s">
        <v>35</v>
      </c>
      <c r="Y704" s="68" t="s">
        <v>35</v>
      </c>
      <c r="Z704" s="68" t="b">
        <v>0</v>
      </c>
      <c r="AA704" s="68" t="s">
        <v>165</v>
      </c>
      <c r="AB704" s="68" t="s">
        <v>35</v>
      </c>
      <c r="AC704" s="68" t="s">
        <v>35</v>
      </c>
      <c r="AD704" s="68" t="s">
        <v>35</v>
      </c>
      <c r="AE704" s="68" t="s">
        <v>1945</v>
      </c>
      <c r="AF704" s="69">
        <v>44748.697222222225</v>
      </c>
      <c r="AG704" s="71"/>
      <c r="AH704" s="53" t="b">
        <f t="shared" si="15"/>
        <v>0</v>
      </c>
      <c r="AI704" s="56" t="s">
        <v>35</v>
      </c>
      <c r="AJ704" s="68"/>
      <c r="AK704" s="68"/>
      <c r="AL704" s="68"/>
      <c r="AM704" s="68"/>
      <c r="AN704" s="68"/>
    </row>
    <row r="705" spans="1:40" ht="16" x14ac:dyDescent="0.2">
      <c r="A705" s="68" t="s">
        <v>1958</v>
      </c>
      <c r="B705" s="68">
        <v>605</v>
      </c>
      <c r="C705" s="68" t="b">
        <v>0</v>
      </c>
      <c r="D705" s="68" t="b">
        <v>0</v>
      </c>
      <c r="E705" s="68" t="b">
        <v>0</v>
      </c>
      <c r="F705" s="68" t="b">
        <v>0</v>
      </c>
      <c r="G705" s="68" t="s">
        <v>31</v>
      </c>
      <c r="H705" s="68" t="s">
        <v>149</v>
      </c>
      <c r="I705" s="68" t="s">
        <v>1959</v>
      </c>
      <c r="J705" s="68" t="s">
        <v>35</v>
      </c>
      <c r="K705" s="68" t="s">
        <v>35</v>
      </c>
      <c r="L705" s="68" t="s">
        <v>35</v>
      </c>
      <c r="M705" s="68" t="s">
        <v>35</v>
      </c>
      <c r="N705" s="68" t="s">
        <v>35</v>
      </c>
      <c r="O705" s="69">
        <v>44748.701251562503</v>
      </c>
      <c r="P705" s="69">
        <v>44748.701364942128</v>
      </c>
      <c r="Q705" s="70">
        <v>1.1337962496327236E-4</v>
      </c>
      <c r="R705" s="70">
        <v>6.0200231382623315E-4</v>
      </c>
      <c r="S705" s="68">
        <v>0</v>
      </c>
      <c r="T705" s="68" t="s">
        <v>36</v>
      </c>
      <c r="U705" s="68" t="s">
        <v>37</v>
      </c>
      <c r="V705" s="68" t="s">
        <v>38</v>
      </c>
      <c r="W705" s="68" t="s">
        <v>35</v>
      </c>
      <c r="X705" s="68" t="s">
        <v>35</v>
      </c>
      <c r="Y705" s="68" t="s">
        <v>35</v>
      </c>
      <c r="Z705" s="68" t="b">
        <v>0</v>
      </c>
      <c r="AA705" s="68" t="s">
        <v>35</v>
      </c>
      <c r="AB705" s="68" t="s">
        <v>35</v>
      </c>
      <c r="AC705" s="68" t="s">
        <v>35</v>
      </c>
      <c r="AD705" s="68">
        <v>2</v>
      </c>
      <c r="AE705" s="68" t="s">
        <v>1945</v>
      </c>
      <c r="AF705" s="69">
        <v>44748.697222222225</v>
      </c>
      <c r="AG705" s="71"/>
      <c r="AH705" s="53" t="b">
        <f t="shared" si="15"/>
        <v>0</v>
      </c>
      <c r="AI705" s="56" t="s">
        <v>35</v>
      </c>
      <c r="AJ705" s="68"/>
      <c r="AK705" s="68"/>
      <c r="AL705" s="68"/>
      <c r="AM705" s="68"/>
      <c r="AN705" s="68"/>
    </row>
    <row r="706" spans="1:40" ht="16" x14ac:dyDescent="0.2">
      <c r="A706" s="68" t="s">
        <v>1979</v>
      </c>
      <c r="B706" s="68">
        <v>613</v>
      </c>
      <c r="C706" s="68" t="b">
        <v>0</v>
      </c>
      <c r="D706" s="68" t="b">
        <v>0</v>
      </c>
      <c r="E706" s="68" t="b">
        <v>0</v>
      </c>
      <c r="F706" s="68" t="b">
        <v>0</v>
      </c>
      <c r="G706" s="68" t="s">
        <v>31</v>
      </c>
      <c r="H706" s="68" t="s">
        <v>149</v>
      </c>
      <c r="I706" s="68" t="s">
        <v>1980</v>
      </c>
      <c r="J706" s="68" t="s">
        <v>35</v>
      </c>
      <c r="K706" s="68" t="s">
        <v>35</v>
      </c>
      <c r="L706" s="68" t="s">
        <v>35</v>
      </c>
      <c r="M706" s="68" t="s">
        <v>35</v>
      </c>
      <c r="N706" s="68" t="s">
        <v>35</v>
      </c>
      <c r="O706" s="69">
        <v>44748.705563379626</v>
      </c>
      <c r="P706" s="69">
        <v>44748.705780833334</v>
      </c>
      <c r="Q706" s="70">
        <v>2.1745370759163052E-4</v>
      </c>
      <c r="R706" s="70">
        <v>8.3495370199671015E-4</v>
      </c>
      <c r="S706" s="68">
        <v>0</v>
      </c>
      <c r="T706" s="68" t="s">
        <v>36</v>
      </c>
      <c r="U706" s="68" t="s">
        <v>37</v>
      </c>
      <c r="V706" s="68" t="s">
        <v>38</v>
      </c>
      <c r="W706" s="68" t="s">
        <v>35</v>
      </c>
      <c r="X706" s="68" t="s">
        <v>35</v>
      </c>
      <c r="Y706" s="68" t="s">
        <v>35</v>
      </c>
      <c r="Z706" s="68" t="b">
        <v>0</v>
      </c>
      <c r="AA706" s="68" t="s">
        <v>165</v>
      </c>
      <c r="AB706" s="68" t="s">
        <v>35</v>
      </c>
      <c r="AC706" s="68" t="s">
        <v>35</v>
      </c>
      <c r="AD706" s="68" t="s">
        <v>35</v>
      </c>
      <c r="AE706" s="68" t="s">
        <v>1945</v>
      </c>
      <c r="AF706" s="69">
        <v>44748.697222222225</v>
      </c>
      <c r="AG706" s="71"/>
      <c r="AH706" s="53" t="b">
        <f t="shared" si="15"/>
        <v>0</v>
      </c>
      <c r="AI706" s="56" t="s">
        <v>35</v>
      </c>
      <c r="AJ706" s="68"/>
      <c r="AK706" s="68"/>
      <c r="AL706" s="68"/>
      <c r="AM706" s="68"/>
      <c r="AN706" s="68"/>
    </row>
    <row r="707" spans="1:40" ht="16" x14ac:dyDescent="0.2">
      <c r="A707" s="68" t="s">
        <v>1981</v>
      </c>
      <c r="B707" s="68">
        <v>614</v>
      </c>
      <c r="C707" s="68" t="b">
        <v>0</v>
      </c>
      <c r="D707" s="68" t="b">
        <v>0</v>
      </c>
      <c r="E707" s="68" t="b">
        <v>0</v>
      </c>
      <c r="F707" s="68" t="b">
        <v>0</v>
      </c>
      <c r="G707" s="68" t="s">
        <v>31</v>
      </c>
      <c r="H707" s="68" t="s">
        <v>149</v>
      </c>
      <c r="I707" s="68" t="s">
        <v>1982</v>
      </c>
      <c r="J707" s="68" t="s">
        <v>1983</v>
      </c>
      <c r="K707" s="68" t="s">
        <v>35</v>
      </c>
      <c r="L707" s="68" t="s">
        <v>35</v>
      </c>
      <c r="M707" s="68" t="s">
        <v>35</v>
      </c>
      <c r="N707" s="68" t="s">
        <v>35</v>
      </c>
      <c r="O707" s="69">
        <v>44748.705875509258</v>
      </c>
      <c r="P707" s="69">
        <v>44748.706419409726</v>
      </c>
      <c r="Q707" s="70">
        <v>5.4390046716434881E-4</v>
      </c>
      <c r="R707" s="70">
        <v>6.3857639179332182E-4</v>
      </c>
      <c r="S707" s="68">
        <v>0</v>
      </c>
      <c r="T707" s="68" t="s">
        <v>36</v>
      </c>
      <c r="U707" s="68" t="s">
        <v>37</v>
      </c>
      <c r="V707" s="68" t="s">
        <v>38</v>
      </c>
      <c r="W707" s="68" t="s">
        <v>35</v>
      </c>
      <c r="X707" s="68" t="s">
        <v>35</v>
      </c>
      <c r="Y707" s="68" t="s">
        <v>35</v>
      </c>
      <c r="Z707" s="68" t="b">
        <v>0</v>
      </c>
      <c r="AA707" s="68" t="s">
        <v>35</v>
      </c>
      <c r="AB707" s="68" t="s">
        <v>35</v>
      </c>
      <c r="AC707" s="68">
        <v>9</v>
      </c>
      <c r="AD707" s="68" t="s">
        <v>35</v>
      </c>
      <c r="AE707" s="68" t="s">
        <v>1945</v>
      </c>
      <c r="AF707" s="69">
        <v>44748.697222222225</v>
      </c>
      <c r="AG707" s="71"/>
      <c r="AH707" s="53" t="b">
        <f t="shared" si="15"/>
        <v>0</v>
      </c>
      <c r="AI707" s="56" t="s">
        <v>35</v>
      </c>
      <c r="AJ707" s="68"/>
      <c r="AK707" s="68"/>
      <c r="AL707" s="68"/>
      <c r="AM707" s="68"/>
      <c r="AN707" s="68"/>
    </row>
    <row r="708" spans="1:40" ht="16" x14ac:dyDescent="0.2">
      <c r="A708" s="2" t="s">
        <v>1984</v>
      </c>
      <c r="B708" s="2">
        <v>615</v>
      </c>
      <c r="C708" s="2" t="b">
        <v>0</v>
      </c>
      <c r="D708" s="2" t="b">
        <v>0</v>
      </c>
      <c r="E708" s="2" t="b">
        <v>0</v>
      </c>
      <c r="F708" s="2" t="b">
        <v>0</v>
      </c>
      <c r="G708" s="2" t="s">
        <v>31</v>
      </c>
      <c r="H708" s="2" t="s">
        <v>1985</v>
      </c>
      <c r="I708" s="2" t="s">
        <v>1986</v>
      </c>
      <c r="J708" s="2" t="s">
        <v>35</v>
      </c>
      <c r="K708" s="2" t="s">
        <v>35</v>
      </c>
      <c r="L708" s="2" t="s">
        <v>35</v>
      </c>
      <c r="M708" s="2" t="s">
        <v>35</v>
      </c>
      <c r="N708" s="2" t="s">
        <v>35</v>
      </c>
      <c r="O708" s="11">
        <v>44748.706626192128</v>
      </c>
      <c r="P708" s="11">
        <v>44748.706768263888</v>
      </c>
      <c r="Q708" s="27">
        <v>1.4207175991032273E-4</v>
      </c>
      <c r="R708" s="27">
        <v>3.4885416243923828E-4</v>
      </c>
      <c r="S708" s="2">
        <v>0</v>
      </c>
      <c r="T708" s="2" t="s">
        <v>36</v>
      </c>
      <c r="U708" s="2" t="s">
        <v>37</v>
      </c>
      <c r="V708" s="2" t="s">
        <v>38</v>
      </c>
      <c r="W708" s="2" t="s">
        <v>35</v>
      </c>
      <c r="X708" s="2" t="s">
        <v>35</v>
      </c>
      <c r="Y708" s="2" t="s">
        <v>35</v>
      </c>
      <c r="Z708" s="2" t="b">
        <v>0</v>
      </c>
      <c r="AA708" s="2" t="s">
        <v>165</v>
      </c>
      <c r="AB708" s="2" t="s">
        <v>35</v>
      </c>
      <c r="AC708" s="2" t="s">
        <v>35</v>
      </c>
      <c r="AD708" s="2" t="s">
        <v>35</v>
      </c>
      <c r="AE708" s="2" t="s">
        <v>1945</v>
      </c>
      <c r="AF708" s="11">
        <v>44748.697222222225</v>
      </c>
      <c r="AG708" s="53"/>
      <c r="AH708" s="53" t="b">
        <f t="shared" si="15"/>
        <v>0</v>
      </c>
      <c r="AI708" s="54" t="s">
        <v>10424</v>
      </c>
      <c r="AJ708" s="2"/>
      <c r="AK708" s="2"/>
      <c r="AL708" s="2"/>
      <c r="AM708" s="2"/>
      <c r="AN708" s="2"/>
    </row>
    <row r="709" spans="1:40" ht="16" x14ac:dyDescent="0.2">
      <c r="A709" s="2" t="s">
        <v>1989</v>
      </c>
      <c r="B709" s="2">
        <v>617</v>
      </c>
      <c r="C709" s="2" t="b">
        <v>0</v>
      </c>
      <c r="D709" s="2" t="b">
        <v>0</v>
      </c>
      <c r="E709" s="2" t="b">
        <v>0</v>
      </c>
      <c r="F709" s="2" t="b">
        <v>0</v>
      </c>
      <c r="G709" s="2" t="s">
        <v>31</v>
      </c>
      <c r="H709" s="2" t="s">
        <v>1990</v>
      </c>
      <c r="I709" s="2" t="s">
        <v>1991</v>
      </c>
      <c r="J709" s="2" t="s">
        <v>1992</v>
      </c>
      <c r="K709" s="2" t="s">
        <v>35</v>
      </c>
      <c r="L709" s="2" t="s">
        <v>35</v>
      </c>
      <c r="M709" s="2" t="s">
        <v>35</v>
      </c>
      <c r="N709" s="2" t="s">
        <v>35</v>
      </c>
      <c r="O709" s="11">
        <v>44748.709801469908</v>
      </c>
      <c r="P709" s="11">
        <v>44748.71021730324</v>
      </c>
      <c r="Q709" s="27">
        <v>4.1583333222661167E-4</v>
      </c>
      <c r="R709" s="27">
        <v>3.0065277751418762E-3</v>
      </c>
      <c r="S709" s="2">
        <v>0</v>
      </c>
      <c r="T709" s="2" t="s">
        <v>36</v>
      </c>
      <c r="U709" s="2" t="s">
        <v>37</v>
      </c>
      <c r="V709" s="2" t="s">
        <v>38</v>
      </c>
      <c r="W709" s="2" t="s">
        <v>35</v>
      </c>
      <c r="X709" s="2" t="s">
        <v>35</v>
      </c>
      <c r="Y709" s="2" t="s">
        <v>35</v>
      </c>
      <c r="Z709" s="2" t="b">
        <v>0</v>
      </c>
      <c r="AA709" s="2" t="s">
        <v>165</v>
      </c>
      <c r="AB709" s="2" t="s">
        <v>35</v>
      </c>
      <c r="AC709" s="2">
        <v>4</v>
      </c>
      <c r="AD709" s="2" t="s">
        <v>35</v>
      </c>
      <c r="AE709" s="2" t="s">
        <v>1945</v>
      </c>
      <c r="AF709" s="11">
        <v>44748.697222222225</v>
      </c>
      <c r="AG709" s="53"/>
      <c r="AH709" s="53" t="b">
        <f t="shared" si="15"/>
        <v>0</v>
      </c>
      <c r="AI709" s="54" t="s">
        <v>10425</v>
      </c>
      <c r="AJ709" s="2"/>
      <c r="AK709" s="2"/>
      <c r="AL709" s="2"/>
      <c r="AM709" s="2"/>
      <c r="AN709" s="2"/>
    </row>
    <row r="710" spans="1:40" ht="16" x14ac:dyDescent="0.2">
      <c r="A710" s="2" t="s">
        <v>1998</v>
      </c>
      <c r="B710" s="2">
        <v>620</v>
      </c>
      <c r="C710" s="2" t="b">
        <v>0</v>
      </c>
      <c r="D710" s="2" t="b">
        <v>0</v>
      </c>
      <c r="E710" s="2" t="b">
        <v>0</v>
      </c>
      <c r="F710" s="2" t="b">
        <v>0</v>
      </c>
      <c r="G710" s="2" t="s">
        <v>31</v>
      </c>
      <c r="H710" s="2" t="s">
        <v>1999</v>
      </c>
      <c r="I710" s="2" t="s">
        <v>2000</v>
      </c>
      <c r="J710" s="2" t="s">
        <v>35</v>
      </c>
      <c r="K710" s="2" t="s">
        <v>35</v>
      </c>
      <c r="L710" s="2" t="s">
        <v>35</v>
      </c>
      <c r="M710" s="2" t="s">
        <v>35</v>
      </c>
      <c r="N710" s="2" t="s">
        <v>35</v>
      </c>
      <c r="O710" s="11">
        <v>44748.715182928237</v>
      </c>
      <c r="P710" s="11">
        <v>44748.715327256941</v>
      </c>
      <c r="Q710" s="27">
        <v>1.4432870375458151E-4</v>
      </c>
      <c r="R710" s="27">
        <v>2.5170833323500119E-3</v>
      </c>
      <c r="S710" s="2">
        <v>0</v>
      </c>
      <c r="T710" s="2" t="s">
        <v>36</v>
      </c>
      <c r="U710" s="2" t="s">
        <v>37</v>
      </c>
      <c r="V710" s="2" t="s">
        <v>38</v>
      </c>
      <c r="W710" s="2" t="s">
        <v>35</v>
      </c>
      <c r="X710" s="2" t="s">
        <v>35</v>
      </c>
      <c r="Y710" s="2" t="s">
        <v>35</v>
      </c>
      <c r="Z710" s="2" t="b">
        <v>0</v>
      </c>
      <c r="AA710" s="2" t="s">
        <v>165</v>
      </c>
      <c r="AB710" s="2" t="s">
        <v>35</v>
      </c>
      <c r="AC710" s="2" t="s">
        <v>35</v>
      </c>
      <c r="AD710" s="2" t="s">
        <v>35</v>
      </c>
      <c r="AE710" s="2" t="s">
        <v>1945</v>
      </c>
      <c r="AF710" s="11">
        <v>44748.697222222225</v>
      </c>
      <c r="AG710" s="53"/>
      <c r="AH710" s="53" t="b">
        <f t="shared" si="15"/>
        <v>0</v>
      </c>
      <c r="AI710" s="54" t="s">
        <v>10426</v>
      </c>
      <c r="AJ710" s="2"/>
      <c r="AK710" s="2"/>
      <c r="AL710" s="2"/>
      <c r="AM710" s="2"/>
      <c r="AN710" s="2"/>
    </row>
    <row r="711" spans="1:40" ht="16" x14ac:dyDescent="0.2">
      <c r="A711" s="2" t="s">
        <v>2011</v>
      </c>
      <c r="B711" s="2">
        <v>623</v>
      </c>
      <c r="C711" s="2" t="b">
        <v>0</v>
      </c>
      <c r="D711" s="2" t="b">
        <v>0</v>
      </c>
      <c r="E711" s="2" t="b">
        <v>0</v>
      </c>
      <c r="F711" s="2" t="b">
        <v>0</v>
      </c>
      <c r="G711" s="2" t="s">
        <v>31</v>
      </c>
      <c r="H711" s="2" t="s">
        <v>2012</v>
      </c>
      <c r="I711" s="2" t="s">
        <v>2013</v>
      </c>
      <c r="J711" s="2" t="s">
        <v>2014</v>
      </c>
      <c r="K711" s="2" t="s">
        <v>35</v>
      </c>
      <c r="L711" s="2" t="s">
        <v>35</v>
      </c>
      <c r="M711" s="2" t="s">
        <v>35</v>
      </c>
      <c r="N711" s="2" t="s">
        <v>35</v>
      </c>
      <c r="O711" s="11">
        <v>44748.719184583337</v>
      </c>
      <c r="P711" s="11">
        <v>44748.719449363423</v>
      </c>
      <c r="Q711" s="27">
        <v>2.6478008658159524E-4</v>
      </c>
      <c r="R711" s="27">
        <v>1.396504623699002E-3</v>
      </c>
      <c r="S711" s="2">
        <v>0</v>
      </c>
      <c r="T711" s="2" t="s">
        <v>36</v>
      </c>
      <c r="U711" s="2" t="s">
        <v>37</v>
      </c>
      <c r="V711" s="2" t="s">
        <v>38</v>
      </c>
      <c r="W711" s="2" t="s">
        <v>35</v>
      </c>
      <c r="X711" s="2" t="s">
        <v>35</v>
      </c>
      <c r="Y711" s="2" t="s">
        <v>35</v>
      </c>
      <c r="Z711" s="2" t="b">
        <v>0</v>
      </c>
      <c r="AA711" s="2" t="s">
        <v>35</v>
      </c>
      <c r="AB711" s="2" t="s">
        <v>35</v>
      </c>
      <c r="AC711" s="2">
        <v>4</v>
      </c>
      <c r="AD711" s="2" t="s">
        <v>35</v>
      </c>
      <c r="AE711" s="2" t="s">
        <v>1945</v>
      </c>
      <c r="AF711" s="11">
        <v>44748.697222222225</v>
      </c>
      <c r="AG711" s="53"/>
      <c r="AH711" s="53" t="b">
        <f t="shared" si="15"/>
        <v>0</v>
      </c>
      <c r="AI711" s="54" t="s">
        <v>10427</v>
      </c>
      <c r="AJ711" s="2"/>
      <c r="AK711" s="2"/>
      <c r="AL711" s="2"/>
      <c r="AM711" s="2"/>
      <c r="AN711" s="2"/>
    </row>
    <row r="712" spans="1:40" ht="16" x14ac:dyDescent="0.2">
      <c r="A712" s="2" t="s">
        <v>2015</v>
      </c>
      <c r="B712" s="2">
        <v>624</v>
      </c>
      <c r="C712" s="2" t="b">
        <v>0</v>
      </c>
      <c r="D712" s="2" t="b">
        <v>0</v>
      </c>
      <c r="E712" s="2" t="b">
        <v>0</v>
      </c>
      <c r="F712" s="2" t="b">
        <v>0</v>
      </c>
      <c r="G712" s="2" t="s">
        <v>31</v>
      </c>
      <c r="H712" s="2" t="s">
        <v>2016</v>
      </c>
      <c r="I712" s="2" t="s">
        <v>2017</v>
      </c>
      <c r="J712" s="2" t="s">
        <v>35</v>
      </c>
      <c r="K712" s="2" t="s">
        <v>35</v>
      </c>
      <c r="L712" s="2" t="s">
        <v>35</v>
      </c>
      <c r="M712" s="2" t="s">
        <v>35</v>
      </c>
      <c r="N712" s="2" t="s">
        <v>35</v>
      </c>
      <c r="O712" s="11">
        <v>44748.719938680559</v>
      </c>
      <c r="P712" s="11">
        <v>44748.720048136573</v>
      </c>
      <c r="Q712" s="27">
        <v>1.0945601388812065E-4</v>
      </c>
      <c r="R712" s="27">
        <v>5.9877314924960956E-4</v>
      </c>
      <c r="S712" s="2">
        <v>0</v>
      </c>
      <c r="T712" s="2" t="s">
        <v>36</v>
      </c>
      <c r="U712" s="2" t="s">
        <v>37</v>
      </c>
      <c r="V712" s="2" t="s">
        <v>38</v>
      </c>
      <c r="W712" s="2" t="s">
        <v>35</v>
      </c>
      <c r="X712" s="2" t="s">
        <v>35</v>
      </c>
      <c r="Y712" s="2" t="s">
        <v>35</v>
      </c>
      <c r="Z712" s="2" t="b">
        <v>0</v>
      </c>
      <c r="AA712" s="2" t="s">
        <v>35</v>
      </c>
      <c r="AB712" s="2" t="s">
        <v>35</v>
      </c>
      <c r="AC712" s="2" t="s">
        <v>35</v>
      </c>
      <c r="AD712" s="2">
        <v>3</v>
      </c>
      <c r="AE712" s="2" t="s">
        <v>1945</v>
      </c>
      <c r="AF712" s="11">
        <v>44748.697222222225</v>
      </c>
      <c r="AG712" s="53"/>
      <c r="AH712" s="53" t="b">
        <f t="shared" si="15"/>
        <v>0</v>
      </c>
      <c r="AI712" s="54" t="s">
        <v>10428</v>
      </c>
      <c r="AJ712" s="2"/>
      <c r="AK712" s="2"/>
      <c r="AL712" s="2"/>
      <c r="AM712" s="2"/>
      <c r="AN712" s="2"/>
    </row>
    <row r="713" spans="1:40" ht="16" x14ac:dyDescent="0.2">
      <c r="A713" s="68" t="s">
        <v>2018</v>
      </c>
      <c r="B713" s="68">
        <v>625</v>
      </c>
      <c r="C713" s="68" t="b">
        <v>0</v>
      </c>
      <c r="D713" s="68" t="b">
        <v>0</v>
      </c>
      <c r="E713" s="68" t="b">
        <v>0</v>
      </c>
      <c r="F713" s="68" t="b">
        <v>0</v>
      </c>
      <c r="G713" s="68" t="s">
        <v>31</v>
      </c>
      <c r="H713" s="68" t="s">
        <v>149</v>
      </c>
      <c r="I713" s="68" t="s">
        <v>2019</v>
      </c>
      <c r="J713" s="68" t="s">
        <v>2020</v>
      </c>
      <c r="K713" s="68" t="s">
        <v>35</v>
      </c>
      <c r="L713" s="68" t="s">
        <v>35</v>
      </c>
      <c r="M713" s="68" t="s">
        <v>35</v>
      </c>
      <c r="N713" s="68" t="s">
        <v>35</v>
      </c>
      <c r="O713" s="69">
        <v>44748.720611099539</v>
      </c>
      <c r="P713" s="69">
        <v>44748.720874629631</v>
      </c>
      <c r="Q713" s="70">
        <v>2.6353009161539376E-4</v>
      </c>
      <c r="R713" s="70">
        <v>8.2649305841187015E-4</v>
      </c>
      <c r="S713" s="68">
        <v>0</v>
      </c>
      <c r="T713" s="68" t="s">
        <v>36</v>
      </c>
      <c r="U713" s="68" t="s">
        <v>37</v>
      </c>
      <c r="V713" s="68" t="s">
        <v>38</v>
      </c>
      <c r="W713" s="68" t="s">
        <v>35</v>
      </c>
      <c r="X713" s="68" t="s">
        <v>35</v>
      </c>
      <c r="Y713" s="68" t="s">
        <v>35</v>
      </c>
      <c r="Z713" s="68" t="b">
        <v>0</v>
      </c>
      <c r="AA713" s="68" t="s">
        <v>35</v>
      </c>
      <c r="AB713" s="68" t="s">
        <v>35</v>
      </c>
      <c r="AC713" s="68">
        <v>5</v>
      </c>
      <c r="AD713" s="68" t="s">
        <v>35</v>
      </c>
      <c r="AE713" s="68" t="s">
        <v>1945</v>
      </c>
      <c r="AF713" s="69">
        <v>44748.697222222225</v>
      </c>
      <c r="AG713" s="71"/>
      <c r="AH713" s="53" t="b">
        <f t="shared" si="15"/>
        <v>0</v>
      </c>
      <c r="AI713" s="56" t="s">
        <v>35</v>
      </c>
      <c r="AJ713" s="68"/>
      <c r="AK713" s="68"/>
      <c r="AL713" s="68"/>
      <c r="AM713" s="68"/>
      <c r="AN713" s="68"/>
    </row>
    <row r="714" spans="1:40" ht="16" x14ac:dyDescent="0.2">
      <c r="A714" s="21" t="s">
        <v>2021</v>
      </c>
      <c r="B714" s="21">
        <v>626</v>
      </c>
      <c r="C714" s="21" t="b">
        <v>0</v>
      </c>
      <c r="D714" s="21" t="b">
        <v>0</v>
      </c>
      <c r="E714" s="21" t="b">
        <v>0</v>
      </c>
      <c r="F714" s="21" t="b">
        <v>0</v>
      </c>
      <c r="G714" s="21" t="s">
        <v>31</v>
      </c>
      <c r="H714" s="21" t="s">
        <v>2022</v>
      </c>
      <c r="I714" s="21" t="s">
        <v>2023</v>
      </c>
      <c r="J714" s="21" t="s">
        <v>2024</v>
      </c>
      <c r="K714" s="21" t="s">
        <v>35</v>
      </c>
      <c r="L714" s="21" t="s">
        <v>35</v>
      </c>
      <c r="M714" s="21" t="s">
        <v>35</v>
      </c>
      <c r="N714" s="21" t="s">
        <v>35</v>
      </c>
      <c r="O714" s="22">
        <v>44749.405929386572</v>
      </c>
      <c r="P714" s="22">
        <v>44749.406160613427</v>
      </c>
      <c r="Q714" s="23">
        <v>2.3122685524867848E-4</v>
      </c>
      <c r="R714" s="23">
        <v>-8.9386572653893381E-5</v>
      </c>
      <c r="S714" s="21">
        <v>0</v>
      </c>
      <c r="T714" s="21" t="s">
        <v>36</v>
      </c>
      <c r="U714" s="21" t="s">
        <v>37</v>
      </c>
      <c r="V714" s="21" t="s">
        <v>38</v>
      </c>
      <c r="W714" s="21" t="s">
        <v>35</v>
      </c>
      <c r="X714" s="21" t="s">
        <v>35</v>
      </c>
      <c r="Y714" s="21" t="s">
        <v>35</v>
      </c>
      <c r="Z714" s="21" t="b">
        <v>0</v>
      </c>
      <c r="AA714" s="21" t="s">
        <v>35</v>
      </c>
      <c r="AB714" s="21" t="s">
        <v>35</v>
      </c>
      <c r="AC714" s="21">
        <v>6</v>
      </c>
      <c r="AD714" s="21" t="s">
        <v>35</v>
      </c>
      <c r="AE714" s="21" t="s">
        <v>2025</v>
      </c>
      <c r="AF714" s="22">
        <v>44749.40625</v>
      </c>
      <c r="AG714" s="57"/>
      <c r="AH714" s="53" t="b">
        <f t="shared" si="15"/>
        <v>0</v>
      </c>
      <c r="AI714" s="64" t="s">
        <v>10429</v>
      </c>
      <c r="AJ714" s="21"/>
      <c r="AK714" s="21"/>
      <c r="AL714" s="21"/>
      <c r="AM714" s="21"/>
      <c r="AN714" s="21"/>
    </row>
    <row r="715" spans="1:40" ht="16" x14ac:dyDescent="0.2">
      <c r="A715" s="2" t="s">
        <v>2026</v>
      </c>
      <c r="B715" s="2">
        <v>627</v>
      </c>
      <c r="C715" s="2" t="b">
        <v>0</v>
      </c>
      <c r="D715" s="2" t="b">
        <v>0</v>
      </c>
      <c r="E715" s="2" t="b">
        <v>0</v>
      </c>
      <c r="F715" s="2" t="b">
        <v>0</v>
      </c>
      <c r="G715" s="2" t="s">
        <v>31</v>
      </c>
      <c r="H715" s="2" t="s">
        <v>2027</v>
      </c>
      <c r="I715" s="2" t="s">
        <v>2028</v>
      </c>
      <c r="J715" s="2" t="s">
        <v>35</v>
      </c>
      <c r="K715" s="2" t="s">
        <v>35</v>
      </c>
      <c r="L715" s="2" t="s">
        <v>35</v>
      </c>
      <c r="M715" s="2" t="s">
        <v>35</v>
      </c>
      <c r="N715" s="2" t="s">
        <v>35</v>
      </c>
      <c r="O715" s="11">
        <v>44749.407840555556</v>
      </c>
      <c r="P715" s="11">
        <v>44749.408214756942</v>
      </c>
      <c r="Q715" s="27">
        <v>3.7420138687593862E-4</v>
      </c>
      <c r="R715" s="27">
        <v>1.964756942470558E-3</v>
      </c>
      <c r="S715" s="2">
        <v>0</v>
      </c>
      <c r="T715" s="2" t="s">
        <v>36</v>
      </c>
      <c r="U715" s="2" t="s">
        <v>37</v>
      </c>
      <c r="V715" s="2" t="s">
        <v>38</v>
      </c>
      <c r="W715" s="2" t="s">
        <v>35</v>
      </c>
      <c r="X715" s="2" t="s">
        <v>35</v>
      </c>
      <c r="Y715" s="2" t="s">
        <v>35</v>
      </c>
      <c r="Z715" s="2" t="b">
        <v>0</v>
      </c>
      <c r="AA715" s="2" t="s">
        <v>35</v>
      </c>
      <c r="AB715" s="2" t="s">
        <v>35</v>
      </c>
      <c r="AC715" s="2" t="s">
        <v>35</v>
      </c>
      <c r="AD715" s="2">
        <v>2</v>
      </c>
      <c r="AE715" s="2" t="s">
        <v>2025</v>
      </c>
      <c r="AF715" s="11">
        <v>44749.40625</v>
      </c>
      <c r="AG715" s="53"/>
      <c r="AH715" s="53" t="b">
        <f t="shared" si="15"/>
        <v>0</v>
      </c>
      <c r="AI715" s="54" t="s">
        <v>10432</v>
      </c>
      <c r="AJ715" s="2" t="s">
        <v>10430</v>
      </c>
      <c r="AK715" s="2" t="s">
        <v>10431</v>
      </c>
      <c r="AL715" s="2"/>
      <c r="AM715" s="2"/>
      <c r="AN715" s="2"/>
    </row>
    <row r="716" spans="1:40" ht="16" x14ac:dyDescent="0.2">
      <c r="A716" s="2" t="s">
        <v>2029</v>
      </c>
      <c r="B716" s="2">
        <v>628</v>
      </c>
      <c r="C716" s="2" t="b">
        <v>0</v>
      </c>
      <c r="D716" s="2" t="b">
        <v>0</v>
      </c>
      <c r="E716" s="2" t="b">
        <v>0</v>
      </c>
      <c r="F716" s="2" t="b">
        <v>0</v>
      </c>
      <c r="G716" s="2" t="s">
        <v>31</v>
      </c>
      <c r="H716" s="2" t="s">
        <v>2030</v>
      </c>
      <c r="I716" s="2" t="s">
        <v>2031</v>
      </c>
      <c r="J716" s="2" t="s">
        <v>35</v>
      </c>
      <c r="K716" s="2" t="s">
        <v>35</v>
      </c>
      <c r="L716" s="2" t="s">
        <v>35</v>
      </c>
      <c r="M716" s="2" t="s">
        <v>35</v>
      </c>
      <c r="N716" s="2" t="s">
        <v>35</v>
      </c>
      <c r="O716" s="11">
        <v>44749.409700277778</v>
      </c>
      <c r="P716" s="11">
        <v>44749.409827905096</v>
      </c>
      <c r="Q716" s="27">
        <v>1.2762731785187498E-4</v>
      </c>
      <c r="R716" s="27">
        <v>1.6131481534102932E-3</v>
      </c>
      <c r="S716" s="2">
        <v>0</v>
      </c>
      <c r="T716" s="2" t="s">
        <v>36</v>
      </c>
      <c r="U716" s="2" t="s">
        <v>37</v>
      </c>
      <c r="V716" s="2" t="s">
        <v>38</v>
      </c>
      <c r="W716" s="2" t="s">
        <v>35</v>
      </c>
      <c r="X716" s="2" t="s">
        <v>35</v>
      </c>
      <c r="Y716" s="2" t="s">
        <v>35</v>
      </c>
      <c r="Z716" s="2" t="b">
        <v>0</v>
      </c>
      <c r="AA716" s="2" t="s">
        <v>35</v>
      </c>
      <c r="AB716" s="2" t="s">
        <v>35</v>
      </c>
      <c r="AC716" s="2" t="s">
        <v>35</v>
      </c>
      <c r="AD716" s="2">
        <v>2</v>
      </c>
      <c r="AE716" s="2" t="s">
        <v>2025</v>
      </c>
      <c r="AF716" s="11">
        <v>44749.40625</v>
      </c>
      <c r="AG716" s="53"/>
      <c r="AH716" s="53" t="b">
        <f t="shared" si="15"/>
        <v>0</v>
      </c>
      <c r="AI716" s="54" t="s">
        <v>9529</v>
      </c>
      <c r="AJ716" s="2"/>
      <c r="AK716" s="2"/>
      <c r="AL716" s="2"/>
      <c r="AM716" s="2"/>
      <c r="AN716" s="2"/>
    </row>
    <row r="717" spans="1:40" ht="16" x14ac:dyDescent="0.2">
      <c r="A717" s="2" t="s">
        <v>2036</v>
      </c>
      <c r="B717" s="2">
        <v>630</v>
      </c>
      <c r="C717" s="2" t="b">
        <v>0</v>
      </c>
      <c r="D717" s="2" t="b">
        <v>0</v>
      </c>
      <c r="E717" s="2" t="b">
        <v>0</v>
      </c>
      <c r="F717" s="2" t="b">
        <v>0</v>
      </c>
      <c r="G717" s="2" t="s">
        <v>31</v>
      </c>
      <c r="H717" s="2" t="s">
        <v>2037</v>
      </c>
      <c r="I717" s="2" t="s">
        <v>2038</v>
      </c>
      <c r="J717" s="2" t="s">
        <v>2039</v>
      </c>
      <c r="K717" s="2" t="s">
        <v>35</v>
      </c>
      <c r="L717" s="2" t="s">
        <v>35</v>
      </c>
      <c r="M717" s="2" t="s">
        <v>35</v>
      </c>
      <c r="N717" s="2" t="s">
        <v>35</v>
      </c>
      <c r="O717" s="11">
        <v>44749.411366215281</v>
      </c>
      <c r="P717" s="11">
        <v>44749.411732824075</v>
      </c>
      <c r="Q717" s="27">
        <v>3.6660879413830116E-4</v>
      </c>
      <c r="R717" s="27">
        <v>8.5699074406875297E-4</v>
      </c>
      <c r="S717" s="2">
        <v>0</v>
      </c>
      <c r="T717" s="2" t="s">
        <v>36</v>
      </c>
      <c r="U717" s="2" t="s">
        <v>37</v>
      </c>
      <c r="V717" s="2" t="s">
        <v>38</v>
      </c>
      <c r="W717" s="2" t="s">
        <v>35</v>
      </c>
      <c r="X717" s="2" t="s">
        <v>35</v>
      </c>
      <c r="Y717" s="2" t="s">
        <v>35</v>
      </c>
      <c r="Z717" s="2" t="b">
        <v>0</v>
      </c>
      <c r="AA717" s="2" t="s">
        <v>2040</v>
      </c>
      <c r="AB717" s="2" t="s">
        <v>35</v>
      </c>
      <c r="AC717" s="2" t="s">
        <v>35</v>
      </c>
      <c r="AD717" s="2" t="s">
        <v>35</v>
      </c>
      <c r="AE717" s="2" t="s">
        <v>2025</v>
      </c>
      <c r="AF717" s="11">
        <v>44749.40625</v>
      </c>
      <c r="AG717" s="53"/>
      <c r="AH717" s="53" t="b">
        <f t="shared" si="15"/>
        <v>0</v>
      </c>
      <c r="AI717" s="54" t="s">
        <v>9528</v>
      </c>
      <c r="AJ717" s="2"/>
      <c r="AK717" s="2"/>
      <c r="AL717" s="2"/>
      <c r="AM717" s="2"/>
      <c r="AN717" s="2"/>
    </row>
    <row r="718" spans="1:40" ht="16" x14ac:dyDescent="0.2">
      <c r="A718" s="2" t="s">
        <v>2041</v>
      </c>
      <c r="B718" s="2">
        <v>631</v>
      </c>
      <c r="C718" s="2" t="b">
        <v>0</v>
      </c>
      <c r="D718" s="2" t="b">
        <v>0</v>
      </c>
      <c r="E718" s="2" t="b">
        <v>0</v>
      </c>
      <c r="F718" s="2" t="b">
        <v>0</v>
      </c>
      <c r="G718" s="2" t="s">
        <v>31</v>
      </c>
      <c r="H718" s="2" t="s">
        <v>2042</v>
      </c>
      <c r="I718" s="2" t="s">
        <v>2043</v>
      </c>
      <c r="J718" s="2" t="s">
        <v>2044</v>
      </c>
      <c r="K718" s="2" t="s">
        <v>35</v>
      </c>
      <c r="L718" s="2" t="s">
        <v>35</v>
      </c>
      <c r="M718" s="2" t="s">
        <v>35</v>
      </c>
      <c r="N718" s="2" t="s">
        <v>35</v>
      </c>
      <c r="O718" s="11">
        <v>44749.413448310188</v>
      </c>
      <c r="P718" s="11">
        <v>44749.413751284723</v>
      </c>
      <c r="Q718" s="27">
        <v>3.0297453486127779E-4</v>
      </c>
      <c r="R718" s="27">
        <v>2.0184606473776512E-3</v>
      </c>
      <c r="S718" s="2">
        <v>0</v>
      </c>
      <c r="T718" s="2" t="s">
        <v>36</v>
      </c>
      <c r="U718" s="2" t="s">
        <v>37</v>
      </c>
      <c r="V718" s="2" t="s">
        <v>38</v>
      </c>
      <c r="W718" s="2" t="s">
        <v>35</v>
      </c>
      <c r="X718" s="2" t="s">
        <v>35</v>
      </c>
      <c r="Y718" s="2" t="s">
        <v>35</v>
      </c>
      <c r="Z718" s="2" t="b">
        <v>0</v>
      </c>
      <c r="AA718" s="2" t="s">
        <v>35</v>
      </c>
      <c r="AB718" s="2" t="s">
        <v>35</v>
      </c>
      <c r="AC718" s="2">
        <v>4</v>
      </c>
      <c r="AD718" s="2" t="s">
        <v>35</v>
      </c>
      <c r="AE718" s="2" t="s">
        <v>2025</v>
      </c>
      <c r="AF718" s="11">
        <v>44749.40625</v>
      </c>
      <c r="AG718" s="53"/>
      <c r="AH718" s="53" t="b">
        <f t="shared" si="15"/>
        <v>0</v>
      </c>
      <c r="AI718" s="54" t="s">
        <v>9527</v>
      </c>
      <c r="AJ718" s="2"/>
      <c r="AK718" s="2"/>
      <c r="AL718" s="2"/>
      <c r="AM718" s="2"/>
      <c r="AN718" s="2"/>
    </row>
    <row r="719" spans="1:40" ht="16" x14ac:dyDescent="0.2">
      <c r="A719" s="2" t="s">
        <v>2045</v>
      </c>
      <c r="B719" s="2">
        <v>632</v>
      </c>
      <c r="C719" s="2" t="b">
        <v>0</v>
      </c>
      <c r="D719" s="2" t="b">
        <v>0</v>
      </c>
      <c r="E719" s="2" t="b">
        <v>0</v>
      </c>
      <c r="F719" s="2" t="b">
        <v>0</v>
      </c>
      <c r="G719" s="2" t="s">
        <v>31</v>
      </c>
      <c r="H719" s="2" t="s">
        <v>2046</v>
      </c>
      <c r="I719" s="2" t="s">
        <v>2047</v>
      </c>
      <c r="J719" s="2" t="s">
        <v>2048</v>
      </c>
      <c r="K719" s="2" t="s">
        <v>35</v>
      </c>
      <c r="L719" s="2" t="s">
        <v>35</v>
      </c>
      <c r="M719" s="2" t="s">
        <v>35</v>
      </c>
      <c r="N719" s="2" t="s">
        <v>35</v>
      </c>
      <c r="O719" s="11">
        <v>44749.413982685182</v>
      </c>
      <c r="P719" s="11">
        <v>44749.414211990741</v>
      </c>
      <c r="Q719" s="27">
        <v>2.2930555860511959E-4</v>
      </c>
      <c r="R719" s="27">
        <v>4.6070601820247248E-4</v>
      </c>
      <c r="S719" s="2">
        <v>0</v>
      </c>
      <c r="T719" s="2" t="s">
        <v>36</v>
      </c>
      <c r="U719" s="2" t="s">
        <v>37</v>
      </c>
      <c r="V719" s="2" t="s">
        <v>38</v>
      </c>
      <c r="W719" s="2" t="s">
        <v>35</v>
      </c>
      <c r="X719" s="2" t="s">
        <v>35</v>
      </c>
      <c r="Y719" s="2" t="s">
        <v>35</v>
      </c>
      <c r="Z719" s="2" t="b">
        <v>0</v>
      </c>
      <c r="AA719" s="2" t="s">
        <v>35</v>
      </c>
      <c r="AB719" s="2" t="s">
        <v>35</v>
      </c>
      <c r="AC719" s="2">
        <v>6</v>
      </c>
      <c r="AD719" s="2" t="s">
        <v>35</v>
      </c>
      <c r="AE719" s="2" t="s">
        <v>2025</v>
      </c>
      <c r="AF719" s="11">
        <v>44749.40625</v>
      </c>
      <c r="AG719" s="53"/>
      <c r="AH719" s="53" t="b">
        <f t="shared" si="15"/>
        <v>0</v>
      </c>
      <c r="AI719" s="54" t="s">
        <v>10433</v>
      </c>
      <c r="AJ719" s="2"/>
      <c r="AK719" s="2"/>
      <c r="AL719" s="2"/>
      <c r="AM719" s="2"/>
      <c r="AN719" s="2"/>
    </row>
    <row r="720" spans="1:40" ht="16" x14ac:dyDescent="0.2">
      <c r="A720" s="2" t="s">
        <v>2049</v>
      </c>
      <c r="B720" s="2">
        <v>633</v>
      </c>
      <c r="C720" s="2" t="b">
        <v>0</v>
      </c>
      <c r="D720" s="2" t="b">
        <v>0</v>
      </c>
      <c r="E720" s="2" t="b">
        <v>0</v>
      </c>
      <c r="F720" s="2" t="b">
        <v>0</v>
      </c>
      <c r="G720" s="2" t="s">
        <v>31</v>
      </c>
      <c r="H720" s="2" t="s">
        <v>2050</v>
      </c>
      <c r="I720" s="2" t="s">
        <v>2051</v>
      </c>
      <c r="J720" s="2" t="s">
        <v>35</v>
      </c>
      <c r="K720" s="2" t="s">
        <v>35</v>
      </c>
      <c r="L720" s="2" t="s">
        <v>35</v>
      </c>
      <c r="M720" s="2" t="s">
        <v>35</v>
      </c>
      <c r="N720" s="2" t="s">
        <v>35</v>
      </c>
      <c r="O720" s="11">
        <v>44749.414829780093</v>
      </c>
      <c r="P720" s="11">
        <v>44749.415005567127</v>
      </c>
      <c r="Q720" s="27">
        <v>1.7578703409526497E-4</v>
      </c>
      <c r="R720" s="27">
        <v>7.9357638605870306E-4</v>
      </c>
      <c r="S720" s="2">
        <v>0</v>
      </c>
      <c r="T720" s="2" t="s">
        <v>36</v>
      </c>
      <c r="U720" s="2" t="s">
        <v>37</v>
      </c>
      <c r="V720" s="2" t="s">
        <v>38</v>
      </c>
      <c r="W720" s="2" t="s">
        <v>35</v>
      </c>
      <c r="X720" s="2" t="s">
        <v>35</v>
      </c>
      <c r="Y720" s="2" t="s">
        <v>35</v>
      </c>
      <c r="Z720" s="2" t="b">
        <v>0</v>
      </c>
      <c r="AA720" s="2" t="s">
        <v>35</v>
      </c>
      <c r="AB720" s="2" t="s">
        <v>35</v>
      </c>
      <c r="AC720" s="2" t="s">
        <v>35</v>
      </c>
      <c r="AD720" s="2">
        <v>2</v>
      </c>
      <c r="AE720" s="2" t="s">
        <v>2025</v>
      </c>
      <c r="AF720" s="11">
        <v>44749.40625</v>
      </c>
      <c r="AG720" s="53"/>
      <c r="AH720" s="53" t="b">
        <f t="shared" si="15"/>
        <v>0</v>
      </c>
      <c r="AI720" s="54" t="s">
        <v>10434</v>
      </c>
      <c r="AJ720" s="2"/>
      <c r="AK720" s="2"/>
      <c r="AL720" s="2"/>
      <c r="AM720" s="2"/>
      <c r="AN720" s="2"/>
    </row>
    <row r="721" spans="1:40" ht="16" x14ac:dyDescent="0.2">
      <c r="A721" s="2" t="s">
        <v>2052</v>
      </c>
      <c r="B721" s="2">
        <v>634</v>
      </c>
      <c r="C721" s="2" t="b">
        <v>0</v>
      </c>
      <c r="D721" s="2" t="b">
        <v>0</v>
      </c>
      <c r="E721" s="2" t="b">
        <v>0</v>
      </c>
      <c r="F721" s="2" t="b">
        <v>0</v>
      </c>
      <c r="G721" s="2" t="s">
        <v>31</v>
      </c>
      <c r="H721" s="2" t="s">
        <v>2053</v>
      </c>
      <c r="I721" s="2" t="s">
        <v>2054</v>
      </c>
      <c r="J721" s="2" t="s">
        <v>2055</v>
      </c>
      <c r="K721" s="2" t="s">
        <v>35</v>
      </c>
      <c r="L721" s="2" t="s">
        <v>35</v>
      </c>
      <c r="M721" s="2" t="s">
        <v>35</v>
      </c>
      <c r="N721" s="2" t="s">
        <v>35</v>
      </c>
      <c r="O721" s="11">
        <v>44749.416787685186</v>
      </c>
      <c r="P721" s="11">
        <v>44749.417250671293</v>
      </c>
      <c r="Q721" s="27">
        <v>4.6298610686790198E-4</v>
      </c>
      <c r="R721" s="27">
        <v>2.2451041659223847E-3</v>
      </c>
      <c r="S721" s="2">
        <v>0</v>
      </c>
      <c r="T721" s="2" t="s">
        <v>36</v>
      </c>
      <c r="U721" s="2" t="s">
        <v>37</v>
      </c>
      <c r="V721" s="2" t="s">
        <v>38</v>
      </c>
      <c r="W721" s="2" t="s">
        <v>35</v>
      </c>
      <c r="X721" s="2" t="s">
        <v>35</v>
      </c>
      <c r="Y721" s="2" t="s">
        <v>35</v>
      </c>
      <c r="Z721" s="2" t="b">
        <v>0</v>
      </c>
      <c r="AA721" s="2" t="s">
        <v>35</v>
      </c>
      <c r="AB721" s="2" t="s">
        <v>35</v>
      </c>
      <c r="AC721" s="2">
        <v>5</v>
      </c>
      <c r="AD721" s="2">
        <v>2</v>
      </c>
      <c r="AE721" s="2" t="s">
        <v>2025</v>
      </c>
      <c r="AF721" s="11">
        <v>44749.40625</v>
      </c>
      <c r="AG721" s="53"/>
      <c r="AH721" s="53" t="b">
        <f t="shared" si="15"/>
        <v>0</v>
      </c>
      <c r="AI721" s="54" t="s">
        <v>9526</v>
      </c>
      <c r="AJ721" s="2"/>
      <c r="AK721" s="2"/>
      <c r="AL721" s="2"/>
      <c r="AM721" s="2"/>
      <c r="AN721" s="2"/>
    </row>
    <row r="722" spans="1:40" ht="16" x14ac:dyDescent="0.2">
      <c r="A722" s="2" t="s">
        <v>2056</v>
      </c>
      <c r="B722" s="2">
        <v>635</v>
      </c>
      <c r="C722" s="2" t="b">
        <v>0</v>
      </c>
      <c r="D722" s="2" t="b">
        <v>0</v>
      </c>
      <c r="E722" s="2" t="b">
        <v>0</v>
      </c>
      <c r="F722" s="2" t="b">
        <v>0</v>
      </c>
      <c r="G722" s="2" t="s">
        <v>31</v>
      </c>
      <c r="H722" s="2" t="s">
        <v>2057</v>
      </c>
      <c r="I722" s="2" t="s">
        <v>2058</v>
      </c>
      <c r="J722" s="2" t="s">
        <v>2059</v>
      </c>
      <c r="K722" s="2" t="s">
        <v>35</v>
      </c>
      <c r="L722" s="2" t="s">
        <v>35</v>
      </c>
      <c r="M722" s="2" t="s">
        <v>35</v>
      </c>
      <c r="N722" s="2" t="s">
        <v>35</v>
      </c>
      <c r="O722" s="11">
        <v>44749.41926372685</v>
      </c>
      <c r="P722" s="11">
        <v>44749.419538101851</v>
      </c>
      <c r="Q722" s="27">
        <v>2.7437500102678314E-4</v>
      </c>
      <c r="R722" s="27">
        <v>2.2874305577715859E-3</v>
      </c>
      <c r="S722" s="2">
        <v>0</v>
      </c>
      <c r="T722" s="2" t="s">
        <v>36</v>
      </c>
      <c r="U722" s="2" t="s">
        <v>37</v>
      </c>
      <c r="V722" s="2" t="s">
        <v>38</v>
      </c>
      <c r="W722" s="2" t="s">
        <v>35</v>
      </c>
      <c r="X722" s="2" t="s">
        <v>35</v>
      </c>
      <c r="Y722" s="2" t="s">
        <v>35</v>
      </c>
      <c r="Z722" s="2" t="b">
        <v>0</v>
      </c>
      <c r="AA722" s="2" t="s">
        <v>35</v>
      </c>
      <c r="AB722" s="2" t="s">
        <v>35</v>
      </c>
      <c r="AC722" s="2">
        <v>5</v>
      </c>
      <c r="AD722" s="2" t="s">
        <v>35</v>
      </c>
      <c r="AE722" s="2" t="s">
        <v>2025</v>
      </c>
      <c r="AF722" s="11">
        <v>44749.40625</v>
      </c>
      <c r="AG722" s="53"/>
      <c r="AH722" s="53" t="b">
        <f t="shared" si="15"/>
        <v>0</v>
      </c>
      <c r="AI722" s="54" t="s">
        <v>10435</v>
      </c>
      <c r="AJ722" s="2"/>
      <c r="AK722" s="2"/>
      <c r="AL722" s="2"/>
      <c r="AM722" s="2"/>
      <c r="AN722" s="2"/>
    </row>
    <row r="723" spans="1:40" ht="16" x14ac:dyDescent="0.2">
      <c r="A723" s="2" t="s">
        <v>2060</v>
      </c>
      <c r="B723" s="2">
        <v>636</v>
      </c>
      <c r="C723" s="2" t="b">
        <v>0</v>
      </c>
      <c r="D723" s="2" t="b">
        <v>0</v>
      </c>
      <c r="E723" s="2" t="b">
        <v>0</v>
      </c>
      <c r="F723" s="2" t="b">
        <v>0</v>
      </c>
      <c r="G723" s="2" t="s">
        <v>31</v>
      </c>
      <c r="H723" s="2" t="s">
        <v>2061</v>
      </c>
      <c r="I723" s="2" t="s">
        <v>2062</v>
      </c>
      <c r="J723" s="2" t="s">
        <v>2063</v>
      </c>
      <c r="K723" s="2" t="s">
        <v>35</v>
      </c>
      <c r="L723" s="2" t="s">
        <v>35</v>
      </c>
      <c r="M723" s="2" t="s">
        <v>35</v>
      </c>
      <c r="N723" s="2" t="s">
        <v>35</v>
      </c>
      <c r="O723" s="11">
        <v>44749.419999560188</v>
      </c>
      <c r="P723" s="11">
        <v>44749.420329074077</v>
      </c>
      <c r="Q723" s="27">
        <v>3.2951388857327402E-4</v>
      </c>
      <c r="R723" s="27">
        <v>7.9097222624113783E-4</v>
      </c>
      <c r="S723" s="2">
        <v>0</v>
      </c>
      <c r="T723" s="2" t="s">
        <v>36</v>
      </c>
      <c r="U723" s="2" t="s">
        <v>37</v>
      </c>
      <c r="V723" s="2" t="s">
        <v>38</v>
      </c>
      <c r="W723" s="2" t="s">
        <v>35</v>
      </c>
      <c r="X723" s="2" t="s">
        <v>35</v>
      </c>
      <c r="Y723" s="2" t="s">
        <v>35</v>
      </c>
      <c r="Z723" s="2" t="b">
        <v>0</v>
      </c>
      <c r="AA723" s="2" t="s">
        <v>35</v>
      </c>
      <c r="AB723" s="2" t="s">
        <v>35</v>
      </c>
      <c r="AC723" s="2">
        <v>7</v>
      </c>
      <c r="AD723" s="2" t="s">
        <v>35</v>
      </c>
      <c r="AE723" s="2" t="s">
        <v>2025</v>
      </c>
      <c r="AF723" s="11">
        <v>44749.40625</v>
      </c>
      <c r="AG723" s="53"/>
      <c r="AH723" s="53" t="b">
        <f t="shared" si="15"/>
        <v>0</v>
      </c>
      <c r="AI723" s="54" t="s">
        <v>10436</v>
      </c>
      <c r="AJ723" s="2"/>
      <c r="AK723" s="2"/>
      <c r="AL723" s="2"/>
      <c r="AM723" s="2"/>
      <c r="AN723" s="2"/>
    </row>
    <row r="724" spans="1:40" ht="16" x14ac:dyDescent="0.2">
      <c r="A724" s="2" t="s">
        <v>2064</v>
      </c>
      <c r="B724" s="2">
        <v>637</v>
      </c>
      <c r="C724" s="2" t="b">
        <v>0</v>
      </c>
      <c r="D724" s="2" t="b">
        <v>0</v>
      </c>
      <c r="E724" s="2" t="b">
        <v>0</v>
      </c>
      <c r="F724" s="2" t="b">
        <v>0</v>
      </c>
      <c r="G724" s="2" t="s">
        <v>31</v>
      </c>
      <c r="H724" s="2" t="s">
        <v>2065</v>
      </c>
      <c r="I724" s="2" t="s">
        <v>2066</v>
      </c>
      <c r="J724" s="2" t="s">
        <v>35</v>
      </c>
      <c r="K724" s="2" t="s">
        <v>35</v>
      </c>
      <c r="L724" s="2" t="s">
        <v>35</v>
      </c>
      <c r="M724" s="2" t="s">
        <v>35</v>
      </c>
      <c r="N724" s="2" t="s">
        <v>35</v>
      </c>
      <c r="O724" s="11">
        <v>44749.421700590276</v>
      </c>
      <c r="P724" s="11">
        <v>44749.421811527776</v>
      </c>
      <c r="Q724" s="27">
        <v>1.10937500721775E-4</v>
      </c>
      <c r="R724" s="27">
        <v>1.4824536992819048E-3</v>
      </c>
      <c r="S724" s="2">
        <v>0</v>
      </c>
      <c r="T724" s="2" t="s">
        <v>36</v>
      </c>
      <c r="U724" s="2" t="s">
        <v>37</v>
      </c>
      <c r="V724" s="2" t="s">
        <v>38</v>
      </c>
      <c r="W724" s="2" t="s">
        <v>35</v>
      </c>
      <c r="X724" s="2" t="s">
        <v>35</v>
      </c>
      <c r="Y724" s="2" t="s">
        <v>35</v>
      </c>
      <c r="Z724" s="2" t="b">
        <v>0</v>
      </c>
      <c r="AA724" s="2" t="s">
        <v>35</v>
      </c>
      <c r="AB724" s="2" t="s">
        <v>35</v>
      </c>
      <c r="AC724" s="2" t="s">
        <v>35</v>
      </c>
      <c r="AD724" s="2">
        <v>3</v>
      </c>
      <c r="AE724" s="2" t="s">
        <v>2025</v>
      </c>
      <c r="AF724" s="11">
        <v>44749.40625</v>
      </c>
      <c r="AG724" s="53"/>
      <c r="AH724" s="53" t="b">
        <f t="shared" si="15"/>
        <v>0</v>
      </c>
      <c r="AI724" s="54" t="s">
        <v>10437</v>
      </c>
      <c r="AJ724" s="2"/>
      <c r="AK724" s="2"/>
      <c r="AL724" s="2"/>
      <c r="AM724" s="2"/>
      <c r="AN724" s="2"/>
    </row>
    <row r="725" spans="1:40" ht="16" x14ac:dyDescent="0.2">
      <c r="A725" s="2" t="s">
        <v>2067</v>
      </c>
      <c r="B725" s="2">
        <v>638</v>
      </c>
      <c r="C725" s="2" t="b">
        <v>0</v>
      </c>
      <c r="D725" s="2" t="b">
        <v>0</v>
      </c>
      <c r="E725" s="2" t="b">
        <v>0</v>
      </c>
      <c r="F725" s="2" t="b">
        <v>0</v>
      </c>
      <c r="G725" s="2" t="s">
        <v>31</v>
      </c>
      <c r="H725" s="2" t="s">
        <v>2068</v>
      </c>
      <c r="I725" s="2" t="s">
        <v>2069</v>
      </c>
      <c r="J725" s="2" t="s">
        <v>2070</v>
      </c>
      <c r="K725" s="2" t="s">
        <v>35</v>
      </c>
      <c r="L725" s="2" t="s">
        <v>35</v>
      </c>
      <c r="M725" s="2" t="s">
        <v>35</v>
      </c>
      <c r="N725" s="2" t="s">
        <v>35</v>
      </c>
      <c r="O725" s="11">
        <v>44749.423096469909</v>
      </c>
      <c r="P725" s="11">
        <v>44749.423421608793</v>
      </c>
      <c r="Q725" s="27">
        <v>3.2513888436369598E-4</v>
      </c>
      <c r="R725" s="27">
        <v>1.6100810171337798E-3</v>
      </c>
      <c r="S725" s="2">
        <v>0</v>
      </c>
      <c r="T725" s="2" t="s">
        <v>36</v>
      </c>
      <c r="U725" s="2" t="s">
        <v>37</v>
      </c>
      <c r="V725" s="2" t="s">
        <v>38</v>
      </c>
      <c r="W725" s="2" t="s">
        <v>35</v>
      </c>
      <c r="X725" s="2" t="s">
        <v>35</v>
      </c>
      <c r="Y725" s="2" t="s">
        <v>35</v>
      </c>
      <c r="Z725" s="2" t="b">
        <v>0</v>
      </c>
      <c r="AA725" s="2" t="s">
        <v>35</v>
      </c>
      <c r="AB725" s="2" t="s">
        <v>35</v>
      </c>
      <c r="AC725" s="2">
        <v>4</v>
      </c>
      <c r="AD725" s="2" t="s">
        <v>35</v>
      </c>
      <c r="AE725" s="2" t="s">
        <v>2025</v>
      </c>
      <c r="AF725" s="11">
        <v>44749.40625</v>
      </c>
      <c r="AG725" s="53"/>
      <c r="AH725" s="53" t="b">
        <f t="shared" si="15"/>
        <v>0</v>
      </c>
      <c r="AI725" s="54" t="s">
        <v>10438</v>
      </c>
      <c r="AJ725" s="2"/>
      <c r="AK725" s="2"/>
      <c r="AL725" s="2"/>
      <c r="AM725" s="2"/>
      <c r="AN725" s="2"/>
    </row>
    <row r="726" spans="1:40" ht="16" x14ac:dyDescent="0.2">
      <c r="A726" s="2" t="s">
        <v>2071</v>
      </c>
      <c r="B726" s="2">
        <v>639</v>
      </c>
      <c r="C726" s="2" t="b">
        <v>0</v>
      </c>
      <c r="D726" s="2" t="b">
        <v>0</v>
      </c>
      <c r="E726" s="2" t="b">
        <v>0</v>
      </c>
      <c r="F726" s="2" t="b">
        <v>0</v>
      </c>
      <c r="G726" s="2" t="s">
        <v>31</v>
      </c>
      <c r="H726" s="2" t="s">
        <v>2072</v>
      </c>
      <c r="I726" s="2" t="s">
        <v>2073</v>
      </c>
      <c r="J726" s="2" t="s">
        <v>35</v>
      </c>
      <c r="K726" s="2" t="s">
        <v>35</v>
      </c>
      <c r="L726" s="2" t="s">
        <v>35</v>
      </c>
      <c r="M726" s="2" t="s">
        <v>35</v>
      </c>
      <c r="N726" s="2" t="s">
        <v>35</v>
      </c>
      <c r="O726" s="11">
        <v>44749.424100185184</v>
      </c>
      <c r="P726" s="11">
        <v>44749.424230960649</v>
      </c>
      <c r="Q726" s="27">
        <v>1.3077546464046463E-4</v>
      </c>
      <c r="R726" s="27">
        <v>8.0935185542330146E-4</v>
      </c>
      <c r="S726" s="2">
        <v>0</v>
      </c>
      <c r="T726" s="2" t="s">
        <v>36</v>
      </c>
      <c r="U726" s="2" t="s">
        <v>37</v>
      </c>
      <c r="V726" s="2" t="s">
        <v>38</v>
      </c>
      <c r="W726" s="2" t="s">
        <v>35</v>
      </c>
      <c r="X726" s="2" t="s">
        <v>35</v>
      </c>
      <c r="Y726" s="2" t="s">
        <v>35</v>
      </c>
      <c r="Z726" s="2" t="b">
        <v>0</v>
      </c>
      <c r="AA726" s="2" t="s">
        <v>35</v>
      </c>
      <c r="AB726" s="2" t="s">
        <v>35</v>
      </c>
      <c r="AC726" s="2" t="s">
        <v>35</v>
      </c>
      <c r="AD726" s="2">
        <v>2</v>
      </c>
      <c r="AE726" s="2" t="s">
        <v>2025</v>
      </c>
      <c r="AF726" s="11">
        <v>44749.40625</v>
      </c>
      <c r="AG726" s="53"/>
      <c r="AH726" s="53" t="b">
        <f t="shared" si="15"/>
        <v>0</v>
      </c>
      <c r="AI726" s="54" t="s">
        <v>10439</v>
      </c>
      <c r="AJ726" s="2"/>
      <c r="AK726" s="2"/>
      <c r="AL726" s="2"/>
      <c r="AM726" s="2"/>
      <c r="AN726" s="2"/>
    </row>
    <row r="727" spans="1:40" ht="16" x14ac:dyDescent="0.2">
      <c r="A727" s="2" t="s">
        <v>2074</v>
      </c>
      <c r="B727" s="2">
        <v>640</v>
      </c>
      <c r="C727" s="2" t="b">
        <v>0</v>
      </c>
      <c r="D727" s="2" t="b">
        <v>0</v>
      </c>
      <c r="E727" s="2" t="b">
        <v>0</v>
      </c>
      <c r="F727" s="2" t="b">
        <v>0</v>
      </c>
      <c r="G727" s="2" t="s">
        <v>31</v>
      </c>
      <c r="H727" s="2" t="s">
        <v>2075</v>
      </c>
      <c r="I727" s="2" t="s">
        <v>2076</v>
      </c>
      <c r="J727" s="2" t="s">
        <v>35</v>
      </c>
      <c r="K727" s="2" t="s">
        <v>35</v>
      </c>
      <c r="L727" s="2" t="s">
        <v>35</v>
      </c>
      <c r="M727" s="2" t="s">
        <v>35</v>
      </c>
      <c r="N727" s="2" t="s">
        <v>35</v>
      </c>
      <c r="O727" s="11">
        <v>44749.424786134259</v>
      </c>
      <c r="P727" s="11">
        <v>44749.424928645836</v>
      </c>
      <c r="Q727" s="27">
        <v>1.4251157699618489E-4</v>
      </c>
      <c r="R727" s="27">
        <v>6.9768518733326346E-4</v>
      </c>
      <c r="S727" s="2">
        <v>0</v>
      </c>
      <c r="T727" s="2" t="s">
        <v>36</v>
      </c>
      <c r="U727" s="2" t="s">
        <v>37</v>
      </c>
      <c r="V727" s="2" t="s">
        <v>38</v>
      </c>
      <c r="W727" s="2" t="s">
        <v>35</v>
      </c>
      <c r="X727" s="2" t="s">
        <v>35</v>
      </c>
      <c r="Y727" s="2" t="s">
        <v>35</v>
      </c>
      <c r="Z727" s="2" t="b">
        <v>0</v>
      </c>
      <c r="AA727" s="2" t="s">
        <v>35</v>
      </c>
      <c r="AB727" s="2" t="s">
        <v>35</v>
      </c>
      <c r="AC727" s="2" t="s">
        <v>35</v>
      </c>
      <c r="AD727" s="2">
        <v>3</v>
      </c>
      <c r="AE727" s="2" t="s">
        <v>2025</v>
      </c>
      <c r="AF727" s="11">
        <v>44749.40625</v>
      </c>
      <c r="AG727" s="53"/>
      <c r="AH727" s="53" t="b">
        <f t="shared" si="15"/>
        <v>0</v>
      </c>
      <c r="AI727" s="54" t="s">
        <v>10440</v>
      </c>
      <c r="AJ727" s="2"/>
      <c r="AK727" s="2"/>
      <c r="AL727" s="2"/>
      <c r="AM727" s="2"/>
      <c r="AN727" s="2"/>
    </row>
    <row r="728" spans="1:40" ht="16" x14ac:dyDescent="0.2">
      <c r="A728" s="2" t="s">
        <v>2077</v>
      </c>
      <c r="B728" s="2">
        <v>641</v>
      </c>
      <c r="C728" s="2" t="b">
        <v>0</v>
      </c>
      <c r="D728" s="2" t="b">
        <v>0</v>
      </c>
      <c r="E728" s="2" t="b">
        <v>0</v>
      </c>
      <c r="F728" s="2" t="b">
        <v>0</v>
      </c>
      <c r="G728" s="2" t="s">
        <v>31</v>
      </c>
      <c r="H728" s="2" t="s">
        <v>2078</v>
      </c>
      <c r="I728" s="2" t="s">
        <v>2079</v>
      </c>
      <c r="J728" s="2" t="s">
        <v>35</v>
      </c>
      <c r="K728" s="2" t="s">
        <v>35</v>
      </c>
      <c r="L728" s="2" t="s">
        <v>35</v>
      </c>
      <c r="M728" s="2" t="s">
        <v>35</v>
      </c>
      <c r="N728" s="2" t="s">
        <v>35</v>
      </c>
      <c r="O728" s="11">
        <v>44749.425454525466</v>
      </c>
      <c r="P728" s="11">
        <v>44749.425793680559</v>
      </c>
      <c r="Q728" s="27">
        <v>3.3915509266080335E-4</v>
      </c>
      <c r="R728" s="27">
        <v>8.6503472266485915E-4</v>
      </c>
      <c r="S728" s="2">
        <v>0</v>
      </c>
      <c r="T728" s="2" t="s">
        <v>36</v>
      </c>
      <c r="U728" s="2" t="s">
        <v>37</v>
      </c>
      <c r="V728" s="2" t="s">
        <v>38</v>
      </c>
      <c r="W728" s="2" t="s">
        <v>35</v>
      </c>
      <c r="X728" s="2" t="s">
        <v>35</v>
      </c>
      <c r="Y728" s="2" t="s">
        <v>35</v>
      </c>
      <c r="Z728" s="2" t="b">
        <v>0</v>
      </c>
      <c r="AA728" s="2" t="s">
        <v>35</v>
      </c>
      <c r="AB728" s="2" t="s">
        <v>35</v>
      </c>
      <c r="AC728" s="2" t="s">
        <v>35</v>
      </c>
      <c r="AD728" s="2">
        <v>2</v>
      </c>
      <c r="AE728" s="2" t="s">
        <v>2025</v>
      </c>
      <c r="AF728" s="11">
        <v>44749.40625</v>
      </c>
      <c r="AG728" s="53"/>
      <c r="AH728" s="53" t="b">
        <f t="shared" si="15"/>
        <v>0</v>
      </c>
      <c r="AI728" s="54" t="s">
        <v>10441</v>
      </c>
      <c r="AJ728" s="2"/>
      <c r="AK728" s="2"/>
      <c r="AL728" s="2"/>
      <c r="AM728" s="2"/>
      <c r="AN728" s="2"/>
    </row>
    <row r="729" spans="1:40" ht="16" x14ac:dyDescent="0.2">
      <c r="A729" s="2" t="s">
        <v>2080</v>
      </c>
      <c r="B729" s="2">
        <v>642</v>
      </c>
      <c r="C729" s="2" t="b">
        <v>0</v>
      </c>
      <c r="D729" s="2" t="b">
        <v>0</v>
      </c>
      <c r="E729" s="2" t="b">
        <v>0</v>
      </c>
      <c r="F729" s="2" t="b">
        <v>0</v>
      </c>
      <c r="G729" s="2" t="s">
        <v>31</v>
      </c>
      <c r="H729" s="2" t="s">
        <v>2081</v>
      </c>
      <c r="I729" s="2" t="s">
        <v>2082</v>
      </c>
      <c r="J729" s="2" t="s">
        <v>35</v>
      </c>
      <c r="K729" s="2" t="s">
        <v>35</v>
      </c>
      <c r="L729" s="2" t="s">
        <v>35</v>
      </c>
      <c r="M729" s="2" t="s">
        <v>35</v>
      </c>
      <c r="N729" s="2" t="s">
        <v>35</v>
      </c>
      <c r="O729" s="11">
        <v>44749.426058275465</v>
      </c>
      <c r="P729" s="11">
        <v>44749.426178171299</v>
      </c>
      <c r="Q729" s="27">
        <v>1.1989583435934037E-4</v>
      </c>
      <c r="R729" s="27">
        <v>3.8449074054369703E-4</v>
      </c>
      <c r="S729" s="2">
        <v>0</v>
      </c>
      <c r="T729" s="2" t="s">
        <v>36</v>
      </c>
      <c r="U729" s="2" t="s">
        <v>37</v>
      </c>
      <c r="V729" s="2" t="s">
        <v>38</v>
      </c>
      <c r="W729" s="2" t="s">
        <v>35</v>
      </c>
      <c r="X729" s="2" t="s">
        <v>35</v>
      </c>
      <c r="Y729" s="2" t="s">
        <v>35</v>
      </c>
      <c r="Z729" s="2" t="b">
        <v>0</v>
      </c>
      <c r="AA729" s="2" t="s">
        <v>35</v>
      </c>
      <c r="AB729" s="2" t="s">
        <v>35</v>
      </c>
      <c r="AC729" s="2" t="s">
        <v>35</v>
      </c>
      <c r="AD729" s="2">
        <v>3</v>
      </c>
      <c r="AE729" s="2" t="s">
        <v>2025</v>
      </c>
      <c r="AF729" s="11">
        <v>44749.40625</v>
      </c>
      <c r="AG729" s="53"/>
      <c r="AH729" s="53" t="b">
        <f t="shared" si="15"/>
        <v>0</v>
      </c>
      <c r="AI729" s="54" t="s">
        <v>10442</v>
      </c>
      <c r="AJ729" s="2"/>
      <c r="AK729" s="2"/>
      <c r="AL729" s="2"/>
      <c r="AM729" s="2"/>
      <c r="AN729" s="2"/>
    </row>
    <row r="730" spans="1:40" ht="16" x14ac:dyDescent="0.2">
      <c r="A730" s="2" t="s">
        <v>2083</v>
      </c>
      <c r="B730" s="2">
        <v>643</v>
      </c>
      <c r="C730" s="2" t="b">
        <v>0</v>
      </c>
      <c r="D730" s="2" t="b">
        <v>0</v>
      </c>
      <c r="E730" s="2" t="b">
        <v>0</v>
      </c>
      <c r="F730" s="2" t="b">
        <v>0</v>
      </c>
      <c r="G730" s="2" t="s">
        <v>31</v>
      </c>
      <c r="H730" s="2" t="s">
        <v>2084</v>
      </c>
      <c r="I730" s="2" t="s">
        <v>2085</v>
      </c>
      <c r="J730" s="2" t="s">
        <v>35</v>
      </c>
      <c r="K730" s="2" t="s">
        <v>35</v>
      </c>
      <c r="L730" s="2" t="s">
        <v>35</v>
      </c>
      <c r="M730" s="2" t="s">
        <v>35</v>
      </c>
      <c r="N730" s="2" t="s">
        <v>35</v>
      </c>
      <c r="O730" s="11">
        <v>44749.426745925928</v>
      </c>
      <c r="P730" s="11">
        <v>44749.427075868058</v>
      </c>
      <c r="Q730" s="27">
        <v>3.2994212961057201E-4</v>
      </c>
      <c r="R730" s="27">
        <v>8.9769675832940266E-4</v>
      </c>
      <c r="S730" s="2">
        <v>0</v>
      </c>
      <c r="T730" s="2" t="s">
        <v>36</v>
      </c>
      <c r="U730" s="2" t="s">
        <v>37</v>
      </c>
      <c r="V730" s="2" t="s">
        <v>38</v>
      </c>
      <c r="W730" s="2" t="s">
        <v>35</v>
      </c>
      <c r="X730" s="2" t="s">
        <v>35</v>
      </c>
      <c r="Y730" s="2" t="s">
        <v>35</v>
      </c>
      <c r="Z730" s="2" t="b">
        <v>0</v>
      </c>
      <c r="AA730" s="2" t="s">
        <v>35</v>
      </c>
      <c r="AB730" s="2" t="s">
        <v>35</v>
      </c>
      <c r="AC730" s="2" t="s">
        <v>35</v>
      </c>
      <c r="AD730" s="2">
        <v>3</v>
      </c>
      <c r="AE730" s="2" t="s">
        <v>2025</v>
      </c>
      <c r="AF730" s="11">
        <v>44749.40625</v>
      </c>
      <c r="AG730" s="53"/>
      <c r="AH730" s="53" t="b">
        <f t="shared" si="15"/>
        <v>0</v>
      </c>
      <c r="AI730" s="54" t="s">
        <v>10443</v>
      </c>
      <c r="AJ730" s="2"/>
      <c r="AK730" s="2"/>
      <c r="AL730" s="2"/>
      <c r="AM730" s="2"/>
      <c r="AN730" s="2"/>
    </row>
    <row r="731" spans="1:40" ht="16" x14ac:dyDescent="0.2">
      <c r="A731" s="2" t="s">
        <v>2092</v>
      </c>
      <c r="B731" s="2">
        <v>646</v>
      </c>
      <c r="C731" s="2" t="b">
        <v>0</v>
      </c>
      <c r="D731" s="2" t="b">
        <v>0</v>
      </c>
      <c r="E731" s="2" t="b">
        <v>0</v>
      </c>
      <c r="F731" s="2" t="b">
        <v>0</v>
      </c>
      <c r="G731" s="2" t="s">
        <v>31</v>
      </c>
      <c r="H731" s="2" t="s">
        <v>2093</v>
      </c>
      <c r="I731" s="2" t="s">
        <v>2094</v>
      </c>
      <c r="J731" s="2" t="s">
        <v>2095</v>
      </c>
      <c r="K731" s="2" t="s">
        <v>35</v>
      </c>
      <c r="L731" s="2" t="s">
        <v>35</v>
      </c>
      <c r="M731" s="2" t="s">
        <v>35</v>
      </c>
      <c r="N731" s="2" t="s">
        <v>35</v>
      </c>
      <c r="O731" s="11">
        <v>44749.433332361114</v>
      </c>
      <c r="P731" s="11">
        <v>44749.433675289351</v>
      </c>
      <c r="Q731" s="27">
        <v>3.4292823693249375E-4</v>
      </c>
      <c r="R731" s="27">
        <v>1.3203124981373549E-3</v>
      </c>
      <c r="S731" s="2">
        <v>0</v>
      </c>
      <c r="T731" s="2" t="s">
        <v>36</v>
      </c>
      <c r="U731" s="2" t="s">
        <v>37</v>
      </c>
      <c r="V731" s="2" t="s">
        <v>38</v>
      </c>
      <c r="W731" s="2" t="s">
        <v>35</v>
      </c>
      <c r="X731" s="2" t="s">
        <v>35</v>
      </c>
      <c r="Y731" s="2" t="s">
        <v>35</v>
      </c>
      <c r="Z731" s="2" t="b">
        <v>0</v>
      </c>
      <c r="AA731" s="2" t="s">
        <v>35</v>
      </c>
      <c r="AB731" s="2" t="s">
        <v>35</v>
      </c>
      <c r="AC731" s="2">
        <v>5</v>
      </c>
      <c r="AD731" s="2" t="s">
        <v>35</v>
      </c>
      <c r="AE731" s="2" t="s">
        <v>2025</v>
      </c>
      <c r="AF731" s="11">
        <v>44749.40625</v>
      </c>
      <c r="AG731" s="53"/>
      <c r="AH731" s="53" t="b">
        <f t="shared" si="15"/>
        <v>0</v>
      </c>
      <c r="AI731" s="54" t="s">
        <v>10444</v>
      </c>
      <c r="AJ731" s="2"/>
      <c r="AK731" s="2"/>
      <c r="AL731" s="2"/>
      <c r="AM731" s="2"/>
      <c r="AN731" s="2"/>
    </row>
    <row r="732" spans="1:40" ht="16" x14ac:dyDescent="0.2">
      <c r="A732" s="2" t="s">
        <v>2099</v>
      </c>
      <c r="B732" s="2">
        <v>648</v>
      </c>
      <c r="C732" s="2" t="b">
        <v>0</v>
      </c>
      <c r="D732" s="2" t="b">
        <v>0</v>
      </c>
      <c r="E732" s="2" t="b">
        <v>0</v>
      </c>
      <c r="F732" s="2" t="b">
        <v>0</v>
      </c>
      <c r="G732" s="2" t="s">
        <v>31</v>
      </c>
      <c r="H732" s="2" t="s">
        <v>2100</v>
      </c>
      <c r="I732" s="2" t="s">
        <v>2101</v>
      </c>
      <c r="J732" s="2" t="s">
        <v>2102</v>
      </c>
      <c r="K732" s="2" t="s">
        <v>35</v>
      </c>
      <c r="L732" s="2" t="s">
        <v>35</v>
      </c>
      <c r="M732" s="2" t="s">
        <v>35</v>
      </c>
      <c r="N732" s="2" t="s">
        <v>35</v>
      </c>
      <c r="O732" s="11">
        <v>44749.434899490741</v>
      </c>
      <c r="P732" s="11">
        <v>44749.435476736115</v>
      </c>
      <c r="Q732" s="27">
        <v>5.7724537327885628E-4</v>
      </c>
      <c r="R732" s="27">
        <v>1.2074537080479786E-3</v>
      </c>
      <c r="S732" s="2">
        <v>0</v>
      </c>
      <c r="T732" s="2" t="s">
        <v>36</v>
      </c>
      <c r="U732" s="2" t="s">
        <v>37</v>
      </c>
      <c r="V732" s="2" t="s">
        <v>38</v>
      </c>
      <c r="W732" s="2" t="s">
        <v>35</v>
      </c>
      <c r="X732" s="2" t="s">
        <v>35</v>
      </c>
      <c r="Y732" s="2" t="s">
        <v>35</v>
      </c>
      <c r="Z732" s="2" t="b">
        <v>0</v>
      </c>
      <c r="AA732" s="2" t="s">
        <v>35</v>
      </c>
      <c r="AB732" s="2" t="s">
        <v>35</v>
      </c>
      <c r="AC732" s="2">
        <v>8</v>
      </c>
      <c r="AD732" s="2" t="s">
        <v>35</v>
      </c>
      <c r="AE732" s="2" t="s">
        <v>2025</v>
      </c>
      <c r="AF732" s="11">
        <v>44749.40625</v>
      </c>
      <c r="AG732" s="53"/>
      <c r="AH732" s="53" t="b">
        <f t="shared" si="15"/>
        <v>0</v>
      </c>
      <c r="AI732" s="54" t="s">
        <v>10445</v>
      </c>
      <c r="AJ732" s="2"/>
      <c r="AK732" s="2"/>
      <c r="AL732" s="2"/>
      <c r="AM732" s="2"/>
      <c r="AN732" s="2"/>
    </row>
    <row r="733" spans="1:40" ht="16" x14ac:dyDescent="0.2">
      <c r="A733" s="2" t="s">
        <v>2106</v>
      </c>
      <c r="B733" s="2">
        <v>650</v>
      </c>
      <c r="C733" s="2" t="b">
        <v>0</v>
      </c>
      <c r="D733" s="2" t="b">
        <v>0</v>
      </c>
      <c r="E733" s="2" t="b">
        <v>0</v>
      </c>
      <c r="F733" s="2" t="b">
        <v>0</v>
      </c>
      <c r="G733" s="2" t="s">
        <v>31</v>
      </c>
      <c r="H733" s="2" t="s">
        <v>2107</v>
      </c>
      <c r="I733" s="2" t="s">
        <v>2108</v>
      </c>
      <c r="J733" s="2" t="s">
        <v>1406</v>
      </c>
      <c r="K733" s="2" t="s">
        <v>35</v>
      </c>
      <c r="L733" s="2" t="s">
        <v>35</v>
      </c>
      <c r="M733" s="2" t="s">
        <v>35</v>
      </c>
      <c r="N733" s="2" t="s">
        <v>35</v>
      </c>
      <c r="O733" s="11">
        <v>44749.436703888889</v>
      </c>
      <c r="P733" s="11">
        <v>44749.437038738426</v>
      </c>
      <c r="Q733" s="27">
        <v>3.3484953746665269E-4</v>
      </c>
      <c r="R733" s="27">
        <v>4.5346064871409908E-4</v>
      </c>
      <c r="S733" s="2">
        <v>0</v>
      </c>
      <c r="T733" s="2" t="s">
        <v>36</v>
      </c>
      <c r="U733" s="2" t="s">
        <v>37</v>
      </c>
      <c r="V733" s="2" t="s">
        <v>38</v>
      </c>
      <c r="W733" s="2" t="s">
        <v>35</v>
      </c>
      <c r="X733" s="2" t="s">
        <v>35</v>
      </c>
      <c r="Y733" s="2" t="s">
        <v>35</v>
      </c>
      <c r="Z733" s="2" t="b">
        <v>0</v>
      </c>
      <c r="AA733" s="2" t="s">
        <v>35</v>
      </c>
      <c r="AB733" s="2" t="s">
        <v>35</v>
      </c>
      <c r="AC733" s="2">
        <v>5</v>
      </c>
      <c r="AD733" s="2" t="s">
        <v>35</v>
      </c>
      <c r="AE733" s="2" t="s">
        <v>2025</v>
      </c>
      <c r="AF733" s="11">
        <v>44749.40625</v>
      </c>
      <c r="AG733" s="53"/>
      <c r="AH733" s="53" t="b">
        <f t="shared" ref="AH733:AH796" si="16">IF(Q733&gt;TIME(0,1,9),"TRUE")</f>
        <v>0</v>
      </c>
      <c r="AI733" s="54" t="s">
        <v>10446</v>
      </c>
      <c r="AJ733" s="2"/>
      <c r="AK733" s="2"/>
      <c r="AL733" s="2"/>
      <c r="AM733" s="2"/>
      <c r="AN733" s="2"/>
    </row>
    <row r="734" spans="1:40" ht="16" x14ac:dyDescent="0.2">
      <c r="A734" s="2" t="s">
        <v>2112</v>
      </c>
      <c r="B734" s="2">
        <v>652</v>
      </c>
      <c r="C734" s="2" t="b">
        <v>0</v>
      </c>
      <c r="D734" s="2" t="b">
        <v>0</v>
      </c>
      <c r="E734" s="2" t="b">
        <v>0</v>
      </c>
      <c r="F734" s="2" t="b">
        <v>0</v>
      </c>
      <c r="G734" s="2" t="s">
        <v>31</v>
      </c>
      <c r="H734" s="2" t="s">
        <v>2113</v>
      </c>
      <c r="I734" s="2" t="s">
        <v>2114</v>
      </c>
      <c r="J734" s="2" t="s">
        <v>35</v>
      </c>
      <c r="K734" s="2" t="s">
        <v>35</v>
      </c>
      <c r="L734" s="2" t="s">
        <v>35</v>
      </c>
      <c r="M734" s="2" t="s">
        <v>35</v>
      </c>
      <c r="N734" s="2" t="s">
        <v>35</v>
      </c>
      <c r="O734" s="11">
        <v>44749.439541388892</v>
      </c>
      <c r="P734" s="11">
        <v>44749.439937754629</v>
      </c>
      <c r="Q734" s="27">
        <v>3.9636573637835681E-4</v>
      </c>
      <c r="R734" s="27">
        <v>2.7352430552127771E-3</v>
      </c>
      <c r="S734" s="2">
        <v>0</v>
      </c>
      <c r="T734" s="2" t="s">
        <v>36</v>
      </c>
      <c r="U734" s="2" t="s">
        <v>37</v>
      </c>
      <c r="V734" s="2" t="s">
        <v>38</v>
      </c>
      <c r="W734" s="2" t="s">
        <v>35</v>
      </c>
      <c r="X734" s="2" t="s">
        <v>35</v>
      </c>
      <c r="Y734" s="2" t="s">
        <v>35</v>
      </c>
      <c r="Z734" s="2" t="b">
        <v>0</v>
      </c>
      <c r="AA734" s="2" t="s">
        <v>35</v>
      </c>
      <c r="AB734" s="2" t="s">
        <v>35</v>
      </c>
      <c r="AC734" s="2" t="s">
        <v>35</v>
      </c>
      <c r="AD734" s="2">
        <v>2</v>
      </c>
      <c r="AE734" s="2" t="s">
        <v>2025</v>
      </c>
      <c r="AF734" s="11">
        <v>44749.40625</v>
      </c>
      <c r="AG734" s="53"/>
      <c r="AH734" s="53" t="b">
        <f t="shared" si="16"/>
        <v>0</v>
      </c>
      <c r="AI734" s="54" t="s">
        <v>10447</v>
      </c>
      <c r="AJ734" s="2"/>
      <c r="AK734" s="2"/>
      <c r="AL734" s="2"/>
      <c r="AM734" s="2"/>
      <c r="AN734" s="2"/>
    </row>
    <row r="735" spans="1:40" ht="16" x14ac:dyDescent="0.2">
      <c r="A735" s="2" t="s">
        <v>2118</v>
      </c>
      <c r="B735" s="2">
        <v>654</v>
      </c>
      <c r="C735" s="2" t="b">
        <v>0</v>
      </c>
      <c r="D735" s="2" t="b">
        <v>0</v>
      </c>
      <c r="E735" s="2" t="b">
        <v>0</v>
      </c>
      <c r="F735" s="2" t="b">
        <v>0</v>
      </c>
      <c r="G735" s="2" t="s">
        <v>31</v>
      </c>
      <c r="H735" s="2" t="s">
        <v>2119</v>
      </c>
      <c r="I735" s="2" t="s">
        <v>2120</v>
      </c>
      <c r="J735" s="2" t="s">
        <v>35</v>
      </c>
      <c r="K735" s="2" t="s">
        <v>35</v>
      </c>
      <c r="L735" s="2" t="s">
        <v>35</v>
      </c>
      <c r="M735" s="2" t="s">
        <v>35</v>
      </c>
      <c r="N735" s="2" t="s">
        <v>35</v>
      </c>
      <c r="O735" s="11">
        <v>44749.441358784723</v>
      </c>
      <c r="P735" s="11">
        <v>44749.441964027777</v>
      </c>
      <c r="Q735" s="27">
        <v>6.052430544514209E-4</v>
      </c>
      <c r="R735" s="27">
        <v>1.6602083342149854E-3</v>
      </c>
      <c r="S735" s="2">
        <v>0</v>
      </c>
      <c r="T735" s="2" t="s">
        <v>36</v>
      </c>
      <c r="U735" s="2" t="s">
        <v>37</v>
      </c>
      <c r="V735" s="2" t="s">
        <v>38</v>
      </c>
      <c r="W735" s="2" t="s">
        <v>35</v>
      </c>
      <c r="X735" s="2" t="s">
        <v>35</v>
      </c>
      <c r="Y735" s="2" t="s">
        <v>35</v>
      </c>
      <c r="Z735" s="2" t="b">
        <v>0</v>
      </c>
      <c r="AA735" s="2" t="s">
        <v>2121</v>
      </c>
      <c r="AB735" s="2" t="s">
        <v>35</v>
      </c>
      <c r="AC735" s="2" t="s">
        <v>35</v>
      </c>
      <c r="AD735" s="2" t="s">
        <v>35</v>
      </c>
      <c r="AE735" s="2" t="s">
        <v>2025</v>
      </c>
      <c r="AF735" s="11">
        <v>44749.40625</v>
      </c>
      <c r="AG735" s="53"/>
      <c r="AH735" s="53" t="b">
        <f t="shared" si="16"/>
        <v>0</v>
      </c>
      <c r="AI735" s="54" t="s">
        <v>10452</v>
      </c>
      <c r="AJ735" s="2" t="s">
        <v>10448</v>
      </c>
      <c r="AK735" s="2" t="s">
        <v>10449</v>
      </c>
      <c r="AL735" s="2" t="s">
        <v>10450</v>
      </c>
      <c r="AM735" s="2" t="s">
        <v>10451</v>
      </c>
      <c r="AN735" s="2"/>
    </row>
    <row r="736" spans="1:40" ht="16" x14ac:dyDescent="0.2">
      <c r="A736" s="2" t="s">
        <v>2125</v>
      </c>
      <c r="B736" s="2">
        <v>656</v>
      </c>
      <c r="C736" s="2" t="b">
        <v>0</v>
      </c>
      <c r="D736" s="2" t="b">
        <v>0</v>
      </c>
      <c r="E736" s="2" t="b">
        <v>0</v>
      </c>
      <c r="F736" s="2" t="b">
        <v>0</v>
      </c>
      <c r="G736" s="2" t="s">
        <v>31</v>
      </c>
      <c r="H736" s="2" t="s">
        <v>2126</v>
      </c>
      <c r="I736" s="2" t="s">
        <v>2127</v>
      </c>
      <c r="J736" s="2" t="s">
        <v>2102</v>
      </c>
      <c r="K736" s="2" t="s">
        <v>35</v>
      </c>
      <c r="L736" s="2" t="s">
        <v>35</v>
      </c>
      <c r="M736" s="2" t="s">
        <v>35</v>
      </c>
      <c r="N736" s="2" t="s">
        <v>35</v>
      </c>
      <c r="O736" s="11">
        <v>44749.443497905093</v>
      </c>
      <c r="P736" s="11">
        <v>44749.443887592592</v>
      </c>
      <c r="Q736" s="27">
        <v>3.8968749868217856E-4</v>
      </c>
      <c r="R736" s="27">
        <v>9.2223379760980606E-4</v>
      </c>
      <c r="S736" s="2">
        <v>0</v>
      </c>
      <c r="T736" s="2" t="s">
        <v>36</v>
      </c>
      <c r="U736" s="2" t="s">
        <v>37</v>
      </c>
      <c r="V736" s="2" t="s">
        <v>38</v>
      </c>
      <c r="W736" s="2" t="s">
        <v>35</v>
      </c>
      <c r="X736" s="2" t="s">
        <v>35</v>
      </c>
      <c r="Y736" s="2" t="s">
        <v>35</v>
      </c>
      <c r="Z736" s="2" t="b">
        <v>0</v>
      </c>
      <c r="AA736" s="2" t="s">
        <v>35</v>
      </c>
      <c r="AB736" s="2" t="s">
        <v>35</v>
      </c>
      <c r="AC736" s="2">
        <v>8</v>
      </c>
      <c r="AD736" s="2" t="s">
        <v>35</v>
      </c>
      <c r="AE736" s="2" t="s">
        <v>2025</v>
      </c>
      <c r="AF736" s="11">
        <v>44749.40625</v>
      </c>
      <c r="AG736" s="53"/>
      <c r="AH736" s="53" t="b">
        <f t="shared" si="16"/>
        <v>0</v>
      </c>
      <c r="AI736" s="54" t="s">
        <v>10453</v>
      </c>
      <c r="AJ736" s="2"/>
      <c r="AK736" s="2"/>
      <c r="AL736" s="2"/>
      <c r="AM736" s="2"/>
      <c r="AN736" s="2"/>
    </row>
    <row r="737" spans="1:40" ht="16" x14ac:dyDescent="0.2">
      <c r="A737" s="2" t="s">
        <v>2131</v>
      </c>
      <c r="B737" s="2">
        <v>658</v>
      </c>
      <c r="C737" s="2" t="b">
        <v>0</v>
      </c>
      <c r="D737" s="2" t="b">
        <v>0</v>
      </c>
      <c r="E737" s="2" t="b">
        <v>0</v>
      </c>
      <c r="F737" s="2" t="b">
        <v>0</v>
      </c>
      <c r="G737" s="2" t="s">
        <v>31</v>
      </c>
      <c r="H737" s="2" t="s">
        <v>2132</v>
      </c>
      <c r="I737" s="2" t="s">
        <v>2133</v>
      </c>
      <c r="J737" s="2" t="s">
        <v>2134</v>
      </c>
      <c r="K737" s="2" t="s">
        <v>35</v>
      </c>
      <c r="L737" s="2" t="s">
        <v>35</v>
      </c>
      <c r="M737" s="2" t="s">
        <v>35</v>
      </c>
      <c r="N737" s="2" t="s">
        <v>35</v>
      </c>
      <c r="O737" s="11">
        <v>44749.44560752315</v>
      </c>
      <c r="P737" s="11">
        <v>44749.445881238425</v>
      </c>
      <c r="Q737" s="27">
        <v>2.737152753979899E-4</v>
      </c>
      <c r="R737" s="27">
        <v>6.9587962934747338E-4</v>
      </c>
      <c r="S737" s="2">
        <v>0</v>
      </c>
      <c r="T737" s="2" t="s">
        <v>36</v>
      </c>
      <c r="U737" s="2" t="s">
        <v>37</v>
      </c>
      <c r="V737" s="2" t="s">
        <v>38</v>
      </c>
      <c r="W737" s="2" t="s">
        <v>35</v>
      </c>
      <c r="X737" s="2" t="s">
        <v>35</v>
      </c>
      <c r="Y737" s="2" t="s">
        <v>35</v>
      </c>
      <c r="Z737" s="2" t="b">
        <v>0</v>
      </c>
      <c r="AA737" s="2" t="s">
        <v>35</v>
      </c>
      <c r="AB737" s="2" t="s">
        <v>35</v>
      </c>
      <c r="AC737" s="2">
        <v>4</v>
      </c>
      <c r="AD737" s="2" t="s">
        <v>35</v>
      </c>
      <c r="AE737" s="2" t="s">
        <v>2025</v>
      </c>
      <c r="AF737" s="11">
        <v>44749.40625</v>
      </c>
      <c r="AG737" s="53"/>
      <c r="AH737" s="53" t="b">
        <f t="shared" si="16"/>
        <v>0</v>
      </c>
      <c r="AI737" s="54" t="s">
        <v>10454</v>
      </c>
      <c r="AJ737" s="2"/>
      <c r="AK737" s="2"/>
      <c r="AL737" s="2"/>
      <c r="AM737" s="2"/>
      <c r="AN737" s="2"/>
    </row>
    <row r="738" spans="1:40" ht="16" x14ac:dyDescent="0.2">
      <c r="A738" s="2" t="s">
        <v>2138</v>
      </c>
      <c r="B738" s="2">
        <v>660</v>
      </c>
      <c r="C738" s="2" t="b">
        <v>0</v>
      </c>
      <c r="D738" s="2" t="b">
        <v>0</v>
      </c>
      <c r="E738" s="2" t="b">
        <v>0</v>
      </c>
      <c r="F738" s="2" t="b">
        <v>0</v>
      </c>
      <c r="G738" s="2" t="s">
        <v>31</v>
      </c>
      <c r="H738" s="2" t="s">
        <v>2139</v>
      </c>
      <c r="I738" s="2" t="s">
        <v>2140</v>
      </c>
      <c r="J738" s="2" t="s">
        <v>2063</v>
      </c>
      <c r="K738" s="2" t="s">
        <v>35</v>
      </c>
      <c r="L738" s="2" t="s">
        <v>35</v>
      </c>
      <c r="M738" s="2" t="s">
        <v>35</v>
      </c>
      <c r="N738" s="2" t="s">
        <v>35</v>
      </c>
      <c r="O738" s="11">
        <v>44749.449197106478</v>
      </c>
      <c r="P738" s="11">
        <v>44749.449795925924</v>
      </c>
      <c r="Q738" s="27">
        <v>5.9881944616790861E-4</v>
      </c>
      <c r="R738" s="27">
        <v>3.4506828669691458E-3</v>
      </c>
      <c r="S738" s="2">
        <v>0</v>
      </c>
      <c r="T738" s="2" t="s">
        <v>36</v>
      </c>
      <c r="U738" s="2" t="s">
        <v>37</v>
      </c>
      <c r="V738" s="2" t="s">
        <v>38</v>
      </c>
      <c r="W738" s="2" t="s">
        <v>35</v>
      </c>
      <c r="X738" s="2" t="s">
        <v>35</v>
      </c>
      <c r="Y738" s="2" t="s">
        <v>35</v>
      </c>
      <c r="Z738" s="2" t="b">
        <v>0</v>
      </c>
      <c r="AA738" s="2" t="s">
        <v>35</v>
      </c>
      <c r="AB738" s="2" t="s">
        <v>35</v>
      </c>
      <c r="AC738" s="2">
        <v>4</v>
      </c>
      <c r="AD738" s="2">
        <v>2</v>
      </c>
      <c r="AE738" s="2" t="s">
        <v>2025</v>
      </c>
      <c r="AF738" s="11">
        <v>44749.40625</v>
      </c>
      <c r="AG738" s="53"/>
      <c r="AH738" s="53" t="b">
        <f t="shared" si="16"/>
        <v>0</v>
      </c>
      <c r="AI738" s="54" t="s">
        <v>10455</v>
      </c>
      <c r="AJ738" s="2"/>
      <c r="AK738" s="2"/>
      <c r="AL738" s="2"/>
      <c r="AM738" s="2"/>
      <c r="AN738" s="2"/>
    </row>
    <row r="739" spans="1:40" ht="16" x14ac:dyDescent="0.2">
      <c r="A739" s="2" t="s">
        <v>2144</v>
      </c>
      <c r="B739" s="2">
        <v>662</v>
      </c>
      <c r="C739" s="2" t="b">
        <v>0</v>
      </c>
      <c r="D739" s="2" t="b">
        <v>0</v>
      </c>
      <c r="E739" s="2" t="b">
        <v>0</v>
      </c>
      <c r="F739" s="2" t="b">
        <v>0</v>
      </c>
      <c r="G739" s="2" t="s">
        <v>31</v>
      </c>
      <c r="H739" s="2" t="s">
        <v>2145</v>
      </c>
      <c r="I739" s="2" t="s">
        <v>2146</v>
      </c>
      <c r="J739" s="2" t="s">
        <v>2063</v>
      </c>
      <c r="K739" s="2" t="s">
        <v>35</v>
      </c>
      <c r="L739" s="2" t="s">
        <v>35</v>
      </c>
      <c r="M739" s="2" t="s">
        <v>35</v>
      </c>
      <c r="N739" s="2" t="s">
        <v>35</v>
      </c>
      <c r="O739" s="11">
        <v>44749.450705567127</v>
      </c>
      <c r="P739" s="11">
        <v>44749.451107499997</v>
      </c>
      <c r="Q739" s="27">
        <v>4.0193286986323074E-4</v>
      </c>
      <c r="R739" s="27">
        <v>5.2324073476484045E-4</v>
      </c>
      <c r="S739" s="2">
        <v>0</v>
      </c>
      <c r="T739" s="2" t="s">
        <v>36</v>
      </c>
      <c r="U739" s="2" t="s">
        <v>37</v>
      </c>
      <c r="V739" s="2" t="s">
        <v>38</v>
      </c>
      <c r="W739" s="2" t="s">
        <v>35</v>
      </c>
      <c r="X739" s="2" t="s">
        <v>35</v>
      </c>
      <c r="Y739" s="2" t="s">
        <v>35</v>
      </c>
      <c r="Z739" s="2" t="b">
        <v>0</v>
      </c>
      <c r="AA739" s="2" t="s">
        <v>35</v>
      </c>
      <c r="AB739" s="2" t="s">
        <v>35</v>
      </c>
      <c r="AC739" s="2">
        <v>6</v>
      </c>
      <c r="AD739" s="2">
        <v>3</v>
      </c>
      <c r="AE739" s="2" t="s">
        <v>2025</v>
      </c>
      <c r="AF739" s="11">
        <v>44749.40625</v>
      </c>
      <c r="AG739" s="53"/>
      <c r="AH739" s="53" t="b">
        <f t="shared" si="16"/>
        <v>0</v>
      </c>
      <c r="AI739" s="54" t="s">
        <v>10456</v>
      </c>
      <c r="AJ739" s="2"/>
      <c r="AK739" s="2"/>
      <c r="AL739" s="2"/>
      <c r="AM739" s="2"/>
      <c r="AN739" s="2"/>
    </row>
    <row r="740" spans="1:40" ht="16" x14ac:dyDescent="0.2">
      <c r="A740" s="2" t="s">
        <v>2147</v>
      </c>
      <c r="B740" s="2">
        <v>663</v>
      </c>
      <c r="C740" s="2" t="b">
        <v>0</v>
      </c>
      <c r="D740" s="2" t="b">
        <v>0</v>
      </c>
      <c r="E740" s="2" t="b">
        <v>0</v>
      </c>
      <c r="F740" s="2" t="b">
        <v>0</v>
      </c>
      <c r="G740" s="2" t="s">
        <v>31</v>
      </c>
      <c r="H740" s="2" t="s">
        <v>2148</v>
      </c>
      <c r="I740" s="2" t="s">
        <v>2149</v>
      </c>
      <c r="J740" s="2" t="s">
        <v>2150</v>
      </c>
      <c r="K740" s="2" t="s">
        <v>35</v>
      </c>
      <c r="L740" s="2" t="s">
        <v>35</v>
      </c>
      <c r="M740" s="2" t="s">
        <v>35</v>
      </c>
      <c r="N740" s="2" t="s">
        <v>35</v>
      </c>
      <c r="O740" s="11">
        <v>44749.451569999997</v>
      </c>
      <c r="P740" s="11">
        <v>44749.452151840276</v>
      </c>
      <c r="Q740" s="27">
        <v>5.8184027875540778E-4</v>
      </c>
      <c r="R740" s="27">
        <v>1.0443402788951062E-3</v>
      </c>
      <c r="S740" s="2">
        <v>0</v>
      </c>
      <c r="T740" s="2" t="s">
        <v>36</v>
      </c>
      <c r="U740" s="2" t="s">
        <v>37</v>
      </c>
      <c r="V740" s="2" t="s">
        <v>38</v>
      </c>
      <c r="W740" s="2" t="s">
        <v>35</v>
      </c>
      <c r="X740" s="2" t="s">
        <v>35</v>
      </c>
      <c r="Y740" s="2" t="s">
        <v>35</v>
      </c>
      <c r="Z740" s="2" t="b">
        <v>0</v>
      </c>
      <c r="AA740" s="2" t="s">
        <v>35</v>
      </c>
      <c r="AB740" s="2" t="s">
        <v>35</v>
      </c>
      <c r="AC740" s="2">
        <v>4</v>
      </c>
      <c r="AD740" s="2" t="s">
        <v>35</v>
      </c>
      <c r="AE740" s="2" t="s">
        <v>2025</v>
      </c>
      <c r="AF740" s="11">
        <v>44749.40625</v>
      </c>
      <c r="AG740" s="53"/>
      <c r="AH740" s="53" t="b">
        <f t="shared" si="16"/>
        <v>0</v>
      </c>
      <c r="AI740" s="54" t="s">
        <v>10458</v>
      </c>
      <c r="AJ740" s="2" t="s">
        <v>10457</v>
      </c>
      <c r="AK740" s="2"/>
      <c r="AL740" s="2"/>
      <c r="AM740" s="2"/>
      <c r="AN740" s="2"/>
    </row>
    <row r="741" spans="1:40" ht="16" x14ac:dyDescent="0.2">
      <c r="A741" s="2" t="s">
        <v>2151</v>
      </c>
      <c r="B741" s="2">
        <v>664</v>
      </c>
      <c r="C741" s="2" t="b">
        <v>0</v>
      </c>
      <c r="D741" s="2" t="b">
        <v>0</v>
      </c>
      <c r="E741" s="2" t="b">
        <v>0</v>
      </c>
      <c r="F741" s="2" t="b">
        <v>0</v>
      </c>
      <c r="G741" s="2" t="s">
        <v>31</v>
      </c>
      <c r="H741" s="2" t="s">
        <v>2152</v>
      </c>
      <c r="I741" s="2" t="s">
        <v>2153</v>
      </c>
      <c r="J741" s="2" t="s">
        <v>2150</v>
      </c>
      <c r="K741" s="2" t="s">
        <v>35</v>
      </c>
      <c r="L741" s="2" t="s">
        <v>35</v>
      </c>
      <c r="M741" s="2" t="s">
        <v>35</v>
      </c>
      <c r="N741" s="2" t="s">
        <v>35</v>
      </c>
      <c r="O741" s="11">
        <v>44749.452392025465</v>
      </c>
      <c r="P741" s="11">
        <v>44749.452682002317</v>
      </c>
      <c r="Q741" s="27">
        <v>2.8997685149079189E-4</v>
      </c>
      <c r="R741" s="27">
        <v>5.3016204037703574E-4</v>
      </c>
      <c r="S741" s="2">
        <v>0</v>
      </c>
      <c r="T741" s="2" t="s">
        <v>36</v>
      </c>
      <c r="U741" s="2" t="s">
        <v>37</v>
      </c>
      <c r="V741" s="2" t="s">
        <v>38</v>
      </c>
      <c r="W741" s="2" t="s">
        <v>35</v>
      </c>
      <c r="X741" s="2" t="s">
        <v>35</v>
      </c>
      <c r="Y741" s="2" t="s">
        <v>35</v>
      </c>
      <c r="Z741" s="2" t="b">
        <v>0</v>
      </c>
      <c r="AA741" s="2" t="s">
        <v>35</v>
      </c>
      <c r="AB741" s="2" t="s">
        <v>35</v>
      </c>
      <c r="AC741" s="2">
        <v>6</v>
      </c>
      <c r="AD741" s="2" t="s">
        <v>35</v>
      </c>
      <c r="AE741" s="2" t="s">
        <v>2025</v>
      </c>
      <c r="AF741" s="11">
        <v>44749.40625</v>
      </c>
      <c r="AG741" s="53"/>
      <c r="AH741" s="53" t="b">
        <f t="shared" si="16"/>
        <v>0</v>
      </c>
      <c r="AI741" s="54" t="s">
        <v>10459</v>
      </c>
      <c r="AJ741" s="2"/>
      <c r="AK741" s="2"/>
      <c r="AL741" s="2"/>
      <c r="AM741" s="2"/>
      <c r="AN741" s="2"/>
    </row>
    <row r="742" spans="1:40" ht="16" x14ac:dyDescent="0.2">
      <c r="A742" s="2" t="s">
        <v>2157</v>
      </c>
      <c r="B742" s="2">
        <v>666</v>
      </c>
      <c r="C742" s="2" t="b">
        <v>0</v>
      </c>
      <c r="D742" s="2" t="b">
        <v>0</v>
      </c>
      <c r="E742" s="2" t="b">
        <v>0</v>
      </c>
      <c r="F742" s="2" t="b">
        <v>0</v>
      </c>
      <c r="G742" s="2" t="s">
        <v>31</v>
      </c>
      <c r="H742" s="2" t="s">
        <v>2158</v>
      </c>
      <c r="I742" s="2" t="s">
        <v>2159</v>
      </c>
      <c r="J742" s="2" t="s">
        <v>2160</v>
      </c>
      <c r="K742" s="2" t="s">
        <v>35</v>
      </c>
      <c r="L742" s="2" t="s">
        <v>35</v>
      </c>
      <c r="M742" s="2" t="s">
        <v>35</v>
      </c>
      <c r="N742" s="2" t="s">
        <v>35</v>
      </c>
      <c r="O742" s="11">
        <v>44749.45405083333</v>
      </c>
      <c r="P742" s="11">
        <v>44749.454663055556</v>
      </c>
      <c r="Q742" s="27">
        <v>6.1222222575452179E-4</v>
      </c>
      <c r="R742" s="27">
        <v>1.3826851863996126E-3</v>
      </c>
      <c r="S742" s="2">
        <v>0</v>
      </c>
      <c r="T742" s="2" t="s">
        <v>36</v>
      </c>
      <c r="U742" s="2" t="s">
        <v>37</v>
      </c>
      <c r="V742" s="2" t="s">
        <v>38</v>
      </c>
      <c r="W742" s="2" t="s">
        <v>35</v>
      </c>
      <c r="X742" s="2" t="s">
        <v>35</v>
      </c>
      <c r="Y742" s="2" t="s">
        <v>35</v>
      </c>
      <c r="Z742" s="2" t="b">
        <v>0</v>
      </c>
      <c r="AA742" s="2" t="s">
        <v>35</v>
      </c>
      <c r="AB742" s="2" t="s">
        <v>35</v>
      </c>
      <c r="AC742" s="2">
        <v>4</v>
      </c>
      <c r="AD742" s="2">
        <v>2</v>
      </c>
      <c r="AE742" s="2" t="s">
        <v>2025</v>
      </c>
      <c r="AF742" s="11">
        <v>44749.40625</v>
      </c>
      <c r="AG742" s="53"/>
      <c r="AH742" s="53" t="b">
        <f t="shared" si="16"/>
        <v>0</v>
      </c>
      <c r="AI742" s="54" t="s">
        <v>10460</v>
      </c>
      <c r="AJ742" s="2"/>
      <c r="AK742" s="2"/>
      <c r="AL742" s="2"/>
      <c r="AM742" s="2"/>
      <c r="AN742" s="2"/>
    </row>
    <row r="743" spans="1:40" ht="16" x14ac:dyDescent="0.2">
      <c r="A743" s="68" t="s">
        <v>2164</v>
      </c>
      <c r="B743" s="68">
        <v>668</v>
      </c>
      <c r="C743" s="68" t="b">
        <v>0</v>
      </c>
      <c r="D743" s="68" t="b">
        <v>0</v>
      </c>
      <c r="E743" s="68" t="b">
        <v>0</v>
      </c>
      <c r="F743" s="68" t="b">
        <v>0</v>
      </c>
      <c r="G743" s="68" t="s">
        <v>31</v>
      </c>
      <c r="H743" s="68" t="s">
        <v>149</v>
      </c>
      <c r="I743" s="68" t="s">
        <v>2165</v>
      </c>
      <c r="J743" s="68" t="s">
        <v>2166</v>
      </c>
      <c r="K743" s="68" t="s">
        <v>35</v>
      </c>
      <c r="L743" s="68" t="s">
        <v>35</v>
      </c>
      <c r="M743" s="68" t="s">
        <v>35</v>
      </c>
      <c r="N743" s="68" t="s">
        <v>35</v>
      </c>
      <c r="O743" s="69">
        <v>44749.455473715279</v>
      </c>
      <c r="P743" s="69">
        <v>44749.455840659721</v>
      </c>
      <c r="Q743" s="70">
        <v>3.6694444133900106E-4</v>
      </c>
      <c r="R743" s="70">
        <v>6.362037020153366E-4</v>
      </c>
      <c r="S743" s="68">
        <v>0</v>
      </c>
      <c r="T743" s="68" t="s">
        <v>36</v>
      </c>
      <c r="U743" s="68" t="s">
        <v>37</v>
      </c>
      <c r="V743" s="68" t="s">
        <v>38</v>
      </c>
      <c r="W743" s="68" t="s">
        <v>35</v>
      </c>
      <c r="X743" s="68" t="s">
        <v>35</v>
      </c>
      <c r="Y743" s="68" t="s">
        <v>35</v>
      </c>
      <c r="Z743" s="68" t="b">
        <v>0</v>
      </c>
      <c r="AA743" s="68" t="s">
        <v>35</v>
      </c>
      <c r="AB743" s="68" t="s">
        <v>35</v>
      </c>
      <c r="AC743" s="68">
        <v>5</v>
      </c>
      <c r="AD743" s="68" t="s">
        <v>35</v>
      </c>
      <c r="AE743" s="68" t="s">
        <v>2025</v>
      </c>
      <c r="AF743" s="69">
        <v>44749.40625</v>
      </c>
      <c r="AG743" s="71"/>
      <c r="AH743" s="53" t="b">
        <f t="shared" si="16"/>
        <v>0</v>
      </c>
      <c r="AI743" s="56" t="s">
        <v>35</v>
      </c>
      <c r="AJ743" s="68"/>
      <c r="AK743" s="68"/>
      <c r="AL743" s="68"/>
      <c r="AM743" s="68"/>
      <c r="AN743" s="68"/>
    </row>
    <row r="744" spans="1:40" ht="16" x14ac:dyDescent="0.2">
      <c r="A744" s="2" t="s">
        <v>2167</v>
      </c>
      <c r="B744" s="2">
        <v>669</v>
      </c>
      <c r="C744" s="2" t="b">
        <v>0</v>
      </c>
      <c r="D744" s="2" t="b">
        <v>0</v>
      </c>
      <c r="E744" s="2" t="b">
        <v>0</v>
      </c>
      <c r="F744" s="2" t="b">
        <v>0</v>
      </c>
      <c r="G744" s="2" t="s">
        <v>31</v>
      </c>
      <c r="H744" s="2" t="s">
        <v>2168</v>
      </c>
      <c r="I744" s="2" t="s">
        <v>2169</v>
      </c>
      <c r="J744" s="2" t="s">
        <v>2170</v>
      </c>
      <c r="K744" s="2" t="s">
        <v>35</v>
      </c>
      <c r="L744" s="2" t="s">
        <v>35</v>
      </c>
      <c r="M744" s="2" t="s">
        <v>35</v>
      </c>
      <c r="N744" s="2" t="s">
        <v>35</v>
      </c>
      <c r="O744" s="11">
        <v>44749.456673182867</v>
      </c>
      <c r="P744" s="11">
        <v>44749.456997337962</v>
      </c>
      <c r="Q744" s="27">
        <v>3.2415509485872462E-4</v>
      </c>
      <c r="R744" s="27">
        <v>1.156678241386544E-3</v>
      </c>
      <c r="S744" s="2">
        <v>0</v>
      </c>
      <c r="T744" s="2" t="s">
        <v>36</v>
      </c>
      <c r="U744" s="2" t="s">
        <v>37</v>
      </c>
      <c r="V744" s="2" t="s">
        <v>38</v>
      </c>
      <c r="W744" s="2" t="s">
        <v>35</v>
      </c>
      <c r="X744" s="2" t="s">
        <v>35</v>
      </c>
      <c r="Y744" s="2" t="s">
        <v>35</v>
      </c>
      <c r="Z744" s="2" t="b">
        <v>0</v>
      </c>
      <c r="AA744" s="2" t="s">
        <v>35</v>
      </c>
      <c r="AB744" s="2" t="s">
        <v>35</v>
      </c>
      <c r="AC744" s="2">
        <v>7</v>
      </c>
      <c r="AD744" s="2" t="s">
        <v>35</v>
      </c>
      <c r="AE744" s="2" t="s">
        <v>2025</v>
      </c>
      <c r="AF744" s="11">
        <v>44749.40625</v>
      </c>
      <c r="AG744" s="53"/>
      <c r="AH744" s="53" t="b">
        <f t="shared" si="16"/>
        <v>0</v>
      </c>
      <c r="AI744" s="54" t="s">
        <v>10461</v>
      </c>
      <c r="AJ744" s="2"/>
      <c r="AK744" s="2"/>
      <c r="AL744" s="2"/>
      <c r="AM744" s="2"/>
      <c r="AN744" s="2"/>
    </row>
    <row r="745" spans="1:40" ht="16" x14ac:dyDescent="0.2">
      <c r="A745" s="2" t="s">
        <v>2171</v>
      </c>
      <c r="B745" s="2">
        <v>670</v>
      </c>
      <c r="C745" s="2" t="b">
        <v>0</v>
      </c>
      <c r="D745" s="2" t="b">
        <v>0</v>
      </c>
      <c r="E745" s="2" t="b">
        <v>0</v>
      </c>
      <c r="F745" s="2" t="b">
        <v>0</v>
      </c>
      <c r="G745" s="2" t="s">
        <v>31</v>
      </c>
      <c r="H745" s="2" t="s">
        <v>2172</v>
      </c>
      <c r="I745" s="2" t="s">
        <v>2173</v>
      </c>
      <c r="J745" s="2" t="s">
        <v>2174</v>
      </c>
      <c r="K745" s="2" t="s">
        <v>35</v>
      </c>
      <c r="L745" s="2" t="s">
        <v>35</v>
      </c>
      <c r="M745" s="2" t="s">
        <v>35</v>
      </c>
      <c r="N745" s="2" t="s">
        <v>35</v>
      </c>
      <c r="O745" s="11">
        <v>44749.457491076391</v>
      </c>
      <c r="P745" s="11">
        <v>44749.457986099536</v>
      </c>
      <c r="Q745" s="27">
        <v>4.9502314504934475E-4</v>
      </c>
      <c r="R745" s="27">
        <v>9.8876157426275313E-4</v>
      </c>
      <c r="S745" s="2">
        <v>0</v>
      </c>
      <c r="T745" s="2" t="s">
        <v>36</v>
      </c>
      <c r="U745" s="2" t="s">
        <v>37</v>
      </c>
      <c r="V745" s="2" t="s">
        <v>38</v>
      </c>
      <c r="W745" s="2" t="s">
        <v>35</v>
      </c>
      <c r="X745" s="2" t="s">
        <v>35</v>
      </c>
      <c r="Y745" s="2" t="s">
        <v>35</v>
      </c>
      <c r="Z745" s="2" t="b">
        <v>0</v>
      </c>
      <c r="AA745" s="2" t="s">
        <v>35</v>
      </c>
      <c r="AB745" s="2" t="s">
        <v>35</v>
      </c>
      <c r="AC745" s="2">
        <v>4</v>
      </c>
      <c r="AD745" s="2" t="s">
        <v>35</v>
      </c>
      <c r="AE745" s="2" t="s">
        <v>2025</v>
      </c>
      <c r="AF745" s="11">
        <v>44749.40625</v>
      </c>
      <c r="AG745" s="53"/>
      <c r="AH745" s="53" t="b">
        <f t="shared" si="16"/>
        <v>0</v>
      </c>
      <c r="AI745" s="54" t="s">
        <v>10462</v>
      </c>
      <c r="AJ745" s="2"/>
      <c r="AK745" s="2"/>
      <c r="AL745" s="2"/>
      <c r="AM745" s="2"/>
      <c r="AN745" s="2"/>
    </row>
    <row r="746" spans="1:40" ht="16" x14ac:dyDescent="0.2">
      <c r="A746" s="68" t="s">
        <v>2184</v>
      </c>
      <c r="B746" s="68">
        <v>674</v>
      </c>
      <c r="C746" s="68" t="b">
        <v>0</v>
      </c>
      <c r="D746" s="68" t="b">
        <v>0</v>
      </c>
      <c r="E746" s="68" t="b">
        <v>0</v>
      </c>
      <c r="F746" s="68" t="b">
        <v>0</v>
      </c>
      <c r="G746" s="68" t="s">
        <v>31</v>
      </c>
      <c r="H746" s="68" t="s">
        <v>149</v>
      </c>
      <c r="I746" s="68" t="s">
        <v>2185</v>
      </c>
      <c r="J746" s="68" t="s">
        <v>2186</v>
      </c>
      <c r="K746" s="68" t="s">
        <v>35</v>
      </c>
      <c r="L746" s="68" t="s">
        <v>35</v>
      </c>
      <c r="M746" s="68" t="s">
        <v>35</v>
      </c>
      <c r="N746" s="68" t="s">
        <v>35</v>
      </c>
      <c r="O746" s="69">
        <v>44749.459982997687</v>
      </c>
      <c r="P746" s="69">
        <v>44749.460413171299</v>
      </c>
      <c r="Q746" s="70">
        <v>4.3017361167585477E-4</v>
      </c>
      <c r="R746" s="70">
        <v>8.1149306060979143E-4</v>
      </c>
      <c r="S746" s="68">
        <v>0</v>
      </c>
      <c r="T746" s="68" t="s">
        <v>36</v>
      </c>
      <c r="U746" s="68" t="s">
        <v>37</v>
      </c>
      <c r="V746" s="68" t="s">
        <v>38</v>
      </c>
      <c r="W746" s="68" t="s">
        <v>35</v>
      </c>
      <c r="X746" s="68" t="s">
        <v>35</v>
      </c>
      <c r="Y746" s="68" t="s">
        <v>35</v>
      </c>
      <c r="Z746" s="68" t="b">
        <v>0</v>
      </c>
      <c r="AA746" s="68" t="s">
        <v>35</v>
      </c>
      <c r="AB746" s="68" t="s">
        <v>35</v>
      </c>
      <c r="AC746" s="68">
        <v>5</v>
      </c>
      <c r="AD746" s="68" t="s">
        <v>35</v>
      </c>
      <c r="AE746" s="68" t="s">
        <v>2025</v>
      </c>
      <c r="AF746" s="69">
        <v>44749.40625</v>
      </c>
      <c r="AG746" s="71"/>
      <c r="AH746" s="53" t="b">
        <f t="shared" si="16"/>
        <v>0</v>
      </c>
      <c r="AI746" s="56" t="s">
        <v>35</v>
      </c>
      <c r="AJ746" s="68"/>
      <c r="AK746" s="68"/>
      <c r="AL746" s="68"/>
      <c r="AM746" s="68"/>
      <c r="AN746" s="68"/>
    </row>
    <row r="747" spans="1:40" ht="16" x14ac:dyDescent="0.2">
      <c r="A747" s="2" t="s">
        <v>2187</v>
      </c>
      <c r="B747" s="2">
        <v>675</v>
      </c>
      <c r="C747" s="2" t="b">
        <v>0</v>
      </c>
      <c r="D747" s="2" t="b">
        <v>0</v>
      </c>
      <c r="E747" s="2" t="b">
        <v>0</v>
      </c>
      <c r="F747" s="2" t="b">
        <v>0</v>
      </c>
      <c r="G747" s="2" t="s">
        <v>31</v>
      </c>
      <c r="H747" s="2" t="s">
        <v>2188</v>
      </c>
      <c r="I747" s="2" t="s">
        <v>2189</v>
      </c>
      <c r="J747" s="2" t="s">
        <v>35</v>
      </c>
      <c r="K747" s="2" t="s">
        <v>35</v>
      </c>
      <c r="L747" s="2" t="s">
        <v>35</v>
      </c>
      <c r="M747" s="2" t="s">
        <v>35</v>
      </c>
      <c r="N747" s="2" t="s">
        <v>35</v>
      </c>
      <c r="O747" s="11">
        <v>44749.460616435186</v>
      </c>
      <c r="P747" s="11">
        <v>44749.461063437499</v>
      </c>
      <c r="Q747" s="27">
        <v>4.4700231228489429E-4</v>
      </c>
      <c r="R747" s="27">
        <v>6.5026619995478541E-4</v>
      </c>
      <c r="S747" s="2">
        <v>0</v>
      </c>
      <c r="T747" s="2" t="s">
        <v>36</v>
      </c>
      <c r="U747" s="2" t="s">
        <v>37</v>
      </c>
      <c r="V747" s="2" t="s">
        <v>38</v>
      </c>
      <c r="W747" s="2" t="s">
        <v>35</v>
      </c>
      <c r="X747" s="2" t="s">
        <v>35</v>
      </c>
      <c r="Y747" s="2" t="s">
        <v>35</v>
      </c>
      <c r="Z747" s="2" t="b">
        <v>0</v>
      </c>
      <c r="AA747" s="2" t="s">
        <v>35</v>
      </c>
      <c r="AB747" s="2" t="s">
        <v>35</v>
      </c>
      <c r="AC747" s="2" t="s">
        <v>35</v>
      </c>
      <c r="AD747" s="2">
        <v>4</v>
      </c>
      <c r="AE747" s="2" t="s">
        <v>2025</v>
      </c>
      <c r="AF747" s="11">
        <v>44749.40625</v>
      </c>
      <c r="AG747" s="53"/>
      <c r="AH747" s="53" t="b">
        <f t="shared" si="16"/>
        <v>0</v>
      </c>
      <c r="AI747" s="54" t="s">
        <v>10463</v>
      </c>
      <c r="AJ747" s="2"/>
      <c r="AK747" s="2"/>
      <c r="AL747" s="2"/>
      <c r="AM747" s="2"/>
      <c r="AN747" s="2"/>
    </row>
    <row r="748" spans="1:40" ht="16" x14ac:dyDescent="0.2">
      <c r="A748" s="2" t="s">
        <v>2193</v>
      </c>
      <c r="B748" s="2">
        <v>677</v>
      </c>
      <c r="C748" s="2" t="b">
        <v>0</v>
      </c>
      <c r="D748" s="2" t="b">
        <v>0</v>
      </c>
      <c r="E748" s="2" t="b">
        <v>0</v>
      </c>
      <c r="F748" s="2" t="b">
        <v>0</v>
      </c>
      <c r="G748" s="2" t="s">
        <v>31</v>
      </c>
      <c r="H748" s="2" t="s">
        <v>2194</v>
      </c>
      <c r="I748" s="2" t="s">
        <v>2195</v>
      </c>
      <c r="J748" s="2" t="s">
        <v>2186</v>
      </c>
      <c r="K748" s="2" t="s">
        <v>35</v>
      </c>
      <c r="L748" s="2" t="s">
        <v>35</v>
      </c>
      <c r="M748" s="2" t="s">
        <v>35</v>
      </c>
      <c r="N748" s="2" t="s">
        <v>35</v>
      </c>
      <c r="O748" s="11">
        <v>44749.461686261573</v>
      </c>
      <c r="P748" s="11">
        <v>44749.462343692132</v>
      </c>
      <c r="Q748" s="27">
        <v>6.5743055893108249E-4</v>
      </c>
      <c r="R748" s="27">
        <v>7.2657407872611657E-4</v>
      </c>
      <c r="S748" s="2">
        <v>0</v>
      </c>
      <c r="T748" s="2" t="s">
        <v>36</v>
      </c>
      <c r="U748" s="2" t="s">
        <v>37</v>
      </c>
      <c r="V748" s="2" t="s">
        <v>38</v>
      </c>
      <c r="W748" s="2" t="s">
        <v>35</v>
      </c>
      <c r="X748" s="2" t="s">
        <v>35</v>
      </c>
      <c r="Y748" s="2" t="s">
        <v>35</v>
      </c>
      <c r="Z748" s="2" t="b">
        <v>0</v>
      </c>
      <c r="AA748" s="2" t="s">
        <v>35</v>
      </c>
      <c r="AB748" s="2" t="s">
        <v>35</v>
      </c>
      <c r="AC748" s="2">
        <v>7</v>
      </c>
      <c r="AD748" s="2" t="s">
        <v>35</v>
      </c>
      <c r="AE748" s="2" t="s">
        <v>2025</v>
      </c>
      <c r="AF748" s="11">
        <v>44749.40625</v>
      </c>
      <c r="AG748" s="53"/>
      <c r="AH748" s="53" t="b">
        <f t="shared" si="16"/>
        <v>0</v>
      </c>
      <c r="AI748" s="54" t="s">
        <v>10464</v>
      </c>
      <c r="AJ748" s="2"/>
      <c r="AK748" s="2"/>
      <c r="AL748" s="2"/>
      <c r="AM748" s="2"/>
      <c r="AN748" s="2"/>
    </row>
    <row r="749" spans="1:40" ht="16" x14ac:dyDescent="0.2">
      <c r="A749" s="2" t="s">
        <v>2198</v>
      </c>
      <c r="B749" s="2">
        <v>679</v>
      </c>
      <c r="C749" s="2" t="b">
        <v>0</v>
      </c>
      <c r="D749" s="2" t="b">
        <v>0</v>
      </c>
      <c r="E749" s="2" t="b">
        <v>0</v>
      </c>
      <c r="F749" s="2" t="b">
        <v>0</v>
      </c>
      <c r="G749" s="2" t="s">
        <v>31</v>
      </c>
      <c r="H749" s="2" t="s">
        <v>2199</v>
      </c>
      <c r="I749" s="2" t="s">
        <v>2200</v>
      </c>
      <c r="J749" s="2" t="s">
        <v>2048</v>
      </c>
      <c r="K749" s="2" t="s">
        <v>35</v>
      </c>
      <c r="L749" s="2" t="s">
        <v>35</v>
      </c>
      <c r="M749" s="2" t="s">
        <v>35</v>
      </c>
      <c r="N749" s="2" t="s">
        <v>35</v>
      </c>
      <c r="O749" s="11">
        <v>44749.463344768519</v>
      </c>
      <c r="P749" s="11">
        <v>44749.463944641204</v>
      </c>
      <c r="Q749" s="27">
        <v>5.9987268468830734E-4</v>
      </c>
      <c r="R749" s="27">
        <v>5.9901620261371136E-4</v>
      </c>
      <c r="S749" s="2">
        <v>0</v>
      </c>
      <c r="T749" s="2" t="s">
        <v>36</v>
      </c>
      <c r="U749" s="2" t="s">
        <v>37</v>
      </c>
      <c r="V749" s="2" t="s">
        <v>38</v>
      </c>
      <c r="W749" s="2" t="s">
        <v>35</v>
      </c>
      <c r="X749" s="2" t="s">
        <v>35</v>
      </c>
      <c r="Y749" s="2" t="s">
        <v>35</v>
      </c>
      <c r="Z749" s="2" t="b">
        <v>0</v>
      </c>
      <c r="AA749" s="2" t="s">
        <v>35</v>
      </c>
      <c r="AB749" s="2" t="s">
        <v>35</v>
      </c>
      <c r="AC749" s="2">
        <v>5</v>
      </c>
      <c r="AD749" s="2" t="s">
        <v>35</v>
      </c>
      <c r="AE749" s="2" t="s">
        <v>2025</v>
      </c>
      <c r="AF749" s="11">
        <v>44749.40625</v>
      </c>
      <c r="AG749" s="53"/>
      <c r="AH749" s="53" t="b">
        <f t="shared" si="16"/>
        <v>0</v>
      </c>
      <c r="AI749" s="54" t="s">
        <v>10465</v>
      </c>
      <c r="AJ749" s="2"/>
      <c r="AK749" s="2"/>
      <c r="AL749" s="2"/>
      <c r="AM749" s="2"/>
      <c r="AN749" s="2"/>
    </row>
    <row r="750" spans="1:40" ht="16" x14ac:dyDescent="0.2">
      <c r="A750" s="2" t="s">
        <v>2201</v>
      </c>
      <c r="B750" s="2">
        <v>680</v>
      </c>
      <c r="C750" s="2" t="b">
        <v>0</v>
      </c>
      <c r="D750" s="2" t="b">
        <v>0</v>
      </c>
      <c r="E750" s="2" t="b">
        <v>0</v>
      </c>
      <c r="F750" s="2" t="b">
        <v>0</v>
      </c>
      <c r="G750" s="2" t="s">
        <v>31</v>
      </c>
      <c r="H750" s="2" t="s">
        <v>2202</v>
      </c>
      <c r="I750" s="2" t="s">
        <v>2203</v>
      </c>
      <c r="J750" s="2" t="s">
        <v>2150</v>
      </c>
      <c r="K750" s="2" t="s">
        <v>35</v>
      </c>
      <c r="L750" s="2" t="s">
        <v>35</v>
      </c>
      <c r="M750" s="2" t="s">
        <v>35</v>
      </c>
      <c r="N750" s="2" t="s">
        <v>35</v>
      </c>
      <c r="O750" s="11">
        <v>44749.464160034724</v>
      </c>
      <c r="P750" s="11">
        <v>44749.464430624997</v>
      </c>
      <c r="Q750" s="27">
        <v>2.7059027343057096E-4</v>
      </c>
      <c r="R750" s="27">
        <v>4.8598379362374544E-4</v>
      </c>
      <c r="S750" s="2">
        <v>0</v>
      </c>
      <c r="T750" s="2" t="s">
        <v>36</v>
      </c>
      <c r="U750" s="2" t="s">
        <v>37</v>
      </c>
      <c r="V750" s="2" t="s">
        <v>38</v>
      </c>
      <c r="W750" s="2" t="s">
        <v>35</v>
      </c>
      <c r="X750" s="2" t="s">
        <v>35</v>
      </c>
      <c r="Y750" s="2" t="s">
        <v>35</v>
      </c>
      <c r="Z750" s="2" t="b">
        <v>0</v>
      </c>
      <c r="AA750" s="2" t="s">
        <v>35</v>
      </c>
      <c r="AB750" s="2" t="s">
        <v>35</v>
      </c>
      <c r="AC750" s="2">
        <v>8</v>
      </c>
      <c r="AD750" s="2" t="s">
        <v>35</v>
      </c>
      <c r="AE750" s="2" t="s">
        <v>2025</v>
      </c>
      <c r="AF750" s="11">
        <v>44749.40625</v>
      </c>
      <c r="AG750" s="53"/>
      <c r="AH750" s="53" t="b">
        <f t="shared" si="16"/>
        <v>0</v>
      </c>
      <c r="AI750" s="54" t="s">
        <v>10466</v>
      </c>
      <c r="AJ750" s="2"/>
      <c r="AK750" s="2"/>
      <c r="AL750" s="2"/>
      <c r="AM750" s="2"/>
      <c r="AN750" s="2"/>
    </row>
    <row r="751" spans="1:40" ht="16" x14ac:dyDescent="0.2">
      <c r="A751" s="2" t="s">
        <v>2204</v>
      </c>
      <c r="B751" s="2">
        <v>681</v>
      </c>
      <c r="C751" s="2" t="b">
        <v>0</v>
      </c>
      <c r="D751" s="2" t="b">
        <v>0</v>
      </c>
      <c r="E751" s="2" t="b">
        <v>0</v>
      </c>
      <c r="F751" s="2" t="b">
        <v>0</v>
      </c>
      <c r="G751" s="2" t="s">
        <v>31</v>
      </c>
      <c r="H751" s="2" t="s">
        <v>2205</v>
      </c>
      <c r="I751" s="2" t="s">
        <v>2206</v>
      </c>
      <c r="J751" s="2" t="s">
        <v>2207</v>
      </c>
      <c r="K751" s="2" t="s">
        <v>35</v>
      </c>
      <c r="L751" s="2" t="s">
        <v>35</v>
      </c>
      <c r="M751" s="2" t="s">
        <v>35</v>
      </c>
      <c r="N751" s="2" t="s">
        <v>35</v>
      </c>
      <c r="O751" s="11">
        <v>44749.465451655095</v>
      </c>
      <c r="P751" s="11">
        <v>44749.465807037035</v>
      </c>
      <c r="Q751" s="27">
        <v>3.5538194060791284E-4</v>
      </c>
      <c r="R751" s="27">
        <v>1.376412037643604E-3</v>
      </c>
      <c r="S751" s="2">
        <v>0</v>
      </c>
      <c r="T751" s="2" t="s">
        <v>36</v>
      </c>
      <c r="U751" s="2" t="s">
        <v>37</v>
      </c>
      <c r="V751" s="2" t="s">
        <v>38</v>
      </c>
      <c r="W751" s="2" t="s">
        <v>35</v>
      </c>
      <c r="X751" s="2" t="s">
        <v>35</v>
      </c>
      <c r="Y751" s="2" t="s">
        <v>35</v>
      </c>
      <c r="Z751" s="2" t="b">
        <v>0</v>
      </c>
      <c r="AA751" s="2" t="s">
        <v>35</v>
      </c>
      <c r="AB751" s="2" t="s">
        <v>35</v>
      </c>
      <c r="AC751" s="2">
        <v>4</v>
      </c>
      <c r="AD751" s="2" t="s">
        <v>35</v>
      </c>
      <c r="AE751" s="2" t="s">
        <v>2025</v>
      </c>
      <c r="AF751" s="11">
        <v>44749.40625</v>
      </c>
      <c r="AG751" s="53"/>
      <c r="AH751" s="53" t="b">
        <f t="shared" si="16"/>
        <v>0</v>
      </c>
      <c r="AI751" s="54" t="s">
        <v>10467</v>
      </c>
      <c r="AJ751" s="2"/>
      <c r="AK751" s="2"/>
      <c r="AL751" s="2"/>
      <c r="AM751" s="2"/>
      <c r="AN751" s="2"/>
    </row>
    <row r="752" spans="1:40" ht="16" x14ac:dyDescent="0.2">
      <c r="A752" s="2" t="s">
        <v>2211</v>
      </c>
      <c r="B752" s="2">
        <v>683</v>
      </c>
      <c r="C752" s="2" t="b">
        <v>0</v>
      </c>
      <c r="D752" s="2" t="b">
        <v>0</v>
      </c>
      <c r="E752" s="2" t="b">
        <v>0</v>
      </c>
      <c r="F752" s="2" t="b">
        <v>0</v>
      </c>
      <c r="G752" s="2" t="s">
        <v>31</v>
      </c>
      <c r="H752" s="2" t="s">
        <v>2212</v>
      </c>
      <c r="I752" s="2" t="s">
        <v>2213</v>
      </c>
      <c r="J752" s="2" t="s">
        <v>2214</v>
      </c>
      <c r="K752" s="2" t="s">
        <v>35</v>
      </c>
      <c r="L752" s="2" t="s">
        <v>35</v>
      </c>
      <c r="M752" s="2" t="s">
        <v>35</v>
      </c>
      <c r="N752" s="2" t="s">
        <v>35</v>
      </c>
      <c r="O752" s="11">
        <v>44749.466428981483</v>
      </c>
      <c r="P752" s="11">
        <v>44749.46670971065</v>
      </c>
      <c r="Q752" s="27">
        <v>2.8072916757082567E-4</v>
      </c>
      <c r="R752" s="27">
        <v>4.1386574594071135E-4</v>
      </c>
      <c r="S752" s="2">
        <v>0</v>
      </c>
      <c r="T752" s="2" t="s">
        <v>36</v>
      </c>
      <c r="U752" s="2" t="s">
        <v>37</v>
      </c>
      <c r="V752" s="2" t="s">
        <v>38</v>
      </c>
      <c r="W752" s="2" t="s">
        <v>35</v>
      </c>
      <c r="X752" s="2" t="s">
        <v>35</v>
      </c>
      <c r="Y752" s="2" t="s">
        <v>35</v>
      </c>
      <c r="Z752" s="2" t="b">
        <v>0</v>
      </c>
      <c r="AA752" s="2" t="s">
        <v>35</v>
      </c>
      <c r="AB752" s="2" t="s">
        <v>35</v>
      </c>
      <c r="AC752" s="2">
        <v>5</v>
      </c>
      <c r="AD752" s="2" t="s">
        <v>35</v>
      </c>
      <c r="AE752" s="2" t="s">
        <v>2025</v>
      </c>
      <c r="AF752" s="11">
        <v>44749.40625</v>
      </c>
      <c r="AG752" s="53"/>
      <c r="AH752" s="53" t="b">
        <f t="shared" si="16"/>
        <v>0</v>
      </c>
      <c r="AI752" s="54" t="s">
        <v>10468</v>
      </c>
      <c r="AJ752" s="2"/>
      <c r="AK752" s="2"/>
      <c r="AL752" s="2"/>
      <c r="AM752" s="2"/>
      <c r="AN752" s="2"/>
    </row>
    <row r="753" spans="1:40" ht="16" x14ac:dyDescent="0.2">
      <c r="A753" s="2" t="s">
        <v>2215</v>
      </c>
      <c r="B753" s="2">
        <v>684</v>
      </c>
      <c r="C753" s="2" t="b">
        <v>0</v>
      </c>
      <c r="D753" s="2" t="b">
        <v>0</v>
      </c>
      <c r="E753" s="2" t="b">
        <v>0</v>
      </c>
      <c r="F753" s="2" t="b">
        <v>0</v>
      </c>
      <c r="G753" s="2" t="s">
        <v>31</v>
      </c>
      <c r="H753" s="2" t="s">
        <v>2216</v>
      </c>
      <c r="I753" s="2" t="s">
        <v>2217</v>
      </c>
      <c r="J753" s="2" t="s">
        <v>2214</v>
      </c>
      <c r="K753" s="2" t="s">
        <v>35</v>
      </c>
      <c r="L753" s="2" t="s">
        <v>35</v>
      </c>
      <c r="M753" s="2" t="s">
        <v>35</v>
      </c>
      <c r="N753" s="2" t="s">
        <v>35</v>
      </c>
      <c r="O753" s="11">
        <v>44749.467285810184</v>
      </c>
      <c r="P753" s="11">
        <v>44749.467579456017</v>
      </c>
      <c r="Q753" s="27">
        <v>2.9364583315327764E-4</v>
      </c>
      <c r="R753" s="27">
        <v>8.6974536679917946E-4</v>
      </c>
      <c r="S753" s="2">
        <v>0</v>
      </c>
      <c r="T753" s="2" t="s">
        <v>36</v>
      </c>
      <c r="U753" s="2" t="s">
        <v>37</v>
      </c>
      <c r="V753" s="2" t="s">
        <v>38</v>
      </c>
      <c r="W753" s="2" t="s">
        <v>35</v>
      </c>
      <c r="X753" s="2" t="s">
        <v>35</v>
      </c>
      <c r="Y753" s="2" t="s">
        <v>35</v>
      </c>
      <c r="Z753" s="2" t="b">
        <v>0</v>
      </c>
      <c r="AA753" s="2" t="s">
        <v>35</v>
      </c>
      <c r="AB753" s="2" t="s">
        <v>35</v>
      </c>
      <c r="AC753" s="2">
        <v>13</v>
      </c>
      <c r="AD753" s="2" t="s">
        <v>35</v>
      </c>
      <c r="AE753" s="2" t="s">
        <v>2025</v>
      </c>
      <c r="AF753" s="11">
        <v>44749.40625</v>
      </c>
      <c r="AG753" s="53"/>
      <c r="AH753" s="53" t="b">
        <f t="shared" si="16"/>
        <v>0</v>
      </c>
      <c r="AI753" s="54" t="s">
        <v>10469</v>
      </c>
      <c r="AJ753" s="2"/>
      <c r="AK753" s="2"/>
      <c r="AL753" s="2"/>
      <c r="AM753" s="2"/>
      <c r="AN753" s="2"/>
    </row>
    <row r="754" spans="1:40" ht="16" x14ac:dyDescent="0.2">
      <c r="A754" s="2" t="s">
        <v>2224</v>
      </c>
      <c r="B754" s="2">
        <v>687</v>
      </c>
      <c r="C754" s="2" t="b">
        <v>0</v>
      </c>
      <c r="D754" s="2" t="b">
        <v>0</v>
      </c>
      <c r="E754" s="2" t="b">
        <v>0</v>
      </c>
      <c r="F754" s="2" t="b">
        <v>0</v>
      </c>
      <c r="G754" s="2" t="s">
        <v>31</v>
      </c>
      <c r="H754" s="2" t="s">
        <v>2225</v>
      </c>
      <c r="I754" s="2" t="s">
        <v>2226</v>
      </c>
      <c r="J754" s="2" t="s">
        <v>2214</v>
      </c>
      <c r="K754" s="2" t="s">
        <v>35</v>
      </c>
      <c r="L754" s="2" t="s">
        <v>35</v>
      </c>
      <c r="M754" s="2" t="s">
        <v>35</v>
      </c>
      <c r="N754" s="2" t="s">
        <v>35</v>
      </c>
      <c r="O754" s="11">
        <v>44749.469154305552</v>
      </c>
      <c r="P754" s="11">
        <v>44749.469408460645</v>
      </c>
      <c r="Q754" s="27">
        <v>2.5415509298909456E-4</v>
      </c>
      <c r="R754" s="27">
        <v>4.3261573591735214E-4</v>
      </c>
      <c r="S754" s="2">
        <v>0</v>
      </c>
      <c r="T754" s="2" t="s">
        <v>36</v>
      </c>
      <c r="U754" s="2" t="s">
        <v>37</v>
      </c>
      <c r="V754" s="2" t="s">
        <v>38</v>
      </c>
      <c r="W754" s="2" t="s">
        <v>35</v>
      </c>
      <c r="X754" s="2" t="s">
        <v>35</v>
      </c>
      <c r="Y754" s="2" t="s">
        <v>35</v>
      </c>
      <c r="Z754" s="2" t="b">
        <v>0</v>
      </c>
      <c r="AA754" s="2" t="s">
        <v>35</v>
      </c>
      <c r="AB754" s="2" t="s">
        <v>35</v>
      </c>
      <c r="AC754" s="2">
        <v>4</v>
      </c>
      <c r="AD754" s="2">
        <v>3</v>
      </c>
      <c r="AE754" s="2" t="s">
        <v>2025</v>
      </c>
      <c r="AF754" s="11">
        <v>44749.40625</v>
      </c>
      <c r="AG754" s="53"/>
      <c r="AH754" s="53" t="b">
        <f t="shared" si="16"/>
        <v>0</v>
      </c>
      <c r="AI754" s="54" t="s">
        <v>9525</v>
      </c>
      <c r="AJ754" s="2"/>
      <c r="AK754" s="2"/>
      <c r="AL754" s="2"/>
      <c r="AM754" s="2"/>
      <c r="AN754" s="2"/>
    </row>
    <row r="755" spans="1:40" ht="16" x14ac:dyDescent="0.2">
      <c r="A755" s="2" t="s">
        <v>2230</v>
      </c>
      <c r="B755" s="2">
        <v>689</v>
      </c>
      <c r="C755" s="2" t="b">
        <v>0</v>
      </c>
      <c r="D755" s="2" t="b">
        <v>0</v>
      </c>
      <c r="E755" s="2" t="b">
        <v>0</v>
      </c>
      <c r="F755" s="2" t="b">
        <v>0</v>
      </c>
      <c r="G755" s="2" t="s">
        <v>31</v>
      </c>
      <c r="H755" s="2" t="s">
        <v>2231</v>
      </c>
      <c r="I755" s="2" t="s">
        <v>2232</v>
      </c>
      <c r="J755" s="2" t="s">
        <v>2233</v>
      </c>
      <c r="K755" s="2" t="s">
        <v>35</v>
      </c>
      <c r="L755" s="2" t="s">
        <v>35</v>
      </c>
      <c r="M755" s="2" t="s">
        <v>35</v>
      </c>
      <c r="N755" s="2" t="s">
        <v>35</v>
      </c>
      <c r="O755" s="11">
        <v>44749.472674675926</v>
      </c>
      <c r="P755" s="11">
        <v>44749.473871527778</v>
      </c>
      <c r="Q755" s="27">
        <v>1.196851852000691E-3</v>
      </c>
      <c r="R755" s="27">
        <v>1.5285879635484889E-3</v>
      </c>
      <c r="S755" s="2">
        <v>0</v>
      </c>
      <c r="T755" s="2" t="s">
        <v>36</v>
      </c>
      <c r="U755" s="2" t="s">
        <v>37</v>
      </c>
      <c r="V755" s="2" t="s">
        <v>38</v>
      </c>
      <c r="W755" s="2" t="s">
        <v>35</v>
      </c>
      <c r="X755" s="2" t="s">
        <v>35</v>
      </c>
      <c r="Y755" s="2" t="s">
        <v>35</v>
      </c>
      <c r="Z755" s="2" t="b">
        <v>0</v>
      </c>
      <c r="AA755" s="2" t="s">
        <v>35</v>
      </c>
      <c r="AB755" s="2" t="s">
        <v>35</v>
      </c>
      <c r="AC755" s="2">
        <v>4</v>
      </c>
      <c r="AD755" s="2">
        <v>2</v>
      </c>
      <c r="AE755" s="2" t="s">
        <v>2025</v>
      </c>
      <c r="AF755" s="11">
        <v>44749.40625</v>
      </c>
      <c r="AG755" s="53"/>
      <c r="AH755" s="53" t="str">
        <f t="shared" si="16"/>
        <v>TRUE</v>
      </c>
      <c r="AI755" s="54" t="s">
        <v>10470</v>
      </c>
      <c r="AJ755" s="2"/>
      <c r="AK755" s="2"/>
      <c r="AL755" s="2"/>
      <c r="AM755" s="2"/>
      <c r="AN755" s="2"/>
    </row>
    <row r="756" spans="1:40" ht="16" x14ac:dyDescent="0.2">
      <c r="A756" s="2" t="s">
        <v>2243</v>
      </c>
      <c r="B756" s="2">
        <v>693</v>
      </c>
      <c r="C756" s="2" t="b">
        <v>0</v>
      </c>
      <c r="D756" s="2" t="b">
        <v>0</v>
      </c>
      <c r="E756" s="2" t="b">
        <v>0</v>
      </c>
      <c r="F756" s="2" t="b">
        <v>0</v>
      </c>
      <c r="G756" s="2" t="s">
        <v>31</v>
      </c>
      <c r="H756" s="2" t="s">
        <v>2244</v>
      </c>
      <c r="I756" s="2" t="s">
        <v>2245</v>
      </c>
      <c r="J756" s="2" t="s">
        <v>2246</v>
      </c>
      <c r="K756" s="2" t="s">
        <v>35</v>
      </c>
      <c r="L756" s="2" t="s">
        <v>35</v>
      </c>
      <c r="M756" s="2" t="s">
        <v>35</v>
      </c>
      <c r="N756" s="2" t="s">
        <v>35</v>
      </c>
      <c r="O756" s="11">
        <v>44749.47556579861</v>
      </c>
      <c r="P756" s="11">
        <v>44749.476238530093</v>
      </c>
      <c r="Q756" s="27">
        <v>6.7273148306412622E-4</v>
      </c>
      <c r="R756" s="27">
        <v>7.5759259198093787E-4</v>
      </c>
      <c r="S756" s="2">
        <v>0</v>
      </c>
      <c r="T756" s="2" t="s">
        <v>36</v>
      </c>
      <c r="U756" s="2" t="s">
        <v>37</v>
      </c>
      <c r="V756" s="2" t="s">
        <v>38</v>
      </c>
      <c r="W756" s="2" t="s">
        <v>35</v>
      </c>
      <c r="X756" s="2" t="s">
        <v>35</v>
      </c>
      <c r="Y756" s="2" t="s">
        <v>35</v>
      </c>
      <c r="Z756" s="2" t="b">
        <v>0</v>
      </c>
      <c r="AA756" s="2" t="s">
        <v>35</v>
      </c>
      <c r="AB756" s="2" t="s">
        <v>35</v>
      </c>
      <c r="AC756" s="2">
        <v>6</v>
      </c>
      <c r="AD756" s="2" t="s">
        <v>35</v>
      </c>
      <c r="AE756" s="2" t="s">
        <v>2025</v>
      </c>
      <c r="AF756" s="11">
        <v>44749.40625</v>
      </c>
      <c r="AG756" s="53"/>
      <c r="AH756" s="53" t="b">
        <f t="shared" si="16"/>
        <v>0</v>
      </c>
      <c r="AI756" s="54" t="s">
        <v>10471</v>
      </c>
      <c r="AJ756" s="2"/>
      <c r="AK756" s="2"/>
      <c r="AL756" s="2"/>
      <c r="AM756" s="2"/>
      <c r="AN756" s="2"/>
    </row>
    <row r="757" spans="1:40" ht="16" x14ac:dyDescent="0.2">
      <c r="A757" s="2" t="s">
        <v>2261</v>
      </c>
      <c r="B757" s="2">
        <v>698</v>
      </c>
      <c r="C757" s="2" t="b">
        <v>0</v>
      </c>
      <c r="D757" s="2" t="b">
        <v>0</v>
      </c>
      <c r="E757" s="2" t="b">
        <v>0</v>
      </c>
      <c r="F757" s="2" t="b">
        <v>0</v>
      </c>
      <c r="G757" s="2" t="s">
        <v>31</v>
      </c>
      <c r="H757" s="2" t="s">
        <v>2262</v>
      </c>
      <c r="I757" s="2" t="s">
        <v>2263</v>
      </c>
      <c r="J757" s="2" t="s">
        <v>2150</v>
      </c>
      <c r="K757" s="2" t="s">
        <v>35</v>
      </c>
      <c r="L757" s="2" t="s">
        <v>35</v>
      </c>
      <c r="M757" s="2" t="s">
        <v>35</v>
      </c>
      <c r="N757" s="2" t="s">
        <v>35</v>
      </c>
      <c r="O757" s="11">
        <v>44749.48054423611</v>
      </c>
      <c r="P757" s="11">
        <v>44749.480783703701</v>
      </c>
      <c r="Q757" s="27">
        <v>2.394675902905874E-4</v>
      </c>
      <c r="R757" s="27">
        <v>3.4535879240138456E-4</v>
      </c>
      <c r="S757" s="2">
        <v>0</v>
      </c>
      <c r="T757" s="2" t="s">
        <v>36</v>
      </c>
      <c r="U757" s="2" t="s">
        <v>37</v>
      </c>
      <c r="V757" s="2" t="s">
        <v>38</v>
      </c>
      <c r="W757" s="2" t="s">
        <v>35</v>
      </c>
      <c r="X757" s="2" t="s">
        <v>35</v>
      </c>
      <c r="Y757" s="2" t="s">
        <v>35</v>
      </c>
      <c r="Z757" s="2" t="b">
        <v>0</v>
      </c>
      <c r="AA757" s="2" t="s">
        <v>35</v>
      </c>
      <c r="AB757" s="2" t="s">
        <v>35</v>
      </c>
      <c r="AC757" s="2">
        <v>5</v>
      </c>
      <c r="AD757" s="2" t="s">
        <v>35</v>
      </c>
      <c r="AE757" s="2" t="s">
        <v>2025</v>
      </c>
      <c r="AF757" s="11">
        <v>44749.40625</v>
      </c>
      <c r="AG757" s="53"/>
      <c r="AH757" s="53" t="b">
        <f t="shared" si="16"/>
        <v>0</v>
      </c>
      <c r="AI757" s="54" t="s">
        <v>10472</v>
      </c>
      <c r="AJ757" s="2"/>
      <c r="AK757" s="2"/>
      <c r="AL757" s="2"/>
      <c r="AM757" s="2"/>
      <c r="AN757" s="2"/>
    </row>
    <row r="758" spans="1:40" ht="16" x14ac:dyDescent="0.2">
      <c r="A758" s="2" t="s">
        <v>2268</v>
      </c>
      <c r="B758" s="2">
        <v>700</v>
      </c>
      <c r="C758" s="2" t="b">
        <v>0</v>
      </c>
      <c r="D758" s="2" t="b">
        <v>0</v>
      </c>
      <c r="E758" s="2" t="b">
        <v>0</v>
      </c>
      <c r="F758" s="2" t="b">
        <v>0</v>
      </c>
      <c r="G758" s="2" t="s">
        <v>31</v>
      </c>
      <c r="H758" s="2" t="s">
        <v>2269</v>
      </c>
      <c r="I758" s="2" t="s">
        <v>2270</v>
      </c>
      <c r="J758" s="2" t="s">
        <v>35</v>
      </c>
      <c r="K758" s="2" t="s">
        <v>35</v>
      </c>
      <c r="L758" s="2" t="s">
        <v>35</v>
      </c>
      <c r="M758" s="2" t="s">
        <v>35</v>
      </c>
      <c r="N758" s="2" t="s">
        <v>35</v>
      </c>
      <c r="O758" s="11">
        <v>44749.481553773148</v>
      </c>
      <c r="P758" s="11">
        <v>44749.481661863429</v>
      </c>
      <c r="Q758" s="27">
        <v>1.0809028026415035E-4</v>
      </c>
      <c r="R758" s="27">
        <v>4.0591435390524566E-4</v>
      </c>
      <c r="S758" s="2">
        <v>0</v>
      </c>
      <c r="T758" s="2" t="s">
        <v>36</v>
      </c>
      <c r="U758" s="2" t="s">
        <v>37</v>
      </c>
      <c r="V758" s="2" t="s">
        <v>38</v>
      </c>
      <c r="W758" s="2" t="s">
        <v>35</v>
      </c>
      <c r="X758" s="2" t="s">
        <v>35</v>
      </c>
      <c r="Y758" s="2" t="s">
        <v>35</v>
      </c>
      <c r="Z758" s="2" t="b">
        <v>0</v>
      </c>
      <c r="AA758" s="2" t="s">
        <v>35</v>
      </c>
      <c r="AB758" s="2" t="s">
        <v>35</v>
      </c>
      <c r="AC758" s="2" t="s">
        <v>35</v>
      </c>
      <c r="AD758" s="2">
        <v>2</v>
      </c>
      <c r="AE758" s="2" t="s">
        <v>2025</v>
      </c>
      <c r="AF758" s="11">
        <v>44749.40625</v>
      </c>
      <c r="AG758" s="53"/>
      <c r="AH758" s="53" t="b">
        <f t="shared" si="16"/>
        <v>0</v>
      </c>
      <c r="AI758" s="54" t="s">
        <v>10473</v>
      </c>
      <c r="AJ758" s="2"/>
      <c r="AK758" s="2"/>
      <c r="AL758" s="2"/>
      <c r="AM758" s="2"/>
      <c r="AN758" s="2"/>
    </row>
    <row r="759" spans="1:40" ht="16" x14ac:dyDescent="0.2">
      <c r="A759" s="2" t="s">
        <v>2271</v>
      </c>
      <c r="B759" s="2">
        <v>701</v>
      </c>
      <c r="C759" s="2" t="b">
        <v>0</v>
      </c>
      <c r="D759" s="2" t="b">
        <v>0</v>
      </c>
      <c r="E759" s="2" t="b">
        <v>0</v>
      </c>
      <c r="F759" s="2" t="b">
        <v>0</v>
      </c>
      <c r="G759" s="2" t="s">
        <v>31</v>
      </c>
      <c r="H759" s="2" t="s">
        <v>2272</v>
      </c>
      <c r="I759" s="2" t="s">
        <v>2273</v>
      </c>
      <c r="J759" s="2" t="s">
        <v>2274</v>
      </c>
      <c r="K759" s="2" t="s">
        <v>35</v>
      </c>
      <c r="L759" s="2" t="s">
        <v>35</v>
      </c>
      <c r="M759" s="2" t="s">
        <v>35</v>
      </c>
      <c r="N759" s="2" t="s">
        <v>35</v>
      </c>
      <c r="O759" s="11">
        <v>44749.481837453706</v>
      </c>
      <c r="P759" s="11">
        <v>44749.482354826388</v>
      </c>
      <c r="Q759" s="27">
        <v>5.1737268222495914E-4</v>
      </c>
      <c r="R759" s="27">
        <v>6.9296295987442136E-4</v>
      </c>
      <c r="S759" s="2">
        <v>0</v>
      </c>
      <c r="T759" s="2" t="s">
        <v>36</v>
      </c>
      <c r="U759" s="2" t="s">
        <v>37</v>
      </c>
      <c r="V759" s="2" t="s">
        <v>38</v>
      </c>
      <c r="W759" s="2" t="s">
        <v>35</v>
      </c>
      <c r="X759" s="2" t="s">
        <v>35</v>
      </c>
      <c r="Y759" s="2" t="s">
        <v>35</v>
      </c>
      <c r="Z759" s="2" t="b">
        <v>0</v>
      </c>
      <c r="AA759" s="2" t="s">
        <v>35</v>
      </c>
      <c r="AB759" s="2" t="s">
        <v>35</v>
      </c>
      <c r="AC759" s="2">
        <v>9</v>
      </c>
      <c r="AD759" s="2" t="s">
        <v>35</v>
      </c>
      <c r="AE759" s="2" t="s">
        <v>2025</v>
      </c>
      <c r="AF759" s="11">
        <v>44749.40625</v>
      </c>
      <c r="AG759" s="53"/>
      <c r="AH759" s="53" t="b">
        <f t="shared" si="16"/>
        <v>0</v>
      </c>
      <c r="AI759" s="54" t="s">
        <v>10474</v>
      </c>
      <c r="AJ759" s="2"/>
      <c r="AK759" s="2"/>
      <c r="AL759" s="2"/>
      <c r="AM759" s="2"/>
      <c r="AN759" s="2"/>
    </row>
    <row r="760" spans="1:40" ht="16" x14ac:dyDescent="0.2">
      <c r="A760" s="2" t="s">
        <v>2281</v>
      </c>
      <c r="B760" s="2">
        <v>704</v>
      </c>
      <c r="C760" s="2" t="b">
        <v>0</v>
      </c>
      <c r="D760" s="2" t="b">
        <v>0</v>
      </c>
      <c r="E760" s="2" t="b">
        <v>0</v>
      </c>
      <c r="F760" s="2" t="b">
        <v>0</v>
      </c>
      <c r="G760" s="2" t="s">
        <v>31</v>
      </c>
      <c r="H760" s="2" t="s">
        <v>2282</v>
      </c>
      <c r="I760" s="2" t="s">
        <v>2283</v>
      </c>
      <c r="J760" s="2" t="s">
        <v>35</v>
      </c>
      <c r="K760" s="2" t="s">
        <v>35</v>
      </c>
      <c r="L760" s="2" t="s">
        <v>35</v>
      </c>
      <c r="M760" s="2" t="s">
        <v>35</v>
      </c>
      <c r="N760" s="2" t="s">
        <v>35</v>
      </c>
      <c r="O760" s="11">
        <v>44749.484466099537</v>
      </c>
      <c r="P760" s="11">
        <v>44749.484648217593</v>
      </c>
      <c r="Q760" s="27">
        <v>1.8211805581813678E-4</v>
      </c>
      <c r="R760" s="27">
        <v>3.0766203417442739E-4</v>
      </c>
      <c r="S760" s="2">
        <v>0</v>
      </c>
      <c r="T760" s="2" t="s">
        <v>36</v>
      </c>
      <c r="U760" s="2" t="s">
        <v>37</v>
      </c>
      <c r="V760" s="2" t="s">
        <v>38</v>
      </c>
      <c r="W760" s="2" t="s">
        <v>35</v>
      </c>
      <c r="X760" s="2" t="s">
        <v>35</v>
      </c>
      <c r="Y760" s="2" t="s">
        <v>35</v>
      </c>
      <c r="Z760" s="2" t="b">
        <v>0</v>
      </c>
      <c r="AA760" s="2" t="s">
        <v>2284</v>
      </c>
      <c r="AB760" s="2" t="s">
        <v>35</v>
      </c>
      <c r="AC760" s="2" t="s">
        <v>35</v>
      </c>
      <c r="AD760" s="2" t="s">
        <v>35</v>
      </c>
      <c r="AE760" s="2" t="s">
        <v>2025</v>
      </c>
      <c r="AF760" s="11">
        <v>44749.40625</v>
      </c>
      <c r="AG760" s="53"/>
      <c r="AH760" s="53" t="b">
        <f t="shared" si="16"/>
        <v>0</v>
      </c>
      <c r="AI760" s="54" t="s">
        <v>10475</v>
      </c>
      <c r="AJ760" s="2"/>
      <c r="AK760" s="2"/>
      <c r="AL760" s="2"/>
      <c r="AM760" s="2"/>
      <c r="AN760" s="2"/>
    </row>
    <row r="761" spans="1:40" ht="16" x14ac:dyDescent="0.2">
      <c r="A761" s="2" t="s">
        <v>2285</v>
      </c>
      <c r="B761" s="2">
        <v>705</v>
      </c>
      <c r="C761" s="2" t="b">
        <v>0</v>
      </c>
      <c r="D761" s="2" t="b">
        <v>0</v>
      </c>
      <c r="E761" s="2" t="b">
        <v>0</v>
      </c>
      <c r="F761" s="2" t="b">
        <v>0</v>
      </c>
      <c r="G761" s="2" t="s">
        <v>31</v>
      </c>
      <c r="H761" s="2" t="s">
        <v>2286</v>
      </c>
      <c r="I761" s="2" t="s">
        <v>2287</v>
      </c>
      <c r="J761" s="2" t="s">
        <v>35</v>
      </c>
      <c r="K761" s="2" t="s">
        <v>35</v>
      </c>
      <c r="L761" s="2" t="s">
        <v>35</v>
      </c>
      <c r="M761" s="2" t="s">
        <v>35</v>
      </c>
      <c r="N761" s="2" t="s">
        <v>35</v>
      </c>
      <c r="O761" s="11">
        <v>44749.484999895831</v>
      </c>
      <c r="P761" s="11">
        <v>44749.48523337963</v>
      </c>
      <c r="Q761" s="27">
        <v>2.3348379909293726E-4</v>
      </c>
      <c r="R761" s="27">
        <v>5.8516203716862947E-4</v>
      </c>
      <c r="S761" s="2">
        <v>0</v>
      </c>
      <c r="T761" s="2" t="s">
        <v>36</v>
      </c>
      <c r="U761" s="2" t="s">
        <v>37</v>
      </c>
      <c r="V761" s="2" t="s">
        <v>38</v>
      </c>
      <c r="W761" s="2" t="s">
        <v>35</v>
      </c>
      <c r="X761" s="2" t="s">
        <v>35</v>
      </c>
      <c r="Y761" s="2" t="s">
        <v>35</v>
      </c>
      <c r="Z761" s="2" t="b">
        <v>0</v>
      </c>
      <c r="AA761" s="2" t="s">
        <v>35</v>
      </c>
      <c r="AB761" s="2" t="s">
        <v>35</v>
      </c>
      <c r="AC761" s="2" t="s">
        <v>35</v>
      </c>
      <c r="AD761" s="2">
        <v>5</v>
      </c>
      <c r="AE761" s="2" t="s">
        <v>2025</v>
      </c>
      <c r="AF761" s="11">
        <v>44749.40625</v>
      </c>
      <c r="AG761" s="53"/>
      <c r="AH761" s="53" t="b">
        <f t="shared" si="16"/>
        <v>0</v>
      </c>
      <c r="AI761" s="54" t="s">
        <v>10476</v>
      </c>
      <c r="AJ761" s="2"/>
      <c r="AK761" s="2"/>
      <c r="AL761" s="2"/>
      <c r="AM761" s="2"/>
      <c r="AN761" s="2"/>
    </row>
    <row r="762" spans="1:40" ht="16" x14ac:dyDescent="0.2">
      <c r="A762" s="2" t="s">
        <v>2291</v>
      </c>
      <c r="B762" s="2">
        <v>707</v>
      </c>
      <c r="C762" s="2" t="b">
        <v>0</v>
      </c>
      <c r="D762" s="2" t="b">
        <v>0</v>
      </c>
      <c r="E762" s="2" t="b">
        <v>0</v>
      </c>
      <c r="F762" s="2" t="b">
        <v>0</v>
      </c>
      <c r="G762" s="2" t="s">
        <v>31</v>
      </c>
      <c r="H762" s="2" t="s">
        <v>2292</v>
      </c>
      <c r="I762" s="2" t="s">
        <v>2293</v>
      </c>
      <c r="J762" s="2" t="s">
        <v>35</v>
      </c>
      <c r="K762" s="2" t="s">
        <v>35</v>
      </c>
      <c r="L762" s="2" t="s">
        <v>35</v>
      </c>
      <c r="M762" s="2" t="s">
        <v>35</v>
      </c>
      <c r="N762" s="2" t="s">
        <v>35</v>
      </c>
      <c r="O762" s="11">
        <v>44749.486316296294</v>
      </c>
      <c r="P762" s="11">
        <v>44749.486444571761</v>
      </c>
      <c r="Q762" s="27">
        <v>1.2827546743210405E-4</v>
      </c>
      <c r="R762" s="27">
        <v>7.4627315188990906E-4</v>
      </c>
      <c r="S762" s="2">
        <v>0</v>
      </c>
      <c r="T762" s="2" t="s">
        <v>36</v>
      </c>
      <c r="U762" s="2" t="s">
        <v>37</v>
      </c>
      <c r="V762" s="2" t="s">
        <v>38</v>
      </c>
      <c r="W762" s="2" t="s">
        <v>35</v>
      </c>
      <c r="X762" s="2" t="s">
        <v>35</v>
      </c>
      <c r="Y762" s="2" t="s">
        <v>35</v>
      </c>
      <c r="Z762" s="2" t="b">
        <v>0</v>
      </c>
      <c r="AA762" s="2" t="s">
        <v>2284</v>
      </c>
      <c r="AB762" s="2" t="s">
        <v>35</v>
      </c>
      <c r="AC762" s="2" t="s">
        <v>35</v>
      </c>
      <c r="AD762" s="2" t="s">
        <v>35</v>
      </c>
      <c r="AE762" s="2" t="s">
        <v>2025</v>
      </c>
      <c r="AF762" s="11">
        <v>44749.40625</v>
      </c>
      <c r="AG762" s="53"/>
      <c r="AH762" s="53" t="b">
        <f t="shared" si="16"/>
        <v>0</v>
      </c>
      <c r="AI762" s="54" t="s">
        <v>10477</v>
      </c>
      <c r="AJ762" s="2"/>
      <c r="AK762" s="2"/>
      <c r="AL762" s="2"/>
      <c r="AM762" s="2"/>
      <c r="AN762" s="2"/>
    </row>
    <row r="763" spans="1:40" ht="16" x14ac:dyDescent="0.2">
      <c r="A763" s="2" t="s">
        <v>2294</v>
      </c>
      <c r="B763" s="2">
        <v>708</v>
      </c>
      <c r="C763" s="2" t="b">
        <v>0</v>
      </c>
      <c r="D763" s="2" t="b">
        <v>0</v>
      </c>
      <c r="E763" s="2" t="b">
        <v>0</v>
      </c>
      <c r="F763" s="2" t="b">
        <v>0</v>
      </c>
      <c r="G763" s="2" t="s">
        <v>31</v>
      </c>
      <c r="H763" s="2" t="s">
        <v>2295</v>
      </c>
      <c r="I763" s="2" t="s">
        <v>2296</v>
      </c>
      <c r="J763" s="2" t="s">
        <v>35</v>
      </c>
      <c r="K763" s="2" t="s">
        <v>35</v>
      </c>
      <c r="L763" s="2" t="s">
        <v>35</v>
      </c>
      <c r="M763" s="2" t="s">
        <v>35</v>
      </c>
      <c r="N763" s="2" t="s">
        <v>35</v>
      </c>
      <c r="O763" s="11">
        <v>44749.486485601854</v>
      </c>
      <c r="P763" s="11">
        <v>44749.486677731482</v>
      </c>
      <c r="Q763" s="27">
        <v>1.9212962797610089E-4</v>
      </c>
      <c r="R763" s="27">
        <v>2.3315972066484392E-4</v>
      </c>
      <c r="S763" s="2">
        <v>0</v>
      </c>
      <c r="T763" s="2" t="s">
        <v>36</v>
      </c>
      <c r="U763" s="2" t="s">
        <v>37</v>
      </c>
      <c r="V763" s="2" t="s">
        <v>38</v>
      </c>
      <c r="W763" s="2" t="s">
        <v>35</v>
      </c>
      <c r="X763" s="2" t="s">
        <v>35</v>
      </c>
      <c r="Y763" s="2" t="s">
        <v>35</v>
      </c>
      <c r="Z763" s="2" t="b">
        <v>0</v>
      </c>
      <c r="AA763" s="2" t="s">
        <v>2284</v>
      </c>
      <c r="AB763" s="2" t="s">
        <v>35</v>
      </c>
      <c r="AC763" s="2" t="s">
        <v>35</v>
      </c>
      <c r="AD763" s="2" t="s">
        <v>35</v>
      </c>
      <c r="AE763" s="2" t="s">
        <v>2025</v>
      </c>
      <c r="AF763" s="11">
        <v>44749.40625</v>
      </c>
      <c r="AG763" s="53"/>
      <c r="AH763" s="53" t="b">
        <f t="shared" si="16"/>
        <v>0</v>
      </c>
      <c r="AI763" s="54" t="s">
        <v>10478</v>
      </c>
      <c r="AJ763" s="2"/>
      <c r="AK763" s="2"/>
      <c r="AL763" s="2"/>
      <c r="AM763" s="2"/>
      <c r="AN763" s="2"/>
    </row>
    <row r="764" spans="1:40" ht="16" x14ac:dyDescent="0.2">
      <c r="A764" s="2" t="s">
        <v>2303</v>
      </c>
      <c r="B764" s="2">
        <v>711</v>
      </c>
      <c r="C764" s="2" t="b">
        <v>0</v>
      </c>
      <c r="D764" s="2" t="b">
        <v>0</v>
      </c>
      <c r="E764" s="2" t="b">
        <v>0</v>
      </c>
      <c r="F764" s="2" t="b">
        <v>0</v>
      </c>
      <c r="G764" s="2" t="s">
        <v>31</v>
      </c>
      <c r="H764" s="2" t="s">
        <v>2304</v>
      </c>
      <c r="I764" s="2" t="s">
        <v>2305</v>
      </c>
      <c r="J764" s="2" t="s">
        <v>2306</v>
      </c>
      <c r="K764" s="2" t="s">
        <v>35</v>
      </c>
      <c r="L764" s="2" t="s">
        <v>35</v>
      </c>
      <c r="M764" s="2" t="s">
        <v>35</v>
      </c>
      <c r="N764" s="2" t="s">
        <v>35</v>
      </c>
      <c r="O764" s="11">
        <v>44749.49033818287</v>
      </c>
      <c r="P764" s="11">
        <v>44749.490896377312</v>
      </c>
      <c r="Q764" s="27">
        <v>5.5819444241933525E-4</v>
      </c>
      <c r="R764" s="27">
        <v>2.0842476806137711E-3</v>
      </c>
      <c r="S764" s="2">
        <v>0</v>
      </c>
      <c r="T764" s="2" t="s">
        <v>36</v>
      </c>
      <c r="U764" s="2" t="s">
        <v>37</v>
      </c>
      <c r="V764" s="2" t="s">
        <v>38</v>
      </c>
      <c r="W764" s="2" t="s">
        <v>35</v>
      </c>
      <c r="X764" s="2" t="s">
        <v>35</v>
      </c>
      <c r="Y764" s="2" t="s">
        <v>35</v>
      </c>
      <c r="Z764" s="2" t="b">
        <v>0</v>
      </c>
      <c r="AA764" s="2" t="s">
        <v>35</v>
      </c>
      <c r="AB764" s="2" t="s">
        <v>35</v>
      </c>
      <c r="AC764" s="2">
        <v>6</v>
      </c>
      <c r="AD764" s="2" t="s">
        <v>35</v>
      </c>
      <c r="AE764" s="2" t="s">
        <v>2025</v>
      </c>
      <c r="AF764" s="11">
        <v>44749.40625</v>
      </c>
      <c r="AG764" s="53"/>
      <c r="AH764" s="53" t="b">
        <f t="shared" si="16"/>
        <v>0</v>
      </c>
      <c r="AI764" s="54" t="s">
        <v>10481</v>
      </c>
      <c r="AJ764" s="2" t="s">
        <v>10479</v>
      </c>
      <c r="AK764" s="2" t="s">
        <v>10480</v>
      </c>
      <c r="AL764" s="2"/>
      <c r="AM764" s="2"/>
      <c r="AN764" s="2"/>
    </row>
    <row r="765" spans="1:40" ht="16" x14ac:dyDescent="0.2">
      <c r="A765" s="2" t="s">
        <v>2310</v>
      </c>
      <c r="B765" s="2">
        <v>713</v>
      </c>
      <c r="C765" s="2" t="b">
        <v>0</v>
      </c>
      <c r="D765" s="2" t="b">
        <v>0</v>
      </c>
      <c r="E765" s="2" t="b">
        <v>0</v>
      </c>
      <c r="F765" s="2" t="b">
        <v>0</v>
      </c>
      <c r="G765" s="2" t="s">
        <v>31</v>
      </c>
      <c r="H765" s="2" t="s">
        <v>2311</v>
      </c>
      <c r="I765" s="2" t="s">
        <v>2312</v>
      </c>
      <c r="J765" s="2" t="s">
        <v>2274</v>
      </c>
      <c r="K765" s="2" t="s">
        <v>35</v>
      </c>
      <c r="L765" s="2" t="s">
        <v>35</v>
      </c>
      <c r="M765" s="2" t="s">
        <v>35</v>
      </c>
      <c r="N765" s="2" t="s">
        <v>35</v>
      </c>
      <c r="O765" s="11">
        <v>44749.49252240741</v>
      </c>
      <c r="P765" s="11">
        <v>44749.492810451389</v>
      </c>
      <c r="Q765" s="27">
        <v>2.8804397879866883E-4</v>
      </c>
      <c r="R765" s="27">
        <v>3.6652777635026723E-4</v>
      </c>
      <c r="S765" s="2">
        <v>0</v>
      </c>
      <c r="T765" s="2" t="s">
        <v>36</v>
      </c>
      <c r="U765" s="2" t="s">
        <v>37</v>
      </c>
      <c r="V765" s="2" t="s">
        <v>38</v>
      </c>
      <c r="W765" s="2" t="s">
        <v>35</v>
      </c>
      <c r="X765" s="2" t="s">
        <v>35</v>
      </c>
      <c r="Y765" s="2" t="s">
        <v>35</v>
      </c>
      <c r="Z765" s="2" t="b">
        <v>0</v>
      </c>
      <c r="AA765" s="2" t="s">
        <v>35</v>
      </c>
      <c r="AB765" s="2" t="s">
        <v>35</v>
      </c>
      <c r="AC765" s="2">
        <v>6</v>
      </c>
      <c r="AD765" s="2" t="s">
        <v>35</v>
      </c>
      <c r="AE765" s="2" t="s">
        <v>2025</v>
      </c>
      <c r="AF765" s="11">
        <v>44749.40625</v>
      </c>
      <c r="AG765" s="53"/>
      <c r="AH765" s="53" t="b">
        <f t="shared" si="16"/>
        <v>0</v>
      </c>
      <c r="AI765" s="54" t="s">
        <v>10482</v>
      </c>
      <c r="AJ765" s="2"/>
      <c r="AK765" s="2"/>
      <c r="AL765" s="2"/>
      <c r="AM765" s="2"/>
      <c r="AN765" s="2"/>
    </row>
    <row r="766" spans="1:40" ht="16" x14ac:dyDescent="0.2">
      <c r="A766" s="2" t="s">
        <v>2316</v>
      </c>
      <c r="B766" s="2">
        <v>715</v>
      </c>
      <c r="C766" s="2" t="b">
        <v>0</v>
      </c>
      <c r="D766" s="2" t="b">
        <v>0</v>
      </c>
      <c r="E766" s="2" t="b">
        <v>0</v>
      </c>
      <c r="F766" s="2" t="b">
        <v>0</v>
      </c>
      <c r="G766" s="2" t="s">
        <v>31</v>
      </c>
      <c r="H766" s="2" t="s">
        <v>2317</v>
      </c>
      <c r="I766" s="2" t="s">
        <v>2318</v>
      </c>
      <c r="J766" s="2" t="s">
        <v>2319</v>
      </c>
      <c r="K766" s="2" t="s">
        <v>35</v>
      </c>
      <c r="L766" s="2" t="s">
        <v>35</v>
      </c>
      <c r="M766" s="2" t="s">
        <v>35</v>
      </c>
      <c r="N766" s="2" t="s">
        <v>35</v>
      </c>
      <c r="O766" s="11">
        <v>44749.493664189817</v>
      </c>
      <c r="P766" s="11">
        <v>44749.494077974538</v>
      </c>
      <c r="Q766" s="27">
        <v>4.137847208767198E-4</v>
      </c>
      <c r="R766" s="27">
        <v>9.2255786876194179E-4</v>
      </c>
      <c r="S766" s="2">
        <v>0</v>
      </c>
      <c r="T766" s="2" t="s">
        <v>36</v>
      </c>
      <c r="U766" s="2" t="s">
        <v>37</v>
      </c>
      <c r="V766" s="2" t="s">
        <v>38</v>
      </c>
      <c r="W766" s="2" t="s">
        <v>35</v>
      </c>
      <c r="X766" s="2" t="s">
        <v>35</v>
      </c>
      <c r="Y766" s="2" t="s">
        <v>35</v>
      </c>
      <c r="Z766" s="2" t="b">
        <v>0</v>
      </c>
      <c r="AA766" s="2" t="s">
        <v>35</v>
      </c>
      <c r="AB766" s="2" t="s">
        <v>35</v>
      </c>
      <c r="AC766" s="2">
        <v>9</v>
      </c>
      <c r="AD766" s="2" t="s">
        <v>35</v>
      </c>
      <c r="AE766" s="2" t="s">
        <v>2025</v>
      </c>
      <c r="AF766" s="11">
        <v>44749.40625</v>
      </c>
      <c r="AG766" s="53"/>
      <c r="AH766" s="53" t="b">
        <f t="shared" si="16"/>
        <v>0</v>
      </c>
      <c r="AI766" s="54" t="s">
        <v>9524</v>
      </c>
      <c r="AJ766" s="2"/>
      <c r="AK766" s="2"/>
      <c r="AL766" s="2"/>
      <c r="AM766" s="2"/>
      <c r="AN766" s="2"/>
    </row>
    <row r="767" spans="1:40" ht="16" x14ac:dyDescent="0.2">
      <c r="A767" s="2" t="s">
        <v>2323</v>
      </c>
      <c r="B767" s="2">
        <v>717</v>
      </c>
      <c r="C767" s="2" t="b">
        <v>0</v>
      </c>
      <c r="D767" s="2" t="b">
        <v>0</v>
      </c>
      <c r="E767" s="2" t="b">
        <v>0</v>
      </c>
      <c r="F767" s="2" t="b">
        <v>0</v>
      </c>
      <c r="G767" s="2" t="s">
        <v>31</v>
      </c>
      <c r="H767" s="2" t="s">
        <v>2324</v>
      </c>
      <c r="I767" s="2" t="s">
        <v>2325</v>
      </c>
      <c r="J767" s="2" t="s">
        <v>2326</v>
      </c>
      <c r="K767" s="2" t="s">
        <v>35</v>
      </c>
      <c r="L767" s="2" t="s">
        <v>35</v>
      </c>
      <c r="M767" s="2" t="s">
        <v>35</v>
      </c>
      <c r="N767" s="2" t="s">
        <v>35</v>
      </c>
      <c r="O767" s="11">
        <v>44749.49478108796</v>
      </c>
      <c r="P767" s="11">
        <v>44749.49503111111</v>
      </c>
      <c r="Q767" s="27">
        <v>2.5002314941957593E-4</v>
      </c>
      <c r="R767" s="27">
        <v>6.2751157383900136E-4</v>
      </c>
      <c r="S767" s="2">
        <v>0</v>
      </c>
      <c r="T767" s="2" t="s">
        <v>36</v>
      </c>
      <c r="U767" s="2" t="s">
        <v>37</v>
      </c>
      <c r="V767" s="2" t="s">
        <v>38</v>
      </c>
      <c r="W767" s="2" t="s">
        <v>35</v>
      </c>
      <c r="X767" s="2" t="s">
        <v>35</v>
      </c>
      <c r="Y767" s="2" t="s">
        <v>35</v>
      </c>
      <c r="Z767" s="2" t="b">
        <v>0</v>
      </c>
      <c r="AA767" s="2" t="s">
        <v>35</v>
      </c>
      <c r="AB767" s="2" t="s">
        <v>35</v>
      </c>
      <c r="AC767" s="2">
        <v>7</v>
      </c>
      <c r="AD767" s="2" t="s">
        <v>35</v>
      </c>
      <c r="AE767" s="2" t="s">
        <v>2025</v>
      </c>
      <c r="AF767" s="11">
        <v>44749.40625</v>
      </c>
      <c r="AG767" s="53"/>
      <c r="AH767" s="53" t="b">
        <f t="shared" si="16"/>
        <v>0</v>
      </c>
      <c r="AI767" s="54" t="s">
        <v>10483</v>
      </c>
      <c r="AJ767" s="2"/>
      <c r="AK767" s="2"/>
      <c r="AL767" s="2"/>
      <c r="AM767" s="2"/>
      <c r="AN767" s="2"/>
    </row>
    <row r="768" spans="1:40" ht="16" x14ac:dyDescent="0.2">
      <c r="A768" s="2" t="s">
        <v>2327</v>
      </c>
      <c r="B768" s="2">
        <v>718</v>
      </c>
      <c r="C768" s="2" t="b">
        <v>0</v>
      </c>
      <c r="D768" s="2" t="b">
        <v>0</v>
      </c>
      <c r="E768" s="2" t="b">
        <v>0</v>
      </c>
      <c r="F768" s="2" t="b">
        <v>0</v>
      </c>
      <c r="G768" s="2" t="s">
        <v>31</v>
      </c>
      <c r="H768" s="2" t="s">
        <v>2328</v>
      </c>
      <c r="I768" s="2" t="s">
        <v>2329</v>
      </c>
      <c r="J768" s="2" t="s">
        <v>35</v>
      </c>
      <c r="K768" s="2" t="s">
        <v>35</v>
      </c>
      <c r="L768" s="2" t="s">
        <v>35</v>
      </c>
      <c r="M768" s="2" t="s">
        <v>35</v>
      </c>
      <c r="N768" s="2" t="s">
        <v>35</v>
      </c>
      <c r="O768" s="11">
        <v>44749.495586226854</v>
      </c>
      <c r="P768" s="11">
        <v>44749.495715358797</v>
      </c>
      <c r="Q768" s="27">
        <v>1.2913194223074242E-4</v>
      </c>
      <c r="R768" s="27">
        <v>6.842476868769154E-4</v>
      </c>
      <c r="S768" s="2">
        <v>0</v>
      </c>
      <c r="T768" s="2" t="s">
        <v>36</v>
      </c>
      <c r="U768" s="2" t="s">
        <v>37</v>
      </c>
      <c r="V768" s="2" t="s">
        <v>38</v>
      </c>
      <c r="W768" s="2" t="s">
        <v>35</v>
      </c>
      <c r="X768" s="2" t="s">
        <v>35</v>
      </c>
      <c r="Y768" s="2" t="s">
        <v>35</v>
      </c>
      <c r="Z768" s="2" t="b">
        <v>0</v>
      </c>
      <c r="AA768" s="2" t="s">
        <v>35</v>
      </c>
      <c r="AB768" s="2" t="s">
        <v>35</v>
      </c>
      <c r="AC768" s="2" t="s">
        <v>35</v>
      </c>
      <c r="AD768" s="2">
        <v>5</v>
      </c>
      <c r="AE768" s="2" t="s">
        <v>2025</v>
      </c>
      <c r="AF768" s="11">
        <v>44749.40625</v>
      </c>
      <c r="AG768" s="53"/>
      <c r="AH768" s="53" t="b">
        <f t="shared" si="16"/>
        <v>0</v>
      </c>
      <c r="AI768" s="54" t="s">
        <v>10484</v>
      </c>
      <c r="AJ768" s="2"/>
      <c r="AK768" s="2"/>
      <c r="AL768" s="2"/>
      <c r="AM768" s="2"/>
      <c r="AN768" s="2"/>
    </row>
    <row r="769" spans="1:40" ht="16" x14ac:dyDescent="0.2">
      <c r="A769" s="2" t="s">
        <v>2330</v>
      </c>
      <c r="B769" s="2">
        <v>719</v>
      </c>
      <c r="C769" s="2" t="b">
        <v>0</v>
      </c>
      <c r="D769" s="2" t="b">
        <v>0</v>
      </c>
      <c r="E769" s="2" t="b">
        <v>0</v>
      </c>
      <c r="F769" s="2" t="b">
        <v>0</v>
      </c>
      <c r="G769" s="2" t="s">
        <v>31</v>
      </c>
      <c r="H769" s="2" t="s">
        <v>2331</v>
      </c>
      <c r="I769" s="2" t="s">
        <v>2332</v>
      </c>
      <c r="J769" s="2" t="s">
        <v>2333</v>
      </c>
      <c r="K769" s="2" t="s">
        <v>35</v>
      </c>
      <c r="L769" s="2" t="s">
        <v>35</v>
      </c>
      <c r="M769" s="2" t="s">
        <v>35</v>
      </c>
      <c r="N769" s="2" t="s">
        <v>35</v>
      </c>
      <c r="O769" s="11">
        <v>44749.49820804398</v>
      </c>
      <c r="P769" s="11">
        <v>44749.498760439812</v>
      </c>
      <c r="Q769" s="27">
        <v>5.5239583161892369E-4</v>
      </c>
      <c r="R769" s="27">
        <v>3.0450810154434294E-3</v>
      </c>
      <c r="S769" s="2">
        <v>0</v>
      </c>
      <c r="T769" s="2" t="s">
        <v>36</v>
      </c>
      <c r="U769" s="2" t="s">
        <v>37</v>
      </c>
      <c r="V769" s="2" t="s">
        <v>38</v>
      </c>
      <c r="W769" s="2" t="s">
        <v>35</v>
      </c>
      <c r="X769" s="2" t="s">
        <v>35</v>
      </c>
      <c r="Y769" s="2" t="s">
        <v>35</v>
      </c>
      <c r="Z769" s="2" t="b">
        <v>0</v>
      </c>
      <c r="AA769" s="2" t="s">
        <v>35</v>
      </c>
      <c r="AB769" s="2" t="s">
        <v>35</v>
      </c>
      <c r="AC769" s="2">
        <v>8</v>
      </c>
      <c r="AD769" s="2" t="s">
        <v>35</v>
      </c>
      <c r="AE769" s="2" t="s">
        <v>2025</v>
      </c>
      <c r="AF769" s="11">
        <v>44749.40625</v>
      </c>
      <c r="AG769" s="53"/>
      <c r="AH769" s="53" t="b">
        <f t="shared" si="16"/>
        <v>0</v>
      </c>
      <c r="AI769" s="54" t="s">
        <v>10485</v>
      </c>
      <c r="AJ769" s="2"/>
      <c r="AK769" s="2"/>
      <c r="AL769" s="2"/>
      <c r="AM769" s="2"/>
      <c r="AN769" s="2"/>
    </row>
    <row r="770" spans="1:40" ht="16" x14ac:dyDescent="0.2">
      <c r="A770" s="2" t="s">
        <v>2337</v>
      </c>
      <c r="B770" s="2">
        <v>721</v>
      </c>
      <c r="C770" s="2" t="b">
        <v>0</v>
      </c>
      <c r="D770" s="2" t="b">
        <v>0</v>
      </c>
      <c r="E770" s="2" t="b">
        <v>0</v>
      </c>
      <c r="F770" s="2" t="b">
        <v>0</v>
      </c>
      <c r="G770" s="2" t="s">
        <v>31</v>
      </c>
      <c r="H770" s="2" t="s">
        <v>2338</v>
      </c>
      <c r="I770" s="2" t="s">
        <v>2339</v>
      </c>
      <c r="J770" s="2" t="s">
        <v>2333</v>
      </c>
      <c r="K770" s="2" t="s">
        <v>35</v>
      </c>
      <c r="L770" s="2" t="s">
        <v>35</v>
      </c>
      <c r="M770" s="2" t="s">
        <v>35</v>
      </c>
      <c r="N770" s="2" t="s">
        <v>35</v>
      </c>
      <c r="O770" s="11">
        <v>44749.500526979165</v>
      </c>
      <c r="P770" s="11">
        <v>44749.500876273145</v>
      </c>
      <c r="Q770" s="27">
        <v>3.4929397952510044E-4</v>
      </c>
      <c r="R770" s="27">
        <v>3.475694393273443E-4</v>
      </c>
      <c r="S770" s="2">
        <v>0</v>
      </c>
      <c r="T770" s="2" t="s">
        <v>36</v>
      </c>
      <c r="U770" s="2" t="s">
        <v>37</v>
      </c>
      <c r="V770" s="2" t="s">
        <v>38</v>
      </c>
      <c r="W770" s="2" t="s">
        <v>35</v>
      </c>
      <c r="X770" s="2" t="s">
        <v>35</v>
      </c>
      <c r="Y770" s="2" t="s">
        <v>35</v>
      </c>
      <c r="Z770" s="2" t="b">
        <v>0</v>
      </c>
      <c r="AA770" s="2" t="s">
        <v>35</v>
      </c>
      <c r="AB770" s="2" t="s">
        <v>35</v>
      </c>
      <c r="AC770" s="2">
        <v>15</v>
      </c>
      <c r="AD770" s="2">
        <v>2</v>
      </c>
      <c r="AE770" s="2" t="s">
        <v>2025</v>
      </c>
      <c r="AF770" s="11">
        <v>44749.40625</v>
      </c>
      <c r="AG770" s="53"/>
      <c r="AH770" s="53" t="b">
        <f t="shared" si="16"/>
        <v>0</v>
      </c>
      <c r="AI770" s="54" t="s">
        <v>10486</v>
      </c>
      <c r="AJ770" s="2"/>
      <c r="AK770" s="2"/>
      <c r="AL770" s="2"/>
      <c r="AM770" s="2"/>
      <c r="AN770" s="2"/>
    </row>
    <row r="771" spans="1:40" ht="16" x14ac:dyDescent="0.2">
      <c r="A771" s="2" t="s">
        <v>2343</v>
      </c>
      <c r="B771" s="2">
        <v>723</v>
      </c>
      <c r="C771" s="2" t="b">
        <v>0</v>
      </c>
      <c r="D771" s="2" t="b">
        <v>0</v>
      </c>
      <c r="E771" s="2" t="b">
        <v>0</v>
      </c>
      <c r="F771" s="2" t="b">
        <v>0</v>
      </c>
      <c r="G771" s="2" t="s">
        <v>31</v>
      </c>
      <c r="H771" s="2" t="s">
        <v>2344</v>
      </c>
      <c r="I771" s="2" t="s">
        <v>2345</v>
      </c>
      <c r="J771" s="2" t="s">
        <v>2246</v>
      </c>
      <c r="K771" s="2" t="s">
        <v>35</v>
      </c>
      <c r="L771" s="2" t="s">
        <v>35</v>
      </c>
      <c r="M771" s="2" t="s">
        <v>35</v>
      </c>
      <c r="N771" s="2" t="s">
        <v>35</v>
      </c>
      <c r="O771" s="11">
        <v>44749.501805324071</v>
      </c>
      <c r="P771" s="11">
        <v>44749.50236888889</v>
      </c>
      <c r="Q771" s="27">
        <v>5.6356481945840642E-4</v>
      </c>
      <c r="R771" s="27">
        <v>6.4393518550787121E-4</v>
      </c>
      <c r="S771" s="2">
        <v>0</v>
      </c>
      <c r="T771" s="2" t="s">
        <v>36</v>
      </c>
      <c r="U771" s="2" t="s">
        <v>37</v>
      </c>
      <c r="V771" s="2" t="s">
        <v>38</v>
      </c>
      <c r="W771" s="2" t="s">
        <v>35</v>
      </c>
      <c r="X771" s="2" t="s">
        <v>35</v>
      </c>
      <c r="Y771" s="2" t="s">
        <v>35</v>
      </c>
      <c r="Z771" s="2" t="b">
        <v>0</v>
      </c>
      <c r="AA771" s="2" t="s">
        <v>35</v>
      </c>
      <c r="AB771" s="2" t="s">
        <v>35</v>
      </c>
      <c r="AC771" s="2">
        <v>7</v>
      </c>
      <c r="AD771" s="2" t="s">
        <v>35</v>
      </c>
      <c r="AE771" s="2" t="s">
        <v>2025</v>
      </c>
      <c r="AF771" s="11">
        <v>44749.40625</v>
      </c>
      <c r="AG771" s="53"/>
      <c r="AH771" s="53" t="b">
        <f t="shared" si="16"/>
        <v>0</v>
      </c>
      <c r="AI771" s="54" t="s">
        <v>10487</v>
      </c>
      <c r="AJ771" s="2"/>
      <c r="AK771" s="2"/>
      <c r="AL771" s="2"/>
      <c r="AM771" s="2"/>
      <c r="AN771" s="2"/>
    </row>
    <row r="772" spans="1:40" ht="16" x14ac:dyDescent="0.2">
      <c r="A772" s="68" t="s">
        <v>2346</v>
      </c>
      <c r="B772" s="68">
        <v>724</v>
      </c>
      <c r="C772" s="68" t="b">
        <v>0</v>
      </c>
      <c r="D772" s="68" t="b">
        <v>0</v>
      </c>
      <c r="E772" s="68" t="b">
        <v>0</v>
      </c>
      <c r="F772" s="68" t="b">
        <v>0</v>
      </c>
      <c r="G772" s="68" t="s">
        <v>31</v>
      </c>
      <c r="H772" s="68" t="s">
        <v>149</v>
      </c>
      <c r="I772" s="68" t="s">
        <v>2347</v>
      </c>
      <c r="J772" s="68" t="s">
        <v>35</v>
      </c>
      <c r="K772" s="68" t="s">
        <v>35</v>
      </c>
      <c r="L772" s="68" t="s">
        <v>35</v>
      </c>
      <c r="M772" s="68" t="s">
        <v>35</v>
      </c>
      <c r="N772" s="68" t="s">
        <v>35</v>
      </c>
      <c r="O772" s="69">
        <v>44749.503088101854</v>
      </c>
      <c r="P772" s="69">
        <v>44749.503206793983</v>
      </c>
      <c r="Q772" s="70">
        <v>1.1869212903548032E-4</v>
      </c>
      <c r="R772" s="70">
        <v>8.3790509233949706E-4</v>
      </c>
      <c r="S772" s="68">
        <v>0</v>
      </c>
      <c r="T772" s="68" t="s">
        <v>36</v>
      </c>
      <c r="U772" s="68" t="s">
        <v>37</v>
      </c>
      <c r="V772" s="68" t="s">
        <v>38</v>
      </c>
      <c r="W772" s="68" t="s">
        <v>35</v>
      </c>
      <c r="X772" s="68" t="s">
        <v>35</v>
      </c>
      <c r="Y772" s="68" t="s">
        <v>35</v>
      </c>
      <c r="Z772" s="68" t="b">
        <v>0</v>
      </c>
      <c r="AA772" s="68" t="s">
        <v>35</v>
      </c>
      <c r="AB772" s="68" t="s">
        <v>35</v>
      </c>
      <c r="AC772" s="68" t="s">
        <v>35</v>
      </c>
      <c r="AD772" s="68">
        <v>2</v>
      </c>
      <c r="AE772" s="68" t="s">
        <v>2025</v>
      </c>
      <c r="AF772" s="69">
        <v>44749.40625</v>
      </c>
      <c r="AG772" s="71"/>
      <c r="AH772" s="53" t="b">
        <f t="shared" si="16"/>
        <v>0</v>
      </c>
      <c r="AI772" s="56" t="s">
        <v>35</v>
      </c>
      <c r="AJ772" s="68"/>
      <c r="AK772" s="68"/>
      <c r="AL772" s="68"/>
      <c r="AM772" s="68"/>
      <c r="AN772" s="68"/>
    </row>
    <row r="773" spans="1:40" ht="16" x14ac:dyDescent="0.2">
      <c r="A773" s="2" t="s">
        <v>2348</v>
      </c>
      <c r="B773" s="2">
        <v>725</v>
      </c>
      <c r="C773" s="2" t="b">
        <v>0</v>
      </c>
      <c r="D773" s="2" t="b">
        <v>0</v>
      </c>
      <c r="E773" s="2" t="b">
        <v>0</v>
      </c>
      <c r="F773" s="2" t="b">
        <v>0</v>
      </c>
      <c r="G773" s="2" t="s">
        <v>31</v>
      </c>
      <c r="H773" s="2" t="s">
        <v>2349</v>
      </c>
      <c r="I773" s="2" t="s">
        <v>2350</v>
      </c>
      <c r="J773" s="2" t="s">
        <v>35</v>
      </c>
      <c r="K773" s="2" t="s">
        <v>35</v>
      </c>
      <c r="L773" s="2" t="s">
        <v>35</v>
      </c>
      <c r="M773" s="2" t="s">
        <v>35</v>
      </c>
      <c r="N773" s="2" t="s">
        <v>35</v>
      </c>
      <c r="O773" s="11">
        <v>44749.503806157409</v>
      </c>
      <c r="P773" s="11">
        <v>44749.503949733793</v>
      </c>
      <c r="Q773" s="27">
        <v>1.4357638428919017E-4</v>
      </c>
      <c r="R773" s="27">
        <v>7.4293981015216559E-4</v>
      </c>
      <c r="S773" s="2">
        <v>0</v>
      </c>
      <c r="T773" s="2" t="s">
        <v>36</v>
      </c>
      <c r="U773" s="2" t="s">
        <v>37</v>
      </c>
      <c r="V773" s="2" t="s">
        <v>38</v>
      </c>
      <c r="W773" s="2" t="s">
        <v>35</v>
      </c>
      <c r="X773" s="2" t="s">
        <v>35</v>
      </c>
      <c r="Y773" s="2" t="s">
        <v>35</v>
      </c>
      <c r="Z773" s="2" t="b">
        <v>0</v>
      </c>
      <c r="AA773" s="2" t="s">
        <v>35</v>
      </c>
      <c r="AB773" s="2" t="s">
        <v>35</v>
      </c>
      <c r="AC773" s="2" t="s">
        <v>35</v>
      </c>
      <c r="AD773" s="2">
        <v>3</v>
      </c>
      <c r="AE773" s="2" t="s">
        <v>2025</v>
      </c>
      <c r="AF773" s="11">
        <v>44749.40625</v>
      </c>
      <c r="AG773" s="53"/>
      <c r="AH773" s="53" t="b">
        <f t="shared" si="16"/>
        <v>0</v>
      </c>
      <c r="AI773" s="54" t="s">
        <v>10488</v>
      </c>
      <c r="AJ773" s="2"/>
      <c r="AK773" s="2"/>
      <c r="AL773" s="2"/>
      <c r="AM773" s="2"/>
      <c r="AN773" s="2"/>
    </row>
    <row r="774" spans="1:40" ht="16" x14ac:dyDescent="0.2">
      <c r="A774" s="2" t="s">
        <v>2351</v>
      </c>
      <c r="B774" s="2">
        <v>726</v>
      </c>
      <c r="C774" s="2" t="b">
        <v>0</v>
      </c>
      <c r="D774" s="2" t="b">
        <v>0</v>
      </c>
      <c r="E774" s="2" t="b">
        <v>0</v>
      </c>
      <c r="F774" s="2" t="b">
        <v>0</v>
      </c>
      <c r="G774" s="2" t="s">
        <v>31</v>
      </c>
      <c r="H774" s="2" t="s">
        <v>2352</v>
      </c>
      <c r="I774" s="2" t="s">
        <v>2353</v>
      </c>
      <c r="J774" s="2" t="s">
        <v>2354</v>
      </c>
      <c r="K774" s="2" t="s">
        <v>35</v>
      </c>
      <c r="L774" s="2" t="s">
        <v>35</v>
      </c>
      <c r="M774" s="2" t="s">
        <v>35</v>
      </c>
      <c r="N774" s="2" t="s">
        <v>35</v>
      </c>
      <c r="O774" s="11">
        <v>44749.504560451387</v>
      </c>
      <c r="P774" s="11">
        <v>44749.505169131946</v>
      </c>
      <c r="Q774" s="27">
        <v>6.0868055879836902E-4</v>
      </c>
      <c r="R774" s="27">
        <v>1.2193981528980657E-3</v>
      </c>
      <c r="S774" s="2">
        <v>0</v>
      </c>
      <c r="T774" s="2" t="s">
        <v>36</v>
      </c>
      <c r="U774" s="2" t="s">
        <v>37</v>
      </c>
      <c r="V774" s="2" t="s">
        <v>38</v>
      </c>
      <c r="W774" s="2" t="s">
        <v>35</v>
      </c>
      <c r="X774" s="2" t="s">
        <v>35</v>
      </c>
      <c r="Y774" s="2" t="s">
        <v>35</v>
      </c>
      <c r="Z774" s="2" t="b">
        <v>0</v>
      </c>
      <c r="AA774" s="2" t="s">
        <v>35</v>
      </c>
      <c r="AB774" s="2" t="s">
        <v>35</v>
      </c>
      <c r="AC774" s="2">
        <v>9</v>
      </c>
      <c r="AD774" s="2" t="s">
        <v>35</v>
      </c>
      <c r="AE774" s="2" t="s">
        <v>2025</v>
      </c>
      <c r="AF774" s="11">
        <v>44749.40625</v>
      </c>
      <c r="AG774" s="53"/>
      <c r="AH774" s="53" t="b">
        <f t="shared" si="16"/>
        <v>0</v>
      </c>
      <c r="AI774" s="54" t="s">
        <v>9523</v>
      </c>
      <c r="AJ774" s="2"/>
      <c r="AK774" s="2"/>
      <c r="AL774" s="2"/>
      <c r="AM774" s="2"/>
      <c r="AN774" s="2"/>
    </row>
    <row r="775" spans="1:40" ht="16" x14ac:dyDescent="0.2">
      <c r="A775" s="68" t="s">
        <v>2355</v>
      </c>
      <c r="B775" s="68">
        <v>727</v>
      </c>
      <c r="C775" s="68" t="b">
        <v>0</v>
      </c>
      <c r="D775" s="68" t="b">
        <v>0</v>
      </c>
      <c r="E775" s="68" t="b">
        <v>0</v>
      </c>
      <c r="F775" s="68" t="b">
        <v>0</v>
      </c>
      <c r="G775" s="68" t="s">
        <v>31</v>
      </c>
      <c r="H775" s="68" t="s">
        <v>149</v>
      </c>
      <c r="I775" s="68" t="s">
        <v>2356</v>
      </c>
      <c r="J775" s="68" t="s">
        <v>662</v>
      </c>
      <c r="K775" s="68" t="s">
        <v>35</v>
      </c>
      <c r="L775" s="68" t="s">
        <v>35</v>
      </c>
      <c r="M775" s="68" t="s">
        <v>35</v>
      </c>
      <c r="N775" s="68" t="s">
        <v>35</v>
      </c>
      <c r="O775" s="69">
        <v>44749.505536215278</v>
      </c>
      <c r="P775" s="69">
        <v>44749.505833483796</v>
      </c>
      <c r="Q775" s="70">
        <v>2.9726851789746433E-4</v>
      </c>
      <c r="R775" s="70">
        <v>6.6435184999136254E-4</v>
      </c>
      <c r="S775" s="68">
        <v>0</v>
      </c>
      <c r="T775" s="68" t="s">
        <v>36</v>
      </c>
      <c r="U775" s="68" t="s">
        <v>37</v>
      </c>
      <c r="V775" s="68" t="s">
        <v>38</v>
      </c>
      <c r="W775" s="68" t="s">
        <v>35</v>
      </c>
      <c r="X775" s="68" t="s">
        <v>35</v>
      </c>
      <c r="Y775" s="68" t="s">
        <v>35</v>
      </c>
      <c r="Z775" s="68" t="b">
        <v>0</v>
      </c>
      <c r="AA775" s="68" t="s">
        <v>35</v>
      </c>
      <c r="AB775" s="68" t="s">
        <v>35</v>
      </c>
      <c r="AC775" s="68">
        <v>5</v>
      </c>
      <c r="AD775" s="68" t="s">
        <v>35</v>
      </c>
      <c r="AE775" s="68" t="s">
        <v>2025</v>
      </c>
      <c r="AF775" s="69">
        <v>44749.40625</v>
      </c>
      <c r="AG775" s="71"/>
      <c r="AH775" s="53" t="b">
        <f t="shared" si="16"/>
        <v>0</v>
      </c>
      <c r="AI775" s="56" t="s">
        <v>35</v>
      </c>
      <c r="AJ775" s="68"/>
      <c r="AK775" s="68"/>
      <c r="AL775" s="68"/>
      <c r="AM775" s="68"/>
      <c r="AN775" s="68"/>
    </row>
    <row r="776" spans="1:40" ht="16" x14ac:dyDescent="0.2">
      <c r="A776" s="2" t="s">
        <v>2359</v>
      </c>
      <c r="B776" s="2">
        <v>729</v>
      </c>
      <c r="C776" s="2" t="b">
        <v>0</v>
      </c>
      <c r="D776" s="2" t="b">
        <v>0</v>
      </c>
      <c r="E776" s="2" t="b">
        <v>0</v>
      </c>
      <c r="F776" s="2" t="b">
        <v>0</v>
      </c>
      <c r="G776" s="2" t="s">
        <v>31</v>
      </c>
      <c r="H776" s="2" t="s">
        <v>2360</v>
      </c>
      <c r="I776" s="2" t="s">
        <v>2361</v>
      </c>
      <c r="J776" s="2" t="s">
        <v>35</v>
      </c>
      <c r="K776" s="2" t="s">
        <v>35</v>
      </c>
      <c r="L776" s="2" t="s">
        <v>35</v>
      </c>
      <c r="M776" s="2" t="s">
        <v>35</v>
      </c>
      <c r="N776" s="2" t="s">
        <v>35</v>
      </c>
      <c r="O776" s="11">
        <v>44749.508286597222</v>
      </c>
      <c r="P776" s="11">
        <v>44749.508409594906</v>
      </c>
      <c r="Q776" s="27">
        <v>1.2299768422963098E-4</v>
      </c>
      <c r="R776" s="27">
        <v>4.2888888856396079E-4</v>
      </c>
      <c r="S776" s="2">
        <v>0</v>
      </c>
      <c r="T776" s="2" t="s">
        <v>36</v>
      </c>
      <c r="U776" s="2" t="s">
        <v>37</v>
      </c>
      <c r="V776" s="2" t="s">
        <v>38</v>
      </c>
      <c r="W776" s="2" t="s">
        <v>35</v>
      </c>
      <c r="X776" s="2" t="s">
        <v>35</v>
      </c>
      <c r="Y776" s="2" t="s">
        <v>35</v>
      </c>
      <c r="Z776" s="2" t="b">
        <v>0</v>
      </c>
      <c r="AA776" s="2" t="s">
        <v>35</v>
      </c>
      <c r="AB776" s="2" t="s">
        <v>35</v>
      </c>
      <c r="AC776" s="2" t="s">
        <v>35</v>
      </c>
      <c r="AD776" s="2">
        <v>2</v>
      </c>
      <c r="AE776" s="2" t="s">
        <v>2025</v>
      </c>
      <c r="AF776" s="11">
        <v>44749.40625</v>
      </c>
      <c r="AG776" s="53"/>
      <c r="AH776" s="53" t="b">
        <f t="shared" si="16"/>
        <v>0</v>
      </c>
      <c r="AI776" s="54" t="s">
        <v>10489</v>
      </c>
      <c r="AJ776" s="2"/>
      <c r="AK776" s="2"/>
      <c r="AL776" s="2"/>
      <c r="AM776" s="2"/>
      <c r="AN776" s="2"/>
    </row>
    <row r="777" spans="1:40" ht="16" x14ac:dyDescent="0.2">
      <c r="A777" s="2" t="s">
        <v>2362</v>
      </c>
      <c r="B777" s="2">
        <v>730</v>
      </c>
      <c r="C777" s="2" t="b">
        <v>0</v>
      </c>
      <c r="D777" s="2" t="b">
        <v>0</v>
      </c>
      <c r="E777" s="2" t="b">
        <v>0</v>
      </c>
      <c r="F777" s="2" t="b">
        <v>0</v>
      </c>
      <c r="G777" s="2" t="s">
        <v>31</v>
      </c>
      <c r="H777" s="2" t="s">
        <v>2363</v>
      </c>
      <c r="I777" s="2" t="s">
        <v>2364</v>
      </c>
      <c r="J777" s="2" t="s">
        <v>2354</v>
      </c>
      <c r="K777" s="2" t="s">
        <v>35</v>
      </c>
      <c r="L777" s="2" t="s">
        <v>35</v>
      </c>
      <c r="M777" s="2" t="s">
        <v>35</v>
      </c>
      <c r="N777" s="2" t="s">
        <v>35</v>
      </c>
      <c r="O777" s="11">
        <v>44749.508897453707</v>
      </c>
      <c r="P777" s="11">
        <v>44749.509457662039</v>
      </c>
      <c r="Q777" s="27">
        <v>5.6020833289949223E-4</v>
      </c>
      <c r="R777" s="27">
        <v>1.0480671335244551E-3</v>
      </c>
      <c r="S777" s="2">
        <v>0</v>
      </c>
      <c r="T777" s="2" t="s">
        <v>36</v>
      </c>
      <c r="U777" s="2" t="s">
        <v>37</v>
      </c>
      <c r="V777" s="2" t="s">
        <v>38</v>
      </c>
      <c r="W777" s="2" t="s">
        <v>35</v>
      </c>
      <c r="X777" s="2" t="s">
        <v>35</v>
      </c>
      <c r="Y777" s="2" t="s">
        <v>35</v>
      </c>
      <c r="Z777" s="2" t="b">
        <v>0</v>
      </c>
      <c r="AA777" s="2" t="s">
        <v>35</v>
      </c>
      <c r="AB777" s="2" t="s">
        <v>35</v>
      </c>
      <c r="AC777" s="2">
        <v>7</v>
      </c>
      <c r="AD777" s="2" t="s">
        <v>35</v>
      </c>
      <c r="AE777" s="2" t="s">
        <v>2025</v>
      </c>
      <c r="AF777" s="11">
        <v>44749.40625</v>
      </c>
      <c r="AG777" s="53"/>
      <c r="AH777" s="53" t="b">
        <f t="shared" si="16"/>
        <v>0</v>
      </c>
      <c r="AI777" s="54" t="s">
        <v>10490</v>
      </c>
      <c r="AJ777" s="2"/>
      <c r="AK777" s="2"/>
      <c r="AL777" s="2"/>
      <c r="AM777" s="2"/>
      <c r="AN777" s="2"/>
    </row>
    <row r="778" spans="1:40" ht="16" x14ac:dyDescent="0.2">
      <c r="A778" s="2" t="s">
        <v>2365</v>
      </c>
      <c r="B778" s="2">
        <v>731</v>
      </c>
      <c r="C778" s="2" t="b">
        <v>0</v>
      </c>
      <c r="D778" s="2" t="b">
        <v>0</v>
      </c>
      <c r="E778" s="2" t="b">
        <v>0</v>
      </c>
      <c r="F778" s="2" t="b">
        <v>0</v>
      </c>
      <c r="G778" s="2" t="s">
        <v>31</v>
      </c>
      <c r="H778" s="2" t="s">
        <v>2366</v>
      </c>
      <c r="I778" s="2" t="s">
        <v>2367</v>
      </c>
      <c r="J778" s="2" t="s">
        <v>35</v>
      </c>
      <c r="K778" s="2" t="s">
        <v>35</v>
      </c>
      <c r="L778" s="2" t="s">
        <v>35</v>
      </c>
      <c r="M778" s="2" t="s">
        <v>35</v>
      </c>
      <c r="N778" s="2" t="s">
        <v>35</v>
      </c>
      <c r="O778" s="11">
        <v>44749.510166018517</v>
      </c>
      <c r="P778" s="11">
        <v>44749.510419687504</v>
      </c>
      <c r="Q778" s="27">
        <v>2.5366898626089096E-4</v>
      </c>
      <c r="R778" s="27">
        <v>9.6202546410495415E-4</v>
      </c>
      <c r="S778" s="2">
        <v>0</v>
      </c>
      <c r="T778" s="2" t="s">
        <v>36</v>
      </c>
      <c r="U778" s="2" t="s">
        <v>37</v>
      </c>
      <c r="V778" s="2" t="s">
        <v>38</v>
      </c>
      <c r="W778" s="2" t="s">
        <v>35</v>
      </c>
      <c r="X778" s="2" t="s">
        <v>35</v>
      </c>
      <c r="Y778" s="2" t="s">
        <v>35</v>
      </c>
      <c r="Z778" s="2" t="b">
        <v>0</v>
      </c>
      <c r="AA778" s="2" t="s">
        <v>35</v>
      </c>
      <c r="AB778" s="2" t="s">
        <v>35</v>
      </c>
      <c r="AC778" s="2" t="s">
        <v>35</v>
      </c>
      <c r="AD778" s="2">
        <v>7</v>
      </c>
      <c r="AE778" s="2" t="s">
        <v>2025</v>
      </c>
      <c r="AF778" s="11">
        <v>44749.40625</v>
      </c>
      <c r="AG778" s="53"/>
      <c r="AH778" s="53" t="b">
        <f t="shared" si="16"/>
        <v>0</v>
      </c>
      <c r="AI778" s="54" t="s">
        <v>10491</v>
      </c>
      <c r="AJ778" s="2"/>
      <c r="AK778" s="2"/>
      <c r="AL778" s="2"/>
      <c r="AM778" s="2"/>
      <c r="AN778" s="2"/>
    </row>
    <row r="779" spans="1:40" ht="16" x14ac:dyDescent="0.2">
      <c r="A779" s="2" t="s">
        <v>2368</v>
      </c>
      <c r="B779" s="2">
        <v>732</v>
      </c>
      <c r="C779" s="2" t="b">
        <v>0</v>
      </c>
      <c r="D779" s="2" t="b">
        <v>0</v>
      </c>
      <c r="E779" s="2" t="b">
        <v>0</v>
      </c>
      <c r="F779" s="2" t="b">
        <v>0</v>
      </c>
      <c r="G779" s="2" t="s">
        <v>31</v>
      </c>
      <c r="H779" s="2" t="s">
        <v>2369</v>
      </c>
      <c r="I779" s="2" t="s">
        <v>2370</v>
      </c>
      <c r="J779" s="2" t="s">
        <v>2166</v>
      </c>
      <c r="K779" s="2" t="s">
        <v>35</v>
      </c>
      <c r="L779" s="2" t="s">
        <v>35</v>
      </c>
      <c r="M779" s="2" t="s">
        <v>35</v>
      </c>
      <c r="N779" s="2" t="s">
        <v>35</v>
      </c>
      <c r="O779" s="11">
        <v>44749.510639178239</v>
      </c>
      <c r="P779" s="11">
        <v>44749.511018043981</v>
      </c>
      <c r="Q779" s="27">
        <v>3.7886574136791751E-4</v>
      </c>
      <c r="R779" s="27">
        <v>5.9835647698491812E-4</v>
      </c>
      <c r="S779" s="2">
        <v>0</v>
      </c>
      <c r="T779" s="2" t="s">
        <v>36</v>
      </c>
      <c r="U779" s="2" t="s">
        <v>37</v>
      </c>
      <c r="V779" s="2" t="s">
        <v>38</v>
      </c>
      <c r="W779" s="2" t="s">
        <v>35</v>
      </c>
      <c r="X779" s="2" t="s">
        <v>35</v>
      </c>
      <c r="Y779" s="2" t="s">
        <v>35</v>
      </c>
      <c r="Z779" s="2" t="b">
        <v>0</v>
      </c>
      <c r="AA779" s="2" t="s">
        <v>35</v>
      </c>
      <c r="AB779" s="2" t="s">
        <v>35</v>
      </c>
      <c r="AC779" s="2">
        <v>10</v>
      </c>
      <c r="AD779" s="2" t="s">
        <v>35</v>
      </c>
      <c r="AE779" s="2" t="s">
        <v>2025</v>
      </c>
      <c r="AF779" s="11">
        <v>44749.40625</v>
      </c>
      <c r="AG779" s="53"/>
      <c r="AH779" s="53" t="b">
        <f t="shared" si="16"/>
        <v>0</v>
      </c>
      <c r="AI779" s="54" t="s">
        <v>10492</v>
      </c>
      <c r="AJ779" s="2"/>
      <c r="AK779" s="2"/>
      <c r="AL779" s="2"/>
      <c r="AM779" s="2"/>
      <c r="AN779" s="2"/>
    </row>
    <row r="780" spans="1:40" ht="16" x14ac:dyDescent="0.2">
      <c r="A780" s="2" t="s">
        <v>2371</v>
      </c>
      <c r="B780" s="2">
        <v>733</v>
      </c>
      <c r="C780" s="2" t="b">
        <v>0</v>
      </c>
      <c r="D780" s="2" t="b">
        <v>0</v>
      </c>
      <c r="E780" s="2" t="b">
        <v>0</v>
      </c>
      <c r="F780" s="2" t="b">
        <v>0</v>
      </c>
      <c r="G780" s="2" t="s">
        <v>31</v>
      </c>
      <c r="H780" s="2" t="s">
        <v>2372</v>
      </c>
      <c r="I780" s="2" t="s">
        <v>2373</v>
      </c>
      <c r="J780" s="2" t="s">
        <v>35</v>
      </c>
      <c r="K780" s="2" t="s">
        <v>35</v>
      </c>
      <c r="L780" s="2" t="s">
        <v>35</v>
      </c>
      <c r="M780" s="2" t="s">
        <v>35</v>
      </c>
      <c r="N780" s="2" t="s">
        <v>35</v>
      </c>
      <c r="O780" s="11">
        <v>44749.513881446757</v>
      </c>
      <c r="P780" s="11">
        <v>44749.514226145831</v>
      </c>
      <c r="Q780" s="27">
        <v>3.4469907404854894E-4</v>
      </c>
      <c r="R780" s="27">
        <v>3.2081018507597037E-3</v>
      </c>
      <c r="S780" s="2">
        <v>0</v>
      </c>
      <c r="T780" s="2" t="s">
        <v>36</v>
      </c>
      <c r="U780" s="2" t="s">
        <v>37</v>
      </c>
      <c r="V780" s="2" t="s">
        <v>38</v>
      </c>
      <c r="W780" s="2" t="s">
        <v>35</v>
      </c>
      <c r="X780" s="2" t="s">
        <v>35</v>
      </c>
      <c r="Y780" s="2" t="s">
        <v>35</v>
      </c>
      <c r="Z780" s="2" t="b">
        <v>0</v>
      </c>
      <c r="AA780" s="2" t="s">
        <v>35</v>
      </c>
      <c r="AB780" s="2" t="s">
        <v>35</v>
      </c>
      <c r="AC780" s="2" t="s">
        <v>35</v>
      </c>
      <c r="AD780" s="2">
        <v>6</v>
      </c>
      <c r="AE780" s="2" t="s">
        <v>2025</v>
      </c>
      <c r="AF780" s="11">
        <v>44749.40625</v>
      </c>
      <c r="AG780" s="53"/>
      <c r="AH780" s="53" t="b">
        <f t="shared" si="16"/>
        <v>0</v>
      </c>
      <c r="AI780" s="54" t="s">
        <v>10493</v>
      </c>
      <c r="AJ780" s="2"/>
      <c r="AK780" s="2"/>
      <c r="AL780" s="2"/>
      <c r="AM780" s="2"/>
      <c r="AN780" s="2"/>
    </row>
    <row r="781" spans="1:40" ht="16" x14ac:dyDescent="0.2">
      <c r="A781" s="2" t="s">
        <v>2386</v>
      </c>
      <c r="B781" s="2">
        <v>737</v>
      </c>
      <c r="C781" s="2" t="b">
        <v>0</v>
      </c>
      <c r="D781" s="2" t="b">
        <v>0</v>
      </c>
      <c r="E781" s="2" t="b">
        <v>0</v>
      </c>
      <c r="F781" s="2" t="b">
        <v>0</v>
      </c>
      <c r="G781" s="2" t="s">
        <v>31</v>
      </c>
      <c r="H781" s="2" t="s">
        <v>2387</v>
      </c>
      <c r="I781" s="2" t="s">
        <v>2388</v>
      </c>
      <c r="J781" s="2" t="s">
        <v>35</v>
      </c>
      <c r="K781" s="2" t="s">
        <v>35</v>
      </c>
      <c r="L781" s="2" t="s">
        <v>35</v>
      </c>
      <c r="M781" s="2" t="s">
        <v>35</v>
      </c>
      <c r="N781" s="2" t="s">
        <v>35</v>
      </c>
      <c r="O781" s="11">
        <v>44749.518699444445</v>
      </c>
      <c r="P781" s="11">
        <v>44749.518898680559</v>
      </c>
      <c r="Q781" s="27">
        <v>1.9923611398553476E-4</v>
      </c>
      <c r="R781" s="27">
        <v>8.5543981549562886E-4</v>
      </c>
      <c r="S781" s="2">
        <v>0</v>
      </c>
      <c r="T781" s="2" t="s">
        <v>36</v>
      </c>
      <c r="U781" s="2" t="s">
        <v>37</v>
      </c>
      <c r="V781" s="2" t="s">
        <v>38</v>
      </c>
      <c r="W781" s="2" t="s">
        <v>35</v>
      </c>
      <c r="X781" s="2" t="s">
        <v>35</v>
      </c>
      <c r="Y781" s="2" t="s">
        <v>35</v>
      </c>
      <c r="Z781" s="2" t="b">
        <v>0</v>
      </c>
      <c r="AA781" s="2" t="s">
        <v>35</v>
      </c>
      <c r="AB781" s="2" t="s">
        <v>35</v>
      </c>
      <c r="AC781" s="2" t="s">
        <v>35</v>
      </c>
      <c r="AD781" s="2">
        <v>4</v>
      </c>
      <c r="AE781" s="2" t="s">
        <v>2025</v>
      </c>
      <c r="AF781" s="11">
        <v>44749.40625</v>
      </c>
      <c r="AG781" s="53"/>
      <c r="AH781" s="53" t="b">
        <f t="shared" si="16"/>
        <v>0</v>
      </c>
      <c r="AI781" s="54" t="s">
        <v>10494</v>
      </c>
      <c r="AJ781" s="2"/>
      <c r="AK781" s="2"/>
      <c r="AL781" s="2"/>
      <c r="AM781" s="2"/>
      <c r="AN781" s="2"/>
    </row>
    <row r="782" spans="1:40" ht="16" x14ac:dyDescent="0.2">
      <c r="A782" s="2" t="s">
        <v>2396</v>
      </c>
      <c r="B782" s="2">
        <v>740</v>
      </c>
      <c r="C782" s="2" t="b">
        <v>0</v>
      </c>
      <c r="D782" s="2" t="b">
        <v>0</v>
      </c>
      <c r="E782" s="2" t="b">
        <v>0</v>
      </c>
      <c r="F782" s="2" t="b">
        <v>0</v>
      </c>
      <c r="G782" s="2" t="s">
        <v>31</v>
      </c>
      <c r="H782" s="2" t="s">
        <v>2397</v>
      </c>
      <c r="I782" s="2" t="s">
        <v>2398</v>
      </c>
      <c r="J782" s="2" t="s">
        <v>2024</v>
      </c>
      <c r="K782" s="2" t="s">
        <v>35</v>
      </c>
      <c r="L782" s="2" t="s">
        <v>35</v>
      </c>
      <c r="M782" s="2" t="s">
        <v>35</v>
      </c>
      <c r="N782" s="2" t="s">
        <v>35</v>
      </c>
      <c r="O782" s="11">
        <v>44749.521837638888</v>
      </c>
      <c r="P782" s="11">
        <v>44749.522127303244</v>
      </c>
      <c r="Q782" s="27">
        <v>2.8966435638722032E-4</v>
      </c>
      <c r="R782" s="27">
        <v>5.6541666708653793E-4</v>
      </c>
      <c r="S782" s="2">
        <v>0</v>
      </c>
      <c r="T782" s="2" t="s">
        <v>36</v>
      </c>
      <c r="U782" s="2" t="s">
        <v>37</v>
      </c>
      <c r="V782" s="2" t="s">
        <v>38</v>
      </c>
      <c r="W782" s="2" t="s">
        <v>35</v>
      </c>
      <c r="X782" s="2" t="s">
        <v>35</v>
      </c>
      <c r="Y782" s="2" t="s">
        <v>35</v>
      </c>
      <c r="Z782" s="2" t="b">
        <v>0</v>
      </c>
      <c r="AA782" s="2" t="s">
        <v>35</v>
      </c>
      <c r="AB782" s="2" t="s">
        <v>35</v>
      </c>
      <c r="AC782" s="2">
        <v>4</v>
      </c>
      <c r="AD782" s="2">
        <v>3</v>
      </c>
      <c r="AE782" s="2" t="s">
        <v>2025</v>
      </c>
      <c r="AF782" s="11">
        <v>44749.40625</v>
      </c>
      <c r="AG782" s="53"/>
      <c r="AH782" s="53" t="b">
        <f t="shared" si="16"/>
        <v>0</v>
      </c>
      <c r="AI782" s="54" t="s">
        <v>10495</v>
      </c>
      <c r="AJ782" s="2"/>
      <c r="AK782" s="2"/>
      <c r="AL782" s="2"/>
      <c r="AM782" s="2"/>
      <c r="AN782" s="2"/>
    </row>
    <row r="783" spans="1:40" ht="16" x14ac:dyDescent="0.2">
      <c r="A783" s="2" t="s">
        <v>2403</v>
      </c>
      <c r="B783" s="2">
        <v>742</v>
      </c>
      <c r="C783" s="2" t="b">
        <v>0</v>
      </c>
      <c r="D783" s="2" t="b">
        <v>0</v>
      </c>
      <c r="E783" s="2" t="b">
        <v>0</v>
      </c>
      <c r="F783" s="2" t="b">
        <v>0</v>
      </c>
      <c r="G783" s="2" t="s">
        <v>31</v>
      </c>
      <c r="H783" s="2" t="s">
        <v>2404</v>
      </c>
      <c r="I783" s="2" t="s">
        <v>2405</v>
      </c>
      <c r="J783" s="2" t="s">
        <v>1738</v>
      </c>
      <c r="K783" s="2" t="s">
        <v>35</v>
      </c>
      <c r="L783" s="2" t="s">
        <v>35</v>
      </c>
      <c r="M783" s="2" t="s">
        <v>35</v>
      </c>
      <c r="N783" s="2" t="s">
        <v>35</v>
      </c>
      <c r="O783" s="11">
        <v>44753.410902118056</v>
      </c>
      <c r="P783" s="11">
        <v>44753.411292534722</v>
      </c>
      <c r="Q783" s="27">
        <v>3.9041666605044156E-4</v>
      </c>
      <c r="R783" s="27">
        <v>1.5703125027357601E-3</v>
      </c>
      <c r="S783" s="2">
        <v>0</v>
      </c>
      <c r="T783" s="2" t="s">
        <v>36</v>
      </c>
      <c r="U783" s="2" t="s">
        <v>37</v>
      </c>
      <c r="V783" s="2" t="s">
        <v>38</v>
      </c>
      <c r="W783" s="2" t="s">
        <v>35</v>
      </c>
      <c r="X783" s="2" t="s">
        <v>35</v>
      </c>
      <c r="Y783" s="2" t="s">
        <v>35</v>
      </c>
      <c r="Z783" s="2" t="b">
        <v>0</v>
      </c>
      <c r="AA783" s="2" t="s">
        <v>35</v>
      </c>
      <c r="AB783" s="2" t="s">
        <v>35</v>
      </c>
      <c r="AC783" s="2">
        <v>12</v>
      </c>
      <c r="AD783" s="2">
        <v>5</v>
      </c>
      <c r="AE783" s="2" t="s">
        <v>2406</v>
      </c>
      <c r="AF783" s="11">
        <v>44753.409722222219</v>
      </c>
      <c r="AG783" s="53"/>
      <c r="AH783" s="53" t="b">
        <f t="shared" si="16"/>
        <v>0</v>
      </c>
      <c r="AI783" s="54" t="s">
        <v>10496</v>
      </c>
      <c r="AJ783" s="2"/>
      <c r="AK783" s="2"/>
      <c r="AL783" s="2"/>
      <c r="AM783" s="2"/>
      <c r="AN783" s="2"/>
    </row>
    <row r="784" spans="1:40" ht="16" x14ac:dyDescent="0.2">
      <c r="A784" s="2" t="s">
        <v>2413</v>
      </c>
      <c r="B784" s="2">
        <v>745</v>
      </c>
      <c r="C784" s="2" t="b">
        <v>0</v>
      </c>
      <c r="D784" s="2" t="b">
        <v>0</v>
      </c>
      <c r="E784" s="2" t="b">
        <v>0</v>
      </c>
      <c r="F784" s="2" t="b">
        <v>0</v>
      </c>
      <c r="G784" s="2" t="s">
        <v>31</v>
      </c>
      <c r="H784" s="2" t="s">
        <v>2414</v>
      </c>
      <c r="I784" s="2" t="s">
        <v>2415</v>
      </c>
      <c r="J784" s="2" t="s">
        <v>35</v>
      </c>
      <c r="K784" s="2" t="s">
        <v>35</v>
      </c>
      <c r="L784" s="2" t="s">
        <v>35</v>
      </c>
      <c r="M784" s="2" t="s">
        <v>35</v>
      </c>
      <c r="N784" s="2" t="s">
        <v>35</v>
      </c>
      <c r="O784" s="11">
        <v>44753.413970983798</v>
      </c>
      <c r="P784" s="11">
        <v>44753.418486504626</v>
      </c>
      <c r="Q784" s="27">
        <v>4.5155208281357773E-3</v>
      </c>
      <c r="R784" s="27">
        <v>5.4823958271299489E-3</v>
      </c>
      <c r="S784" s="2">
        <v>0</v>
      </c>
      <c r="T784" s="2" t="s">
        <v>36</v>
      </c>
      <c r="U784" s="2" t="s">
        <v>37</v>
      </c>
      <c r="V784" s="2" t="s">
        <v>38</v>
      </c>
      <c r="W784" s="2" t="s">
        <v>35</v>
      </c>
      <c r="X784" s="2" t="s">
        <v>35</v>
      </c>
      <c r="Y784" s="2" t="s">
        <v>35</v>
      </c>
      <c r="Z784" s="2" t="b">
        <v>0</v>
      </c>
      <c r="AA784" s="2" t="s">
        <v>35</v>
      </c>
      <c r="AB784" s="2" t="s">
        <v>35</v>
      </c>
      <c r="AC784" s="2" t="s">
        <v>35</v>
      </c>
      <c r="AD784" s="2">
        <v>5</v>
      </c>
      <c r="AE784" s="2" t="s">
        <v>2406</v>
      </c>
      <c r="AF784" s="11">
        <v>44753.409722164353</v>
      </c>
      <c r="AG784" s="53"/>
      <c r="AH784" s="53" t="str">
        <f t="shared" si="16"/>
        <v>TRUE</v>
      </c>
      <c r="AI784" s="54" t="s">
        <v>10497</v>
      </c>
      <c r="AJ784" s="2"/>
      <c r="AK784" s="2"/>
      <c r="AL784" s="2"/>
      <c r="AM784" s="2"/>
      <c r="AN784" s="2"/>
    </row>
    <row r="785" spans="1:40" ht="16" x14ac:dyDescent="0.2">
      <c r="A785" s="2" t="s">
        <v>2416</v>
      </c>
      <c r="B785" s="2">
        <v>746</v>
      </c>
      <c r="C785" s="2" t="b">
        <v>0</v>
      </c>
      <c r="D785" s="2" t="b">
        <v>0</v>
      </c>
      <c r="E785" s="2" t="b">
        <v>0</v>
      </c>
      <c r="F785" s="2" t="b">
        <v>0</v>
      </c>
      <c r="G785" s="2" t="s">
        <v>31</v>
      </c>
      <c r="H785" s="2" t="s">
        <v>2417</v>
      </c>
      <c r="I785" s="2" t="s">
        <v>2418</v>
      </c>
      <c r="J785" s="2" t="s">
        <v>2419</v>
      </c>
      <c r="K785" s="2" t="s">
        <v>35</v>
      </c>
      <c r="L785" s="2" t="s">
        <v>35</v>
      </c>
      <c r="M785" s="2" t="s">
        <v>35</v>
      </c>
      <c r="N785" s="2" t="s">
        <v>35</v>
      </c>
      <c r="O785" s="11">
        <v>44753.418807210648</v>
      </c>
      <c r="P785" s="11">
        <v>44753.419225810183</v>
      </c>
      <c r="Q785" s="27">
        <v>4.1859953489620239E-4</v>
      </c>
      <c r="R785" s="27">
        <v>7.3930555663537234E-4</v>
      </c>
      <c r="S785" s="2">
        <v>0</v>
      </c>
      <c r="T785" s="2" t="s">
        <v>36</v>
      </c>
      <c r="U785" s="2" t="s">
        <v>37</v>
      </c>
      <c r="V785" s="2" t="s">
        <v>38</v>
      </c>
      <c r="W785" s="2" t="s">
        <v>35</v>
      </c>
      <c r="X785" s="2" t="s">
        <v>35</v>
      </c>
      <c r="Y785" s="2" t="s">
        <v>35</v>
      </c>
      <c r="Z785" s="2" t="b">
        <v>0</v>
      </c>
      <c r="AA785" s="2" t="s">
        <v>35</v>
      </c>
      <c r="AB785" s="2" t="s">
        <v>35</v>
      </c>
      <c r="AC785" s="2">
        <v>5</v>
      </c>
      <c r="AD785" s="2" t="s">
        <v>35</v>
      </c>
      <c r="AE785" s="2" t="s">
        <v>2406</v>
      </c>
      <c r="AF785" s="11">
        <v>44753.409722164353</v>
      </c>
      <c r="AG785" s="53"/>
      <c r="AH785" s="53" t="b">
        <f t="shared" si="16"/>
        <v>0</v>
      </c>
      <c r="AI785" s="54" t="s">
        <v>10498</v>
      </c>
      <c r="AJ785" s="2"/>
      <c r="AK785" s="2"/>
      <c r="AL785" s="2"/>
      <c r="AM785" s="2"/>
      <c r="AN785" s="2"/>
    </row>
    <row r="786" spans="1:40" ht="16" x14ac:dyDescent="0.2">
      <c r="A786" s="2" t="s">
        <v>2424</v>
      </c>
      <c r="B786" s="2">
        <v>748</v>
      </c>
      <c r="C786" s="2" t="b">
        <v>0</v>
      </c>
      <c r="D786" s="2" t="b">
        <v>0</v>
      </c>
      <c r="E786" s="2" t="b">
        <v>0</v>
      </c>
      <c r="F786" s="2" t="b">
        <v>0</v>
      </c>
      <c r="G786" s="2" t="s">
        <v>31</v>
      </c>
      <c r="H786" s="2" t="s">
        <v>2425</v>
      </c>
      <c r="I786" s="2" t="s">
        <v>2426</v>
      </c>
      <c r="J786" s="2" t="s">
        <v>35</v>
      </c>
      <c r="K786" s="2" t="s">
        <v>35</v>
      </c>
      <c r="L786" s="2" t="s">
        <v>35</v>
      </c>
      <c r="M786" s="2" t="s">
        <v>35</v>
      </c>
      <c r="N786" s="2" t="s">
        <v>35</v>
      </c>
      <c r="O786" s="11">
        <v>44753.420917060183</v>
      </c>
      <c r="P786" s="11">
        <v>44753.421082175926</v>
      </c>
      <c r="Q786" s="27">
        <v>1.6511574358446524E-4</v>
      </c>
      <c r="R786" s="27">
        <v>8.2869212928926572E-4</v>
      </c>
      <c r="S786" s="2">
        <v>0</v>
      </c>
      <c r="T786" s="2" t="s">
        <v>36</v>
      </c>
      <c r="U786" s="2" t="s">
        <v>37</v>
      </c>
      <c r="V786" s="2" t="s">
        <v>38</v>
      </c>
      <c r="W786" s="2" t="s">
        <v>35</v>
      </c>
      <c r="X786" s="2" t="s">
        <v>35</v>
      </c>
      <c r="Y786" s="2" t="s">
        <v>35</v>
      </c>
      <c r="Z786" s="2" t="b">
        <v>0</v>
      </c>
      <c r="AA786" s="2" t="s">
        <v>35</v>
      </c>
      <c r="AB786" s="2" t="s">
        <v>35</v>
      </c>
      <c r="AC786" s="2" t="s">
        <v>35</v>
      </c>
      <c r="AD786" s="2">
        <v>2</v>
      </c>
      <c r="AE786" s="2" t="s">
        <v>2406</v>
      </c>
      <c r="AF786" s="11">
        <v>44753.409722164353</v>
      </c>
      <c r="AG786" s="53"/>
      <c r="AH786" s="53" t="b">
        <f t="shared" si="16"/>
        <v>0</v>
      </c>
      <c r="AI786" s="54" t="s">
        <v>10499</v>
      </c>
      <c r="AJ786" s="2"/>
      <c r="AK786" s="2"/>
      <c r="AL786" s="2"/>
      <c r="AM786" s="2"/>
      <c r="AN786" s="2"/>
    </row>
    <row r="787" spans="1:40" ht="16" x14ac:dyDescent="0.2">
      <c r="A787" s="2" t="s">
        <v>2427</v>
      </c>
      <c r="B787" s="2">
        <v>749</v>
      </c>
      <c r="C787" s="2" t="b">
        <v>0</v>
      </c>
      <c r="D787" s="2" t="b">
        <v>0</v>
      </c>
      <c r="E787" s="2" t="b">
        <v>0</v>
      </c>
      <c r="F787" s="2" t="b">
        <v>0</v>
      </c>
      <c r="G787" s="2" t="s">
        <v>31</v>
      </c>
      <c r="H787" s="2" t="s">
        <v>2428</v>
      </c>
      <c r="I787" s="2" t="s">
        <v>2429</v>
      </c>
      <c r="J787" s="2" t="s">
        <v>35</v>
      </c>
      <c r="K787" s="2" t="s">
        <v>35</v>
      </c>
      <c r="L787" s="2" t="s">
        <v>35</v>
      </c>
      <c r="M787" s="2" t="s">
        <v>35</v>
      </c>
      <c r="N787" s="2" t="s">
        <v>35</v>
      </c>
      <c r="O787" s="11">
        <v>44753.423413819444</v>
      </c>
      <c r="P787" s="11">
        <v>44753.423986747686</v>
      </c>
      <c r="Q787" s="27">
        <v>5.7292824203614146E-4</v>
      </c>
      <c r="R787" s="27">
        <v>2.9045717601547949E-3</v>
      </c>
      <c r="S787" s="2">
        <v>0</v>
      </c>
      <c r="T787" s="2" t="s">
        <v>36</v>
      </c>
      <c r="U787" s="2" t="s">
        <v>37</v>
      </c>
      <c r="V787" s="2" t="s">
        <v>38</v>
      </c>
      <c r="W787" s="2" t="s">
        <v>35</v>
      </c>
      <c r="X787" s="2" t="s">
        <v>35</v>
      </c>
      <c r="Y787" s="2" t="s">
        <v>35</v>
      </c>
      <c r="Z787" s="2" t="b">
        <v>0</v>
      </c>
      <c r="AA787" s="2" t="s">
        <v>35</v>
      </c>
      <c r="AB787" s="2" t="s">
        <v>35</v>
      </c>
      <c r="AC787" s="2" t="s">
        <v>35</v>
      </c>
      <c r="AD787" s="2">
        <v>3</v>
      </c>
      <c r="AE787" s="2" t="s">
        <v>2406</v>
      </c>
      <c r="AF787" s="11">
        <v>44753.409722164353</v>
      </c>
      <c r="AG787" s="53"/>
      <c r="AH787" s="53" t="b">
        <f t="shared" si="16"/>
        <v>0</v>
      </c>
      <c r="AI787" s="54" t="s">
        <v>10502</v>
      </c>
      <c r="AJ787" s="2" t="s">
        <v>10500</v>
      </c>
      <c r="AK787" s="2" t="s">
        <v>10501</v>
      </c>
      <c r="AL787" s="2"/>
      <c r="AM787" s="2"/>
      <c r="AN787" s="2"/>
    </row>
    <row r="788" spans="1:40" ht="16" x14ac:dyDescent="0.2">
      <c r="A788" s="2" t="s">
        <v>2430</v>
      </c>
      <c r="B788" s="2">
        <v>750</v>
      </c>
      <c r="C788" s="2" t="b">
        <v>0</v>
      </c>
      <c r="D788" s="2" t="b">
        <v>0</v>
      </c>
      <c r="E788" s="2" t="b">
        <v>0</v>
      </c>
      <c r="F788" s="2" t="b">
        <v>0</v>
      </c>
      <c r="G788" s="2" t="s">
        <v>31</v>
      </c>
      <c r="H788" s="2" t="s">
        <v>2431</v>
      </c>
      <c r="I788" s="2" t="s">
        <v>2432</v>
      </c>
      <c r="J788" s="2" t="s">
        <v>35</v>
      </c>
      <c r="K788" s="2" t="s">
        <v>35</v>
      </c>
      <c r="L788" s="2" t="s">
        <v>35</v>
      </c>
      <c r="M788" s="2" t="s">
        <v>35</v>
      </c>
      <c r="N788" s="2" t="s">
        <v>35</v>
      </c>
      <c r="O788" s="11">
        <v>44753.42450724537</v>
      </c>
      <c r="P788" s="11">
        <v>44753.424681828707</v>
      </c>
      <c r="Q788" s="27">
        <v>1.7458333604736254E-4</v>
      </c>
      <c r="R788" s="27">
        <v>6.9508102023974061E-4</v>
      </c>
      <c r="S788" s="2">
        <v>0</v>
      </c>
      <c r="T788" s="2" t="s">
        <v>36</v>
      </c>
      <c r="U788" s="2" t="s">
        <v>37</v>
      </c>
      <c r="V788" s="2" t="s">
        <v>38</v>
      </c>
      <c r="W788" s="2" t="s">
        <v>35</v>
      </c>
      <c r="X788" s="2" t="s">
        <v>35</v>
      </c>
      <c r="Y788" s="2" t="s">
        <v>35</v>
      </c>
      <c r="Z788" s="2" t="b">
        <v>0</v>
      </c>
      <c r="AA788" s="2" t="s">
        <v>35</v>
      </c>
      <c r="AB788" s="2" t="s">
        <v>35</v>
      </c>
      <c r="AC788" s="2" t="s">
        <v>35</v>
      </c>
      <c r="AD788" s="2">
        <v>4</v>
      </c>
      <c r="AE788" s="2" t="s">
        <v>2406</v>
      </c>
      <c r="AF788" s="11">
        <v>44753.409722164353</v>
      </c>
      <c r="AG788" s="53"/>
      <c r="AH788" s="53" t="b">
        <f t="shared" si="16"/>
        <v>0</v>
      </c>
      <c r="AI788" s="54" t="s">
        <v>10503</v>
      </c>
      <c r="AJ788" s="2"/>
      <c r="AK788" s="2"/>
      <c r="AL788" s="2"/>
      <c r="AM788" s="2"/>
      <c r="AN788" s="2"/>
    </row>
    <row r="789" spans="1:40" ht="16" x14ac:dyDescent="0.2">
      <c r="A789" s="2" t="s">
        <v>2433</v>
      </c>
      <c r="B789" s="2">
        <v>751</v>
      </c>
      <c r="C789" s="2" t="b">
        <v>0</v>
      </c>
      <c r="D789" s="2" t="b">
        <v>0</v>
      </c>
      <c r="E789" s="2" t="b">
        <v>0</v>
      </c>
      <c r="F789" s="2" t="b">
        <v>0</v>
      </c>
      <c r="G789" s="2" t="s">
        <v>31</v>
      </c>
      <c r="H789" s="2" t="s">
        <v>2434</v>
      </c>
      <c r="I789" s="2" t="s">
        <v>2435</v>
      </c>
      <c r="J789" s="2" t="s">
        <v>35</v>
      </c>
      <c r="K789" s="2" t="s">
        <v>35</v>
      </c>
      <c r="L789" s="2" t="s">
        <v>35</v>
      </c>
      <c r="M789" s="2" t="s">
        <v>35</v>
      </c>
      <c r="N789" s="2" t="s">
        <v>35</v>
      </c>
      <c r="O789" s="11">
        <v>44753.426873715274</v>
      </c>
      <c r="P789" s="11">
        <v>44753.427114664351</v>
      </c>
      <c r="Q789" s="27">
        <v>2.4094907712424174E-4</v>
      </c>
      <c r="R789" s="27">
        <v>2.4328356448677368E-3</v>
      </c>
      <c r="S789" s="2">
        <v>0</v>
      </c>
      <c r="T789" s="2" t="s">
        <v>36</v>
      </c>
      <c r="U789" s="2" t="s">
        <v>37</v>
      </c>
      <c r="V789" s="2" t="s">
        <v>38</v>
      </c>
      <c r="W789" s="2" t="s">
        <v>35</v>
      </c>
      <c r="X789" s="2" t="s">
        <v>35</v>
      </c>
      <c r="Y789" s="2" t="s">
        <v>35</v>
      </c>
      <c r="Z789" s="2" t="b">
        <v>0</v>
      </c>
      <c r="AA789" s="2" t="s">
        <v>35</v>
      </c>
      <c r="AB789" s="2" t="s">
        <v>35</v>
      </c>
      <c r="AC789" s="2" t="s">
        <v>35</v>
      </c>
      <c r="AD789" s="2">
        <v>5</v>
      </c>
      <c r="AE789" s="2" t="s">
        <v>2406</v>
      </c>
      <c r="AF789" s="11">
        <v>44753.409722164353</v>
      </c>
      <c r="AG789" s="53"/>
      <c r="AH789" s="53" t="b">
        <f t="shared" si="16"/>
        <v>0</v>
      </c>
      <c r="AI789" s="54" t="s">
        <v>10506</v>
      </c>
      <c r="AJ789" s="2" t="s">
        <v>10504</v>
      </c>
      <c r="AK789" s="2" t="s">
        <v>10505</v>
      </c>
      <c r="AL789" s="2"/>
      <c r="AM789" s="2"/>
      <c r="AN789" s="2"/>
    </row>
    <row r="790" spans="1:40" ht="16" x14ac:dyDescent="0.2">
      <c r="A790" s="2" t="s">
        <v>2436</v>
      </c>
      <c r="B790" s="2">
        <v>752</v>
      </c>
      <c r="C790" s="2" t="b">
        <v>0</v>
      </c>
      <c r="D790" s="2" t="b">
        <v>0</v>
      </c>
      <c r="E790" s="2" t="b">
        <v>0</v>
      </c>
      <c r="F790" s="2" t="b">
        <v>0</v>
      </c>
      <c r="G790" s="2" t="s">
        <v>31</v>
      </c>
      <c r="H790" s="2" t="s">
        <v>2437</v>
      </c>
      <c r="I790" s="2" t="s">
        <v>2438</v>
      </c>
      <c r="J790" s="2" t="s">
        <v>1594</v>
      </c>
      <c r="K790" s="2" t="s">
        <v>35</v>
      </c>
      <c r="L790" s="2" t="s">
        <v>35</v>
      </c>
      <c r="M790" s="2" t="s">
        <v>35</v>
      </c>
      <c r="N790" s="2" t="s">
        <v>35</v>
      </c>
      <c r="O790" s="11">
        <v>44753.427796064818</v>
      </c>
      <c r="P790" s="11">
        <v>44753.428029641203</v>
      </c>
      <c r="Q790" s="27">
        <v>2.3357638565357774E-4</v>
      </c>
      <c r="R790" s="27">
        <v>9.149768520728685E-4</v>
      </c>
      <c r="S790" s="2">
        <v>0</v>
      </c>
      <c r="T790" s="2" t="s">
        <v>36</v>
      </c>
      <c r="U790" s="2" t="s">
        <v>37</v>
      </c>
      <c r="V790" s="2" t="s">
        <v>38</v>
      </c>
      <c r="W790" s="2" t="s">
        <v>35</v>
      </c>
      <c r="X790" s="2" t="s">
        <v>35</v>
      </c>
      <c r="Y790" s="2" t="s">
        <v>35</v>
      </c>
      <c r="Z790" s="2" t="b">
        <v>0</v>
      </c>
      <c r="AA790" s="2" t="s">
        <v>35</v>
      </c>
      <c r="AB790" s="2" t="s">
        <v>35</v>
      </c>
      <c r="AC790" s="2">
        <v>6</v>
      </c>
      <c r="AD790" s="2" t="s">
        <v>35</v>
      </c>
      <c r="AE790" s="2" t="s">
        <v>2406</v>
      </c>
      <c r="AF790" s="11">
        <v>44753.409722164353</v>
      </c>
      <c r="AG790" s="53"/>
      <c r="AH790" s="53" t="b">
        <f t="shared" si="16"/>
        <v>0</v>
      </c>
      <c r="AI790" s="54" t="s">
        <v>10507</v>
      </c>
      <c r="AJ790" s="2"/>
      <c r="AK790" s="2"/>
      <c r="AL790" s="2"/>
      <c r="AM790" s="2"/>
      <c r="AN790" s="2"/>
    </row>
    <row r="791" spans="1:40" ht="16" x14ac:dyDescent="0.2">
      <c r="A791" s="2" t="s">
        <v>2439</v>
      </c>
      <c r="B791" s="2">
        <v>753</v>
      </c>
      <c r="C791" s="2" t="b">
        <v>0</v>
      </c>
      <c r="D791" s="2" t="b">
        <v>0</v>
      </c>
      <c r="E791" s="2" t="b">
        <v>0</v>
      </c>
      <c r="F791" s="2" t="b">
        <v>0</v>
      </c>
      <c r="G791" s="2" t="s">
        <v>31</v>
      </c>
      <c r="H791" s="2" t="s">
        <v>2440</v>
      </c>
      <c r="I791" s="2" t="s">
        <v>2441</v>
      </c>
      <c r="J791" s="2" t="s">
        <v>1594</v>
      </c>
      <c r="K791" s="2" t="s">
        <v>35</v>
      </c>
      <c r="L791" s="2" t="s">
        <v>35</v>
      </c>
      <c r="M791" s="2" t="s">
        <v>35</v>
      </c>
      <c r="N791" s="2" t="s">
        <v>35</v>
      </c>
      <c r="O791" s="11">
        <v>44753.428577986109</v>
      </c>
      <c r="P791" s="11">
        <v>44753.428968657405</v>
      </c>
      <c r="Q791" s="27">
        <v>3.9067129546310753E-4</v>
      </c>
      <c r="R791" s="27">
        <v>9.3901620130054653E-4</v>
      </c>
      <c r="S791" s="2">
        <v>0</v>
      </c>
      <c r="T791" s="2" t="s">
        <v>36</v>
      </c>
      <c r="U791" s="2" t="s">
        <v>37</v>
      </c>
      <c r="V791" s="2" t="s">
        <v>38</v>
      </c>
      <c r="W791" s="2" t="s">
        <v>35</v>
      </c>
      <c r="X791" s="2" t="s">
        <v>35</v>
      </c>
      <c r="Y791" s="2" t="s">
        <v>35</v>
      </c>
      <c r="Z791" s="2" t="b">
        <v>0</v>
      </c>
      <c r="AA791" s="2" t="s">
        <v>35</v>
      </c>
      <c r="AB791" s="2" t="s">
        <v>35</v>
      </c>
      <c r="AC791" s="2">
        <v>7</v>
      </c>
      <c r="AD791" s="2">
        <v>2</v>
      </c>
      <c r="AE791" s="2" t="s">
        <v>2406</v>
      </c>
      <c r="AF791" s="11">
        <v>44753.409722164353</v>
      </c>
      <c r="AG791" s="53"/>
      <c r="AH791" s="53" t="b">
        <f t="shared" si="16"/>
        <v>0</v>
      </c>
      <c r="AI791" s="54" t="s">
        <v>10508</v>
      </c>
      <c r="AJ791" s="2"/>
      <c r="AK791" s="2"/>
      <c r="AL791" s="2"/>
      <c r="AM791" s="2"/>
      <c r="AN791" s="2"/>
    </row>
    <row r="792" spans="1:40" ht="16" x14ac:dyDescent="0.2">
      <c r="A792" s="2" t="s">
        <v>2449</v>
      </c>
      <c r="B792" s="2">
        <v>756</v>
      </c>
      <c r="C792" s="2" t="b">
        <v>0</v>
      </c>
      <c r="D792" s="2" t="b">
        <v>0</v>
      </c>
      <c r="E792" s="2" t="b">
        <v>0</v>
      </c>
      <c r="F792" s="2" t="b">
        <v>0</v>
      </c>
      <c r="G792" s="2" t="s">
        <v>31</v>
      </c>
      <c r="H792" s="2" t="s">
        <v>2450</v>
      </c>
      <c r="I792" s="2" t="s">
        <v>2451</v>
      </c>
      <c r="J792" s="2" t="s">
        <v>35</v>
      </c>
      <c r="K792" s="2" t="s">
        <v>35</v>
      </c>
      <c r="L792" s="2" t="s">
        <v>35</v>
      </c>
      <c r="M792" s="2" t="s">
        <v>35</v>
      </c>
      <c r="N792" s="2" t="s">
        <v>35</v>
      </c>
      <c r="O792" s="11">
        <v>44753.432420150464</v>
      </c>
      <c r="P792" s="11">
        <v>44753.432606076392</v>
      </c>
      <c r="Q792" s="27">
        <v>1.8592592823551968E-4</v>
      </c>
      <c r="R792" s="27">
        <v>1.5694675967097282E-3</v>
      </c>
      <c r="S792" s="2">
        <v>0</v>
      </c>
      <c r="T792" s="2" t="s">
        <v>36</v>
      </c>
      <c r="U792" s="2" t="s">
        <v>37</v>
      </c>
      <c r="V792" s="2" t="s">
        <v>38</v>
      </c>
      <c r="W792" s="2" t="s">
        <v>35</v>
      </c>
      <c r="X792" s="2" t="s">
        <v>35</v>
      </c>
      <c r="Y792" s="2" t="s">
        <v>35</v>
      </c>
      <c r="Z792" s="2" t="b">
        <v>0</v>
      </c>
      <c r="AA792" s="2" t="s">
        <v>35</v>
      </c>
      <c r="AB792" s="2" t="s">
        <v>35</v>
      </c>
      <c r="AC792" s="2" t="s">
        <v>35</v>
      </c>
      <c r="AD792" s="2">
        <v>3</v>
      </c>
      <c r="AE792" s="2" t="s">
        <v>2406</v>
      </c>
      <c r="AF792" s="11">
        <v>44753.409722164353</v>
      </c>
      <c r="AG792" s="53"/>
      <c r="AH792" s="53" t="b">
        <f t="shared" si="16"/>
        <v>0</v>
      </c>
      <c r="AI792" s="54" t="s">
        <v>10509</v>
      </c>
      <c r="AJ792" s="2"/>
      <c r="AK792" s="2"/>
      <c r="AL792" s="2"/>
      <c r="AM792" s="2"/>
      <c r="AN792" s="2"/>
    </row>
    <row r="793" spans="1:40" ht="16" x14ac:dyDescent="0.2">
      <c r="A793" s="2" t="s">
        <v>2477</v>
      </c>
      <c r="B793" s="2">
        <v>765</v>
      </c>
      <c r="C793" s="2" t="b">
        <v>0</v>
      </c>
      <c r="D793" s="2" t="b">
        <v>0</v>
      </c>
      <c r="E793" s="2" t="b">
        <v>0</v>
      </c>
      <c r="F793" s="2" t="b">
        <v>0</v>
      </c>
      <c r="G793" s="2" t="s">
        <v>31</v>
      </c>
      <c r="H793" s="2" t="s">
        <v>2478</v>
      </c>
      <c r="I793" s="2" t="s">
        <v>2479</v>
      </c>
      <c r="J793" s="2" t="s">
        <v>35</v>
      </c>
      <c r="K793" s="2" t="s">
        <v>35</v>
      </c>
      <c r="L793" s="2" t="s">
        <v>35</v>
      </c>
      <c r="M793" s="2" t="s">
        <v>35</v>
      </c>
      <c r="N793" s="2" t="s">
        <v>35</v>
      </c>
      <c r="O793" s="11">
        <v>44753.440681631946</v>
      </c>
      <c r="P793" s="11">
        <v>44753.440861724535</v>
      </c>
      <c r="Q793" s="27">
        <v>1.8009258928941563E-4</v>
      </c>
      <c r="R793" s="27">
        <v>2.2930555132916197E-4</v>
      </c>
      <c r="S793" s="2">
        <v>0</v>
      </c>
      <c r="T793" s="2" t="s">
        <v>36</v>
      </c>
      <c r="U793" s="2" t="s">
        <v>37</v>
      </c>
      <c r="V793" s="2" t="s">
        <v>38</v>
      </c>
      <c r="W793" s="2" t="s">
        <v>35</v>
      </c>
      <c r="X793" s="2" t="s">
        <v>35</v>
      </c>
      <c r="Y793" s="2" t="s">
        <v>35</v>
      </c>
      <c r="Z793" s="2" t="b">
        <v>0</v>
      </c>
      <c r="AA793" s="2" t="s">
        <v>2284</v>
      </c>
      <c r="AB793" s="2" t="s">
        <v>35</v>
      </c>
      <c r="AC793" s="2" t="s">
        <v>35</v>
      </c>
      <c r="AD793" s="2" t="s">
        <v>35</v>
      </c>
      <c r="AE793" s="2" t="s">
        <v>2406</v>
      </c>
      <c r="AF793" s="11">
        <v>44753.409722164353</v>
      </c>
      <c r="AG793" s="53"/>
      <c r="AH793" s="53" t="b">
        <f t="shared" si="16"/>
        <v>0</v>
      </c>
      <c r="AI793" s="54" t="s">
        <v>10510</v>
      </c>
      <c r="AJ793" s="2"/>
      <c r="AK793" s="2"/>
      <c r="AL793" s="2"/>
      <c r="AM793" s="2"/>
      <c r="AN793" s="2"/>
    </row>
    <row r="794" spans="1:40" ht="16" x14ac:dyDescent="0.2">
      <c r="A794" s="2" t="s">
        <v>2491</v>
      </c>
      <c r="B794" s="2">
        <v>770</v>
      </c>
      <c r="C794" s="2" t="b">
        <v>0</v>
      </c>
      <c r="D794" s="2" t="b">
        <v>0</v>
      </c>
      <c r="E794" s="2" t="b">
        <v>0</v>
      </c>
      <c r="F794" s="2" t="b">
        <v>0</v>
      </c>
      <c r="G794" s="2" t="s">
        <v>31</v>
      </c>
      <c r="H794" s="2" t="s">
        <v>2492</v>
      </c>
      <c r="I794" s="2" t="s">
        <v>2493</v>
      </c>
      <c r="J794" s="2" t="s">
        <v>1647</v>
      </c>
      <c r="K794" s="2" t="s">
        <v>35</v>
      </c>
      <c r="L794" s="2" t="s">
        <v>35</v>
      </c>
      <c r="M794" s="2" t="s">
        <v>35</v>
      </c>
      <c r="N794" s="2" t="s">
        <v>35</v>
      </c>
      <c r="O794" s="11">
        <v>44753.453767326391</v>
      </c>
      <c r="P794" s="11">
        <v>44753.454161643516</v>
      </c>
      <c r="Q794" s="27">
        <v>3.9431712502846494E-4</v>
      </c>
      <c r="R794" s="27">
        <v>2.0325810182839632E-3</v>
      </c>
      <c r="S794" s="2">
        <v>0</v>
      </c>
      <c r="T794" s="2" t="s">
        <v>36</v>
      </c>
      <c r="U794" s="2" t="s">
        <v>37</v>
      </c>
      <c r="V794" s="2" t="s">
        <v>38</v>
      </c>
      <c r="W794" s="2" t="s">
        <v>35</v>
      </c>
      <c r="X794" s="2" t="s">
        <v>35</v>
      </c>
      <c r="Y794" s="2" t="s">
        <v>35</v>
      </c>
      <c r="Z794" s="2" t="b">
        <v>0</v>
      </c>
      <c r="AA794" s="2" t="s">
        <v>35</v>
      </c>
      <c r="AB794" s="2" t="s">
        <v>35</v>
      </c>
      <c r="AC794" s="2">
        <v>4</v>
      </c>
      <c r="AD794" s="2" t="s">
        <v>35</v>
      </c>
      <c r="AE794" s="2" t="s">
        <v>2406</v>
      </c>
      <c r="AF794" s="11">
        <v>44753.409722164353</v>
      </c>
      <c r="AG794" s="53"/>
      <c r="AH794" s="53" t="b">
        <f t="shared" si="16"/>
        <v>0</v>
      </c>
      <c r="AI794" s="54" t="s">
        <v>10511</v>
      </c>
      <c r="AJ794" s="2"/>
      <c r="AK794" s="2"/>
      <c r="AL794" s="2"/>
      <c r="AM794" s="2"/>
      <c r="AN794" s="2"/>
    </row>
    <row r="795" spans="1:40" ht="16" x14ac:dyDescent="0.2">
      <c r="A795" s="2" t="s">
        <v>2494</v>
      </c>
      <c r="B795" s="2">
        <v>771</v>
      </c>
      <c r="C795" s="2" t="b">
        <v>0</v>
      </c>
      <c r="D795" s="2" t="b">
        <v>0</v>
      </c>
      <c r="E795" s="2" t="b">
        <v>0</v>
      </c>
      <c r="F795" s="2" t="b">
        <v>0</v>
      </c>
      <c r="G795" s="2" t="s">
        <v>31</v>
      </c>
      <c r="H795" s="2" t="s">
        <v>2495</v>
      </c>
      <c r="I795" s="2" t="s">
        <v>2496</v>
      </c>
      <c r="J795" s="2" t="s">
        <v>2497</v>
      </c>
      <c r="K795" s="2" t="s">
        <v>35</v>
      </c>
      <c r="L795" s="2" t="s">
        <v>35</v>
      </c>
      <c r="M795" s="2" t="s">
        <v>35</v>
      </c>
      <c r="N795" s="2" t="s">
        <v>35</v>
      </c>
      <c r="O795" s="11">
        <v>44753.455829016202</v>
      </c>
      <c r="P795" s="11">
        <v>44753.456030787034</v>
      </c>
      <c r="Q795" s="27">
        <v>2.0177083206363022E-4</v>
      </c>
      <c r="R795" s="27">
        <v>1.8691435179789551E-3</v>
      </c>
      <c r="S795" s="2">
        <v>0</v>
      </c>
      <c r="T795" s="2" t="s">
        <v>36</v>
      </c>
      <c r="U795" s="2" t="s">
        <v>37</v>
      </c>
      <c r="V795" s="2" t="s">
        <v>38</v>
      </c>
      <c r="W795" s="2" t="s">
        <v>35</v>
      </c>
      <c r="X795" s="2" t="s">
        <v>35</v>
      </c>
      <c r="Y795" s="2" t="s">
        <v>35</v>
      </c>
      <c r="Z795" s="2" t="b">
        <v>0</v>
      </c>
      <c r="AA795" s="2" t="s">
        <v>35</v>
      </c>
      <c r="AB795" s="2" t="s">
        <v>35</v>
      </c>
      <c r="AC795" s="2" t="s">
        <v>35</v>
      </c>
      <c r="AD795" s="2" t="s">
        <v>35</v>
      </c>
      <c r="AE795" s="2" t="s">
        <v>2406</v>
      </c>
      <c r="AF795" s="11">
        <v>44753.409722164353</v>
      </c>
      <c r="AG795" s="53"/>
      <c r="AH795" s="53" t="b">
        <f t="shared" si="16"/>
        <v>0</v>
      </c>
      <c r="AI795" s="54" t="s">
        <v>10512</v>
      </c>
      <c r="AJ795" s="2"/>
      <c r="AK795" s="2"/>
      <c r="AL795" s="2"/>
      <c r="AM795" s="2"/>
      <c r="AN795" s="2"/>
    </row>
    <row r="796" spans="1:40" ht="16" x14ac:dyDescent="0.2">
      <c r="A796" s="2" t="s">
        <v>2498</v>
      </c>
      <c r="B796" s="2">
        <v>772</v>
      </c>
      <c r="C796" s="2" t="b">
        <v>0</v>
      </c>
      <c r="D796" s="2" t="b">
        <v>0</v>
      </c>
      <c r="E796" s="2" t="b">
        <v>0</v>
      </c>
      <c r="F796" s="2" t="b">
        <v>0</v>
      </c>
      <c r="G796" s="2" t="s">
        <v>31</v>
      </c>
      <c r="H796" s="2" t="s">
        <v>2499</v>
      </c>
      <c r="I796" s="2" t="s">
        <v>2500</v>
      </c>
      <c r="J796" s="2" t="s">
        <v>35</v>
      </c>
      <c r="K796" s="2" t="s">
        <v>35</v>
      </c>
      <c r="L796" s="2" t="s">
        <v>35</v>
      </c>
      <c r="M796" s="2" t="s">
        <v>35</v>
      </c>
      <c r="N796" s="2" t="s">
        <v>35</v>
      </c>
      <c r="O796" s="11">
        <v>44753.458490960649</v>
      </c>
      <c r="P796" s="11">
        <v>44753.458685810183</v>
      </c>
      <c r="Q796" s="27">
        <v>1.9484953372739255E-4</v>
      </c>
      <c r="R796" s="27">
        <v>2.655023148690816E-3</v>
      </c>
      <c r="S796" s="2">
        <v>0</v>
      </c>
      <c r="T796" s="2" t="s">
        <v>36</v>
      </c>
      <c r="U796" s="2" t="s">
        <v>37</v>
      </c>
      <c r="V796" s="2" t="s">
        <v>38</v>
      </c>
      <c r="W796" s="2" t="s">
        <v>35</v>
      </c>
      <c r="X796" s="2" t="s">
        <v>35</v>
      </c>
      <c r="Y796" s="2" t="s">
        <v>35</v>
      </c>
      <c r="Z796" s="2" t="b">
        <v>0</v>
      </c>
      <c r="AA796" s="2" t="s">
        <v>35</v>
      </c>
      <c r="AB796" s="2" t="s">
        <v>35</v>
      </c>
      <c r="AC796" s="2" t="s">
        <v>35</v>
      </c>
      <c r="AD796" s="2">
        <v>2</v>
      </c>
      <c r="AE796" s="2" t="s">
        <v>2406</v>
      </c>
      <c r="AF796" s="11">
        <v>44753.409722164353</v>
      </c>
      <c r="AG796" s="53"/>
      <c r="AH796" s="53" t="b">
        <f t="shared" si="16"/>
        <v>0</v>
      </c>
      <c r="AI796" s="54" t="s">
        <v>10513</v>
      </c>
      <c r="AJ796" s="2"/>
      <c r="AK796" s="2"/>
      <c r="AL796" s="2"/>
      <c r="AM796" s="2"/>
      <c r="AN796" s="2"/>
    </row>
    <row r="797" spans="1:40" ht="16" x14ac:dyDescent="0.2">
      <c r="A797" s="2" t="s">
        <v>2501</v>
      </c>
      <c r="B797" s="2">
        <v>773</v>
      </c>
      <c r="C797" s="2" t="b">
        <v>0</v>
      </c>
      <c r="D797" s="2" t="b">
        <v>0</v>
      </c>
      <c r="E797" s="2" t="b">
        <v>0</v>
      </c>
      <c r="F797" s="2" t="b">
        <v>0</v>
      </c>
      <c r="G797" s="2" t="s">
        <v>31</v>
      </c>
      <c r="H797" s="2" t="s">
        <v>2502</v>
      </c>
      <c r="I797" s="2" t="s">
        <v>2503</v>
      </c>
      <c r="J797" s="2" t="s">
        <v>1647</v>
      </c>
      <c r="K797" s="2" t="s">
        <v>35</v>
      </c>
      <c r="L797" s="2" t="s">
        <v>35</v>
      </c>
      <c r="M797" s="2" t="s">
        <v>35</v>
      </c>
      <c r="N797" s="2" t="s">
        <v>35</v>
      </c>
      <c r="O797" s="11">
        <v>44753.459483923609</v>
      </c>
      <c r="P797" s="11">
        <v>44753.459821631943</v>
      </c>
      <c r="Q797" s="27">
        <v>3.377083339728415E-4</v>
      </c>
      <c r="R797" s="27">
        <v>1.1358217598171905E-3</v>
      </c>
      <c r="S797" s="2">
        <v>0</v>
      </c>
      <c r="T797" s="2" t="s">
        <v>36</v>
      </c>
      <c r="U797" s="2" t="s">
        <v>37</v>
      </c>
      <c r="V797" s="2" t="s">
        <v>38</v>
      </c>
      <c r="W797" s="2" t="s">
        <v>35</v>
      </c>
      <c r="X797" s="2" t="s">
        <v>35</v>
      </c>
      <c r="Y797" s="2" t="s">
        <v>35</v>
      </c>
      <c r="Z797" s="2" t="b">
        <v>0</v>
      </c>
      <c r="AA797" s="2" t="s">
        <v>35</v>
      </c>
      <c r="AB797" s="2" t="s">
        <v>35</v>
      </c>
      <c r="AC797" s="2">
        <v>4</v>
      </c>
      <c r="AD797" s="2" t="s">
        <v>35</v>
      </c>
      <c r="AE797" s="2" t="s">
        <v>2406</v>
      </c>
      <c r="AF797" s="11">
        <v>44753.409722164353</v>
      </c>
      <c r="AG797" s="53"/>
      <c r="AH797" s="53" t="b">
        <f t="shared" ref="AH797:AH860" si="17">IF(Q797&gt;TIME(0,1,9),"TRUE")</f>
        <v>0</v>
      </c>
      <c r="AI797" s="54" t="s">
        <v>10514</v>
      </c>
      <c r="AJ797" s="2"/>
      <c r="AK797" s="2"/>
      <c r="AL797" s="2"/>
      <c r="AM797" s="2"/>
      <c r="AN797" s="2"/>
    </row>
    <row r="798" spans="1:40" ht="16" x14ac:dyDescent="0.2">
      <c r="A798" s="2" t="s">
        <v>2504</v>
      </c>
      <c r="B798" s="2">
        <v>774</v>
      </c>
      <c r="C798" s="2" t="b">
        <v>0</v>
      </c>
      <c r="D798" s="2" t="b">
        <v>0</v>
      </c>
      <c r="E798" s="2" t="b">
        <v>0</v>
      </c>
      <c r="F798" s="2" t="b">
        <v>0</v>
      </c>
      <c r="G798" s="2" t="s">
        <v>31</v>
      </c>
      <c r="H798" s="2" t="s">
        <v>2505</v>
      </c>
      <c r="I798" s="2" t="s">
        <v>2506</v>
      </c>
      <c r="J798" s="2" t="s">
        <v>35</v>
      </c>
      <c r="K798" s="2" t="s">
        <v>35</v>
      </c>
      <c r="L798" s="2" t="s">
        <v>35</v>
      </c>
      <c r="M798" s="2" t="s">
        <v>35</v>
      </c>
      <c r="N798" s="2" t="s">
        <v>35</v>
      </c>
      <c r="O798" s="11">
        <v>44753.461329224534</v>
      </c>
      <c r="P798" s="11">
        <v>44753.461434687502</v>
      </c>
      <c r="Q798" s="27">
        <v>1.0546296834945679E-4</v>
      </c>
      <c r="R798" s="27">
        <v>1.6130555595736951E-3</v>
      </c>
      <c r="S798" s="2">
        <v>0</v>
      </c>
      <c r="T798" s="2" t="s">
        <v>36</v>
      </c>
      <c r="U798" s="2" t="s">
        <v>37</v>
      </c>
      <c r="V798" s="2" t="s">
        <v>38</v>
      </c>
      <c r="W798" s="2" t="s">
        <v>35</v>
      </c>
      <c r="X798" s="2" t="s">
        <v>35</v>
      </c>
      <c r="Y798" s="2" t="s">
        <v>35</v>
      </c>
      <c r="Z798" s="2" t="b">
        <v>0</v>
      </c>
      <c r="AA798" s="2" t="s">
        <v>35</v>
      </c>
      <c r="AB798" s="2" t="s">
        <v>35</v>
      </c>
      <c r="AC798" s="2" t="s">
        <v>35</v>
      </c>
      <c r="AD798" s="2">
        <v>2</v>
      </c>
      <c r="AE798" s="2" t="s">
        <v>2406</v>
      </c>
      <c r="AF798" s="11">
        <v>44753.409722164353</v>
      </c>
      <c r="AG798" s="53"/>
      <c r="AH798" s="53" t="b">
        <f t="shared" si="17"/>
        <v>0</v>
      </c>
      <c r="AI798" s="54" t="s">
        <v>10515</v>
      </c>
      <c r="AJ798" s="2"/>
      <c r="AK798" s="2"/>
      <c r="AL798" s="2"/>
      <c r="AM798" s="2"/>
      <c r="AN798" s="2"/>
    </row>
    <row r="799" spans="1:40" ht="16" x14ac:dyDescent="0.2">
      <c r="A799" s="2" t="s">
        <v>2507</v>
      </c>
      <c r="B799" s="2">
        <v>775</v>
      </c>
      <c r="C799" s="2" t="b">
        <v>0</v>
      </c>
      <c r="D799" s="2" t="b">
        <v>0</v>
      </c>
      <c r="E799" s="2" t="b">
        <v>0</v>
      </c>
      <c r="F799" s="2" t="b">
        <v>0</v>
      </c>
      <c r="G799" s="2" t="s">
        <v>31</v>
      </c>
      <c r="H799" s="2" t="s">
        <v>2508</v>
      </c>
      <c r="I799" s="2" t="s">
        <v>2509</v>
      </c>
      <c r="J799" s="2" t="s">
        <v>35</v>
      </c>
      <c r="K799" s="2" t="s">
        <v>35</v>
      </c>
      <c r="L799" s="2" t="s">
        <v>35</v>
      </c>
      <c r="M799" s="2" t="s">
        <v>35</v>
      </c>
      <c r="N799" s="2" t="s">
        <v>35</v>
      </c>
      <c r="O799" s="11">
        <v>44753.464535208332</v>
      </c>
      <c r="P799" s="11">
        <v>44753.464778113426</v>
      </c>
      <c r="Q799" s="27">
        <v>2.4290509463753551E-4</v>
      </c>
      <c r="R799" s="27">
        <v>3.3434259239584208E-3</v>
      </c>
      <c r="S799" s="2">
        <v>0</v>
      </c>
      <c r="T799" s="2" t="s">
        <v>36</v>
      </c>
      <c r="U799" s="2" t="s">
        <v>37</v>
      </c>
      <c r="V799" s="2" t="s">
        <v>38</v>
      </c>
      <c r="W799" s="2" t="s">
        <v>35</v>
      </c>
      <c r="X799" s="2" t="s">
        <v>35</v>
      </c>
      <c r="Y799" s="2" t="s">
        <v>35</v>
      </c>
      <c r="Z799" s="2" t="b">
        <v>0</v>
      </c>
      <c r="AA799" s="2" t="s">
        <v>35</v>
      </c>
      <c r="AB799" s="2" t="s">
        <v>35</v>
      </c>
      <c r="AC799" s="2" t="s">
        <v>35</v>
      </c>
      <c r="AD799" s="2">
        <v>3</v>
      </c>
      <c r="AE799" s="2" t="s">
        <v>2406</v>
      </c>
      <c r="AF799" s="11">
        <v>44753.409722164353</v>
      </c>
      <c r="AG799" s="53"/>
      <c r="AH799" s="53" t="b">
        <f t="shared" si="17"/>
        <v>0</v>
      </c>
      <c r="AI799" s="54" t="s">
        <v>9520</v>
      </c>
      <c r="AJ799" s="2"/>
      <c r="AK799" s="2"/>
      <c r="AL799" s="2"/>
      <c r="AM799" s="2"/>
      <c r="AN799" s="2"/>
    </row>
    <row r="800" spans="1:40" ht="16" x14ac:dyDescent="0.2">
      <c r="A800" s="2" t="s">
        <v>2510</v>
      </c>
      <c r="B800" s="2">
        <v>776</v>
      </c>
      <c r="C800" s="2" t="b">
        <v>0</v>
      </c>
      <c r="D800" s="2" t="b">
        <v>0</v>
      </c>
      <c r="E800" s="2" t="b">
        <v>0</v>
      </c>
      <c r="F800" s="2" t="b">
        <v>0</v>
      </c>
      <c r="G800" s="2" t="s">
        <v>31</v>
      </c>
      <c r="H800" s="2" t="s">
        <v>2511</v>
      </c>
      <c r="I800" s="2" t="s">
        <v>2512</v>
      </c>
      <c r="J800" s="2" t="s">
        <v>35</v>
      </c>
      <c r="K800" s="2" t="s">
        <v>35</v>
      </c>
      <c r="L800" s="2" t="s">
        <v>35</v>
      </c>
      <c r="M800" s="2" t="s">
        <v>35</v>
      </c>
      <c r="N800" s="2" t="s">
        <v>35</v>
      </c>
      <c r="O800" s="11">
        <v>44753.468514444445</v>
      </c>
      <c r="P800" s="11">
        <v>44753.469404583331</v>
      </c>
      <c r="Q800" s="27">
        <v>8.9013888646150008E-4</v>
      </c>
      <c r="R800" s="27">
        <v>4.6264699049061164E-3</v>
      </c>
      <c r="S800" s="2">
        <v>0</v>
      </c>
      <c r="T800" s="2" t="s">
        <v>36</v>
      </c>
      <c r="U800" s="2" t="s">
        <v>37</v>
      </c>
      <c r="V800" s="2" t="s">
        <v>38</v>
      </c>
      <c r="W800" s="2" t="s">
        <v>35</v>
      </c>
      <c r="X800" s="2" t="s">
        <v>35</v>
      </c>
      <c r="Y800" s="2" t="s">
        <v>35</v>
      </c>
      <c r="Z800" s="2" t="b">
        <v>0</v>
      </c>
      <c r="AA800" s="2" t="s">
        <v>35</v>
      </c>
      <c r="AB800" s="2" t="s">
        <v>35</v>
      </c>
      <c r="AC800" s="2" t="s">
        <v>35</v>
      </c>
      <c r="AD800" s="2">
        <v>2</v>
      </c>
      <c r="AE800" s="2" t="s">
        <v>2406</v>
      </c>
      <c r="AF800" s="11">
        <v>44753.409722164353</v>
      </c>
      <c r="AG800" s="53"/>
      <c r="AH800" s="53" t="str">
        <f t="shared" si="17"/>
        <v>TRUE</v>
      </c>
      <c r="AI800" s="54" t="s">
        <v>10516</v>
      </c>
      <c r="AJ800" s="2"/>
      <c r="AK800" s="2"/>
      <c r="AL800" s="2"/>
      <c r="AM800" s="2"/>
      <c r="AN800" s="2"/>
    </row>
    <row r="801" spans="1:40" ht="16" x14ac:dyDescent="0.2">
      <c r="A801" s="2" t="s">
        <v>2513</v>
      </c>
      <c r="B801" s="2">
        <v>777</v>
      </c>
      <c r="C801" s="2" t="b">
        <v>0</v>
      </c>
      <c r="D801" s="2" t="b">
        <v>0</v>
      </c>
      <c r="E801" s="2" t="b">
        <v>0</v>
      </c>
      <c r="F801" s="2" t="b">
        <v>0</v>
      </c>
      <c r="G801" s="2" t="s">
        <v>31</v>
      </c>
      <c r="H801" s="2" t="s">
        <v>2514</v>
      </c>
      <c r="I801" s="2" t="s">
        <v>2515</v>
      </c>
      <c r="J801" s="2" t="s">
        <v>35</v>
      </c>
      <c r="K801" s="2" t="s">
        <v>35</v>
      </c>
      <c r="L801" s="2" t="s">
        <v>35</v>
      </c>
      <c r="M801" s="2" t="s">
        <v>35</v>
      </c>
      <c r="N801" s="2" t="s">
        <v>35</v>
      </c>
      <c r="O801" s="11">
        <v>44753.470408611109</v>
      </c>
      <c r="P801" s="11">
        <v>44753.470503680554</v>
      </c>
      <c r="Q801" s="27">
        <v>9.5069444796536118E-5</v>
      </c>
      <c r="R801" s="27">
        <v>1.0990972223225981E-3</v>
      </c>
      <c r="S801" s="2">
        <v>0</v>
      </c>
      <c r="T801" s="2" t="s">
        <v>36</v>
      </c>
      <c r="U801" s="2" t="s">
        <v>37</v>
      </c>
      <c r="V801" s="2" t="s">
        <v>38</v>
      </c>
      <c r="W801" s="2" t="s">
        <v>35</v>
      </c>
      <c r="X801" s="2" t="s">
        <v>35</v>
      </c>
      <c r="Y801" s="2" t="s">
        <v>35</v>
      </c>
      <c r="Z801" s="2" t="b">
        <v>0</v>
      </c>
      <c r="AA801" s="2" t="s">
        <v>35</v>
      </c>
      <c r="AB801" s="2" t="s">
        <v>35</v>
      </c>
      <c r="AC801" s="2" t="s">
        <v>35</v>
      </c>
      <c r="AD801" s="2">
        <v>4</v>
      </c>
      <c r="AE801" s="2" t="s">
        <v>2406</v>
      </c>
      <c r="AF801" s="11">
        <v>44753.409722164353</v>
      </c>
      <c r="AG801" s="53"/>
      <c r="AH801" s="53" t="b">
        <f t="shared" si="17"/>
        <v>0</v>
      </c>
      <c r="AI801" s="54" t="s">
        <v>10517</v>
      </c>
      <c r="AJ801" s="2"/>
      <c r="AK801" s="2"/>
      <c r="AL801" s="2"/>
      <c r="AM801" s="2"/>
      <c r="AN801" s="2"/>
    </row>
    <row r="802" spans="1:40" ht="16" x14ac:dyDescent="0.2">
      <c r="A802" s="2" t="s">
        <v>2516</v>
      </c>
      <c r="B802" s="2">
        <v>778</v>
      </c>
      <c r="C802" s="2" t="b">
        <v>0</v>
      </c>
      <c r="D802" s="2" t="b">
        <v>0</v>
      </c>
      <c r="E802" s="2" t="b">
        <v>0</v>
      </c>
      <c r="F802" s="2" t="b">
        <v>0</v>
      </c>
      <c r="G802" s="2" t="s">
        <v>31</v>
      </c>
      <c r="H802" s="2" t="s">
        <v>2517</v>
      </c>
      <c r="I802" s="2" t="s">
        <v>2518</v>
      </c>
      <c r="J802" s="2" t="s">
        <v>35</v>
      </c>
      <c r="K802" s="2" t="s">
        <v>35</v>
      </c>
      <c r="L802" s="2" t="s">
        <v>35</v>
      </c>
      <c r="M802" s="2" t="s">
        <v>35</v>
      </c>
      <c r="N802" s="2" t="s">
        <v>35</v>
      </c>
      <c r="O802" s="11">
        <v>44753.471518506944</v>
      </c>
      <c r="P802" s="11">
        <v>44753.471624594909</v>
      </c>
      <c r="Q802" s="27">
        <v>1.0608796583255753E-4</v>
      </c>
      <c r="R802" s="27">
        <v>1.1209143558517098E-3</v>
      </c>
      <c r="S802" s="2">
        <v>0</v>
      </c>
      <c r="T802" s="2" t="s">
        <v>36</v>
      </c>
      <c r="U802" s="2" t="s">
        <v>37</v>
      </c>
      <c r="V802" s="2" t="s">
        <v>38</v>
      </c>
      <c r="W802" s="2" t="s">
        <v>35</v>
      </c>
      <c r="X802" s="2" t="s">
        <v>35</v>
      </c>
      <c r="Y802" s="2" t="s">
        <v>35</v>
      </c>
      <c r="Z802" s="2" t="b">
        <v>0</v>
      </c>
      <c r="AA802" s="2" t="s">
        <v>35</v>
      </c>
      <c r="AB802" s="2" t="s">
        <v>35</v>
      </c>
      <c r="AC802" s="2" t="s">
        <v>35</v>
      </c>
      <c r="AD802" s="2">
        <v>3</v>
      </c>
      <c r="AE802" s="2" t="s">
        <v>2406</v>
      </c>
      <c r="AF802" s="11">
        <v>44753.409722164353</v>
      </c>
      <c r="AG802" s="53"/>
      <c r="AH802" s="53" t="b">
        <f t="shared" si="17"/>
        <v>0</v>
      </c>
      <c r="AI802" s="54" t="s">
        <v>10518</v>
      </c>
      <c r="AJ802" s="2"/>
      <c r="AK802" s="2"/>
      <c r="AL802" s="2"/>
      <c r="AM802" s="2"/>
      <c r="AN802" s="2"/>
    </row>
    <row r="803" spans="1:40" ht="16" x14ac:dyDescent="0.2">
      <c r="A803" s="2" t="s">
        <v>2522</v>
      </c>
      <c r="B803" s="2">
        <v>780</v>
      </c>
      <c r="C803" s="2" t="b">
        <v>0</v>
      </c>
      <c r="D803" s="2" t="b">
        <v>0</v>
      </c>
      <c r="E803" s="2" t="b">
        <v>0</v>
      </c>
      <c r="F803" s="2" t="b">
        <v>0</v>
      </c>
      <c r="G803" s="2" t="s">
        <v>31</v>
      </c>
      <c r="H803" s="2" t="s">
        <v>2523</v>
      </c>
      <c r="I803" s="2" t="s">
        <v>2524</v>
      </c>
      <c r="J803" s="2" t="s">
        <v>35</v>
      </c>
      <c r="K803" s="2" t="s">
        <v>35</v>
      </c>
      <c r="L803" s="2" t="s">
        <v>35</v>
      </c>
      <c r="M803" s="2" t="s">
        <v>35</v>
      </c>
      <c r="N803" s="2" t="s">
        <v>35</v>
      </c>
      <c r="O803" s="11">
        <v>44753.474259155089</v>
      </c>
      <c r="P803" s="11">
        <v>44753.475287013891</v>
      </c>
      <c r="Q803" s="27">
        <v>1.0278588015353307E-3</v>
      </c>
      <c r="R803" s="27">
        <v>1.2196064853924327E-3</v>
      </c>
      <c r="S803" s="2">
        <v>0</v>
      </c>
      <c r="T803" s="2" t="s">
        <v>36</v>
      </c>
      <c r="U803" s="2" t="s">
        <v>37</v>
      </c>
      <c r="V803" s="2" t="s">
        <v>38</v>
      </c>
      <c r="W803" s="2" t="s">
        <v>35</v>
      </c>
      <c r="X803" s="2" t="s">
        <v>35</v>
      </c>
      <c r="Y803" s="2" t="s">
        <v>35</v>
      </c>
      <c r="Z803" s="2" t="b">
        <v>0</v>
      </c>
      <c r="AA803" s="2" t="s">
        <v>2525</v>
      </c>
      <c r="AB803" s="2" t="s">
        <v>35</v>
      </c>
      <c r="AC803" s="2" t="s">
        <v>35</v>
      </c>
      <c r="AD803" s="2" t="s">
        <v>35</v>
      </c>
      <c r="AE803" s="2" t="s">
        <v>2406</v>
      </c>
      <c r="AF803" s="11">
        <v>44753.409722164353</v>
      </c>
      <c r="AG803" s="53"/>
      <c r="AH803" s="53" t="str">
        <f t="shared" si="17"/>
        <v>TRUE</v>
      </c>
      <c r="AI803" s="54" t="s">
        <v>10519</v>
      </c>
      <c r="AJ803" s="2"/>
      <c r="AK803" s="2"/>
      <c r="AL803" s="2"/>
      <c r="AM803" s="2"/>
      <c r="AN803" s="2"/>
    </row>
    <row r="804" spans="1:40" ht="16" x14ac:dyDescent="0.2">
      <c r="A804" s="2" t="s">
        <v>2532</v>
      </c>
      <c r="B804" s="2">
        <v>783</v>
      </c>
      <c r="C804" s="2" t="b">
        <v>0</v>
      </c>
      <c r="D804" s="2" t="b">
        <v>0</v>
      </c>
      <c r="E804" s="2" t="b">
        <v>0</v>
      </c>
      <c r="F804" s="2" t="b">
        <v>0</v>
      </c>
      <c r="G804" s="2" t="s">
        <v>31</v>
      </c>
      <c r="H804" s="2" t="s">
        <v>2533</v>
      </c>
      <c r="I804" s="2" t="s">
        <v>2534</v>
      </c>
      <c r="J804" s="2" t="s">
        <v>35</v>
      </c>
      <c r="K804" s="2" t="s">
        <v>35</v>
      </c>
      <c r="L804" s="2" t="s">
        <v>35</v>
      </c>
      <c r="M804" s="2" t="s">
        <v>35</v>
      </c>
      <c r="N804" s="2" t="s">
        <v>35</v>
      </c>
      <c r="O804" s="11">
        <v>44753.477337824072</v>
      </c>
      <c r="P804" s="11">
        <v>44753.477637673612</v>
      </c>
      <c r="Q804" s="27">
        <v>2.9984954016981646E-4</v>
      </c>
      <c r="R804" s="27">
        <v>4.0234953485196456E-4</v>
      </c>
      <c r="S804" s="2">
        <v>0</v>
      </c>
      <c r="T804" s="2" t="s">
        <v>36</v>
      </c>
      <c r="U804" s="2" t="s">
        <v>37</v>
      </c>
      <c r="V804" s="2" t="s">
        <v>38</v>
      </c>
      <c r="W804" s="2" t="s">
        <v>35</v>
      </c>
      <c r="X804" s="2" t="s">
        <v>35</v>
      </c>
      <c r="Y804" s="2" t="s">
        <v>35</v>
      </c>
      <c r="Z804" s="2" t="b">
        <v>0</v>
      </c>
      <c r="AA804" s="2" t="s">
        <v>2535</v>
      </c>
      <c r="AB804" s="2" t="s">
        <v>35</v>
      </c>
      <c r="AC804" s="2" t="s">
        <v>35</v>
      </c>
      <c r="AD804" s="2" t="s">
        <v>35</v>
      </c>
      <c r="AE804" s="2" t="s">
        <v>2406</v>
      </c>
      <c r="AF804" s="11">
        <v>44753.409722164353</v>
      </c>
      <c r="AG804" s="53"/>
      <c r="AH804" s="53" t="b">
        <f t="shared" si="17"/>
        <v>0</v>
      </c>
      <c r="AI804" s="54" t="s">
        <v>10520</v>
      </c>
      <c r="AJ804" s="2"/>
      <c r="AK804" s="2"/>
      <c r="AL804" s="2"/>
      <c r="AM804" s="2"/>
      <c r="AN804" s="2"/>
    </row>
    <row r="805" spans="1:40" ht="16" x14ac:dyDescent="0.2">
      <c r="A805" s="68" t="s">
        <v>2539</v>
      </c>
      <c r="B805" s="68">
        <v>785</v>
      </c>
      <c r="C805" s="68" t="b">
        <v>0</v>
      </c>
      <c r="D805" s="68" t="b">
        <v>0</v>
      </c>
      <c r="E805" s="68" t="b">
        <v>0</v>
      </c>
      <c r="F805" s="68" t="b">
        <v>0</v>
      </c>
      <c r="G805" s="68" t="s">
        <v>31</v>
      </c>
      <c r="H805" s="68" t="s">
        <v>149</v>
      </c>
      <c r="I805" s="68" t="s">
        <v>2540</v>
      </c>
      <c r="J805" s="68" t="s">
        <v>35</v>
      </c>
      <c r="K805" s="68" t="s">
        <v>35</v>
      </c>
      <c r="L805" s="68" t="s">
        <v>35</v>
      </c>
      <c r="M805" s="68" t="s">
        <v>35</v>
      </c>
      <c r="N805" s="68" t="s">
        <v>35</v>
      </c>
      <c r="O805" s="69">
        <v>44753.478037650464</v>
      </c>
      <c r="P805" s="69">
        <v>44753.478309409722</v>
      </c>
      <c r="Q805" s="70">
        <v>2.7175925788469613E-4</v>
      </c>
      <c r="R805" s="70">
        <v>3.9923610893310979E-4</v>
      </c>
      <c r="S805" s="68">
        <v>0</v>
      </c>
      <c r="T805" s="68" t="s">
        <v>36</v>
      </c>
      <c r="U805" s="68" t="s">
        <v>37</v>
      </c>
      <c r="V805" s="68" t="s">
        <v>38</v>
      </c>
      <c r="W805" s="68" t="s">
        <v>35</v>
      </c>
      <c r="X805" s="68" t="s">
        <v>35</v>
      </c>
      <c r="Y805" s="68" t="s">
        <v>35</v>
      </c>
      <c r="Z805" s="68" t="b">
        <v>0</v>
      </c>
      <c r="AA805" s="68" t="s">
        <v>2541</v>
      </c>
      <c r="AB805" s="68" t="s">
        <v>35</v>
      </c>
      <c r="AC805" s="68" t="s">
        <v>35</v>
      </c>
      <c r="AD805" s="68" t="s">
        <v>35</v>
      </c>
      <c r="AE805" s="68" t="s">
        <v>2406</v>
      </c>
      <c r="AF805" s="69">
        <v>44753.409722164353</v>
      </c>
      <c r="AG805" s="71"/>
      <c r="AH805" s="53" t="b">
        <f t="shared" si="17"/>
        <v>0</v>
      </c>
      <c r="AI805" s="56" t="s">
        <v>35</v>
      </c>
      <c r="AJ805" s="68"/>
      <c r="AK805" s="68"/>
      <c r="AL805" s="68"/>
      <c r="AM805" s="68"/>
      <c r="AN805" s="68"/>
    </row>
    <row r="806" spans="1:40" ht="16" x14ac:dyDescent="0.2">
      <c r="A806" s="2" t="s">
        <v>2542</v>
      </c>
      <c r="B806" s="2">
        <v>786</v>
      </c>
      <c r="C806" s="2" t="b">
        <v>0</v>
      </c>
      <c r="D806" s="2" t="b">
        <v>0</v>
      </c>
      <c r="E806" s="2" t="b">
        <v>0</v>
      </c>
      <c r="F806" s="2" t="b">
        <v>0</v>
      </c>
      <c r="G806" s="2" t="s">
        <v>31</v>
      </c>
      <c r="H806" s="2" t="s">
        <v>2543</v>
      </c>
      <c r="I806" s="2" t="s">
        <v>2544</v>
      </c>
      <c r="J806" s="2" t="s">
        <v>2545</v>
      </c>
      <c r="K806" s="2" t="s">
        <v>35</v>
      </c>
      <c r="L806" s="2" t="s">
        <v>35</v>
      </c>
      <c r="M806" s="2" t="s">
        <v>35</v>
      </c>
      <c r="N806" s="2" t="s">
        <v>35</v>
      </c>
      <c r="O806" s="11">
        <v>44753.478768472225</v>
      </c>
      <c r="P806" s="11">
        <v>44753.478985937501</v>
      </c>
      <c r="Q806" s="27">
        <v>2.1746527636423707E-4</v>
      </c>
      <c r="R806" s="27">
        <v>6.7652777943294495E-4</v>
      </c>
      <c r="S806" s="2">
        <v>0</v>
      </c>
      <c r="T806" s="2" t="s">
        <v>36</v>
      </c>
      <c r="U806" s="2" t="s">
        <v>37</v>
      </c>
      <c r="V806" s="2" t="s">
        <v>38</v>
      </c>
      <c r="W806" s="2" t="s">
        <v>35</v>
      </c>
      <c r="X806" s="2" t="s">
        <v>35</v>
      </c>
      <c r="Y806" s="2" t="s">
        <v>35</v>
      </c>
      <c r="Z806" s="2" t="b">
        <v>0</v>
      </c>
      <c r="AA806" s="2" t="s">
        <v>35</v>
      </c>
      <c r="AB806" s="2" t="s">
        <v>35</v>
      </c>
      <c r="AC806" s="2">
        <v>4</v>
      </c>
      <c r="AD806" s="2" t="s">
        <v>35</v>
      </c>
      <c r="AE806" s="2" t="s">
        <v>2406</v>
      </c>
      <c r="AF806" s="11">
        <v>44753.409722164353</v>
      </c>
      <c r="AG806" s="53"/>
      <c r="AH806" s="53" t="b">
        <f t="shared" si="17"/>
        <v>0</v>
      </c>
      <c r="AI806" s="54" t="s">
        <v>10521</v>
      </c>
      <c r="AJ806" s="2"/>
      <c r="AK806" s="2"/>
      <c r="AL806" s="2"/>
      <c r="AM806" s="2"/>
      <c r="AN806" s="2"/>
    </row>
    <row r="807" spans="1:40" ht="16" x14ac:dyDescent="0.2">
      <c r="A807" s="2" t="s">
        <v>2568</v>
      </c>
      <c r="B807" s="2">
        <v>794</v>
      </c>
      <c r="C807" s="2" t="b">
        <v>0</v>
      </c>
      <c r="D807" s="2" t="b">
        <v>0</v>
      </c>
      <c r="E807" s="2" t="b">
        <v>0</v>
      </c>
      <c r="F807" s="2" t="b">
        <v>0</v>
      </c>
      <c r="G807" s="2" t="s">
        <v>31</v>
      </c>
      <c r="H807" s="2" t="s">
        <v>2569</v>
      </c>
      <c r="I807" s="2" t="s">
        <v>2570</v>
      </c>
      <c r="J807" s="2" t="s">
        <v>2571</v>
      </c>
      <c r="K807" s="2" t="s">
        <v>35</v>
      </c>
      <c r="L807" s="2" t="s">
        <v>35</v>
      </c>
      <c r="M807" s="2" t="s">
        <v>35</v>
      </c>
      <c r="N807" s="2" t="s">
        <v>35</v>
      </c>
      <c r="O807" s="11">
        <v>44753.48356872685</v>
      </c>
      <c r="P807" s="11">
        <v>44753.484092870371</v>
      </c>
      <c r="Q807" s="27">
        <v>5.241435210336931E-4</v>
      </c>
      <c r="R807" s="27">
        <v>1.1345486127538607E-3</v>
      </c>
      <c r="S807" s="2">
        <v>0</v>
      </c>
      <c r="T807" s="2" t="s">
        <v>36</v>
      </c>
      <c r="U807" s="2" t="s">
        <v>37</v>
      </c>
      <c r="V807" s="2" t="s">
        <v>38</v>
      </c>
      <c r="W807" s="2" t="s">
        <v>35</v>
      </c>
      <c r="X807" s="2" t="s">
        <v>35</v>
      </c>
      <c r="Y807" s="2" t="s">
        <v>35</v>
      </c>
      <c r="Z807" s="2" t="b">
        <v>0</v>
      </c>
      <c r="AA807" s="2" t="s">
        <v>35</v>
      </c>
      <c r="AB807" s="2" t="s">
        <v>35</v>
      </c>
      <c r="AC807" s="2">
        <v>5</v>
      </c>
      <c r="AD807" s="2" t="s">
        <v>35</v>
      </c>
      <c r="AE807" s="2" t="s">
        <v>2406</v>
      </c>
      <c r="AF807" s="11">
        <v>44753.409722164353</v>
      </c>
      <c r="AG807" s="53"/>
      <c r="AH807" s="53" t="b">
        <f t="shared" si="17"/>
        <v>0</v>
      </c>
      <c r="AI807" s="54" t="s">
        <v>10522</v>
      </c>
      <c r="AJ807" s="2"/>
      <c r="AK807" s="2"/>
      <c r="AL807" s="2"/>
      <c r="AM807" s="2"/>
      <c r="AN807" s="2"/>
    </row>
    <row r="808" spans="1:40" ht="16" x14ac:dyDescent="0.2">
      <c r="A808" s="2" t="s">
        <v>2575</v>
      </c>
      <c r="B808" s="2">
        <v>796</v>
      </c>
      <c r="C808" s="2" t="b">
        <v>0</v>
      </c>
      <c r="D808" s="2" t="b">
        <v>0</v>
      </c>
      <c r="E808" s="2" t="b">
        <v>0</v>
      </c>
      <c r="F808" s="2" t="b">
        <v>0</v>
      </c>
      <c r="G808" s="2" t="s">
        <v>31</v>
      </c>
      <c r="H808" s="2" t="s">
        <v>2576</v>
      </c>
      <c r="I808" s="2" t="s">
        <v>2577</v>
      </c>
      <c r="J808" s="2" t="s">
        <v>35</v>
      </c>
      <c r="K808" s="2" t="s">
        <v>35</v>
      </c>
      <c r="L808" s="2" t="s">
        <v>35</v>
      </c>
      <c r="M808" s="2" t="s">
        <v>35</v>
      </c>
      <c r="N808" s="2" t="s">
        <v>35</v>
      </c>
      <c r="O808" s="11">
        <v>44753.486021064811</v>
      </c>
      <c r="P808" s="11">
        <v>44753.486604571757</v>
      </c>
      <c r="Q808" s="27">
        <v>5.8350694598630071E-4</v>
      </c>
      <c r="R808" s="27">
        <v>9.4119212735677138E-4</v>
      </c>
      <c r="S808" s="2">
        <v>0</v>
      </c>
      <c r="T808" s="2" t="s">
        <v>36</v>
      </c>
      <c r="U808" s="2" t="s">
        <v>37</v>
      </c>
      <c r="V808" s="2" t="s">
        <v>38</v>
      </c>
      <c r="W808" s="2" t="s">
        <v>35</v>
      </c>
      <c r="X808" s="2" t="s">
        <v>35</v>
      </c>
      <c r="Y808" s="2" t="s">
        <v>35</v>
      </c>
      <c r="Z808" s="2" t="b">
        <v>0</v>
      </c>
      <c r="AA808" s="2" t="s">
        <v>35</v>
      </c>
      <c r="AB808" s="2" t="s">
        <v>35</v>
      </c>
      <c r="AC808" s="2" t="s">
        <v>35</v>
      </c>
      <c r="AD808" s="2">
        <v>2</v>
      </c>
      <c r="AE808" s="2" t="s">
        <v>2406</v>
      </c>
      <c r="AF808" s="11">
        <v>44753.409722164353</v>
      </c>
      <c r="AG808" s="53"/>
      <c r="AH808" s="53" t="b">
        <f t="shared" si="17"/>
        <v>0</v>
      </c>
      <c r="AI808" s="54" t="s">
        <v>10523</v>
      </c>
      <c r="AJ808" s="2"/>
      <c r="AK808" s="2"/>
      <c r="AL808" s="2"/>
      <c r="AM808" s="2"/>
      <c r="AN808" s="2"/>
    </row>
    <row r="809" spans="1:40" ht="16" x14ac:dyDescent="0.2">
      <c r="A809" s="2" t="s">
        <v>2578</v>
      </c>
      <c r="B809" s="2">
        <v>797</v>
      </c>
      <c r="C809" s="2" t="b">
        <v>0</v>
      </c>
      <c r="D809" s="2" t="b">
        <v>0</v>
      </c>
      <c r="E809" s="2" t="b">
        <v>0</v>
      </c>
      <c r="F809" s="2" t="b">
        <v>0</v>
      </c>
      <c r="G809" s="2" t="s">
        <v>31</v>
      </c>
      <c r="H809" s="2" t="s">
        <v>2579</v>
      </c>
      <c r="I809" s="2" t="s">
        <v>2580</v>
      </c>
      <c r="J809" s="2" t="s">
        <v>35</v>
      </c>
      <c r="K809" s="2" t="s">
        <v>35</v>
      </c>
      <c r="L809" s="2" t="s">
        <v>35</v>
      </c>
      <c r="M809" s="2" t="s">
        <v>35</v>
      </c>
      <c r="N809" s="2" t="s">
        <v>35</v>
      </c>
      <c r="O809" s="11">
        <v>44753.487937349535</v>
      </c>
      <c r="P809" s="11">
        <v>44753.488110590275</v>
      </c>
      <c r="Q809" s="27">
        <v>1.7324073996860534E-4</v>
      </c>
      <c r="R809" s="27">
        <v>1.5060185178299434E-3</v>
      </c>
      <c r="S809" s="2">
        <v>0</v>
      </c>
      <c r="T809" s="2" t="s">
        <v>36</v>
      </c>
      <c r="U809" s="2" t="s">
        <v>37</v>
      </c>
      <c r="V809" s="2" t="s">
        <v>38</v>
      </c>
      <c r="W809" s="2" t="s">
        <v>35</v>
      </c>
      <c r="X809" s="2" t="s">
        <v>35</v>
      </c>
      <c r="Y809" s="2" t="s">
        <v>35</v>
      </c>
      <c r="Z809" s="2" t="b">
        <v>0</v>
      </c>
      <c r="AA809" s="2" t="s">
        <v>35</v>
      </c>
      <c r="AB809" s="2" t="s">
        <v>35</v>
      </c>
      <c r="AC809" s="2" t="s">
        <v>35</v>
      </c>
      <c r="AD809" s="2">
        <v>2</v>
      </c>
      <c r="AE809" s="2" t="s">
        <v>2406</v>
      </c>
      <c r="AF809" s="11">
        <v>44753.409722164353</v>
      </c>
      <c r="AG809" s="53"/>
      <c r="AH809" s="53" t="b">
        <f t="shared" si="17"/>
        <v>0</v>
      </c>
      <c r="AI809" s="54" t="s">
        <v>10524</v>
      </c>
      <c r="AJ809" s="2"/>
      <c r="AK809" s="2"/>
      <c r="AL809" s="2"/>
      <c r="AM809" s="2"/>
      <c r="AN809" s="2"/>
    </row>
    <row r="810" spans="1:40" ht="16" x14ac:dyDescent="0.2">
      <c r="A810" s="2" t="s">
        <v>2581</v>
      </c>
      <c r="B810" s="2">
        <v>798</v>
      </c>
      <c r="C810" s="2" t="b">
        <v>0</v>
      </c>
      <c r="D810" s="2" t="b">
        <v>0</v>
      </c>
      <c r="E810" s="2" t="b">
        <v>0</v>
      </c>
      <c r="F810" s="2" t="b">
        <v>0</v>
      </c>
      <c r="G810" s="2" t="s">
        <v>31</v>
      </c>
      <c r="H810" s="2" t="s">
        <v>2582</v>
      </c>
      <c r="I810" s="2" t="s">
        <v>2583</v>
      </c>
      <c r="J810" s="2" t="s">
        <v>35</v>
      </c>
      <c r="K810" s="2" t="s">
        <v>35</v>
      </c>
      <c r="L810" s="2" t="s">
        <v>35</v>
      </c>
      <c r="M810" s="2" t="s">
        <v>35</v>
      </c>
      <c r="N810" s="2" t="s">
        <v>35</v>
      </c>
      <c r="O810" s="11">
        <v>44753.489563356481</v>
      </c>
      <c r="P810" s="11">
        <v>44753.489736620373</v>
      </c>
      <c r="Q810" s="27">
        <v>1.7326389206573367E-4</v>
      </c>
      <c r="R810" s="27">
        <v>1.6260300981230102E-3</v>
      </c>
      <c r="S810" s="2">
        <v>0</v>
      </c>
      <c r="T810" s="2" t="s">
        <v>36</v>
      </c>
      <c r="U810" s="2" t="s">
        <v>37</v>
      </c>
      <c r="V810" s="2" t="s">
        <v>38</v>
      </c>
      <c r="W810" s="2" t="s">
        <v>35</v>
      </c>
      <c r="X810" s="2" t="s">
        <v>35</v>
      </c>
      <c r="Y810" s="2" t="s">
        <v>35</v>
      </c>
      <c r="Z810" s="2" t="b">
        <v>0</v>
      </c>
      <c r="AA810" s="2" t="s">
        <v>35</v>
      </c>
      <c r="AB810" s="2" t="s">
        <v>35</v>
      </c>
      <c r="AC810" s="2" t="s">
        <v>35</v>
      </c>
      <c r="AD810" s="2">
        <v>4</v>
      </c>
      <c r="AE810" s="2" t="s">
        <v>2406</v>
      </c>
      <c r="AF810" s="11">
        <v>44753.409722164353</v>
      </c>
      <c r="AG810" s="53"/>
      <c r="AH810" s="53" t="b">
        <f t="shared" si="17"/>
        <v>0</v>
      </c>
      <c r="AI810" s="54" t="s">
        <v>10525</v>
      </c>
      <c r="AJ810" s="2"/>
      <c r="AK810" s="2"/>
      <c r="AL810" s="2"/>
      <c r="AM810" s="2"/>
      <c r="AN810" s="2"/>
    </row>
    <row r="811" spans="1:40" ht="16" x14ac:dyDescent="0.2">
      <c r="A811" s="2" t="s">
        <v>2584</v>
      </c>
      <c r="B811" s="2">
        <v>799</v>
      </c>
      <c r="C811" s="2" t="b">
        <v>0</v>
      </c>
      <c r="D811" s="2" t="b">
        <v>0</v>
      </c>
      <c r="E811" s="2" t="b">
        <v>0</v>
      </c>
      <c r="F811" s="2" t="b">
        <v>0</v>
      </c>
      <c r="G811" s="2" t="s">
        <v>31</v>
      </c>
      <c r="H811" s="2" t="s">
        <v>2585</v>
      </c>
      <c r="I811" s="2" t="s">
        <v>2586</v>
      </c>
      <c r="J811" s="2" t="s">
        <v>35</v>
      </c>
      <c r="K811" s="2" t="s">
        <v>35</v>
      </c>
      <c r="L811" s="2" t="s">
        <v>35</v>
      </c>
      <c r="M811" s="2" t="s">
        <v>35</v>
      </c>
      <c r="N811" s="2" t="s">
        <v>35</v>
      </c>
      <c r="O811" s="11">
        <v>44753.495011851854</v>
      </c>
      <c r="P811" s="11">
        <v>44753.495194710646</v>
      </c>
      <c r="Q811" s="27">
        <v>1.8285879195900634E-4</v>
      </c>
      <c r="R811" s="27">
        <v>5.4580902724410407E-3</v>
      </c>
      <c r="S811" s="2">
        <v>0</v>
      </c>
      <c r="T811" s="2" t="s">
        <v>36</v>
      </c>
      <c r="U811" s="2" t="s">
        <v>37</v>
      </c>
      <c r="V811" s="2" t="s">
        <v>38</v>
      </c>
      <c r="W811" s="2" t="s">
        <v>35</v>
      </c>
      <c r="X811" s="2" t="s">
        <v>35</v>
      </c>
      <c r="Y811" s="2" t="s">
        <v>35</v>
      </c>
      <c r="Z811" s="2" t="b">
        <v>0</v>
      </c>
      <c r="AA811" s="2" t="s">
        <v>35</v>
      </c>
      <c r="AB811" s="2" t="s">
        <v>35</v>
      </c>
      <c r="AC811" s="2" t="s">
        <v>35</v>
      </c>
      <c r="AD811" s="2">
        <v>4</v>
      </c>
      <c r="AE811" s="2" t="s">
        <v>2406</v>
      </c>
      <c r="AF811" s="11">
        <v>44753.409722164353</v>
      </c>
      <c r="AG811" s="53"/>
      <c r="AH811" s="53" t="b">
        <f t="shared" si="17"/>
        <v>0</v>
      </c>
      <c r="AI811" s="54" t="s">
        <v>10526</v>
      </c>
      <c r="AJ811" s="2"/>
      <c r="AK811" s="2"/>
      <c r="AL811" s="2"/>
      <c r="AM811" s="2"/>
      <c r="AN811" s="2"/>
    </row>
    <row r="812" spans="1:40" ht="16" x14ac:dyDescent="0.2">
      <c r="A812" s="2" t="s">
        <v>2587</v>
      </c>
      <c r="B812" s="2">
        <v>800</v>
      </c>
      <c r="C812" s="2" t="b">
        <v>0</v>
      </c>
      <c r="D812" s="2" t="b">
        <v>0</v>
      </c>
      <c r="E812" s="2" t="b">
        <v>0</v>
      </c>
      <c r="F812" s="2" t="b">
        <v>0</v>
      </c>
      <c r="G812" s="2" t="s">
        <v>31</v>
      </c>
      <c r="H812" s="2" t="s">
        <v>2588</v>
      </c>
      <c r="I812" s="2" t="s">
        <v>2589</v>
      </c>
      <c r="J812" s="2" t="s">
        <v>35</v>
      </c>
      <c r="K812" s="2" t="s">
        <v>35</v>
      </c>
      <c r="L812" s="2" t="s">
        <v>35</v>
      </c>
      <c r="M812" s="2" t="s">
        <v>35</v>
      </c>
      <c r="N812" s="2" t="s">
        <v>35</v>
      </c>
      <c r="O812" s="11">
        <v>44753.49653178241</v>
      </c>
      <c r="P812" s="11">
        <v>44753.496631030095</v>
      </c>
      <c r="Q812" s="27">
        <v>9.9247685284353793E-5</v>
      </c>
      <c r="R812" s="27">
        <v>1.436319449567236E-3</v>
      </c>
      <c r="S812" s="2">
        <v>0</v>
      </c>
      <c r="T812" s="2" t="s">
        <v>36</v>
      </c>
      <c r="U812" s="2" t="s">
        <v>37</v>
      </c>
      <c r="V812" s="2" t="s">
        <v>38</v>
      </c>
      <c r="W812" s="2" t="s">
        <v>35</v>
      </c>
      <c r="X812" s="2" t="s">
        <v>35</v>
      </c>
      <c r="Y812" s="2" t="s">
        <v>35</v>
      </c>
      <c r="Z812" s="2" t="b">
        <v>0</v>
      </c>
      <c r="AA812" s="2" t="s">
        <v>35</v>
      </c>
      <c r="AB812" s="2" t="s">
        <v>35</v>
      </c>
      <c r="AC812" s="2" t="s">
        <v>35</v>
      </c>
      <c r="AD812" s="2">
        <v>2</v>
      </c>
      <c r="AE812" s="2" t="s">
        <v>2406</v>
      </c>
      <c r="AF812" s="11">
        <v>44753.409722164353</v>
      </c>
      <c r="AG812" s="53"/>
      <c r="AH812" s="53" t="b">
        <f t="shared" si="17"/>
        <v>0</v>
      </c>
      <c r="AI812" s="54" t="s">
        <v>10527</v>
      </c>
      <c r="AJ812" s="2"/>
      <c r="AK812" s="2"/>
      <c r="AL812" s="2"/>
      <c r="AM812" s="2"/>
      <c r="AN812" s="2"/>
    </row>
    <row r="813" spans="1:40" ht="16" x14ac:dyDescent="0.2">
      <c r="A813" s="2" t="s">
        <v>2590</v>
      </c>
      <c r="B813" s="2">
        <v>801</v>
      </c>
      <c r="C813" s="2" t="b">
        <v>0</v>
      </c>
      <c r="D813" s="2" t="b">
        <v>0</v>
      </c>
      <c r="E813" s="2" t="b">
        <v>0</v>
      </c>
      <c r="F813" s="2" t="b">
        <v>0</v>
      </c>
      <c r="G813" s="2" t="s">
        <v>31</v>
      </c>
      <c r="H813" s="2" t="s">
        <v>2591</v>
      </c>
      <c r="I813" s="2" t="s">
        <v>2592</v>
      </c>
      <c r="J813" s="2" t="s">
        <v>35</v>
      </c>
      <c r="K813" s="2" t="s">
        <v>35</v>
      </c>
      <c r="L813" s="2" t="s">
        <v>35</v>
      </c>
      <c r="M813" s="2" t="s">
        <v>35</v>
      </c>
      <c r="N813" s="2" t="s">
        <v>35</v>
      </c>
      <c r="O813" s="11">
        <v>44753.498843842593</v>
      </c>
      <c r="P813" s="11">
        <v>44753.499113194448</v>
      </c>
      <c r="Q813" s="27">
        <v>2.6935185451293364E-4</v>
      </c>
      <c r="R813" s="27">
        <v>2.4821643528412096E-3</v>
      </c>
      <c r="S813" s="2">
        <v>0</v>
      </c>
      <c r="T813" s="2" t="s">
        <v>36</v>
      </c>
      <c r="U813" s="2" t="s">
        <v>37</v>
      </c>
      <c r="V813" s="2" t="s">
        <v>38</v>
      </c>
      <c r="W813" s="2" t="s">
        <v>35</v>
      </c>
      <c r="X813" s="2" t="s">
        <v>35</v>
      </c>
      <c r="Y813" s="2" t="s">
        <v>35</v>
      </c>
      <c r="Z813" s="2" t="b">
        <v>0</v>
      </c>
      <c r="AA813" s="2" t="s">
        <v>35</v>
      </c>
      <c r="AB813" s="2" t="s">
        <v>35</v>
      </c>
      <c r="AC813" s="2" t="s">
        <v>35</v>
      </c>
      <c r="AD813" s="2">
        <v>2</v>
      </c>
      <c r="AE813" s="2" t="s">
        <v>2406</v>
      </c>
      <c r="AF813" s="11">
        <v>44753.409722164353</v>
      </c>
      <c r="AG813" s="53"/>
      <c r="AH813" s="53" t="b">
        <f t="shared" si="17"/>
        <v>0</v>
      </c>
      <c r="AI813" s="54" t="s">
        <v>10530</v>
      </c>
      <c r="AJ813" s="2" t="s">
        <v>10528</v>
      </c>
      <c r="AK813" s="2" t="s">
        <v>10529</v>
      </c>
      <c r="AL813" s="2"/>
      <c r="AM813" s="2"/>
      <c r="AN813" s="2"/>
    </row>
    <row r="814" spans="1:40" ht="16" x14ac:dyDescent="0.2">
      <c r="A814" s="2" t="s">
        <v>2602</v>
      </c>
      <c r="B814" s="2">
        <v>805</v>
      </c>
      <c r="C814" s="2" t="b">
        <v>0</v>
      </c>
      <c r="D814" s="2" t="b">
        <v>0</v>
      </c>
      <c r="E814" s="2" t="b">
        <v>0</v>
      </c>
      <c r="F814" s="2" t="b">
        <v>0</v>
      </c>
      <c r="G814" s="2" t="s">
        <v>31</v>
      </c>
      <c r="H814" s="2" t="s">
        <v>2603</v>
      </c>
      <c r="I814" s="2" t="s">
        <v>2604</v>
      </c>
      <c r="J814" s="2" t="s">
        <v>35</v>
      </c>
      <c r="K814" s="2" t="s">
        <v>35</v>
      </c>
      <c r="L814" s="2" t="s">
        <v>35</v>
      </c>
      <c r="M814" s="2" t="s">
        <v>35</v>
      </c>
      <c r="N814" s="2" t="s">
        <v>35</v>
      </c>
      <c r="O814" s="11">
        <v>44753.503136331019</v>
      </c>
      <c r="P814" s="11">
        <v>44753.503293368056</v>
      </c>
      <c r="Q814" s="27">
        <v>1.5703703684266657E-4</v>
      </c>
      <c r="R814" s="27">
        <v>1.0007986129494384E-3</v>
      </c>
      <c r="S814" s="2">
        <v>0</v>
      </c>
      <c r="T814" s="2" t="s">
        <v>36</v>
      </c>
      <c r="U814" s="2" t="s">
        <v>37</v>
      </c>
      <c r="V814" s="2" t="s">
        <v>38</v>
      </c>
      <c r="W814" s="2" t="s">
        <v>35</v>
      </c>
      <c r="X814" s="2" t="s">
        <v>35</v>
      </c>
      <c r="Y814" s="2" t="s">
        <v>35</v>
      </c>
      <c r="Z814" s="2" t="b">
        <v>0</v>
      </c>
      <c r="AA814" s="2" t="s">
        <v>35</v>
      </c>
      <c r="AB814" s="2" t="s">
        <v>35</v>
      </c>
      <c r="AC814" s="2" t="s">
        <v>35</v>
      </c>
      <c r="AD814" s="2">
        <v>3</v>
      </c>
      <c r="AE814" s="2" t="s">
        <v>2406</v>
      </c>
      <c r="AF814" s="11">
        <v>44753.409722164353</v>
      </c>
      <c r="AG814" s="53"/>
      <c r="AH814" s="53" t="b">
        <f t="shared" si="17"/>
        <v>0</v>
      </c>
      <c r="AI814" s="54" t="s">
        <v>10532</v>
      </c>
      <c r="AJ814" s="2" t="s">
        <v>10531</v>
      </c>
      <c r="AK814" s="2"/>
      <c r="AL814" s="2"/>
      <c r="AM814" s="2"/>
      <c r="AN814" s="2"/>
    </row>
    <row r="815" spans="1:40" ht="16" x14ac:dyDescent="0.2">
      <c r="A815" s="2" t="s">
        <v>2605</v>
      </c>
      <c r="B815" s="2">
        <v>806</v>
      </c>
      <c r="C815" s="2" t="b">
        <v>0</v>
      </c>
      <c r="D815" s="2" t="b">
        <v>0</v>
      </c>
      <c r="E815" s="2" t="b">
        <v>0</v>
      </c>
      <c r="F815" s="2" t="b">
        <v>0</v>
      </c>
      <c r="G815" s="2" t="s">
        <v>31</v>
      </c>
      <c r="H815" s="2" t="s">
        <v>2606</v>
      </c>
      <c r="I815" s="2" t="s">
        <v>2607</v>
      </c>
      <c r="J815" s="2" t="s">
        <v>35</v>
      </c>
      <c r="K815" s="2" t="s">
        <v>35</v>
      </c>
      <c r="L815" s="2" t="s">
        <v>35</v>
      </c>
      <c r="M815" s="2" t="s">
        <v>35</v>
      </c>
      <c r="N815" s="2" t="s">
        <v>35</v>
      </c>
      <c r="O815" s="11">
        <v>44753.504998773147</v>
      </c>
      <c r="P815" s="11">
        <v>44753.50531792824</v>
      </c>
      <c r="Q815" s="27">
        <v>3.1915509316604584E-4</v>
      </c>
      <c r="R815" s="27">
        <v>2.0245601845090277E-3</v>
      </c>
      <c r="S815" s="2">
        <v>0</v>
      </c>
      <c r="T815" s="2" t="s">
        <v>36</v>
      </c>
      <c r="U815" s="2" t="s">
        <v>37</v>
      </c>
      <c r="V815" s="2" t="s">
        <v>38</v>
      </c>
      <c r="W815" s="2" t="s">
        <v>35</v>
      </c>
      <c r="X815" s="2" t="s">
        <v>35</v>
      </c>
      <c r="Y815" s="2" t="s">
        <v>35</v>
      </c>
      <c r="Z815" s="2" t="b">
        <v>0</v>
      </c>
      <c r="AA815" s="2" t="s">
        <v>35</v>
      </c>
      <c r="AB815" s="2" t="s">
        <v>35</v>
      </c>
      <c r="AC815" s="2" t="s">
        <v>35</v>
      </c>
      <c r="AD815" s="2">
        <v>5</v>
      </c>
      <c r="AE815" s="2" t="s">
        <v>2406</v>
      </c>
      <c r="AF815" s="11">
        <v>44753.409722164353</v>
      </c>
      <c r="AG815" s="53"/>
      <c r="AH815" s="53" t="b">
        <f t="shared" si="17"/>
        <v>0</v>
      </c>
      <c r="AI815" s="54" t="s">
        <v>10533</v>
      </c>
      <c r="AJ815" s="2"/>
      <c r="AK815" s="2"/>
      <c r="AL815" s="2"/>
      <c r="AM815" s="2"/>
      <c r="AN815" s="2"/>
    </row>
    <row r="816" spans="1:40" ht="16" x14ac:dyDescent="0.2">
      <c r="A816" s="2" t="s">
        <v>2626</v>
      </c>
      <c r="B816" s="2">
        <v>813</v>
      </c>
      <c r="C816" s="2" t="b">
        <v>0</v>
      </c>
      <c r="D816" s="2" t="b">
        <v>0</v>
      </c>
      <c r="E816" s="2" t="b">
        <v>0</v>
      </c>
      <c r="F816" s="2" t="b">
        <v>0</v>
      </c>
      <c r="G816" s="2" t="s">
        <v>31</v>
      </c>
      <c r="H816" s="2" t="s">
        <v>2627</v>
      </c>
      <c r="I816" s="2" t="s">
        <v>2628</v>
      </c>
      <c r="J816" s="2" t="s">
        <v>35</v>
      </c>
      <c r="K816" s="2" t="s">
        <v>35</v>
      </c>
      <c r="L816" s="2" t="s">
        <v>35</v>
      </c>
      <c r="M816" s="2" t="s">
        <v>35</v>
      </c>
      <c r="N816" s="2" t="s">
        <v>35</v>
      </c>
      <c r="O816" s="11">
        <v>44753.511767731485</v>
      </c>
      <c r="P816" s="11">
        <v>44753.511902013888</v>
      </c>
      <c r="Q816" s="27">
        <v>1.342824034509249E-4</v>
      </c>
      <c r="R816" s="27">
        <v>9.4708333199378103E-4</v>
      </c>
      <c r="S816" s="2">
        <v>0</v>
      </c>
      <c r="T816" s="2" t="s">
        <v>36</v>
      </c>
      <c r="U816" s="2" t="s">
        <v>37</v>
      </c>
      <c r="V816" s="2" t="s">
        <v>38</v>
      </c>
      <c r="W816" s="2" t="s">
        <v>35</v>
      </c>
      <c r="X816" s="2" t="s">
        <v>35</v>
      </c>
      <c r="Y816" s="2" t="s">
        <v>35</v>
      </c>
      <c r="Z816" s="2" t="b">
        <v>0</v>
      </c>
      <c r="AA816" s="2" t="s">
        <v>35</v>
      </c>
      <c r="AB816" s="2" t="s">
        <v>35</v>
      </c>
      <c r="AC816" s="2" t="s">
        <v>35</v>
      </c>
      <c r="AD816" s="2">
        <v>2</v>
      </c>
      <c r="AE816" s="2" t="s">
        <v>2406</v>
      </c>
      <c r="AF816" s="11">
        <v>44753.409722164353</v>
      </c>
      <c r="AG816" s="53"/>
      <c r="AH816" s="53" t="b">
        <f t="shared" si="17"/>
        <v>0</v>
      </c>
      <c r="AI816" s="54" t="s">
        <v>10534</v>
      </c>
      <c r="AJ816" s="2"/>
      <c r="AK816" s="2"/>
      <c r="AL816" s="2"/>
      <c r="AM816" s="2"/>
      <c r="AN816" s="2"/>
    </row>
    <row r="817" spans="1:40" ht="16" x14ac:dyDescent="0.2">
      <c r="A817" s="2" t="s">
        <v>2647</v>
      </c>
      <c r="B817" s="2">
        <v>820</v>
      </c>
      <c r="C817" s="2" t="b">
        <v>0</v>
      </c>
      <c r="D817" s="2" t="b">
        <v>0</v>
      </c>
      <c r="E817" s="2" t="b">
        <v>0</v>
      </c>
      <c r="F817" s="2" t="b">
        <v>0</v>
      </c>
      <c r="G817" s="2" t="s">
        <v>31</v>
      </c>
      <c r="H817" s="2" t="s">
        <v>2648</v>
      </c>
      <c r="I817" s="2" t="s">
        <v>2649</v>
      </c>
      <c r="J817" s="2" t="s">
        <v>35</v>
      </c>
      <c r="K817" s="2" t="s">
        <v>35</v>
      </c>
      <c r="L817" s="2" t="s">
        <v>35</v>
      </c>
      <c r="M817" s="2" t="s">
        <v>35</v>
      </c>
      <c r="N817" s="2" t="s">
        <v>35</v>
      </c>
      <c r="O817" s="11">
        <v>44755.387852800923</v>
      </c>
      <c r="P817" s="11">
        <v>44755.387983182867</v>
      </c>
      <c r="Q817" s="27">
        <v>1.3038194447290152E-4</v>
      </c>
      <c r="R817" s="27">
        <v>1.1776273095165379E-3</v>
      </c>
      <c r="S817" s="2">
        <v>0</v>
      </c>
      <c r="T817" s="2" t="s">
        <v>36</v>
      </c>
      <c r="U817" s="2" t="s">
        <v>37</v>
      </c>
      <c r="V817" s="2" t="s">
        <v>38</v>
      </c>
      <c r="W817" s="2" t="s">
        <v>35</v>
      </c>
      <c r="X817" s="2" t="s">
        <v>35</v>
      </c>
      <c r="Y817" s="2" t="s">
        <v>35</v>
      </c>
      <c r="Z817" s="2" t="b">
        <v>0</v>
      </c>
      <c r="AA817" s="2" t="s">
        <v>35</v>
      </c>
      <c r="AB817" s="2" t="s">
        <v>35</v>
      </c>
      <c r="AC817" s="2" t="s">
        <v>35</v>
      </c>
      <c r="AD817" s="2">
        <v>2</v>
      </c>
      <c r="AE817" s="2" t="s">
        <v>2650</v>
      </c>
      <c r="AF817" s="11">
        <v>44755.386805555558</v>
      </c>
      <c r="AG817" s="53"/>
      <c r="AH817" s="53" t="b">
        <f t="shared" si="17"/>
        <v>0</v>
      </c>
      <c r="AI817" s="54" t="s">
        <v>10535</v>
      </c>
      <c r="AJ817" s="2"/>
      <c r="AK817" s="2"/>
      <c r="AL817" s="2"/>
      <c r="AM817" s="2"/>
      <c r="AN817" s="2"/>
    </row>
    <row r="818" spans="1:40" ht="16" x14ac:dyDescent="0.2">
      <c r="A818" s="2" t="s">
        <v>2666</v>
      </c>
      <c r="B818" s="2">
        <v>825</v>
      </c>
      <c r="C818" s="2" t="b">
        <v>0</v>
      </c>
      <c r="D818" s="2" t="b">
        <v>0</v>
      </c>
      <c r="E818" s="2" t="b">
        <v>0</v>
      </c>
      <c r="F818" s="2" t="b">
        <v>0</v>
      </c>
      <c r="G818" s="2" t="s">
        <v>31</v>
      </c>
      <c r="H818" s="2" t="s">
        <v>2667</v>
      </c>
      <c r="I818" s="2" t="s">
        <v>2668</v>
      </c>
      <c r="J818" s="2" t="s">
        <v>35</v>
      </c>
      <c r="K818" s="2" t="s">
        <v>35</v>
      </c>
      <c r="L818" s="2" t="s">
        <v>35</v>
      </c>
      <c r="M818" s="2" t="s">
        <v>35</v>
      </c>
      <c r="N818" s="2" t="s">
        <v>35</v>
      </c>
      <c r="O818" s="11">
        <v>44755.392425416663</v>
      </c>
      <c r="P818" s="11">
        <v>44755.392552187499</v>
      </c>
      <c r="Q818" s="27">
        <v>1.2677083577727899E-4</v>
      </c>
      <c r="R818" s="27">
        <v>6.7481481528375298E-4</v>
      </c>
      <c r="S818" s="2">
        <v>0</v>
      </c>
      <c r="T818" s="2" t="s">
        <v>36</v>
      </c>
      <c r="U818" s="2" t="s">
        <v>37</v>
      </c>
      <c r="V818" s="2" t="s">
        <v>38</v>
      </c>
      <c r="W818" s="2" t="s">
        <v>35</v>
      </c>
      <c r="X818" s="2" t="s">
        <v>35</v>
      </c>
      <c r="Y818" s="2" t="s">
        <v>35</v>
      </c>
      <c r="Z818" s="2" t="b">
        <v>0</v>
      </c>
      <c r="AA818" s="2" t="s">
        <v>35</v>
      </c>
      <c r="AB818" s="2" t="s">
        <v>35</v>
      </c>
      <c r="AC818" s="2" t="s">
        <v>35</v>
      </c>
      <c r="AD818" s="2">
        <v>3</v>
      </c>
      <c r="AE818" s="2" t="s">
        <v>2650</v>
      </c>
      <c r="AF818" s="11">
        <v>44755.386805555558</v>
      </c>
      <c r="AG818" s="53"/>
      <c r="AH818" s="53" t="b">
        <f t="shared" si="17"/>
        <v>0</v>
      </c>
      <c r="AI818" s="54" t="s">
        <v>10536</v>
      </c>
      <c r="AJ818" s="2"/>
      <c r="AK818" s="2"/>
      <c r="AL818" s="2"/>
      <c r="AM818" s="2"/>
      <c r="AN818" s="2"/>
    </row>
    <row r="819" spans="1:40" ht="16" x14ac:dyDescent="0.2">
      <c r="A819" s="2" t="s">
        <v>2669</v>
      </c>
      <c r="B819" s="2">
        <v>826</v>
      </c>
      <c r="C819" s="2" t="b">
        <v>0</v>
      </c>
      <c r="D819" s="2" t="b">
        <v>0</v>
      </c>
      <c r="E819" s="2" t="b">
        <v>0</v>
      </c>
      <c r="F819" s="2" t="b">
        <v>0</v>
      </c>
      <c r="G819" s="2" t="s">
        <v>31</v>
      </c>
      <c r="H819" s="2" t="s">
        <v>2670</v>
      </c>
      <c r="I819" s="2" t="s">
        <v>2671</v>
      </c>
      <c r="J819" s="2" t="s">
        <v>35</v>
      </c>
      <c r="K819" s="2" t="s">
        <v>35</v>
      </c>
      <c r="L819" s="2" t="s">
        <v>35</v>
      </c>
      <c r="M819" s="2" t="s">
        <v>35</v>
      </c>
      <c r="N819" s="2" t="s">
        <v>35</v>
      </c>
      <c r="O819" s="11">
        <v>44755.395541608799</v>
      </c>
      <c r="P819" s="11">
        <v>44755.395671828701</v>
      </c>
      <c r="Q819" s="27">
        <v>1.3021990162087604E-4</v>
      </c>
      <c r="R819" s="27">
        <v>3.119641201919876E-3</v>
      </c>
      <c r="S819" s="2">
        <v>0</v>
      </c>
      <c r="T819" s="2" t="s">
        <v>36</v>
      </c>
      <c r="U819" s="2" t="s">
        <v>37</v>
      </c>
      <c r="V819" s="2" t="s">
        <v>38</v>
      </c>
      <c r="W819" s="2" t="s">
        <v>35</v>
      </c>
      <c r="X819" s="2" t="s">
        <v>35</v>
      </c>
      <c r="Y819" s="2" t="s">
        <v>35</v>
      </c>
      <c r="Z819" s="2" t="b">
        <v>0</v>
      </c>
      <c r="AA819" s="2" t="s">
        <v>35</v>
      </c>
      <c r="AB819" s="2" t="s">
        <v>35</v>
      </c>
      <c r="AC819" s="2" t="s">
        <v>35</v>
      </c>
      <c r="AD819" s="2">
        <v>3</v>
      </c>
      <c r="AE819" s="2" t="s">
        <v>2650</v>
      </c>
      <c r="AF819" s="11">
        <v>44755.386805555558</v>
      </c>
      <c r="AG819" s="53"/>
      <c r="AH819" s="53" t="b">
        <f t="shared" si="17"/>
        <v>0</v>
      </c>
      <c r="AI819" s="54" t="s">
        <v>10537</v>
      </c>
      <c r="AJ819" s="2"/>
      <c r="AK819" s="2"/>
      <c r="AL819" s="2"/>
      <c r="AM819" s="2"/>
      <c r="AN819" s="2"/>
    </row>
    <row r="820" spans="1:40" ht="16" x14ac:dyDescent="0.2">
      <c r="A820" s="2" t="s">
        <v>2672</v>
      </c>
      <c r="B820" s="2">
        <v>827</v>
      </c>
      <c r="C820" s="2" t="b">
        <v>0</v>
      </c>
      <c r="D820" s="2" t="b">
        <v>0</v>
      </c>
      <c r="E820" s="2" t="b">
        <v>0</v>
      </c>
      <c r="F820" s="2" t="b">
        <v>0</v>
      </c>
      <c r="G820" s="2" t="s">
        <v>31</v>
      </c>
      <c r="H820" s="2" t="s">
        <v>2673</v>
      </c>
      <c r="I820" s="2" t="s">
        <v>2674</v>
      </c>
      <c r="J820" s="2" t="s">
        <v>35</v>
      </c>
      <c r="K820" s="2" t="s">
        <v>35</v>
      </c>
      <c r="L820" s="2" t="s">
        <v>35</v>
      </c>
      <c r="M820" s="2" t="s">
        <v>35</v>
      </c>
      <c r="N820" s="2" t="s">
        <v>35</v>
      </c>
      <c r="O820" s="11">
        <v>44755.397703888892</v>
      </c>
      <c r="P820" s="11">
        <v>44755.397823854168</v>
      </c>
      <c r="Q820" s="27">
        <v>1.1996527609881014E-4</v>
      </c>
      <c r="R820" s="27">
        <v>2.1520254667848349E-3</v>
      </c>
      <c r="S820" s="2">
        <v>0</v>
      </c>
      <c r="T820" s="2" t="s">
        <v>36</v>
      </c>
      <c r="U820" s="2" t="s">
        <v>37</v>
      </c>
      <c r="V820" s="2" t="s">
        <v>38</v>
      </c>
      <c r="W820" s="2" t="s">
        <v>35</v>
      </c>
      <c r="X820" s="2" t="s">
        <v>35</v>
      </c>
      <c r="Y820" s="2" t="s">
        <v>35</v>
      </c>
      <c r="Z820" s="2" t="b">
        <v>0</v>
      </c>
      <c r="AA820" s="2" t="s">
        <v>35</v>
      </c>
      <c r="AB820" s="2" t="s">
        <v>35</v>
      </c>
      <c r="AC820" s="2" t="s">
        <v>35</v>
      </c>
      <c r="AD820" s="2">
        <v>3</v>
      </c>
      <c r="AE820" s="2" t="s">
        <v>2650</v>
      </c>
      <c r="AF820" s="11">
        <v>44755.386805555558</v>
      </c>
      <c r="AG820" s="53"/>
      <c r="AH820" s="53" t="b">
        <f t="shared" si="17"/>
        <v>0</v>
      </c>
      <c r="AI820" s="54" t="s">
        <v>10538</v>
      </c>
      <c r="AJ820" s="2"/>
      <c r="AK820" s="2"/>
      <c r="AL820" s="2"/>
      <c r="AM820" s="2"/>
      <c r="AN820" s="2"/>
    </row>
    <row r="821" spans="1:40" ht="16" x14ac:dyDescent="0.2">
      <c r="A821" s="2" t="s">
        <v>2675</v>
      </c>
      <c r="B821" s="2">
        <v>828</v>
      </c>
      <c r="C821" s="2" t="b">
        <v>0</v>
      </c>
      <c r="D821" s="2" t="b">
        <v>0</v>
      </c>
      <c r="E821" s="2" t="b">
        <v>0</v>
      </c>
      <c r="F821" s="2" t="b">
        <v>0</v>
      </c>
      <c r="G821" s="2" t="s">
        <v>31</v>
      </c>
      <c r="H821" s="2" t="s">
        <v>2676</v>
      </c>
      <c r="I821" s="2" t="s">
        <v>2677</v>
      </c>
      <c r="J821" s="2" t="s">
        <v>35</v>
      </c>
      <c r="K821" s="2" t="s">
        <v>35</v>
      </c>
      <c r="L821" s="2" t="s">
        <v>35</v>
      </c>
      <c r="M821" s="2" t="s">
        <v>35</v>
      </c>
      <c r="N821" s="2" t="s">
        <v>35</v>
      </c>
      <c r="O821" s="11">
        <v>44755.399064849538</v>
      </c>
      <c r="P821" s="11">
        <v>44755.399173148151</v>
      </c>
      <c r="Q821" s="27">
        <v>1.0829861275851727E-4</v>
      </c>
      <c r="R821" s="27">
        <v>1.3492939833668061E-3</v>
      </c>
      <c r="S821" s="2">
        <v>0</v>
      </c>
      <c r="T821" s="2" t="s">
        <v>36</v>
      </c>
      <c r="U821" s="2" t="s">
        <v>37</v>
      </c>
      <c r="V821" s="2" t="s">
        <v>38</v>
      </c>
      <c r="W821" s="2" t="s">
        <v>35</v>
      </c>
      <c r="X821" s="2" t="s">
        <v>35</v>
      </c>
      <c r="Y821" s="2" t="s">
        <v>35</v>
      </c>
      <c r="Z821" s="2" t="b">
        <v>0</v>
      </c>
      <c r="AA821" s="2" t="s">
        <v>35</v>
      </c>
      <c r="AB821" s="2" t="s">
        <v>35</v>
      </c>
      <c r="AC821" s="2" t="s">
        <v>35</v>
      </c>
      <c r="AD821" s="2">
        <v>4</v>
      </c>
      <c r="AE821" s="2" t="s">
        <v>2650</v>
      </c>
      <c r="AF821" s="11">
        <v>44755.386805555558</v>
      </c>
      <c r="AG821" s="53"/>
      <c r="AH821" s="53" t="b">
        <f t="shared" si="17"/>
        <v>0</v>
      </c>
      <c r="AI821" s="54" t="s">
        <v>10539</v>
      </c>
      <c r="AJ821" s="2"/>
      <c r="AK821" s="2"/>
      <c r="AL821" s="2"/>
      <c r="AM821" s="2"/>
      <c r="AN821" s="2"/>
    </row>
    <row r="822" spans="1:40" ht="16" x14ac:dyDescent="0.2">
      <c r="A822" s="2" t="s">
        <v>2678</v>
      </c>
      <c r="B822" s="2">
        <v>829</v>
      </c>
      <c r="C822" s="2" t="b">
        <v>0</v>
      </c>
      <c r="D822" s="2" t="b">
        <v>0</v>
      </c>
      <c r="E822" s="2" t="b">
        <v>0</v>
      </c>
      <c r="F822" s="2" t="b">
        <v>0</v>
      </c>
      <c r="G822" s="2" t="s">
        <v>31</v>
      </c>
      <c r="H822" s="2" t="s">
        <v>2679</v>
      </c>
      <c r="I822" s="2" t="s">
        <v>2680</v>
      </c>
      <c r="J822" s="2" t="s">
        <v>35</v>
      </c>
      <c r="K822" s="2" t="s">
        <v>35</v>
      </c>
      <c r="L822" s="2" t="s">
        <v>35</v>
      </c>
      <c r="M822" s="2" t="s">
        <v>35</v>
      </c>
      <c r="N822" s="2" t="s">
        <v>35</v>
      </c>
      <c r="O822" s="11">
        <v>44755.400241620373</v>
      </c>
      <c r="P822" s="11">
        <v>44755.400386921297</v>
      </c>
      <c r="Q822" s="27">
        <v>1.4530092448694631E-4</v>
      </c>
      <c r="R822" s="27">
        <v>1.2137731464463286E-3</v>
      </c>
      <c r="S822" s="2">
        <v>0</v>
      </c>
      <c r="T822" s="2" t="s">
        <v>36</v>
      </c>
      <c r="U822" s="2" t="s">
        <v>37</v>
      </c>
      <c r="V822" s="2" t="s">
        <v>38</v>
      </c>
      <c r="W822" s="2" t="s">
        <v>35</v>
      </c>
      <c r="X822" s="2" t="s">
        <v>35</v>
      </c>
      <c r="Y822" s="2" t="s">
        <v>35</v>
      </c>
      <c r="Z822" s="2" t="b">
        <v>0</v>
      </c>
      <c r="AA822" s="2" t="s">
        <v>35</v>
      </c>
      <c r="AB822" s="2" t="s">
        <v>35</v>
      </c>
      <c r="AC822" s="2" t="s">
        <v>35</v>
      </c>
      <c r="AD822" s="2">
        <v>2</v>
      </c>
      <c r="AE822" s="2" t="s">
        <v>2650</v>
      </c>
      <c r="AF822" s="11">
        <v>44755.386805555558</v>
      </c>
      <c r="AG822" s="53"/>
      <c r="AH822" s="53" t="b">
        <f t="shared" si="17"/>
        <v>0</v>
      </c>
      <c r="AI822" s="54" t="s">
        <v>10540</v>
      </c>
      <c r="AJ822" s="2"/>
      <c r="AK822" s="2"/>
      <c r="AL822" s="2"/>
      <c r="AM822" s="2"/>
      <c r="AN822" s="2"/>
    </row>
    <row r="823" spans="1:40" ht="16" x14ac:dyDescent="0.2">
      <c r="A823" s="2" t="s">
        <v>2685</v>
      </c>
      <c r="B823" s="2">
        <v>831</v>
      </c>
      <c r="C823" s="2" t="b">
        <v>0</v>
      </c>
      <c r="D823" s="2" t="b">
        <v>0</v>
      </c>
      <c r="E823" s="2" t="b">
        <v>0</v>
      </c>
      <c r="F823" s="2" t="b">
        <v>0</v>
      </c>
      <c r="G823" s="2" t="s">
        <v>31</v>
      </c>
      <c r="H823" s="2" t="s">
        <v>2686</v>
      </c>
      <c r="I823" s="2" t="s">
        <v>2687</v>
      </c>
      <c r="J823" s="2" t="s">
        <v>35</v>
      </c>
      <c r="K823" s="2" t="s">
        <v>35</v>
      </c>
      <c r="L823" s="2" t="s">
        <v>35</v>
      </c>
      <c r="M823" s="2" t="s">
        <v>35</v>
      </c>
      <c r="N823" s="2" t="s">
        <v>35</v>
      </c>
      <c r="O823" s="11">
        <v>44755.403110671294</v>
      </c>
      <c r="P823" s="11">
        <v>44755.403249305557</v>
      </c>
      <c r="Q823" s="27">
        <v>1.3863426283933222E-4</v>
      </c>
      <c r="R823" s="27">
        <v>1.0047800969914533E-3</v>
      </c>
      <c r="S823" s="2">
        <v>0</v>
      </c>
      <c r="T823" s="2" t="s">
        <v>36</v>
      </c>
      <c r="U823" s="2" t="s">
        <v>37</v>
      </c>
      <c r="V823" s="2" t="s">
        <v>38</v>
      </c>
      <c r="W823" s="2" t="s">
        <v>35</v>
      </c>
      <c r="X823" s="2" t="s">
        <v>35</v>
      </c>
      <c r="Y823" s="2" t="s">
        <v>35</v>
      </c>
      <c r="Z823" s="2" t="b">
        <v>0</v>
      </c>
      <c r="AA823" s="2" t="s">
        <v>35</v>
      </c>
      <c r="AB823" s="2" t="s">
        <v>35</v>
      </c>
      <c r="AC823" s="2" t="s">
        <v>35</v>
      </c>
      <c r="AD823" s="2">
        <v>3</v>
      </c>
      <c r="AE823" s="2" t="s">
        <v>2650</v>
      </c>
      <c r="AF823" s="11">
        <v>44755.386805555558</v>
      </c>
      <c r="AG823" s="53"/>
      <c r="AH823" s="53" t="b">
        <f t="shared" si="17"/>
        <v>0</v>
      </c>
      <c r="AI823" s="54" t="s">
        <v>10541</v>
      </c>
      <c r="AJ823" s="2"/>
      <c r="AK823" s="2"/>
      <c r="AL823" s="2"/>
      <c r="AM823" s="2"/>
      <c r="AN823" s="2"/>
    </row>
    <row r="824" spans="1:40" ht="16" x14ac:dyDescent="0.2">
      <c r="A824" s="2" t="s">
        <v>2688</v>
      </c>
      <c r="B824" s="2">
        <v>832</v>
      </c>
      <c r="C824" s="2" t="b">
        <v>0</v>
      </c>
      <c r="D824" s="2" t="b">
        <v>0</v>
      </c>
      <c r="E824" s="2" t="b">
        <v>0</v>
      </c>
      <c r="F824" s="2" t="b">
        <v>0</v>
      </c>
      <c r="G824" s="2" t="s">
        <v>31</v>
      </c>
      <c r="H824" s="2" t="s">
        <v>2689</v>
      </c>
      <c r="I824" s="2" t="s">
        <v>2690</v>
      </c>
      <c r="J824" s="2" t="s">
        <v>35</v>
      </c>
      <c r="K824" s="2" t="s">
        <v>35</v>
      </c>
      <c r="L824" s="2" t="s">
        <v>35</v>
      </c>
      <c r="M824" s="2" t="s">
        <v>35</v>
      </c>
      <c r="N824" s="2" t="s">
        <v>35</v>
      </c>
      <c r="O824" s="11">
        <v>44755.403754687497</v>
      </c>
      <c r="P824" s="11">
        <v>44755.403884699073</v>
      </c>
      <c r="Q824" s="27">
        <v>1.3001157640246674E-4</v>
      </c>
      <c r="R824" s="27">
        <v>6.3539351685903966E-4</v>
      </c>
      <c r="S824" s="2">
        <v>0</v>
      </c>
      <c r="T824" s="2" t="s">
        <v>36</v>
      </c>
      <c r="U824" s="2" t="s">
        <v>37</v>
      </c>
      <c r="V824" s="2" t="s">
        <v>38</v>
      </c>
      <c r="W824" s="2" t="s">
        <v>35</v>
      </c>
      <c r="X824" s="2" t="s">
        <v>35</v>
      </c>
      <c r="Y824" s="2" t="s">
        <v>35</v>
      </c>
      <c r="Z824" s="2" t="b">
        <v>0</v>
      </c>
      <c r="AA824" s="2" t="s">
        <v>35</v>
      </c>
      <c r="AB824" s="2" t="s">
        <v>35</v>
      </c>
      <c r="AC824" s="2" t="s">
        <v>35</v>
      </c>
      <c r="AD824" s="2">
        <v>3</v>
      </c>
      <c r="AE824" s="2" t="s">
        <v>2650</v>
      </c>
      <c r="AF824" s="11">
        <v>44755.386805555558</v>
      </c>
      <c r="AG824" s="53"/>
      <c r="AH824" s="53" t="b">
        <f t="shared" si="17"/>
        <v>0</v>
      </c>
      <c r="AI824" s="54" t="s">
        <v>10542</v>
      </c>
      <c r="AJ824" s="2"/>
      <c r="AK824" s="2"/>
      <c r="AL824" s="2"/>
      <c r="AM824" s="2"/>
      <c r="AN824" s="2"/>
    </row>
    <row r="825" spans="1:40" ht="16" x14ac:dyDescent="0.2">
      <c r="A825" s="2" t="s">
        <v>2691</v>
      </c>
      <c r="B825" s="2">
        <v>833</v>
      </c>
      <c r="C825" s="2" t="b">
        <v>0</v>
      </c>
      <c r="D825" s="2" t="b">
        <v>0</v>
      </c>
      <c r="E825" s="2" t="b">
        <v>0</v>
      </c>
      <c r="F825" s="2" t="b">
        <v>0</v>
      </c>
      <c r="G825" s="2" t="s">
        <v>31</v>
      </c>
      <c r="H825" s="2" t="s">
        <v>2692</v>
      </c>
      <c r="I825" s="2" t="s">
        <v>2693</v>
      </c>
      <c r="J825" s="2" t="s">
        <v>35</v>
      </c>
      <c r="K825" s="2" t="s">
        <v>35</v>
      </c>
      <c r="L825" s="2" t="s">
        <v>35</v>
      </c>
      <c r="M825" s="2" t="s">
        <v>35</v>
      </c>
      <c r="N825" s="2" t="s">
        <v>35</v>
      </c>
      <c r="O825" s="11">
        <v>44755.404645439812</v>
      </c>
      <c r="P825" s="11">
        <v>44755.404744398147</v>
      </c>
      <c r="Q825" s="27">
        <v>9.8958335001952946E-5</v>
      </c>
      <c r="R825" s="27">
        <v>8.5969907377148047E-4</v>
      </c>
      <c r="S825" s="2">
        <v>0</v>
      </c>
      <c r="T825" s="2" t="s">
        <v>36</v>
      </c>
      <c r="U825" s="2" t="s">
        <v>37</v>
      </c>
      <c r="V825" s="2" t="s">
        <v>38</v>
      </c>
      <c r="W825" s="2" t="s">
        <v>35</v>
      </c>
      <c r="X825" s="2" t="s">
        <v>35</v>
      </c>
      <c r="Y825" s="2" t="s">
        <v>35</v>
      </c>
      <c r="Z825" s="2" t="b">
        <v>0</v>
      </c>
      <c r="AA825" s="2" t="s">
        <v>35</v>
      </c>
      <c r="AB825" s="2" t="s">
        <v>35</v>
      </c>
      <c r="AC825" s="2" t="s">
        <v>35</v>
      </c>
      <c r="AD825" s="2">
        <v>2</v>
      </c>
      <c r="AE825" s="2" t="s">
        <v>2650</v>
      </c>
      <c r="AF825" s="11">
        <v>44755.386805555558</v>
      </c>
      <c r="AG825" s="53"/>
      <c r="AH825" s="53" t="b">
        <f t="shared" si="17"/>
        <v>0</v>
      </c>
      <c r="AI825" s="54" t="s">
        <v>10543</v>
      </c>
      <c r="AJ825" s="2"/>
      <c r="AK825" s="2"/>
      <c r="AL825" s="2"/>
      <c r="AM825" s="2"/>
      <c r="AN825" s="2"/>
    </row>
    <row r="826" spans="1:40" ht="16" x14ac:dyDescent="0.2">
      <c r="A826" s="2" t="s">
        <v>2694</v>
      </c>
      <c r="B826" s="2">
        <v>834</v>
      </c>
      <c r="C826" s="2" t="b">
        <v>0</v>
      </c>
      <c r="D826" s="2" t="b">
        <v>0</v>
      </c>
      <c r="E826" s="2" t="b">
        <v>0</v>
      </c>
      <c r="F826" s="2" t="b">
        <v>0</v>
      </c>
      <c r="G826" s="2" t="s">
        <v>31</v>
      </c>
      <c r="H826" s="2" t="s">
        <v>2695</v>
      </c>
      <c r="I826" s="2" t="s">
        <v>2696</v>
      </c>
      <c r="J826" s="2" t="s">
        <v>35</v>
      </c>
      <c r="K826" s="2" t="s">
        <v>35</v>
      </c>
      <c r="L826" s="2" t="s">
        <v>35</v>
      </c>
      <c r="M826" s="2" t="s">
        <v>35</v>
      </c>
      <c r="N826" s="2" t="s">
        <v>35</v>
      </c>
      <c r="O826" s="11">
        <v>44755.404959907406</v>
      </c>
      <c r="P826" s="11">
        <v>44755.405214560182</v>
      </c>
      <c r="Q826" s="27">
        <v>2.5465277576586232E-4</v>
      </c>
      <c r="R826" s="27">
        <v>4.7016203461680561E-4</v>
      </c>
      <c r="S826" s="2">
        <v>0</v>
      </c>
      <c r="T826" s="2" t="s">
        <v>36</v>
      </c>
      <c r="U826" s="2" t="s">
        <v>37</v>
      </c>
      <c r="V826" s="2" t="s">
        <v>38</v>
      </c>
      <c r="W826" s="2" t="s">
        <v>35</v>
      </c>
      <c r="X826" s="2" t="s">
        <v>35</v>
      </c>
      <c r="Y826" s="2" t="s">
        <v>35</v>
      </c>
      <c r="Z826" s="2" t="b">
        <v>0</v>
      </c>
      <c r="AA826" s="2" t="s">
        <v>2697</v>
      </c>
      <c r="AB826" s="2" t="s">
        <v>35</v>
      </c>
      <c r="AC826" s="2" t="s">
        <v>35</v>
      </c>
      <c r="AD826" s="2" t="s">
        <v>35</v>
      </c>
      <c r="AE826" s="2" t="s">
        <v>2650</v>
      </c>
      <c r="AF826" s="11">
        <v>44755.386805555558</v>
      </c>
      <c r="AG826" s="53"/>
      <c r="AH826" s="53" t="b">
        <f t="shared" si="17"/>
        <v>0</v>
      </c>
      <c r="AI826" s="54" t="s">
        <v>10544</v>
      </c>
      <c r="AJ826" s="2"/>
      <c r="AK826" s="2"/>
      <c r="AL826" s="2"/>
      <c r="AM826" s="2"/>
      <c r="AN826" s="2"/>
    </row>
    <row r="827" spans="1:40" ht="16" x14ac:dyDescent="0.2">
      <c r="A827" s="2" t="s">
        <v>2698</v>
      </c>
      <c r="B827" s="2">
        <v>835</v>
      </c>
      <c r="C827" s="2" t="b">
        <v>0</v>
      </c>
      <c r="D827" s="2" t="b">
        <v>0</v>
      </c>
      <c r="E827" s="2" t="b">
        <v>0</v>
      </c>
      <c r="F827" s="2" t="b">
        <v>0</v>
      </c>
      <c r="G827" s="2" t="s">
        <v>31</v>
      </c>
      <c r="H827" s="2" t="s">
        <v>2699</v>
      </c>
      <c r="I827" s="2" t="s">
        <v>2700</v>
      </c>
      <c r="J827" s="2" t="s">
        <v>35</v>
      </c>
      <c r="K827" s="2" t="s">
        <v>35</v>
      </c>
      <c r="L827" s="2" t="s">
        <v>35</v>
      </c>
      <c r="M827" s="2" t="s">
        <v>35</v>
      </c>
      <c r="N827" s="2" t="s">
        <v>35</v>
      </c>
      <c r="O827" s="11">
        <v>44755.407912939816</v>
      </c>
      <c r="P827" s="11">
        <v>44755.408019756942</v>
      </c>
      <c r="Q827" s="27">
        <v>1.0681712592486292E-4</v>
      </c>
      <c r="R827" s="27">
        <v>2.8051967601641081E-3</v>
      </c>
      <c r="S827" s="2">
        <v>0</v>
      </c>
      <c r="T827" s="2" t="s">
        <v>36</v>
      </c>
      <c r="U827" s="2" t="s">
        <v>37</v>
      </c>
      <c r="V827" s="2" t="s">
        <v>38</v>
      </c>
      <c r="W827" s="2" t="s">
        <v>35</v>
      </c>
      <c r="X827" s="2" t="s">
        <v>35</v>
      </c>
      <c r="Y827" s="2" t="s">
        <v>35</v>
      </c>
      <c r="Z827" s="2" t="b">
        <v>0</v>
      </c>
      <c r="AA827" s="2" t="s">
        <v>35</v>
      </c>
      <c r="AB827" s="2" t="s">
        <v>35</v>
      </c>
      <c r="AC827" s="2" t="s">
        <v>35</v>
      </c>
      <c r="AD827" s="2">
        <v>2</v>
      </c>
      <c r="AE827" s="2" t="s">
        <v>2650</v>
      </c>
      <c r="AF827" s="11">
        <v>44755.386805555558</v>
      </c>
      <c r="AG827" s="53"/>
      <c r="AH827" s="53" t="b">
        <f t="shared" si="17"/>
        <v>0</v>
      </c>
      <c r="AI827" s="54" t="s">
        <v>10545</v>
      </c>
      <c r="AJ827" s="2"/>
      <c r="AK827" s="2"/>
      <c r="AL827" s="2"/>
      <c r="AM827" s="2"/>
      <c r="AN827" s="2"/>
    </row>
    <row r="828" spans="1:40" ht="16" x14ac:dyDescent="0.2">
      <c r="A828" s="2" t="s">
        <v>2705</v>
      </c>
      <c r="B828" s="2">
        <v>837</v>
      </c>
      <c r="C828" s="2" t="b">
        <v>0</v>
      </c>
      <c r="D828" s="2" t="b">
        <v>0</v>
      </c>
      <c r="E828" s="2" t="b">
        <v>0</v>
      </c>
      <c r="F828" s="2" t="b">
        <v>0</v>
      </c>
      <c r="G828" s="2" t="s">
        <v>31</v>
      </c>
      <c r="H828" s="2" t="s">
        <v>2706</v>
      </c>
      <c r="I828" s="2" t="s">
        <v>2707</v>
      </c>
      <c r="J828" s="2" t="s">
        <v>35</v>
      </c>
      <c r="K828" s="2" t="s">
        <v>35</v>
      </c>
      <c r="L828" s="2" t="s">
        <v>35</v>
      </c>
      <c r="M828" s="2" t="s">
        <v>35</v>
      </c>
      <c r="N828" s="2" t="s">
        <v>35</v>
      </c>
      <c r="O828" s="11">
        <v>44755.411267743053</v>
      </c>
      <c r="P828" s="11">
        <v>44755.411387245367</v>
      </c>
      <c r="Q828" s="27">
        <v>1.1950231419177726E-4</v>
      </c>
      <c r="R828" s="27">
        <v>4.7219906991813332E-4</v>
      </c>
      <c r="S828" s="2">
        <v>0</v>
      </c>
      <c r="T828" s="2" t="s">
        <v>36</v>
      </c>
      <c r="U828" s="2" t="s">
        <v>37</v>
      </c>
      <c r="V828" s="2" t="s">
        <v>38</v>
      </c>
      <c r="W828" s="2" t="s">
        <v>35</v>
      </c>
      <c r="X828" s="2" t="s">
        <v>35</v>
      </c>
      <c r="Y828" s="2" t="s">
        <v>35</v>
      </c>
      <c r="Z828" s="2" t="b">
        <v>0</v>
      </c>
      <c r="AA828" s="2" t="s">
        <v>35</v>
      </c>
      <c r="AB828" s="2" t="s">
        <v>35</v>
      </c>
      <c r="AC828" s="2" t="s">
        <v>35</v>
      </c>
      <c r="AD828" s="2">
        <v>3</v>
      </c>
      <c r="AE828" s="2" t="s">
        <v>2650</v>
      </c>
      <c r="AF828" s="11">
        <v>44755.386805555558</v>
      </c>
      <c r="AG828" s="53"/>
      <c r="AH828" s="53" t="b">
        <f t="shared" si="17"/>
        <v>0</v>
      </c>
      <c r="AI828" s="54" t="s">
        <v>10546</v>
      </c>
      <c r="AJ828" s="2"/>
      <c r="AK828" s="2"/>
      <c r="AL828" s="2"/>
      <c r="AM828" s="2"/>
      <c r="AN828" s="2"/>
    </row>
    <row r="829" spans="1:40" ht="16" x14ac:dyDescent="0.2">
      <c r="A829" s="2" t="s">
        <v>2708</v>
      </c>
      <c r="B829" s="2">
        <v>838</v>
      </c>
      <c r="C829" s="2" t="b">
        <v>0</v>
      </c>
      <c r="D829" s="2" t="b">
        <v>0</v>
      </c>
      <c r="E829" s="2" t="b">
        <v>0</v>
      </c>
      <c r="F829" s="2" t="b">
        <v>0</v>
      </c>
      <c r="G829" s="2" t="s">
        <v>31</v>
      </c>
      <c r="H829" s="2" t="s">
        <v>2709</v>
      </c>
      <c r="I829" s="2" t="s">
        <v>2710</v>
      </c>
      <c r="J829" s="2" t="s">
        <v>35</v>
      </c>
      <c r="K829" s="2" t="s">
        <v>35</v>
      </c>
      <c r="L829" s="2" t="s">
        <v>35</v>
      </c>
      <c r="M829" s="2" t="s">
        <v>35</v>
      </c>
      <c r="N829" s="2" t="s">
        <v>35</v>
      </c>
      <c r="O829" s="11">
        <v>44755.411922407409</v>
      </c>
      <c r="P829" s="11">
        <v>44755.412060648145</v>
      </c>
      <c r="Q829" s="27">
        <v>1.382407353958115E-4</v>
      </c>
      <c r="R829" s="27">
        <v>6.7340277746552601E-4</v>
      </c>
      <c r="S829" s="2">
        <v>0</v>
      </c>
      <c r="T829" s="2" t="s">
        <v>36</v>
      </c>
      <c r="U829" s="2" t="s">
        <v>37</v>
      </c>
      <c r="V829" s="2" t="s">
        <v>38</v>
      </c>
      <c r="W829" s="2" t="s">
        <v>35</v>
      </c>
      <c r="X829" s="2" t="s">
        <v>35</v>
      </c>
      <c r="Y829" s="2" t="s">
        <v>35</v>
      </c>
      <c r="Z829" s="2" t="b">
        <v>0</v>
      </c>
      <c r="AA829" s="2" t="s">
        <v>35</v>
      </c>
      <c r="AB829" s="2" t="s">
        <v>35</v>
      </c>
      <c r="AC829" s="2" t="s">
        <v>35</v>
      </c>
      <c r="AD829" s="2">
        <v>4</v>
      </c>
      <c r="AE829" s="2" t="s">
        <v>2650</v>
      </c>
      <c r="AF829" s="11">
        <v>44755.386805555558</v>
      </c>
      <c r="AG829" s="53"/>
      <c r="AH829" s="53" t="b">
        <f t="shared" si="17"/>
        <v>0</v>
      </c>
      <c r="AI829" s="54" t="s">
        <v>9518</v>
      </c>
      <c r="AJ829" s="2"/>
      <c r="AK829" s="2"/>
      <c r="AL829" s="2"/>
      <c r="AM829" s="2"/>
      <c r="AN829" s="2"/>
    </row>
    <row r="830" spans="1:40" ht="16" x14ac:dyDescent="0.2">
      <c r="A830" s="2" t="s">
        <v>2711</v>
      </c>
      <c r="B830" s="2">
        <v>839</v>
      </c>
      <c r="C830" s="2" t="b">
        <v>0</v>
      </c>
      <c r="D830" s="2" t="b">
        <v>0</v>
      </c>
      <c r="E830" s="2" t="b">
        <v>0</v>
      </c>
      <c r="F830" s="2" t="b">
        <v>0</v>
      </c>
      <c r="G830" s="2" t="s">
        <v>31</v>
      </c>
      <c r="H830" s="2" t="s">
        <v>2712</v>
      </c>
      <c r="I830" s="2" t="s">
        <v>2713</v>
      </c>
      <c r="J830" s="2" t="s">
        <v>35</v>
      </c>
      <c r="K830" s="2" t="s">
        <v>35</v>
      </c>
      <c r="L830" s="2" t="s">
        <v>35</v>
      </c>
      <c r="M830" s="2" t="s">
        <v>35</v>
      </c>
      <c r="N830" s="2" t="s">
        <v>35</v>
      </c>
      <c r="O830" s="11">
        <v>44755.412116805557</v>
      </c>
      <c r="P830" s="11">
        <v>44755.41235712963</v>
      </c>
      <c r="Q830" s="27">
        <v>2.4032407236518338E-4</v>
      </c>
      <c r="R830" s="27">
        <v>2.9648148483829573E-4</v>
      </c>
      <c r="S830" s="2">
        <v>0</v>
      </c>
      <c r="T830" s="2" t="s">
        <v>36</v>
      </c>
      <c r="U830" s="2" t="s">
        <v>37</v>
      </c>
      <c r="V830" s="2" t="s">
        <v>38</v>
      </c>
      <c r="W830" s="2" t="s">
        <v>35</v>
      </c>
      <c r="X830" s="2" t="s">
        <v>35</v>
      </c>
      <c r="Y830" s="2" t="s">
        <v>35</v>
      </c>
      <c r="Z830" s="2" t="b">
        <v>0</v>
      </c>
      <c r="AA830" s="2" t="s">
        <v>2714</v>
      </c>
      <c r="AB830" s="2" t="s">
        <v>35</v>
      </c>
      <c r="AC830" s="2" t="s">
        <v>35</v>
      </c>
      <c r="AD830" s="2" t="s">
        <v>35</v>
      </c>
      <c r="AE830" s="2" t="s">
        <v>2650</v>
      </c>
      <c r="AF830" s="11">
        <v>44755.386805555558</v>
      </c>
      <c r="AG830" s="53"/>
      <c r="AH830" s="53" t="b">
        <f t="shared" si="17"/>
        <v>0</v>
      </c>
      <c r="AI830" s="54" t="s">
        <v>10547</v>
      </c>
      <c r="AJ830" s="2"/>
      <c r="AK830" s="2"/>
      <c r="AL830" s="2"/>
      <c r="AM830" s="2"/>
      <c r="AN830" s="2"/>
    </row>
    <row r="831" spans="1:40" ht="16" x14ac:dyDescent="0.2">
      <c r="A831" s="2" t="s">
        <v>2719</v>
      </c>
      <c r="B831" s="2">
        <v>841</v>
      </c>
      <c r="C831" s="2" t="b">
        <v>0</v>
      </c>
      <c r="D831" s="2" t="b">
        <v>0</v>
      </c>
      <c r="E831" s="2" t="b">
        <v>0</v>
      </c>
      <c r="F831" s="2" t="b">
        <v>0</v>
      </c>
      <c r="G831" s="2" t="s">
        <v>31</v>
      </c>
      <c r="H831" s="2" t="s">
        <v>2720</v>
      </c>
      <c r="I831" s="2" t="s">
        <v>2721</v>
      </c>
      <c r="J831" s="2" t="s">
        <v>35</v>
      </c>
      <c r="K831" s="2" t="s">
        <v>35</v>
      </c>
      <c r="L831" s="2" t="s">
        <v>35</v>
      </c>
      <c r="M831" s="2" t="s">
        <v>35</v>
      </c>
      <c r="N831" s="2" t="s">
        <v>35</v>
      </c>
      <c r="O831" s="11">
        <v>44755.41442025463</v>
      </c>
      <c r="P831" s="11">
        <v>44755.414587465275</v>
      </c>
      <c r="Q831" s="27">
        <v>1.6721064457669854E-4</v>
      </c>
      <c r="R831" s="27">
        <v>1.5694444446125999E-3</v>
      </c>
      <c r="S831" s="2">
        <v>0</v>
      </c>
      <c r="T831" s="2" t="s">
        <v>36</v>
      </c>
      <c r="U831" s="2" t="s">
        <v>37</v>
      </c>
      <c r="V831" s="2" t="s">
        <v>38</v>
      </c>
      <c r="W831" s="2" t="s">
        <v>35</v>
      </c>
      <c r="X831" s="2" t="s">
        <v>35</v>
      </c>
      <c r="Y831" s="2" t="s">
        <v>35</v>
      </c>
      <c r="Z831" s="2" t="b">
        <v>0</v>
      </c>
      <c r="AA831" s="2" t="s">
        <v>35</v>
      </c>
      <c r="AB831" s="2" t="s">
        <v>35</v>
      </c>
      <c r="AC831" s="2" t="s">
        <v>35</v>
      </c>
      <c r="AD831" s="2">
        <v>4</v>
      </c>
      <c r="AE831" s="2" t="s">
        <v>2650</v>
      </c>
      <c r="AF831" s="11">
        <v>44755.386805555558</v>
      </c>
      <c r="AG831" s="53"/>
      <c r="AH831" s="53" t="b">
        <f t="shared" si="17"/>
        <v>0</v>
      </c>
      <c r="AI831" s="54" t="s">
        <v>10548</v>
      </c>
      <c r="AJ831" s="2"/>
      <c r="AK831" s="2"/>
      <c r="AL831" s="2"/>
      <c r="AM831" s="2"/>
      <c r="AN831" s="2"/>
    </row>
    <row r="832" spans="1:40" ht="16" x14ac:dyDescent="0.2">
      <c r="A832" s="2" t="s">
        <v>2722</v>
      </c>
      <c r="B832" s="2">
        <v>842</v>
      </c>
      <c r="C832" s="2" t="b">
        <v>0</v>
      </c>
      <c r="D832" s="2" t="b">
        <v>0</v>
      </c>
      <c r="E832" s="2" t="b">
        <v>0</v>
      </c>
      <c r="F832" s="2" t="b">
        <v>0</v>
      </c>
      <c r="G832" s="2" t="s">
        <v>31</v>
      </c>
      <c r="H832" s="2" t="s">
        <v>2723</v>
      </c>
      <c r="I832" s="2" t="s">
        <v>2724</v>
      </c>
      <c r="J832" s="2" t="s">
        <v>35</v>
      </c>
      <c r="K832" s="2" t="s">
        <v>35</v>
      </c>
      <c r="L832" s="2" t="s">
        <v>35</v>
      </c>
      <c r="M832" s="2" t="s">
        <v>35</v>
      </c>
      <c r="N832" s="2" t="s">
        <v>35</v>
      </c>
      <c r="O832" s="11">
        <v>44755.41558173611</v>
      </c>
      <c r="P832" s="11">
        <v>44755.416014247683</v>
      </c>
      <c r="Q832" s="27">
        <v>4.3251157330814749E-4</v>
      </c>
      <c r="R832" s="27">
        <v>1.4267824080889113E-3</v>
      </c>
      <c r="S832" s="2">
        <v>0</v>
      </c>
      <c r="T832" s="2" t="s">
        <v>36</v>
      </c>
      <c r="U832" s="2" t="s">
        <v>37</v>
      </c>
      <c r="V832" s="2" t="s">
        <v>38</v>
      </c>
      <c r="W832" s="2" t="s">
        <v>35</v>
      </c>
      <c r="X832" s="2" t="s">
        <v>35</v>
      </c>
      <c r="Y832" s="2" t="s">
        <v>35</v>
      </c>
      <c r="Z832" s="2" t="b">
        <v>0</v>
      </c>
      <c r="AA832" s="2" t="s">
        <v>35</v>
      </c>
      <c r="AB832" s="2" t="s">
        <v>35</v>
      </c>
      <c r="AC832" s="2" t="s">
        <v>35</v>
      </c>
      <c r="AD832" s="2">
        <v>5</v>
      </c>
      <c r="AE832" s="2" t="s">
        <v>2650</v>
      </c>
      <c r="AF832" s="11">
        <v>44755.386805555558</v>
      </c>
      <c r="AG832" s="53"/>
      <c r="AH832" s="53" t="b">
        <f t="shared" si="17"/>
        <v>0</v>
      </c>
      <c r="AI832" s="54" t="s">
        <v>10549</v>
      </c>
      <c r="AJ832" s="2"/>
      <c r="AK832" s="2"/>
      <c r="AL832" s="2"/>
      <c r="AM832" s="2"/>
      <c r="AN832" s="2"/>
    </row>
    <row r="833" spans="1:40" ht="16" x14ac:dyDescent="0.2">
      <c r="A833" s="2" t="s">
        <v>2732</v>
      </c>
      <c r="B833" s="2">
        <v>845</v>
      </c>
      <c r="C833" s="2" t="b">
        <v>0</v>
      </c>
      <c r="D833" s="2" t="b">
        <v>0</v>
      </c>
      <c r="E833" s="2" t="b">
        <v>0</v>
      </c>
      <c r="F833" s="2" t="b">
        <v>0</v>
      </c>
      <c r="G833" s="2" t="s">
        <v>31</v>
      </c>
      <c r="H833" s="2" t="s">
        <v>2733</v>
      </c>
      <c r="I833" s="2" t="s">
        <v>2734</v>
      </c>
      <c r="J833" s="2" t="s">
        <v>35</v>
      </c>
      <c r="K833" s="2" t="s">
        <v>35</v>
      </c>
      <c r="L833" s="2" t="s">
        <v>35</v>
      </c>
      <c r="M833" s="2" t="s">
        <v>35</v>
      </c>
      <c r="N833" s="2" t="s">
        <v>35</v>
      </c>
      <c r="O833" s="11">
        <v>44755.417792523149</v>
      </c>
      <c r="P833" s="11">
        <v>44755.417900902779</v>
      </c>
      <c r="Q833" s="27">
        <v>1.083796305465512E-4</v>
      </c>
      <c r="R833" s="27">
        <v>6.4067130006151274E-4</v>
      </c>
      <c r="S833" s="2">
        <v>0</v>
      </c>
      <c r="T833" s="2" t="s">
        <v>36</v>
      </c>
      <c r="U833" s="2" t="s">
        <v>37</v>
      </c>
      <c r="V833" s="2" t="s">
        <v>38</v>
      </c>
      <c r="W833" s="2" t="s">
        <v>35</v>
      </c>
      <c r="X833" s="2" t="s">
        <v>35</v>
      </c>
      <c r="Y833" s="2" t="s">
        <v>35</v>
      </c>
      <c r="Z833" s="2" t="b">
        <v>0</v>
      </c>
      <c r="AA833" s="2" t="s">
        <v>35</v>
      </c>
      <c r="AB833" s="2" t="s">
        <v>35</v>
      </c>
      <c r="AC833" s="2" t="s">
        <v>35</v>
      </c>
      <c r="AD833" s="2">
        <v>3</v>
      </c>
      <c r="AE833" s="2" t="s">
        <v>2650</v>
      </c>
      <c r="AF833" s="11">
        <v>44755.386805555558</v>
      </c>
      <c r="AG833" s="53"/>
      <c r="AH833" s="53" t="b">
        <f t="shared" si="17"/>
        <v>0</v>
      </c>
      <c r="AI833" s="54" t="s">
        <v>10550</v>
      </c>
      <c r="AJ833" s="2"/>
      <c r="AK833" s="2"/>
      <c r="AL833" s="2"/>
      <c r="AM833" s="2"/>
      <c r="AN833" s="2"/>
    </row>
    <row r="834" spans="1:40" ht="16" x14ac:dyDescent="0.2">
      <c r="A834" s="2" t="s">
        <v>2735</v>
      </c>
      <c r="B834" s="2">
        <v>846</v>
      </c>
      <c r="C834" s="2" t="b">
        <v>0</v>
      </c>
      <c r="D834" s="2" t="b">
        <v>0</v>
      </c>
      <c r="E834" s="2" t="b">
        <v>0</v>
      </c>
      <c r="F834" s="2" t="b">
        <v>0</v>
      </c>
      <c r="G834" s="2" t="s">
        <v>31</v>
      </c>
      <c r="H834" s="2" t="s">
        <v>2736</v>
      </c>
      <c r="I834" s="2" t="s">
        <v>2737</v>
      </c>
      <c r="J834" s="2" t="s">
        <v>35</v>
      </c>
      <c r="K834" s="2" t="s">
        <v>35</v>
      </c>
      <c r="L834" s="2" t="s">
        <v>35</v>
      </c>
      <c r="M834" s="2" t="s">
        <v>35</v>
      </c>
      <c r="N834" s="2" t="s">
        <v>35</v>
      </c>
      <c r="O834" s="11">
        <v>44755.418657662034</v>
      </c>
      <c r="P834" s="11">
        <v>44755.418754826387</v>
      </c>
      <c r="Q834" s="27">
        <v>9.7164353064727038E-5</v>
      </c>
      <c r="R834" s="27">
        <v>8.5392360779223964E-4</v>
      </c>
      <c r="S834" s="2">
        <v>0</v>
      </c>
      <c r="T834" s="2" t="s">
        <v>36</v>
      </c>
      <c r="U834" s="2" t="s">
        <v>37</v>
      </c>
      <c r="V834" s="2" t="s">
        <v>38</v>
      </c>
      <c r="W834" s="2" t="s">
        <v>35</v>
      </c>
      <c r="X834" s="2" t="s">
        <v>35</v>
      </c>
      <c r="Y834" s="2" t="s">
        <v>35</v>
      </c>
      <c r="Z834" s="2" t="b">
        <v>0</v>
      </c>
      <c r="AA834" s="2" t="s">
        <v>35</v>
      </c>
      <c r="AB834" s="2" t="s">
        <v>35</v>
      </c>
      <c r="AC834" s="2" t="s">
        <v>35</v>
      </c>
      <c r="AD834" s="2">
        <v>3</v>
      </c>
      <c r="AE834" s="2" t="s">
        <v>2650</v>
      </c>
      <c r="AF834" s="11">
        <v>44755.386805555558</v>
      </c>
      <c r="AG834" s="53"/>
      <c r="AH834" s="53" t="b">
        <f t="shared" si="17"/>
        <v>0</v>
      </c>
      <c r="AI834" s="54" t="s">
        <v>10551</v>
      </c>
      <c r="AJ834" s="2"/>
      <c r="AK834" s="2"/>
      <c r="AL834" s="2"/>
      <c r="AM834" s="2"/>
      <c r="AN834" s="2"/>
    </row>
    <row r="835" spans="1:40" ht="16" x14ac:dyDescent="0.2">
      <c r="A835" s="2" t="s">
        <v>2749</v>
      </c>
      <c r="B835" s="2">
        <v>850</v>
      </c>
      <c r="C835" s="2" t="b">
        <v>0</v>
      </c>
      <c r="D835" s="2" t="b">
        <v>0</v>
      </c>
      <c r="E835" s="2" t="b">
        <v>0</v>
      </c>
      <c r="F835" s="2" t="b">
        <v>0</v>
      </c>
      <c r="G835" s="2" t="s">
        <v>31</v>
      </c>
      <c r="H835" s="2" t="s">
        <v>2750</v>
      </c>
      <c r="I835" s="2" t="s">
        <v>2751</v>
      </c>
      <c r="J835" s="2" t="s">
        <v>35</v>
      </c>
      <c r="K835" s="2" t="s">
        <v>35</v>
      </c>
      <c r="L835" s="2" t="s">
        <v>35</v>
      </c>
      <c r="M835" s="2" t="s">
        <v>35</v>
      </c>
      <c r="N835" s="2" t="s">
        <v>35</v>
      </c>
      <c r="O835" s="11">
        <v>44755.425990983793</v>
      </c>
      <c r="P835" s="11">
        <v>44755.426112245368</v>
      </c>
      <c r="Q835" s="27">
        <v>1.2126157525926828E-4</v>
      </c>
      <c r="R835" s="27">
        <v>3.1810879590921104E-3</v>
      </c>
      <c r="S835" s="2">
        <v>0</v>
      </c>
      <c r="T835" s="2" t="s">
        <v>36</v>
      </c>
      <c r="U835" s="2" t="s">
        <v>37</v>
      </c>
      <c r="V835" s="2" t="s">
        <v>38</v>
      </c>
      <c r="W835" s="2" t="s">
        <v>35</v>
      </c>
      <c r="X835" s="2" t="s">
        <v>35</v>
      </c>
      <c r="Y835" s="2" t="s">
        <v>35</v>
      </c>
      <c r="Z835" s="2" t="b">
        <v>0</v>
      </c>
      <c r="AA835" s="2" t="s">
        <v>35</v>
      </c>
      <c r="AB835" s="2" t="s">
        <v>35</v>
      </c>
      <c r="AC835" s="2" t="s">
        <v>35</v>
      </c>
      <c r="AD835" s="2">
        <v>2</v>
      </c>
      <c r="AE835" s="2" t="s">
        <v>2650</v>
      </c>
      <c r="AF835" s="11">
        <v>44755.386805555558</v>
      </c>
      <c r="AG835" s="53"/>
      <c r="AH835" s="53" t="b">
        <f t="shared" si="17"/>
        <v>0</v>
      </c>
      <c r="AI835" s="54" t="s">
        <v>10552</v>
      </c>
      <c r="AJ835" s="2"/>
      <c r="AK835" s="2"/>
      <c r="AL835" s="2"/>
      <c r="AM835" s="2"/>
      <c r="AN835" s="2"/>
    </row>
    <row r="836" spans="1:40" ht="16" x14ac:dyDescent="0.2">
      <c r="A836" s="2" t="s">
        <v>2752</v>
      </c>
      <c r="B836" s="2">
        <v>851</v>
      </c>
      <c r="C836" s="2" t="b">
        <v>0</v>
      </c>
      <c r="D836" s="2" t="b">
        <v>0</v>
      </c>
      <c r="E836" s="2" t="b">
        <v>0</v>
      </c>
      <c r="F836" s="2" t="b">
        <v>0</v>
      </c>
      <c r="G836" s="2" t="s">
        <v>31</v>
      </c>
      <c r="H836" s="2" t="s">
        <v>2753</v>
      </c>
      <c r="I836" s="2" t="s">
        <v>2754</v>
      </c>
      <c r="J836" s="2" t="s">
        <v>35</v>
      </c>
      <c r="K836" s="2" t="s">
        <v>35</v>
      </c>
      <c r="L836" s="2" t="s">
        <v>35</v>
      </c>
      <c r="M836" s="2" t="s">
        <v>35</v>
      </c>
      <c r="N836" s="2" t="s">
        <v>35</v>
      </c>
      <c r="O836" s="11">
        <v>44755.427994722224</v>
      </c>
      <c r="P836" s="11">
        <v>44755.428227303244</v>
      </c>
      <c r="Q836" s="27">
        <v>2.3258102010004222E-4</v>
      </c>
      <c r="R836" s="27">
        <v>2.1150578759261407E-3</v>
      </c>
      <c r="S836" s="2">
        <v>0</v>
      </c>
      <c r="T836" s="2" t="s">
        <v>36</v>
      </c>
      <c r="U836" s="2" t="s">
        <v>37</v>
      </c>
      <c r="V836" s="2" t="s">
        <v>38</v>
      </c>
      <c r="W836" s="2" t="s">
        <v>35</v>
      </c>
      <c r="X836" s="2" t="s">
        <v>35</v>
      </c>
      <c r="Y836" s="2" t="s">
        <v>35</v>
      </c>
      <c r="Z836" s="2" t="b">
        <v>0</v>
      </c>
      <c r="AA836" s="2" t="s">
        <v>35</v>
      </c>
      <c r="AB836" s="2" t="s">
        <v>35</v>
      </c>
      <c r="AC836" s="2" t="s">
        <v>35</v>
      </c>
      <c r="AD836" s="2">
        <v>4</v>
      </c>
      <c r="AE836" s="2" t="s">
        <v>2650</v>
      </c>
      <c r="AF836" s="11">
        <v>44755.386805555558</v>
      </c>
      <c r="AG836" s="53"/>
      <c r="AH836" s="53" t="b">
        <f t="shared" si="17"/>
        <v>0</v>
      </c>
      <c r="AI836" s="54" t="s">
        <v>10553</v>
      </c>
      <c r="AJ836" s="2"/>
      <c r="AK836" s="2"/>
      <c r="AL836" s="2"/>
      <c r="AM836" s="2"/>
      <c r="AN836" s="2"/>
    </row>
    <row r="837" spans="1:40" ht="16" x14ac:dyDescent="0.2">
      <c r="A837" s="2" t="s">
        <v>2755</v>
      </c>
      <c r="B837" s="2">
        <v>852</v>
      </c>
      <c r="C837" s="2" t="b">
        <v>0</v>
      </c>
      <c r="D837" s="2" t="b">
        <v>0</v>
      </c>
      <c r="E837" s="2" t="b">
        <v>0</v>
      </c>
      <c r="F837" s="2" t="b">
        <v>0</v>
      </c>
      <c r="G837" s="2" t="s">
        <v>31</v>
      </c>
      <c r="H837" s="2" t="s">
        <v>2756</v>
      </c>
      <c r="I837" s="2" t="s">
        <v>2757</v>
      </c>
      <c r="J837" s="2" t="s">
        <v>2048</v>
      </c>
      <c r="K837" s="2" t="s">
        <v>35</v>
      </c>
      <c r="L837" s="2" t="s">
        <v>35</v>
      </c>
      <c r="M837" s="2" t="s">
        <v>35</v>
      </c>
      <c r="N837" s="2" t="s">
        <v>35</v>
      </c>
      <c r="O837" s="11">
        <v>44755.42884458333</v>
      </c>
      <c r="P837" s="11">
        <v>44755.429195810182</v>
      </c>
      <c r="Q837" s="27">
        <v>3.512268522172235E-4</v>
      </c>
      <c r="R837" s="27">
        <v>9.6850693807937205E-4</v>
      </c>
      <c r="S837" s="2">
        <v>0</v>
      </c>
      <c r="T837" s="2" t="s">
        <v>36</v>
      </c>
      <c r="U837" s="2" t="s">
        <v>37</v>
      </c>
      <c r="V837" s="2" t="s">
        <v>38</v>
      </c>
      <c r="W837" s="2" t="s">
        <v>35</v>
      </c>
      <c r="X837" s="2" t="s">
        <v>35</v>
      </c>
      <c r="Y837" s="2" t="s">
        <v>35</v>
      </c>
      <c r="Z837" s="2" t="b">
        <v>0</v>
      </c>
      <c r="AA837" s="2" t="s">
        <v>35</v>
      </c>
      <c r="AB837" s="2" t="s">
        <v>35</v>
      </c>
      <c r="AC837" s="2">
        <v>4</v>
      </c>
      <c r="AD837" s="2" t="s">
        <v>35</v>
      </c>
      <c r="AE837" s="2" t="s">
        <v>2650</v>
      </c>
      <c r="AF837" s="11">
        <v>44755.386805555558</v>
      </c>
      <c r="AG837" s="53"/>
      <c r="AH837" s="53" t="b">
        <f t="shared" si="17"/>
        <v>0</v>
      </c>
      <c r="AI837" s="54" t="s">
        <v>10554</v>
      </c>
      <c r="AJ837" s="2"/>
      <c r="AK837" s="2"/>
      <c r="AL837" s="2"/>
      <c r="AM837" s="2"/>
      <c r="AN837" s="2"/>
    </row>
    <row r="838" spans="1:40" ht="16" x14ac:dyDescent="0.2">
      <c r="A838" s="2" t="s">
        <v>2758</v>
      </c>
      <c r="B838" s="2">
        <v>853</v>
      </c>
      <c r="C838" s="2" t="b">
        <v>0</v>
      </c>
      <c r="D838" s="2" t="b">
        <v>0</v>
      </c>
      <c r="E838" s="2" t="b">
        <v>0</v>
      </c>
      <c r="F838" s="2" t="b">
        <v>0</v>
      </c>
      <c r="G838" s="2" t="s">
        <v>31</v>
      </c>
      <c r="H838" s="2" t="s">
        <v>2759</v>
      </c>
      <c r="I838" s="2" t="s">
        <v>2760</v>
      </c>
      <c r="J838" s="2" t="s">
        <v>2306</v>
      </c>
      <c r="K838" s="2" t="s">
        <v>35</v>
      </c>
      <c r="L838" s="2" t="s">
        <v>35</v>
      </c>
      <c r="M838" s="2" t="s">
        <v>35</v>
      </c>
      <c r="N838" s="2" t="s">
        <v>35</v>
      </c>
      <c r="O838" s="11">
        <v>44755.429812187504</v>
      </c>
      <c r="P838" s="11">
        <v>44755.430057361111</v>
      </c>
      <c r="Q838" s="27">
        <v>2.4517360725440085E-4</v>
      </c>
      <c r="R838" s="27">
        <v>8.6155092867556959E-4</v>
      </c>
      <c r="S838" s="2">
        <v>0</v>
      </c>
      <c r="T838" s="2" t="s">
        <v>36</v>
      </c>
      <c r="U838" s="2" t="s">
        <v>37</v>
      </c>
      <c r="V838" s="2" t="s">
        <v>38</v>
      </c>
      <c r="W838" s="2" t="s">
        <v>35</v>
      </c>
      <c r="X838" s="2" t="s">
        <v>35</v>
      </c>
      <c r="Y838" s="2" t="s">
        <v>35</v>
      </c>
      <c r="Z838" s="2" t="b">
        <v>0</v>
      </c>
      <c r="AA838" s="2" t="s">
        <v>35</v>
      </c>
      <c r="AB838" s="2" t="s">
        <v>35</v>
      </c>
      <c r="AC838" s="2">
        <v>5</v>
      </c>
      <c r="AD838" s="2" t="s">
        <v>35</v>
      </c>
      <c r="AE838" s="2" t="s">
        <v>2650</v>
      </c>
      <c r="AF838" s="11">
        <v>44755.386805555558</v>
      </c>
      <c r="AG838" s="53"/>
      <c r="AH838" s="53" t="b">
        <f t="shared" si="17"/>
        <v>0</v>
      </c>
      <c r="AI838" s="54" t="s">
        <v>10555</v>
      </c>
      <c r="AJ838" s="2"/>
      <c r="AK838" s="2"/>
      <c r="AL838" s="2"/>
      <c r="AM838" s="2"/>
      <c r="AN838" s="2"/>
    </row>
    <row r="839" spans="1:40" ht="16" x14ac:dyDescent="0.2">
      <c r="A839" s="2" t="s">
        <v>2768</v>
      </c>
      <c r="B839" s="2">
        <v>856</v>
      </c>
      <c r="C839" s="2" t="b">
        <v>0</v>
      </c>
      <c r="D839" s="2" t="b">
        <v>0</v>
      </c>
      <c r="E839" s="2" t="b">
        <v>0</v>
      </c>
      <c r="F839" s="2" t="b">
        <v>0</v>
      </c>
      <c r="G839" s="2" t="s">
        <v>31</v>
      </c>
      <c r="H839" s="2" t="s">
        <v>2769</v>
      </c>
      <c r="I839" s="2" t="s">
        <v>2770</v>
      </c>
      <c r="J839" s="2" t="s">
        <v>2771</v>
      </c>
      <c r="K839" s="2" t="s">
        <v>35</v>
      </c>
      <c r="L839" s="2" t="s">
        <v>35</v>
      </c>
      <c r="M839" s="2" t="s">
        <v>35</v>
      </c>
      <c r="N839" s="2" t="s">
        <v>35</v>
      </c>
      <c r="O839" s="11">
        <v>44755.433913055553</v>
      </c>
      <c r="P839" s="11">
        <v>44755.434320810185</v>
      </c>
      <c r="Q839" s="27">
        <v>4.0775463276077062E-4</v>
      </c>
      <c r="R839" s="27">
        <v>1.4897337969159707E-3</v>
      </c>
      <c r="S839" s="2">
        <v>0</v>
      </c>
      <c r="T839" s="2" t="s">
        <v>36</v>
      </c>
      <c r="U839" s="2" t="s">
        <v>37</v>
      </c>
      <c r="V839" s="2" t="s">
        <v>38</v>
      </c>
      <c r="W839" s="2" t="s">
        <v>35</v>
      </c>
      <c r="X839" s="2" t="s">
        <v>35</v>
      </c>
      <c r="Y839" s="2" t="s">
        <v>35</v>
      </c>
      <c r="Z839" s="2" t="b">
        <v>0</v>
      </c>
      <c r="AA839" s="2" t="s">
        <v>35</v>
      </c>
      <c r="AB839" s="2" t="s">
        <v>35</v>
      </c>
      <c r="AC839" s="2">
        <v>5</v>
      </c>
      <c r="AD839" s="2" t="s">
        <v>35</v>
      </c>
      <c r="AE839" s="2" t="s">
        <v>2650</v>
      </c>
      <c r="AF839" s="11">
        <v>44755.386805555558</v>
      </c>
      <c r="AG839" s="53"/>
      <c r="AH839" s="53" t="b">
        <f t="shared" si="17"/>
        <v>0</v>
      </c>
      <c r="AI839" s="54" t="s">
        <v>10557</v>
      </c>
      <c r="AJ839" s="2" t="s">
        <v>10556</v>
      </c>
      <c r="AK839" s="2"/>
      <c r="AL839" s="2"/>
      <c r="AM839" s="2"/>
      <c r="AN839" s="2"/>
    </row>
    <row r="840" spans="1:40" ht="16" x14ac:dyDescent="0.2">
      <c r="A840" s="2" t="s">
        <v>2772</v>
      </c>
      <c r="B840" s="2">
        <v>857</v>
      </c>
      <c r="C840" s="2" t="b">
        <v>0</v>
      </c>
      <c r="D840" s="2" t="b">
        <v>0</v>
      </c>
      <c r="E840" s="2" t="b">
        <v>0</v>
      </c>
      <c r="F840" s="2" t="b">
        <v>0</v>
      </c>
      <c r="G840" s="2" t="s">
        <v>31</v>
      </c>
      <c r="H840" s="2" t="s">
        <v>2773</v>
      </c>
      <c r="I840" s="2" t="s">
        <v>2774</v>
      </c>
      <c r="J840" s="2" t="s">
        <v>2306</v>
      </c>
      <c r="K840" s="2" t="s">
        <v>35</v>
      </c>
      <c r="L840" s="2" t="s">
        <v>35</v>
      </c>
      <c r="M840" s="2" t="s">
        <v>35</v>
      </c>
      <c r="N840" s="2" t="s">
        <v>35</v>
      </c>
      <c r="O840" s="11">
        <v>44755.434932511576</v>
      </c>
      <c r="P840" s="11">
        <v>44755.435171331017</v>
      </c>
      <c r="Q840" s="27">
        <v>2.3881944071035832E-4</v>
      </c>
      <c r="R840" s="27">
        <v>8.5052083159098402E-4</v>
      </c>
      <c r="S840" s="2">
        <v>0</v>
      </c>
      <c r="T840" s="2" t="s">
        <v>36</v>
      </c>
      <c r="U840" s="2" t="s">
        <v>37</v>
      </c>
      <c r="V840" s="2" t="s">
        <v>38</v>
      </c>
      <c r="W840" s="2" t="s">
        <v>35</v>
      </c>
      <c r="X840" s="2" t="s">
        <v>35</v>
      </c>
      <c r="Y840" s="2" t="s">
        <v>35</v>
      </c>
      <c r="Z840" s="2" t="b">
        <v>0</v>
      </c>
      <c r="AA840" s="2" t="s">
        <v>35</v>
      </c>
      <c r="AB840" s="2" t="s">
        <v>35</v>
      </c>
      <c r="AC840" s="2">
        <v>5</v>
      </c>
      <c r="AD840" s="2" t="s">
        <v>35</v>
      </c>
      <c r="AE840" s="2" t="s">
        <v>2650</v>
      </c>
      <c r="AF840" s="11">
        <v>44755.386805555558</v>
      </c>
      <c r="AG840" s="53"/>
      <c r="AH840" s="53" t="b">
        <f t="shared" si="17"/>
        <v>0</v>
      </c>
      <c r="AI840" s="54" t="s">
        <v>10558</v>
      </c>
      <c r="AJ840" s="2"/>
      <c r="AK840" s="2"/>
      <c r="AL840" s="2"/>
      <c r="AM840" s="2"/>
      <c r="AN840" s="2"/>
    </row>
    <row r="841" spans="1:40" ht="16" x14ac:dyDescent="0.2">
      <c r="A841" s="2" t="s">
        <v>2775</v>
      </c>
      <c r="B841" s="2">
        <v>858</v>
      </c>
      <c r="C841" s="2" t="b">
        <v>0</v>
      </c>
      <c r="D841" s="2" t="b">
        <v>0</v>
      </c>
      <c r="E841" s="2" t="b">
        <v>0</v>
      </c>
      <c r="F841" s="2" t="b">
        <v>0</v>
      </c>
      <c r="G841" s="2" t="s">
        <v>31</v>
      </c>
      <c r="H841" s="2" t="s">
        <v>2776</v>
      </c>
      <c r="I841" s="2" t="s">
        <v>2777</v>
      </c>
      <c r="J841" s="2" t="s">
        <v>35</v>
      </c>
      <c r="K841" s="2" t="s">
        <v>35</v>
      </c>
      <c r="L841" s="2" t="s">
        <v>35</v>
      </c>
      <c r="M841" s="2" t="s">
        <v>35</v>
      </c>
      <c r="N841" s="2" t="s">
        <v>35</v>
      </c>
      <c r="O841" s="11">
        <v>44755.435566481479</v>
      </c>
      <c r="P841" s="11">
        <v>44755.435798553241</v>
      </c>
      <c r="Q841" s="27">
        <v>2.320717612747103E-4</v>
      </c>
      <c r="R841" s="27">
        <v>6.2722222355660051E-4</v>
      </c>
      <c r="S841" s="2">
        <v>0</v>
      </c>
      <c r="T841" s="2" t="s">
        <v>36</v>
      </c>
      <c r="U841" s="2" t="s">
        <v>37</v>
      </c>
      <c r="V841" s="2" t="s">
        <v>38</v>
      </c>
      <c r="W841" s="2" t="s">
        <v>35</v>
      </c>
      <c r="X841" s="2" t="s">
        <v>35</v>
      </c>
      <c r="Y841" s="2" t="s">
        <v>35</v>
      </c>
      <c r="Z841" s="2" t="b">
        <v>0</v>
      </c>
      <c r="AA841" s="2" t="s">
        <v>35</v>
      </c>
      <c r="AB841" s="2" t="s">
        <v>35</v>
      </c>
      <c r="AC841" s="2" t="s">
        <v>35</v>
      </c>
      <c r="AD841" s="2">
        <v>2</v>
      </c>
      <c r="AE841" s="2" t="s">
        <v>2650</v>
      </c>
      <c r="AF841" s="11">
        <v>44755.386805555558</v>
      </c>
      <c r="AG841" s="53"/>
      <c r="AH841" s="53" t="b">
        <f t="shared" si="17"/>
        <v>0</v>
      </c>
      <c r="AI841" s="54" t="s">
        <v>10559</v>
      </c>
      <c r="AJ841" s="2"/>
      <c r="AK841" s="2"/>
      <c r="AL841" s="2"/>
      <c r="AM841" s="2"/>
      <c r="AN841" s="2"/>
    </row>
    <row r="842" spans="1:40" ht="16" x14ac:dyDescent="0.2">
      <c r="A842" s="2" t="s">
        <v>2781</v>
      </c>
      <c r="B842" s="2">
        <v>860</v>
      </c>
      <c r="C842" s="2" t="b">
        <v>0</v>
      </c>
      <c r="D842" s="2" t="b">
        <v>0</v>
      </c>
      <c r="E842" s="2" t="b">
        <v>0</v>
      </c>
      <c r="F842" s="2" t="b">
        <v>0</v>
      </c>
      <c r="G842" s="2" t="s">
        <v>31</v>
      </c>
      <c r="H842" s="2" t="s">
        <v>2782</v>
      </c>
      <c r="I842" s="2" t="s">
        <v>2783</v>
      </c>
      <c r="J842" s="2" t="s">
        <v>35</v>
      </c>
      <c r="K842" s="2" t="s">
        <v>35</v>
      </c>
      <c r="L842" s="2" t="s">
        <v>35</v>
      </c>
      <c r="M842" s="2" t="s">
        <v>35</v>
      </c>
      <c r="N842" s="2" t="s">
        <v>35</v>
      </c>
      <c r="O842" s="11">
        <v>44755.437532777774</v>
      </c>
      <c r="P842" s="11">
        <v>44755.438223020836</v>
      </c>
      <c r="Q842" s="27">
        <v>6.9024306139908731E-4</v>
      </c>
      <c r="R842" s="27">
        <v>1.6855787034728564E-3</v>
      </c>
      <c r="S842" s="2">
        <v>0</v>
      </c>
      <c r="T842" s="2" t="s">
        <v>36</v>
      </c>
      <c r="U842" s="2" t="s">
        <v>37</v>
      </c>
      <c r="V842" s="2" t="s">
        <v>38</v>
      </c>
      <c r="W842" s="2" t="s">
        <v>35</v>
      </c>
      <c r="X842" s="2" t="s">
        <v>35</v>
      </c>
      <c r="Y842" s="2" t="s">
        <v>35</v>
      </c>
      <c r="Z842" s="2" t="b">
        <v>0</v>
      </c>
      <c r="AA842" s="2" t="s">
        <v>35</v>
      </c>
      <c r="AB842" s="2" t="s">
        <v>35</v>
      </c>
      <c r="AC842" s="2" t="s">
        <v>35</v>
      </c>
      <c r="AD842" s="2">
        <v>4</v>
      </c>
      <c r="AE842" s="2" t="s">
        <v>2650</v>
      </c>
      <c r="AF842" s="11">
        <v>44755.386805555558</v>
      </c>
      <c r="AG842" s="53"/>
      <c r="AH842" s="53" t="b">
        <f t="shared" si="17"/>
        <v>0</v>
      </c>
      <c r="AI842" s="54" t="s">
        <v>10560</v>
      </c>
      <c r="AJ842" s="2"/>
      <c r="AK842" s="2"/>
      <c r="AL842" s="2"/>
      <c r="AM842" s="2"/>
      <c r="AN842" s="2"/>
    </row>
    <row r="843" spans="1:40" ht="16" x14ac:dyDescent="0.2">
      <c r="A843" s="2" t="s">
        <v>2784</v>
      </c>
      <c r="B843" s="2">
        <v>861</v>
      </c>
      <c r="C843" s="2" t="b">
        <v>0</v>
      </c>
      <c r="D843" s="2" t="b">
        <v>0</v>
      </c>
      <c r="E843" s="2" t="b">
        <v>0</v>
      </c>
      <c r="F843" s="2" t="b">
        <v>0</v>
      </c>
      <c r="G843" s="2" t="s">
        <v>31</v>
      </c>
      <c r="H843" s="2" t="s">
        <v>2785</v>
      </c>
      <c r="I843" s="2" t="s">
        <v>2786</v>
      </c>
      <c r="J843" s="2" t="s">
        <v>2354</v>
      </c>
      <c r="K843" s="2" t="s">
        <v>35</v>
      </c>
      <c r="L843" s="2" t="s">
        <v>35</v>
      </c>
      <c r="M843" s="2" t="s">
        <v>35</v>
      </c>
      <c r="N843" s="2" t="s">
        <v>35</v>
      </c>
      <c r="O843" s="11">
        <v>44755.438643900467</v>
      </c>
      <c r="P843" s="11">
        <v>44755.438959872685</v>
      </c>
      <c r="Q843" s="27">
        <v>3.1597221823176369E-4</v>
      </c>
      <c r="R843" s="27">
        <v>7.3685184906935319E-4</v>
      </c>
      <c r="S843" s="2">
        <v>0</v>
      </c>
      <c r="T843" s="2" t="s">
        <v>36</v>
      </c>
      <c r="U843" s="2" t="s">
        <v>37</v>
      </c>
      <c r="V843" s="2" t="s">
        <v>38</v>
      </c>
      <c r="W843" s="2" t="s">
        <v>35</v>
      </c>
      <c r="X843" s="2" t="s">
        <v>35</v>
      </c>
      <c r="Y843" s="2" t="s">
        <v>35</v>
      </c>
      <c r="Z843" s="2" t="b">
        <v>0</v>
      </c>
      <c r="AA843" s="2" t="s">
        <v>35</v>
      </c>
      <c r="AB843" s="2" t="s">
        <v>35</v>
      </c>
      <c r="AC843" s="2">
        <v>5</v>
      </c>
      <c r="AD843" s="2">
        <v>2</v>
      </c>
      <c r="AE843" s="2" t="s">
        <v>2650</v>
      </c>
      <c r="AF843" s="11">
        <v>44755.386805555558</v>
      </c>
      <c r="AG843" s="53"/>
      <c r="AH843" s="53" t="b">
        <f t="shared" si="17"/>
        <v>0</v>
      </c>
      <c r="AI843" s="54" t="s">
        <v>9516</v>
      </c>
      <c r="AJ843" s="2"/>
      <c r="AK843" s="2"/>
      <c r="AL843" s="2"/>
      <c r="AM843" s="2"/>
      <c r="AN843" s="2"/>
    </row>
    <row r="844" spans="1:40" ht="16" x14ac:dyDescent="0.2">
      <c r="A844" s="2" t="s">
        <v>2787</v>
      </c>
      <c r="B844" s="2">
        <v>862</v>
      </c>
      <c r="C844" s="2" t="b">
        <v>0</v>
      </c>
      <c r="D844" s="2" t="b">
        <v>0</v>
      </c>
      <c r="E844" s="2" t="b">
        <v>0</v>
      </c>
      <c r="F844" s="2" t="b">
        <v>0</v>
      </c>
      <c r="G844" s="2" t="s">
        <v>31</v>
      </c>
      <c r="H844" s="2" t="s">
        <v>2788</v>
      </c>
      <c r="I844" s="2" t="s">
        <v>2789</v>
      </c>
      <c r="J844" s="2" t="s">
        <v>2354</v>
      </c>
      <c r="K844" s="2" t="s">
        <v>35</v>
      </c>
      <c r="L844" s="2" t="s">
        <v>35</v>
      </c>
      <c r="M844" s="2" t="s">
        <v>35</v>
      </c>
      <c r="N844" s="2" t="s">
        <v>35</v>
      </c>
      <c r="O844" s="11">
        <v>44755.439575717595</v>
      </c>
      <c r="P844" s="11">
        <v>44755.439779016204</v>
      </c>
      <c r="Q844" s="27">
        <v>2.03298608539626E-4</v>
      </c>
      <c r="R844" s="27">
        <v>8.1914351903833449E-4</v>
      </c>
      <c r="S844" s="2">
        <v>0</v>
      </c>
      <c r="T844" s="2" t="s">
        <v>36</v>
      </c>
      <c r="U844" s="2" t="s">
        <v>37</v>
      </c>
      <c r="V844" s="2" t="s">
        <v>38</v>
      </c>
      <c r="W844" s="2" t="s">
        <v>35</v>
      </c>
      <c r="X844" s="2" t="s">
        <v>35</v>
      </c>
      <c r="Y844" s="2" t="s">
        <v>35</v>
      </c>
      <c r="Z844" s="2" t="b">
        <v>0</v>
      </c>
      <c r="AA844" s="2" t="s">
        <v>35</v>
      </c>
      <c r="AB844" s="2" t="s">
        <v>35</v>
      </c>
      <c r="AC844" s="2">
        <v>5</v>
      </c>
      <c r="AD844" s="2" t="s">
        <v>35</v>
      </c>
      <c r="AE844" s="2" t="s">
        <v>2650</v>
      </c>
      <c r="AF844" s="11">
        <v>44755.386805555558</v>
      </c>
      <c r="AG844" s="53"/>
      <c r="AH844" s="53" t="b">
        <f t="shared" si="17"/>
        <v>0</v>
      </c>
      <c r="AI844" s="54" t="s">
        <v>10561</v>
      </c>
      <c r="AJ844" s="2"/>
      <c r="AK844" s="2"/>
      <c r="AL844" s="2"/>
      <c r="AM844" s="2"/>
      <c r="AN844" s="2"/>
    </row>
    <row r="845" spans="1:40" ht="16" x14ac:dyDescent="0.2">
      <c r="A845" s="2" t="s">
        <v>2793</v>
      </c>
      <c r="B845" s="2">
        <v>864</v>
      </c>
      <c r="C845" s="2" t="b">
        <v>0</v>
      </c>
      <c r="D845" s="2" t="b">
        <v>0</v>
      </c>
      <c r="E845" s="2" t="b">
        <v>0</v>
      </c>
      <c r="F845" s="2" t="b">
        <v>0</v>
      </c>
      <c r="G845" s="2" t="s">
        <v>31</v>
      </c>
      <c r="H845" s="2" t="s">
        <v>2794</v>
      </c>
      <c r="I845" s="2" t="s">
        <v>2795</v>
      </c>
      <c r="J845" s="2" t="s">
        <v>2354</v>
      </c>
      <c r="K845" s="2" t="s">
        <v>35</v>
      </c>
      <c r="L845" s="2" t="s">
        <v>35</v>
      </c>
      <c r="M845" s="2" t="s">
        <v>35</v>
      </c>
      <c r="N845" s="2" t="s">
        <v>35</v>
      </c>
      <c r="O845" s="11">
        <v>44755.442244537036</v>
      </c>
      <c r="P845" s="11">
        <v>44755.443011805553</v>
      </c>
      <c r="Q845" s="27">
        <v>7.6726851693820208E-4</v>
      </c>
      <c r="R845" s="27">
        <v>8.8319444330409169E-4</v>
      </c>
      <c r="S845" s="2">
        <v>0</v>
      </c>
      <c r="T845" s="2" t="s">
        <v>36</v>
      </c>
      <c r="U845" s="2" t="s">
        <v>37</v>
      </c>
      <c r="V845" s="2" t="s">
        <v>38</v>
      </c>
      <c r="W845" s="2" t="s">
        <v>35</v>
      </c>
      <c r="X845" s="2" t="s">
        <v>35</v>
      </c>
      <c r="Y845" s="2" t="s">
        <v>35</v>
      </c>
      <c r="Z845" s="2" t="b">
        <v>0</v>
      </c>
      <c r="AA845" s="2" t="s">
        <v>35</v>
      </c>
      <c r="AB845" s="2" t="s">
        <v>35</v>
      </c>
      <c r="AC845" s="2">
        <v>5</v>
      </c>
      <c r="AD845" s="2">
        <v>3</v>
      </c>
      <c r="AE845" s="2" t="s">
        <v>2650</v>
      </c>
      <c r="AF845" s="11">
        <v>44755.386805555558</v>
      </c>
      <c r="AG845" s="53"/>
      <c r="AH845" s="53" t="b">
        <f t="shared" si="17"/>
        <v>0</v>
      </c>
      <c r="AI845" s="54" t="s">
        <v>10562</v>
      </c>
      <c r="AJ845" s="2"/>
      <c r="AK845" s="2"/>
      <c r="AL845" s="2"/>
      <c r="AM845" s="2"/>
      <c r="AN845" s="2"/>
    </row>
    <row r="846" spans="1:40" ht="16" x14ac:dyDescent="0.2">
      <c r="A846" s="2" t="s">
        <v>2799</v>
      </c>
      <c r="B846" s="2">
        <v>866</v>
      </c>
      <c r="C846" s="2" t="b">
        <v>0</v>
      </c>
      <c r="D846" s="2" t="b">
        <v>0</v>
      </c>
      <c r="E846" s="2" t="b">
        <v>0</v>
      </c>
      <c r="F846" s="2" t="b">
        <v>0</v>
      </c>
      <c r="G846" s="2" t="s">
        <v>31</v>
      </c>
      <c r="H846" s="2" t="s">
        <v>2800</v>
      </c>
      <c r="I846" s="2" t="s">
        <v>2801</v>
      </c>
      <c r="J846" s="2" t="s">
        <v>35</v>
      </c>
      <c r="K846" s="2" t="s">
        <v>35</v>
      </c>
      <c r="L846" s="2" t="s">
        <v>35</v>
      </c>
      <c r="M846" s="2" t="s">
        <v>35</v>
      </c>
      <c r="N846" s="2" t="s">
        <v>35</v>
      </c>
      <c r="O846" s="11">
        <v>44755.444081585651</v>
      </c>
      <c r="P846" s="11">
        <v>44755.444185081018</v>
      </c>
      <c r="Q846" s="27">
        <v>1.0349536751164123E-4</v>
      </c>
      <c r="R846" s="27">
        <v>6.6682870237855241E-4</v>
      </c>
      <c r="S846" s="2">
        <v>0</v>
      </c>
      <c r="T846" s="2" t="s">
        <v>36</v>
      </c>
      <c r="U846" s="2" t="s">
        <v>37</v>
      </c>
      <c r="V846" s="2" t="s">
        <v>38</v>
      </c>
      <c r="W846" s="2" t="s">
        <v>35</v>
      </c>
      <c r="X846" s="2" t="s">
        <v>35</v>
      </c>
      <c r="Y846" s="2" t="s">
        <v>35</v>
      </c>
      <c r="Z846" s="2" t="b">
        <v>0</v>
      </c>
      <c r="AA846" s="2" t="s">
        <v>35</v>
      </c>
      <c r="AB846" s="2" t="s">
        <v>35</v>
      </c>
      <c r="AC846" s="2" t="s">
        <v>35</v>
      </c>
      <c r="AD846" s="2">
        <v>2</v>
      </c>
      <c r="AE846" s="2" t="s">
        <v>2650</v>
      </c>
      <c r="AF846" s="11">
        <v>44755.386805555558</v>
      </c>
      <c r="AG846" s="53"/>
      <c r="AH846" s="53" t="b">
        <f t="shared" si="17"/>
        <v>0</v>
      </c>
      <c r="AI846" s="54" t="s">
        <v>10563</v>
      </c>
      <c r="AJ846" s="2"/>
      <c r="AK846" s="2"/>
      <c r="AL846" s="2"/>
      <c r="AM846" s="2"/>
      <c r="AN846" s="2"/>
    </row>
    <row r="847" spans="1:40" ht="16" x14ac:dyDescent="0.2">
      <c r="A847" s="68" t="s">
        <v>2802</v>
      </c>
      <c r="B847" s="68">
        <v>867</v>
      </c>
      <c r="C847" s="68" t="b">
        <v>0</v>
      </c>
      <c r="D847" s="68" t="b">
        <v>0</v>
      </c>
      <c r="E847" s="68" t="b">
        <v>0</v>
      </c>
      <c r="F847" s="68" t="b">
        <v>0</v>
      </c>
      <c r="G847" s="68" t="s">
        <v>31</v>
      </c>
      <c r="H847" s="68" t="s">
        <v>149</v>
      </c>
      <c r="I847" s="68" t="s">
        <v>2803</v>
      </c>
      <c r="J847" s="68" t="s">
        <v>2354</v>
      </c>
      <c r="K847" s="68" t="s">
        <v>35</v>
      </c>
      <c r="L847" s="68" t="s">
        <v>35</v>
      </c>
      <c r="M847" s="68" t="s">
        <v>35</v>
      </c>
      <c r="N847" s="68" t="s">
        <v>35</v>
      </c>
      <c r="O847" s="69">
        <v>44755.444699629632</v>
      </c>
      <c r="P847" s="69">
        <v>44755.444972847225</v>
      </c>
      <c r="Q847" s="70">
        <v>2.7321759262122214E-4</v>
      </c>
      <c r="R847" s="70">
        <v>7.8776620648568496E-4</v>
      </c>
      <c r="S847" s="68">
        <v>0</v>
      </c>
      <c r="T847" s="68" t="s">
        <v>36</v>
      </c>
      <c r="U847" s="68" t="s">
        <v>37</v>
      </c>
      <c r="V847" s="68" t="s">
        <v>38</v>
      </c>
      <c r="W847" s="68" t="s">
        <v>35</v>
      </c>
      <c r="X847" s="68" t="s">
        <v>35</v>
      </c>
      <c r="Y847" s="68" t="s">
        <v>35</v>
      </c>
      <c r="Z847" s="68" t="b">
        <v>0</v>
      </c>
      <c r="AA847" s="68" t="s">
        <v>35</v>
      </c>
      <c r="AB847" s="68" t="s">
        <v>35</v>
      </c>
      <c r="AC847" s="68">
        <v>4</v>
      </c>
      <c r="AD847" s="68">
        <v>3</v>
      </c>
      <c r="AE847" s="68" t="s">
        <v>2650</v>
      </c>
      <c r="AF847" s="69">
        <v>44755.386805555558</v>
      </c>
      <c r="AG847" s="71"/>
      <c r="AH847" s="53" t="b">
        <f t="shared" si="17"/>
        <v>0</v>
      </c>
      <c r="AI847" s="56" t="s">
        <v>35</v>
      </c>
      <c r="AJ847" s="68"/>
      <c r="AK847" s="68"/>
      <c r="AL847" s="68"/>
      <c r="AM847" s="68"/>
      <c r="AN847" s="68"/>
    </row>
    <row r="848" spans="1:40" ht="16" x14ac:dyDescent="0.2">
      <c r="A848" s="2" t="s">
        <v>2804</v>
      </c>
      <c r="B848" s="2">
        <v>868</v>
      </c>
      <c r="C848" s="2" t="b">
        <v>0</v>
      </c>
      <c r="D848" s="2" t="b">
        <v>0</v>
      </c>
      <c r="E848" s="2" t="b">
        <v>0</v>
      </c>
      <c r="F848" s="2" t="b">
        <v>0</v>
      </c>
      <c r="G848" s="2" t="s">
        <v>31</v>
      </c>
      <c r="H848" s="2" t="s">
        <v>2805</v>
      </c>
      <c r="I848" s="2" t="s">
        <v>2806</v>
      </c>
      <c r="J848" s="2" t="s">
        <v>2807</v>
      </c>
      <c r="K848" s="2" t="s">
        <v>35</v>
      </c>
      <c r="L848" s="2" t="s">
        <v>35</v>
      </c>
      <c r="M848" s="2" t="s">
        <v>35</v>
      </c>
      <c r="N848" s="2" t="s">
        <v>35</v>
      </c>
      <c r="O848" s="11">
        <v>44755.445882997687</v>
      </c>
      <c r="P848" s="11">
        <v>44755.446166076392</v>
      </c>
      <c r="Q848" s="27">
        <v>2.8307870525168255E-4</v>
      </c>
      <c r="R848" s="27">
        <v>1.1932291672565043E-3</v>
      </c>
      <c r="S848" s="2">
        <v>0</v>
      </c>
      <c r="T848" s="2" t="s">
        <v>36</v>
      </c>
      <c r="U848" s="2" t="s">
        <v>37</v>
      </c>
      <c r="V848" s="2" t="s">
        <v>38</v>
      </c>
      <c r="W848" s="2" t="s">
        <v>35</v>
      </c>
      <c r="X848" s="2" t="s">
        <v>35</v>
      </c>
      <c r="Y848" s="2" t="s">
        <v>35</v>
      </c>
      <c r="Z848" s="2" t="b">
        <v>0</v>
      </c>
      <c r="AA848" s="2" t="s">
        <v>35</v>
      </c>
      <c r="AB848" s="2" t="s">
        <v>35</v>
      </c>
      <c r="AC848" s="2">
        <v>6</v>
      </c>
      <c r="AD848" s="2" t="s">
        <v>35</v>
      </c>
      <c r="AE848" s="2" t="s">
        <v>2650</v>
      </c>
      <c r="AF848" s="11">
        <v>44755.386805555558</v>
      </c>
      <c r="AG848" s="53"/>
      <c r="AH848" s="53" t="b">
        <f t="shared" si="17"/>
        <v>0</v>
      </c>
      <c r="AI848" s="54" t="s">
        <v>10564</v>
      </c>
      <c r="AJ848" s="2"/>
      <c r="AK848" s="2"/>
      <c r="AL848" s="2"/>
      <c r="AM848" s="2"/>
      <c r="AN848" s="2"/>
    </row>
    <row r="849" spans="1:40" ht="16" x14ac:dyDescent="0.2">
      <c r="A849" s="2" t="s">
        <v>2814</v>
      </c>
      <c r="B849" s="2">
        <v>871</v>
      </c>
      <c r="C849" s="2" t="b">
        <v>0</v>
      </c>
      <c r="D849" s="2" t="b">
        <v>0</v>
      </c>
      <c r="E849" s="2" t="b">
        <v>0</v>
      </c>
      <c r="F849" s="2" t="b">
        <v>0</v>
      </c>
      <c r="G849" s="2" t="s">
        <v>31</v>
      </c>
      <c r="H849" s="2" t="s">
        <v>2815</v>
      </c>
      <c r="I849" s="2" t="s">
        <v>2816</v>
      </c>
      <c r="J849" s="2" t="s">
        <v>35</v>
      </c>
      <c r="K849" s="2" t="s">
        <v>35</v>
      </c>
      <c r="L849" s="2" t="s">
        <v>35</v>
      </c>
      <c r="M849" s="2" t="s">
        <v>35</v>
      </c>
      <c r="N849" s="2" t="s">
        <v>35</v>
      </c>
      <c r="O849" s="11">
        <v>44755.449651111114</v>
      </c>
      <c r="P849" s="11">
        <v>44755.449812638886</v>
      </c>
      <c r="Q849" s="27">
        <v>1.6152777243405581E-4</v>
      </c>
      <c r="R849" s="27">
        <v>2.4060184659902006E-4</v>
      </c>
      <c r="S849" s="2">
        <v>0</v>
      </c>
      <c r="T849" s="2" t="s">
        <v>36</v>
      </c>
      <c r="U849" s="2" t="s">
        <v>37</v>
      </c>
      <c r="V849" s="2" t="s">
        <v>38</v>
      </c>
      <c r="W849" s="2" t="s">
        <v>35</v>
      </c>
      <c r="X849" s="2" t="s">
        <v>35</v>
      </c>
      <c r="Y849" s="2" t="s">
        <v>35</v>
      </c>
      <c r="Z849" s="2" t="b">
        <v>0</v>
      </c>
      <c r="AA849" s="2" t="s">
        <v>2284</v>
      </c>
      <c r="AB849" s="2" t="s">
        <v>35</v>
      </c>
      <c r="AC849" s="2" t="s">
        <v>35</v>
      </c>
      <c r="AD849" s="2" t="s">
        <v>35</v>
      </c>
      <c r="AE849" s="2" t="s">
        <v>2650</v>
      </c>
      <c r="AF849" s="11">
        <v>44755.386805555558</v>
      </c>
      <c r="AG849" s="53"/>
      <c r="AH849" s="53" t="b">
        <f t="shared" si="17"/>
        <v>0</v>
      </c>
      <c r="AI849" s="54" t="s">
        <v>10565</v>
      </c>
      <c r="AJ849" s="2"/>
      <c r="AK849" s="2"/>
      <c r="AL849" s="2"/>
      <c r="AM849" s="2"/>
      <c r="AN849" s="2"/>
    </row>
    <row r="850" spans="1:40" ht="16" x14ac:dyDescent="0.2">
      <c r="A850" s="2" t="s">
        <v>2820</v>
      </c>
      <c r="B850" s="2">
        <v>873</v>
      </c>
      <c r="C850" s="2" t="b">
        <v>0</v>
      </c>
      <c r="D850" s="2" t="b">
        <v>0</v>
      </c>
      <c r="E850" s="2" t="b">
        <v>0</v>
      </c>
      <c r="F850" s="2" t="b">
        <v>0</v>
      </c>
      <c r="G850" s="2" t="s">
        <v>31</v>
      </c>
      <c r="H850" s="2" t="s">
        <v>2821</v>
      </c>
      <c r="I850" s="2" t="s">
        <v>2822</v>
      </c>
      <c r="J850" s="2" t="s">
        <v>2823</v>
      </c>
      <c r="K850" s="2" t="s">
        <v>35</v>
      </c>
      <c r="L850" s="2" t="s">
        <v>35</v>
      </c>
      <c r="M850" s="2" t="s">
        <v>35</v>
      </c>
      <c r="N850" s="2" t="s">
        <v>35</v>
      </c>
      <c r="O850" s="11">
        <v>44755.450755775462</v>
      </c>
      <c r="P850" s="11">
        <v>44755.451058692131</v>
      </c>
      <c r="Q850" s="27">
        <v>3.0291666917037219E-4</v>
      </c>
      <c r="R850" s="27">
        <v>6.5943287336267531E-4</v>
      </c>
      <c r="S850" s="2">
        <v>0</v>
      </c>
      <c r="T850" s="2" t="s">
        <v>36</v>
      </c>
      <c r="U850" s="2" t="s">
        <v>37</v>
      </c>
      <c r="V850" s="2" t="s">
        <v>38</v>
      </c>
      <c r="W850" s="2" t="s">
        <v>35</v>
      </c>
      <c r="X850" s="2" t="s">
        <v>35</v>
      </c>
      <c r="Y850" s="2" t="s">
        <v>35</v>
      </c>
      <c r="Z850" s="2" t="b">
        <v>0</v>
      </c>
      <c r="AA850" s="2" t="s">
        <v>35</v>
      </c>
      <c r="AB850" s="2" t="s">
        <v>35</v>
      </c>
      <c r="AC850" s="2">
        <v>7</v>
      </c>
      <c r="AD850" s="2" t="s">
        <v>35</v>
      </c>
      <c r="AE850" s="2" t="s">
        <v>2650</v>
      </c>
      <c r="AF850" s="11">
        <v>44755.386805555558</v>
      </c>
      <c r="AG850" s="53"/>
      <c r="AH850" s="53" t="b">
        <f t="shared" si="17"/>
        <v>0</v>
      </c>
      <c r="AI850" s="54" t="s">
        <v>10566</v>
      </c>
      <c r="AJ850" s="2"/>
      <c r="AK850" s="2"/>
      <c r="AL850" s="2"/>
      <c r="AM850" s="2"/>
      <c r="AN850" s="2"/>
    </row>
    <row r="851" spans="1:40" ht="16" x14ac:dyDescent="0.2">
      <c r="A851" s="2" t="s">
        <v>2824</v>
      </c>
      <c r="B851" s="2">
        <v>874</v>
      </c>
      <c r="C851" s="2" t="b">
        <v>0</v>
      </c>
      <c r="D851" s="2" t="b">
        <v>0</v>
      </c>
      <c r="E851" s="2" t="b">
        <v>0</v>
      </c>
      <c r="F851" s="2" t="b">
        <v>0</v>
      </c>
      <c r="G851" s="2" t="s">
        <v>31</v>
      </c>
      <c r="H851" s="2" t="s">
        <v>2825</v>
      </c>
      <c r="I851" s="2" t="s">
        <v>2826</v>
      </c>
      <c r="J851" s="2" t="s">
        <v>2827</v>
      </c>
      <c r="K851" s="2" t="s">
        <v>35</v>
      </c>
      <c r="L851" s="2" t="s">
        <v>35</v>
      </c>
      <c r="M851" s="2" t="s">
        <v>35</v>
      </c>
      <c r="N851" s="2" t="s">
        <v>35</v>
      </c>
      <c r="O851" s="11">
        <v>44755.451495150461</v>
      </c>
      <c r="P851" s="11">
        <v>44755.451693090276</v>
      </c>
      <c r="Q851" s="27">
        <v>1.9793981482507661E-4</v>
      </c>
      <c r="R851" s="27">
        <v>6.3439814402954653E-4</v>
      </c>
      <c r="S851" s="2">
        <v>0</v>
      </c>
      <c r="T851" s="2" t="s">
        <v>36</v>
      </c>
      <c r="U851" s="2" t="s">
        <v>37</v>
      </c>
      <c r="V851" s="2" t="s">
        <v>38</v>
      </c>
      <c r="W851" s="2" t="s">
        <v>35</v>
      </c>
      <c r="X851" s="2" t="s">
        <v>35</v>
      </c>
      <c r="Y851" s="2" t="s">
        <v>35</v>
      </c>
      <c r="Z851" s="2" t="b">
        <v>0</v>
      </c>
      <c r="AA851" s="2" t="s">
        <v>35</v>
      </c>
      <c r="AB851" s="2" t="s">
        <v>35</v>
      </c>
      <c r="AC851" s="2">
        <v>4</v>
      </c>
      <c r="AD851" s="2" t="s">
        <v>35</v>
      </c>
      <c r="AE851" s="2" t="s">
        <v>2650</v>
      </c>
      <c r="AF851" s="11">
        <v>44755.386805555558</v>
      </c>
      <c r="AG851" s="53"/>
      <c r="AH851" s="53" t="b">
        <f t="shared" si="17"/>
        <v>0</v>
      </c>
      <c r="AI851" s="54" t="s">
        <v>10567</v>
      </c>
      <c r="AJ851" s="2"/>
      <c r="AK851" s="2"/>
      <c r="AL851" s="2"/>
      <c r="AM851" s="2"/>
      <c r="AN851" s="2"/>
    </row>
    <row r="852" spans="1:40" ht="16" x14ac:dyDescent="0.2">
      <c r="A852" s="2" t="s">
        <v>2828</v>
      </c>
      <c r="B852" s="2">
        <v>875</v>
      </c>
      <c r="C852" s="2" t="b">
        <v>0</v>
      </c>
      <c r="D852" s="2" t="b">
        <v>0</v>
      </c>
      <c r="E852" s="2" t="b">
        <v>0</v>
      </c>
      <c r="F852" s="2" t="b">
        <v>0</v>
      </c>
      <c r="G852" s="2" t="s">
        <v>31</v>
      </c>
      <c r="H852" s="2" t="s">
        <v>2829</v>
      </c>
      <c r="I852" s="2" t="s">
        <v>2830</v>
      </c>
      <c r="J852" s="2" t="s">
        <v>35</v>
      </c>
      <c r="K852" s="2" t="s">
        <v>35</v>
      </c>
      <c r="L852" s="2" t="s">
        <v>35</v>
      </c>
      <c r="M852" s="2" t="s">
        <v>35</v>
      </c>
      <c r="N852" s="2" t="s">
        <v>35</v>
      </c>
      <c r="O852" s="11">
        <v>44755.453830358798</v>
      </c>
      <c r="P852" s="11">
        <v>44755.453923229165</v>
      </c>
      <c r="Q852" s="27">
        <v>9.2870366643182933E-5</v>
      </c>
      <c r="R852" s="27">
        <v>2.2301388889900409E-3</v>
      </c>
      <c r="S852" s="2">
        <v>0</v>
      </c>
      <c r="T852" s="2" t="s">
        <v>36</v>
      </c>
      <c r="U852" s="2" t="s">
        <v>37</v>
      </c>
      <c r="V852" s="2" t="s">
        <v>38</v>
      </c>
      <c r="W852" s="2" t="s">
        <v>35</v>
      </c>
      <c r="X852" s="2" t="s">
        <v>35</v>
      </c>
      <c r="Y852" s="2" t="s">
        <v>35</v>
      </c>
      <c r="Z852" s="2" t="b">
        <v>0</v>
      </c>
      <c r="AA852" s="2" t="s">
        <v>35</v>
      </c>
      <c r="AB852" s="2" t="s">
        <v>35</v>
      </c>
      <c r="AC852" s="2" t="s">
        <v>35</v>
      </c>
      <c r="AD852" s="2">
        <v>3</v>
      </c>
      <c r="AE852" s="2" t="s">
        <v>2650</v>
      </c>
      <c r="AF852" s="11">
        <v>44755.386805555558</v>
      </c>
      <c r="AG852" s="53"/>
      <c r="AH852" s="53" t="b">
        <f t="shared" si="17"/>
        <v>0</v>
      </c>
      <c r="AI852" s="54" t="s">
        <v>10568</v>
      </c>
      <c r="AJ852" s="2"/>
      <c r="AK852" s="2"/>
      <c r="AL852" s="2"/>
      <c r="AM852" s="2"/>
      <c r="AN852" s="2"/>
    </row>
    <row r="853" spans="1:40" ht="16" x14ac:dyDescent="0.2">
      <c r="A853" s="2" t="s">
        <v>2831</v>
      </c>
      <c r="B853" s="2">
        <v>876</v>
      </c>
      <c r="C853" s="2" t="b">
        <v>0</v>
      </c>
      <c r="D853" s="2" t="b">
        <v>0</v>
      </c>
      <c r="E853" s="2" t="b">
        <v>0</v>
      </c>
      <c r="F853" s="2" t="b">
        <v>0</v>
      </c>
      <c r="G853" s="2" t="s">
        <v>31</v>
      </c>
      <c r="H853" s="2" t="s">
        <v>2832</v>
      </c>
      <c r="I853" s="2" t="s">
        <v>2833</v>
      </c>
      <c r="J853" s="2" t="s">
        <v>35</v>
      </c>
      <c r="K853" s="2" t="s">
        <v>35</v>
      </c>
      <c r="L853" s="2" t="s">
        <v>35</v>
      </c>
      <c r="M853" s="2" t="s">
        <v>35</v>
      </c>
      <c r="N853" s="2" t="s">
        <v>35</v>
      </c>
      <c r="O853" s="11">
        <v>44755.458083090278</v>
      </c>
      <c r="P853" s="11">
        <v>44755.458172025465</v>
      </c>
      <c r="Q853" s="27">
        <v>8.893518679542467E-5</v>
      </c>
      <c r="R853" s="27">
        <v>4.2487963000894524E-3</v>
      </c>
      <c r="S853" s="2">
        <v>0</v>
      </c>
      <c r="T853" s="2" t="s">
        <v>36</v>
      </c>
      <c r="U853" s="2" t="s">
        <v>37</v>
      </c>
      <c r="V853" s="2" t="s">
        <v>38</v>
      </c>
      <c r="W853" s="2" t="s">
        <v>35</v>
      </c>
      <c r="X853" s="2" t="s">
        <v>35</v>
      </c>
      <c r="Y853" s="2" t="s">
        <v>35</v>
      </c>
      <c r="Z853" s="2" t="b">
        <v>0</v>
      </c>
      <c r="AA853" s="2" t="s">
        <v>35</v>
      </c>
      <c r="AB853" s="2" t="s">
        <v>35</v>
      </c>
      <c r="AC853" s="2" t="s">
        <v>35</v>
      </c>
      <c r="AD853" s="2">
        <v>3</v>
      </c>
      <c r="AE853" s="2" t="s">
        <v>2650</v>
      </c>
      <c r="AF853" s="11">
        <v>44755.386805555558</v>
      </c>
      <c r="AG853" s="53"/>
      <c r="AH853" s="53" t="b">
        <f t="shared" si="17"/>
        <v>0</v>
      </c>
      <c r="AI853" s="54" t="s">
        <v>10569</v>
      </c>
      <c r="AJ853" s="2"/>
      <c r="AK853" s="2"/>
      <c r="AL853" s="2"/>
      <c r="AM853" s="2"/>
      <c r="AN853" s="2"/>
    </row>
    <row r="854" spans="1:40" ht="16" x14ac:dyDescent="0.2">
      <c r="A854" s="2" t="s">
        <v>2837</v>
      </c>
      <c r="B854" s="2">
        <v>878</v>
      </c>
      <c r="C854" s="2" t="b">
        <v>0</v>
      </c>
      <c r="D854" s="2" t="b">
        <v>0</v>
      </c>
      <c r="E854" s="2" t="b">
        <v>0</v>
      </c>
      <c r="F854" s="2" t="b">
        <v>0</v>
      </c>
      <c r="G854" s="2" t="s">
        <v>31</v>
      </c>
      <c r="H854" s="2" t="s">
        <v>2838</v>
      </c>
      <c r="I854" s="2" t="s">
        <v>2839</v>
      </c>
      <c r="J854" s="2" t="s">
        <v>35</v>
      </c>
      <c r="K854" s="2" t="s">
        <v>35</v>
      </c>
      <c r="L854" s="2" t="s">
        <v>35</v>
      </c>
      <c r="M854" s="2" t="s">
        <v>35</v>
      </c>
      <c r="N854" s="2" t="s">
        <v>35</v>
      </c>
      <c r="O854" s="11">
        <v>44762.351698969906</v>
      </c>
      <c r="P854" s="11">
        <v>44762.351894618056</v>
      </c>
      <c r="Q854" s="27">
        <v>1.9564815011108294E-4</v>
      </c>
      <c r="R854" s="27">
        <v>1.2001736104139127E-3</v>
      </c>
      <c r="S854" s="2">
        <v>0</v>
      </c>
      <c r="T854" s="2" t="s">
        <v>36</v>
      </c>
      <c r="U854" s="2" t="s">
        <v>37</v>
      </c>
      <c r="V854" s="2" t="s">
        <v>38</v>
      </c>
      <c r="W854" s="2" t="s">
        <v>35</v>
      </c>
      <c r="X854" s="2" t="s">
        <v>35</v>
      </c>
      <c r="Y854" s="2" t="s">
        <v>35</v>
      </c>
      <c r="Z854" s="2" t="b">
        <v>0</v>
      </c>
      <c r="AA854" s="2" t="s">
        <v>35</v>
      </c>
      <c r="AB854" s="2" t="s">
        <v>35</v>
      </c>
      <c r="AC854" s="2" t="s">
        <v>35</v>
      </c>
      <c r="AD854" s="2">
        <v>3</v>
      </c>
      <c r="AE854" s="2" t="s">
        <v>2840</v>
      </c>
      <c r="AF854" s="11">
        <v>44762.350694444445</v>
      </c>
      <c r="AG854" s="53"/>
      <c r="AH854" s="53" t="b">
        <f t="shared" si="17"/>
        <v>0</v>
      </c>
      <c r="AI854" s="54" t="s">
        <v>10570</v>
      </c>
      <c r="AJ854" s="2"/>
      <c r="AK854" s="2"/>
      <c r="AL854" s="2"/>
      <c r="AM854" s="2"/>
      <c r="AN854" s="2"/>
    </row>
    <row r="855" spans="1:40" ht="16" x14ac:dyDescent="0.2">
      <c r="A855" s="2" t="s">
        <v>2859</v>
      </c>
      <c r="B855" s="2">
        <v>885</v>
      </c>
      <c r="C855" s="2" t="b">
        <v>0</v>
      </c>
      <c r="D855" s="2" t="b">
        <v>0</v>
      </c>
      <c r="E855" s="2" t="b">
        <v>0</v>
      </c>
      <c r="F855" s="2" t="b">
        <v>0</v>
      </c>
      <c r="G855" s="2" t="s">
        <v>31</v>
      </c>
      <c r="H855" s="2" t="s">
        <v>2860</v>
      </c>
      <c r="I855" s="2" t="s">
        <v>2861</v>
      </c>
      <c r="J855" s="2" t="s">
        <v>35</v>
      </c>
      <c r="K855" s="2" t="s">
        <v>35</v>
      </c>
      <c r="L855" s="2" t="s">
        <v>35</v>
      </c>
      <c r="M855" s="2" t="s">
        <v>35</v>
      </c>
      <c r="N855" s="2" t="s">
        <v>35</v>
      </c>
      <c r="O855" s="11">
        <v>44762.356313506942</v>
      </c>
      <c r="P855" s="11">
        <v>44762.356478715279</v>
      </c>
      <c r="Q855" s="27">
        <v>1.6520833742106333E-4</v>
      </c>
      <c r="R855" s="27">
        <v>4.7973379696486518E-4</v>
      </c>
      <c r="S855" s="2">
        <v>0</v>
      </c>
      <c r="T855" s="2" t="s">
        <v>36</v>
      </c>
      <c r="U855" s="2" t="s">
        <v>37</v>
      </c>
      <c r="V855" s="2" t="s">
        <v>38</v>
      </c>
      <c r="W855" s="2" t="s">
        <v>35</v>
      </c>
      <c r="X855" s="2" t="s">
        <v>35</v>
      </c>
      <c r="Y855" s="2" t="s">
        <v>35</v>
      </c>
      <c r="Z855" s="2" t="b">
        <v>0</v>
      </c>
      <c r="AA855" s="2" t="s">
        <v>35</v>
      </c>
      <c r="AB855" s="2" t="s">
        <v>35</v>
      </c>
      <c r="AC855" s="2" t="s">
        <v>35</v>
      </c>
      <c r="AD855" s="2">
        <v>3</v>
      </c>
      <c r="AE855" s="2" t="s">
        <v>2840</v>
      </c>
      <c r="AF855" s="11">
        <v>44762.350694444445</v>
      </c>
      <c r="AG855" s="53"/>
      <c r="AH855" s="53" t="b">
        <f t="shared" si="17"/>
        <v>0</v>
      </c>
      <c r="AI855" s="54" t="s">
        <v>10571</v>
      </c>
      <c r="AJ855" s="2"/>
      <c r="AK855" s="2"/>
      <c r="AL855" s="2"/>
      <c r="AM855" s="2"/>
      <c r="AN855" s="2"/>
    </row>
    <row r="856" spans="1:40" ht="16" x14ac:dyDescent="0.2">
      <c r="A856" s="2" t="s">
        <v>2865</v>
      </c>
      <c r="B856" s="2">
        <v>887</v>
      </c>
      <c r="C856" s="2" t="b">
        <v>0</v>
      </c>
      <c r="D856" s="2" t="b">
        <v>0</v>
      </c>
      <c r="E856" s="2" t="b">
        <v>0</v>
      </c>
      <c r="F856" s="2" t="b">
        <v>0</v>
      </c>
      <c r="G856" s="2" t="s">
        <v>31</v>
      </c>
      <c r="H856" s="2" t="s">
        <v>2866</v>
      </c>
      <c r="I856" s="2" t="s">
        <v>2867</v>
      </c>
      <c r="J856" s="2" t="s">
        <v>35</v>
      </c>
      <c r="K856" s="2" t="s">
        <v>35</v>
      </c>
      <c r="L856" s="2" t="s">
        <v>35</v>
      </c>
      <c r="M856" s="2" t="s">
        <v>35</v>
      </c>
      <c r="N856" s="2" t="s">
        <v>35</v>
      </c>
      <c r="O856" s="11">
        <v>44762.358703576392</v>
      </c>
      <c r="P856" s="11">
        <v>44762.358811030092</v>
      </c>
      <c r="Q856" s="27">
        <v>1.0745369945652783E-4</v>
      </c>
      <c r="R856" s="27">
        <v>1.662499998928979E-3</v>
      </c>
      <c r="S856" s="2">
        <v>0</v>
      </c>
      <c r="T856" s="2" t="s">
        <v>36</v>
      </c>
      <c r="U856" s="2" t="s">
        <v>37</v>
      </c>
      <c r="V856" s="2" t="s">
        <v>38</v>
      </c>
      <c r="W856" s="2" t="s">
        <v>35</v>
      </c>
      <c r="X856" s="2" t="s">
        <v>35</v>
      </c>
      <c r="Y856" s="2" t="s">
        <v>35</v>
      </c>
      <c r="Z856" s="2" t="b">
        <v>0</v>
      </c>
      <c r="AA856" s="2" t="s">
        <v>35</v>
      </c>
      <c r="AB856" s="2" t="s">
        <v>35</v>
      </c>
      <c r="AC856" s="2" t="s">
        <v>35</v>
      </c>
      <c r="AD856" s="2">
        <v>3</v>
      </c>
      <c r="AE856" s="2" t="s">
        <v>2840</v>
      </c>
      <c r="AF856" s="11">
        <v>44762.350694444445</v>
      </c>
      <c r="AG856" s="53"/>
      <c r="AH856" s="53" t="b">
        <f t="shared" si="17"/>
        <v>0</v>
      </c>
      <c r="AI856" s="54" t="s">
        <v>10572</v>
      </c>
      <c r="AJ856" s="2"/>
      <c r="AK856" s="2"/>
      <c r="AL856" s="2"/>
      <c r="AM856" s="2"/>
      <c r="AN856" s="2"/>
    </row>
    <row r="857" spans="1:40" ht="16" x14ac:dyDescent="0.2">
      <c r="A857" s="2" t="s">
        <v>2868</v>
      </c>
      <c r="B857" s="2">
        <v>888</v>
      </c>
      <c r="C857" s="2" t="b">
        <v>0</v>
      </c>
      <c r="D857" s="2" t="b">
        <v>0</v>
      </c>
      <c r="E857" s="2" t="b">
        <v>0</v>
      </c>
      <c r="F857" s="2" t="b">
        <v>0</v>
      </c>
      <c r="G857" s="2" t="s">
        <v>31</v>
      </c>
      <c r="H857" s="2" t="s">
        <v>2869</v>
      </c>
      <c r="I857" s="2" t="s">
        <v>2870</v>
      </c>
      <c r="J857" s="2" t="s">
        <v>35</v>
      </c>
      <c r="K857" s="2" t="s">
        <v>35</v>
      </c>
      <c r="L857" s="2" t="s">
        <v>35</v>
      </c>
      <c r="M857" s="2" t="s">
        <v>35</v>
      </c>
      <c r="N857" s="2" t="s">
        <v>35</v>
      </c>
      <c r="O857" s="11">
        <v>44762.359009259257</v>
      </c>
      <c r="P857" s="11">
        <v>44762.359150289354</v>
      </c>
      <c r="Q857" s="27">
        <v>1.4103009743848816E-4</v>
      </c>
      <c r="R857" s="27">
        <v>3.3925926254596561E-4</v>
      </c>
      <c r="S857" s="2">
        <v>0</v>
      </c>
      <c r="T857" s="2" t="s">
        <v>36</v>
      </c>
      <c r="U857" s="2" t="s">
        <v>37</v>
      </c>
      <c r="V857" s="2" t="s">
        <v>38</v>
      </c>
      <c r="W857" s="2" t="s">
        <v>35</v>
      </c>
      <c r="X857" s="2" t="s">
        <v>35</v>
      </c>
      <c r="Y857" s="2" t="s">
        <v>35</v>
      </c>
      <c r="Z857" s="2" t="b">
        <v>0</v>
      </c>
      <c r="AA857" s="2" t="s">
        <v>35</v>
      </c>
      <c r="AB857" s="2" t="s">
        <v>35</v>
      </c>
      <c r="AC857" s="2" t="s">
        <v>35</v>
      </c>
      <c r="AD857" s="2">
        <v>3</v>
      </c>
      <c r="AE857" s="2" t="s">
        <v>2840</v>
      </c>
      <c r="AF857" s="11">
        <v>44762.350694444445</v>
      </c>
      <c r="AG857" s="53"/>
      <c r="AH857" s="53" t="b">
        <f t="shared" si="17"/>
        <v>0</v>
      </c>
      <c r="AI857" s="54" t="s">
        <v>9515</v>
      </c>
      <c r="AJ857" s="2"/>
      <c r="AK857" s="2"/>
      <c r="AL857" s="2"/>
      <c r="AM857" s="2"/>
      <c r="AN857" s="2"/>
    </row>
    <row r="858" spans="1:40" ht="16" x14ac:dyDescent="0.2">
      <c r="A858" s="2" t="s">
        <v>2871</v>
      </c>
      <c r="B858" s="2">
        <v>889</v>
      </c>
      <c r="C858" s="2" t="b">
        <v>0</v>
      </c>
      <c r="D858" s="2" t="b">
        <v>0</v>
      </c>
      <c r="E858" s="2" t="b">
        <v>0</v>
      </c>
      <c r="F858" s="2" t="b">
        <v>0</v>
      </c>
      <c r="G858" s="2" t="s">
        <v>31</v>
      </c>
      <c r="H858" s="2" t="s">
        <v>2872</v>
      </c>
      <c r="I858" s="2" t="s">
        <v>2873</v>
      </c>
      <c r="J858" s="2" t="s">
        <v>35</v>
      </c>
      <c r="K858" s="2" t="s">
        <v>35</v>
      </c>
      <c r="L858" s="2" t="s">
        <v>35</v>
      </c>
      <c r="M858" s="2" t="s">
        <v>35</v>
      </c>
      <c r="N858" s="2" t="s">
        <v>35</v>
      </c>
      <c r="O858" s="11">
        <v>44762.359519143516</v>
      </c>
      <c r="P858" s="11">
        <v>44762.359689861114</v>
      </c>
      <c r="Q858" s="27">
        <v>1.7071759793907404E-4</v>
      </c>
      <c r="R858" s="27">
        <v>5.3957175987306982E-4</v>
      </c>
      <c r="S858" s="2">
        <v>0</v>
      </c>
      <c r="T858" s="2" t="s">
        <v>36</v>
      </c>
      <c r="U858" s="2" t="s">
        <v>37</v>
      </c>
      <c r="V858" s="2" t="s">
        <v>38</v>
      </c>
      <c r="W858" s="2" t="s">
        <v>35</v>
      </c>
      <c r="X858" s="2" t="s">
        <v>35</v>
      </c>
      <c r="Y858" s="2" t="s">
        <v>35</v>
      </c>
      <c r="Z858" s="2" t="b">
        <v>0</v>
      </c>
      <c r="AA858" s="2" t="s">
        <v>35</v>
      </c>
      <c r="AB858" s="2" t="s">
        <v>35</v>
      </c>
      <c r="AC858" s="2" t="s">
        <v>35</v>
      </c>
      <c r="AD858" s="2">
        <v>3</v>
      </c>
      <c r="AE858" s="2" t="s">
        <v>2840</v>
      </c>
      <c r="AF858" s="11">
        <v>44762.350694444445</v>
      </c>
      <c r="AG858" s="53"/>
      <c r="AH858" s="53" t="b">
        <f t="shared" si="17"/>
        <v>0</v>
      </c>
      <c r="AI858" s="54" t="s">
        <v>10573</v>
      </c>
      <c r="AJ858" s="2"/>
      <c r="AK858" s="2"/>
      <c r="AL858" s="2"/>
      <c r="AM858" s="2"/>
      <c r="AN858" s="2"/>
    </row>
    <row r="859" spans="1:40" ht="16" x14ac:dyDescent="0.2">
      <c r="A859" s="2" t="s">
        <v>2882</v>
      </c>
      <c r="B859" s="2">
        <v>892</v>
      </c>
      <c r="C859" s="2" t="b">
        <v>0</v>
      </c>
      <c r="D859" s="2" t="b">
        <v>0</v>
      </c>
      <c r="E859" s="2" t="b">
        <v>0</v>
      </c>
      <c r="F859" s="2" t="b">
        <v>0</v>
      </c>
      <c r="G859" s="2" t="s">
        <v>31</v>
      </c>
      <c r="H859" s="2" t="s">
        <v>2883</v>
      </c>
      <c r="I859" s="2" t="s">
        <v>2884</v>
      </c>
      <c r="J859" s="2" t="s">
        <v>35</v>
      </c>
      <c r="K859" s="2" t="s">
        <v>35</v>
      </c>
      <c r="L859" s="2" t="s">
        <v>35</v>
      </c>
      <c r="M859" s="2" t="s">
        <v>35</v>
      </c>
      <c r="N859" s="2" t="s">
        <v>35</v>
      </c>
      <c r="O859" s="11">
        <v>44762.361862291669</v>
      </c>
      <c r="P859" s="11">
        <v>44762.362192581022</v>
      </c>
      <c r="Q859" s="27">
        <v>3.3028935285983607E-4</v>
      </c>
      <c r="R859" s="27">
        <v>4.1201389103662223E-4</v>
      </c>
      <c r="S859" s="2">
        <v>0</v>
      </c>
      <c r="T859" s="2" t="s">
        <v>36</v>
      </c>
      <c r="U859" s="2" t="s">
        <v>37</v>
      </c>
      <c r="V859" s="2" t="s">
        <v>38</v>
      </c>
      <c r="W859" s="2" t="s">
        <v>35</v>
      </c>
      <c r="X859" s="2" t="s">
        <v>35</v>
      </c>
      <c r="Y859" s="2" t="s">
        <v>35</v>
      </c>
      <c r="Z859" s="2" t="b">
        <v>0</v>
      </c>
      <c r="AA859" s="2" t="s">
        <v>35</v>
      </c>
      <c r="AB859" s="2" t="s">
        <v>35</v>
      </c>
      <c r="AC859" s="2" t="s">
        <v>35</v>
      </c>
      <c r="AD859" s="2">
        <v>3</v>
      </c>
      <c r="AE859" s="2" t="s">
        <v>2840</v>
      </c>
      <c r="AF859" s="11">
        <v>44762.350694444445</v>
      </c>
      <c r="AG859" s="53"/>
      <c r="AH859" s="53" t="b">
        <f t="shared" si="17"/>
        <v>0</v>
      </c>
      <c r="AI859" s="54" t="s">
        <v>10574</v>
      </c>
      <c r="AJ859" s="2"/>
      <c r="AK859" s="2"/>
      <c r="AL859" s="2"/>
      <c r="AM859" s="2"/>
      <c r="AN859" s="2"/>
    </row>
    <row r="860" spans="1:40" ht="16" x14ac:dyDescent="0.2">
      <c r="A860" s="2" t="s">
        <v>2901</v>
      </c>
      <c r="B860" s="2">
        <v>898</v>
      </c>
      <c r="C860" s="2" t="b">
        <v>0</v>
      </c>
      <c r="D860" s="2" t="b">
        <v>0</v>
      </c>
      <c r="E860" s="2" t="b">
        <v>0</v>
      </c>
      <c r="F860" s="2" t="b">
        <v>0</v>
      </c>
      <c r="G860" s="2" t="s">
        <v>31</v>
      </c>
      <c r="H860" s="2" t="s">
        <v>2902</v>
      </c>
      <c r="I860" s="2" t="s">
        <v>2903</v>
      </c>
      <c r="J860" s="2" t="s">
        <v>35</v>
      </c>
      <c r="K860" s="2" t="s">
        <v>35</v>
      </c>
      <c r="L860" s="2" t="s">
        <v>35</v>
      </c>
      <c r="M860" s="2" t="s">
        <v>35</v>
      </c>
      <c r="N860" s="2" t="s">
        <v>35</v>
      </c>
      <c r="O860" s="11">
        <v>44762.365970810184</v>
      </c>
      <c r="P860" s="11">
        <v>44762.366069849537</v>
      </c>
      <c r="Q860" s="27">
        <v>9.9039352789986879E-5</v>
      </c>
      <c r="R860" s="27">
        <v>1.0935995378531516E-3</v>
      </c>
      <c r="S860" s="2">
        <v>0</v>
      </c>
      <c r="T860" s="2" t="s">
        <v>36</v>
      </c>
      <c r="U860" s="2" t="s">
        <v>37</v>
      </c>
      <c r="V860" s="2" t="s">
        <v>38</v>
      </c>
      <c r="W860" s="2" t="s">
        <v>35</v>
      </c>
      <c r="X860" s="2" t="s">
        <v>35</v>
      </c>
      <c r="Y860" s="2" t="s">
        <v>35</v>
      </c>
      <c r="Z860" s="2" t="b">
        <v>0</v>
      </c>
      <c r="AA860" s="2" t="s">
        <v>35</v>
      </c>
      <c r="AB860" s="2" t="s">
        <v>35</v>
      </c>
      <c r="AC860" s="2" t="s">
        <v>35</v>
      </c>
      <c r="AD860" s="2">
        <v>2</v>
      </c>
      <c r="AE860" s="2" t="s">
        <v>2840</v>
      </c>
      <c r="AF860" s="11">
        <v>44762.350694444445</v>
      </c>
      <c r="AG860" s="53"/>
      <c r="AH860" s="53" t="b">
        <f t="shared" si="17"/>
        <v>0</v>
      </c>
      <c r="AI860" s="54" t="s">
        <v>10575</v>
      </c>
      <c r="AJ860" s="2"/>
      <c r="AK860" s="2"/>
      <c r="AL860" s="2"/>
      <c r="AM860" s="2"/>
      <c r="AN860" s="2"/>
    </row>
    <row r="861" spans="1:40" ht="16" x14ac:dyDescent="0.2">
      <c r="A861" s="2" t="s">
        <v>2908</v>
      </c>
      <c r="B861" s="2">
        <v>900</v>
      </c>
      <c r="C861" s="2" t="b">
        <v>0</v>
      </c>
      <c r="D861" s="2" t="b">
        <v>0</v>
      </c>
      <c r="E861" s="2" t="b">
        <v>0</v>
      </c>
      <c r="F861" s="2" t="b">
        <v>0</v>
      </c>
      <c r="G861" s="2" t="s">
        <v>31</v>
      </c>
      <c r="H861" s="2" t="s">
        <v>2909</v>
      </c>
      <c r="I861" s="2" t="s">
        <v>2910</v>
      </c>
      <c r="J861" s="2" t="s">
        <v>2911</v>
      </c>
      <c r="K861" s="2" t="s">
        <v>35</v>
      </c>
      <c r="L861" s="2" t="s">
        <v>35</v>
      </c>
      <c r="M861" s="2" t="s">
        <v>35</v>
      </c>
      <c r="N861" s="2" t="s">
        <v>35</v>
      </c>
      <c r="O861" s="11">
        <v>44762.36793403935</v>
      </c>
      <c r="P861" s="11">
        <v>44762.368969131945</v>
      </c>
      <c r="Q861" s="27">
        <v>1.0350925949751399E-3</v>
      </c>
      <c r="R861" s="27">
        <v>1.0737615739344619E-3</v>
      </c>
      <c r="S861" s="2">
        <v>0</v>
      </c>
      <c r="T861" s="2" t="s">
        <v>36</v>
      </c>
      <c r="U861" s="2" t="s">
        <v>37</v>
      </c>
      <c r="V861" s="2" t="s">
        <v>38</v>
      </c>
      <c r="W861" s="2" t="s">
        <v>35</v>
      </c>
      <c r="X861" s="2" t="s">
        <v>35</v>
      </c>
      <c r="Y861" s="2" t="s">
        <v>35</v>
      </c>
      <c r="Z861" s="2" t="b">
        <v>0</v>
      </c>
      <c r="AA861" s="2" t="s">
        <v>35</v>
      </c>
      <c r="AB861" s="2" t="s">
        <v>35</v>
      </c>
      <c r="AC861" s="2">
        <v>4</v>
      </c>
      <c r="AD861" s="2" t="s">
        <v>35</v>
      </c>
      <c r="AE861" s="2" t="s">
        <v>2840</v>
      </c>
      <c r="AF861" s="11">
        <v>44762.350694444445</v>
      </c>
      <c r="AG861" s="53"/>
      <c r="AH861" s="53" t="str">
        <f t="shared" ref="AH861:AH924" si="18">IF(Q861&gt;TIME(0,1,9),"TRUE")</f>
        <v>TRUE</v>
      </c>
      <c r="AI861" s="54" t="s">
        <v>10576</v>
      </c>
      <c r="AJ861" s="2"/>
      <c r="AK861" s="2"/>
      <c r="AL861" s="2"/>
      <c r="AM861" s="2"/>
      <c r="AN861" s="2"/>
    </row>
    <row r="862" spans="1:40" ht="16" x14ac:dyDescent="0.2">
      <c r="A862" s="2" t="s">
        <v>2915</v>
      </c>
      <c r="B862" s="2">
        <v>902</v>
      </c>
      <c r="C862" s="2" t="b">
        <v>0</v>
      </c>
      <c r="D862" s="2" t="b">
        <v>0</v>
      </c>
      <c r="E862" s="2" t="b">
        <v>0</v>
      </c>
      <c r="F862" s="2" t="b">
        <v>0</v>
      </c>
      <c r="G862" s="2" t="s">
        <v>31</v>
      </c>
      <c r="H862" s="2" t="s">
        <v>2916</v>
      </c>
      <c r="I862" s="2" t="s">
        <v>2917</v>
      </c>
      <c r="J862" s="2" t="s">
        <v>2214</v>
      </c>
      <c r="K862" s="2" t="s">
        <v>35</v>
      </c>
      <c r="L862" s="2" t="s">
        <v>35</v>
      </c>
      <c r="M862" s="2" t="s">
        <v>35</v>
      </c>
      <c r="N862" s="2" t="s">
        <v>35</v>
      </c>
      <c r="O862" s="11">
        <v>44762.370814074071</v>
      </c>
      <c r="P862" s="11">
        <v>44762.37114275463</v>
      </c>
      <c r="Q862" s="27">
        <v>3.2868055859580636E-4</v>
      </c>
      <c r="R862" s="27">
        <v>8.5513888916466385E-4</v>
      </c>
      <c r="S862" s="2">
        <v>0</v>
      </c>
      <c r="T862" s="2" t="s">
        <v>36</v>
      </c>
      <c r="U862" s="2" t="s">
        <v>37</v>
      </c>
      <c r="V862" s="2" t="s">
        <v>38</v>
      </c>
      <c r="W862" s="2" t="s">
        <v>35</v>
      </c>
      <c r="X862" s="2" t="s">
        <v>35</v>
      </c>
      <c r="Y862" s="2" t="s">
        <v>35</v>
      </c>
      <c r="Z862" s="2" t="b">
        <v>0</v>
      </c>
      <c r="AA862" s="2" t="s">
        <v>35</v>
      </c>
      <c r="AB862" s="2" t="s">
        <v>35</v>
      </c>
      <c r="AC862" s="2">
        <v>7</v>
      </c>
      <c r="AD862" s="2" t="s">
        <v>35</v>
      </c>
      <c r="AE862" s="2" t="s">
        <v>2840</v>
      </c>
      <c r="AF862" s="11">
        <v>44762.350694444445</v>
      </c>
      <c r="AG862" s="53"/>
      <c r="AH862" s="53" t="b">
        <f t="shared" si="18"/>
        <v>0</v>
      </c>
      <c r="AI862" s="54" t="s">
        <v>10577</v>
      </c>
      <c r="AJ862" s="2"/>
      <c r="AK862" s="2"/>
      <c r="AL862" s="2"/>
      <c r="AM862" s="2"/>
      <c r="AN862" s="2"/>
    </row>
    <row r="863" spans="1:40" ht="16" x14ac:dyDescent="0.2">
      <c r="A863" s="2" t="s">
        <v>2924</v>
      </c>
      <c r="B863" s="2">
        <v>905</v>
      </c>
      <c r="C863" s="2" t="b">
        <v>0</v>
      </c>
      <c r="D863" s="2" t="b">
        <v>0</v>
      </c>
      <c r="E863" s="2" t="b">
        <v>0</v>
      </c>
      <c r="F863" s="2" t="b">
        <v>0</v>
      </c>
      <c r="G863" s="2" t="s">
        <v>31</v>
      </c>
      <c r="H863" s="2" t="s">
        <v>2925</v>
      </c>
      <c r="I863" s="2" t="s">
        <v>2926</v>
      </c>
      <c r="J863" s="2" t="s">
        <v>2214</v>
      </c>
      <c r="K863" s="2" t="s">
        <v>35</v>
      </c>
      <c r="L863" s="2" t="s">
        <v>35</v>
      </c>
      <c r="M863" s="2" t="s">
        <v>35</v>
      </c>
      <c r="N863" s="2" t="s">
        <v>35</v>
      </c>
      <c r="O863" s="11">
        <v>44762.37396070602</v>
      </c>
      <c r="P863" s="11">
        <v>44762.374158287035</v>
      </c>
      <c r="Q863" s="27">
        <v>1.9758101552724838E-4</v>
      </c>
      <c r="R863" s="27">
        <v>3.4249999589519575E-4</v>
      </c>
      <c r="S863" s="2">
        <v>0</v>
      </c>
      <c r="T863" s="2" t="s">
        <v>36</v>
      </c>
      <c r="U863" s="2" t="s">
        <v>37</v>
      </c>
      <c r="V863" s="2" t="s">
        <v>38</v>
      </c>
      <c r="W863" s="2" t="s">
        <v>35</v>
      </c>
      <c r="X863" s="2" t="s">
        <v>35</v>
      </c>
      <c r="Y863" s="2" t="s">
        <v>35</v>
      </c>
      <c r="Z863" s="2" t="b">
        <v>0</v>
      </c>
      <c r="AA863" s="2" t="s">
        <v>35</v>
      </c>
      <c r="AB863" s="2" t="s">
        <v>35</v>
      </c>
      <c r="AC863" s="2">
        <v>5</v>
      </c>
      <c r="AD863" s="2" t="s">
        <v>35</v>
      </c>
      <c r="AE863" s="2" t="s">
        <v>2840</v>
      </c>
      <c r="AF863" s="11">
        <v>44762.350694444445</v>
      </c>
      <c r="AG863" s="53"/>
      <c r="AH863" s="53" t="b">
        <f t="shared" si="18"/>
        <v>0</v>
      </c>
      <c r="AI863" s="54" t="s">
        <v>10578</v>
      </c>
      <c r="AJ863" s="2"/>
      <c r="AK863" s="2"/>
      <c r="AL863" s="2"/>
      <c r="AM863" s="2"/>
      <c r="AN863" s="2"/>
    </row>
    <row r="864" spans="1:40" ht="16" x14ac:dyDescent="0.2">
      <c r="A864" s="2" t="s">
        <v>2927</v>
      </c>
      <c r="B864" s="2">
        <v>906</v>
      </c>
      <c r="C864" s="2" t="b">
        <v>0</v>
      </c>
      <c r="D864" s="2" t="b">
        <v>0</v>
      </c>
      <c r="E864" s="2" t="b">
        <v>0</v>
      </c>
      <c r="F864" s="2" t="b">
        <v>0</v>
      </c>
      <c r="G864" s="2" t="s">
        <v>31</v>
      </c>
      <c r="H864" s="2" t="s">
        <v>2928</v>
      </c>
      <c r="I864" s="2" t="s">
        <v>2929</v>
      </c>
      <c r="J864" s="2" t="s">
        <v>35</v>
      </c>
      <c r="K864" s="2" t="s">
        <v>35</v>
      </c>
      <c r="L864" s="2" t="s">
        <v>35</v>
      </c>
      <c r="M864" s="2" t="s">
        <v>35</v>
      </c>
      <c r="N864" s="2" t="s">
        <v>35</v>
      </c>
      <c r="O864" s="11">
        <v>44762.374608020837</v>
      </c>
      <c r="P864" s="11">
        <v>44762.374838761571</v>
      </c>
      <c r="Q864" s="27">
        <v>2.3074073396855965E-4</v>
      </c>
      <c r="R864" s="27">
        <v>6.8047453532926738E-4</v>
      </c>
      <c r="S864" s="2">
        <v>0</v>
      </c>
      <c r="T864" s="2" t="s">
        <v>36</v>
      </c>
      <c r="U864" s="2" t="s">
        <v>37</v>
      </c>
      <c r="V864" s="2" t="s">
        <v>38</v>
      </c>
      <c r="W864" s="2" t="s">
        <v>35</v>
      </c>
      <c r="X864" s="2" t="s">
        <v>35</v>
      </c>
      <c r="Y864" s="2" t="s">
        <v>35</v>
      </c>
      <c r="Z864" s="2" t="b">
        <v>0</v>
      </c>
      <c r="AA864" s="2" t="s">
        <v>35</v>
      </c>
      <c r="AB864" s="2" t="s">
        <v>35</v>
      </c>
      <c r="AC864" s="2" t="s">
        <v>35</v>
      </c>
      <c r="AD864" s="2">
        <v>2</v>
      </c>
      <c r="AE864" s="2" t="s">
        <v>2840</v>
      </c>
      <c r="AF864" s="11">
        <v>44762.350694444445</v>
      </c>
      <c r="AG864" s="53"/>
      <c r="AH864" s="53" t="b">
        <f t="shared" si="18"/>
        <v>0</v>
      </c>
      <c r="AI864" s="54" t="s">
        <v>10579</v>
      </c>
      <c r="AJ864" s="2"/>
      <c r="AK864" s="2"/>
      <c r="AL864" s="2"/>
      <c r="AM864" s="2"/>
      <c r="AN864" s="2"/>
    </row>
    <row r="865" spans="1:40" ht="16" x14ac:dyDescent="0.2">
      <c r="A865" s="2" t="s">
        <v>2930</v>
      </c>
      <c r="B865" s="2">
        <v>907</v>
      </c>
      <c r="C865" s="2" t="b">
        <v>0</v>
      </c>
      <c r="D865" s="2" t="b">
        <v>0</v>
      </c>
      <c r="E865" s="2" t="b">
        <v>0</v>
      </c>
      <c r="F865" s="2" t="b">
        <v>0</v>
      </c>
      <c r="G865" s="2" t="s">
        <v>31</v>
      </c>
      <c r="H865" s="2" t="s">
        <v>2931</v>
      </c>
      <c r="I865" s="2" t="s">
        <v>2932</v>
      </c>
      <c r="J865" s="2" t="s">
        <v>35</v>
      </c>
      <c r="K865" s="2" t="s">
        <v>35</v>
      </c>
      <c r="L865" s="2" t="s">
        <v>35</v>
      </c>
      <c r="M865" s="2" t="s">
        <v>35</v>
      </c>
      <c r="N865" s="2" t="s">
        <v>35</v>
      </c>
      <c r="O865" s="11">
        <v>44762.375641944447</v>
      </c>
      <c r="P865" s="11">
        <v>44762.37615708333</v>
      </c>
      <c r="Q865" s="27">
        <v>5.1513888320187107E-4</v>
      </c>
      <c r="R865" s="27">
        <v>1.3183217597543262E-3</v>
      </c>
      <c r="S865" s="2">
        <v>0</v>
      </c>
      <c r="T865" s="2" t="s">
        <v>36</v>
      </c>
      <c r="U865" s="2" t="s">
        <v>37</v>
      </c>
      <c r="V865" s="2" t="s">
        <v>38</v>
      </c>
      <c r="W865" s="2" t="s">
        <v>35</v>
      </c>
      <c r="X865" s="2" t="s">
        <v>35</v>
      </c>
      <c r="Y865" s="2" t="s">
        <v>35</v>
      </c>
      <c r="Z865" s="2" t="b">
        <v>0</v>
      </c>
      <c r="AA865" s="2" t="s">
        <v>2933</v>
      </c>
      <c r="AB865" s="2" t="s">
        <v>35</v>
      </c>
      <c r="AC865" s="2" t="s">
        <v>35</v>
      </c>
      <c r="AD865" s="2" t="s">
        <v>35</v>
      </c>
      <c r="AE865" s="2" t="s">
        <v>2840</v>
      </c>
      <c r="AF865" s="11">
        <v>44762.350694444445</v>
      </c>
      <c r="AG865" s="53"/>
      <c r="AH865" s="53" t="b">
        <f t="shared" si="18"/>
        <v>0</v>
      </c>
      <c r="AI865" s="54" t="s">
        <v>9514</v>
      </c>
      <c r="AJ865" s="2"/>
      <c r="AK865" s="2"/>
      <c r="AL865" s="2"/>
      <c r="AM865" s="2"/>
      <c r="AN865" s="2"/>
    </row>
    <row r="866" spans="1:40" ht="16" x14ac:dyDescent="0.2">
      <c r="A866" s="2" t="s">
        <v>2934</v>
      </c>
      <c r="B866" s="2">
        <v>908</v>
      </c>
      <c r="C866" s="2" t="b">
        <v>0</v>
      </c>
      <c r="D866" s="2" t="b">
        <v>0</v>
      </c>
      <c r="E866" s="2" t="b">
        <v>0</v>
      </c>
      <c r="F866" s="2" t="b">
        <v>0</v>
      </c>
      <c r="G866" s="2" t="s">
        <v>31</v>
      </c>
      <c r="H866" s="2" t="s">
        <v>2935</v>
      </c>
      <c r="I866" s="2" t="s">
        <v>2936</v>
      </c>
      <c r="J866" s="2" t="s">
        <v>35</v>
      </c>
      <c r="K866" s="2" t="s">
        <v>35</v>
      </c>
      <c r="L866" s="2" t="s">
        <v>35</v>
      </c>
      <c r="M866" s="2" t="s">
        <v>35</v>
      </c>
      <c r="N866" s="2" t="s">
        <v>35</v>
      </c>
      <c r="O866" s="11">
        <v>44762.376797013887</v>
      </c>
      <c r="P866" s="11">
        <v>44762.377138773147</v>
      </c>
      <c r="Q866" s="27">
        <v>3.4175925975432619E-4</v>
      </c>
      <c r="R866" s="27">
        <v>9.8168981639901176E-4</v>
      </c>
      <c r="S866" s="2">
        <v>0</v>
      </c>
      <c r="T866" s="2" t="s">
        <v>36</v>
      </c>
      <c r="U866" s="2" t="s">
        <v>37</v>
      </c>
      <c r="V866" s="2" t="s">
        <v>38</v>
      </c>
      <c r="W866" s="2" t="s">
        <v>35</v>
      </c>
      <c r="X866" s="2" t="s">
        <v>35</v>
      </c>
      <c r="Y866" s="2" t="s">
        <v>35</v>
      </c>
      <c r="Z866" s="2" t="b">
        <v>0</v>
      </c>
      <c r="AA866" s="2" t="s">
        <v>35</v>
      </c>
      <c r="AB866" s="2" t="s">
        <v>35</v>
      </c>
      <c r="AC866" s="2" t="s">
        <v>35</v>
      </c>
      <c r="AD866" s="2">
        <v>2</v>
      </c>
      <c r="AE866" s="2" t="s">
        <v>2840</v>
      </c>
      <c r="AF866" s="11">
        <v>44762.350694444445</v>
      </c>
      <c r="AG866" s="53"/>
      <c r="AH866" s="53" t="b">
        <f t="shared" si="18"/>
        <v>0</v>
      </c>
      <c r="AI866" s="54" t="s">
        <v>10583</v>
      </c>
      <c r="AJ866" s="2" t="s">
        <v>10580</v>
      </c>
      <c r="AK866" s="2" t="s">
        <v>10581</v>
      </c>
      <c r="AL866" s="2" t="s">
        <v>10582</v>
      </c>
      <c r="AM866" s="2"/>
      <c r="AN866" s="2"/>
    </row>
    <row r="867" spans="1:40" ht="16" x14ac:dyDescent="0.2">
      <c r="A867" s="2" t="s">
        <v>2937</v>
      </c>
      <c r="B867" s="2">
        <v>909</v>
      </c>
      <c r="C867" s="2" t="b">
        <v>0</v>
      </c>
      <c r="D867" s="2" t="b">
        <v>0</v>
      </c>
      <c r="E867" s="2" t="b">
        <v>0</v>
      </c>
      <c r="F867" s="2" t="b">
        <v>0</v>
      </c>
      <c r="G867" s="2" t="s">
        <v>31</v>
      </c>
      <c r="H867" s="2" t="s">
        <v>2938</v>
      </c>
      <c r="I867" s="2" t="s">
        <v>2939</v>
      </c>
      <c r="J867" s="2" t="s">
        <v>35</v>
      </c>
      <c r="K867" s="2" t="s">
        <v>35</v>
      </c>
      <c r="L867" s="2" t="s">
        <v>35</v>
      </c>
      <c r="M867" s="2" t="s">
        <v>35</v>
      </c>
      <c r="N867" s="2" t="s">
        <v>35</v>
      </c>
      <c r="O867" s="11">
        <v>44762.377307546296</v>
      </c>
      <c r="P867" s="11">
        <v>44762.377501354167</v>
      </c>
      <c r="Q867" s="27">
        <v>1.9380787125555798E-4</v>
      </c>
      <c r="R867" s="27">
        <v>3.625810204539448E-4</v>
      </c>
      <c r="S867" s="2">
        <v>0</v>
      </c>
      <c r="T867" s="2" t="s">
        <v>36</v>
      </c>
      <c r="U867" s="2" t="s">
        <v>37</v>
      </c>
      <c r="V867" s="2" t="s">
        <v>38</v>
      </c>
      <c r="W867" s="2" t="s">
        <v>35</v>
      </c>
      <c r="X867" s="2" t="s">
        <v>35</v>
      </c>
      <c r="Y867" s="2" t="s">
        <v>35</v>
      </c>
      <c r="Z867" s="2" t="b">
        <v>0</v>
      </c>
      <c r="AA867" s="2" t="s">
        <v>35</v>
      </c>
      <c r="AB867" s="2" t="s">
        <v>35</v>
      </c>
      <c r="AC867" s="2" t="s">
        <v>35</v>
      </c>
      <c r="AD867" s="2">
        <v>2</v>
      </c>
      <c r="AE867" s="2" t="s">
        <v>2840</v>
      </c>
      <c r="AF867" s="11">
        <v>44762.350694444445</v>
      </c>
      <c r="AG867" s="53"/>
      <c r="AH867" s="53" t="b">
        <f t="shared" si="18"/>
        <v>0</v>
      </c>
      <c r="AI867" s="54" t="s">
        <v>10584</v>
      </c>
      <c r="AJ867" s="2"/>
      <c r="AK867" s="2"/>
      <c r="AL867" s="2"/>
      <c r="AM867" s="2"/>
      <c r="AN867" s="2"/>
    </row>
    <row r="868" spans="1:40" ht="16" x14ac:dyDescent="0.2">
      <c r="A868" s="2" t="s">
        <v>2940</v>
      </c>
      <c r="B868" s="2">
        <v>910</v>
      </c>
      <c r="C868" s="2" t="b">
        <v>0</v>
      </c>
      <c r="D868" s="2" t="b">
        <v>0</v>
      </c>
      <c r="E868" s="2" t="b">
        <v>0</v>
      </c>
      <c r="F868" s="2" t="b">
        <v>0</v>
      </c>
      <c r="G868" s="2" t="s">
        <v>31</v>
      </c>
      <c r="H868" s="2" t="s">
        <v>2941</v>
      </c>
      <c r="I868" s="2" t="s">
        <v>2942</v>
      </c>
      <c r="J868" s="2" t="s">
        <v>35</v>
      </c>
      <c r="K868" s="2" t="s">
        <v>35</v>
      </c>
      <c r="L868" s="2" t="s">
        <v>35</v>
      </c>
      <c r="M868" s="2" t="s">
        <v>35</v>
      </c>
      <c r="N868" s="2" t="s">
        <v>35</v>
      </c>
      <c r="O868" s="11">
        <v>44762.378564872684</v>
      </c>
      <c r="P868" s="11">
        <v>44762.37869056713</v>
      </c>
      <c r="Q868" s="27">
        <v>1.2569444515975192E-4</v>
      </c>
      <c r="R868" s="27">
        <v>1.1892129623447545E-3</v>
      </c>
      <c r="S868" s="2">
        <v>0</v>
      </c>
      <c r="T868" s="2" t="s">
        <v>36</v>
      </c>
      <c r="U868" s="2" t="s">
        <v>37</v>
      </c>
      <c r="V868" s="2" t="s">
        <v>38</v>
      </c>
      <c r="W868" s="2" t="s">
        <v>35</v>
      </c>
      <c r="X868" s="2" t="s">
        <v>35</v>
      </c>
      <c r="Y868" s="2" t="s">
        <v>35</v>
      </c>
      <c r="Z868" s="2" t="b">
        <v>0</v>
      </c>
      <c r="AA868" s="2" t="s">
        <v>35</v>
      </c>
      <c r="AB868" s="2" t="s">
        <v>35</v>
      </c>
      <c r="AC868" s="2" t="s">
        <v>35</v>
      </c>
      <c r="AD868" s="2">
        <v>3</v>
      </c>
      <c r="AE868" s="2" t="s">
        <v>2840</v>
      </c>
      <c r="AF868" s="11">
        <v>44762.350694444445</v>
      </c>
      <c r="AG868" s="53"/>
      <c r="AH868" s="53" t="b">
        <f t="shared" si="18"/>
        <v>0</v>
      </c>
      <c r="AI868" s="54" t="s">
        <v>10585</v>
      </c>
      <c r="AJ868" s="2"/>
      <c r="AK868" s="2"/>
      <c r="AL868" s="2"/>
      <c r="AM868" s="2"/>
      <c r="AN868" s="2"/>
    </row>
    <row r="869" spans="1:40" ht="16" x14ac:dyDescent="0.2">
      <c r="A869" s="2" t="s">
        <v>2956</v>
      </c>
      <c r="B869" s="2">
        <v>915</v>
      </c>
      <c r="C869" s="2" t="b">
        <v>0</v>
      </c>
      <c r="D869" s="2" t="b">
        <v>0</v>
      </c>
      <c r="E869" s="2" t="b">
        <v>0</v>
      </c>
      <c r="F869" s="2" t="b">
        <v>0</v>
      </c>
      <c r="G869" s="2" t="s">
        <v>31</v>
      </c>
      <c r="H869" s="2" t="s">
        <v>2957</v>
      </c>
      <c r="I869" s="2" t="s">
        <v>2958</v>
      </c>
      <c r="J869" s="2" t="s">
        <v>35</v>
      </c>
      <c r="K869" s="2" t="s">
        <v>35</v>
      </c>
      <c r="L869" s="2" t="s">
        <v>35</v>
      </c>
      <c r="M869" s="2" t="s">
        <v>35</v>
      </c>
      <c r="N869" s="2" t="s">
        <v>35</v>
      </c>
      <c r="O869" s="11">
        <v>44762.38516810185</v>
      </c>
      <c r="P869" s="11">
        <v>44762.385326782409</v>
      </c>
      <c r="Q869" s="27">
        <v>1.5868055925238878E-4</v>
      </c>
      <c r="R869" s="27">
        <v>1.1624421313172206E-3</v>
      </c>
      <c r="S869" s="2">
        <v>0</v>
      </c>
      <c r="T869" s="2" t="s">
        <v>36</v>
      </c>
      <c r="U869" s="2" t="s">
        <v>37</v>
      </c>
      <c r="V869" s="2" t="s">
        <v>38</v>
      </c>
      <c r="W869" s="2" t="s">
        <v>35</v>
      </c>
      <c r="X869" s="2" t="s">
        <v>35</v>
      </c>
      <c r="Y869" s="2" t="s">
        <v>35</v>
      </c>
      <c r="Z869" s="2" t="b">
        <v>0</v>
      </c>
      <c r="AA869" s="2" t="s">
        <v>35</v>
      </c>
      <c r="AB869" s="2" t="s">
        <v>35</v>
      </c>
      <c r="AC869" s="2" t="s">
        <v>35</v>
      </c>
      <c r="AD869" s="2">
        <v>3</v>
      </c>
      <c r="AE869" s="2" t="s">
        <v>2840</v>
      </c>
      <c r="AF869" s="11">
        <v>44762.350694444445</v>
      </c>
      <c r="AG869" s="53"/>
      <c r="AH869" s="53" t="b">
        <f t="shared" si="18"/>
        <v>0</v>
      </c>
      <c r="AI869" s="54" t="s">
        <v>10586</v>
      </c>
      <c r="AJ869" s="2"/>
      <c r="AK869" s="2"/>
      <c r="AL869" s="2"/>
      <c r="AM869" s="2"/>
      <c r="AN869" s="2"/>
    </row>
    <row r="870" spans="1:40" ht="16" x14ac:dyDescent="0.2">
      <c r="A870" s="2" t="s">
        <v>2965</v>
      </c>
      <c r="B870" s="2">
        <v>918</v>
      </c>
      <c r="C870" s="2" t="b">
        <v>0</v>
      </c>
      <c r="D870" s="2" t="b">
        <v>0</v>
      </c>
      <c r="E870" s="2" t="b">
        <v>0</v>
      </c>
      <c r="F870" s="2" t="b">
        <v>0</v>
      </c>
      <c r="G870" s="2" t="s">
        <v>31</v>
      </c>
      <c r="H870" s="2" t="s">
        <v>2966</v>
      </c>
      <c r="I870" s="2" t="s">
        <v>2967</v>
      </c>
      <c r="J870" s="2" t="s">
        <v>35</v>
      </c>
      <c r="K870" s="2" t="s">
        <v>35</v>
      </c>
      <c r="L870" s="2" t="s">
        <v>35</v>
      </c>
      <c r="M870" s="2" t="s">
        <v>35</v>
      </c>
      <c r="N870" s="2" t="s">
        <v>35</v>
      </c>
      <c r="O870" s="11">
        <v>44762.386823738423</v>
      </c>
      <c r="P870" s="11">
        <v>44762.386937129631</v>
      </c>
      <c r="Q870" s="27">
        <v>1.1339120828779414E-4</v>
      </c>
      <c r="R870" s="27">
        <v>9.2145833332324401E-4</v>
      </c>
      <c r="S870" s="2">
        <v>0</v>
      </c>
      <c r="T870" s="2" t="s">
        <v>36</v>
      </c>
      <c r="U870" s="2" t="s">
        <v>37</v>
      </c>
      <c r="V870" s="2" t="s">
        <v>38</v>
      </c>
      <c r="W870" s="2" t="s">
        <v>35</v>
      </c>
      <c r="X870" s="2" t="s">
        <v>35</v>
      </c>
      <c r="Y870" s="2" t="s">
        <v>35</v>
      </c>
      <c r="Z870" s="2" t="b">
        <v>0</v>
      </c>
      <c r="AA870" s="2" t="s">
        <v>35</v>
      </c>
      <c r="AB870" s="2" t="s">
        <v>35</v>
      </c>
      <c r="AC870" s="2" t="s">
        <v>35</v>
      </c>
      <c r="AD870" s="2">
        <v>2</v>
      </c>
      <c r="AE870" s="2" t="s">
        <v>2840</v>
      </c>
      <c r="AF870" s="11">
        <v>44762.350694444445</v>
      </c>
      <c r="AG870" s="53"/>
      <c r="AH870" s="53" t="b">
        <f t="shared" si="18"/>
        <v>0</v>
      </c>
      <c r="AI870" s="54" t="s">
        <v>10587</v>
      </c>
      <c r="AJ870" s="2"/>
      <c r="AK870" s="2"/>
      <c r="AL870" s="2"/>
      <c r="AM870" s="2"/>
      <c r="AN870" s="2"/>
    </row>
    <row r="871" spans="1:40" ht="16" x14ac:dyDescent="0.2">
      <c r="A871" s="2" t="s">
        <v>2968</v>
      </c>
      <c r="B871" s="2">
        <v>919</v>
      </c>
      <c r="C871" s="2" t="b">
        <v>0</v>
      </c>
      <c r="D871" s="2" t="b">
        <v>0</v>
      </c>
      <c r="E871" s="2" t="b">
        <v>0</v>
      </c>
      <c r="F871" s="2" t="b">
        <v>0</v>
      </c>
      <c r="G871" s="2" t="s">
        <v>31</v>
      </c>
      <c r="H871" s="2" t="s">
        <v>2969</v>
      </c>
      <c r="I871" s="2" t="s">
        <v>2970</v>
      </c>
      <c r="J871" s="2" t="s">
        <v>35</v>
      </c>
      <c r="K871" s="2" t="s">
        <v>35</v>
      </c>
      <c r="L871" s="2" t="s">
        <v>35</v>
      </c>
      <c r="M871" s="2" t="s">
        <v>35</v>
      </c>
      <c r="N871" s="2" t="s">
        <v>35</v>
      </c>
      <c r="O871" s="11">
        <v>44762.387792569447</v>
      </c>
      <c r="P871" s="11">
        <v>44762.387955150465</v>
      </c>
      <c r="Q871" s="27">
        <v>1.6258101823041216E-4</v>
      </c>
      <c r="R871" s="27">
        <v>1.018020833726041E-3</v>
      </c>
      <c r="S871" s="2">
        <v>0</v>
      </c>
      <c r="T871" s="2" t="s">
        <v>36</v>
      </c>
      <c r="U871" s="2" t="s">
        <v>37</v>
      </c>
      <c r="V871" s="2" t="s">
        <v>38</v>
      </c>
      <c r="W871" s="2" t="s">
        <v>35</v>
      </c>
      <c r="X871" s="2" t="s">
        <v>35</v>
      </c>
      <c r="Y871" s="2" t="s">
        <v>35</v>
      </c>
      <c r="Z871" s="2" t="b">
        <v>0</v>
      </c>
      <c r="AA871" s="2" t="s">
        <v>35</v>
      </c>
      <c r="AB871" s="2" t="s">
        <v>35</v>
      </c>
      <c r="AC871" s="2" t="s">
        <v>35</v>
      </c>
      <c r="AD871" s="2">
        <v>5</v>
      </c>
      <c r="AE871" s="2" t="s">
        <v>2840</v>
      </c>
      <c r="AF871" s="11">
        <v>44762.350694444445</v>
      </c>
      <c r="AG871" s="53"/>
      <c r="AH871" s="53" t="b">
        <f t="shared" si="18"/>
        <v>0</v>
      </c>
      <c r="AI871" s="54" t="s">
        <v>10588</v>
      </c>
      <c r="AJ871" s="2"/>
      <c r="AK871" s="2"/>
      <c r="AL871" s="2"/>
      <c r="AM871" s="2"/>
      <c r="AN871" s="2"/>
    </row>
    <row r="872" spans="1:40" ht="16" x14ac:dyDescent="0.2">
      <c r="A872" s="2" t="s">
        <v>2971</v>
      </c>
      <c r="B872" s="2">
        <v>920</v>
      </c>
      <c r="C872" s="2" t="b">
        <v>0</v>
      </c>
      <c r="D872" s="2" t="b">
        <v>0</v>
      </c>
      <c r="E872" s="2" t="b">
        <v>0</v>
      </c>
      <c r="F872" s="2" t="b">
        <v>0</v>
      </c>
      <c r="G872" s="2" t="s">
        <v>31</v>
      </c>
      <c r="H872" s="2" t="s">
        <v>2972</v>
      </c>
      <c r="I872" s="2" t="s">
        <v>2973</v>
      </c>
      <c r="J872" s="2" t="s">
        <v>35</v>
      </c>
      <c r="K872" s="2" t="s">
        <v>35</v>
      </c>
      <c r="L872" s="2" t="s">
        <v>35</v>
      </c>
      <c r="M872" s="2" t="s">
        <v>35</v>
      </c>
      <c r="N872" s="2" t="s">
        <v>35</v>
      </c>
      <c r="O872" s="11">
        <v>44762.388884745371</v>
      </c>
      <c r="P872" s="11">
        <v>44762.389045856478</v>
      </c>
      <c r="Q872" s="27">
        <v>1.6111110744532198E-4</v>
      </c>
      <c r="R872" s="27">
        <v>1.0907060132012703E-3</v>
      </c>
      <c r="S872" s="2">
        <v>0</v>
      </c>
      <c r="T872" s="2" t="s">
        <v>36</v>
      </c>
      <c r="U872" s="2" t="s">
        <v>37</v>
      </c>
      <c r="V872" s="2" t="s">
        <v>38</v>
      </c>
      <c r="W872" s="2" t="s">
        <v>35</v>
      </c>
      <c r="X872" s="2" t="s">
        <v>35</v>
      </c>
      <c r="Y872" s="2" t="s">
        <v>35</v>
      </c>
      <c r="Z872" s="2" t="b">
        <v>0</v>
      </c>
      <c r="AA872" s="2" t="s">
        <v>35</v>
      </c>
      <c r="AB872" s="2" t="s">
        <v>35</v>
      </c>
      <c r="AC872" s="2" t="s">
        <v>35</v>
      </c>
      <c r="AD872" s="2">
        <v>4</v>
      </c>
      <c r="AE872" s="2" t="s">
        <v>2840</v>
      </c>
      <c r="AF872" s="11">
        <v>44762.350694444445</v>
      </c>
      <c r="AG872" s="53"/>
      <c r="AH872" s="53" t="b">
        <f t="shared" si="18"/>
        <v>0</v>
      </c>
      <c r="AI872" s="54" t="s">
        <v>10589</v>
      </c>
      <c r="AJ872" s="2"/>
      <c r="AK872" s="2"/>
      <c r="AL872" s="2"/>
      <c r="AM872" s="2"/>
      <c r="AN872" s="2"/>
    </row>
    <row r="873" spans="1:40" ht="16" x14ac:dyDescent="0.2">
      <c r="A873" s="2" t="s">
        <v>2974</v>
      </c>
      <c r="B873" s="2">
        <v>921</v>
      </c>
      <c r="C873" s="2" t="b">
        <v>0</v>
      </c>
      <c r="D873" s="2" t="b">
        <v>0</v>
      </c>
      <c r="E873" s="2" t="b">
        <v>0</v>
      </c>
      <c r="F873" s="2" t="b">
        <v>0</v>
      </c>
      <c r="G873" s="2" t="s">
        <v>31</v>
      </c>
      <c r="H873" s="2" t="s">
        <v>2975</v>
      </c>
      <c r="I873" s="2" t="s">
        <v>2976</v>
      </c>
      <c r="J873" s="2" t="s">
        <v>35</v>
      </c>
      <c r="K873" s="2" t="s">
        <v>35</v>
      </c>
      <c r="L873" s="2" t="s">
        <v>35</v>
      </c>
      <c r="M873" s="2" t="s">
        <v>35</v>
      </c>
      <c r="N873" s="2" t="s">
        <v>35</v>
      </c>
      <c r="O873" s="11">
        <v>44762.390527685187</v>
      </c>
      <c r="P873" s="11">
        <v>44762.390716145834</v>
      </c>
      <c r="Q873" s="27">
        <v>1.8846064631361514E-4</v>
      </c>
      <c r="R873" s="27">
        <v>1.6702893553883769E-3</v>
      </c>
      <c r="S873" s="2">
        <v>0</v>
      </c>
      <c r="T873" s="2" t="s">
        <v>36</v>
      </c>
      <c r="U873" s="2" t="s">
        <v>37</v>
      </c>
      <c r="V873" s="2" t="s">
        <v>38</v>
      </c>
      <c r="W873" s="2" t="s">
        <v>35</v>
      </c>
      <c r="X873" s="2" t="s">
        <v>35</v>
      </c>
      <c r="Y873" s="2" t="s">
        <v>35</v>
      </c>
      <c r="Z873" s="2" t="b">
        <v>0</v>
      </c>
      <c r="AA873" s="2" t="s">
        <v>35</v>
      </c>
      <c r="AB873" s="2" t="s">
        <v>35</v>
      </c>
      <c r="AC873" s="2" t="s">
        <v>35</v>
      </c>
      <c r="AD873" s="2">
        <v>3</v>
      </c>
      <c r="AE873" s="2" t="s">
        <v>2840</v>
      </c>
      <c r="AF873" s="11">
        <v>44762.350694444445</v>
      </c>
      <c r="AG873" s="53"/>
      <c r="AH873" s="53" t="b">
        <f t="shared" si="18"/>
        <v>0</v>
      </c>
      <c r="AI873" s="54" t="s">
        <v>10590</v>
      </c>
      <c r="AJ873" s="2"/>
      <c r="AK873" s="2"/>
      <c r="AL873" s="2"/>
      <c r="AM873" s="2"/>
      <c r="AN873" s="2"/>
    </row>
    <row r="874" spans="1:40" ht="16" x14ac:dyDescent="0.2">
      <c r="A874" s="2" t="s">
        <v>2980</v>
      </c>
      <c r="B874" s="2">
        <v>923</v>
      </c>
      <c r="C874" s="2" t="b">
        <v>0</v>
      </c>
      <c r="D874" s="2" t="b">
        <v>0</v>
      </c>
      <c r="E874" s="2" t="b">
        <v>0</v>
      </c>
      <c r="F874" s="2" t="b">
        <v>0</v>
      </c>
      <c r="G874" s="2" t="s">
        <v>31</v>
      </c>
      <c r="H874" s="2" t="s">
        <v>2981</v>
      </c>
      <c r="I874" s="2" t="s">
        <v>2982</v>
      </c>
      <c r="J874" s="2" t="s">
        <v>35</v>
      </c>
      <c r="K874" s="2" t="s">
        <v>35</v>
      </c>
      <c r="L874" s="2" t="s">
        <v>35</v>
      </c>
      <c r="M874" s="2" t="s">
        <v>35</v>
      </c>
      <c r="N874" s="2" t="s">
        <v>35</v>
      </c>
      <c r="O874" s="11">
        <v>44762.391522696758</v>
      </c>
      <c r="P874" s="11">
        <v>44762.391678854168</v>
      </c>
      <c r="Q874" s="27">
        <v>1.5615740994689986E-4</v>
      </c>
      <c r="R874" s="27">
        <v>6.3079861138248816E-4</v>
      </c>
      <c r="S874" s="2">
        <v>0</v>
      </c>
      <c r="T874" s="2" t="s">
        <v>36</v>
      </c>
      <c r="U874" s="2" t="s">
        <v>37</v>
      </c>
      <c r="V874" s="2" t="s">
        <v>38</v>
      </c>
      <c r="W874" s="2" t="s">
        <v>35</v>
      </c>
      <c r="X874" s="2" t="s">
        <v>35</v>
      </c>
      <c r="Y874" s="2" t="s">
        <v>35</v>
      </c>
      <c r="Z874" s="2" t="b">
        <v>0</v>
      </c>
      <c r="AA874" s="2" t="s">
        <v>35</v>
      </c>
      <c r="AB874" s="2" t="s">
        <v>35</v>
      </c>
      <c r="AC874" s="2" t="s">
        <v>35</v>
      </c>
      <c r="AD874" s="2">
        <v>3</v>
      </c>
      <c r="AE874" s="2" t="s">
        <v>2840</v>
      </c>
      <c r="AF874" s="11">
        <v>44762.350694444445</v>
      </c>
      <c r="AG874" s="53"/>
      <c r="AH874" s="53" t="b">
        <f t="shared" si="18"/>
        <v>0</v>
      </c>
      <c r="AI874" s="54" t="s">
        <v>10591</v>
      </c>
      <c r="AJ874" s="2"/>
      <c r="AK874" s="2"/>
      <c r="AL874" s="2"/>
      <c r="AM874" s="2"/>
      <c r="AN874" s="2"/>
    </row>
    <row r="875" spans="1:40" ht="16" x14ac:dyDescent="0.2">
      <c r="A875" s="2" t="s">
        <v>2983</v>
      </c>
      <c r="B875" s="2">
        <v>924</v>
      </c>
      <c r="C875" s="2" t="b">
        <v>0</v>
      </c>
      <c r="D875" s="2" t="b">
        <v>0</v>
      </c>
      <c r="E875" s="2" t="b">
        <v>0</v>
      </c>
      <c r="F875" s="2" t="b">
        <v>0</v>
      </c>
      <c r="G875" s="2" t="s">
        <v>31</v>
      </c>
      <c r="H875" s="2" t="s">
        <v>2984</v>
      </c>
      <c r="I875" s="2" t="s">
        <v>2985</v>
      </c>
      <c r="J875" s="2" t="s">
        <v>35</v>
      </c>
      <c r="K875" s="2" t="s">
        <v>35</v>
      </c>
      <c r="L875" s="2" t="s">
        <v>35</v>
      </c>
      <c r="M875" s="2" t="s">
        <v>35</v>
      </c>
      <c r="N875" s="2" t="s">
        <v>35</v>
      </c>
      <c r="O875" s="11">
        <v>44762.393498310186</v>
      </c>
      <c r="P875" s="11">
        <v>44762.393708310185</v>
      </c>
      <c r="Q875" s="27">
        <v>2.0999999833293259E-4</v>
      </c>
      <c r="R875" s="27">
        <v>2.0294560163165443E-3</v>
      </c>
      <c r="S875" s="2">
        <v>0</v>
      </c>
      <c r="T875" s="2" t="s">
        <v>36</v>
      </c>
      <c r="U875" s="2" t="s">
        <v>37</v>
      </c>
      <c r="V875" s="2" t="s">
        <v>38</v>
      </c>
      <c r="W875" s="2" t="s">
        <v>35</v>
      </c>
      <c r="X875" s="2" t="s">
        <v>35</v>
      </c>
      <c r="Y875" s="2" t="s">
        <v>35</v>
      </c>
      <c r="Z875" s="2" t="b">
        <v>0</v>
      </c>
      <c r="AA875" s="2" t="s">
        <v>35</v>
      </c>
      <c r="AB875" s="2" t="s">
        <v>35</v>
      </c>
      <c r="AC875" s="2" t="s">
        <v>35</v>
      </c>
      <c r="AD875" s="2">
        <v>3</v>
      </c>
      <c r="AE875" s="2" t="s">
        <v>2840</v>
      </c>
      <c r="AF875" s="11">
        <v>44762.350694444445</v>
      </c>
      <c r="AG875" s="53"/>
      <c r="AH875" s="53" t="b">
        <f t="shared" si="18"/>
        <v>0</v>
      </c>
      <c r="AI875" s="54" t="s">
        <v>10592</v>
      </c>
      <c r="AJ875" s="2"/>
      <c r="AK875" s="2"/>
      <c r="AL875" s="2"/>
      <c r="AM875" s="2"/>
      <c r="AN875" s="2"/>
    </row>
    <row r="876" spans="1:40" ht="16" x14ac:dyDescent="0.2">
      <c r="A876" s="2" t="s">
        <v>2986</v>
      </c>
      <c r="B876" s="2">
        <v>925</v>
      </c>
      <c r="C876" s="2" t="b">
        <v>0</v>
      </c>
      <c r="D876" s="2" t="b">
        <v>0</v>
      </c>
      <c r="E876" s="2" t="b">
        <v>0</v>
      </c>
      <c r="F876" s="2" t="b">
        <v>0</v>
      </c>
      <c r="G876" s="2" t="s">
        <v>31</v>
      </c>
      <c r="H876" s="2" t="s">
        <v>2987</v>
      </c>
      <c r="I876" s="2" t="s">
        <v>2988</v>
      </c>
      <c r="J876" s="2" t="s">
        <v>662</v>
      </c>
      <c r="K876" s="2" t="s">
        <v>35</v>
      </c>
      <c r="L876" s="2" t="s">
        <v>35</v>
      </c>
      <c r="M876" s="2" t="s">
        <v>35</v>
      </c>
      <c r="N876" s="2" t="s">
        <v>35</v>
      </c>
      <c r="O876" s="11">
        <v>44762.39394814815</v>
      </c>
      <c r="P876" s="11">
        <v>44762.394409270833</v>
      </c>
      <c r="Q876" s="27">
        <v>4.6112268319120631E-4</v>
      </c>
      <c r="R876" s="27">
        <v>7.0096064882818609E-4</v>
      </c>
      <c r="S876" s="2">
        <v>0</v>
      </c>
      <c r="T876" s="2" t="s">
        <v>36</v>
      </c>
      <c r="U876" s="2" t="s">
        <v>37</v>
      </c>
      <c r="V876" s="2" t="s">
        <v>38</v>
      </c>
      <c r="W876" s="2" t="s">
        <v>35</v>
      </c>
      <c r="X876" s="2" t="s">
        <v>35</v>
      </c>
      <c r="Y876" s="2" t="s">
        <v>35</v>
      </c>
      <c r="Z876" s="2" t="b">
        <v>0</v>
      </c>
      <c r="AA876" s="2" t="s">
        <v>35</v>
      </c>
      <c r="AB876" s="2" t="s">
        <v>35</v>
      </c>
      <c r="AC876" s="2">
        <v>10</v>
      </c>
      <c r="AD876" s="2" t="s">
        <v>35</v>
      </c>
      <c r="AE876" s="2" t="s">
        <v>2840</v>
      </c>
      <c r="AF876" s="11">
        <v>44762.350694444445</v>
      </c>
      <c r="AG876" s="53"/>
      <c r="AH876" s="53" t="b">
        <f t="shared" si="18"/>
        <v>0</v>
      </c>
      <c r="AI876" s="54" t="s">
        <v>10593</v>
      </c>
      <c r="AJ876" s="2"/>
      <c r="AK876" s="2"/>
      <c r="AL876" s="2"/>
      <c r="AM876" s="2"/>
      <c r="AN876" s="2"/>
    </row>
    <row r="877" spans="1:40" ht="16" x14ac:dyDescent="0.2">
      <c r="A877" s="2" t="s">
        <v>2989</v>
      </c>
      <c r="B877" s="2">
        <v>926</v>
      </c>
      <c r="C877" s="2" t="b">
        <v>0</v>
      </c>
      <c r="D877" s="2" t="b">
        <v>0</v>
      </c>
      <c r="E877" s="2" t="b">
        <v>0</v>
      </c>
      <c r="F877" s="2" t="b">
        <v>0</v>
      </c>
      <c r="G877" s="2" t="s">
        <v>31</v>
      </c>
      <c r="H877" s="2" t="s">
        <v>2990</v>
      </c>
      <c r="I877" s="2" t="s">
        <v>2991</v>
      </c>
      <c r="J877" s="2" t="s">
        <v>2992</v>
      </c>
      <c r="K877" s="2" t="s">
        <v>35</v>
      </c>
      <c r="L877" s="2" t="s">
        <v>35</v>
      </c>
      <c r="M877" s="2" t="s">
        <v>35</v>
      </c>
      <c r="N877" s="2" t="s">
        <v>35</v>
      </c>
      <c r="O877" s="11">
        <v>44762.396003888891</v>
      </c>
      <c r="P877" s="11">
        <v>44762.396347743059</v>
      </c>
      <c r="Q877" s="27">
        <v>3.4385416802251711E-4</v>
      </c>
      <c r="R877" s="27">
        <v>1.9384722254471853E-3</v>
      </c>
      <c r="S877" s="2">
        <v>0</v>
      </c>
      <c r="T877" s="2" t="s">
        <v>36</v>
      </c>
      <c r="U877" s="2" t="s">
        <v>37</v>
      </c>
      <c r="V877" s="2" t="s">
        <v>38</v>
      </c>
      <c r="W877" s="2" t="s">
        <v>35</v>
      </c>
      <c r="X877" s="2" t="s">
        <v>35</v>
      </c>
      <c r="Y877" s="2" t="s">
        <v>35</v>
      </c>
      <c r="Z877" s="2" t="b">
        <v>0</v>
      </c>
      <c r="AA877" s="2" t="s">
        <v>35</v>
      </c>
      <c r="AB877" s="2" t="s">
        <v>35</v>
      </c>
      <c r="AC877" s="2">
        <v>4</v>
      </c>
      <c r="AD877" s="2" t="s">
        <v>35</v>
      </c>
      <c r="AE877" s="2" t="s">
        <v>2840</v>
      </c>
      <c r="AF877" s="11">
        <v>44762.350694444445</v>
      </c>
      <c r="AG877" s="53"/>
      <c r="AH877" s="53" t="b">
        <f t="shared" si="18"/>
        <v>0</v>
      </c>
      <c r="AI877" s="54" t="s">
        <v>9513</v>
      </c>
      <c r="AJ877" s="2"/>
      <c r="AK877" s="2"/>
      <c r="AL877" s="2"/>
      <c r="AM877" s="2"/>
      <c r="AN877" s="2"/>
    </row>
    <row r="878" spans="1:40" ht="16" x14ac:dyDescent="0.2">
      <c r="A878" s="2" t="s">
        <v>2993</v>
      </c>
      <c r="B878" s="2">
        <v>927</v>
      </c>
      <c r="C878" s="2" t="b">
        <v>0</v>
      </c>
      <c r="D878" s="2" t="b">
        <v>0</v>
      </c>
      <c r="E878" s="2" t="b">
        <v>0</v>
      </c>
      <c r="F878" s="2" t="b">
        <v>0</v>
      </c>
      <c r="G878" s="2" t="s">
        <v>31</v>
      </c>
      <c r="H878" s="2" t="s">
        <v>2994</v>
      </c>
      <c r="I878" s="2" t="s">
        <v>2995</v>
      </c>
      <c r="J878" s="2" t="s">
        <v>2992</v>
      </c>
      <c r="K878" s="2" t="s">
        <v>35</v>
      </c>
      <c r="L878" s="2" t="s">
        <v>35</v>
      </c>
      <c r="M878" s="2" t="s">
        <v>35</v>
      </c>
      <c r="N878" s="2" t="s">
        <v>35</v>
      </c>
      <c r="O878" s="11">
        <v>44762.39653810185</v>
      </c>
      <c r="P878" s="11">
        <v>44762.39697681713</v>
      </c>
      <c r="Q878" s="27">
        <v>4.3871528032468632E-4</v>
      </c>
      <c r="R878" s="27">
        <v>6.2907407118473202E-4</v>
      </c>
      <c r="S878" s="2">
        <v>0</v>
      </c>
      <c r="T878" s="2" t="s">
        <v>36</v>
      </c>
      <c r="U878" s="2" t="s">
        <v>37</v>
      </c>
      <c r="V878" s="2" t="s">
        <v>38</v>
      </c>
      <c r="W878" s="2" t="s">
        <v>35</v>
      </c>
      <c r="X878" s="2" t="s">
        <v>35</v>
      </c>
      <c r="Y878" s="2" t="s">
        <v>35</v>
      </c>
      <c r="Z878" s="2" t="b">
        <v>0</v>
      </c>
      <c r="AA878" s="2" t="s">
        <v>35</v>
      </c>
      <c r="AB878" s="2" t="s">
        <v>35</v>
      </c>
      <c r="AC878" s="2">
        <v>4</v>
      </c>
      <c r="AD878" s="2" t="s">
        <v>35</v>
      </c>
      <c r="AE878" s="2" t="s">
        <v>2840</v>
      </c>
      <c r="AF878" s="11">
        <v>44762.350694444445</v>
      </c>
      <c r="AG878" s="53"/>
      <c r="AH878" s="53" t="b">
        <f t="shared" si="18"/>
        <v>0</v>
      </c>
      <c r="AI878" s="54" t="s">
        <v>10594</v>
      </c>
      <c r="AJ878" s="2"/>
      <c r="AK878" s="2"/>
      <c r="AL878" s="2"/>
      <c r="AM878" s="2"/>
      <c r="AN878" s="2"/>
    </row>
    <row r="879" spans="1:40" ht="16" x14ac:dyDescent="0.2">
      <c r="A879" s="2" t="s">
        <v>2996</v>
      </c>
      <c r="B879" s="2">
        <v>928</v>
      </c>
      <c r="C879" s="2" t="b">
        <v>0</v>
      </c>
      <c r="D879" s="2" t="b">
        <v>0</v>
      </c>
      <c r="E879" s="2" t="b">
        <v>0</v>
      </c>
      <c r="F879" s="2" t="b">
        <v>0</v>
      </c>
      <c r="G879" s="2" t="s">
        <v>31</v>
      </c>
      <c r="H879" s="2" t="s">
        <v>2997</v>
      </c>
      <c r="I879" s="2" t="s">
        <v>2998</v>
      </c>
      <c r="J879" s="2" t="s">
        <v>1275</v>
      </c>
      <c r="K879" s="2" t="s">
        <v>35</v>
      </c>
      <c r="L879" s="2" t="s">
        <v>35</v>
      </c>
      <c r="M879" s="2" t="s">
        <v>35</v>
      </c>
      <c r="N879" s="2" t="s">
        <v>35</v>
      </c>
      <c r="O879" s="11">
        <v>44762.397553263887</v>
      </c>
      <c r="P879" s="11">
        <v>44762.397891284723</v>
      </c>
      <c r="Q879" s="27">
        <v>3.3802083635237068E-4</v>
      </c>
      <c r="R879" s="27">
        <v>9.1446759324753657E-4</v>
      </c>
      <c r="S879" s="2">
        <v>0</v>
      </c>
      <c r="T879" s="2" t="s">
        <v>36</v>
      </c>
      <c r="U879" s="2" t="s">
        <v>37</v>
      </c>
      <c r="V879" s="2" t="s">
        <v>38</v>
      </c>
      <c r="W879" s="2" t="s">
        <v>35</v>
      </c>
      <c r="X879" s="2" t="s">
        <v>35</v>
      </c>
      <c r="Y879" s="2" t="s">
        <v>35</v>
      </c>
      <c r="Z879" s="2" t="b">
        <v>0</v>
      </c>
      <c r="AA879" s="2" t="s">
        <v>35</v>
      </c>
      <c r="AB879" s="2" t="s">
        <v>35</v>
      </c>
      <c r="AC879" s="2">
        <v>10</v>
      </c>
      <c r="AD879" s="2" t="s">
        <v>35</v>
      </c>
      <c r="AE879" s="2" t="s">
        <v>2840</v>
      </c>
      <c r="AF879" s="11">
        <v>44762.350694444445</v>
      </c>
      <c r="AG879" s="53"/>
      <c r="AH879" s="53" t="b">
        <f t="shared" si="18"/>
        <v>0</v>
      </c>
      <c r="AI879" s="54" t="s">
        <v>9512</v>
      </c>
      <c r="AJ879" s="2"/>
      <c r="AK879" s="2"/>
      <c r="AL879" s="2"/>
      <c r="AM879" s="2"/>
      <c r="AN879" s="2"/>
    </row>
    <row r="880" spans="1:40" ht="16" x14ac:dyDescent="0.2">
      <c r="A880" s="2" t="s">
        <v>3011</v>
      </c>
      <c r="B880" s="2">
        <v>933</v>
      </c>
      <c r="C880" s="2" t="b">
        <v>0</v>
      </c>
      <c r="D880" s="2" t="b">
        <v>0</v>
      </c>
      <c r="E880" s="2" t="b">
        <v>0</v>
      </c>
      <c r="F880" s="2" t="b">
        <v>0</v>
      </c>
      <c r="G880" s="2" t="s">
        <v>31</v>
      </c>
      <c r="H880" s="2" t="s">
        <v>3012</v>
      </c>
      <c r="I880" s="2" t="s">
        <v>3013</v>
      </c>
      <c r="J880" s="2" t="s">
        <v>662</v>
      </c>
      <c r="K880" s="2" t="s">
        <v>35</v>
      </c>
      <c r="L880" s="2" t="s">
        <v>35</v>
      </c>
      <c r="M880" s="2" t="s">
        <v>35</v>
      </c>
      <c r="N880" s="2" t="s">
        <v>35</v>
      </c>
      <c r="O880" s="11">
        <v>44762.400926354167</v>
      </c>
      <c r="P880" s="11">
        <v>44762.401323715276</v>
      </c>
      <c r="Q880" s="27">
        <v>3.9736110920784995E-4</v>
      </c>
      <c r="R880" s="27">
        <v>8.0796296242624521E-4</v>
      </c>
      <c r="S880" s="2">
        <v>0</v>
      </c>
      <c r="T880" s="2" t="s">
        <v>36</v>
      </c>
      <c r="U880" s="2" t="s">
        <v>37</v>
      </c>
      <c r="V880" s="2" t="s">
        <v>38</v>
      </c>
      <c r="W880" s="2" t="s">
        <v>35</v>
      </c>
      <c r="X880" s="2" t="s">
        <v>35</v>
      </c>
      <c r="Y880" s="2" t="s">
        <v>35</v>
      </c>
      <c r="Z880" s="2" t="b">
        <v>0</v>
      </c>
      <c r="AA880" s="2" t="s">
        <v>35</v>
      </c>
      <c r="AB880" s="2" t="s">
        <v>35</v>
      </c>
      <c r="AC880" s="2">
        <v>6</v>
      </c>
      <c r="AD880" s="2" t="s">
        <v>35</v>
      </c>
      <c r="AE880" s="2" t="s">
        <v>2840</v>
      </c>
      <c r="AF880" s="11">
        <v>44762.350694444445</v>
      </c>
      <c r="AG880" s="53"/>
      <c r="AH880" s="53" t="b">
        <f t="shared" si="18"/>
        <v>0</v>
      </c>
      <c r="AI880" s="54" t="s">
        <v>10595</v>
      </c>
      <c r="AJ880" s="2"/>
      <c r="AK880" s="2"/>
      <c r="AL880" s="2"/>
      <c r="AM880" s="2"/>
      <c r="AN880" s="2"/>
    </row>
    <row r="881" spans="1:40" ht="16" x14ac:dyDescent="0.2">
      <c r="A881" s="2" t="s">
        <v>3026</v>
      </c>
      <c r="B881" s="2">
        <v>938</v>
      </c>
      <c r="C881" s="2" t="b">
        <v>0</v>
      </c>
      <c r="D881" s="2" t="b">
        <v>0</v>
      </c>
      <c r="E881" s="2" t="b">
        <v>0</v>
      </c>
      <c r="F881" s="2" t="b">
        <v>0</v>
      </c>
      <c r="G881" s="2" t="s">
        <v>31</v>
      </c>
      <c r="H881" s="2" t="s">
        <v>3027</v>
      </c>
      <c r="I881" s="2" t="s">
        <v>3028</v>
      </c>
      <c r="J881" s="2" t="s">
        <v>3029</v>
      </c>
      <c r="K881" s="2" t="s">
        <v>35</v>
      </c>
      <c r="L881" s="2" t="s">
        <v>35</v>
      </c>
      <c r="M881" s="2" t="s">
        <v>35</v>
      </c>
      <c r="N881" s="2" t="s">
        <v>35</v>
      </c>
      <c r="O881" s="11">
        <v>44762.405527812502</v>
      </c>
      <c r="P881" s="11">
        <v>44762.405808530093</v>
      </c>
      <c r="Q881" s="27">
        <v>2.807175915222615E-4</v>
      </c>
      <c r="R881" s="27">
        <v>5.4533564980374649E-4</v>
      </c>
      <c r="S881" s="2">
        <v>0</v>
      </c>
      <c r="T881" s="2" t="s">
        <v>36</v>
      </c>
      <c r="U881" s="2" t="s">
        <v>37</v>
      </c>
      <c r="V881" s="2" t="s">
        <v>38</v>
      </c>
      <c r="W881" s="2" t="s">
        <v>35</v>
      </c>
      <c r="X881" s="2" t="s">
        <v>35</v>
      </c>
      <c r="Y881" s="2" t="s">
        <v>35</v>
      </c>
      <c r="Z881" s="2" t="b">
        <v>0</v>
      </c>
      <c r="AA881" s="2" t="s">
        <v>35</v>
      </c>
      <c r="AB881" s="2" t="s">
        <v>35</v>
      </c>
      <c r="AC881" s="2">
        <v>5</v>
      </c>
      <c r="AD881" s="2" t="s">
        <v>35</v>
      </c>
      <c r="AE881" s="2" t="s">
        <v>2840</v>
      </c>
      <c r="AF881" s="11">
        <v>44762.350694444445</v>
      </c>
      <c r="AG881" s="53"/>
      <c r="AH881" s="53" t="b">
        <f t="shared" si="18"/>
        <v>0</v>
      </c>
      <c r="AI881" s="54" t="s">
        <v>10596</v>
      </c>
      <c r="AJ881" s="2"/>
      <c r="AK881" s="2"/>
      <c r="AL881" s="2"/>
      <c r="AM881" s="2"/>
      <c r="AN881" s="2"/>
    </row>
    <row r="882" spans="1:40" ht="16" x14ac:dyDescent="0.2">
      <c r="A882" s="2" t="s">
        <v>3030</v>
      </c>
      <c r="B882" s="2">
        <v>939</v>
      </c>
      <c r="C882" s="2" t="b">
        <v>0</v>
      </c>
      <c r="D882" s="2" t="b">
        <v>0</v>
      </c>
      <c r="E882" s="2" t="b">
        <v>0</v>
      </c>
      <c r="F882" s="2" t="b">
        <v>0</v>
      </c>
      <c r="G882" s="2" t="s">
        <v>31</v>
      </c>
      <c r="H882" s="2" t="s">
        <v>3031</v>
      </c>
      <c r="I882" s="2" t="s">
        <v>3032</v>
      </c>
      <c r="J882" s="2" t="s">
        <v>35</v>
      </c>
      <c r="K882" s="2" t="s">
        <v>35</v>
      </c>
      <c r="L882" s="2" t="s">
        <v>35</v>
      </c>
      <c r="M882" s="2" t="s">
        <v>35</v>
      </c>
      <c r="N882" s="2" t="s">
        <v>35</v>
      </c>
      <c r="O882" s="11">
        <v>44762.406070844911</v>
      </c>
      <c r="P882" s="11">
        <v>44762.406559039351</v>
      </c>
      <c r="Q882" s="27">
        <v>4.8819444054970518E-4</v>
      </c>
      <c r="R882" s="27">
        <v>7.5050925806863233E-4</v>
      </c>
      <c r="S882" s="2">
        <v>0</v>
      </c>
      <c r="T882" s="2" t="s">
        <v>36</v>
      </c>
      <c r="U882" s="2" t="s">
        <v>37</v>
      </c>
      <c r="V882" s="2" t="s">
        <v>38</v>
      </c>
      <c r="W882" s="2" t="s">
        <v>35</v>
      </c>
      <c r="X882" s="2" t="s">
        <v>35</v>
      </c>
      <c r="Y882" s="2" t="s">
        <v>35</v>
      </c>
      <c r="Z882" s="2" t="b">
        <v>0</v>
      </c>
      <c r="AA882" s="2" t="s">
        <v>2697</v>
      </c>
      <c r="AB882" s="2" t="s">
        <v>35</v>
      </c>
      <c r="AC882" s="2" t="s">
        <v>35</v>
      </c>
      <c r="AD882" s="2" t="s">
        <v>35</v>
      </c>
      <c r="AE882" s="2" t="s">
        <v>2840</v>
      </c>
      <c r="AF882" s="11">
        <v>44762.350694444445</v>
      </c>
      <c r="AG882" s="53"/>
      <c r="AH882" s="53" t="b">
        <f t="shared" si="18"/>
        <v>0</v>
      </c>
      <c r="AI882" s="54" t="s">
        <v>10597</v>
      </c>
      <c r="AJ882" s="2"/>
      <c r="AK882" s="2"/>
      <c r="AL882" s="2"/>
      <c r="AM882" s="2"/>
      <c r="AN882" s="2"/>
    </row>
    <row r="883" spans="1:40" ht="16" x14ac:dyDescent="0.2">
      <c r="A883" s="2" t="s">
        <v>3033</v>
      </c>
      <c r="B883" s="2">
        <v>940</v>
      </c>
      <c r="C883" s="2" t="b">
        <v>0</v>
      </c>
      <c r="D883" s="2" t="b">
        <v>0</v>
      </c>
      <c r="E883" s="2" t="b">
        <v>0</v>
      </c>
      <c r="F883" s="2" t="b">
        <v>0</v>
      </c>
      <c r="G883" s="2" t="s">
        <v>31</v>
      </c>
      <c r="H883" s="2" t="s">
        <v>3034</v>
      </c>
      <c r="I883" s="2" t="s">
        <v>3035</v>
      </c>
      <c r="J883" s="2" t="s">
        <v>1275</v>
      </c>
      <c r="K883" s="2" t="s">
        <v>35</v>
      </c>
      <c r="L883" s="2" t="s">
        <v>35</v>
      </c>
      <c r="M883" s="2" t="s">
        <v>35</v>
      </c>
      <c r="N883" s="2" t="s">
        <v>35</v>
      </c>
      <c r="O883" s="11">
        <v>44762.411712094909</v>
      </c>
      <c r="P883" s="11">
        <v>44762.411981666664</v>
      </c>
      <c r="Q883" s="27">
        <v>2.6957175577990711E-4</v>
      </c>
      <c r="R883" s="27">
        <v>5.4226273132371716E-3</v>
      </c>
      <c r="S883" s="2">
        <v>0</v>
      </c>
      <c r="T883" s="2" t="s">
        <v>36</v>
      </c>
      <c r="U883" s="2" t="s">
        <v>37</v>
      </c>
      <c r="V883" s="2" t="s">
        <v>38</v>
      </c>
      <c r="W883" s="2" t="s">
        <v>35</v>
      </c>
      <c r="X883" s="2" t="s">
        <v>35</v>
      </c>
      <c r="Y883" s="2" t="s">
        <v>35</v>
      </c>
      <c r="Z883" s="2" t="b">
        <v>0</v>
      </c>
      <c r="AA883" s="2" t="s">
        <v>35</v>
      </c>
      <c r="AB883" s="2" t="s">
        <v>35</v>
      </c>
      <c r="AC883" s="2">
        <v>4</v>
      </c>
      <c r="AD883" s="2" t="s">
        <v>35</v>
      </c>
      <c r="AE883" s="2" t="s">
        <v>2840</v>
      </c>
      <c r="AF883" s="11">
        <v>44762.350694444445</v>
      </c>
      <c r="AG883" s="53"/>
      <c r="AH883" s="53" t="b">
        <f t="shared" si="18"/>
        <v>0</v>
      </c>
      <c r="AI883" s="54" t="s">
        <v>10598</v>
      </c>
      <c r="AJ883" s="2"/>
      <c r="AK883" s="2"/>
      <c r="AL883" s="2"/>
      <c r="AM883" s="2"/>
      <c r="AN883" s="2"/>
    </row>
    <row r="884" spans="1:40" ht="16" x14ac:dyDescent="0.2">
      <c r="A884" s="2" t="s">
        <v>3036</v>
      </c>
      <c r="B884" s="2">
        <v>941</v>
      </c>
      <c r="C884" s="2" t="b">
        <v>0</v>
      </c>
      <c r="D884" s="2" t="b">
        <v>0</v>
      </c>
      <c r="E884" s="2" t="b">
        <v>0</v>
      </c>
      <c r="F884" s="2" t="b">
        <v>0</v>
      </c>
      <c r="G884" s="2" t="s">
        <v>31</v>
      </c>
      <c r="H884" s="2" t="s">
        <v>3037</v>
      </c>
      <c r="I884" s="2" t="s">
        <v>3038</v>
      </c>
      <c r="J884" s="2" t="s">
        <v>35</v>
      </c>
      <c r="K884" s="2" t="s">
        <v>35</v>
      </c>
      <c r="L884" s="2" t="s">
        <v>35</v>
      </c>
      <c r="M884" s="2" t="s">
        <v>35</v>
      </c>
      <c r="N884" s="2" t="s">
        <v>35</v>
      </c>
      <c r="O884" s="11">
        <v>44762.412477002312</v>
      </c>
      <c r="P884" s="11">
        <v>44762.412743842593</v>
      </c>
      <c r="Q884" s="27">
        <v>2.6684028125600889E-4</v>
      </c>
      <c r="R884" s="27">
        <v>7.6217592868488282E-4</v>
      </c>
      <c r="S884" s="2">
        <v>0</v>
      </c>
      <c r="T884" s="2" t="s">
        <v>36</v>
      </c>
      <c r="U884" s="2" t="s">
        <v>37</v>
      </c>
      <c r="V884" s="2" t="s">
        <v>38</v>
      </c>
      <c r="W884" s="2" t="s">
        <v>35</v>
      </c>
      <c r="X884" s="2" t="s">
        <v>35</v>
      </c>
      <c r="Y884" s="2" t="s">
        <v>35</v>
      </c>
      <c r="Z884" s="2" t="b">
        <v>0</v>
      </c>
      <c r="AA884" s="2" t="s">
        <v>35</v>
      </c>
      <c r="AB884" s="2" t="s">
        <v>35</v>
      </c>
      <c r="AC884" s="2" t="s">
        <v>35</v>
      </c>
      <c r="AD884" s="2">
        <v>3</v>
      </c>
      <c r="AE884" s="2" t="s">
        <v>2840</v>
      </c>
      <c r="AF884" s="11">
        <v>44762.350694444445</v>
      </c>
      <c r="AG884" s="53"/>
      <c r="AH884" s="53" t="b">
        <f t="shared" si="18"/>
        <v>0</v>
      </c>
      <c r="AI884" s="54" t="s">
        <v>10599</v>
      </c>
      <c r="AJ884" s="2"/>
      <c r="AK884" s="2"/>
      <c r="AL884" s="2"/>
      <c r="AM884" s="2"/>
      <c r="AN884" s="2"/>
    </row>
    <row r="885" spans="1:40" ht="16" x14ac:dyDescent="0.2">
      <c r="A885" s="2" t="s">
        <v>3048</v>
      </c>
      <c r="B885" s="2">
        <v>945</v>
      </c>
      <c r="C885" s="2" t="b">
        <v>0</v>
      </c>
      <c r="D885" s="2" t="b">
        <v>0</v>
      </c>
      <c r="E885" s="2" t="b">
        <v>0</v>
      </c>
      <c r="F885" s="2" t="b">
        <v>0</v>
      </c>
      <c r="G885" s="2" t="s">
        <v>31</v>
      </c>
      <c r="H885" s="2" t="s">
        <v>3049</v>
      </c>
      <c r="I885" s="2" t="s">
        <v>3050</v>
      </c>
      <c r="J885" s="2" t="s">
        <v>3051</v>
      </c>
      <c r="K885" s="2" t="s">
        <v>35</v>
      </c>
      <c r="L885" s="2" t="s">
        <v>35</v>
      </c>
      <c r="M885" s="2" t="s">
        <v>35</v>
      </c>
      <c r="N885" s="2" t="s">
        <v>35</v>
      </c>
      <c r="O885" s="11">
        <v>44762.414184212961</v>
      </c>
      <c r="P885" s="11">
        <v>44762.414817881945</v>
      </c>
      <c r="Q885" s="27">
        <v>6.3366898393724114E-4</v>
      </c>
      <c r="R885" s="27">
        <v>9.4421296671498567E-4</v>
      </c>
      <c r="S885" s="2">
        <v>0</v>
      </c>
      <c r="T885" s="2" t="s">
        <v>36</v>
      </c>
      <c r="U885" s="2" t="s">
        <v>37</v>
      </c>
      <c r="V885" s="2" t="s">
        <v>38</v>
      </c>
      <c r="W885" s="2" t="s">
        <v>35</v>
      </c>
      <c r="X885" s="2" t="s">
        <v>35</v>
      </c>
      <c r="Y885" s="2" t="s">
        <v>35</v>
      </c>
      <c r="Z885" s="2" t="b">
        <v>0</v>
      </c>
      <c r="AA885" s="2" t="s">
        <v>35</v>
      </c>
      <c r="AB885" s="2" t="s">
        <v>35</v>
      </c>
      <c r="AC885" s="2">
        <v>10</v>
      </c>
      <c r="AD885" s="2" t="s">
        <v>35</v>
      </c>
      <c r="AE885" s="2" t="s">
        <v>2840</v>
      </c>
      <c r="AF885" s="11">
        <v>44762.350694444445</v>
      </c>
      <c r="AG885" s="53"/>
      <c r="AH885" s="53" t="b">
        <f t="shared" si="18"/>
        <v>0</v>
      </c>
      <c r="AI885" s="54" t="s">
        <v>10600</v>
      </c>
      <c r="AJ885" s="2"/>
      <c r="AK885" s="2"/>
      <c r="AL885" s="2"/>
      <c r="AM885" s="2"/>
      <c r="AN885" s="2"/>
    </row>
    <row r="886" spans="1:40" ht="16" x14ac:dyDescent="0.2">
      <c r="A886" s="2" t="s">
        <v>3052</v>
      </c>
      <c r="B886" s="2">
        <v>946</v>
      </c>
      <c r="C886" s="2" t="b">
        <v>0</v>
      </c>
      <c r="D886" s="2" t="b">
        <v>0</v>
      </c>
      <c r="E886" s="2" t="b">
        <v>0</v>
      </c>
      <c r="F886" s="2" t="b">
        <v>0</v>
      </c>
      <c r="G886" s="2" t="s">
        <v>31</v>
      </c>
      <c r="H886" s="2" t="s">
        <v>3053</v>
      </c>
      <c r="I886" s="2" t="s">
        <v>3054</v>
      </c>
      <c r="J886" s="2" t="s">
        <v>3055</v>
      </c>
      <c r="K886" s="2" t="s">
        <v>35</v>
      </c>
      <c r="L886" s="2" t="s">
        <v>35</v>
      </c>
      <c r="M886" s="2" t="s">
        <v>35</v>
      </c>
      <c r="N886" s="2" t="s">
        <v>35</v>
      </c>
      <c r="O886" s="11">
        <v>44762.41934630787</v>
      </c>
      <c r="P886" s="11">
        <v>44762.419680914354</v>
      </c>
      <c r="Q886" s="27">
        <v>3.3460648410255089E-4</v>
      </c>
      <c r="R886" s="27">
        <v>4.8630324090481736E-3</v>
      </c>
      <c r="S886" s="2">
        <v>0</v>
      </c>
      <c r="T886" s="2" t="s">
        <v>36</v>
      </c>
      <c r="U886" s="2" t="s">
        <v>37</v>
      </c>
      <c r="V886" s="2" t="s">
        <v>38</v>
      </c>
      <c r="W886" s="2" t="s">
        <v>35</v>
      </c>
      <c r="X886" s="2" t="s">
        <v>35</v>
      </c>
      <c r="Y886" s="2" t="s">
        <v>35</v>
      </c>
      <c r="Z886" s="2" t="b">
        <v>0</v>
      </c>
      <c r="AA886" s="2" t="s">
        <v>35</v>
      </c>
      <c r="AB886" s="2" t="s">
        <v>35</v>
      </c>
      <c r="AC886" s="2">
        <v>5</v>
      </c>
      <c r="AD886" s="2" t="s">
        <v>35</v>
      </c>
      <c r="AE886" s="2" t="s">
        <v>2840</v>
      </c>
      <c r="AF886" s="11">
        <v>44762.350694444445</v>
      </c>
      <c r="AG886" s="53"/>
      <c r="AH886" s="53" t="b">
        <f t="shared" si="18"/>
        <v>0</v>
      </c>
      <c r="AI886" s="54" t="s">
        <v>10601</v>
      </c>
      <c r="AJ886" s="2"/>
      <c r="AK886" s="2"/>
      <c r="AL886" s="2"/>
      <c r="AM886" s="2"/>
      <c r="AN886" s="2"/>
    </row>
    <row r="887" spans="1:40" ht="16" x14ac:dyDescent="0.2">
      <c r="A887" s="2" t="s">
        <v>3056</v>
      </c>
      <c r="B887" s="2">
        <v>947</v>
      </c>
      <c r="C887" s="2" t="b">
        <v>0</v>
      </c>
      <c r="D887" s="2" t="b">
        <v>0</v>
      </c>
      <c r="E887" s="2" t="b">
        <v>0</v>
      </c>
      <c r="F887" s="2" t="b">
        <v>0</v>
      </c>
      <c r="G887" s="2" t="s">
        <v>31</v>
      </c>
      <c r="H887" s="2" t="s">
        <v>3057</v>
      </c>
      <c r="I887" s="2" t="s">
        <v>3058</v>
      </c>
      <c r="J887" s="2" t="s">
        <v>662</v>
      </c>
      <c r="K887" s="2" t="s">
        <v>35</v>
      </c>
      <c r="L887" s="2" t="s">
        <v>35</v>
      </c>
      <c r="M887" s="2" t="s">
        <v>35</v>
      </c>
      <c r="N887" s="2" t="s">
        <v>35</v>
      </c>
      <c r="O887" s="11">
        <v>44762.42010275463</v>
      </c>
      <c r="P887" s="11">
        <v>44762.420356423609</v>
      </c>
      <c r="Q887" s="27">
        <v>2.5366897898493335E-4</v>
      </c>
      <c r="R887" s="27">
        <v>6.7550925450632349E-4</v>
      </c>
      <c r="S887" s="2">
        <v>0</v>
      </c>
      <c r="T887" s="2" t="s">
        <v>36</v>
      </c>
      <c r="U887" s="2" t="s">
        <v>37</v>
      </c>
      <c r="V887" s="2" t="s">
        <v>38</v>
      </c>
      <c r="W887" s="2" t="s">
        <v>35</v>
      </c>
      <c r="X887" s="2" t="s">
        <v>35</v>
      </c>
      <c r="Y887" s="2" t="s">
        <v>35</v>
      </c>
      <c r="Z887" s="2" t="b">
        <v>0</v>
      </c>
      <c r="AA887" s="2" t="s">
        <v>35</v>
      </c>
      <c r="AB887" s="2" t="s">
        <v>35</v>
      </c>
      <c r="AC887" s="2">
        <v>6</v>
      </c>
      <c r="AD887" s="2" t="s">
        <v>35</v>
      </c>
      <c r="AE887" s="2" t="s">
        <v>2840</v>
      </c>
      <c r="AF887" s="11">
        <v>44762.350694444445</v>
      </c>
      <c r="AG887" s="53"/>
      <c r="AH887" s="53" t="b">
        <f t="shared" si="18"/>
        <v>0</v>
      </c>
      <c r="AI887" s="54" t="s">
        <v>9511</v>
      </c>
      <c r="AJ887" s="2"/>
      <c r="AK887" s="2"/>
      <c r="AL887" s="2"/>
      <c r="AM887" s="2"/>
      <c r="AN887" s="2"/>
    </row>
    <row r="888" spans="1:40" ht="16" x14ac:dyDescent="0.2">
      <c r="A888" s="2" t="s">
        <v>3059</v>
      </c>
      <c r="B888" s="2">
        <v>948</v>
      </c>
      <c r="C888" s="2" t="b">
        <v>0</v>
      </c>
      <c r="D888" s="2" t="b">
        <v>0</v>
      </c>
      <c r="E888" s="2" t="b">
        <v>0</v>
      </c>
      <c r="F888" s="2" t="b">
        <v>0</v>
      </c>
      <c r="G888" s="2" t="s">
        <v>31</v>
      </c>
      <c r="H888" s="2" t="s">
        <v>3060</v>
      </c>
      <c r="I888" s="2" t="s">
        <v>3061</v>
      </c>
      <c r="J888" s="2" t="s">
        <v>3062</v>
      </c>
      <c r="K888" s="2" t="s">
        <v>35</v>
      </c>
      <c r="L888" s="2" t="s">
        <v>35</v>
      </c>
      <c r="M888" s="2" t="s">
        <v>35</v>
      </c>
      <c r="N888" s="2" t="s">
        <v>35</v>
      </c>
      <c r="O888" s="11">
        <v>44762.420964699071</v>
      </c>
      <c r="P888" s="11">
        <v>44762.421394884259</v>
      </c>
      <c r="Q888" s="27">
        <v>4.3018518772441894E-4</v>
      </c>
      <c r="R888" s="27">
        <v>1.0384606503066607E-3</v>
      </c>
      <c r="S888" s="2">
        <v>0</v>
      </c>
      <c r="T888" s="2" t="s">
        <v>36</v>
      </c>
      <c r="U888" s="2" t="s">
        <v>37</v>
      </c>
      <c r="V888" s="2" t="s">
        <v>38</v>
      </c>
      <c r="W888" s="2" t="s">
        <v>35</v>
      </c>
      <c r="X888" s="2" t="s">
        <v>35</v>
      </c>
      <c r="Y888" s="2" t="s">
        <v>35</v>
      </c>
      <c r="Z888" s="2" t="b">
        <v>0</v>
      </c>
      <c r="AA888" s="2" t="s">
        <v>35</v>
      </c>
      <c r="AB888" s="2" t="s">
        <v>35</v>
      </c>
      <c r="AC888" s="2">
        <v>6</v>
      </c>
      <c r="AD888" s="2" t="s">
        <v>35</v>
      </c>
      <c r="AE888" s="2" t="s">
        <v>2840</v>
      </c>
      <c r="AF888" s="11">
        <v>44762.350694444445</v>
      </c>
      <c r="AG888" s="53"/>
      <c r="AH888" s="53" t="b">
        <f t="shared" si="18"/>
        <v>0</v>
      </c>
      <c r="AI888" s="54" t="s">
        <v>10602</v>
      </c>
      <c r="AJ888" s="2"/>
      <c r="AK888" s="2"/>
      <c r="AL888" s="2"/>
      <c r="AM888" s="2"/>
      <c r="AN888" s="2"/>
    </row>
    <row r="889" spans="1:40" ht="16" x14ac:dyDescent="0.2">
      <c r="A889" s="68" t="s">
        <v>3063</v>
      </c>
      <c r="B889" s="68">
        <v>949</v>
      </c>
      <c r="C889" s="68" t="b">
        <v>0</v>
      </c>
      <c r="D889" s="68" t="b">
        <v>0</v>
      </c>
      <c r="E889" s="68" t="b">
        <v>0</v>
      </c>
      <c r="F889" s="68" t="b">
        <v>0</v>
      </c>
      <c r="G889" s="68" t="s">
        <v>31</v>
      </c>
      <c r="H889" s="68" t="s">
        <v>149</v>
      </c>
      <c r="I889" s="68" t="s">
        <v>3064</v>
      </c>
      <c r="J889" s="68" t="s">
        <v>662</v>
      </c>
      <c r="K889" s="68" t="s">
        <v>35</v>
      </c>
      <c r="L889" s="68" t="s">
        <v>35</v>
      </c>
      <c r="M889" s="68" t="s">
        <v>35</v>
      </c>
      <c r="N889" s="68" t="s">
        <v>35</v>
      </c>
      <c r="O889" s="69">
        <v>44762.421660057873</v>
      </c>
      <c r="P889" s="69">
        <v>44762.422000983795</v>
      </c>
      <c r="Q889" s="70">
        <v>3.4092592250090092E-4</v>
      </c>
      <c r="R889" s="70">
        <v>6.0609953652601689E-4</v>
      </c>
      <c r="S889" s="68">
        <v>0</v>
      </c>
      <c r="T889" s="68" t="s">
        <v>36</v>
      </c>
      <c r="U889" s="68" t="s">
        <v>37</v>
      </c>
      <c r="V889" s="68" t="s">
        <v>38</v>
      </c>
      <c r="W889" s="68" t="s">
        <v>35</v>
      </c>
      <c r="X889" s="68" t="s">
        <v>35</v>
      </c>
      <c r="Y889" s="68" t="s">
        <v>35</v>
      </c>
      <c r="Z889" s="68" t="b">
        <v>0</v>
      </c>
      <c r="AA889" s="68" t="s">
        <v>35</v>
      </c>
      <c r="AB889" s="68" t="s">
        <v>35</v>
      </c>
      <c r="AC889" s="68">
        <v>5</v>
      </c>
      <c r="AD889" s="68" t="s">
        <v>35</v>
      </c>
      <c r="AE889" s="68" t="s">
        <v>2840</v>
      </c>
      <c r="AF889" s="69">
        <v>44762.350694444445</v>
      </c>
      <c r="AG889" s="71"/>
      <c r="AH889" s="53" t="b">
        <f t="shared" si="18"/>
        <v>0</v>
      </c>
      <c r="AI889" s="56" t="s">
        <v>35</v>
      </c>
      <c r="AJ889" s="68"/>
      <c r="AK889" s="68"/>
      <c r="AL889" s="68"/>
      <c r="AM889" s="68"/>
      <c r="AN889" s="68"/>
    </row>
    <row r="890" spans="1:40" ht="16" x14ac:dyDescent="0.2">
      <c r="A890" s="2" t="s">
        <v>3068</v>
      </c>
      <c r="B890" s="2">
        <v>951</v>
      </c>
      <c r="C890" s="2" t="b">
        <v>0</v>
      </c>
      <c r="D890" s="2" t="b">
        <v>0</v>
      </c>
      <c r="E890" s="2" t="b">
        <v>0</v>
      </c>
      <c r="F890" s="2" t="b">
        <v>0</v>
      </c>
      <c r="G890" s="2" t="s">
        <v>31</v>
      </c>
      <c r="H890" s="2" t="s">
        <v>3069</v>
      </c>
      <c r="I890" s="2" t="s">
        <v>3070</v>
      </c>
      <c r="J890" s="2" t="s">
        <v>3071</v>
      </c>
      <c r="K890" s="2" t="s">
        <v>35</v>
      </c>
      <c r="L890" s="2" t="s">
        <v>35</v>
      </c>
      <c r="M890" s="2" t="s">
        <v>35</v>
      </c>
      <c r="N890" s="2" t="s">
        <v>35</v>
      </c>
      <c r="O890" s="11">
        <v>44762.424044409723</v>
      </c>
      <c r="P890" s="11">
        <v>44762.424361770834</v>
      </c>
      <c r="Q890" s="27">
        <v>3.1736111122881994E-4</v>
      </c>
      <c r="R890" s="27">
        <v>6.7076388950226828E-4</v>
      </c>
      <c r="S890" s="2">
        <v>0</v>
      </c>
      <c r="T890" s="2" t="s">
        <v>36</v>
      </c>
      <c r="U890" s="2" t="s">
        <v>37</v>
      </c>
      <c r="V890" s="2" t="s">
        <v>38</v>
      </c>
      <c r="W890" s="2" t="s">
        <v>35</v>
      </c>
      <c r="X890" s="2" t="s">
        <v>35</v>
      </c>
      <c r="Y890" s="2" t="s">
        <v>35</v>
      </c>
      <c r="Z890" s="2" t="b">
        <v>0</v>
      </c>
      <c r="AA890" s="2" t="s">
        <v>35</v>
      </c>
      <c r="AB890" s="2" t="s">
        <v>35</v>
      </c>
      <c r="AC890" s="2">
        <v>4</v>
      </c>
      <c r="AD890" s="2" t="s">
        <v>35</v>
      </c>
      <c r="AE890" s="2" t="s">
        <v>2840</v>
      </c>
      <c r="AF890" s="11">
        <v>44762.350694444445</v>
      </c>
      <c r="AG890" s="53"/>
      <c r="AH890" s="53" t="b">
        <f t="shared" si="18"/>
        <v>0</v>
      </c>
      <c r="AI890" s="54" t="s">
        <v>10603</v>
      </c>
      <c r="AJ890" s="2"/>
      <c r="AK890" s="2"/>
      <c r="AL890" s="2"/>
      <c r="AM890" s="2"/>
      <c r="AN890" s="2"/>
    </row>
    <row r="891" spans="1:40" ht="16" x14ac:dyDescent="0.2">
      <c r="A891" s="2" t="s">
        <v>3072</v>
      </c>
      <c r="B891" s="2">
        <v>952</v>
      </c>
      <c r="C891" s="2" t="b">
        <v>0</v>
      </c>
      <c r="D891" s="2" t="b">
        <v>0</v>
      </c>
      <c r="E891" s="2" t="b">
        <v>0</v>
      </c>
      <c r="F891" s="2" t="b">
        <v>0</v>
      </c>
      <c r="G891" s="2" t="s">
        <v>31</v>
      </c>
      <c r="H891" s="2" t="s">
        <v>3073</v>
      </c>
      <c r="I891" s="2" t="s">
        <v>3074</v>
      </c>
      <c r="J891" s="2" t="s">
        <v>662</v>
      </c>
      <c r="K891" s="2" t="s">
        <v>35</v>
      </c>
      <c r="L891" s="2" t="s">
        <v>35</v>
      </c>
      <c r="M891" s="2" t="s">
        <v>35</v>
      </c>
      <c r="N891" s="2" t="s">
        <v>35</v>
      </c>
      <c r="O891" s="11">
        <v>44762.425104131944</v>
      </c>
      <c r="P891" s="11">
        <v>44762.425427881943</v>
      </c>
      <c r="Q891" s="27">
        <v>3.2374999864259735E-4</v>
      </c>
      <c r="R891" s="27">
        <v>1.0661111082299612E-3</v>
      </c>
      <c r="S891" s="2">
        <v>0</v>
      </c>
      <c r="T891" s="2" t="s">
        <v>36</v>
      </c>
      <c r="U891" s="2" t="s">
        <v>37</v>
      </c>
      <c r="V891" s="2" t="s">
        <v>38</v>
      </c>
      <c r="W891" s="2" t="s">
        <v>35</v>
      </c>
      <c r="X891" s="2" t="s">
        <v>35</v>
      </c>
      <c r="Y891" s="2" t="s">
        <v>35</v>
      </c>
      <c r="Z891" s="2" t="b">
        <v>0</v>
      </c>
      <c r="AA891" s="2" t="s">
        <v>35</v>
      </c>
      <c r="AB891" s="2" t="s">
        <v>35</v>
      </c>
      <c r="AC891" s="2">
        <v>4</v>
      </c>
      <c r="AD891" s="2" t="s">
        <v>35</v>
      </c>
      <c r="AE891" s="2" t="s">
        <v>2840</v>
      </c>
      <c r="AF891" s="11">
        <v>44762.350694444445</v>
      </c>
      <c r="AG891" s="53"/>
      <c r="AH891" s="53" t="b">
        <f t="shared" si="18"/>
        <v>0</v>
      </c>
      <c r="AI891" s="54" t="s">
        <v>10604</v>
      </c>
      <c r="AJ891" s="2"/>
      <c r="AK891" s="2"/>
      <c r="AL891" s="2"/>
      <c r="AM891" s="2"/>
      <c r="AN891" s="2"/>
    </row>
    <row r="892" spans="1:40" ht="16" x14ac:dyDescent="0.2">
      <c r="A892" s="2" t="s">
        <v>3075</v>
      </c>
      <c r="B892" s="2">
        <v>953</v>
      </c>
      <c r="C892" s="2" t="b">
        <v>0</v>
      </c>
      <c r="D892" s="2" t="b">
        <v>0</v>
      </c>
      <c r="E892" s="2" t="b">
        <v>0</v>
      </c>
      <c r="F892" s="2" t="b">
        <v>0</v>
      </c>
      <c r="G892" s="2" t="s">
        <v>31</v>
      </c>
      <c r="H892" s="2" t="s">
        <v>3076</v>
      </c>
      <c r="I892" s="2" t="s">
        <v>3077</v>
      </c>
      <c r="J892" s="2" t="s">
        <v>662</v>
      </c>
      <c r="K892" s="2" t="s">
        <v>35</v>
      </c>
      <c r="L892" s="2" t="s">
        <v>35</v>
      </c>
      <c r="M892" s="2" t="s">
        <v>35</v>
      </c>
      <c r="N892" s="2" t="s">
        <v>35</v>
      </c>
      <c r="O892" s="11">
        <v>44762.426337523146</v>
      </c>
      <c r="P892" s="11">
        <v>44762.426684282407</v>
      </c>
      <c r="Q892" s="27">
        <v>3.4675926144700497E-4</v>
      </c>
      <c r="R892" s="27">
        <v>1.2564004646264948E-3</v>
      </c>
      <c r="S892" s="2">
        <v>0</v>
      </c>
      <c r="T892" s="2" t="s">
        <v>36</v>
      </c>
      <c r="U892" s="2" t="s">
        <v>37</v>
      </c>
      <c r="V892" s="2" t="s">
        <v>38</v>
      </c>
      <c r="W892" s="2" t="s">
        <v>35</v>
      </c>
      <c r="X892" s="2" t="s">
        <v>35</v>
      </c>
      <c r="Y892" s="2" t="s">
        <v>35</v>
      </c>
      <c r="Z892" s="2" t="b">
        <v>0</v>
      </c>
      <c r="AA892" s="2" t="s">
        <v>35</v>
      </c>
      <c r="AB892" s="2" t="s">
        <v>35</v>
      </c>
      <c r="AC892" s="2">
        <v>14</v>
      </c>
      <c r="AD892" s="2" t="s">
        <v>35</v>
      </c>
      <c r="AE892" s="2" t="s">
        <v>2840</v>
      </c>
      <c r="AF892" s="11">
        <v>44762.350694444445</v>
      </c>
      <c r="AG892" s="53"/>
      <c r="AH892" s="53" t="b">
        <f t="shared" si="18"/>
        <v>0</v>
      </c>
      <c r="AI892" s="54" t="s">
        <v>10605</v>
      </c>
      <c r="AJ892" s="2"/>
      <c r="AK892" s="2"/>
      <c r="AL892" s="2"/>
      <c r="AM892" s="2"/>
      <c r="AN892" s="2"/>
    </row>
    <row r="893" spans="1:40" ht="16" x14ac:dyDescent="0.2">
      <c r="A893" s="2" t="s">
        <v>3078</v>
      </c>
      <c r="B893" s="2">
        <v>954</v>
      </c>
      <c r="C893" s="2" t="b">
        <v>0</v>
      </c>
      <c r="D893" s="2" t="b">
        <v>0</v>
      </c>
      <c r="E893" s="2" t="b">
        <v>0</v>
      </c>
      <c r="F893" s="2" t="b">
        <v>0</v>
      </c>
      <c r="G893" s="2" t="s">
        <v>31</v>
      </c>
      <c r="H893" s="2" t="s">
        <v>3079</v>
      </c>
      <c r="I893" s="2" t="s">
        <v>3080</v>
      </c>
      <c r="J893" s="2" t="s">
        <v>662</v>
      </c>
      <c r="K893" s="2" t="s">
        <v>35</v>
      </c>
      <c r="L893" s="2" t="s">
        <v>35</v>
      </c>
      <c r="M893" s="2" t="s">
        <v>35</v>
      </c>
      <c r="N893" s="2" t="s">
        <v>35</v>
      </c>
      <c r="O893" s="11">
        <v>44762.427332997686</v>
      </c>
      <c r="P893" s="11">
        <v>44762.427805300926</v>
      </c>
      <c r="Q893" s="27">
        <v>4.7230323980329558E-4</v>
      </c>
      <c r="R893" s="27">
        <v>1.1210185184609145E-3</v>
      </c>
      <c r="S893" s="2">
        <v>0</v>
      </c>
      <c r="T893" s="2" t="s">
        <v>36</v>
      </c>
      <c r="U893" s="2" t="s">
        <v>37</v>
      </c>
      <c r="V893" s="2" t="s">
        <v>38</v>
      </c>
      <c r="W893" s="2" t="s">
        <v>35</v>
      </c>
      <c r="X893" s="2" t="s">
        <v>35</v>
      </c>
      <c r="Y893" s="2" t="s">
        <v>35</v>
      </c>
      <c r="Z893" s="2" t="b">
        <v>0</v>
      </c>
      <c r="AA893" s="2" t="s">
        <v>35</v>
      </c>
      <c r="AB893" s="2" t="s">
        <v>35</v>
      </c>
      <c r="AC893" s="2">
        <v>11</v>
      </c>
      <c r="AD893" s="2" t="s">
        <v>35</v>
      </c>
      <c r="AE893" s="2" t="s">
        <v>2840</v>
      </c>
      <c r="AF893" s="11">
        <v>44762.350694444445</v>
      </c>
      <c r="AG893" s="53"/>
      <c r="AH893" s="53" t="b">
        <f t="shared" si="18"/>
        <v>0</v>
      </c>
      <c r="AI893" s="54" t="s">
        <v>10606</v>
      </c>
      <c r="AJ893" s="2"/>
      <c r="AK893" s="2"/>
      <c r="AL893" s="2"/>
      <c r="AM893" s="2"/>
      <c r="AN893" s="2"/>
    </row>
    <row r="894" spans="1:40" ht="16" x14ac:dyDescent="0.2">
      <c r="A894" s="2" t="s">
        <v>3084</v>
      </c>
      <c r="B894" s="2">
        <v>956</v>
      </c>
      <c r="C894" s="2" t="b">
        <v>0</v>
      </c>
      <c r="D894" s="2" t="b">
        <v>0</v>
      </c>
      <c r="E894" s="2" t="b">
        <v>0</v>
      </c>
      <c r="F894" s="2" t="b">
        <v>0</v>
      </c>
      <c r="G894" s="2" t="s">
        <v>31</v>
      </c>
      <c r="H894" s="2" t="s">
        <v>3085</v>
      </c>
      <c r="I894" s="2" t="s">
        <v>3086</v>
      </c>
      <c r="J894" s="2" t="s">
        <v>662</v>
      </c>
      <c r="K894" s="2" t="s">
        <v>35</v>
      </c>
      <c r="L894" s="2" t="s">
        <v>35</v>
      </c>
      <c r="M894" s="2" t="s">
        <v>35</v>
      </c>
      <c r="N894" s="2" t="s">
        <v>35</v>
      </c>
      <c r="O894" s="11">
        <v>44762.4290734838</v>
      </c>
      <c r="P894" s="11">
        <v>44762.429425520837</v>
      </c>
      <c r="Q894" s="27">
        <v>3.5203703737352043E-4</v>
      </c>
      <c r="R894" s="27">
        <v>6.2960648210719228E-4</v>
      </c>
      <c r="S894" s="2">
        <v>0</v>
      </c>
      <c r="T894" s="2" t="s">
        <v>36</v>
      </c>
      <c r="U894" s="2" t="s">
        <v>37</v>
      </c>
      <c r="V894" s="2" t="s">
        <v>38</v>
      </c>
      <c r="W894" s="2" t="s">
        <v>35</v>
      </c>
      <c r="X894" s="2" t="s">
        <v>35</v>
      </c>
      <c r="Y894" s="2" t="s">
        <v>35</v>
      </c>
      <c r="Z894" s="2" t="b">
        <v>0</v>
      </c>
      <c r="AA894" s="2" t="s">
        <v>35</v>
      </c>
      <c r="AB894" s="2" t="s">
        <v>35</v>
      </c>
      <c r="AC894" s="2">
        <v>8</v>
      </c>
      <c r="AD894" s="2" t="s">
        <v>35</v>
      </c>
      <c r="AE894" s="2" t="s">
        <v>2840</v>
      </c>
      <c r="AF894" s="11">
        <v>44762.350694444445</v>
      </c>
      <c r="AG894" s="53"/>
      <c r="AH894" s="53" t="b">
        <f t="shared" si="18"/>
        <v>0</v>
      </c>
      <c r="AI894" s="54" t="s">
        <v>10607</v>
      </c>
      <c r="AJ894" s="2"/>
      <c r="AK894" s="2"/>
      <c r="AL894" s="2"/>
      <c r="AM894" s="2"/>
      <c r="AN894" s="2"/>
    </row>
    <row r="895" spans="1:40" ht="16" x14ac:dyDescent="0.2">
      <c r="A895" s="2" t="s">
        <v>3087</v>
      </c>
      <c r="B895" s="2">
        <v>957</v>
      </c>
      <c r="C895" s="2" t="b">
        <v>0</v>
      </c>
      <c r="D895" s="2" t="b">
        <v>0</v>
      </c>
      <c r="E895" s="2" t="b">
        <v>0</v>
      </c>
      <c r="F895" s="2" t="b">
        <v>0</v>
      </c>
      <c r="G895" s="2" t="s">
        <v>31</v>
      </c>
      <c r="H895" s="2" t="s">
        <v>3088</v>
      </c>
      <c r="I895" s="2" t="s">
        <v>3089</v>
      </c>
      <c r="J895" s="2" t="s">
        <v>662</v>
      </c>
      <c r="K895" s="2" t="s">
        <v>35</v>
      </c>
      <c r="L895" s="2" t="s">
        <v>35</v>
      </c>
      <c r="M895" s="2" t="s">
        <v>35</v>
      </c>
      <c r="N895" s="2" t="s">
        <v>35</v>
      </c>
      <c r="O895" s="11">
        <v>44762.430000300927</v>
      </c>
      <c r="P895" s="11">
        <v>44762.430483356482</v>
      </c>
      <c r="Q895" s="27">
        <v>4.8305555537808686E-4</v>
      </c>
      <c r="R895" s="27">
        <v>1.0578356450423598E-3</v>
      </c>
      <c r="S895" s="2">
        <v>0</v>
      </c>
      <c r="T895" s="2" t="s">
        <v>36</v>
      </c>
      <c r="U895" s="2" t="s">
        <v>37</v>
      </c>
      <c r="V895" s="2" t="s">
        <v>38</v>
      </c>
      <c r="W895" s="2" t="s">
        <v>35</v>
      </c>
      <c r="X895" s="2" t="s">
        <v>35</v>
      </c>
      <c r="Y895" s="2" t="s">
        <v>35</v>
      </c>
      <c r="Z895" s="2" t="b">
        <v>0</v>
      </c>
      <c r="AA895" s="2" t="s">
        <v>35</v>
      </c>
      <c r="AB895" s="2" t="s">
        <v>35</v>
      </c>
      <c r="AC895" s="2">
        <v>5</v>
      </c>
      <c r="AD895" s="2" t="s">
        <v>35</v>
      </c>
      <c r="AE895" s="2" t="s">
        <v>2840</v>
      </c>
      <c r="AF895" s="11">
        <v>44762.350694444445</v>
      </c>
      <c r="AG895" s="53"/>
      <c r="AH895" s="53" t="b">
        <f t="shared" si="18"/>
        <v>0</v>
      </c>
      <c r="AI895" s="54" t="s">
        <v>10608</v>
      </c>
      <c r="AJ895" s="2"/>
      <c r="AK895" s="2"/>
      <c r="AL895" s="2"/>
      <c r="AM895" s="2"/>
      <c r="AN895" s="2"/>
    </row>
    <row r="896" spans="1:40" ht="16" x14ac:dyDescent="0.2">
      <c r="A896" s="2" t="s">
        <v>3090</v>
      </c>
      <c r="B896" s="2">
        <v>958</v>
      </c>
      <c r="C896" s="2" t="b">
        <v>0</v>
      </c>
      <c r="D896" s="2" t="b">
        <v>0</v>
      </c>
      <c r="E896" s="2" t="b">
        <v>0</v>
      </c>
      <c r="F896" s="2" t="b">
        <v>0</v>
      </c>
      <c r="G896" s="2" t="s">
        <v>31</v>
      </c>
      <c r="H896" s="2" t="s">
        <v>3091</v>
      </c>
      <c r="I896" s="2" t="s">
        <v>3092</v>
      </c>
      <c r="J896" s="2" t="s">
        <v>662</v>
      </c>
      <c r="K896" s="2" t="s">
        <v>35</v>
      </c>
      <c r="L896" s="2" t="s">
        <v>35</v>
      </c>
      <c r="M896" s="2" t="s">
        <v>35</v>
      </c>
      <c r="N896" s="2" t="s">
        <v>35</v>
      </c>
      <c r="O896" s="11">
        <v>44762.43080934028</v>
      </c>
      <c r="P896" s="11">
        <v>44762.431133981481</v>
      </c>
      <c r="Q896" s="27">
        <v>3.2464120158692822E-4</v>
      </c>
      <c r="R896" s="27">
        <v>6.5062499925261363E-4</v>
      </c>
      <c r="S896" s="2">
        <v>0</v>
      </c>
      <c r="T896" s="2" t="s">
        <v>36</v>
      </c>
      <c r="U896" s="2" t="s">
        <v>37</v>
      </c>
      <c r="V896" s="2" t="s">
        <v>38</v>
      </c>
      <c r="W896" s="2" t="s">
        <v>35</v>
      </c>
      <c r="X896" s="2" t="s">
        <v>35</v>
      </c>
      <c r="Y896" s="2" t="s">
        <v>35</v>
      </c>
      <c r="Z896" s="2" t="b">
        <v>0</v>
      </c>
      <c r="AA896" s="2" t="s">
        <v>35</v>
      </c>
      <c r="AB896" s="2" t="s">
        <v>35</v>
      </c>
      <c r="AC896" s="2">
        <v>6</v>
      </c>
      <c r="AD896" s="2" t="s">
        <v>35</v>
      </c>
      <c r="AE896" s="2" t="s">
        <v>2840</v>
      </c>
      <c r="AF896" s="11">
        <v>44762.350694444445</v>
      </c>
      <c r="AG896" s="53"/>
      <c r="AH896" s="53" t="b">
        <f t="shared" si="18"/>
        <v>0</v>
      </c>
      <c r="AI896" s="54" t="s">
        <v>10609</v>
      </c>
      <c r="AJ896" s="2"/>
      <c r="AK896" s="2"/>
      <c r="AL896" s="2"/>
      <c r="AM896" s="2"/>
      <c r="AN896" s="2"/>
    </row>
    <row r="897" spans="1:40" ht="16" x14ac:dyDescent="0.2">
      <c r="A897" s="2" t="s">
        <v>3093</v>
      </c>
      <c r="B897" s="2">
        <v>959</v>
      </c>
      <c r="C897" s="2" t="b">
        <v>0</v>
      </c>
      <c r="D897" s="2" t="b">
        <v>0</v>
      </c>
      <c r="E897" s="2" t="b">
        <v>0</v>
      </c>
      <c r="F897" s="2" t="b">
        <v>0</v>
      </c>
      <c r="G897" s="2" t="s">
        <v>31</v>
      </c>
      <c r="H897" s="2" t="s">
        <v>3094</v>
      </c>
      <c r="I897" s="2" t="s">
        <v>3095</v>
      </c>
      <c r="J897" s="2" t="s">
        <v>662</v>
      </c>
      <c r="K897" s="2" t="s">
        <v>35</v>
      </c>
      <c r="L897" s="2" t="s">
        <v>35</v>
      </c>
      <c r="M897" s="2" t="s">
        <v>35</v>
      </c>
      <c r="N897" s="2" t="s">
        <v>35</v>
      </c>
      <c r="O897" s="11">
        <v>44762.43211898148</v>
      </c>
      <c r="P897" s="11">
        <v>44762.432391840281</v>
      </c>
      <c r="Q897" s="27">
        <v>2.7285880059935153E-4</v>
      </c>
      <c r="R897" s="27">
        <v>1.2578587993630208E-3</v>
      </c>
      <c r="S897" s="2">
        <v>0</v>
      </c>
      <c r="T897" s="2" t="s">
        <v>36</v>
      </c>
      <c r="U897" s="2" t="s">
        <v>37</v>
      </c>
      <c r="V897" s="2" t="s">
        <v>38</v>
      </c>
      <c r="W897" s="2" t="s">
        <v>35</v>
      </c>
      <c r="X897" s="2" t="s">
        <v>35</v>
      </c>
      <c r="Y897" s="2" t="s">
        <v>35</v>
      </c>
      <c r="Z897" s="2" t="b">
        <v>0</v>
      </c>
      <c r="AA897" s="2" t="s">
        <v>35</v>
      </c>
      <c r="AB897" s="2" t="s">
        <v>35</v>
      </c>
      <c r="AC897" s="2">
        <v>5</v>
      </c>
      <c r="AD897" s="2" t="s">
        <v>35</v>
      </c>
      <c r="AE897" s="2" t="s">
        <v>2840</v>
      </c>
      <c r="AF897" s="11">
        <v>44762.350694444445</v>
      </c>
      <c r="AG897" s="53"/>
      <c r="AH897" s="53" t="b">
        <f t="shared" si="18"/>
        <v>0</v>
      </c>
      <c r="AI897" s="54" t="s">
        <v>10610</v>
      </c>
      <c r="AJ897" s="2"/>
      <c r="AK897" s="2"/>
      <c r="AL897" s="2"/>
      <c r="AM897" s="2"/>
      <c r="AN897" s="2"/>
    </row>
    <row r="898" spans="1:40" ht="16" x14ac:dyDescent="0.2">
      <c r="A898" s="2" t="s">
        <v>3099</v>
      </c>
      <c r="B898" s="2">
        <v>961</v>
      </c>
      <c r="C898" s="2" t="b">
        <v>0</v>
      </c>
      <c r="D898" s="2" t="b">
        <v>0</v>
      </c>
      <c r="E898" s="2" t="b">
        <v>0</v>
      </c>
      <c r="F898" s="2" t="b">
        <v>0</v>
      </c>
      <c r="G898" s="2" t="s">
        <v>31</v>
      </c>
      <c r="H898" s="2" t="s">
        <v>3100</v>
      </c>
      <c r="I898" s="2" t="s">
        <v>3101</v>
      </c>
      <c r="J898" s="2" t="s">
        <v>35</v>
      </c>
      <c r="K898" s="2" t="s">
        <v>35</v>
      </c>
      <c r="L898" s="2" t="s">
        <v>35</v>
      </c>
      <c r="M898" s="2" t="s">
        <v>35</v>
      </c>
      <c r="N898" s="2" t="s">
        <v>35</v>
      </c>
      <c r="O898" s="11">
        <v>44762.433338368057</v>
      </c>
      <c r="P898" s="11">
        <v>44762.433560775462</v>
      </c>
      <c r="Q898" s="27">
        <v>2.2240740509005263E-4</v>
      </c>
      <c r="R898" s="27">
        <v>2.6769675605464727E-4</v>
      </c>
      <c r="S898" s="2">
        <v>0</v>
      </c>
      <c r="T898" s="2" t="s">
        <v>36</v>
      </c>
      <c r="U898" s="2" t="s">
        <v>37</v>
      </c>
      <c r="V898" s="2" t="s">
        <v>38</v>
      </c>
      <c r="W898" s="2" t="s">
        <v>35</v>
      </c>
      <c r="X898" s="2" t="s">
        <v>35</v>
      </c>
      <c r="Y898" s="2" t="s">
        <v>35</v>
      </c>
      <c r="Z898" s="2" t="b">
        <v>0</v>
      </c>
      <c r="AA898" s="2" t="s">
        <v>35</v>
      </c>
      <c r="AB898" s="2" t="s">
        <v>35</v>
      </c>
      <c r="AC898" s="2" t="s">
        <v>35</v>
      </c>
      <c r="AD898" s="2">
        <v>2</v>
      </c>
      <c r="AE898" s="2" t="s">
        <v>2840</v>
      </c>
      <c r="AF898" s="11">
        <v>44762.350694444445</v>
      </c>
      <c r="AG898" s="53"/>
      <c r="AH898" s="53" t="b">
        <f t="shared" si="18"/>
        <v>0</v>
      </c>
      <c r="AI898" s="54" t="s">
        <v>10611</v>
      </c>
      <c r="AJ898" s="2"/>
      <c r="AK898" s="2"/>
      <c r="AL898" s="2"/>
      <c r="AM898" s="2"/>
      <c r="AN898" s="2"/>
    </row>
    <row r="899" spans="1:40" ht="16" x14ac:dyDescent="0.2">
      <c r="A899" s="2" t="s">
        <v>3102</v>
      </c>
      <c r="B899" s="2">
        <v>962</v>
      </c>
      <c r="C899" s="2" t="b">
        <v>0</v>
      </c>
      <c r="D899" s="2" t="b">
        <v>0</v>
      </c>
      <c r="E899" s="2" t="b">
        <v>0</v>
      </c>
      <c r="F899" s="2" t="b">
        <v>0</v>
      </c>
      <c r="G899" s="2" t="s">
        <v>31</v>
      </c>
      <c r="H899" s="2" t="s">
        <v>3103</v>
      </c>
      <c r="I899" s="2" t="s">
        <v>3104</v>
      </c>
      <c r="J899" s="2" t="s">
        <v>3105</v>
      </c>
      <c r="K899" s="2" t="s">
        <v>35</v>
      </c>
      <c r="L899" s="2" t="s">
        <v>35</v>
      </c>
      <c r="M899" s="2" t="s">
        <v>35</v>
      </c>
      <c r="N899" s="2" t="s">
        <v>35</v>
      </c>
      <c r="O899" s="11">
        <v>44762.433824074076</v>
      </c>
      <c r="P899" s="11">
        <v>44762.434161053243</v>
      </c>
      <c r="Q899" s="27">
        <v>3.369791666045785E-4</v>
      </c>
      <c r="R899" s="27">
        <v>6.0027778090443462E-4</v>
      </c>
      <c r="S899" s="2">
        <v>0</v>
      </c>
      <c r="T899" s="2" t="s">
        <v>36</v>
      </c>
      <c r="U899" s="2" t="s">
        <v>37</v>
      </c>
      <c r="V899" s="2" t="s">
        <v>38</v>
      </c>
      <c r="W899" s="2" t="s">
        <v>35</v>
      </c>
      <c r="X899" s="2" t="s">
        <v>35</v>
      </c>
      <c r="Y899" s="2" t="s">
        <v>35</v>
      </c>
      <c r="Z899" s="2" t="b">
        <v>0</v>
      </c>
      <c r="AA899" s="2" t="s">
        <v>35</v>
      </c>
      <c r="AB899" s="2" t="s">
        <v>35</v>
      </c>
      <c r="AC899" s="2">
        <v>4</v>
      </c>
      <c r="AD899" s="2">
        <v>4</v>
      </c>
      <c r="AE899" s="2" t="s">
        <v>2840</v>
      </c>
      <c r="AF899" s="11">
        <v>44762.350694444445</v>
      </c>
      <c r="AG899" s="53"/>
      <c r="AH899" s="53" t="b">
        <f t="shared" si="18"/>
        <v>0</v>
      </c>
      <c r="AI899" s="54" t="s">
        <v>10612</v>
      </c>
      <c r="AJ899" s="2"/>
      <c r="AK899" s="2"/>
      <c r="AL899" s="2"/>
      <c r="AM899" s="2"/>
      <c r="AN899" s="2"/>
    </row>
    <row r="900" spans="1:40" ht="16" x14ac:dyDescent="0.2">
      <c r="A900" s="2" t="s">
        <v>3106</v>
      </c>
      <c r="B900" s="2">
        <v>963</v>
      </c>
      <c r="C900" s="2" t="b">
        <v>0</v>
      </c>
      <c r="D900" s="2" t="b">
        <v>0</v>
      </c>
      <c r="E900" s="2" t="b">
        <v>0</v>
      </c>
      <c r="F900" s="2" t="b">
        <v>0</v>
      </c>
      <c r="G900" s="2" t="s">
        <v>31</v>
      </c>
      <c r="H900" s="2" t="s">
        <v>3107</v>
      </c>
      <c r="I900" s="2" t="s">
        <v>3108</v>
      </c>
      <c r="J900" s="2" t="s">
        <v>35</v>
      </c>
      <c r="K900" s="2" t="s">
        <v>35</v>
      </c>
      <c r="L900" s="2" t="s">
        <v>35</v>
      </c>
      <c r="M900" s="2" t="s">
        <v>35</v>
      </c>
      <c r="N900" s="2" t="s">
        <v>35</v>
      </c>
      <c r="O900" s="11">
        <v>44762.435100833332</v>
      </c>
      <c r="P900" s="11">
        <v>44762.435346284721</v>
      </c>
      <c r="Q900" s="27">
        <v>2.4545138876419514E-4</v>
      </c>
      <c r="R900" s="27">
        <v>1.1852314783027396E-3</v>
      </c>
      <c r="S900" s="2">
        <v>0</v>
      </c>
      <c r="T900" s="2" t="s">
        <v>36</v>
      </c>
      <c r="U900" s="2" t="s">
        <v>37</v>
      </c>
      <c r="V900" s="2" t="s">
        <v>38</v>
      </c>
      <c r="W900" s="2" t="s">
        <v>35</v>
      </c>
      <c r="X900" s="2" t="s">
        <v>35</v>
      </c>
      <c r="Y900" s="2" t="s">
        <v>35</v>
      </c>
      <c r="Z900" s="2" t="b">
        <v>0</v>
      </c>
      <c r="AA900" s="2" t="s">
        <v>35</v>
      </c>
      <c r="AB900" s="2" t="s">
        <v>35</v>
      </c>
      <c r="AC900" s="2" t="s">
        <v>35</v>
      </c>
      <c r="AD900" s="2">
        <v>2</v>
      </c>
      <c r="AE900" s="2" t="s">
        <v>2840</v>
      </c>
      <c r="AF900" s="11">
        <v>44762.350694444445</v>
      </c>
      <c r="AG900" s="53"/>
      <c r="AH900" s="53" t="b">
        <f t="shared" si="18"/>
        <v>0</v>
      </c>
      <c r="AI900" s="54" t="s">
        <v>10613</v>
      </c>
      <c r="AJ900" s="2"/>
      <c r="AK900" s="2"/>
      <c r="AL900" s="2"/>
      <c r="AM900" s="2"/>
      <c r="AN900" s="2"/>
    </row>
    <row r="901" spans="1:40" ht="16" x14ac:dyDescent="0.2">
      <c r="A901" s="2" t="s">
        <v>3109</v>
      </c>
      <c r="B901" s="2">
        <v>964</v>
      </c>
      <c r="C901" s="2" t="b">
        <v>0</v>
      </c>
      <c r="D901" s="2" t="b">
        <v>0</v>
      </c>
      <c r="E901" s="2" t="b">
        <v>0</v>
      </c>
      <c r="F901" s="2" t="b">
        <v>0</v>
      </c>
      <c r="G901" s="2" t="s">
        <v>31</v>
      </c>
      <c r="H901" s="2" t="s">
        <v>3110</v>
      </c>
      <c r="I901" s="2" t="s">
        <v>3111</v>
      </c>
      <c r="J901" s="2" t="s">
        <v>35</v>
      </c>
      <c r="K901" s="2" t="s">
        <v>35</v>
      </c>
      <c r="L901" s="2" t="s">
        <v>35</v>
      </c>
      <c r="M901" s="2" t="s">
        <v>35</v>
      </c>
      <c r="N901" s="2" t="s">
        <v>35</v>
      </c>
      <c r="O901" s="11">
        <v>44762.436778333336</v>
      </c>
      <c r="P901" s="11">
        <v>44762.436943981484</v>
      </c>
      <c r="Q901" s="27">
        <v>1.6564814723096788E-4</v>
      </c>
      <c r="R901" s="27">
        <v>1.5976967624737881E-3</v>
      </c>
      <c r="S901" s="2">
        <v>0</v>
      </c>
      <c r="T901" s="2" t="s">
        <v>36</v>
      </c>
      <c r="U901" s="2" t="s">
        <v>37</v>
      </c>
      <c r="V901" s="2" t="s">
        <v>38</v>
      </c>
      <c r="W901" s="2" t="s">
        <v>35</v>
      </c>
      <c r="X901" s="2" t="s">
        <v>35</v>
      </c>
      <c r="Y901" s="2" t="s">
        <v>35</v>
      </c>
      <c r="Z901" s="2" t="b">
        <v>0</v>
      </c>
      <c r="AA901" s="2" t="s">
        <v>35</v>
      </c>
      <c r="AB901" s="2" t="s">
        <v>35</v>
      </c>
      <c r="AC901" s="2" t="s">
        <v>35</v>
      </c>
      <c r="AD901" s="2">
        <v>3</v>
      </c>
      <c r="AE901" s="2" t="s">
        <v>2840</v>
      </c>
      <c r="AF901" s="11">
        <v>44762.350694444445</v>
      </c>
      <c r="AG901" s="53"/>
      <c r="AH901" s="53" t="b">
        <f t="shared" si="18"/>
        <v>0</v>
      </c>
      <c r="AI901" s="54" t="s">
        <v>10614</v>
      </c>
      <c r="AJ901" s="2"/>
      <c r="AK901" s="2"/>
      <c r="AL901" s="2"/>
      <c r="AM901" s="2"/>
      <c r="AN901" s="2"/>
    </row>
    <row r="902" spans="1:40" ht="16" x14ac:dyDescent="0.2">
      <c r="A902" s="2" t="s">
        <v>3112</v>
      </c>
      <c r="B902" s="2">
        <v>965</v>
      </c>
      <c r="C902" s="2" t="b">
        <v>0</v>
      </c>
      <c r="D902" s="2" t="b">
        <v>0</v>
      </c>
      <c r="E902" s="2" t="b">
        <v>0</v>
      </c>
      <c r="F902" s="2" t="b">
        <v>0</v>
      </c>
      <c r="G902" s="2" t="s">
        <v>31</v>
      </c>
      <c r="H902" s="2" t="s">
        <v>3113</v>
      </c>
      <c r="I902" s="2" t="s">
        <v>3114</v>
      </c>
      <c r="J902" s="2" t="s">
        <v>35</v>
      </c>
      <c r="K902" s="2" t="s">
        <v>35</v>
      </c>
      <c r="L902" s="2" t="s">
        <v>35</v>
      </c>
      <c r="M902" s="2" t="s">
        <v>35</v>
      </c>
      <c r="N902" s="2" t="s">
        <v>35</v>
      </c>
      <c r="O902" s="11">
        <v>44762.439106284721</v>
      </c>
      <c r="P902" s="11">
        <v>44762.439345810184</v>
      </c>
      <c r="Q902" s="27">
        <v>2.3952546325745061E-4</v>
      </c>
      <c r="R902" s="27">
        <v>2.4018287003855221E-3</v>
      </c>
      <c r="S902" s="2">
        <v>0</v>
      </c>
      <c r="T902" s="2" t="s">
        <v>36</v>
      </c>
      <c r="U902" s="2" t="s">
        <v>37</v>
      </c>
      <c r="V902" s="2" t="s">
        <v>38</v>
      </c>
      <c r="W902" s="2" t="s">
        <v>35</v>
      </c>
      <c r="X902" s="2" t="s">
        <v>35</v>
      </c>
      <c r="Y902" s="2" t="s">
        <v>35</v>
      </c>
      <c r="Z902" s="2" t="b">
        <v>0</v>
      </c>
      <c r="AA902" s="2" t="s">
        <v>35</v>
      </c>
      <c r="AB902" s="2" t="s">
        <v>35</v>
      </c>
      <c r="AC902" s="2" t="s">
        <v>35</v>
      </c>
      <c r="AD902" s="2">
        <v>2</v>
      </c>
      <c r="AE902" s="2" t="s">
        <v>2840</v>
      </c>
      <c r="AF902" s="11">
        <v>44762.350694444445</v>
      </c>
      <c r="AG902" s="53"/>
      <c r="AH902" s="53" t="b">
        <f t="shared" si="18"/>
        <v>0</v>
      </c>
      <c r="AI902" s="54" t="s">
        <v>10615</v>
      </c>
      <c r="AJ902" s="2"/>
      <c r="AK902" s="2"/>
      <c r="AL902" s="2"/>
      <c r="AM902" s="2"/>
      <c r="AN902" s="2"/>
    </row>
    <row r="903" spans="1:40" ht="16" x14ac:dyDescent="0.2">
      <c r="A903" s="2" t="s">
        <v>3115</v>
      </c>
      <c r="B903" s="2">
        <v>966</v>
      </c>
      <c r="C903" s="2" t="b">
        <v>0</v>
      </c>
      <c r="D903" s="2" t="b">
        <v>0</v>
      </c>
      <c r="E903" s="2" t="b">
        <v>0</v>
      </c>
      <c r="F903" s="2" t="b">
        <v>0</v>
      </c>
      <c r="G903" s="2" t="s">
        <v>31</v>
      </c>
      <c r="H903" s="2" t="s">
        <v>3116</v>
      </c>
      <c r="I903" s="2" t="s">
        <v>3117</v>
      </c>
      <c r="J903" s="2" t="s">
        <v>35</v>
      </c>
      <c r="K903" s="2" t="s">
        <v>35</v>
      </c>
      <c r="L903" s="2" t="s">
        <v>35</v>
      </c>
      <c r="M903" s="2" t="s">
        <v>35</v>
      </c>
      <c r="N903" s="2" t="s">
        <v>35</v>
      </c>
      <c r="O903" s="11">
        <v>44762.439394606481</v>
      </c>
      <c r="P903" s="11">
        <v>44762.439582789353</v>
      </c>
      <c r="Q903" s="27">
        <v>1.8818287207977846E-4</v>
      </c>
      <c r="R903" s="27">
        <v>2.3697916913079098E-4</v>
      </c>
      <c r="S903" s="2">
        <v>0</v>
      </c>
      <c r="T903" s="2" t="s">
        <v>36</v>
      </c>
      <c r="U903" s="2" t="s">
        <v>37</v>
      </c>
      <c r="V903" s="2" t="s">
        <v>38</v>
      </c>
      <c r="W903" s="2" t="s">
        <v>35</v>
      </c>
      <c r="X903" s="2" t="s">
        <v>35</v>
      </c>
      <c r="Y903" s="2" t="s">
        <v>35</v>
      </c>
      <c r="Z903" s="2" t="b">
        <v>0</v>
      </c>
      <c r="AA903" s="2" t="s">
        <v>35</v>
      </c>
      <c r="AB903" s="2" t="s">
        <v>35</v>
      </c>
      <c r="AC903" s="2" t="s">
        <v>35</v>
      </c>
      <c r="AD903" s="2">
        <v>2</v>
      </c>
      <c r="AE903" s="2" t="s">
        <v>2840</v>
      </c>
      <c r="AF903" s="11">
        <v>44762.350694444445</v>
      </c>
      <c r="AG903" s="53"/>
      <c r="AH903" s="53" t="b">
        <f t="shared" si="18"/>
        <v>0</v>
      </c>
      <c r="AI903" s="54" t="s">
        <v>10616</v>
      </c>
      <c r="AJ903" s="2"/>
      <c r="AK903" s="2"/>
      <c r="AL903" s="2"/>
      <c r="AM903" s="2"/>
      <c r="AN903" s="2"/>
    </row>
    <row r="904" spans="1:40" ht="16" x14ac:dyDescent="0.2">
      <c r="A904" s="2" t="s">
        <v>3121</v>
      </c>
      <c r="B904" s="2">
        <v>968</v>
      </c>
      <c r="C904" s="2" t="b">
        <v>0</v>
      </c>
      <c r="D904" s="2" t="b">
        <v>0</v>
      </c>
      <c r="E904" s="2" t="b">
        <v>0</v>
      </c>
      <c r="F904" s="2" t="b">
        <v>0</v>
      </c>
      <c r="G904" s="2" t="s">
        <v>31</v>
      </c>
      <c r="H904" s="2" t="s">
        <v>3122</v>
      </c>
      <c r="I904" s="2" t="s">
        <v>3123</v>
      </c>
      <c r="J904" s="2" t="s">
        <v>584</v>
      </c>
      <c r="K904" s="2" t="s">
        <v>35</v>
      </c>
      <c r="L904" s="2" t="s">
        <v>35</v>
      </c>
      <c r="M904" s="2" t="s">
        <v>35</v>
      </c>
      <c r="N904" s="2" t="s">
        <v>35</v>
      </c>
      <c r="O904" s="11">
        <v>44762.479784861112</v>
      </c>
      <c r="P904" s="11">
        <v>44762.479989212959</v>
      </c>
      <c r="Q904" s="27">
        <v>2.0435184706002474E-4</v>
      </c>
      <c r="R904" s="27">
        <v>5.1030092436121777E-4</v>
      </c>
      <c r="S904" s="2">
        <v>0</v>
      </c>
      <c r="T904" s="2" t="s">
        <v>36</v>
      </c>
      <c r="U904" s="2" t="s">
        <v>37</v>
      </c>
      <c r="V904" s="2" t="s">
        <v>38</v>
      </c>
      <c r="W904" s="2" t="s">
        <v>35</v>
      </c>
      <c r="X904" s="2" t="s">
        <v>35</v>
      </c>
      <c r="Y904" s="2" t="s">
        <v>35</v>
      </c>
      <c r="Z904" s="2" t="b">
        <v>0</v>
      </c>
      <c r="AA904" s="2" t="s">
        <v>35</v>
      </c>
      <c r="AB904" s="2" t="s">
        <v>35</v>
      </c>
      <c r="AC904" s="2">
        <v>6</v>
      </c>
      <c r="AD904" s="2" t="s">
        <v>35</v>
      </c>
      <c r="AE904" s="2" t="s">
        <v>2840</v>
      </c>
      <c r="AF904" s="11">
        <v>44762.350694444445</v>
      </c>
      <c r="AG904" s="53"/>
      <c r="AH904" s="53" t="b">
        <f t="shared" si="18"/>
        <v>0</v>
      </c>
      <c r="AI904" s="54" t="s">
        <v>10617</v>
      </c>
      <c r="AJ904" s="2"/>
      <c r="AK904" s="2"/>
      <c r="AL904" s="2"/>
      <c r="AM904" s="2"/>
      <c r="AN904" s="2"/>
    </row>
    <row r="905" spans="1:40" ht="16" x14ac:dyDescent="0.2">
      <c r="A905" s="2" t="s">
        <v>3124</v>
      </c>
      <c r="B905" s="2">
        <v>969</v>
      </c>
      <c r="C905" s="2" t="b">
        <v>0</v>
      </c>
      <c r="D905" s="2" t="b">
        <v>0</v>
      </c>
      <c r="E905" s="2" t="b">
        <v>0</v>
      </c>
      <c r="F905" s="2" t="b">
        <v>0</v>
      </c>
      <c r="G905" s="2" t="s">
        <v>31</v>
      </c>
      <c r="H905" s="2" t="s">
        <v>3125</v>
      </c>
      <c r="I905" s="2" t="s">
        <v>3126</v>
      </c>
      <c r="J905" s="2" t="s">
        <v>1460</v>
      </c>
      <c r="K905" s="2" t="s">
        <v>35</v>
      </c>
      <c r="L905" s="2" t="s">
        <v>35</v>
      </c>
      <c r="M905" s="2" t="s">
        <v>35</v>
      </c>
      <c r="N905" s="2" t="s">
        <v>35</v>
      </c>
      <c r="O905" s="11">
        <v>44762.481814467596</v>
      </c>
      <c r="P905" s="11">
        <v>44762.482043587966</v>
      </c>
      <c r="Q905" s="27">
        <v>2.2912037093192339E-4</v>
      </c>
      <c r="R905" s="27">
        <v>2.0543750069919042E-3</v>
      </c>
      <c r="S905" s="2">
        <v>0</v>
      </c>
      <c r="T905" s="2" t="s">
        <v>36</v>
      </c>
      <c r="U905" s="2" t="s">
        <v>37</v>
      </c>
      <c r="V905" s="2" t="s">
        <v>38</v>
      </c>
      <c r="W905" s="2" t="s">
        <v>35</v>
      </c>
      <c r="X905" s="2" t="s">
        <v>35</v>
      </c>
      <c r="Y905" s="2" t="s">
        <v>35</v>
      </c>
      <c r="Z905" s="2" t="b">
        <v>0</v>
      </c>
      <c r="AA905" s="2" t="s">
        <v>35</v>
      </c>
      <c r="AB905" s="2" t="s">
        <v>35</v>
      </c>
      <c r="AC905" s="2">
        <v>6</v>
      </c>
      <c r="AD905" s="2" t="s">
        <v>35</v>
      </c>
      <c r="AE905" s="2" t="s">
        <v>2840</v>
      </c>
      <c r="AF905" s="11">
        <v>44762.350694444445</v>
      </c>
      <c r="AG905" s="53"/>
      <c r="AH905" s="53" t="b">
        <f t="shared" si="18"/>
        <v>0</v>
      </c>
      <c r="AI905" s="54" t="s">
        <v>10618</v>
      </c>
      <c r="AJ905" s="2"/>
      <c r="AK905" s="2"/>
      <c r="AL905" s="2"/>
      <c r="AM905" s="2"/>
      <c r="AN905" s="2"/>
    </row>
    <row r="906" spans="1:40" ht="16" x14ac:dyDescent="0.2">
      <c r="A906" s="2" t="s">
        <v>3131</v>
      </c>
      <c r="B906" s="2">
        <v>971</v>
      </c>
      <c r="C906" s="2" t="b">
        <v>0</v>
      </c>
      <c r="D906" s="2" t="b">
        <v>0</v>
      </c>
      <c r="E906" s="2" t="b">
        <v>0</v>
      </c>
      <c r="F906" s="2" t="b">
        <v>0</v>
      </c>
      <c r="G906" s="2" t="s">
        <v>31</v>
      </c>
      <c r="H906" s="2" t="s">
        <v>3132</v>
      </c>
      <c r="I906" s="2" t="s">
        <v>3133</v>
      </c>
      <c r="J906" s="2" t="s">
        <v>1460</v>
      </c>
      <c r="K906" s="2" t="s">
        <v>35</v>
      </c>
      <c r="L906" s="2" t="s">
        <v>35</v>
      </c>
      <c r="M906" s="2" t="s">
        <v>35</v>
      </c>
      <c r="N906" s="2" t="s">
        <v>35</v>
      </c>
      <c r="O906" s="11">
        <v>44762.483121666664</v>
      </c>
      <c r="P906" s="11">
        <v>44762.483494907407</v>
      </c>
      <c r="Q906" s="27">
        <v>3.7324074219213799E-4</v>
      </c>
      <c r="R906" s="27">
        <v>1.1503587957122363E-3</v>
      </c>
      <c r="S906" s="2">
        <v>0</v>
      </c>
      <c r="T906" s="2" t="s">
        <v>36</v>
      </c>
      <c r="U906" s="2" t="s">
        <v>37</v>
      </c>
      <c r="V906" s="2" t="s">
        <v>38</v>
      </c>
      <c r="W906" s="2" t="s">
        <v>35</v>
      </c>
      <c r="X906" s="2" t="s">
        <v>35</v>
      </c>
      <c r="Y906" s="2" t="s">
        <v>35</v>
      </c>
      <c r="Z906" s="2" t="b">
        <v>0</v>
      </c>
      <c r="AA906" s="2" t="s">
        <v>35</v>
      </c>
      <c r="AB906" s="2" t="s">
        <v>35</v>
      </c>
      <c r="AC906" s="2">
        <v>6</v>
      </c>
      <c r="AD906" s="2" t="s">
        <v>35</v>
      </c>
      <c r="AE906" s="2" t="s">
        <v>2840</v>
      </c>
      <c r="AF906" s="11">
        <v>44762.350694444445</v>
      </c>
      <c r="AG906" s="53"/>
      <c r="AH906" s="53" t="b">
        <f t="shared" si="18"/>
        <v>0</v>
      </c>
      <c r="AI906" s="54" t="s">
        <v>10619</v>
      </c>
      <c r="AJ906" s="2"/>
      <c r="AK906" s="2"/>
      <c r="AL906" s="2"/>
      <c r="AM906" s="2"/>
      <c r="AN906" s="2"/>
    </row>
    <row r="907" spans="1:40" ht="16" x14ac:dyDescent="0.2">
      <c r="A907" s="2" t="s">
        <v>3134</v>
      </c>
      <c r="B907" s="2">
        <v>972</v>
      </c>
      <c r="C907" s="2" t="b">
        <v>0</v>
      </c>
      <c r="D907" s="2" t="b">
        <v>0</v>
      </c>
      <c r="E907" s="2" t="b">
        <v>0</v>
      </c>
      <c r="F907" s="2" t="b">
        <v>0</v>
      </c>
      <c r="G907" s="2" t="s">
        <v>31</v>
      </c>
      <c r="H907" s="2" t="s">
        <v>3135</v>
      </c>
      <c r="I907" s="2" t="s">
        <v>3136</v>
      </c>
      <c r="J907" s="2" t="s">
        <v>35</v>
      </c>
      <c r="K907" s="2" t="s">
        <v>35</v>
      </c>
      <c r="L907" s="2" t="s">
        <v>35</v>
      </c>
      <c r="M907" s="2" t="s">
        <v>35</v>
      </c>
      <c r="N907" s="2" t="s">
        <v>35</v>
      </c>
      <c r="O907" s="11">
        <v>44762.484095127315</v>
      </c>
      <c r="P907" s="11">
        <v>44762.484296805553</v>
      </c>
      <c r="Q907" s="27">
        <v>2.0167823822703212E-4</v>
      </c>
      <c r="R907" s="27">
        <v>8.0189814616460353E-4</v>
      </c>
      <c r="S907" s="2">
        <v>0</v>
      </c>
      <c r="T907" s="2" t="s">
        <v>36</v>
      </c>
      <c r="U907" s="2" t="s">
        <v>37</v>
      </c>
      <c r="V907" s="2" t="s">
        <v>38</v>
      </c>
      <c r="W907" s="2" t="s">
        <v>35</v>
      </c>
      <c r="X907" s="2" t="s">
        <v>35</v>
      </c>
      <c r="Y907" s="2" t="s">
        <v>35</v>
      </c>
      <c r="Z907" s="2" t="b">
        <v>0</v>
      </c>
      <c r="AA907" s="2" t="s">
        <v>35</v>
      </c>
      <c r="AB907" s="2" t="s">
        <v>35</v>
      </c>
      <c r="AC907" s="2" t="s">
        <v>35</v>
      </c>
      <c r="AD907" s="2">
        <v>6</v>
      </c>
      <c r="AE907" s="2" t="s">
        <v>2840</v>
      </c>
      <c r="AF907" s="11">
        <v>44762.350694444445</v>
      </c>
      <c r="AG907" s="53"/>
      <c r="AH907" s="53" t="b">
        <f t="shared" si="18"/>
        <v>0</v>
      </c>
      <c r="AI907" s="54" t="s">
        <v>10620</v>
      </c>
      <c r="AJ907" s="2"/>
      <c r="AK907" s="2"/>
      <c r="AL907" s="2"/>
      <c r="AM907" s="2"/>
      <c r="AN907" s="2"/>
    </row>
    <row r="908" spans="1:40" ht="16" x14ac:dyDescent="0.2">
      <c r="A908" s="2" t="s">
        <v>3137</v>
      </c>
      <c r="B908" s="2">
        <v>973</v>
      </c>
      <c r="C908" s="2" t="b">
        <v>0</v>
      </c>
      <c r="D908" s="2" t="b">
        <v>0</v>
      </c>
      <c r="E908" s="2" t="b">
        <v>0</v>
      </c>
      <c r="F908" s="2" t="b">
        <v>0</v>
      </c>
      <c r="G908" s="2" t="s">
        <v>31</v>
      </c>
      <c r="H908" s="2" t="s">
        <v>3138</v>
      </c>
      <c r="I908" s="2" t="s">
        <v>3139</v>
      </c>
      <c r="J908" s="2" t="s">
        <v>35</v>
      </c>
      <c r="K908" s="2" t="s">
        <v>35</v>
      </c>
      <c r="L908" s="2" t="s">
        <v>35</v>
      </c>
      <c r="M908" s="2" t="s">
        <v>35</v>
      </c>
      <c r="N908" s="2" t="s">
        <v>35</v>
      </c>
      <c r="O908" s="11">
        <v>44762.485133738424</v>
      </c>
      <c r="P908" s="11">
        <v>44762.485291435187</v>
      </c>
      <c r="Q908" s="27">
        <v>1.5769676247145981E-4</v>
      </c>
      <c r="R908" s="27">
        <v>9.9462963407859206E-4</v>
      </c>
      <c r="S908" s="2">
        <v>0</v>
      </c>
      <c r="T908" s="2" t="s">
        <v>36</v>
      </c>
      <c r="U908" s="2" t="s">
        <v>37</v>
      </c>
      <c r="V908" s="2" t="s">
        <v>38</v>
      </c>
      <c r="W908" s="2" t="s">
        <v>35</v>
      </c>
      <c r="X908" s="2" t="s">
        <v>35</v>
      </c>
      <c r="Y908" s="2" t="s">
        <v>35</v>
      </c>
      <c r="Z908" s="2" t="b">
        <v>0</v>
      </c>
      <c r="AA908" s="2" t="s">
        <v>35</v>
      </c>
      <c r="AB908" s="2" t="s">
        <v>35</v>
      </c>
      <c r="AC908" s="2" t="s">
        <v>35</v>
      </c>
      <c r="AD908" s="2">
        <v>5</v>
      </c>
      <c r="AE908" s="2" t="s">
        <v>2840</v>
      </c>
      <c r="AF908" s="11">
        <v>44762.350694444445</v>
      </c>
      <c r="AG908" s="53"/>
      <c r="AH908" s="53" t="b">
        <f t="shared" si="18"/>
        <v>0</v>
      </c>
      <c r="AI908" s="54" t="s">
        <v>10621</v>
      </c>
      <c r="AJ908" s="2"/>
      <c r="AK908" s="2"/>
      <c r="AL908" s="2"/>
      <c r="AM908" s="2"/>
      <c r="AN908" s="2"/>
    </row>
    <row r="909" spans="1:40" ht="16" x14ac:dyDescent="0.2">
      <c r="A909" s="2" t="s">
        <v>3146</v>
      </c>
      <c r="B909" s="2">
        <v>976</v>
      </c>
      <c r="C909" s="2" t="b">
        <v>0</v>
      </c>
      <c r="D909" s="2" t="b">
        <v>0</v>
      </c>
      <c r="E909" s="2" t="b">
        <v>0</v>
      </c>
      <c r="F909" s="2" t="b">
        <v>0</v>
      </c>
      <c r="G909" s="2" t="s">
        <v>31</v>
      </c>
      <c r="H909" s="2" t="s">
        <v>3147</v>
      </c>
      <c r="I909" s="2" t="s">
        <v>3148</v>
      </c>
      <c r="J909" s="2" t="s">
        <v>35</v>
      </c>
      <c r="K909" s="2" t="s">
        <v>35</v>
      </c>
      <c r="L909" s="2" t="s">
        <v>35</v>
      </c>
      <c r="M909" s="2" t="s">
        <v>35</v>
      </c>
      <c r="N909" s="2" t="s">
        <v>35</v>
      </c>
      <c r="O909" s="11">
        <v>44762.486585787039</v>
      </c>
      <c r="P909" s="11">
        <v>44762.48682672454</v>
      </c>
      <c r="Q909" s="27">
        <v>2.4093750107567757E-4</v>
      </c>
      <c r="R909" s="27">
        <v>3.1400463194586337E-4</v>
      </c>
      <c r="S909" s="2">
        <v>0</v>
      </c>
      <c r="T909" s="2" t="s">
        <v>36</v>
      </c>
      <c r="U909" s="2" t="s">
        <v>37</v>
      </c>
      <c r="V909" s="2" t="s">
        <v>38</v>
      </c>
      <c r="W909" s="2" t="s">
        <v>35</v>
      </c>
      <c r="X909" s="2" t="s">
        <v>35</v>
      </c>
      <c r="Y909" s="2" t="s">
        <v>35</v>
      </c>
      <c r="Z909" s="2" t="b">
        <v>0</v>
      </c>
      <c r="AA909" s="2" t="s">
        <v>35</v>
      </c>
      <c r="AB909" s="2" t="s">
        <v>35</v>
      </c>
      <c r="AC909" s="2" t="s">
        <v>35</v>
      </c>
      <c r="AD909" s="2">
        <v>4</v>
      </c>
      <c r="AE909" s="2" t="s">
        <v>2840</v>
      </c>
      <c r="AF909" s="11">
        <v>44762.350694444445</v>
      </c>
      <c r="AG909" s="53"/>
      <c r="AH909" s="53" t="b">
        <f t="shared" si="18"/>
        <v>0</v>
      </c>
      <c r="AI909" s="54" t="s">
        <v>10622</v>
      </c>
      <c r="AJ909" s="2"/>
      <c r="AK909" s="2"/>
      <c r="AL909" s="2"/>
      <c r="AM909" s="2"/>
      <c r="AN909" s="2"/>
    </row>
    <row r="910" spans="1:40" ht="16" x14ac:dyDescent="0.2">
      <c r="A910" s="2" t="s">
        <v>3149</v>
      </c>
      <c r="B910" s="2">
        <v>977</v>
      </c>
      <c r="C910" s="2" t="b">
        <v>0</v>
      </c>
      <c r="D910" s="2" t="b">
        <v>0</v>
      </c>
      <c r="E910" s="2" t="b">
        <v>0</v>
      </c>
      <c r="F910" s="2" t="b">
        <v>0</v>
      </c>
      <c r="G910" s="2" t="s">
        <v>31</v>
      </c>
      <c r="H910" s="2" t="s">
        <v>3150</v>
      </c>
      <c r="I910" s="2" t="s">
        <v>3151</v>
      </c>
      <c r="J910" s="2" t="s">
        <v>3152</v>
      </c>
      <c r="K910" s="2" t="s">
        <v>35</v>
      </c>
      <c r="L910" s="2" t="s">
        <v>35</v>
      </c>
      <c r="M910" s="2" t="s">
        <v>35</v>
      </c>
      <c r="N910" s="2" t="s">
        <v>35</v>
      </c>
      <c r="O910" s="11">
        <v>44762.487192708337</v>
      </c>
      <c r="P910" s="11">
        <v>44762.487668969909</v>
      </c>
      <c r="Q910" s="27">
        <v>4.7626157174818218E-4</v>
      </c>
      <c r="R910" s="27">
        <v>8.422453684033826E-4</v>
      </c>
      <c r="S910" s="2">
        <v>0</v>
      </c>
      <c r="T910" s="2" t="s">
        <v>36</v>
      </c>
      <c r="U910" s="2" t="s">
        <v>37</v>
      </c>
      <c r="V910" s="2" t="s">
        <v>38</v>
      </c>
      <c r="W910" s="2" t="s">
        <v>35</v>
      </c>
      <c r="X910" s="2" t="s">
        <v>35</v>
      </c>
      <c r="Y910" s="2" t="s">
        <v>35</v>
      </c>
      <c r="Z910" s="2" t="b">
        <v>0</v>
      </c>
      <c r="AA910" s="2" t="s">
        <v>35</v>
      </c>
      <c r="AB910" s="2" t="s">
        <v>35</v>
      </c>
      <c r="AC910" s="2">
        <v>5</v>
      </c>
      <c r="AD910" s="2" t="s">
        <v>35</v>
      </c>
      <c r="AE910" s="2" t="s">
        <v>2840</v>
      </c>
      <c r="AF910" s="11">
        <v>44762.350694444445</v>
      </c>
      <c r="AG910" s="53"/>
      <c r="AH910" s="53" t="b">
        <f t="shared" si="18"/>
        <v>0</v>
      </c>
      <c r="AI910" s="54" t="s">
        <v>9510</v>
      </c>
      <c r="AJ910" s="2"/>
      <c r="AK910" s="2"/>
      <c r="AL910" s="2"/>
      <c r="AM910" s="2"/>
      <c r="AN910" s="2"/>
    </row>
    <row r="911" spans="1:40" ht="16" x14ac:dyDescent="0.2">
      <c r="A911" s="2" t="s">
        <v>3159</v>
      </c>
      <c r="B911" s="2">
        <v>979</v>
      </c>
      <c r="C911" s="2" t="b">
        <v>0</v>
      </c>
      <c r="D911" s="2" t="b">
        <v>0</v>
      </c>
      <c r="E911" s="2" t="b">
        <v>0</v>
      </c>
      <c r="F911" s="2" t="b">
        <v>0</v>
      </c>
      <c r="G911" s="2" t="s">
        <v>31</v>
      </c>
      <c r="H911" s="2" t="s">
        <v>3160</v>
      </c>
      <c r="I911" s="2" t="s">
        <v>3161</v>
      </c>
      <c r="J911" s="2" t="s">
        <v>3152</v>
      </c>
      <c r="K911" s="2" t="s">
        <v>35</v>
      </c>
      <c r="L911" s="2" t="s">
        <v>35</v>
      </c>
      <c r="M911" s="2" t="s">
        <v>35</v>
      </c>
      <c r="N911" s="2" t="s">
        <v>35</v>
      </c>
      <c r="O911" s="11">
        <v>44762.49054471065</v>
      </c>
      <c r="P911" s="11">
        <v>44762.491075439815</v>
      </c>
      <c r="Q911" s="27">
        <v>5.3072916489327326E-4</v>
      </c>
      <c r="R911" s="27">
        <v>9.5534721913281828E-4</v>
      </c>
      <c r="S911" s="2">
        <v>0</v>
      </c>
      <c r="T911" s="2" t="s">
        <v>36</v>
      </c>
      <c r="U911" s="2" t="s">
        <v>37</v>
      </c>
      <c r="V911" s="2" t="s">
        <v>38</v>
      </c>
      <c r="W911" s="2" t="s">
        <v>35</v>
      </c>
      <c r="X911" s="2" t="s">
        <v>35</v>
      </c>
      <c r="Y911" s="2" t="s">
        <v>35</v>
      </c>
      <c r="Z911" s="2" t="b">
        <v>0</v>
      </c>
      <c r="AA911" s="2" t="s">
        <v>35</v>
      </c>
      <c r="AB911" s="2" t="s">
        <v>35</v>
      </c>
      <c r="AC911" s="2">
        <v>3</v>
      </c>
      <c r="AD911" s="2">
        <v>4</v>
      </c>
      <c r="AE911" s="2" t="s">
        <v>2840</v>
      </c>
      <c r="AF911" s="11">
        <v>44762.350694444445</v>
      </c>
      <c r="AG911" s="53"/>
      <c r="AH911" s="53" t="b">
        <f t="shared" si="18"/>
        <v>0</v>
      </c>
      <c r="AI911" s="54" t="s">
        <v>10623</v>
      </c>
      <c r="AJ911" s="2"/>
      <c r="AK911" s="2"/>
      <c r="AL911" s="2"/>
      <c r="AM911" s="2"/>
      <c r="AN911" s="2"/>
    </row>
    <row r="912" spans="1:40" ht="16" x14ac:dyDescent="0.2">
      <c r="A912" s="2" t="s">
        <v>3162</v>
      </c>
      <c r="B912" s="2">
        <v>980</v>
      </c>
      <c r="C912" s="2" t="b">
        <v>0</v>
      </c>
      <c r="D912" s="2" t="b">
        <v>0</v>
      </c>
      <c r="E912" s="2" t="b">
        <v>0</v>
      </c>
      <c r="F912" s="2" t="b">
        <v>0</v>
      </c>
      <c r="G912" s="2" t="s">
        <v>31</v>
      </c>
      <c r="H912" s="2" t="s">
        <v>3163</v>
      </c>
      <c r="I912" s="2" t="s">
        <v>3164</v>
      </c>
      <c r="J912" s="2" t="s">
        <v>35</v>
      </c>
      <c r="K912" s="2" t="s">
        <v>35</v>
      </c>
      <c r="L912" s="2" t="s">
        <v>35</v>
      </c>
      <c r="M912" s="2" t="s">
        <v>35</v>
      </c>
      <c r="N912" s="2" t="s">
        <v>35</v>
      </c>
      <c r="O912" s="11">
        <v>44762.491293946761</v>
      </c>
      <c r="P912" s="11">
        <v>44762.491605682873</v>
      </c>
      <c r="Q912" s="27">
        <v>3.1173611205304042E-4</v>
      </c>
      <c r="R912" s="27">
        <v>5.3024305816506967E-4</v>
      </c>
      <c r="S912" s="2">
        <v>0</v>
      </c>
      <c r="T912" s="2" t="s">
        <v>36</v>
      </c>
      <c r="U912" s="2" t="s">
        <v>37</v>
      </c>
      <c r="V912" s="2" t="s">
        <v>38</v>
      </c>
      <c r="W912" s="2" t="s">
        <v>35</v>
      </c>
      <c r="X912" s="2" t="s">
        <v>35</v>
      </c>
      <c r="Y912" s="2" t="s">
        <v>35</v>
      </c>
      <c r="Z912" s="2" t="b">
        <v>0</v>
      </c>
      <c r="AA912" s="2" t="s">
        <v>35</v>
      </c>
      <c r="AB912" s="2" t="s">
        <v>35</v>
      </c>
      <c r="AC912" s="2">
        <v>2</v>
      </c>
      <c r="AD912" s="2" t="s">
        <v>35</v>
      </c>
      <c r="AE912" s="2" t="s">
        <v>2840</v>
      </c>
      <c r="AF912" s="11">
        <v>44762.350694444445</v>
      </c>
      <c r="AG912" s="53"/>
      <c r="AH912" s="53" t="b">
        <f t="shared" si="18"/>
        <v>0</v>
      </c>
      <c r="AI912" s="54" t="s">
        <v>9509</v>
      </c>
      <c r="AJ912" s="2"/>
      <c r="AK912" s="2"/>
      <c r="AL912" s="2"/>
      <c r="AM912" s="2"/>
      <c r="AN912" s="2"/>
    </row>
    <row r="913" spans="1:40" ht="16" x14ac:dyDescent="0.2">
      <c r="A913" s="2" t="s">
        <v>3165</v>
      </c>
      <c r="B913" s="2">
        <v>981</v>
      </c>
      <c r="C913" s="2" t="b">
        <v>0</v>
      </c>
      <c r="D913" s="2" t="b">
        <v>0</v>
      </c>
      <c r="E913" s="2" t="b">
        <v>0</v>
      </c>
      <c r="F913" s="2" t="b">
        <v>0</v>
      </c>
      <c r="G913" s="2" t="s">
        <v>31</v>
      </c>
      <c r="H913" s="2" t="s">
        <v>3166</v>
      </c>
      <c r="I913" s="2" t="s">
        <v>3167</v>
      </c>
      <c r="J913" s="2" t="s">
        <v>35</v>
      </c>
      <c r="K913" s="2" t="s">
        <v>35</v>
      </c>
      <c r="L913" s="2" t="s">
        <v>35</v>
      </c>
      <c r="M913" s="2" t="s">
        <v>35</v>
      </c>
      <c r="N913" s="2" t="s">
        <v>35</v>
      </c>
      <c r="O913" s="11">
        <v>44762.49210171296</v>
      </c>
      <c r="P913" s="11">
        <v>44762.492204282411</v>
      </c>
      <c r="Q913" s="27">
        <v>1.0256945097353309E-4</v>
      </c>
      <c r="R913" s="27">
        <v>5.9859953762497753E-4</v>
      </c>
      <c r="S913" s="2">
        <v>0</v>
      </c>
      <c r="T913" s="2" t="s">
        <v>36</v>
      </c>
      <c r="U913" s="2" t="s">
        <v>37</v>
      </c>
      <c r="V913" s="2" t="s">
        <v>38</v>
      </c>
      <c r="W913" s="2" t="s">
        <v>35</v>
      </c>
      <c r="X913" s="2" t="s">
        <v>35</v>
      </c>
      <c r="Y913" s="2" t="s">
        <v>35</v>
      </c>
      <c r="Z913" s="2" t="b">
        <v>0</v>
      </c>
      <c r="AA913" s="2" t="s">
        <v>35</v>
      </c>
      <c r="AB913" s="2" t="s">
        <v>35</v>
      </c>
      <c r="AC913" s="2" t="s">
        <v>35</v>
      </c>
      <c r="AD913" s="2">
        <v>3</v>
      </c>
      <c r="AE913" s="2" t="s">
        <v>2840</v>
      </c>
      <c r="AF913" s="11">
        <v>44762.350694444445</v>
      </c>
      <c r="AG913" s="53"/>
      <c r="AH913" s="53" t="b">
        <f t="shared" si="18"/>
        <v>0</v>
      </c>
      <c r="AI913" s="54" t="s">
        <v>10624</v>
      </c>
      <c r="AJ913" s="2"/>
      <c r="AK913" s="2"/>
      <c r="AL913" s="2"/>
      <c r="AM913" s="2"/>
      <c r="AN913" s="2"/>
    </row>
    <row r="914" spans="1:40" ht="16" x14ac:dyDescent="0.2">
      <c r="A914" s="2" t="s">
        <v>3168</v>
      </c>
      <c r="B914" s="2">
        <v>982</v>
      </c>
      <c r="C914" s="2" t="b">
        <v>0</v>
      </c>
      <c r="D914" s="2" t="b">
        <v>0</v>
      </c>
      <c r="E914" s="2" t="b">
        <v>0</v>
      </c>
      <c r="F914" s="2" t="b">
        <v>0</v>
      </c>
      <c r="G914" s="2" t="s">
        <v>31</v>
      </c>
      <c r="H914" s="2" t="s">
        <v>3169</v>
      </c>
      <c r="I914" s="2" t="s">
        <v>3170</v>
      </c>
      <c r="J914" s="2" t="s">
        <v>35</v>
      </c>
      <c r="K914" s="2" t="s">
        <v>35</v>
      </c>
      <c r="L914" s="2" t="s">
        <v>35</v>
      </c>
      <c r="M914" s="2" t="s">
        <v>35</v>
      </c>
      <c r="N914" s="2" t="s">
        <v>35</v>
      </c>
      <c r="O914" s="11">
        <v>44762.49250216435</v>
      </c>
      <c r="P914" s="11">
        <v>44762.492665358797</v>
      </c>
      <c r="Q914" s="27">
        <v>1.6319444694090635E-4</v>
      </c>
      <c r="R914" s="27">
        <v>4.6107638627290726E-4</v>
      </c>
      <c r="S914" s="2">
        <v>0</v>
      </c>
      <c r="T914" s="2" t="s">
        <v>36</v>
      </c>
      <c r="U914" s="2" t="s">
        <v>37</v>
      </c>
      <c r="V914" s="2" t="s">
        <v>38</v>
      </c>
      <c r="W914" s="2" t="s">
        <v>35</v>
      </c>
      <c r="X914" s="2" t="s">
        <v>35</v>
      </c>
      <c r="Y914" s="2" t="s">
        <v>35</v>
      </c>
      <c r="Z914" s="2" t="b">
        <v>0</v>
      </c>
      <c r="AA914" s="2" t="s">
        <v>35</v>
      </c>
      <c r="AB914" s="2" t="s">
        <v>35</v>
      </c>
      <c r="AC914" s="2" t="s">
        <v>35</v>
      </c>
      <c r="AD914" s="2">
        <v>3</v>
      </c>
      <c r="AE914" s="2" t="s">
        <v>2840</v>
      </c>
      <c r="AF914" s="11">
        <v>44762.350694444445</v>
      </c>
      <c r="AG914" s="53"/>
      <c r="AH914" s="53" t="b">
        <f t="shared" si="18"/>
        <v>0</v>
      </c>
      <c r="AI914" s="54" t="s">
        <v>10625</v>
      </c>
      <c r="AJ914" s="2"/>
      <c r="AK914" s="2"/>
      <c r="AL914" s="2"/>
      <c r="AM914" s="2"/>
      <c r="AN914" s="2"/>
    </row>
    <row r="915" spans="1:40" ht="16" x14ac:dyDescent="0.2">
      <c r="A915" s="2" t="s">
        <v>3174</v>
      </c>
      <c r="B915" s="2">
        <v>984</v>
      </c>
      <c r="C915" s="2" t="b">
        <v>0</v>
      </c>
      <c r="D915" s="2" t="b">
        <v>0</v>
      </c>
      <c r="E915" s="2" t="b">
        <v>0</v>
      </c>
      <c r="F915" s="2" t="b">
        <v>0</v>
      </c>
      <c r="G915" s="2" t="s">
        <v>31</v>
      </c>
      <c r="H915" s="2" t="s">
        <v>3175</v>
      </c>
      <c r="I915" s="2" t="s">
        <v>3176</v>
      </c>
      <c r="J915" s="2" t="s">
        <v>35</v>
      </c>
      <c r="K915" s="2" t="s">
        <v>35</v>
      </c>
      <c r="L915" s="2" t="s">
        <v>35</v>
      </c>
      <c r="M915" s="2" t="s">
        <v>35</v>
      </c>
      <c r="N915" s="2" t="s">
        <v>35</v>
      </c>
      <c r="O915" s="11">
        <v>44762.493593807871</v>
      </c>
      <c r="P915" s="11">
        <v>44762.493739039353</v>
      </c>
      <c r="Q915" s="27">
        <v>1.4523148274747655E-4</v>
      </c>
      <c r="R915" s="27">
        <v>6.8217593070585281E-4</v>
      </c>
      <c r="S915" s="2">
        <v>0</v>
      </c>
      <c r="T915" s="2" t="s">
        <v>36</v>
      </c>
      <c r="U915" s="2" t="s">
        <v>37</v>
      </c>
      <c r="V915" s="2" t="s">
        <v>38</v>
      </c>
      <c r="W915" s="2" t="s">
        <v>35</v>
      </c>
      <c r="X915" s="2" t="s">
        <v>35</v>
      </c>
      <c r="Y915" s="2" t="s">
        <v>35</v>
      </c>
      <c r="Z915" s="2" t="b">
        <v>0</v>
      </c>
      <c r="AA915" s="2" t="s">
        <v>35</v>
      </c>
      <c r="AB915" s="2" t="s">
        <v>35</v>
      </c>
      <c r="AC915" s="2" t="s">
        <v>35</v>
      </c>
      <c r="AD915" s="2">
        <v>2</v>
      </c>
      <c r="AE915" s="2" t="s">
        <v>2840</v>
      </c>
      <c r="AF915" s="11">
        <v>44762.350694444445</v>
      </c>
      <c r="AG915" s="53"/>
      <c r="AH915" s="53" t="b">
        <f t="shared" si="18"/>
        <v>0</v>
      </c>
      <c r="AI915" s="54" t="s">
        <v>10626</v>
      </c>
      <c r="AJ915" s="2"/>
      <c r="AK915" s="2"/>
      <c r="AL915" s="2"/>
      <c r="AM915" s="2"/>
      <c r="AN915" s="2"/>
    </row>
    <row r="916" spans="1:40" ht="16" x14ac:dyDescent="0.2">
      <c r="A916" s="2" t="s">
        <v>3177</v>
      </c>
      <c r="B916" s="2">
        <v>985</v>
      </c>
      <c r="C916" s="2" t="b">
        <v>0</v>
      </c>
      <c r="D916" s="2" t="b">
        <v>0</v>
      </c>
      <c r="E916" s="2" t="b">
        <v>0</v>
      </c>
      <c r="F916" s="2" t="b">
        <v>0</v>
      </c>
      <c r="G916" s="2" t="s">
        <v>31</v>
      </c>
      <c r="H916" s="2" t="s">
        <v>3178</v>
      </c>
      <c r="I916" s="2" t="s">
        <v>3179</v>
      </c>
      <c r="J916" s="2" t="s">
        <v>35</v>
      </c>
      <c r="K916" s="2" t="s">
        <v>35</v>
      </c>
      <c r="L916" s="2" t="s">
        <v>35</v>
      </c>
      <c r="M916" s="2" t="s">
        <v>35</v>
      </c>
      <c r="N916" s="2" t="s">
        <v>35</v>
      </c>
      <c r="O916" s="11">
        <v>44762.495347060183</v>
      </c>
      <c r="P916" s="11">
        <v>44762.495515983799</v>
      </c>
      <c r="Q916" s="27">
        <v>1.6892361600184813E-4</v>
      </c>
      <c r="R916" s="27">
        <v>1.7769444457371719E-3</v>
      </c>
      <c r="S916" s="2">
        <v>0</v>
      </c>
      <c r="T916" s="2" t="s">
        <v>36</v>
      </c>
      <c r="U916" s="2" t="s">
        <v>37</v>
      </c>
      <c r="V916" s="2" t="s">
        <v>38</v>
      </c>
      <c r="W916" s="2" t="s">
        <v>35</v>
      </c>
      <c r="X916" s="2" t="s">
        <v>35</v>
      </c>
      <c r="Y916" s="2" t="s">
        <v>35</v>
      </c>
      <c r="Z916" s="2" t="b">
        <v>0</v>
      </c>
      <c r="AA916" s="2" t="s">
        <v>35</v>
      </c>
      <c r="AB916" s="2" t="s">
        <v>35</v>
      </c>
      <c r="AC916" s="2" t="s">
        <v>35</v>
      </c>
      <c r="AD916" s="2">
        <v>4</v>
      </c>
      <c r="AE916" s="2" t="s">
        <v>2840</v>
      </c>
      <c r="AF916" s="11">
        <v>44762.350694444445</v>
      </c>
      <c r="AG916" s="53"/>
      <c r="AH916" s="53" t="b">
        <f t="shared" si="18"/>
        <v>0</v>
      </c>
      <c r="AI916" s="54" t="s">
        <v>10627</v>
      </c>
      <c r="AJ916" s="2"/>
      <c r="AK916" s="2"/>
      <c r="AL916" s="2"/>
      <c r="AM916" s="2"/>
      <c r="AN916" s="2"/>
    </row>
    <row r="917" spans="1:40" ht="16" x14ac:dyDescent="0.2">
      <c r="A917" s="2" t="s">
        <v>3180</v>
      </c>
      <c r="B917" s="2">
        <v>986</v>
      </c>
      <c r="C917" s="2" t="b">
        <v>0</v>
      </c>
      <c r="D917" s="2" t="b">
        <v>0</v>
      </c>
      <c r="E917" s="2" t="b">
        <v>0</v>
      </c>
      <c r="F917" s="2" t="b">
        <v>0</v>
      </c>
      <c r="G917" s="2" t="s">
        <v>31</v>
      </c>
      <c r="H917" s="2" t="s">
        <v>3181</v>
      </c>
      <c r="I917" s="2" t="s">
        <v>3182</v>
      </c>
      <c r="J917" s="2" t="s">
        <v>35</v>
      </c>
      <c r="K917" s="2" t="s">
        <v>35</v>
      </c>
      <c r="L917" s="2" t="s">
        <v>35</v>
      </c>
      <c r="M917" s="2" t="s">
        <v>35</v>
      </c>
      <c r="N917" s="2" t="s">
        <v>35</v>
      </c>
      <c r="O917" s="11">
        <v>44762.495619351852</v>
      </c>
      <c r="P917" s="11">
        <v>44762.495766192129</v>
      </c>
      <c r="Q917" s="27">
        <v>1.4684027701150626E-4</v>
      </c>
      <c r="R917" s="27">
        <v>2.5020832981681451E-4</v>
      </c>
      <c r="S917" s="2">
        <v>0</v>
      </c>
      <c r="T917" s="2" t="s">
        <v>36</v>
      </c>
      <c r="U917" s="2" t="s">
        <v>37</v>
      </c>
      <c r="V917" s="2" t="s">
        <v>38</v>
      </c>
      <c r="W917" s="2" t="s">
        <v>35</v>
      </c>
      <c r="X917" s="2" t="s">
        <v>35</v>
      </c>
      <c r="Y917" s="2" t="s">
        <v>35</v>
      </c>
      <c r="Z917" s="2" t="b">
        <v>0</v>
      </c>
      <c r="AA917" s="2" t="s">
        <v>35</v>
      </c>
      <c r="AB917" s="2" t="s">
        <v>35</v>
      </c>
      <c r="AC917" s="2" t="s">
        <v>35</v>
      </c>
      <c r="AD917" s="2">
        <v>2</v>
      </c>
      <c r="AE917" s="2" t="s">
        <v>2840</v>
      </c>
      <c r="AF917" s="11">
        <v>44762.350694444445</v>
      </c>
      <c r="AG917" s="53"/>
      <c r="AH917" s="53" t="b">
        <f t="shared" si="18"/>
        <v>0</v>
      </c>
      <c r="AI917" s="54" t="s">
        <v>10628</v>
      </c>
      <c r="AJ917" s="2"/>
      <c r="AK917" s="2"/>
      <c r="AL917" s="2"/>
      <c r="AM917" s="2"/>
      <c r="AN917" s="2"/>
    </row>
    <row r="918" spans="1:40" ht="16" x14ac:dyDescent="0.2">
      <c r="A918" s="2" t="s">
        <v>3183</v>
      </c>
      <c r="B918" s="2">
        <v>987</v>
      </c>
      <c r="C918" s="2" t="b">
        <v>0</v>
      </c>
      <c r="D918" s="2" t="b">
        <v>0</v>
      </c>
      <c r="E918" s="2" t="b">
        <v>0</v>
      </c>
      <c r="F918" s="2" t="b">
        <v>0</v>
      </c>
      <c r="G918" s="2" t="s">
        <v>31</v>
      </c>
      <c r="H918" s="2" t="s">
        <v>3184</v>
      </c>
      <c r="I918" s="2" t="s">
        <v>3185</v>
      </c>
      <c r="J918" s="2" t="s">
        <v>3186</v>
      </c>
      <c r="K918" s="2" t="s">
        <v>35</v>
      </c>
      <c r="L918" s="2" t="s">
        <v>35</v>
      </c>
      <c r="M918" s="2" t="s">
        <v>35</v>
      </c>
      <c r="N918" s="2" t="s">
        <v>35</v>
      </c>
      <c r="O918" s="11">
        <v>44762.496430104169</v>
      </c>
      <c r="P918" s="11">
        <v>44762.497120914355</v>
      </c>
      <c r="Q918" s="27">
        <v>6.9081018591532484E-4</v>
      </c>
      <c r="R918" s="27">
        <v>1.3547222260967828E-3</v>
      </c>
      <c r="S918" s="2">
        <v>0</v>
      </c>
      <c r="T918" s="2" t="s">
        <v>36</v>
      </c>
      <c r="U918" s="2" t="s">
        <v>37</v>
      </c>
      <c r="V918" s="2" t="s">
        <v>38</v>
      </c>
      <c r="W918" s="2" t="s">
        <v>35</v>
      </c>
      <c r="X918" s="2" t="s">
        <v>35</v>
      </c>
      <c r="Y918" s="2" t="s">
        <v>35</v>
      </c>
      <c r="Z918" s="2" t="b">
        <v>0</v>
      </c>
      <c r="AA918" s="2" t="s">
        <v>35</v>
      </c>
      <c r="AB918" s="2">
        <v>103</v>
      </c>
      <c r="AC918" s="2" t="s">
        <v>35</v>
      </c>
      <c r="AD918" s="2" t="s">
        <v>35</v>
      </c>
      <c r="AE918" s="2" t="s">
        <v>2840</v>
      </c>
      <c r="AF918" s="11">
        <v>44762.350694444445</v>
      </c>
      <c r="AG918" s="53"/>
      <c r="AH918" s="53" t="b">
        <f t="shared" si="18"/>
        <v>0</v>
      </c>
      <c r="AI918" s="54" t="s">
        <v>10629</v>
      </c>
      <c r="AJ918" s="2"/>
      <c r="AK918" s="2"/>
      <c r="AL918" s="2"/>
      <c r="AM918" s="2"/>
      <c r="AN918" s="2"/>
    </row>
    <row r="919" spans="1:40" ht="16" x14ac:dyDescent="0.2">
      <c r="A919" s="2" t="s">
        <v>3187</v>
      </c>
      <c r="B919" s="2">
        <v>988</v>
      </c>
      <c r="C919" s="2" t="b">
        <v>0</v>
      </c>
      <c r="D919" s="2" t="b">
        <v>0</v>
      </c>
      <c r="E919" s="2" t="b">
        <v>0</v>
      </c>
      <c r="F919" s="2" t="b">
        <v>0</v>
      </c>
      <c r="G919" s="2" t="s">
        <v>31</v>
      </c>
      <c r="H919" s="2" t="s">
        <v>3188</v>
      </c>
      <c r="I919" s="2" t="s">
        <v>3189</v>
      </c>
      <c r="J919" s="2" t="s">
        <v>3190</v>
      </c>
      <c r="K919" s="2" t="s">
        <v>35</v>
      </c>
      <c r="L919" s="2" t="s">
        <v>35</v>
      </c>
      <c r="M919" s="2" t="s">
        <v>35</v>
      </c>
      <c r="N919" s="2" t="s">
        <v>35</v>
      </c>
      <c r="O919" s="11">
        <v>44762.497912766201</v>
      </c>
      <c r="P919" s="11">
        <v>44762.498565324073</v>
      </c>
      <c r="Q919" s="27">
        <v>6.5255787194473669E-4</v>
      </c>
      <c r="R919" s="27">
        <v>1.4444097178056836E-3</v>
      </c>
      <c r="S919" s="2">
        <v>0</v>
      </c>
      <c r="T919" s="2" t="s">
        <v>36</v>
      </c>
      <c r="U919" s="2" t="s">
        <v>37</v>
      </c>
      <c r="V919" s="2" t="s">
        <v>38</v>
      </c>
      <c r="W919" s="2" t="s">
        <v>35</v>
      </c>
      <c r="X919" s="2" t="s">
        <v>35</v>
      </c>
      <c r="Y919" s="2" t="s">
        <v>35</v>
      </c>
      <c r="Z919" s="2" t="b">
        <v>0</v>
      </c>
      <c r="AA919" s="2" t="s">
        <v>35</v>
      </c>
      <c r="AB919" s="2" t="s">
        <v>35</v>
      </c>
      <c r="AC919" s="2">
        <v>4</v>
      </c>
      <c r="AD919" s="2">
        <v>2</v>
      </c>
      <c r="AE919" s="2" t="s">
        <v>2840</v>
      </c>
      <c r="AF919" s="11">
        <v>44762.350694444445</v>
      </c>
      <c r="AG919" s="53"/>
      <c r="AH919" s="53" t="b">
        <f t="shared" si="18"/>
        <v>0</v>
      </c>
      <c r="AI919" s="54" t="s">
        <v>10630</v>
      </c>
      <c r="AJ919" s="2"/>
      <c r="AK919" s="2"/>
      <c r="AL919" s="2"/>
      <c r="AM919" s="2"/>
      <c r="AN919" s="2"/>
    </row>
    <row r="920" spans="1:40" ht="16" x14ac:dyDescent="0.2">
      <c r="A920" s="2" t="s">
        <v>3191</v>
      </c>
      <c r="B920" s="2">
        <v>989</v>
      </c>
      <c r="C920" s="2" t="b">
        <v>0</v>
      </c>
      <c r="D920" s="2" t="b">
        <v>0</v>
      </c>
      <c r="E920" s="2" t="b">
        <v>0</v>
      </c>
      <c r="F920" s="2" t="b">
        <v>0</v>
      </c>
      <c r="G920" s="2" t="s">
        <v>31</v>
      </c>
      <c r="H920" s="2" t="s">
        <v>3192</v>
      </c>
      <c r="I920" s="2" t="s">
        <v>3193</v>
      </c>
      <c r="J920" s="2" t="s">
        <v>35</v>
      </c>
      <c r="K920" s="2" t="s">
        <v>35</v>
      </c>
      <c r="L920" s="2" t="s">
        <v>35</v>
      </c>
      <c r="M920" s="2" t="s">
        <v>35</v>
      </c>
      <c r="N920" s="2" t="s">
        <v>35</v>
      </c>
      <c r="O920" s="11">
        <v>44762.498625567132</v>
      </c>
      <c r="P920" s="11">
        <v>44762.498914166667</v>
      </c>
      <c r="Q920" s="27">
        <v>2.8859953454229981E-4</v>
      </c>
      <c r="R920" s="27">
        <v>3.4884259366663173E-4</v>
      </c>
      <c r="S920" s="2">
        <v>0</v>
      </c>
      <c r="T920" s="2" t="s">
        <v>36</v>
      </c>
      <c r="U920" s="2" t="s">
        <v>37</v>
      </c>
      <c r="V920" s="2" t="s">
        <v>38</v>
      </c>
      <c r="W920" s="2" t="s">
        <v>35</v>
      </c>
      <c r="X920" s="2" t="s">
        <v>35</v>
      </c>
      <c r="Y920" s="2" t="s">
        <v>35</v>
      </c>
      <c r="Z920" s="2" t="b">
        <v>0</v>
      </c>
      <c r="AA920" s="2" t="s">
        <v>2284</v>
      </c>
      <c r="AB920" s="2" t="s">
        <v>35</v>
      </c>
      <c r="AC920" s="2" t="s">
        <v>35</v>
      </c>
      <c r="AD920" s="2" t="s">
        <v>35</v>
      </c>
      <c r="AE920" s="2" t="s">
        <v>2840</v>
      </c>
      <c r="AF920" s="11">
        <v>44762.350694444445</v>
      </c>
      <c r="AG920" s="53"/>
      <c r="AH920" s="53" t="b">
        <f t="shared" si="18"/>
        <v>0</v>
      </c>
      <c r="AI920" s="54" t="s">
        <v>10631</v>
      </c>
      <c r="AJ920" s="2"/>
      <c r="AK920" s="2"/>
      <c r="AL920" s="2"/>
      <c r="AM920" s="2"/>
      <c r="AN920" s="2"/>
    </row>
    <row r="921" spans="1:40" ht="16" x14ac:dyDescent="0.2">
      <c r="A921" s="2" t="s">
        <v>3194</v>
      </c>
      <c r="B921" s="2">
        <v>990</v>
      </c>
      <c r="C921" s="2" t="b">
        <v>0</v>
      </c>
      <c r="D921" s="2" t="b">
        <v>0</v>
      </c>
      <c r="E921" s="2" t="b">
        <v>0</v>
      </c>
      <c r="F921" s="2" t="b">
        <v>0</v>
      </c>
      <c r="G921" s="2" t="s">
        <v>31</v>
      </c>
      <c r="H921" s="2" t="s">
        <v>3195</v>
      </c>
      <c r="I921" s="2" t="s">
        <v>3196</v>
      </c>
      <c r="J921" s="2" t="s">
        <v>35</v>
      </c>
      <c r="K921" s="2" t="s">
        <v>35</v>
      </c>
      <c r="L921" s="2" t="s">
        <v>35</v>
      </c>
      <c r="M921" s="2" t="s">
        <v>35</v>
      </c>
      <c r="N921" s="2" t="s">
        <v>35</v>
      </c>
      <c r="O921" s="11">
        <v>44762.499731886572</v>
      </c>
      <c r="P921" s="11">
        <v>44762.500404664352</v>
      </c>
      <c r="Q921" s="27">
        <v>6.7277777998242527E-4</v>
      </c>
      <c r="R921" s="27">
        <v>1.4904976851539686E-3</v>
      </c>
      <c r="S921" s="2">
        <v>0</v>
      </c>
      <c r="T921" s="2" t="s">
        <v>36</v>
      </c>
      <c r="U921" s="2" t="s">
        <v>37</v>
      </c>
      <c r="V921" s="2" t="s">
        <v>38</v>
      </c>
      <c r="W921" s="2" t="s">
        <v>35</v>
      </c>
      <c r="X921" s="2" t="s">
        <v>35</v>
      </c>
      <c r="Y921" s="2" t="s">
        <v>35</v>
      </c>
      <c r="Z921" s="2" t="b">
        <v>0</v>
      </c>
      <c r="AA921" s="2" t="s">
        <v>35</v>
      </c>
      <c r="AB921" s="2" t="s">
        <v>35</v>
      </c>
      <c r="AC921" s="2" t="s">
        <v>35</v>
      </c>
      <c r="AD921" s="2">
        <v>2</v>
      </c>
      <c r="AE921" s="2" t="s">
        <v>2840</v>
      </c>
      <c r="AF921" s="11">
        <v>44762.350694444445</v>
      </c>
      <c r="AG921" s="53"/>
      <c r="AH921" s="53" t="b">
        <f t="shared" si="18"/>
        <v>0</v>
      </c>
      <c r="AI921" s="54" t="s">
        <v>10632</v>
      </c>
      <c r="AJ921" s="2"/>
      <c r="AK921" s="2"/>
      <c r="AL921" s="2"/>
      <c r="AM921" s="2"/>
      <c r="AN921" s="2"/>
    </row>
    <row r="922" spans="1:40" ht="16" x14ac:dyDescent="0.2">
      <c r="A922" s="2" t="s">
        <v>3197</v>
      </c>
      <c r="B922" s="2">
        <v>991</v>
      </c>
      <c r="C922" s="2" t="b">
        <v>0</v>
      </c>
      <c r="D922" s="2" t="b">
        <v>0</v>
      </c>
      <c r="E922" s="2" t="b">
        <v>0</v>
      </c>
      <c r="F922" s="2" t="b">
        <v>0</v>
      </c>
      <c r="G922" s="2" t="s">
        <v>31</v>
      </c>
      <c r="H922" s="2" t="s">
        <v>3198</v>
      </c>
      <c r="I922" s="2" t="s">
        <v>3199</v>
      </c>
      <c r="J922" s="2" t="s">
        <v>35</v>
      </c>
      <c r="K922" s="2" t="s">
        <v>35</v>
      </c>
      <c r="L922" s="2" t="s">
        <v>35</v>
      </c>
      <c r="M922" s="2" t="s">
        <v>35</v>
      </c>
      <c r="N922" s="2" t="s">
        <v>35</v>
      </c>
      <c r="O922" s="11">
        <v>44762.501281053243</v>
      </c>
      <c r="P922" s="11">
        <v>44762.50146417824</v>
      </c>
      <c r="Q922" s="27">
        <v>1.8312499742023647E-4</v>
      </c>
      <c r="R922" s="27">
        <v>1.0595138883218169E-3</v>
      </c>
      <c r="S922" s="2">
        <v>0</v>
      </c>
      <c r="T922" s="2" t="s">
        <v>36</v>
      </c>
      <c r="U922" s="2" t="s">
        <v>37</v>
      </c>
      <c r="V922" s="2" t="s">
        <v>38</v>
      </c>
      <c r="W922" s="2" t="s">
        <v>35</v>
      </c>
      <c r="X922" s="2" t="s">
        <v>35</v>
      </c>
      <c r="Y922" s="2" t="s">
        <v>35</v>
      </c>
      <c r="Z922" s="2" t="b">
        <v>0</v>
      </c>
      <c r="AA922" s="2" t="s">
        <v>35</v>
      </c>
      <c r="AB922" s="2" t="s">
        <v>35</v>
      </c>
      <c r="AC922" s="2" t="s">
        <v>35</v>
      </c>
      <c r="AD922" s="2">
        <v>3</v>
      </c>
      <c r="AE922" s="2" t="s">
        <v>2840</v>
      </c>
      <c r="AF922" s="11">
        <v>44762.350694444445</v>
      </c>
      <c r="AG922" s="53"/>
      <c r="AH922" s="53" t="b">
        <f t="shared" si="18"/>
        <v>0</v>
      </c>
      <c r="AI922" s="54" t="s">
        <v>10633</v>
      </c>
      <c r="AJ922" s="2"/>
      <c r="AK922" s="2"/>
      <c r="AL922" s="2"/>
      <c r="AM922" s="2"/>
      <c r="AN922" s="2"/>
    </row>
    <row r="923" spans="1:40" ht="16" x14ac:dyDescent="0.2">
      <c r="A923" s="2" t="s">
        <v>3200</v>
      </c>
      <c r="B923" s="2">
        <v>992</v>
      </c>
      <c r="C923" s="2" t="b">
        <v>0</v>
      </c>
      <c r="D923" s="2" t="b">
        <v>0</v>
      </c>
      <c r="E923" s="2" t="b">
        <v>0</v>
      </c>
      <c r="F923" s="2" t="b">
        <v>0</v>
      </c>
      <c r="G923" s="2" t="s">
        <v>31</v>
      </c>
      <c r="H923" s="2" t="s">
        <v>3201</v>
      </c>
      <c r="I923" s="2" t="s">
        <v>3202</v>
      </c>
      <c r="J923" s="2" t="s">
        <v>3203</v>
      </c>
      <c r="K923" s="2" t="s">
        <v>35</v>
      </c>
      <c r="L923" s="2" t="s">
        <v>35</v>
      </c>
      <c r="M923" s="2" t="s">
        <v>35</v>
      </c>
      <c r="N923" s="2" t="s">
        <v>35</v>
      </c>
      <c r="O923" s="11">
        <v>44762.502006145834</v>
      </c>
      <c r="P923" s="11">
        <v>44762.502516805558</v>
      </c>
      <c r="Q923" s="27">
        <v>5.1065972365904599E-4</v>
      </c>
      <c r="R923" s="27">
        <v>1.0526273181312717E-3</v>
      </c>
      <c r="S923" s="2">
        <v>0</v>
      </c>
      <c r="T923" s="2" t="s">
        <v>36</v>
      </c>
      <c r="U923" s="2" t="s">
        <v>37</v>
      </c>
      <c r="V923" s="2" t="s">
        <v>38</v>
      </c>
      <c r="W923" s="2" t="s">
        <v>35</v>
      </c>
      <c r="X923" s="2" t="s">
        <v>35</v>
      </c>
      <c r="Y923" s="2" t="s">
        <v>35</v>
      </c>
      <c r="Z923" s="2" t="b">
        <v>0</v>
      </c>
      <c r="AA923" s="2" t="s">
        <v>35</v>
      </c>
      <c r="AB923" s="2" t="s">
        <v>35</v>
      </c>
      <c r="AC923" s="2">
        <v>4</v>
      </c>
      <c r="AD923" s="2" t="s">
        <v>35</v>
      </c>
      <c r="AE923" s="2" t="s">
        <v>2840</v>
      </c>
      <c r="AF923" s="11">
        <v>44762.350694444445</v>
      </c>
      <c r="AG923" s="53"/>
      <c r="AH923" s="53" t="b">
        <f t="shared" si="18"/>
        <v>0</v>
      </c>
      <c r="AI923" s="54" t="s">
        <v>10634</v>
      </c>
      <c r="AJ923" s="2"/>
      <c r="AK923" s="2"/>
      <c r="AL923" s="2"/>
      <c r="AM923" s="2"/>
      <c r="AN923" s="2"/>
    </row>
    <row r="924" spans="1:40" ht="16" x14ac:dyDescent="0.2">
      <c r="A924" s="2" t="s">
        <v>3204</v>
      </c>
      <c r="B924" s="2">
        <v>993</v>
      </c>
      <c r="C924" s="2" t="b">
        <v>0</v>
      </c>
      <c r="D924" s="2" t="b">
        <v>0</v>
      </c>
      <c r="E924" s="2" t="b">
        <v>0</v>
      </c>
      <c r="F924" s="2" t="b">
        <v>0</v>
      </c>
      <c r="G924" s="2" t="s">
        <v>31</v>
      </c>
      <c r="H924" s="2" t="s">
        <v>3205</v>
      </c>
      <c r="I924" s="2" t="s">
        <v>3206</v>
      </c>
      <c r="J924" s="2" t="s">
        <v>35</v>
      </c>
      <c r="K924" s="2" t="s">
        <v>35</v>
      </c>
      <c r="L924" s="2" t="s">
        <v>35</v>
      </c>
      <c r="M924" s="2" t="s">
        <v>35</v>
      </c>
      <c r="N924" s="2" t="s">
        <v>35</v>
      </c>
      <c r="O924" s="11">
        <v>44762.503442650464</v>
      </c>
      <c r="P924" s="11">
        <v>44762.503585011575</v>
      </c>
      <c r="Q924" s="27">
        <v>1.4236111019272357E-4</v>
      </c>
      <c r="R924" s="27">
        <v>1.0682060164981522E-3</v>
      </c>
      <c r="S924" s="2">
        <v>0</v>
      </c>
      <c r="T924" s="2" t="s">
        <v>36</v>
      </c>
      <c r="U924" s="2" t="s">
        <v>37</v>
      </c>
      <c r="V924" s="2" t="s">
        <v>38</v>
      </c>
      <c r="W924" s="2" t="s">
        <v>35</v>
      </c>
      <c r="X924" s="2" t="s">
        <v>35</v>
      </c>
      <c r="Y924" s="2" t="s">
        <v>35</v>
      </c>
      <c r="Z924" s="2" t="b">
        <v>0</v>
      </c>
      <c r="AA924" s="2" t="s">
        <v>35</v>
      </c>
      <c r="AB924" s="2" t="s">
        <v>35</v>
      </c>
      <c r="AC924" s="2" t="s">
        <v>35</v>
      </c>
      <c r="AD924" s="2">
        <v>3</v>
      </c>
      <c r="AE924" s="2" t="s">
        <v>2840</v>
      </c>
      <c r="AF924" s="11">
        <v>44762.350694444445</v>
      </c>
      <c r="AG924" s="53"/>
      <c r="AH924" s="53" t="b">
        <f t="shared" si="18"/>
        <v>0</v>
      </c>
      <c r="AI924" s="54" t="s">
        <v>10635</v>
      </c>
      <c r="AJ924" s="2"/>
      <c r="AK924" s="2"/>
      <c r="AL924" s="2"/>
      <c r="AM924" s="2"/>
      <c r="AN924" s="2"/>
    </row>
    <row r="925" spans="1:40" ht="16" x14ac:dyDescent="0.2">
      <c r="A925" s="2" t="s">
        <v>3210</v>
      </c>
      <c r="B925" s="2">
        <v>995</v>
      </c>
      <c r="C925" s="2" t="b">
        <v>0</v>
      </c>
      <c r="D925" s="2" t="b">
        <v>0</v>
      </c>
      <c r="E925" s="2" t="b">
        <v>0</v>
      </c>
      <c r="F925" s="2" t="b">
        <v>0</v>
      </c>
      <c r="G925" s="2" t="s">
        <v>31</v>
      </c>
      <c r="H925" s="2" t="s">
        <v>3211</v>
      </c>
      <c r="I925" s="2" t="s">
        <v>3212</v>
      </c>
      <c r="J925" s="2" t="s">
        <v>3213</v>
      </c>
      <c r="K925" s="2" t="s">
        <v>35</v>
      </c>
      <c r="L925" s="2" t="s">
        <v>35</v>
      </c>
      <c r="M925" s="2" t="s">
        <v>35</v>
      </c>
      <c r="N925" s="2" t="s">
        <v>35</v>
      </c>
      <c r="O925" s="11">
        <v>44762.504685949076</v>
      </c>
      <c r="P925" s="11">
        <v>44762.505049212959</v>
      </c>
      <c r="Q925" s="27">
        <v>3.6326388362795115E-4</v>
      </c>
      <c r="R925" s="27">
        <v>9.768981472006999E-4</v>
      </c>
      <c r="S925" s="2">
        <v>0</v>
      </c>
      <c r="T925" s="2" t="s">
        <v>36</v>
      </c>
      <c r="U925" s="2" t="s">
        <v>37</v>
      </c>
      <c r="V925" s="2" t="s">
        <v>38</v>
      </c>
      <c r="W925" s="2" t="s">
        <v>35</v>
      </c>
      <c r="X925" s="2" t="s">
        <v>35</v>
      </c>
      <c r="Y925" s="2" t="s">
        <v>35</v>
      </c>
      <c r="Z925" s="2" t="b">
        <v>0</v>
      </c>
      <c r="AA925" s="2" t="s">
        <v>35</v>
      </c>
      <c r="AB925" s="2" t="s">
        <v>35</v>
      </c>
      <c r="AC925" s="2">
        <v>6</v>
      </c>
      <c r="AD925" s="2" t="s">
        <v>35</v>
      </c>
      <c r="AE925" s="2" t="s">
        <v>2840</v>
      </c>
      <c r="AF925" s="11">
        <v>44762.350694444445</v>
      </c>
      <c r="AG925" s="53"/>
      <c r="AH925" s="53" t="b">
        <f t="shared" ref="AH925:AH988" si="19">IF(Q925&gt;TIME(0,1,9),"TRUE")</f>
        <v>0</v>
      </c>
      <c r="AI925" s="54" t="s">
        <v>9507</v>
      </c>
      <c r="AJ925" s="2"/>
      <c r="AK925" s="2"/>
      <c r="AL925" s="2"/>
      <c r="AM925" s="2"/>
      <c r="AN925" s="2"/>
    </row>
    <row r="926" spans="1:40" ht="16" x14ac:dyDescent="0.2">
      <c r="A926" s="2" t="s">
        <v>3223</v>
      </c>
      <c r="B926" s="2">
        <v>999</v>
      </c>
      <c r="C926" s="2" t="b">
        <v>0</v>
      </c>
      <c r="D926" s="2" t="b">
        <v>0</v>
      </c>
      <c r="E926" s="2" t="b">
        <v>0</v>
      </c>
      <c r="F926" s="2" t="b">
        <v>0</v>
      </c>
      <c r="G926" s="2" t="s">
        <v>31</v>
      </c>
      <c r="H926" s="2" t="s">
        <v>3224</v>
      </c>
      <c r="I926" s="2" t="s">
        <v>3225</v>
      </c>
      <c r="J926" s="2" t="s">
        <v>3226</v>
      </c>
      <c r="K926" s="2" t="s">
        <v>35</v>
      </c>
      <c r="L926" s="2" t="s">
        <v>35</v>
      </c>
      <c r="M926" s="2" t="s">
        <v>35</v>
      </c>
      <c r="N926" s="2" t="s">
        <v>35</v>
      </c>
      <c r="O926" s="11">
        <v>44762.509692268519</v>
      </c>
      <c r="P926" s="11">
        <v>44762.50985422454</v>
      </c>
      <c r="Q926" s="27">
        <v>1.6195602074731141E-4</v>
      </c>
      <c r="R926" s="27">
        <v>4.7101852396735922E-4</v>
      </c>
      <c r="S926" s="2">
        <v>0</v>
      </c>
      <c r="T926" s="2" t="s">
        <v>36</v>
      </c>
      <c r="U926" s="2" t="s">
        <v>37</v>
      </c>
      <c r="V926" s="2" t="s">
        <v>38</v>
      </c>
      <c r="W926" s="2" t="s">
        <v>35</v>
      </c>
      <c r="X926" s="2" t="s">
        <v>35</v>
      </c>
      <c r="Y926" s="2" t="s">
        <v>35</v>
      </c>
      <c r="Z926" s="2" t="b">
        <v>0</v>
      </c>
      <c r="AA926" s="2" t="s">
        <v>35</v>
      </c>
      <c r="AB926" s="2" t="s">
        <v>35</v>
      </c>
      <c r="AC926" s="2">
        <v>6</v>
      </c>
      <c r="AD926" s="2" t="s">
        <v>35</v>
      </c>
      <c r="AE926" s="2" t="s">
        <v>2840</v>
      </c>
      <c r="AF926" s="11">
        <v>44762.350694444445</v>
      </c>
      <c r="AG926" s="53"/>
      <c r="AH926" s="53" t="b">
        <f t="shared" si="19"/>
        <v>0</v>
      </c>
      <c r="AI926" s="54" t="s">
        <v>10636</v>
      </c>
      <c r="AJ926" s="2"/>
      <c r="AK926" s="2"/>
      <c r="AL926" s="2"/>
      <c r="AM926" s="2"/>
      <c r="AN926" s="2"/>
    </row>
    <row r="927" spans="1:40" ht="16" x14ac:dyDescent="0.2">
      <c r="A927" s="2" t="s">
        <v>3233</v>
      </c>
      <c r="B927" s="2">
        <v>1002</v>
      </c>
      <c r="C927" s="2" t="b">
        <v>0</v>
      </c>
      <c r="D927" s="2" t="b">
        <v>0</v>
      </c>
      <c r="E927" s="2" t="b">
        <v>0</v>
      </c>
      <c r="F927" s="2" t="b">
        <v>0</v>
      </c>
      <c r="G927" s="2" t="s">
        <v>31</v>
      </c>
      <c r="H927" s="2" t="s">
        <v>3234</v>
      </c>
      <c r="I927" s="2" t="s">
        <v>3235</v>
      </c>
      <c r="J927" s="2" t="s">
        <v>35</v>
      </c>
      <c r="K927" s="2" t="s">
        <v>35</v>
      </c>
      <c r="L927" s="2" t="s">
        <v>35</v>
      </c>
      <c r="M927" s="2" t="s">
        <v>35</v>
      </c>
      <c r="N927" s="2" t="s">
        <v>35</v>
      </c>
      <c r="O927" s="11">
        <v>44762.510472094909</v>
      </c>
      <c r="P927" s="11">
        <v>44762.510667523151</v>
      </c>
      <c r="Q927" s="27">
        <v>1.9542824156815186E-4</v>
      </c>
      <c r="R927" s="27">
        <v>3.3371528115822002E-4</v>
      </c>
      <c r="S927" s="2">
        <v>0</v>
      </c>
      <c r="T927" s="2" t="s">
        <v>36</v>
      </c>
      <c r="U927" s="2" t="s">
        <v>37</v>
      </c>
      <c r="V927" s="2" t="s">
        <v>38</v>
      </c>
      <c r="W927" s="2" t="s">
        <v>35</v>
      </c>
      <c r="X927" s="2" t="s">
        <v>35</v>
      </c>
      <c r="Y927" s="2" t="s">
        <v>35</v>
      </c>
      <c r="Z927" s="2" t="b">
        <v>0</v>
      </c>
      <c r="AA927" s="2" t="s">
        <v>35</v>
      </c>
      <c r="AB927" s="2" t="s">
        <v>35</v>
      </c>
      <c r="AC927" s="2" t="s">
        <v>35</v>
      </c>
      <c r="AD927" s="2">
        <v>6</v>
      </c>
      <c r="AE927" s="2" t="s">
        <v>2840</v>
      </c>
      <c r="AF927" s="11">
        <v>44762.350694444445</v>
      </c>
      <c r="AG927" s="53"/>
      <c r="AH927" s="53" t="b">
        <f t="shared" si="19"/>
        <v>0</v>
      </c>
      <c r="AI927" s="54" t="s">
        <v>10637</v>
      </c>
      <c r="AJ927" s="2"/>
      <c r="AK927" s="2"/>
      <c r="AL927" s="2"/>
      <c r="AM927" s="2"/>
      <c r="AN927" s="2"/>
    </row>
    <row r="928" spans="1:40" ht="16" x14ac:dyDescent="0.2">
      <c r="A928" s="2" t="s">
        <v>3242</v>
      </c>
      <c r="B928" s="2">
        <v>1005</v>
      </c>
      <c r="C928" s="2" t="b">
        <v>0</v>
      </c>
      <c r="D928" s="2" t="b">
        <v>0</v>
      </c>
      <c r="E928" s="2" t="b">
        <v>0</v>
      </c>
      <c r="F928" s="2" t="b">
        <v>0</v>
      </c>
      <c r="G928" s="2" t="s">
        <v>31</v>
      </c>
      <c r="H928" s="2" t="s">
        <v>3243</v>
      </c>
      <c r="I928" s="2" t="s">
        <v>3244</v>
      </c>
      <c r="J928" s="2" t="s">
        <v>3226</v>
      </c>
      <c r="K928" s="2" t="s">
        <v>35</v>
      </c>
      <c r="L928" s="2" t="s">
        <v>35</v>
      </c>
      <c r="M928" s="2" t="s">
        <v>35</v>
      </c>
      <c r="N928" s="2" t="s">
        <v>35</v>
      </c>
      <c r="O928" s="11">
        <v>44762.511253784724</v>
      </c>
      <c r="P928" s="11">
        <v>44762.511646574072</v>
      </c>
      <c r="Q928" s="27">
        <v>3.9278934855246916E-4</v>
      </c>
      <c r="R928" s="27">
        <v>4.4168981548864394E-4</v>
      </c>
      <c r="S928" s="2">
        <v>0</v>
      </c>
      <c r="T928" s="2" t="s">
        <v>36</v>
      </c>
      <c r="U928" s="2" t="s">
        <v>37</v>
      </c>
      <c r="V928" s="2" t="s">
        <v>38</v>
      </c>
      <c r="W928" s="2" t="s">
        <v>35</v>
      </c>
      <c r="X928" s="2" t="s">
        <v>35</v>
      </c>
      <c r="Y928" s="2" t="s">
        <v>35</v>
      </c>
      <c r="Z928" s="2" t="b">
        <v>0</v>
      </c>
      <c r="AA928" s="2" t="s">
        <v>35</v>
      </c>
      <c r="AB928" s="2" t="s">
        <v>35</v>
      </c>
      <c r="AC928" s="2">
        <v>7</v>
      </c>
      <c r="AD928" s="2" t="s">
        <v>35</v>
      </c>
      <c r="AE928" s="2" t="s">
        <v>2840</v>
      </c>
      <c r="AF928" s="11">
        <v>44762.350694444445</v>
      </c>
      <c r="AG928" s="53"/>
      <c r="AH928" s="53" t="b">
        <f t="shared" si="19"/>
        <v>0</v>
      </c>
      <c r="AI928" s="54" t="s">
        <v>10638</v>
      </c>
      <c r="AJ928" s="2"/>
      <c r="AK928" s="2"/>
      <c r="AL928" s="2"/>
      <c r="AM928" s="2"/>
      <c r="AN928" s="2"/>
    </row>
    <row r="929" spans="1:40" ht="16" x14ac:dyDescent="0.2">
      <c r="A929" s="2" t="s">
        <v>3296</v>
      </c>
      <c r="B929" s="2">
        <v>1022</v>
      </c>
      <c r="C929" s="2" t="b">
        <v>0</v>
      </c>
      <c r="D929" s="2" t="b">
        <v>0</v>
      </c>
      <c r="E929" s="2" t="b">
        <v>0</v>
      </c>
      <c r="F929" s="2" t="b">
        <v>0</v>
      </c>
      <c r="G929" s="2" t="s">
        <v>31</v>
      </c>
      <c r="H929" s="2" t="s">
        <v>3297</v>
      </c>
      <c r="I929" s="2" t="s">
        <v>3298</v>
      </c>
      <c r="J929" s="2" t="s">
        <v>35</v>
      </c>
      <c r="K929" s="2" t="s">
        <v>35</v>
      </c>
      <c r="L929" s="2" t="s">
        <v>35</v>
      </c>
      <c r="M929" s="2" t="s">
        <v>35</v>
      </c>
      <c r="N929" s="2" t="s">
        <v>35</v>
      </c>
      <c r="O929" s="11">
        <v>44764.37834304398</v>
      </c>
      <c r="P929" s="11">
        <v>44764.378477500002</v>
      </c>
      <c r="Q929" s="27">
        <v>1.3445602235151455E-4</v>
      </c>
      <c r="R929" s="27">
        <v>9.0572916815290228E-4</v>
      </c>
      <c r="S929" s="2">
        <v>0</v>
      </c>
      <c r="T929" s="2" t="s">
        <v>36</v>
      </c>
      <c r="U929" s="2" t="s">
        <v>37</v>
      </c>
      <c r="V929" s="2" t="s">
        <v>38</v>
      </c>
      <c r="W929" s="2" t="s">
        <v>35</v>
      </c>
      <c r="X929" s="2" t="s">
        <v>35</v>
      </c>
      <c r="Y929" s="2" t="s">
        <v>35</v>
      </c>
      <c r="Z929" s="2" t="b">
        <v>0</v>
      </c>
      <c r="AA929" s="2" t="s">
        <v>35</v>
      </c>
      <c r="AB929" s="2" t="s">
        <v>35</v>
      </c>
      <c r="AC929" s="2" t="s">
        <v>35</v>
      </c>
      <c r="AD929" s="2">
        <v>3</v>
      </c>
      <c r="AE929" s="2" t="s">
        <v>3248</v>
      </c>
      <c r="AF929" s="11">
        <v>44764.361111053244</v>
      </c>
      <c r="AG929" s="53"/>
      <c r="AH929" s="53" t="b">
        <f t="shared" si="19"/>
        <v>0</v>
      </c>
      <c r="AI929" s="54" t="s">
        <v>10639</v>
      </c>
      <c r="AJ929" s="2"/>
      <c r="AK929" s="2"/>
      <c r="AL929" s="2"/>
      <c r="AM929" s="2"/>
      <c r="AN929" s="2"/>
    </row>
    <row r="930" spans="1:40" ht="16" x14ac:dyDescent="0.2">
      <c r="A930" s="2" t="s">
        <v>3314</v>
      </c>
      <c r="B930" s="2">
        <v>1029</v>
      </c>
      <c r="C930" s="2" t="b">
        <v>0</v>
      </c>
      <c r="D930" s="2" t="b">
        <v>0</v>
      </c>
      <c r="E930" s="2" t="b">
        <v>0</v>
      </c>
      <c r="F930" s="2" t="b">
        <v>0</v>
      </c>
      <c r="G930" s="2" t="s">
        <v>31</v>
      </c>
      <c r="H930" s="2" t="s">
        <v>3315</v>
      </c>
      <c r="I930" s="2" t="s">
        <v>3316</v>
      </c>
      <c r="J930" s="2" t="s">
        <v>35</v>
      </c>
      <c r="K930" s="2" t="s">
        <v>35</v>
      </c>
      <c r="L930" s="2" t="s">
        <v>35</v>
      </c>
      <c r="M930" s="2" t="s">
        <v>35</v>
      </c>
      <c r="N930" s="2" t="s">
        <v>35</v>
      </c>
      <c r="O930" s="11">
        <v>44764.383766666666</v>
      </c>
      <c r="P930" s="11">
        <v>44764.383892951388</v>
      </c>
      <c r="Q930" s="27">
        <v>1.2628472177311778E-4</v>
      </c>
      <c r="R930" s="27">
        <v>1.290069441893138E-3</v>
      </c>
      <c r="S930" s="2">
        <v>0</v>
      </c>
      <c r="T930" s="2" t="s">
        <v>36</v>
      </c>
      <c r="U930" s="2" t="s">
        <v>37</v>
      </c>
      <c r="V930" s="2" t="s">
        <v>38</v>
      </c>
      <c r="W930" s="2" t="s">
        <v>35</v>
      </c>
      <c r="X930" s="2" t="s">
        <v>35</v>
      </c>
      <c r="Y930" s="2" t="s">
        <v>35</v>
      </c>
      <c r="Z930" s="2" t="b">
        <v>0</v>
      </c>
      <c r="AA930" s="2" t="s">
        <v>35</v>
      </c>
      <c r="AB930" s="2" t="s">
        <v>35</v>
      </c>
      <c r="AC930" s="2" t="s">
        <v>35</v>
      </c>
      <c r="AD930" s="2">
        <v>2</v>
      </c>
      <c r="AE930" s="2" t="s">
        <v>3248</v>
      </c>
      <c r="AF930" s="11">
        <v>44764.361111053244</v>
      </c>
      <c r="AG930" s="53"/>
      <c r="AH930" s="53" t="b">
        <f t="shared" si="19"/>
        <v>0</v>
      </c>
      <c r="AI930" s="54" t="s">
        <v>10640</v>
      </c>
      <c r="AJ930" s="2"/>
      <c r="AK930" s="2"/>
      <c r="AL930" s="2"/>
      <c r="AM930" s="2"/>
      <c r="AN930" s="2"/>
    </row>
    <row r="931" spans="1:40" ht="16" x14ac:dyDescent="0.2">
      <c r="A931" s="2" t="s">
        <v>3317</v>
      </c>
      <c r="B931" s="2">
        <v>1030</v>
      </c>
      <c r="C931" s="2" t="b">
        <v>0</v>
      </c>
      <c r="D931" s="2" t="b">
        <v>0</v>
      </c>
      <c r="E931" s="2" t="b">
        <v>0</v>
      </c>
      <c r="F931" s="2" t="b">
        <v>0</v>
      </c>
      <c r="G931" s="2" t="s">
        <v>31</v>
      </c>
      <c r="H931" s="2" t="s">
        <v>3318</v>
      </c>
      <c r="I931" s="2" t="s">
        <v>3319</v>
      </c>
      <c r="J931" s="2" t="s">
        <v>35</v>
      </c>
      <c r="K931" s="2" t="s">
        <v>35</v>
      </c>
      <c r="L931" s="2" t="s">
        <v>35</v>
      </c>
      <c r="M931" s="2" t="s">
        <v>35</v>
      </c>
      <c r="N931" s="2" t="s">
        <v>35</v>
      </c>
      <c r="O931" s="11">
        <v>44764.385270868057</v>
      </c>
      <c r="P931" s="11">
        <v>44764.385390937503</v>
      </c>
      <c r="Q931" s="27">
        <v>1.200694459839724E-4</v>
      </c>
      <c r="R931" s="27">
        <v>1.4979861152824014E-3</v>
      </c>
      <c r="S931" s="2">
        <v>0</v>
      </c>
      <c r="T931" s="2" t="s">
        <v>36</v>
      </c>
      <c r="U931" s="2" t="s">
        <v>37</v>
      </c>
      <c r="V931" s="2" t="s">
        <v>38</v>
      </c>
      <c r="W931" s="2" t="s">
        <v>35</v>
      </c>
      <c r="X931" s="2" t="s">
        <v>35</v>
      </c>
      <c r="Y931" s="2" t="s">
        <v>35</v>
      </c>
      <c r="Z931" s="2" t="b">
        <v>0</v>
      </c>
      <c r="AA931" s="2" t="s">
        <v>35</v>
      </c>
      <c r="AB931" s="2" t="s">
        <v>35</v>
      </c>
      <c r="AC931" s="2" t="s">
        <v>35</v>
      </c>
      <c r="AD931" s="2">
        <v>2</v>
      </c>
      <c r="AE931" s="2" t="s">
        <v>3248</v>
      </c>
      <c r="AF931" s="11">
        <v>44764.361111053244</v>
      </c>
      <c r="AG931" s="53"/>
      <c r="AH931" s="53" t="b">
        <f t="shared" si="19"/>
        <v>0</v>
      </c>
      <c r="AI931" s="54" t="s">
        <v>10641</v>
      </c>
      <c r="AJ931" s="2"/>
      <c r="AK931" s="2"/>
      <c r="AL931" s="2"/>
      <c r="AM931" s="2"/>
      <c r="AN931" s="2"/>
    </row>
    <row r="932" spans="1:40" ht="16" x14ac:dyDescent="0.2">
      <c r="A932" s="2" t="s">
        <v>3320</v>
      </c>
      <c r="B932" s="2">
        <v>1031</v>
      </c>
      <c r="C932" s="2" t="b">
        <v>0</v>
      </c>
      <c r="D932" s="2" t="b">
        <v>0</v>
      </c>
      <c r="E932" s="2" t="b">
        <v>0</v>
      </c>
      <c r="F932" s="2" t="b">
        <v>0</v>
      </c>
      <c r="G932" s="2" t="s">
        <v>31</v>
      </c>
      <c r="H932" s="2" t="s">
        <v>3321</v>
      </c>
      <c r="I932" s="2" t="s">
        <v>3322</v>
      </c>
      <c r="J932" s="2" t="s">
        <v>35</v>
      </c>
      <c r="K932" s="2" t="s">
        <v>35</v>
      </c>
      <c r="L932" s="2" t="s">
        <v>35</v>
      </c>
      <c r="M932" s="2" t="s">
        <v>35</v>
      </c>
      <c r="N932" s="2" t="s">
        <v>35</v>
      </c>
      <c r="O932" s="11">
        <v>44764.386228946758</v>
      </c>
      <c r="P932" s="11">
        <v>44764.386332662034</v>
      </c>
      <c r="Q932" s="27">
        <v>1.0371527605457231E-4</v>
      </c>
      <c r="R932" s="27">
        <v>9.4172453100327402E-4</v>
      </c>
      <c r="S932" s="2">
        <v>0</v>
      </c>
      <c r="T932" s="2" t="s">
        <v>36</v>
      </c>
      <c r="U932" s="2" t="s">
        <v>37</v>
      </c>
      <c r="V932" s="2" t="s">
        <v>38</v>
      </c>
      <c r="W932" s="2" t="s">
        <v>35</v>
      </c>
      <c r="X932" s="2" t="s">
        <v>35</v>
      </c>
      <c r="Y932" s="2" t="s">
        <v>35</v>
      </c>
      <c r="Z932" s="2" t="b">
        <v>0</v>
      </c>
      <c r="AA932" s="2" t="s">
        <v>35</v>
      </c>
      <c r="AB932" s="2" t="s">
        <v>35</v>
      </c>
      <c r="AC932" s="2" t="s">
        <v>35</v>
      </c>
      <c r="AD932" s="2">
        <v>4</v>
      </c>
      <c r="AE932" s="2" t="s">
        <v>3248</v>
      </c>
      <c r="AF932" s="11">
        <v>44764.361111053244</v>
      </c>
      <c r="AG932" s="53"/>
      <c r="AH932" s="53" t="b">
        <f t="shared" si="19"/>
        <v>0</v>
      </c>
      <c r="AI932" s="54" t="s">
        <v>10642</v>
      </c>
      <c r="AJ932" s="2"/>
      <c r="AK932" s="2"/>
      <c r="AL932" s="2"/>
      <c r="AM932" s="2"/>
      <c r="AN932" s="2"/>
    </row>
    <row r="933" spans="1:40" ht="16" x14ac:dyDescent="0.2">
      <c r="A933" s="2" t="s">
        <v>3349</v>
      </c>
      <c r="B933" s="2">
        <v>1041</v>
      </c>
      <c r="C933" s="2" t="b">
        <v>0</v>
      </c>
      <c r="D933" s="2" t="b">
        <v>0</v>
      </c>
      <c r="E933" s="2" t="b">
        <v>0</v>
      </c>
      <c r="F933" s="2" t="b">
        <v>0</v>
      </c>
      <c r="G933" s="2" t="s">
        <v>31</v>
      </c>
      <c r="H933" s="2" t="s">
        <v>3350</v>
      </c>
      <c r="I933" s="2" t="s">
        <v>3351</v>
      </c>
      <c r="J933" s="2" t="s">
        <v>35</v>
      </c>
      <c r="K933" s="2" t="s">
        <v>35</v>
      </c>
      <c r="L933" s="2" t="s">
        <v>35</v>
      </c>
      <c r="M933" s="2" t="s">
        <v>35</v>
      </c>
      <c r="N933" s="2" t="s">
        <v>35</v>
      </c>
      <c r="O933" s="11">
        <v>44764.398022893518</v>
      </c>
      <c r="P933" s="11">
        <v>44764.398212627311</v>
      </c>
      <c r="Q933" s="27">
        <v>1.8973379337694496E-4</v>
      </c>
      <c r="R933" s="27">
        <v>2.7304629620630294E-3</v>
      </c>
      <c r="S933" s="2">
        <v>0</v>
      </c>
      <c r="T933" s="2" t="s">
        <v>36</v>
      </c>
      <c r="U933" s="2" t="s">
        <v>37</v>
      </c>
      <c r="V933" s="2" t="s">
        <v>38</v>
      </c>
      <c r="W933" s="2" t="s">
        <v>35</v>
      </c>
      <c r="X933" s="2" t="s">
        <v>35</v>
      </c>
      <c r="Y933" s="2" t="s">
        <v>35</v>
      </c>
      <c r="Z933" s="2" t="b">
        <v>0</v>
      </c>
      <c r="AA933" s="2" t="s">
        <v>35</v>
      </c>
      <c r="AB933" s="2" t="s">
        <v>35</v>
      </c>
      <c r="AC933" s="2" t="s">
        <v>35</v>
      </c>
      <c r="AD933" s="2">
        <v>3</v>
      </c>
      <c r="AE933" s="2" t="s">
        <v>3248</v>
      </c>
      <c r="AF933" s="11">
        <v>44764.361111053244</v>
      </c>
      <c r="AG933" s="53"/>
      <c r="AH933" s="53" t="b">
        <f t="shared" si="19"/>
        <v>0</v>
      </c>
      <c r="AI933" s="54" t="s">
        <v>10643</v>
      </c>
      <c r="AJ933" s="2"/>
      <c r="AK933" s="2"/>
      <c r="AL933" s="2"/>
      <c r="AM933" s="2"/>
      <c r="AN933" s="2"/>
    </row>
    <row r="934" spans="1:40" ht="16" x14ac:dyDescent="0.2">
      <c r="A934" s="31" t="s">
        <v>3363</v>
      </c>
      <c r="B934" s="31">
        <v>1045</v>
      </c>
      <c r="C934" s="31" t="b">
        <v>0</v>
      </c>
      <c r="D934" s="31" t="b">
        <v>0</v>
      </c>
      <c r="E934" s="31" t="b">
        <v>0</v>
      </c>
      <c r="F934" s="31" t="b">
        <v>0</v>
      </c>
      <c r="G934" s="31" t="s">
        <v>31</v>
      </c>
      <c r="H934" s="31" t="s">
        <v>3364</v>
      </c>
      <c r="I934" s="31" t="s">
        <v>3365</v>
      </c>
      <c r="J934" s="31" t="s">
        <v>35</v>
      </c>
      <c r="K934" s="31" t="s">
        <v>35</v>
      </c>
      <c r="L934" s="31" t="s">
        <v>35</v>
      </c>
      <c r="M934" s="31" t="s">
        <v>35</v>
      </c>
      <c r="N934" s="31" t="s">
        <v>35</v>
      </c>
      <c r="O934" s="32">
        <v>44764.413806377313</v>
      </c>
      <c r="P934" s="32">
        <v>44764.413922418978</v>
      </c>
      <c r="Q934" s="30">
        <v>1.1604166502365842E-4</v>
      </c>
      <c r="R934" s="30">
        <v>1.1760081019019708E-2</v>
      </c>
      <c r="S934" s="31">
        <v>0</v>
      </c>
      <c r="T934" s="31" t="s">
        <v>36</v>
      </c>
      <c r="U934" s="31" t="s">
        <v>37</v>
      </c>
      <c r="V934" s="31" t="s">
        <v>38</v>
      </c>
      <c r="W934" s="31" t="s">
        <v>35</v>
      </c>
      <c r="X934" s="31" t="s">
        <v>35</v>
      </c>
      <c r="Y934" s="31" t="s">
        <v>35</v>
      </c>
      <c r="Z934" s="31" t="b">
        <v>0</v>
      </c>
      <c r="AA934" s="31" t="s">
        <v>35</v>
      </c>
      <c r="AB934" s="31" t="s">
        <v>35</v>
      </c>
      <c r="AC934" s="31" t="s">
        <v>35</v>
      </c>
      <c r="AD934" s="31">
        <v>2</v>
      </c>
      <c r="AE934" s="31" t="s">
        <v>3248</v>
      </c>
      <c r="AF934" s="32">
        <v>44764.361111053244</v>
      </c>
      <c r="AG934" s="55" t="s">
        <v>9408</v>
      </c>
      <c r="AH934" s="53" t="b">
        <f t="shared" si="19"/>
        <v>0</v>
      </c>
      <c r="AI934" s="62" t="s">
        <v>10844</v>
      </c>
      <c r="AJ934" s="31"/>
      <c r="AK934" s="31"/>
      <c r="AL934" s="31"/>
      <c r="AM934" s="31"/>
      <c r="AN934" s="31"/>
    </row>
    <row r="935" spans="1:40" ht="16" x14ac:dyDescent="0.2">
      <c r="A935" s="2" t="s">
        <v>3366</v>
      </c>
      <c r="B935" s="2">
        <v>1046</v>
      </c>
      <c r="C935" s="2" t="b">
        <v>0</v>
      </c>
      <c r="D935" s="2" t="b">
        <v>0</v>
      </c>
      <c r="E935" s="2" t="b">
        <v>0</v>
      </c>
      <c r="F935" s="2" t="b">
        <v>0</v>
      </c>
      <c r="G935" s="2" t="s">
        <v>31</v>
      </c>
      <c r="H935" s="2" t="s">
        <v>3367</v>
      </c>
      <c r="I935" s="2" t="s">
        <v>3368</v>
      </c>
      <c r="J935" s="2" t="s">
        <v>35</v>
      </c>
      <c r="K935" s="2" t="s">
        <v>35</v>
      </c>
      <c r="L935" s="2" t="s">
        <v>35</v>
      </c>
      <c r="M935" s="2" t="s">
        <v>35</v>
      </c>
      <c r="N935" s="2" t="s">
        <v>35</v>
      </c>
      <c r="O935" s="11">
        <v>44764.414705381947</v>
      </c>
      <c r="P935" s="11">
        <v>44764.414810810187</v>
      </c>
      <c r="Q935" s="27">
        <v>1.0542824020376429E-4</v>
      </c>
      <c r="R935" s="27">
        <v>8.8839120871853083E-4</v>
      </c>
      <c r="S935" s="2">
        <v>0</v>
      </c>
      <c r="T935" s="2" t="s">
        <v>36</v>
      </c>
      <c r="U935" s="2" t="s">
        <v>37</v>
      </c>
      <c r="V935" s="2" t="s">
        <v>38</v>
      </c>
      <c r="W935" s="2" t="s">
        <v>35</v>
      </c>
      <c r="X935" s="2" t="s">
        <v>35</v>
      </c>
      <c r="Y935" s="2" t="s">
        <v>35</v>
      </c>
      <c r="Z935" s="2" t="b">
        <v>0</v>
      </c>
      <c r="AA935" s="2" t="s">
        <v>35</v>
      </c>
      <c r="AB935" s="2" t="s">
        <v>35</v>
      </c>
      <c r="AC935" s="2" t="s">
        <v>35</v>
      </c>
      <c r="AD935" s="2">
        <v>3</v>
      </c>
      <c r="AE935" s="2" t="s">
        <v>3248</v>
      </c>
      <c r="AF935" s="11">
        <v>44764.361111053244</v>
      </c>
      <c r="AG935" s="53"/>
      <c r="AH935" s="53" t="b">
        <f t="shared" si="19"/>
        <v>0</v>
      </c>
      <c r="AI935" s="54" t="s">
        <v>10644</v>
      </c>
      <c r="AJ935" s="2"/>
      <c r="AK935" s="2"/>
      <c r="AL935" s="2"/>
      <c r="AM935" s="2"/>
      <c r="AN935" s="2"/>
    </row>
    <row r="936" spans="1:40" ht="16" x14ac:dyDescent="0.2">
      <c r="A936" s="2" t="s">
        <v>3369</v>
      </c>
      <c r="B936" s="2">
        <v>1047</v>
      </c>
      <c r="C936" s="2" t="b">
        <v>0</v>
      </c>
      <c r="D936" s="2" t="b">
        <v>0</v>
      </c>
      <c r="E936" s="2" t="b">
        <v>0</v>
      </c>
      <c r="F936" s="2" t="b">
        <v>0</v>
      </c>
      <c r="G936" s="2" t="s">
        <v>31</v>
      </c>
      <c r="H936" s="2" t="s">
        <v>3370</v>
      </c>
      <c r="I936" s="2" t="s">
        <v>3371</v>
      </c>
      <c r="J936" s="2" t="s">
        <v>35</v>
      </c>
      <c r="K936" s="2" t="s">
        <v>35</v>
      </c>
      <c r="L936" s="2" t="s">
        <v>35</v>
      </c>
      <c r="M936" s="2" t="s">
        <v>35</v>
      </c>
      <c r="N936" s="2" t="s">
        <v>35</v>
      </c>
      <c r="O936" s="11">
        <v>44764.415985983796</v>
      </c>
      <c r="P936" s="11">
        <v>44764.416117280096</v>
      </c>
      <c r="Q936" s="27">
        <v>1.3129629951436073E-4</v>
      </c>
      <c r="R936" s="27">
        <v>1.3064699087408371E-3</v>
      </c>
      <c r="S936" s="2">
        <v>0</v>
      </c>
      <c r="T936" s="2" t="s">
        <v>36</v>
      </c>
      <c r="U936" s="2" t="s">
        <v>37</v>
      </c>
      <c r="V936" s="2" t="s">
        <v>38</v>
      </c>
      <c r="W936" s="2" t="s">
        <v>35</v>
      </c>
      <c r="X936" s="2" t="s">
        <v>35</v>
      </c>
      <c r="Y936" s="2" t="s">
        <v>35</v>
      </c>
      <c r="Z936" s="2" t="b">
        <v>0</v>
      </c>
      <c r="AA936" s="2" t="s">
        <v>35</v>
      </c>
      <c r="AB936" s="2" t="s">
        <v>35</v>
      </c>
      <c r="AC936" s="2" t="s">
        <v>35</v>
      </c>
      <c r="AD936" s="2">
        <v>2</v>
      </c>
      <c r="AE936" s="2" t="s">
        <v>3248</v>
      </c>
      <c r="AF936" s="11">
        <v>44764.361111053244</v>
      </c>
      <c r="AG936" s="53"/>
      <c r="AH936" s="53" t="b">
        <f t="shared" si="19"/>
        <v>0</v>
      </c>
      <c r="AI936" s="54" t="s">
        <v>10645</v>
      </c>
      <c r="AJ936" s="2"/>
      <c r="AK936" s="2"/>
      <c r="AL936" s="2"/>
      <c r="AM936" s="2"/>
      <c r="AN936" s="2"/>
    </row>
    <row r="937" spans="1:40" ht="16" x14ac:dyDescent="0.2">
      <c r="A937" s="2" t="s">
        <v>3388</v>
      </c>
      <c r="B937" s="2">
        <v>1053</v>
      </c>
      <c r="C937" s="2" t="b">
        <v>0</v>
      </c>
      <c r="D937" s="2" t="b">
        <v>0</v>
      </c>
      <c r="E937" s="2" t="b">
        <v>0</v>
      </c>
      <c r="F937" s="2" t="b">
        <v>0</v>
      </c>
      <c r="G937" s="2" t="s">
        <v>31</v>
      </c>
      <c r="H937" s="2" t="s">
        <v>3389</v>
      </c>
      <c r="I937" s="2" t="s">
        <v>3390</v>
      </c>
      <c r="J937" s="2" t="s">
        <v>35</v>
      </c>
      <c r="K937" s="2" t="s">
        <v>35</v>
      </c>
      <c r="L937" s="2" t="s">
        <v>35</v>
      </c>
      <c r="M937" s="2" t="s">
        <v>35</v>
      </c>
      <c r="N937" s="2" t="s">
        <v>35</v>
      </c>
      <c r="O937" s="11">
        <v>44764.427073252315</v>
      </c>
      <c r="P937" s="11">
        <v>44764.427180682869</v>
      </c>
      <c r="Q937" s="27">
        <v>1.0743055463535711E-4</v>
      </c>
      <c r="R937" s="27">
        <v>1.734548612148501E-3</v>
      </c>
      <c r="S937" s="2">
        <v>0</v>
      </c>
      <c r="T937" s="2" t="s">
        <v>36</v>
      </c>
      <c r="U937" s="2" t="s">
        <v>37</v>
      </c>
      <c r="V937" s="2" t="s">
        <v>38</v>
      </c>
      <c r="W937" s="2" t="s">
        <v>35</v>
      </c>
      <c r="X937" s="2" t="s">
        <v>35</v>
      </c>
      <c r="Y937" s="2" t="s">
        <v>35</v>
      </c>
      <c r="Z937" s="2" t="b">
        <v>0</v>
      </c>
      <c r="AA937" s="2" t="s">
        <v>35</v>
      </c>
      <c r="AB937" s="2" t="s">
        <v>35</v>
      </c>
      <c r="AC937" s="2" t="s">
        <v>35</v>
      </c>
      <c r="AD937" s="2">
        <v>2</v>
      </c>
      <c r="AE937" s="2" t="s">
        <v>3248</v>
      </c>
      <c r="AF937" s="11">
        <v>44764.361111053244</v>
      </c>
      <c r="AG937" s="53"/>
      <c r="AH937" s="53" t="b">
        <f t="shared" si="19"/>
        <v>0</v>
      </c>
      <c r="AI937" s="54" t="s">
        <v>10646</v>
      </c>
      <c r="AJ937" s="2"/>
      <c r="AK937" s="2"/>
      <c r="AL937" s="2"/>
      <c r="AM937" s="2"/>
      <c r="AN937" s="2"/>
    </row>
    <row r="938" spans="1:40" ht="16" x14ac:dyDescent="0.2">
      <c r="A938" s="2" t="s">
        <v>3400</v>
      </c>
      <c r="B938" s="2">
        <v>1057</v>
      </c>
      <c r="C938" s="2" t="b">
        <v>0</v>
      </c>
      <c r="D938" s="2" t="b">
        <v>0</v>
      </c>
      <c r="E938" s="2" t="b">
        <v>0</v>
      </c>
      <c r="F938" s="2" t="b">
        <v>0</v>
      </c>
      <c r="G938" s="2" t="s">
        <v>31</v>
      </c>
      <c r="H938" s="2" t="s">
        <v>3401</v>
      </c>
      <c r="I938" s="2" t="s">
        <v>3402</v>
      </c>
      <c r="J938" s="2" t="s">
        <v>35</v>
      </c>
      <c r="K938" s="2" t="s">
        <v>35</v>
      </c>
      <c r="L938" s="2" t="s">
        <v>35</v>
      </c>
      <c r="M938" s="2" t="s">
        <v>35</v>
      </c>
      <c r="N938" s="2" t="s">
        <v>35</v>
      </c>
      <c r="O938" s="11">
        <v>44764.433221944448</v>
      </c>
      <c r="P938" s="11">
        <v>44764.433351828702</v>
      </c>
      <c r="Q938" s="27">
        <v>1.2988425442017615E-4</v>
      </c>
      <c r="R938" s="27">
        <v>6.8895833101123571E-4</v>
      </c>
      <c r="S938" s="2">
        <v>0</v>
      </c>
      <c r="T938" s="2" t="s">
        <v>36</v>
      </c>
      <c r="U938" s="2" t="s">
        <v>37</v>
      </c>
      <c r="V938" s="2" t="s">
        <v>38</v>
      </c>
      <c r="W938" s="2" t="s">
        <v>35</v>
      </c>
      <c r="X938" s="2" t="s">
        <v>35</v>
      </c>
      <c r="Y938" s="2" t="s">
        <v>35</v>
      </c>
      <c r="Z938" s="2" t="b">
        <v>0</v>
      </c>
      <c r="AA938" s="2" t="s">
        <v>35</v>
      </c>
      <c r="AB938" s="2" t="s">
        <v>35</v>
      </c>
      <c r="AC938" s="2" t="s">
        <v>35</v>
      </c>
      <c r="AD938" s="2">
        <v>4</v>
      </c>
      <c r="AE938" s="2" t="s">
        <v>3248</v>
      </c>
      <c r="AF938" s="11">
        <v>44764.361111053244</v>
      </c>
      <c r="AG938" s="53"/>
      <c r="AH938" s="53" t="b">
        <f t="shared" si="19"/>
        <v>0</v>
      </c>
      <c r="AI938" s="54" t="s">
        <v>10647</v>
      </c>
      <c r="AJ938" s="2"/>
      <c r="AK938" s="2"/>
      <c r="AL938" s="2"/>
      <c r="AM938" s="2"/>
      <c r="AN938" s="2"/>
    </row>
    <row r="939" spans="1:40" ht="16" x14ac:dyDescent="0.2">
      <c r="A939" s="2" t="s">
        <v>3412</v>
      </c>
      <c r="B939" s="2">
        <v>1061</v>
      </c>
      <c r="C939" s="2" t="b">
        <v>0</v>
      </c>
      <c r="D939" s="2" t="b">
        <v>0</v>
      </c>
      <c r="E939" s="2" t="b">
        <v>0</v>
      </c>
      <c r="F939" s="2" t="b">
        <v>0</v>
      </c>
      <c r="G939" s="2" t="s">
        <v>31</v>
      </c>
      <c r="H939" s="2" t="s">
        <v>3413</v>
      </c>
      <c r="I939" s="2" t="s">
        <v>3414</v>
      </c>
      <c r="J939" s="2" t="s">
        <v>35</v>
      </c>
      <c r="K939" s="2" t="s">
        <v>35</v>
      </c>
      <c r="L939" s="2" t="s">
        <v>35</v>
      </c>
      <c r="M939" s="2" t="s">
        <v>35</v>
      </c>
      <c r="N939" s="2" t="s">
        <v>35</v>
      </c>
      <c r="O939" s="11">
        <v>44764.435166539355</v>
      </c>
      <c r="P939" s="11">
        <v>44764.435264652777</v>
      </c>
      <c r="Q939" s="27">
        <v>9.811342169996351E-5</v>
      </c>
      <c r="R939" s="27">
        <v>2.7194444555789232E-4</v>
      </c>
      <c r="S939" s="2">
        <v>0</v>
      </c>
      <c r="T939" s="2" t="s">
        <v>36</v>
      </c>
      <c r="U939" s="2" t="s">
        <v>37</v>
      </c>
      <c r="V939" s="2" t="s">
        <v>38</v>
      </c>
      <c r="W939" s="2" t="s">
        <v>35</v>
      </c>
      <c r="X939" s="2" t="s">
        <v>35</v>
      </c>
      <c r="Y939" s="2" t="s">
        <v>35</v>
      </c>
      <c r="Z939" s="2" t="b">
        <v>0</v>
      </c>
      <c r="AA939" s="2" t="s">
        <v>35</v>
      </c>
      <c r="AB939" s="2" t="s">
        <v>35</v>
      </c>
      <c r="AC939" s="2" t="s">
        <v>35</v>
      </c>
      <c r="AD939" s="2">
        <v>3</v>
      </c>
      <c r="AE939" s="2" t="s">
        <v>3248</v>
      </c>
      <c r="AF939" s="11">
        <v>44764.361111053244</v>
      </c>
      <c r="AG939" s="53"/>
      <c r="AH939" s="53" t="b">
        <f t="shared" si="19"/>
        <v>0</v>
      </c>
      <c r="AI939" s="54" t="s">
        <v>10648</v>
      </c>
      <c r="AJ939" s="2"/>
      <c r="AK939" s="2"/>
      <c r="AL939" s="2"/>
      <c r="AM939" s="2"/>
      <c r="AN939" s="2"/>
    </row>
    <row r="940" spans="1:40" ht="16" x14ac:dyDescent="0.2">
      <c r="A940" s="2" t="s">
        <v>3421</v>
      </c>
      <c r="B940" s="2">
        <v>1064</v>
      </c>
      <c r="C940" s="2" t="b">
        <v>0</v>
      </c>
      <c r="D940" s="2" t="b">
        <v>0</v>
      </c>
      <c r="E940" s="2" t="b">
        <v>0</v>
      </c>
      <c r="F940" s="2" t="b">
        <v>0</v>
      </c>
      <c r="G940" s="2" t="s">
        <v>31</v>
      </c>
      <c r="H940" s="2" t="s">
        <v>3422</v>
      </c>
      <c r="I940" s="2" t="s">
        <v>3423</v>
      </c>
      <c r="J940" s="2" t="s">
        <v>35</v>
      </c>
      <c r="K940" s="2" t="s">
        <v>35</v>
      </c>
      <c r="L940" s="2" t="s">
        <v>35</v>
      </c>
      <c r="M940" s="2" t="s">
        <v>35</v>
      </c>
      <c r="N940" s="2" t="s">
        <v>35</v>
      </c>
      <c r="O940" s="11">
        <v>44764.43653230324</v>
      </c>
      <c r="P940" s="11">
        <v>44764.436640532411</v>
      </c>
      <c r="Q940" s="27">
        <v>1.082291710190475E-4</v>
      </c>
      <c r="R940" s="27">
        <v>8.087615788099356E-4</v>
      </c>
      <c r="S940" s="2">
        <v>0</v>
      </c>
      <c r="T940" s="2" t="s">
        <v>36</v>
      </c>
      <c r="U940" s="2" t="s">
        <v>37</v>
      </c>
      <c r="V940" s="2" t="s">
        <v>38</v>
      </c>
      <c r="W940" s="2" t="s">
        <v>35</v>
      </c>
      <c r="X940" s="2" t="s">
        <v>35</v>
      </c>
      <c r="Y940" s="2" t="s">
        <v>35</v>
      </c>
      <c r="Z940" s="2" t="b">
        <v>0</v>
      </c>
      <c r="AA940" s="2" t="s">
        <v>35</v>
      </c>
      <c r="AB940" s="2" t="s">
        <v>35</v>
      </c>
      <c r="AC940" s="2" t="s">
        <v>35</v>
      </c>
      <c r="AD940" s="2">
        <v>2</v>
      </c>
      <c r="AE940" s="2" t="s">
        <v>3248</v>
      </c>
      <c r="AF940" s="11">
        <v>44764.361111053244</v>
      </c>
      <c r="AG940" s="53"/>
      <c r="AH940" s="53" t="b">
        <f t="shared" si="19"/>
        <v>0</v>
      </c>
      <c r="AI940" s="54" t="s">
        <v>10649</v>
      </c>
      <c r="AJ940" s="2"/>
      <c r="AK940" s="2"/>
      <c r="AL940" s="2"/>
      <c r="AM940" s="2"/>
      <c r="AN940" s="2"/>
    </row>
    <row r="941" spans="1:40" ht="16" x14ac:dyDescent="0.2">
      <c r="A941" s="2" t="s">
        <v>3430</v>
      </c>
      <c r="B941" s="2">
        <v>1067</v>
      </c>
      <c r="C941" s="2" t="b">
        <v>0</v>
      </c>
      <c r="D941" s="2" t="b">
        <v>0</v>
      </c>
      <c r="E941" s="2" t="b">
        <v>0</v>
      </c>
      <c r="F941" s="2" t="b">
        <v>0</v>
      </c>
      <c r="G941" s="2" t="s">
        <v>31</v>
      </c>
      <c r="H941" s="2" t="s">
        <v>3431</v>
      </c>
      <c r="I941" s="2" t="s">
        <v>3432</v>
      </c>
      <c r="J941" s="2" t="s">
        <v>35</v>
      </c>
      <c r="K941" s="2" t="s">
        <v>35</v>
      </c>
      <c r="L941" s="2" t="s">
        <v>35</v>
      </c>
      <c r="M941" s="2" t="s">
        <v>35</v>
      </c>
      <c r="N941" s="2" t="s">
        <v>35</v>
      </c>
      <c r="O941" s="11">
        <v>44764.441441122683</v>
      </c>
      <c r="P941" s="11">
        <v>44764.441539004627</v>
      </c>
      <c r="Q941" s="27">
        <v>9.7881944384425879E-5</v>
      </c>
      <c r="R941" s="27">
        <v>1.0743981474661268E-3</v>
      </c>
      <c r="S941" s="2">
        <v>0</v>
      </c>
      <c r="T941" s="2" t="s">
        <v>36</v>
      </c>
      <c r="U941" s="2" t="s">
        <v>37</v>
      </c>
      <c r="V941" s="2" t="s">
        <v>38</v>
      </c>
      <c r="W941" s="2" t="s">
        <v>35</v>
      </c>
      <c r="X941" s="2" t="s">
        <v>35</v>
      </c>
      <c r="Y941" s="2" t="s">
        <v>35</v>
      </c>
      <c r="Z941" s="2" t="b">
        <v>0</v>
      </c>
      <c r="AA941" s="2" t="s">
        <v>35</v>
      </c>
      <c r="AB941" s="2" t="s">
        <v>35</v>
      </c>
      <c r="AC941" s="2" t="s">
        <v>35</v>
      </c>
      <c r="AD941" s="2">
        <v>2</v>
      </c>
      <c r="AE941" s="2" t="s">
        <v>3248</v>
      </c>
      <c r="AF941" s="11">
        <v>44764.361111053244</v>
      </c>
      <c r="AG941" s="53"/>
      <c r="AH941" s="53" t="b">
        <f t="shared" si="19"/>
        <v>0</v>
      </c>
      <c r="AI941" s="54" t="s">
        <v>10650</v>
      </c>
      <c r="AJ941" s="2"/>
      <c r="AK941" s="2"/>
      <c r="AL941" s="2"/>
      <c r="AM941" s="2"/>
      <c r="AN941" s="2"/>
    </row>
    <row r="942" spans="1:40" ht="16" x14ac:dyDescent="0.2">
      <c r="A942" s="2" t="s">
        <v>3433</v>
      </c>
      <c r="B942" s="2">
        <v>1068</v>
      </c>
      <c r="C942" s="2" t="b">
        <v>0</v>
      </c>
      <c r="D942" s="2" t="b">
        <v>0</v>
      </c>
      <c r="E942" s="2" t="b">
        <v>0</v>
      </c>
      <c r="F942" s="2" t="b">
        <v>0</v>
      </c>
      <c r="G942" s="2" t="s">
        <v>31</v>
      </c>
      <c r="H942" s="2" t="s">
        <v>3434</v>
      </c>
      <c r="I942" s="2" t="s">
        <v>3435</v>
      </c>
      <c r="J942" s="2" t="s">
        <v>35</v>
      </c>
      <c r="K942" s="2" t="s">
        <v>35</v>
      </c>
      <c r="L942" s="2" t="s">
        <v>35</v>
      </c>
      <c r="M942" s="2" t="s">
        <v>35</v>
      </c>
      <c r="N942" s="2" t="s">
        <v>35</v>
      </c>
      <c r="O942" s="11">
        <v>44764.442885879631</v>
      </c>
      <c r="P942" s="11">
        <v>44764.443001377316</v>
      </c>
      <c r="Q942" s="27">
        <v>1.1549768532859161E-4</v>
      </c>
      <c r="R942" s="27">
        <v>1.462372689275071E-3</v>
      </c>
      <c r="S942" s="2">
        <v>0</v>
      </c>
      <c r="T942" s="2" t="s">
        <v>36</v>
      </c>
      <c r="U942" s="2" t="s">
        <v>37</v>
      </c>
      <c r="V942" s="2" t="s">
        <v>38</v>
      </c>
      <c r="W942" s="2" t="s">
        <v>35</v>
      </c>
      <c r="X942" s="2" t="s">
        <v>35</v>
      </c>
      <c r="Y942" s="2" t="s">
        <v>35</v>
      </c>
      <c r="Z942" s="2" t="b">
        <v>0</v>
      </c>
      <c r="AA942" s="2" t="s">
        <v>35</v>
      </c>
      <c r="AB942" s="2" t="s">
        <v>35</v>
      </c>
      <c r="AC942" s="2" t="s">
        <v>35</v>
      </c>
      <c r="AD942" s="2">
        <v>2</v>
      </c>
      <c r="AE942" s="2" t="s">
        <v>3248</v>
      </c>
      <c r="AF942" s="11">
        <v>44764.361111053244</v>
      </c>
      <c r="AG942" s="53"/>
      <c r="AH942" s="53" t="b">
        <f t="shared" si="19"/>
        <v>0</v>
      </c>
      <c r="AI942" s="54" t="s">
        <v>10651</v>
      </c>
      <c r="AJ942" s="2"/>
      <c r="AK942" s="2"/>
      <c r="AL942" s="2"/>
      <c r="AM942" s="2"/>
      <c r="AN942" s="2"/>
    </row>
    <row r="943" spans="1:40" ht="16" x14ac:dyDescent="0.2">
      <c r="A943" s="2" t="s">
        <v>3460</v>
      </c>
      <c r="B943" s="2">
        <v>1076</v>
      </c>
      <c r="C943" s="2" t="b">
        <v>0</v>
      </c>
      <c r="D943" s="2" t="b">
        <v>0</v>
      </c>
      <c r="E943" s="2" t="b">
        <v>0</v>
      </c>
      <c r="F943" s="2" t="b">
        <v>0</v>
      </c>
      <c r="G943" s="2" t="s">
        <v>31</v>
      </c>
      <c r="H943" s="2" t="s">
        <v>3461</v>
      </c>
      <c r="I943" s="2" t="s">
        <v>3462</v>
      </c>
      <c r="J943" s="2" t="s">
        <v>3463</v>
      </c>
      <c r="K943" s="2" t="s">
        <v>35</v>
      </c>
      <c r="L943" s="2" t="s">
        <v>35</v>
      </c>
      <c r="M943" s="2" t="s">
        <v>35</v>
      </c>
      <c r="N943" s="2" t="s">
        <v>35</v>
      </c>
      <c r="O943" s="11">
        <v>44764.448950162034</v>
      </c>
      <c r="P943" s="11">
        <v>44764.449161192133</v>
      </c>
      <c r="Q943" s="27">
        <v>2.1103009930811822E-4</v>
      </c>
      <c r="R943" s="27">
        <v>1.3411111140158027E-3</v>
      </c>
      <c r="S943" s="2">
        <v>0</v>
      </c>
      <c r="T943" s="2" t="s">
        <v>36</v>
      </c>
      <c r="U943" s="2" t="s">
        <v>37</v>
      </c>
      <c r="V943" s="2" t="s">
        <v>38</v>
      </c>
      <c r="W943" s="2" t="s">
        <v>35</v>
      </c>
      <c r="X943" s="2" t="s">
        <v>35</v>
      </c>
      <c r="Y943" s="2" t="s">
        <v>35</v>
      </c>
      <c r="Z943" s="2" t="b">
        <v>0</v>
      </c>
      <c r="AA943" s="2" t="s">
        <v>35</v>
      </c>
      <c r="AB943" s="2" t="s">
        <v>35</v>
      </c>
      <c r="AC943" s="2">
        <v>4</v>
      </c>
      <c r="AD943" s="2">
        <v>3</v>
      </c>
      <c r="AE943" s="2" t="s">
        <v>3248</v>
      </c>
      <c r="AF943" s="11">
        <v>44764.361111053244</v>
      </c>
      <c r="AG943" s="53"/>
      <c r="AH943" s="53" t="b">
        <f t="shared" si="19"/>
        <v>0</v>
      </c>
      <c r="AI943" s="54" t="s">
        <v>10652</v>
      </c>
      <c r="AJ943" s="2"/>
      <c r="AK943" s="2"/>
      <c r="AL943" s="2"/>
      <c r="AM943" s="2"/>
      <c r="AN943" s="2"/>
    </row>
    <row r="944" spans="1:40" ht="16" x14ac:dyDescent="0.2">
      <c r="A944" s="2" t="s">
        <v>3464</v>
      </c>
      <c r="B944" s="2">
        <v>1077</v>
      </c>
      <c r="C944" s="2" t="b">
        <v>0</v>
      </c>
      <c r="D944" s="2" t="b">
        <v>0</v>
      </c>
      <c r="E944" s="2" t="b">
        <v>0</v>
      </c>
      <c r="F944" s="2" t="b">
        <v>0</v>
      </c>
      <c r="G944" s="2" t="s">
        <v>31</v>
      </c>
      <c r="H944" s="2" t="s">
        <v>3465</v>
      </c>
      <c r="I944" s="2" t="s">
        <v>3466</v>
      </c>
      <c r="J944" s="2" t="s">
        <v>35</v>
      </c>
      <c r="K944" s="2" t="s">
        <v>35</v>
      </c>
      <c r="L944" s="2" t="s">
        <v>35</v>
      </c>
      <c r="M944" s="2" t="s">
        <v>35</v>
      </c>
      <c r="N944" s="2" t="s">
        <v>35</v>
      </c>
      <c r="O944" s="11">
        <v>44764.452772719909</v>
      </c>
      <c r="P944" s="11">
        <v>44764.452899629629</v>
      </c>
      <c r="Q944" s="27">
        <v>1.2690971925621852E-4</v>
      </c>
      <c r="R944" s="27">
        <v>3.7384374954854138E-3</v>
      </c>
      <c r="S944" s="2">
        <v>0</v>
      </c>
      <c r="T944" s="2" t="s">
        <v>36</v>
      </c>
      <c r="U944" s="2" t="s">
        <v>37</v>
      </c>
      <c r="V944" s="2" t="s">
        <v>38</v>
      </c>
      <c r="W944" s="2" t="s">
        <v>35</v>
      </c>
      <c r="X944" s="2" t="s">
        <v>35</v>
      </c>
      <c r="Y944" s="2" t="s">
        <v>35</v>
      </c>
      <c r="Z944" s="2" t="b">
        <v>0</v>
      </c>
      <c r="AA944" s="2" t="s">
        <v>35</v>
      </c>
      <c r="AB944" s="2" t="s">
        <v>35</v>
      </c>
      <c r="AC944" s="2" t="s">
        <v>35</v>
      </c>
      <c r="AD944" s="2">
        <v>2</v>
      </c>
      <c r="AE944" s="2" t="s">
        <v>3248</v>
      </c>
      <c r="AF944" s="11">
        <v>44764.361111053244</v>
      </c>
      <c r="AG944" s="53"/>
      <c r="AH944" s="53" t="b">
        <f t="shared" si="19"/>
        <v>0</v>
      </c>
      <c r="AI944" s="54" t="s">
        <v>10653</v>
      </c>
      <c r="AJ944" s="2"/>
      <c r="AK944" s="2"/>
      <c r="AL944" s="2"/>
      <c r="AM944" s="2"/>
      <c r="AN944" s="2"/>
    </row>
    <row r="945" spans="1:40" ht="16" x14ac:dyDescent="0.2">
      <c r="A945" s="2" t="s">
        <v>3471</v>
      </c>
      <c r="B945" s="2">
        <v>1079</v>
      </c>
      <c r="C945" s="2" t="b">
        <v>0</v>
      </c>
      <c r="D945" s="2" t="b">
        <v>0</v>
      </c>
      <c r="E945" s="2" t="b">
        <v>0</v>
      </c>
      <c r="F945" s="2" t="b">
        <v>0</v>
      </c>
      <c r="G945" s="2" t="s">
        <v>31</v>
      </c>
      <c r="H945" s="2" t="s">
        <v>3472</v>
      </c>
      <c r="I945" s="2" t="s">
        <v>3473</v>
      </c>
      <c r="J945" s="2" t="s">
        <v>35</v>
      </c>
      <c r="K945" s="2" t="s">
        <v>35</v>
      </c>
      <c r="L945" s="2" t="s">
        <v>35</v>
      </c>
      <c r="M945" s="2" t="s">
        <v>35</v>
      </c>
      <c r="N945" s="2" t="s">
        <v>35</v>
      </c>
      <c r="O945" s="11">
        <v>44764.454373391207</v>
      </c>
      <c r="P945" s="11">
        <v>44764.454472291669</v>
      </c>
      <c r="Q945" s="27">
        <v>9.8900462035089731E-5</v>
      </c>
      <c r="R945" s="27">
        <v>3.2844907400431111E-4</v>
      </c>
      <c r="S945" s="2">
        <v>0</v>
      </c>
      <c r="T945" s="2" t="s">
        <v>36</v>
      </c>
      <c r="U945" s="2" t="s">
        <v>37</v>
      </c>
      <c r="V945" s="2" t="s">
        <v>38</v>
      </c>
      <c r="W945" s="2" t="s">
        <v>35</v>
      </c>
      <c r="X945" s="2" t="s">
        <v>35</v>
      </c>
      <c r="Y945" s="2" t="s">
        <v>35</v>
      </c>
      <c r="Z945" s="2" t="b">
        <v>0</v>
      </c>
      <c r="AA945" s="2" t="s">
        <v>35</v>
      </c>
      <c r="AB945" s="2" t="s">
        <v>35</v>
      </c>
      <c r="AC945" s="2" t="s">
        <v>35</v>
      </c>
      <c r="AD945" s="2">
        <v>2</v>
      </c>
      <c r="AE945" s="2" t="s">
        <v>3248</v>
      </c>
      <c r="AF945" s="11">
        <v>44764.361111053244</v>
      </c>
      <c r="AG945" s="53"/>
      <c r="AH945" s="53" t="b">
        <f t="shared" si="19"/>
        <v>0</v>
      </c>
      <c r="AI945" s="54" t="s">
        <v>10654</v>
      </c>
      <c r="AJ945" s="2"/>
      <c r="AK945" s="2"/>
      <c r="AL945" s="2"/>
      <c r="AM945" s="2"/>
      <c r="AN945" s="2"/>
    </row>
    <row r="946" spans="1:40" ht="16" x14ac:dyDescent="0.2">
      <c r="A946" s="2" t="s">
        <v>3477</v>
      </c>
      <c r="B946" s="2">
        <v>1081</v>
      </c>
      <c r="C946" s="2" t="b">
        <v>0</v>
      </c>
      <c r="D946" s="2" t="b">
        <v>0</v>
      </c>
      <c r="E946" s="2" t="b">
        <v>0</v>
      </c>
      <c r="F946" s="2" t="b">
        <v>0</v>
      </c>
      <c r="G946" s="2" t="s">
        <v>31</v>
      </c>
      <c r="H946" s="2" t="s">
        <v>3478</v>
      </c>
      <c r="I946" s="2" t="s">
        <v>3479</v>
      </c>
      <c r="J946" s="2" t="s">
        <v>35</v>
      </c>
      <c r="K946" s="2" t="s">
        <v>35</v>
      </c>
      <c r="L946" s="2" t="s">
        <v>35</v>
      </c>
      <c r="M946" s="2" t="s">
        <v>35</v>
      </c>
      <c r="N946" s="2" t="s">
        <v>35</v>
      </c>
      <c r="O946" s="11">
        <v>44764.458480023146</v>
      </c>
      <c r="P946" s="11">
        <v>44764.458582245374</v>
      </c>
      <c r="Q946" s="27">
        <v>1.0222222772426903E-4</v>
      </c>
      <c r="R946" s="27">
        <v>6.373958385665901E-4</v>
      </c>
      <c r="S946" s="2">
        <v>0</v>
      </c>
      <c r="T946" s="2" t="s">
        <v>36</v>
      </c>
      <c r="U946" s="2" t="s">
        <v>37</v>
      </c>
      <c r="V946" s="2" t="s">
        <v>38</v>
      </c>
      <c r="W946" s="2" t="s">
        <v>35</v>
      </c>
      <c r="X946" s="2" t="s">
        <v>35</v>
      </c>
      <c r="Y946" s="2" t="s">
        <v>35</v>
      </c>
      <c r="Z946" s="2" t="b">
        <v>0</v>
      </c>
      <c r="AA946" s="2" t="s">
        <v>35</v>
      </c>
      <c r="AB946" s="2" t="s">
        <v>35</v>
      </c>
      <c r="AC946" s="2" t="s">
        <v>35</v>
      </c>
      <c r="AD946" s="2">
        <v>2</v>
      </c>
      <c r="AE946" s="2" t="s">
        <v>3248</v>
      </c>
      <c r="AF946" s="11">
        <v>44764.361111053244</v>
      </c>
      <c r="AG946" s="53"/>
      <c r="AH946" s="53" t="b">
        <f t="shared" si="19"/>
        <v>0</v>
      </c>
      <c r="AI946" s="54" t="s">
        <v>10655</v>
      </c>
      <c r="AJ946" s="2"/>
      <c r="AK946" s="2"/>
      <c r="AL946" s="2"/>
      <c r="AM946" s="2"/>
      <c r="AN946" s="2"/>
    </row>
    <row r="947" spans="1:40" ht="16" x14ac:dyDescent="0.2">
      <c r="A947" s="2" t="s">
        <v>3486</v>
      </c>
      <c r="B947" s="2">
        <v>1084</v>
      </c>
      <c r="C947" s="2" t="b">
        <v>0</v>
      </c>
      <c r="D947" s="2" t="b">
        <v>0</v>
      </c>
      <c r="E947" s="2" t="b">
        <v>0</v>
      </c>
      <c r="F947" s="2" t="b">
        <v>0</v>
      </c>
      <c r="G947" s="2" t="s">
        <v>31</v>
      </c>
      <c r="H947" s="2" t="s">
        <v>3487</v>
      </c>
      <c r="I947" s="2" t="s">
        <v>3488</v>
      </c>
      <c r="J947" s="2" t="s">
        <v>35</v>
      </c>
      <c r="K947" s="2" t="s">
        <v>35</v>
      </c>
      <c r="L947" s="2" t="s">
        <v>35</v>
      </c>
      <c r="M947" s="2" t="s">
        <v>35</v>
      </c>
      <c r="N947" s="2" t="s">
        <v>35</v>
      </c>
      <c r="O947" s="11">
        <v>44764.470160069446</v>
      </c>
      <c r="P947" s="11">
        <v>44764.470334745369</v>
      </c>
      <c r="Q947" s="27">
        <v>1.7467592260800302E-4</v>
      </c>
      <c r="R947" s="27">
        <v>5.2887962956447154E-3</v>
      </c>
      <c r="S947" s="2">
        <v>0</v>
      </c>
      <c r="T947" s="2" t="s">
        <v>36</v>
      </c>
      <c r="U947" s="2" t="s">
        <v>37</v>
      </c>
      <c r="V947" s="2" t="s">
        <v>38</v>
      </c>
      <c r="W947" s="2" t="s">
        <v>35</v>
      </c>
      <c r="X947" s="2" t="s">
        <v>35</v>
      </c>
      <c r="Y947" s="2" t="s">
        <v>35</v>
      </c>
      <c r="Z947" s="2" t="b">
        <v>0</v>
      </c>
      <c r="AA947" s="2" t="s">
        <v>35</v>
      </c>
      <c r="AB947" s="2" t="s">
        <v>35</v>
      </c>
      <c r="AC947" s="2" t="s">
        <v>35</v>
      </c>
      <c r="AD947" s="2">
        <v>2</v>
      </c>
      <c r="AE947" s="2" t="s">
        <v>3248</v>
      </c>
      <c r="AF947" s="11">
        <v>44764.361111053244</v>
      </c>
      <c r="AG947" s="53"/>
      <c r="AH947" s="53" t="b">
        <f t="shared" si="19"/>
        <v>0</v>
      </c>
      <c r="AI947" s="54" t="s">
        <v>9505</v>
      </c>
      <c r="AJ947" s="2"/>
      <c r="AK947" s="2"/>
      <c r="AL947" s="2"/>
      <c r="AM947" s="2"/>
      <c r="AN947" s="2"/>
    </row>
    <row r="948" spans="1:40" ht="16" x14ac:dyDescent="0.2">
      <c r="A948" s="2" t="s">
        <v>3489</v>
      </c>
      <c r="B948" s="2">
        <v>1085</v>
      </c>
      <c r="C948" s="2" t="b">
        <v>0</v>
      </c>
      <c r="D948" s="2" t="b">
        <v>0</v>
      </c>
      <c r="E948" s="2" t="b">
        <v>0</v>
      </c>
      <c r="F948" s="2" t="b">
        <v>0</v>
      </c>
      <c r="G948" s="2" t="s">
        <v>31</v>
      </c>
      <c r="H948" s="2" t="s">
        <v>3490</v>
      </c>
      <c r="I948" s="2" t="s">
        <v>3491</v>
      </c>
      <c r="J948" s="2" t="s">
        <v>35</v>
      </c>
      <c r="K948" s="2" t="s">
        <v>35</v>
      </c>
      <c r="L948" s="2" t="s">
        <v>35</v>
      </c>
      <c r="M948" s="2" t="s">
        <v>35</v>
      </c>
      <c r="N948" s="2" t="s">
        <v>35</v>
      </c>
      <c r="O948" s="11">
        <v>44764.471404537035</v>
      </c>
      <c r="P948" s="11">
        <v>44764.47154027778</v>
      </c>
      <c r="Q948" s="27">
        <v>1.3574074546340853E-4</v>
      </c>
      <c r="R948" s="27">
        <v>1.2055324114044197E-3</v>
      </c>
      <c r="S948" s="2">
        <v>0</v>
      </c>
      <c r="T948" s="2" t="s">
        <v>36</v>
      </c>
      <c r="U948" s="2" t="s">
        <v>37</v>
      </c>
      <c r="V948" s="2" t="s">
        <v>38</v>
      </c>
      <c r="W948" s="2" t="s">
        <v>35</v>
      </c>
      <c r="X948" s="2" t="s">
        <v>35</v>
      </c>
      <c r="Y948" s="2" t="s">
        <v>35</v>
      </c>
      <c r="Z948" s="2" t="b">
        <v>0</v>
      </c>
      <c r="AA948" s="2" t="s">
        <v>35</v>
      </c>
      <c r="AB948" s="2" t="s">
        <v>35</v>
      </c>
      <c r="AC948" s="2" t="s">
        <v>35</v>
      </c>
      <c r="AD948" s="2">
        <v>2</v>
      </c>
      <c r="AE948" s="2" t="s">
        <v>3248</v>
      </c>
      <c r="AF948" s="11">
        <v>44764.361111053244</v>
      </c>
      <c r="AG948" s="53"/>
      <c r="AH948" s="53" t="b">
        <f t="shared" si="19"/>
        <v>0</v>
      </c>
      <c r="AI948" s="54" t="s">
        <v>10656</v>
      </c>
      <c r="AJ948" s="2"/>
      <c r="AK948" s="2"/>
      <c r="AL948" s="2"/>
      <c r="AM948" s="2"/>
      <c r="AN948" s="2"/>
    </row>
    <row r="949" spans="1:40" ht="16" x14ac:dyDescent="0.2">
      <c r="A949" s="2" t="s">
        <v>3492</v>
      </c>
      <c r="B949" s="2">
        <v>1086</v>
      </c>
      <c r="C949" s="2" t="b">
        <v>0</v>
      </c>
      <c r="D949" s="2" t="b">
        <v>0</v>
      </c>
      <c r="E949" s="2" t="b">
        <v>0</v>
      </c>
      <c r="F949" s="2" t="b">
        <v>0</v>
      </c>
      <c r="G949" s="2" t="s">
        <v>31</v>
      </c>
      <c r="H949" s="2" t="s">
        <v>3493</v>
      </c>
      <c r="I949" s="2" t="s">
        <v>3494</v>
      </c>
      <c r="J949" s="2" t="s">
        <v>35</v>
      </c>
      <c r="K949" s="2" t="s">
        <v>35</v>
      </c>
      <c r="L949" s="2" t="s">
        <v>35</v>
      </c>
      <c r="M949" s="2" t="s">
        <v>35</v>
      </c>
      <c r="N949" s="2" t="s">
        <v>35</v>
      </c>
      <c r="O949" s="11">
        <v>44764.4740784838</v>
      </c>
      <c r="P949" s="11">
        <v>44764.474240717595</v>
      </c>
      <c r="Q949" s="27">
        <v>1.6223379498114809E-4</v>
      </c>
      <c r="R949" s="27">
        <v>2.7004398143617436E-3</v>
      </c>
      <c r="S949" s="2">
        <v>0</v>
      </c>
      <c r="T949" s="2" t="s">
        <v>36</v>
      </c>
      <c r="U949" s="2" t="s">
        <v>37</v>
      </c>
      <c r="V949" s="2" t="s">
        <v>38</v>
      </c>
      <c r="W949" s="2" t="s">
        <v>35</v>
      </c>
      <c r="X949" s="2" t="s">
        <v>35</v>
      </c>
      <c r="Y949" s="2" t="s">
        <v>35</v>
      </c>
      <c r="Z949" s="2" t="b">
        <v>0</v>
      </c>
      <c r="AA949" s="2" t="s">
        <v>35</v>
      </c>
      <c r="AB949" s="2" t="s">
        <v>35</v>
      </c>
      <c r="AC949" s="2" t="s">
        <v>35</v>
      </c>
      <c r="AD949" s="2">
        <v>2</v>
      </c>
      <c r="AE949" s="2" t="s">
        <v>3248</v>
      </c>
      <c r="AF949" s="11">
        <v>44764.361111053244</v>
      </c>
      <c r="AG949" s="53"/>
      <c r="AH949" s="53" t="b">
        <f t="shared" si="19"/>
        <v>0</v>
      </c>
      <c r="AI949" s="54" t="s">
        <v>10657</v>
      </c>
      <c r="AJ949" s="2"/>
      <c r="AK949" s="2"/>
      <c r="AL949" s="2"/>
      <c r="AM949" s="2"/>
      <c r="AN949" s="2"/>
    </row>
    <row r="950" spans="1:40" ht="16" x14ac:dyDescent="0.2">
      <c r="A950" s="2" t="s">
        <v>3495</v>
      </c>
      <c r="B950" s="2">
        <v>1087</v>
      </c>
      <c r="C950" s="2" t="b">
        <v>0</v>
      </c>
      <c r="D950" s="2" t="b">
        <v>0</v>
      </c>
      <c r="E950" s="2" t="b">
        <v>0</v>
      </c>
      <c r="F950" s="2" t="b">
        <v>0</v>
      </c>
      <c r="G950" s="2" t="s">
        <v>31</v>
      </c>
      <c r="H950" s="2" t="s">
        <v>3496</v>
      </c>
      <c r="I950" s="2" t="s">
        <v>3497</v>
      </c>
      <c r="J950" s="2" t="s">
        <v>35</v>
      </c>
      <c r="K950" s="2" t="s">
        <v>35</v>
      </c>
      <c r="L950" s="2" t="s">
        <v>35</v>
      </c>
      <c r="M950" s="2" t="s">
        <v>35</v>
      </c>
      <c r="N950" s="2" t="s">
        <v>35</v>
      </c>
      <c r="O950" s="11">
        <v>44764.477676585651</v>
      </c>
      <c r="P950" s="11">
        <v>44764.47784861111</v>
      </c>
      <c r="Q950" s="27">
        <v>1.7202545859618112E-4</v>
      </c>
      <c r="R950" s="27">
        <v>3.6078935154364444E-3</v>
      </c>
      <c r="S950" s="2">
        <v>0</v>
      </c>
      <c r="T950" s="2" t="s">
        <v>36</v>
      </c>
      <c r="U950" s="2" t="s">
        <v>37</v>
      </c>
      <c r="V950" s="2" t="s">
        <v>38</v>
      </c>
      <c r="W950" s="2" t="s">
        <v>35</v>
      </c>
      <c r="X950" s="2" t="s">
        <v>35</v>
      </c>
      <c r="Y950" s="2" t="s">
        <v>35</v>
      </c>
      <c r="Z950" s="2" t="b">
        <v>0</v>
      </c>
      <c r="AA950" s="2" t="s">
        <v>35</v>
      </c>
      <c r="AB950" s="2" t="s">
        <v>35</v>
      </c>
      <c r="AC950" s="2" t="s">
        <v>35</v>
      </c>
      <c r="AD950" s="2">
        <v>2</v>
      </c>
      <c r="AE950" s="2" t="s">
        <v>3248</v>
      </c>
      <c r="AF950" s="11">
        <v>44764.361111053244</v>
      </c>
      <c r="AG950" s="53"/>
      <c r="AH950" s="53" t="b">
        <f t="shared" si="19"/>
        <v>0</v>
      </c>
      <c r="AI950" s="54" t="s">
        <v>10658</v>
      </c>
      <c r="AJ950" s="2"/>
      <c r="AK950" s="2"/>
      <c r="AL950" s="2"/>
      <c r="AM950" s="2"/>
      <c r="AN950" s="2"/>
    </row>
    <row r="951" spans="1:40" ht="16" x14ac:dyDescent="0.2">
      <c r="A951" s="2" t="s">
        <v>3500</v>
      </c>
      <c r="B951" s="2">
        <v>1089</v>
      </c>
      <c r="C951" s="2" t="b">
        <v>0</v>
      </c>
      <c r="D951" s="2" t="b">
        <v>0</v>
      </c>
      <c r="E951" s="2" t="b">
        <v>0</v>
      </c>
      <c r="F951" s="2" t="b">
        <v>0</v>
      </c>
      <c r="G951" s="2" t="s">
        <v>31</v>
      </c>
      <c r="H951" s="2" t="s">
        <v>3501</v>
      </c>
      <c r="I951" s="2" t="s">
        <v>3502</v>
      </c>
      <c r="J951" s="2" t="s">
        <v>35</v>
      </c>
      <c r="K951" s="2" t="s">
        <v>35</v>
      </c>
      <c r="L951" s="2" t="s">
        <v>35</v>
      </c>
      <c r="M951" s="2" t="s">
        <v>35</v>
      </c>
      <c r="N951" s="2" t="s">
        <v>35</v>
      </c>
      <c r="O951" s="11">
        <v>44769.387163726853</v>
      </c>
      <c r="P951" s="11">
        <v>44769.387744375003</v>
      </c>
      <c r="Q951" s="27">
        <v>5.806481494801119E-4</v>
      </c>
      <c r="R951" s="27">
        <v>2.5395949123776518E-3</v>
      </c>
      <c r="S951" s="2">
        <v>0</v>
      </c>
      <c r="T951" s="2" t="s">
        <v>36</v>
      </c>
      <c r="U951" s="2" t="s">
        <v>37</v>
      </c>
      <c r="V951" s="2" t="s">
        <v>38</v>
      </c>
      <c r="W951" s="2" t="s">
        <v>35</v>
      </c>
      <c r="X951" s="2" t="s">
        <v>35</v>
      </c>
      <c r="Y951" s="2" t="s">
        <v>35</v>
      </c>
      <c r="Z951" s="2" t="b">
        <v>0</v>
      </c>
      <c r="AA951" s="2" t="s">
        <v>2714</v>
      </c>
      <c r="AB951" s="2" t="s">
        <v>35</v>
      </c>
      <c r="AC951" s="2" t="s">
        <v>35</v>
      </c>
      <c r="AD951" s="2" t="s">
        <v>35</v>
      </c>
      <c r="AE951" s="2" t="s">
        <v>2840</v>
      </c>
      <c r="AF951" s="11">
        <v>44769.384722222225</v>
      </c>
      <c r="AG951" s="53"/>
      <c r="AH951" s="53" t="b">
        <f t="shared" si="19"/>
        <v>0</v>
      </c>
      <c r="AI951" s="54" t="s">
        <v>10659</v>
      </c>
      <c r="AJ951" s="2"/>
      <c r="AK951" s="2"/>
      <c r="AL951" s="2"/>
      <c r="AM951" s="2"/>
      <c r="AN951" s="2"/>
    </row>
    <row r="952" spans="1:40" ht="16" x14ac:dyDescent="0.2">
      <c r="A952" s="2" t="s">
        <v>3506</v>
      </c>
      <c r="B952" s="2">
        <v>1091</v>
      </c>
      <c r="C952" s="2" t="b">
        <v>0</v>
      </c>
      <c r="D952" s="2" t="b">
        <v>0</v>
      </c>
      <c r="E952" s="2" t="b">
        <v>0</v>
      </c>
      <c r="F952" s="2" t="b">
        <v>0</v>
      </c>
      <c r="G952" s="2" t="s">
        <v>31</v>
      </c>
      <c r="H952" s="2" t="s">
        <v>3507</v>
      </c>
      <c r="I952" s="2" t="s">
        <v>3508</v>
      </c>
      <c r="J952" s="2" t="s">
        <v>35</v>
      </c>
      <c r="K952" s="2" t="s">
        <v>35</v>
      </c>
      <c r="L952" s="2" t="s">
        <v>35</v>
      </c>
      <c r="M952" s="2" t="s">
        <v>35</v>
      </c>
      <c r="N952" s="2" t="s">
        <v>35</v>
      </c>
      <c r="O952" s="11">
        <v>44769.388863101849</v>
      </c>
      <c r="P952" s="11">
        <v>44769.389059456022</v>
      </c>
      <c r="Q952" s="27">
        <v>1.9635417265817523E-4</v>
      </c>
      <c r="R952" s="27">
        <v>7.857754681026563E-4</v>
      </c>
      <c r="S952" s="2">
        <v>0</v>
      </c>
      <c r="T952" s="2" t="s">
        <v>36</v>
      </c>
      <c r="U952" s="2" t="s">
        <v>37</v>
      </c>
      <c r="V952" s="2" t="s">
        <v>38</v>
      </c>
      <c r="W952" s="2" t="s">
        <v>35</v>
      </c>
      <c r="X952" s="2" t="s">
        <v>35</v>
      </c>
      <c r="Y952" s="2" t="s">
        <v>35</v>
      </c>
      <c r="Z952" s="2" t="b">
        <v>0</v>
      </c>
      <c r="AA952" s="2" t="s">
        <v>35</v>
      </c>
      <c r="AB952" s="2" t="s">
        <v>35</v>
      </c>
      <c r="AC952" s="2" t="s">
        <v>35</v>
      </c>
      <c r="AD952" s="2">
        <v>3</v>
      </c>
      <c r="AE952" s="2" t="s">
        <v>2840</v>
      </c>
      <c r="AF952" s="11">
        <v>44769.384722222225</v>
      </c>
      <c r="AG952" s="53"/>
      <c r="AH952" s="53" t="b">
        <f t="shared" si="19"/>
        <v>0</v>
      </c>
      <c r="AI952" s="54" t="s">
        <v>10660</v>
      </c>
      <c r="AJ952" s="2"/>
      <c r="AK952" s="2"/>
      <c r="AL952" s="2"/>
      <c r="AM952" s="2"/>
      <c r="AN952" s="2"/>
    </row>
    <row r="953" spans="1:40" ht="16" x14ac:dyDescent="0.2">
      <c r="A953" s="2" t="s">
        <v>3513</v>
      </c>
      <c r="B953" s="2">
        <v>1093</v>
      </c>
      <c r="C953" s="2" t="b">
        <v>0</v>
      </c>
      <c r="D953" s="2" t="b">
        <v>0</v>
      </c>
      <c r="E953" s="2" t="b">
        <v>0</v>
      </c>
      <c r="F953" s="2" t="b">
        <v>0</v>
      </c>
      <c r="G953" s="2" t="s">
        <v>31</v>
      </c>
      <c r="H953" s="2" t="s">
        <v>3514</v>
      </c>
      <c r="I953" s="2" t="s">
        <v>3515</v>
      </c>
      <c r="J953" s="2" t="s">
        <v>35</v>
      </c>
      <c r="K953" s="2" t="s">
        <v>35</v>
      </c>
      <c r="L953" s="2" t="s">
        <v>35</v>
      </c>
      <c r="M953" s="2" t="s">
        <v>35</v>
      </c>
      <c r="N953" s="2" t="s">
        <v>35</v>
      </c>
      <c r="O953" s="11">
        <v>44769.391652905091</v>
      </c>
      <c r="P953" s="11">
        <v>44769.392152071756</v>
      </c>
      <c r="Q953" s="27">
        <v>4.9916666466742754E-4</v>
      </c>
      <c r="R953" s="27">
        <v>1.8721411979640834E-3</v>
      </c>
      <c r="S953" s="2">
        <v>0</v>
      </c>
      <c r="T953" s="2" t="s">
        <v>36</v>
      </c>
      <c r="U953" s="2" t="s">
        <v>37</v>
      </c>
      <c r="V953" s="2" t="s">
        <v>38</v>
      </c>
      <c r="W953" s="2" t="s">
        <v>35</v>
      </c>
      <c r="X953" s="2" t="s">
        <v>35</v>
      </c>
      <c r="Y953" s="2" t="s">
        <v>35</v>
      </c>
      <c r="Z953" s="2" t="b">
        <v>0</v>
      </c>
      <c r="AA953" s="2" t="s">
        <v>3516</v>
      </c>
      <c r="AB953" s="2" t="s">
        <v>35</v>
      </c>
      <c r="AC953" s="2" t="s">
        <v>35</v>
      </c>
      <c r="AD953" s="2" t="s">
        <v>35</v>
      </c>
      <c r="AE953" s="2" t="s">
        <v>2840</v>
      </c>
      <c r="AF953" s="11">
        <v>44769.384722222225</v>
      </c>
      <c r="AG953" s="53"/>
      <c r="AH953" s="53" t="b">
        <f t="shared" si="19"/>
        <v>0</v>
      </c>
      <c r="AI953" s="54" t="s">
        <v>10661</v>
      </c>
      <c r="AJ953" s="2"/>
      <c r="AK953" s="2"/>
      <c r="AL953" s="2"/>
      <c r="AM953" s="2"/>
      <c r="AN953" s="2"/>
    </row>
    <row r="954" spans="1:40" ht="16" x14ac:dyDescent="0.2">
      <c r="A954" s="2" t="s">
        <v>3517</v>
      </c>
      <c r="B954" s="2">
        <v>1094</v>
      </c>
      <c r="C954" s="2" t="b">
        <v>0</v>
      </c>
      <c r="D954" s="2" t="b">
        <v>0</v>
      </c>
      <c r="E954" s="2" t="b">
        <v>0</v>
      </c>
      <c r="F954" s="2" t="b">
        <v>0</v>
      </c>
      <c r="G954" s="2" t="s">
        <v>31</v>
      </c>
      <c r="H954" s="2" t="s">
        <v>3518</v>
      </c>
      <c r="I954" s="2" t="s">
        <v>3519</v>
      </c>
      <c r="J954" s="2" t="s">
        <v>3520</v>
      </c>
      <c r="K954" s="2" t="s">
        <v>35</v>
      </c>
      <c r="L954" s="2" t="s">
        <v>35</v>
      </c>
      <c r="M954" s="2" t="s">
        <v>35</v>
      </c>
      <c r="N954" s="2" t="s">
        <v>35</v>
      </c>
      <c r="O954" s="11">
        <v>44769.392730081017</v>
      </c>
      <c r="P954" s="11">
        <v>44769.392973831018</v>
      </c>
      <c r="Q954" s="27">
        <v>2.4375000066356733E-4</v>
      </c>
      <c r="R954" s="27">
        <v>8.217592621804215E-4</v>
      </c>
      <c r="S954" s="2">
        <v>0</v>
      </c>
      <c r="T954" s="2" t="s">
        <v>36</v>
      </c>
      <c r="U954" s="2" t="s">
        <v>37</v>
      </c>
      <c r="V954" s="2" t="s">
        <v>38</v>
      </c>
      <c r="W954" s="2" t="s">
        <v>35</v>
      </c>
      <c r="X954" s="2" t="s">
        <v>35</v>
      </c>
      <c r="Y954" s="2" t="s">
        <v>35</v>
      </c>
      <c r="Z954" s="2" t="b">
        <v>0</v>
      </c>
      <c r="AA954" s="2" t="s">
        <v>35</v>
      </c>
      <c r="AB954" s="2" t="s">
        <v>35</v>
      </c>
      <c r="AC954" s="2">
        <v>5</v>
      </c>
      <c r="AD954" s="2">
        <v>4</v>
      </c>
      <c r="AE954" s="2" t="s">
        <v>2840</v>
      </c>
      <c r="AF954" s="11">
        <v>44769.384722222225</v>
      </c>
      <c r="AG954" s="53"/>
      <c r="AH954" s="53" t="b">
        <f t="shared" si="19"/>
        <v>0</v>
      </c>
      <c r="AI954" s="54" t="s">
        <v>9504</v>
      </c>
      <c r="AJ954" s="2"/>
      <c r="AK954" s="2"/>
      <c r="AL954" s="2"/>
      <c r="AM954" s="2"/>
      <c r="AN954" s="2"/>
    </row>
    <row r="955" spans="1:40" ht="16" x14ac:dyDescent="0.2">
      <c r="A955" s="2" t="s">
        <v>3521</v>
      </c>
      <c r="B955" s="2">
        <v>1095</v>
      </c>
      <c r="C955" s="2" t="b">
        <v>0</v>
      </c>
      <c r="D955" s="2" t="b">
        <v>0</v>
      </c>
      <c r="E955" s="2" t="b">
        <v>0</v>
      </c>
      <c r="F955" s="2" t="b">
        <v>0</v>
      </c>
      <c r="G955" s="2" t="s">
        <v>31</v>
      </c>
      <c r="H955" s="2" t="s">
        <v>3522</v>
      </c>
      <c r="I955" s="2" t="s">
        <v>3523</v>
      </c>
      <c r="J955" s="2" t="s">
        <v>3524</v>
      </c>
      <c r="K955" s="2" t="s">
        <v>35</v>
      </c>
      <c r="L955" s="2" t="s">
        <v>35</v>
      </c>
      <c r="M955" s="2" t="s">
        <v>35</v>
      </c>
      <c r="N955" s="2" t="s">
        <v>35</v>
      </c>
      <c r="O955" s="11">
        <v>44769.393828182867</v>
      </c>
      <c r="P955" s="11">
        <v>44769.39402965278</v>
      </c>
      <c r="Q955" s="27">
        <v>2.0146991300862283E-4</v>
      </c>
      <c r="R955" s="27">
        <v>1.0558217618381605E-3</v>
      </c>
      <c r="S955" s="2">
        <v>0</v>
      </c>
      <c r="T955" s="2" t="s">
        <v>36</v>
      </c>
      <c r="U955" s="2" t="s">
        <v>37</v>
      </c>
      <c r="V955" s="2" t="s">
        <v>38</v>
      </c>
      <c r="W955" s="2" t="s">
        <v>35</v>
      </c>
      <c r="X955" s="2" t="s">
        <v>35</v>
      </c>
      <c r="Y955" s="2" t="s">
        <v>35</v>
      </c>
      <c r="Z955" s="2" t="b">
        <v>0</v>
      </c>
      <c r="AA955" s="2" t="s">
        <v>35</v>
      </c>
      <c r="AB955" s="2" t="s">
        <v>35</v>
      </c>
      <c r="AC955" s="2">
        <v>7</v>
      </c>
      <c r="AD955" s="2" t="s">
        <v>35</v>
      </c>
      <c r="AE955" s="2" t="s">
        <v>2840</v>
      </c>
      <c r="AF955" s="11">
        <v>44769.384722222225</v>
      </c>
      <c r="AG955" s="53"/>
      <c r="AH955" s="53" t="b">
        <f t="shared" si="19"/>
        <v>0</v>
      </c>
      <c r="AI955" s="54" t="s">
        <v>10662</v>
      </c>
      <c r="AJ955" s="2"/>
      <c r="AK955" s="2"/>
      <c r="AL955" s="2"/>
      <c r="AM955" s="2"/>
      <c r="AN955" s="2"/>
    </row>
    <row r="956" spans="1:40" ht="16" x14ac:dyDescent="0.2">
      <c r="A956" s="2" t="s">
        <v>3525</v>
      </c>
      <c r="B956" s="2">
        <v>1096</v>
      </c>
      <c r="C956" s="2" t="b">
        <v>0</v>
      </c>
      <c r="D956" s="2" t="b">
        <v>0</v>
      </c>
      <c r="E956" s="2" t="b">
        <v>0</v>
      </c>
      <c r="F956" s="2" t="b">
        <v>0</v>
      </c>
      <c r="G956" s="2" t="s">
        <v>31</v>
      </c>
      <c r="H956" s="2" t="s">
        <v>3526</v>
      </c>
      <c r="I956" s="2" t="s">
        <v>3527</v>
      </c>
      <c r="J956" s="2" t="s">
        <v>35</v>
      </c>
      <c r="K956" s="2" t="s">
        <v>35</v>
      </c>
      <c r="L956" s="2" t="s">
        <v>35</v>
      </c>
      <c r="M956" s="2" t="s">
        <v>35</v>
      </c>
      <c r="N956" s="2" t="s">
        <v>35</v>
      </c>
      <c r="O956" s="11">
        <v>44769.394138981479</v>
      </c>
      <c r="P956" s="11">
        <v>44769.394299386571</v>
      </c>
      <c r="Q956" s="27">
        <v>1.604050921741873E-4</v>
      </c>
      <c r="R956" s="27">
        <v>2.6973379135597497E-4</v>
      </c>
      <c r="S956" s="2">
        <v>0</v>
      </c>
      <c r="T956" s="2" t="s">
        <v>36</v>
      </c>
      <c r="U956" s="2" t="s">
        <v>37</v>
      </c>
      <c r="V956" s="2" t="s">
        <v>38</v>
      </c>
      <c r="W956" s="2" t="s">
        <v>35</v>
      </c>
      <c r="X956" s="2" t="s">
        <v>35</v>
      </c>
      <c r="Y956" s="2" t="s">
        <v>35</v>
      </c>
      <c r="Z956" s="2" t="b">
        <v>0</v>
      </c>
      <c r="AA956" s="2" t="s">
        <v>35</v>
      </c>
      <c r="AB956" s="2" t="s">
        <v>35</v>
      </c>
      <c r="AC956" s="2" t="s">
        <v>35</v>
      </c>
      <c r="AD956" s="2">
        <v>4</v>
      </c>
      <c r="AE956" s="2" t="s">
        <v>2840</v>
      </c>
      <c r="AF956" s="11">
        <v>44769.384722222225</v>
      </c>
      <c r="AG956" s="53"/>
      <c r="AH956" s="53" t="b">
        <f t="shared" si="19"/>
        <v>0</v>
      </c>
      <c r="AI956" s="54" t="s">
        <v>10663</v>
      </c>
      <c r="AJ956" s="2"/>
      <c r="AK956" s="2"/>
      <c r="AL956" s="2"/>
      <c r="AM956" s="2"/>
      <c r="AN956" s="2"/>
    </row>
    <row r="957" spans="1:40" ht="16" x14ac:dyDescent="0.2">
      <c r="A957" s="2" t="s">
        <v>3528</v>
      </c>
      <c r="B957" s="2">
        <v>1097</v>
      </c>
      <c r="C957" s="2" t="b">
        <v>0</v>
      </c>
      <c r="D957" s="2" t="b">
        <v>0</v>
      </c>
      <c r="E957" s="2" t="b">
        <v>0</v>
      </c>
      <c r="F957" s="2" t="b">
        <v>0</v>
      </c>
      <c r="G957" s="2" t="s">
        <v>31</v>
      </c>
      <c r="H957" s="2" t="s">
        <v>3529</v>
      </c>
      <c r="I957" s="2" t="s">
        <v>3530</v>
      </c>
      <c r="J957" s="2" t="s">
        <v>35</v>
      </c>
      <c r="K957" s="2" t="s">
        <v>35</v>
      </c>
      <c r="L957" s="2" t="s">
        <v>35</v>
      </c>
      <c r="M957" s="2" t="s">
        <v>35</v>
      </c>
      <c r="N957" s="2" t="s">
        <v>35</v>
      </c>
      <c r="O957" s="11">
        <v>44769.394814027779</v>
      </c>
      <c r="P957" s="11">
        <v>44769.394962129627</v>
      </c>
      <c r="Q957" s="27">
        <v>1.4810184802627191E-4</v>
      </c>
      <c r="R957" s="27">
        <v>6.6274305572733283E-4</v>
      </c>
      <c r="S957" s="2">
        <v>0</v>
      </c>
      <c r="T957" s="2" t="s">
        <v>36</v>
      </c>
      <c r="U957" s="2" t="s">
        <v>37</v>
      </c>
      <c r="V957" s="2" t="s">
        <v>38</v>
      </c>
      <c r="W957" s="2" t="s">
        <v>35</v>
      </c>
      <c r="X957" s="2" t="s">
        <v>35</v>
      </c>
      <c r="Y957" s="2" t="s">
        <v>35</v>
      </c>
      <c r="Z957" s="2" t="b">
        <v>0</v>
      </c>
      <c r="AA957" s="2" t="s">
        <v>35</v>
      </c>
      <c r="AB957" s="2" t="s">
        <v>35</v>
      </c>
      <c r="AC957" s="2" t="s">
        <v>35</v>
      </c>
      <c r="AD957" s="2">
        <v>3</v>
      </c>
      <c r="AE957" s="2" t="s">
        <v>2840</v>
      </c>
      <c r="AF957" s="11">
        <v>44769.384722222225</v>
      </c>
      <c r="AG957" s="53"/>
      <c r="AH957" s="53" t="b">
        <f t="shared" si="19"/>
        <v>0</v>
      </c>
      <c r="AI957" s="54" t="s">
        <v>10664</v>
      </c>
      <c r="AJ957" s="2"/>
      <c r="AK957" s="2"/>
      <c r="AL957" s="2"/>
      <c r="AM957" s="2"/>
      <c r="AN957" s="2"/>
    </row>
    <row r="958" spans="1:40" ht="16" x14ac:dyDescent="0.2">
      <c r="A958" s="2" t="s">
        <v>3531</v>
      </c>
      <c r="B958" s="2">
        <v>1098</v>
      </c>
      <c r="C958" s="2" t="b">
        <v>0</v>
      </c>
      <c r="D958" s="2" t="b">
        <v>0</v>
      </c>
      <c r="E958" s="2" t="b">
        <v>0</v>
      </c>
      <c r="F958" s="2" t="b">
        <v>0</v>
      </c>
      <c r="G958" s="2" t="s">
        <v>31</v>
      </c>
      <c r="H958" s="2" t="s">
        <v>3532</v>
      </c>
      <c r="I958" s="2" t="s">
        <v>3533</v>
      </c>
      <c r="J958" s="2" t="s">
        <v>3534</v>
      </c>
      <c r="K958" s="2" t="s">
        <v>35</v>
      </c>
      <c r="L958" s="2" t="s">
        <v>35</v>
      </c>
      <c r="M958" s="2" t="s">
        <v>35</v>
      </c>
      <c r="N958" s="2" t="s">
        <v>35</v>
      </c>
      <c r="O958" s="11">
        <v>44769.396266307871</v>
      </c>
      <c r="P958" s="11">
        <v>44769.396789548613</v>
      </c>
      <c r="Q958" s="27">
        <v>5.2324074204079807E-4</v>
      </c>
      <c r="R958" s="27">
        <v>1.8274189860676415E-3</v>
      </c>
      <c r="S958" s="2">
        <v>0</v>
      </c>
      <c r="T958" s="2" t="s">
        <v>36</v>
      </c>
      <c r="U958" s="2" t="s">
        <v>37</v>
      </c>
      <c r="V958" s="2" t="s">
        <v>38</v>
      </c>
      <c r="W958" s="2" t="s">
        <v>35</v>
      </c>
      <c r="X958" s="2" t="s">
        <v>35</v>
      </c>
      <c r="Y958" s="2" t="s">
        <v>35</v>
      </c>
      <c r="Z958" s="2" t="b">
        <v>0</v>
      </c>
      <c r="AA958" s="2" t="s">
        <v>35</v>
      </c>
      <c r="AB958" s="2" t="s">
        <v>35</v>
      </c>
      <c r="AC958" s="2">
        <v>3</v>
      </c>
      <c r="AD958" s="2" t="s">
        <v>35</v>
      </c>
      <c r="AE958" s="2" t="s">
        <v>2840</v>
      </c>
      <c r="AF958" s="11">
        <v>44769.384722222225</v>
      </c>
      <c r="AG958" s="53"/>
      <c r="AH958" s="53" t="b">
        <f t="shared" si="19"/>
        <v>0</v>
      </c>
      <c r="AI958" s="54" t="s">
        <v>10667</v>
      </c>
      <c r="AJ958" s="2" t="s">
        <v>10665</v>
      </c>
      <c r="AK958" s="2" t="s">
        <v>10666</v>
      </c>
      <c r="AL958" s="2"/>
      <c r="AM958" s="2"/>
      <c r="AN958" s="2"/>
    </row>
    <row r="959" spans="1:40" ht="16" x14ac:dyDescent="0.2">
      <c r="A959" s="31" t="s">
        <v>3535</v>
      </c>
      <c r="B959" s="31">
        <v>1099</v>
      </c>
      <c r="C959" s="31" t="b">
        <v>0</v>
      </c>
      <c r="D959" s="31" t="b">
        <v>0</v>
      </c>
      <c r="E959" s="31" t="b">
        <v>0</v>
      </c>
      <c r="F959" s="31" t="b">
        <v>0</v>
      </c>
      <c r="G959" s="31" t="s">
        <v>31</v>
      </c>
      <c r="H959" s="31" t="s">
        <v>3536</v>
      </c>
      <c r="I959" s="31" t="s">
        <v>3537</v>
      </c>
      <c r="J959" s="31" t="s">
        <v>35</v>
      </c>
      <c r="K959" s="31" t="s">
        <v>35</v>
      </c>
      <c r="L959" s="31" t="s">
        <v>35</v>
      </c>
      <c r="M959" s="31" t="s">
        <v>35</v>
      </c>
      <c r="N959" s="31" t="s">
        <v>35</v>
      </c>
      <c r="O959" s="32">
        <v>44769.406836979164</v>
      </c>
      <c r="P959" s="32">
        <v>44769.406995520832</v>
      </c>
      <c r="Q959" s="30">
        <v>1.5854166849749163E-4</v>
      </c>
      <c r="R959" s="30">
        <v>1.0205972219409887E-2</v>
      </c>
      <c r="S959" s="31">
        <v>0</v>
      </c>
      <c r="T959" s="31" t="s">
        <v>36</v>
      </c>
      <c r="U959" s="31" t="s">
        <v>37</v>
      </c>
      <c r="V959" s="31" t="s">
        <v>38</v>
      </c>
      <c r="W959" s="31" t="s">
        <v>35</v>
      </c>
      <c r="X959" s="31" t="s">
        <v>35</v>
      </c>
      <c r="Y959" s="31" t="s">
        <v>35</v>
      </c>
      <c r="Z959" s="31" t="b">
        <v>0</v>
      </c>
      <c r="AA959" s="31" t="s">
        <v>3516</v>
      </c>
      <c r="AB959" s="31" t="s">
        <v>35</v>
      </c>
      <c r="AC959" s="31" t="s">
        <v>35</v>
      </c>
      <c r="AD959" s="31">
        <v>3</v>
      </c>
      <c r="AE959" s="31" t="s">
        <v>2840</v>
      </c>
      <c r="AF959" s="32">
        <v>44769.384722222225</v>
      </c>
      <c r="AG959" s="55" t="s">
        <v>9408</v>
      </c>
      <c r="AH959" s="53" t="b">
        <f t="shared" si="19"/>
        <v>0</v>
      </c>
      <c r="AI959" s="62" t="s">
        <v>10668</v>
      </c>
      <c r="AJ959" s="31"/>
      <c r="AK959" s="31"/>
      <c r="AL959" s="31"/>
      <c r="AM959" s="31"/>
      <c r="AN959" s="31"/>
    </row>
    <row r="960" spans="1:40" ht="16" x14ac:dyDescent="0.2">
      <c r="A960" s="2" t="s">
        <v>3538</v>
      </c>
      <c r="B960" s="2">
        <v>1100</v>
      </c>
      <c r="C960" s="2" t="b">
        <v>0</v>
      </c>
      <c r="D960" s="2" t="b">
        <v>0</v>
      </c>
      <c r="E960" s="2" t="b">
        <v>0</v>
      </c>
      <c r="F960" s="2" t="b">
        <v>0</v>
      </c>
      <c r="G960" s="2" t="s">
        <v>31</v>
      </c>
      <c r="H960" s="2" t="s">
        <v>3539</v>
      </c>
      <c r="I960" s="2" t="s">
        <v>3540</v>
      </c>
      <c r="J960" s="2" t="s">
        <v>35</v>
      </c>
      <c r="K960" s="2" t="s">
        <v>35</v>
      </c>
      <c r="L960" s="2" t="s">
        <v>35</v>
      </c>
      <c r="M960" s="2" t="s">
        <v>35</v>
      </c>
      <c r="N960" s="2" t="s">
        <v>35</v>
      </c>
      <c r="O960" s="11">
        <v>44769.407415057867</v>
      </c>
      <c r="P960" s="11">
        <v>44769.407590879629</v>
      </c>
      <c r="Q960" s="27">
        <v>1.7582176224095747E-4</v>
      </c>
      <c r="R960" s="27">
        <v>5.9535879699978977E-4</v>
      </c>
      <c r="S960" s="2">
        <v>0</v>
      </c>
      <c r="T960" s="2" t="s">
        <v>36</v>
      </c>
      <c r="U960" s="2" t="s">
        <v>37</v>
      </c>
      <c r="V960" s="2" t="s">
        <v>38</v>
      </c>
      <c r="W960" s="2" t="s">
        <v>35</v>
      </c>
      <c r="X960" s="2" t="s">
        <v>35</v>
      </c>
      <c r="Y960" s="2" t="s">
        <v>35</v>
      </c>
      <c r="Z960" s="2" t="b">
        <v>0</v>
      </c>
      <c r="AA960" s="2" t="s">
        <v>3516</v>
      </c>
      <c r="AB960" s="2" t="s">
        <v>35</v>
      </c>
      <c r="AC960" s="2" t="s">
        <v>35</v>
      </c>
      <c r="AD960" s="2">
        <v>2</v>
      </c>
      <c r="AE960" s="2" t="s">
        <v>2840</v>
      </c>
      <c r="AF960" s="11">
        <v>44769.384722222225</v>
      </c>
      <c r="AG960" s="53"/>
      <c r="AH960" s="53" t="b">
        <f t="shared" si="19"/>
        <v>0</v>
      </c>
      <c r="AI960" s="54" t="s">
        <v>10669</v>
      </c>
      <c r="AJ960" s="2"/>
      <c r="AK960" s="2"/>
      <c r="AL960" s="2"/>
      <c r="AM960" s="2"/>
      <c r="AN960" s="2"/>
    </row>
    <row r="961" spans="1:40" ht="16" x14ac:dyDescent="0.2">
      <c r="A961" s="2" t="s">
        <v>3541</v>
      </c>
      <c r="B961" s="2">
        <v>1101</v>
      </c>
      <c r="C961" s="2" t="b">
        <v>0</v>
      </c>
      <c r="D961" s="2" t="b">
        <v>0</v>
      </c>
      <c r="E961" s="2" t="b">
        <v>0</v>
      </c>
      <c r="F961" s="2" t="b">
        <v>0</v>
      </c>
      <c r="G961" s="2" t="s">
        <v>31</v>
      </c>
      <c r="H961" s="2" t="s">
        <v>3542</v>
      </c>
      <c r="I961" s="2" t="s">
        <v>3543</v>
      </c>
      <c r="J961" s="2" t="s">
        <v>35</v>
      </c>
      <c r="K961" s="2" t="s">
        <v>35</v>
      </c>
      <c r="L961" s="2" t="s">
        <v>35</v>
      </c>
      <c r="M961" s="2" t="s">
        <v>35</v>
      </c>
      <c r="N961" s="2" t="s">
        <v>35</v>
      </c>
      <c r="O961" s="11">
        <v>44769.408316631947</v>
      </c>
      <c r="P961" s="11">
        <v>44769.408509560184</v>
      </c>
      <c r="Q961" s="27">
        <v>1.9292823708383366E-4</v>
      </c>
      <c r="R961" s="27">
        <v>9.1868055460508913E-4</v>
      </c>
      <c r="S961" s="2">
        <v>0</v>
      </c>
      <c r="T961" s="2" t="s">
        <v>36</v>
      </c>
      <c r="U961" s="2" t="s">
        <v>37</v>
      </c>
      <c r="V961" s="2" t="s">
        <v>38</v>
      </c>
      <c r="W961" s="2" t="s">
        <v>35</v>
      </c>
      <c r="X961" s="2" t="s">
        <v>35</v>
      </c>
      <c r="Y961" s="2" t="s">
        <v>35</v>
      </c>
      <c r="Z961" s="2" t="b">
        <v>0</v>
      </c>
      <c r="AA961" s="2" t="s">
        <v>3516</v>
      </c>
      <c r="AB961" s="2" t="s">
        <v>35</v>
      </c>
      <c r="AC961" s="2" t="s">
        <v>35</v>
      </c>
      <c r="AD961" s="2">
        <v>2</v>
      </c>
      <c r="AE961" s="2" t="s">
        <v>2840</v>
      </c>
      <c r="AF961" s="11">
        <v>44769.384722222225</v>
      </c>
      <c r="AG961" s="53"/>
      <c r="AH961" s="53" t="b">
        <f t="shared" si="19"/>
        <v>0</v>
      </c>
      <c r="AI961" s="54" t="s">
        <v>10670</v>
      </c>
      <c r="AJ961" s="2"/>
      <c r="AK961" s="2"/>
      <c r="AL961" s="2"/>
      <c r="AM961" s="2"/>
      <c r="AN961" s="2"/>
    </row>
    <row r="962" spans="1:40" ht="16" x14ac:dyDescent="0.2">
      <c r="A962" s="2" t="s">
        <v>3547</v>
      </c>
      <c r="B962" s="2">
        <v>1103</v>
      </c>
      <c r="C962" s="2" t="b">
        <v>0</v>
      </c>
      <c r="D962" s="2" t="b">
        <v>0</v>
      </c>
      <c r="E962" s="2" t="b">
        <v>0</v>
      </c>
      <c r="F962" s="2" t="b">
        <v>0</v>
      </c>
      <c r="G962" s="2" t="s">
        <v>31</v>
      </c>
      <c r="H962" s="2" t="s">
        <v>3548</v>
      </c>
      <c r="I962" s="2" t="s">
        <v>3549</v>
      </c>
      <c r="J962" s="2" t="s">
        <v>35</v>
      </c>
      <c r="K962" s="2" t="s">
        <v>35</v>
      </c>
      <c r="L962" s="2" t="s">
        <v>35</v>
      </c>
      <c r="M962" s="2" t="s">
        <v>35</v>
      </c>
      <c r="N962" s="2" t="s">
        <v>35</v>
      </c>
      <c r="O962" s="11">
        <v>44769.40920347222</v>
      </c>
      <c r="P962" s="11">
        <v>44769.409343101855</v>
      </c>
      <c r="Q962" s="27">
        <v>1.3962963566882536E-4</v>
      </c>
      <c r="R962" s="27">
        <v>2.1443287550937384E-4</v>
      </c>
      <c r="S962" s="2">
        <v>0</v>
      </c>
      <c r="T962" s="2" t="s">
        <v>36</v>
      </c>
      <c r="U962" s="2" t="s">
        <v>37</v>
      </c>
      <c r="V962" s="2" t="s">
        <v>38</v>
      </c>
      <c r="W962" s="2" t="s">
        <v>35</v>
      </c>
      <c r="X962" s="2" t="s">
        <v>35</v>
      </c>
      <c r="Y962" s="2" t="s">
        <v>35</v>
      </c>
      <c r="Z962" s="2" t="b">
        <v>0</v>
      </c>
      <c r="AA962" s="2" t="s">
        <v>35</v>
      </c>
      <c r="AB962" s="2" t="s">
        <v>35</v>
      </c>
      <c r="AC962" s="2" t="s">
        <v>35</v>
      </c>
      <c r="AD962" s="2">
        <v>2</v>
      </c>
      <c r="AE962" s="2" t="s">
        <v>2840</v>
      </c>
      <c r="AF962" s="11">
        <v>44769.384722222225</v>
      </c>
      <c r="AG962" s="53"/>
      <c r="AH962" s="53" t="b">
        <f t="shared" si="19"/>
        <v>0</v>
      </c>
      <c r="AI962" s="54" t="s">
        <v>9503</v>
      </c>
      <c r="AJ962" s="2"/>
      <c r="AK962" s="2"/>
      <c r="AL962" s="2"/>
      <c r="AM962" s="2"/>
      <c r="AN962" s="2"/>
    </row>
    <row r="963" spans="1:40" ht="16" x14ac:dyDescent="0.2">
      <c r="A963" s="2" t="s">
        <v>3550</v>
      </c>
      <c r="B963" s="2">
        <v>1104</v>
      </c>
      <c r="C963" s="2" t="b">
        <v>0</v>
      </c>
      <c r="D963" s="2" t="b">
        <v>0</v>
      </c>
      <c r="E963" s="2" t="b">
        <v>0</v>
      </c>
      <c r="F963" s="2" t="b">
        <v>0</v>
      </c>
      <c r="G963" s="2" t="s">
        <v>31</v>
      </c>
      <c r="H963" s="2" t="s">
        <v>3551</v>
      </c>
      <c r="I963" s="2" t="s">
        <v>3552</v>
      </c>
      <c r="J963" s="2" t="s">
        <v>35</v>
      </c>
      <c r="K963" s="2" t="s">
        <v>35</v>
      </c>
      <c r="L963" s="2" t="s">
        <v>35</v>
      </c>
      <c r="M963" s="2" t="s">
        <v>35</v>
      </c>
      <c r="N963" s="2" t="s">
        <v>35</v>
      </c>
      <c r="O963" s="11">
        <v>44769.410011435182</v>
      </c>
      <c r="P963" s="11">
        <v>44769.410130289354</v>
      </c>
      <c r="Q963" s="27">
        <v>1.188541718875058E-4</v>
      </c>
      <c r="R963" s="27">
        <v>7.8718749864492565E-4</v>
      </c>
      <c r="S963" s="2">
        <v>0</v>
      </c>
      <c r="T963" s="2" t="s">
        <v>36</v>
      </c>
      <c r="U963" s="2" t="s">
        <v>37</v>
      </c>
      <c r="V963" s="2" t="s">
        <v>38</v>
      </c>
      <c r="W963" s="2" t="s">
        <v>35</v>
      </c>
      <c r="X963" s="2" t="s">
        <v>35</v>
      </c>
      <c r="Y963" s="2" t="s">
        <v>35</v>
      </c>
      <c r="Z963" s="2" t="b">
        <v>0</v>
      </c>
      <c r="AA963" s="2" t="s">
        <v>35</v>
      </c>
      <c r="AB963" s="2" t="s">
        <v>35</v>
      </c>
      <c r="AC963" s="2" t="s">
        <v>35</v>
      </c>
      <c r="AD963" s="2">
        <v>2</v>
      </c>
      <c r="AE963" s="2" t="s">
        <v>2840</v>
      </c>
      <c r="AF963" s="11">
        <v>44769.384722222225</v>
      </c>
      <c r="AG963" s="53"/>
      <c r="AH963" s="53" t="b">
        <f t="shared" si="19"/>
        <v>0</v>
      </c>
      <c r="AI963" s="54" t="s">
        <v>10671</v>
      </c>
      <c r="AJ963" s="2"/>
      <c r="AK963" s="2"/>
      <c r="AL963" s="2"/>
      <c r="AM963" s="2"/>
      <c r="AN963" s="2"/>
    </row>
    <row r="964" spans="1:40" ht="16" x14ac:dyDescent="0.2">
      <c r="A964" s="2" t="s">
        <v>3553</v>
      </c>
      <c r="B964" s="2">
        <v>1105</v>
      </c>
      <c r="C964" s="2" t="b">
        <v>0</v>
      </c>
      <c r="D964" s="2" t="b">
        <v>0</v>
      </c>
      <c r="E964" s="2" t="b">
        <v>0</v>
      </c>
      <c r="F964" s="2" t="b">
        <v>0</v>
      </c>
      <c r="G964" s="2" t="s">
        <v>31</v>
      </c>
      <c r="H964" s="2" t="s">
        <v>3554</v>
      </c>
      <c r="I964" s="2" t="s">
        <v>3555</v>
      </c>
      <c r="J964" s="2" t="s">
        <v>3105</v>
      </c>
      <c r="K964" s="2" t="s">
        <v>35</v>
      </c>
      <c r="L964" s="2" t="s">
        <v>35</v>
      </c>
      <c r="M964" s="2" t="s">
        <v>35</v>
      </c>
      <c r="N964" s="2" t="s">
        <v>35</v>
      </c>
      <c r="O964" s="11">
        <v>44769.411410312503</v>
      </c>
      <c r="P964" s="11">
        <v>44769.411672662034</v>
      </c>
      <c r="Q964" s="27">
        <v>2.6234953111270443E-4</v>
      </c>
      <c r="R964" s="27">
        <v>1.5423726799781434E-3</v>
      </c>
      <c r="S964" s="2">
        <v>0</v>
      </c>
      <c r="T964" s="2" t="s">
        <v>36</v>
      </c>
      <c r="U964" s="2" t="s">
        <v>37</v>
      </c>
      <c r="V964" s="2" t="s">
        <v>38</v>
      </c>
      <c r="W964" s="2" t="s">
        <v>35</v>
      </c>
      <c r="X964" s="2" t="s">
        <v>35</v>
      </c>
      <c r="Y964" s="2" t="s">
        <v>35</v>
      </c>
      <c r="Z964" s="2" t="b">
        <v>0</v>
      </c>
      <c r="AA964" s="2" t="s">
        <v>35</v>
      </c>
      <c r="AB964" s="2" t="s">
        <v>35</v>
      </c>
      <c r="AC964" s="2">
        <v>3</v>
      </c>
      <c r="AD964" s="2">
        <v>4</v>
      </c>
      <c r="AE964" s="2" t="s">
        <v>2840</v>
      </c>
      <c r="AF964" s="11">
        <v>44769.384722222225</v>
      </c>
      <c r="AG964" s="53"/>
      <c r="AH964" s="53" t="b">
        <f t="shared" si="19"/>
        <v>0</v>
      </c>
      <c r="AI964" s="54" t="s">
        <v>9502</v>
      </c>
      <c r="AJ964" s="2"/>
      <c r="AK964" s="2"/>
      <c r="AL964" s="2"/>
      <c r="AM964" s="2"/>
      <c r="AN964" s="2"/>
    </row>
    <row r="965" spans="1:40" ht="16" x14ac:dyDescent="0.2">
      <c r="A965" s="2" t="s">
        <v>3556</v>
      </c>
      <c r="B965" s="2">
        <v>1106</v>
      </c>
      <c r="C965" s="2" t="b">
        <v>0</v>
      </c>
      <c r="D965" s="2" t="b">
        <v>0</v>
      </c>
      <c r="E965" s="2" t="b">
        <v>0</v>
      </c>
      <c r="F965" s="2" t="b">
        <v>0</v>
      </c>
      <c r="G965" s="2" t="s">
        <v>31</v>
      </c>
      <c r="H965" s="2" t="s">
        <v>3557</v>
      </c>
      <c r="I965" s="2" t="s">
        <v>3558</v>
      </c>
      <c r="J965" s="2" t="s">
        <v>3559</v>
      </c>
      <c r="K965" s="2" t="s">
        <v>35</v>
      </c>
      <c r="L965" s="2" t="s">
        <v>35</v>
      </c>
      <c r="M965" s="2" t="s">
        <v>35</v>
      </c>
      <c r="N965" s="2" t="s">
        <v>35</v>
      </c>
      <c r="O965" s="11">
        <v>44769.412288715277</v>
      </c>
      <c r="P965" s="11">
        <v>44769.412596261573</v>
      </c>
      <c r="Q965" s="27">
        <v>3.0754629551665857E-4</v>
      </c>
      <c r="R965" s="27">
        <v>9.2359953850973397E-4</v>
      </c>
      <c r="S965" s="2">
        <v>0</v>
      </c>
      <c r="T965" s="2" t="s">
        <v>36</v>
      </c>
      <c r="U965" s="2" t="s">
        <v>37</v>
      </c>
      <c r="V965" s="2" t="s">
        <v>38</v>
      </c>
      <c r="W965" s="2" t="s">
        <v>35</v>
      </c>
      <c r="X965" s="2" t="s">
        <v>35</v>
      </c>
      <c r="Y965" s="2" t="s">
        <v>35</v>
      </c>
      <c r="Z965" s="2" t="b">
        <v>0</v>
      </c>
      <c r="AA965" s="2" t="s">
        <v>35</v>
      </c>
      <c r="AB965" s="2" t="s">
        <v>35</v>
      </c>
      <c r="AC965" s="2">
        <v>3</v>
      </c>
      <c r="AD965" s="2">
        <v>2</v>
      </c>
      <c r="AE965" s="2" t="s">
        <v>2840</v>
      </c>
      <c r="AF965" s="11">
        <v>44769.384722222225</v>
      </c>
      <c r="AG965" s="53"/>
      <c r="AH965" s="53" t="b">
        <f t="shared" si="19"/>
        <v>0</v>
      </c>
      <c r="AI965" s="54" t="s">
        <v>10672</v>
      </c>
      <c r="AJ965" s="2"/>
      <c r="AK965" s="2"/>
      <c r="AL965" s="2"/>
      <c r="AM965" s="2"/>
      <c r="AN965" s="2"/>
    </row>
    <row r="966" spans="1:40" ht="16" x14ac:dyDescent="0.2">
      <c r="A966" s="2" t="s">
        <v>3560</v>
      </c>
      <c r="B966" s="2">
        <v>1107</v>
      </c>
      <c r="C966" s="2" t="b">
        <v>0</v>
      </c>
      <c r="D966" s="2" t="b">
        <v>0</v>
      </c>
      <c r="E966" s="2" t="b">
        <v>0</v>
      </c>
      <c r="F966" s="2" t="b">
        <v>0</v>
      </c>
      <c r="G966" s="2" t="s">
        <v>31</v>
      </c>
      <c r="H966" s="2" t="s">
        <v>3561</v>
      </c>
      <c r="I966" s="2" t="s">
        <v>3562</v>
      </c>
      <c r="J966" s="2" t="s">
        <v>3559</v>
      </c>
      <c r="K966" s="2" t="s">
        <v>35</v>
      </c>
      <c r="L966" s="2" t="s">
        <v>35</v>
      </c>
      <c r="M966" s="2" t="s">
        <v>35</v>
      </c>
      <c r="N966" s="2" t="s">
        <v>35</v>
      </c>
      <c r="O966" s="11">
        <v>44769.413108391207</v>
      </c>
      <c r="P966" s="11">
        <v>44769.413377592595</v>
      </c>
      <c r="Q966" s="27">
        <v>2.6920138770947233E-4</v>
      </c>
      <c r="R966" s="27">
        <v>7.813310221536085E-4</v>
      </c>
      <c r="S966" s="2">
        <v>0</v>
      </c>
      <c r="T966" s="2" t="s">
        <v>36</v>
      </c>
      <c r="U966" s="2" t="s">
        <v>37</v>
      </c>
      <c r="V966" s="2" t="s">
        <v>38</v>
      </c>
      <c r="W966" s="2" t="s">
        <v>35</v>
      </c>
      <c r="X966" s="2" t="s">
        <v>35</v>
      </c>
      <c r="Y966" s="2" t="s">
        <v>35</v>
      </c>
      <c r="Z966" s="2" t="b">
        <v>0</v>
      </c>
      <c r="AA966" s="2" t="s">
        <v>35</v>
      </c>
      <c r="AB966" s="2" t="s">
        <v>35</v>
      </c>
      <c r="AC966" s="2">
        <v>3</v>
      </c>
      <c r="AD966" s="2" t="s">
        <v>35</v>
      </c>
      <c r="AE966" s="2" t="s">
        <v>2840</v>
      </c>
      <c r="AF966" s="11">
        <v>44769.384722222225</v>
      </c>
      <c r="AG966" s="53"/>
      <c r="AH966" s="53" t="b">
        <f t="shared" si="19"/>
        <v>0</v>
      </c>
      <c r="AI966" s="54" t="s">
        <v>10673</v>
      </c>
      <c r="AJ966" s="2"/>
      <c r="AK966" s="2"/>
      <c r="AL966" s="2"/>
      <c r="AM966" s="2"/>
      <c r="AN966" s="2"/>
    </row>
    <row r="967" spans="1:40" ht="16" x14ac:dyDescent="0.2">
      <c r="A967" s="2" t="s">
        <v>3563</v>
      </c>
      <c r="B967" s="2">
        <v>1108</v>
      </c>
      <c r="C967" s="2" t="b">
        <v>0</v>
      </c>
      <c r="D967" s="2" t="b">
        <v>0</v>
      </c>
      <c r="E967" s="2" t="b">
        <v>0</v>
      </c>
      <c r="F967" s="2" t="b">
        <v>0</v>
      </c>
      <c r="G967" s="2" t="s">
        <v>31</v>
      </c>
      <c r="H967" s="2" t="s">
        <v>3564</v>
      </c>
      <c r="I967" s="2" t="s">
        <v>3565</v>
      </c>
      <c r="J967" s="2" t="s">
        <v>3566</v>
      </c>
      <c r="K967" s="2" t="s">
        <v>35</v>
      </c>
      <c r="L967" s="2" t="s">
        <v>35</v>
      </c>
      <c r="M967" s="2" t="s">
        <v>35</v>
      </c>
      <c r="N967" s="2" t="s">
        <v>35</v>
      </c>
      <c r="O967" s="11">
        <v>44769.414027534724</v>
      </c>
      <c r="P967" s="11">
        <v>44769.414536319448</v>
      </c>
      <c r="Q967" s="27">
        <v>5.0878472393378615E-4</v>
      </c>
      <c r="R967" s="27">
        <v>1.1587268527364358E-3</v>
      </c>
      <c r="S967" s="2">
        <v>0</v>
      </c>
      <c r="T967" s="2" t="s">
        <v>36</v>
      </c>
      <c r="U967" s="2" t="s">
        <v>37</v>
      </c>
      <c r="V967" s="2" t="s">
        <v>38</v>
      </c>
      <c r="W967" s="2" t="s">
        <v>35</v>
      </c>
      <c r="X967" s="2" t="s">
        <v>35</v>
      </c>
      <c r="Y967" s="2" t="s">
        <v>35</v>
      </c>
      <c r="Z967" s="2" t="b">
        <v>0</v>
      </c>
      <c r="AA967" s="2" t="s">
        <v>35</v>
      </c>
      <c r="AB967" s="2" t="s">
        <v>35</v>
      </c>
      <c r="AC967" s="2">
        <v>5</v>
      </c>
      <c r="AD967" s="2" t="s">
        <v>35</v>
      </c>
      <c r="AE967" s="2" t="s">
        <v>2840</v>
      </c>
      <c r="AF967" s="11">
        <v>44769.384722222225</v>
      </c>
      <c r="AG967" s="53"/>
      <c r="AH967" s="53" t="b">
        <f t="shared" si="19"/>
        <v>0</v>
      </c>
      <c r="AI967" s="54" t="s">
        <v>10674</v>
      </c>
      <c r="AJ967" s="2"/>
      <c r="AK967" s="2"/>
      <c r="AL967" s="2"/>
      <c r="AM967" s="2"/>
      <c r="AN967" s="2"/>
    </row>
    <row r="968" spans="1:40" ht="16" x14ac:dyDescent="0.2">
      <c r="A968" s="2" t="s">
        <v>3567</v>
      </c>
      <c r="B968" s="2">
        <v>1109</v>
      </c>
      <c r="C968" s="2" t="b">
        <v>0</v>
      </c>
      <c r="D968" s="2" t="b">
        <v>0</v>
      </c>
      <c r="E968" s="2" t="b">
        <v>0</v>
      </c>
      <c r="F968" s="2" t="b">
        <v>0</v>
      </c>
      <c r="G968" s="2" t="s">
        <v>31</v>
      </c>
      <c r="H968" s="2" t="s">
        <v>3568</v>
      </c>
      <c r="I968" s="2" t="s">
        <v>3569</v>
      </c>
      <c r="J968" s="2" t="s">
        <v>35</v>
      </c>
      <c r="K968" s="2" t="s">
        <v>35</v>
      </c>
      <c r="L968" s="2" t="s">
        <v>35</v>
      </c>
      <c r="M968" s="2" t="s">
        <v>35</v>
      </c>
      <c r="N968" s="2" t="s">
        <v>35</v>
      </c>
      <c r="O968" s="11">
        <v>44769.415085428242</v>
      </c>
      <c r="P968" s="11">
        <v>44769.415363449072</v>
      </c>
      <c r="Q968" s="27">
        <v>2.7802083059214056E-4</v>
      </c>
      <c r="R968" s="27">
        <v>8.2712962466757745E-4</v>
      </c>
      <c r="S968" s="2">
        <v>0</v>
      </c>
      <c r="T968" s="2" t="s">
        <v>36</v>
      </c>
      <c r="U968" s="2" t="s">
        <v>37</v>
      </c>
      <c r="V968" s="2" t="s">
        <v>38</v>
      </c>
      <c r="W968" s="2" t="s">
        <v>35</v>
      </c>
      <c r="X968" s="2" t="s">
        <v>35</v>
      </c>
      <c r="Y968" s="2" t="s">
        <v>35</v>
      </c>
      <c r="Z968" s="2" t="b">
        <v>0</v>
      </c>
      <c r="AA968" s="2" t="s">
        <v>35</v>
      </c>
      <c r="AB968" s="2" t="s">
        <v>35</v>
      </c>
      <c r="AC968" s="2" t="s">
        <v>35</v>
      </c>
      <c r="AD968" s="2">
        <v>6</v>
      </c>
      <c r="AE968" s="2" t="s">
        <v>2840</v>
      </c>
      <c r="AF968" s="11">
        <v>44769.384722222225</v>
      </c>
      <c r="AG968" s="53"/>
      <c r="AH968" s="53" t="b">
        <f t="shared" si="19"/>
        <v>0</v>
      </c>
      <c r="AI968" s="54" t="s">
        <v>10675</v>
      </c>
      <c r="AJ968" s="2"/>
      <c r="AK968" s="2"/>
      <c r="AL968" s="2"/>
      <c r="AM968" s="2"/>
      <c r="AN968" s="2"/>
    </row>
    <row r="969" spans="1:40" ht="16" x14ac:dyDescent="0.2">
      <c r="A969" s="2" t="s">
        <v>3574</v>
      </c>
      <c r="B969" s="2">
        <v>1111</v>
      </c>
      <c r="C969" s="2" t="b">
        <v>0</v>
      </c>
      <c r="D969" s="2" t="b">
        <v>0</v>
      </c>
      <c r="E969" s="2" t="b">
        <v>0</v>
      </c>
      <c r="F969" s="2" t="b">
        <v>0</v>
      </c>
      <c r="G969" s="2" t="s">
        <v>31</v>
      </c>
      <c r="H969" s="2" t="s">
        <v>3575</v>
      </c>
      <c r="I969" s="2" t="s">
        <v>3576</v>
      </c>
      <c r="J969" s="2" t="s">
        <v>3577</v>
      </c>
      <c r="K969" s="2" t="s">
        <v>35</v>
      </c>
      <c r="L969" s="2" t="s">
        <v>35</v>
      </c>
      <c r="M969" s="2" t="s">
        <v>35</v>
      </c>
      <c r="N969" s="2" t="s">
        <v>35</v>
      </c>
      <c r="O969" s="11">
        <v>44769.416571041664</v>
      </c>
      <c r="P969" s="11">
        <v>44769.416893159723</v>
      </c>
      <c r="Q969" s="27">
        <v>3.2211805955739692E-4</v>
      </c>
      <c r="R969" s="27">
        <v>1.1184259274159558E-3</v>
      </c>
      <c r="S969" s="2">
        <v>0</v>
      </c>
      <c r="T969" s="2" t="s">
        <v>36</v>
      </c>
      <c r="U969" s="2" t="s">
        <v>37</v>
      </c>
      <c r="V969" s="2" t="s">
        <v>38</v>
      </c>
      <c r="W969" s="2" t="s">
        <v>35</v>
      </c>
      <c r="X969" s="2" t="s">
        <v>35</v>
      </c>
      <c r="Y969" s="2" t="s">
        <v>35</v>
      </c>
      <c r="Z969" s="2" t="b">
        <v>0</v>
      </c>
      <c r="AA969" s="2" t="s">
        <v>35</v>
      </c>
      <c r="AB969" s="2" t="s">
        <v>35</v>
      </c>
      <c r="AC969" s="2">
        <v>3</v>
      </c>
      <c r="AD969" s="2">
        <v>3</v>
      </c>
      <c r="AE969" s="2" t="s">
        <v>2840</v>
      </c>
      <c r="AF969" s="11">
        <v>44769.384722222225</v>
      </c>
      <c r="AG969" s="53"/>
      <c r="AH969" s="53" t="b">
        <f t="shared" si="19"/>
        <v>0</v>
      </c>
      <c r="AI969" s="54" t="s">
        <v>10676</v>
      </c>
      <c r="AJ969" s="2"/>
      <c r="AK969" s="2"/>
      <c r="AL969" s="2"/>
      <c r="AM969" s="2"/>
      <c r="AN969" s="2"/>
    </row>
    <row r="970" spans="1:40" ht="16" x14ac:dyDescent="0.2">
      <c r="A970" s="2" t="s">
        <v>3581</v>
      </c>
      <c r="B970" s="2">
        <v>1113</v>
      </c>
      <c r="C970" s="2" t="b">
        <v>0</v>
      </c>
      <c r="D970" s="2" t="b">
        <v>0</v>
      </c>
      <c r="E970" s="2" t="b">
        <v>0</v>
      </c>
      <c r="F970" s="2" t="b">
        <v>0</v>
      </c>
      <c r="G970" s="2" t="s">
        <v>31</v>
      </c>
      <c r="H970" s="2" t="s">
        <v>3582</v>
      </c>
      <c r="I970" s="2" t="s">
        <v>3583</v>
      </c>
      <c r="J970" s="2" t="s">
        <v>3559</v>
      </c>
      <c r="K970" s="2" t="s">
        <v>35</v>
      </c>
      <c r="L970" s="2" t="s">
        <v>35</v>
      </c>
      <c r="M970" s="2" t="s">
        <v>35</v>
      </c>
      <c r="N970" s="2" t="s">
        <v>35</v>
      </c>
      <c r="O970" s="11">
        <v>44769.418306967593</v>
      </c>
      <c r="P970" s="11">
        <v>44769.418742789348</v>
      </c>
      <c r="Q970" s="27">
        <v>4.3582175567280501E-4</v>
      </c>
      <c r="R970" s="27">
        <v>9.6578703232808039E-4</v>
      </c>
      <c r="S970" s="2">
        <v>0</v>
      </c>
      <c r="T970" s="2" t="s">
        <v>36</v>
      </c>
      <c r="U970" s="2" t="s">
        <v>37</v>
      </c>
      <c r="V970" s="2" t="s">
        <v>38</v>
      </c>
      <c r="W970" s="2" t="s">
        <v>35</v>
      </c>
      <c r="X970" s="2" t="s">
        <v>35</v>
      </c>
      <c r="Y970" s="2" t="s">
        <v>35</v>
      </c>
      <c r="Z970" s="2" t="b">
        <v>0</v>
      </c>
      <c r="AA970" s="2" t="s">
        <v>35</v>
      </c>
      <c r="AB970" s="2" t="s">
        <v>35</v>
      </c>
      <c r="AC970" s="2">
        <v>5</v>
      </c>
      <c r="AD970" s="2">
        <v>3</v>
      </c>
      <c r="AE970" s="2" t="s">
        <v>2840</v>
      </c>
      <c r="AF970" s="11">
        <v>44769.384722222225</v>
      </c>
      <c r="AG970" s="53"/>
      <c r="AH970" s="53" t="b">
        <f t="shared" si="19"/>
        <v>0</v>
      </c>
      <c r="AI970" s="54" t="s">
        <v>10677</v>
      </c>
      <c r="AJ970" s="2"/>
      <c r="AK970" s="2"/>
      <c r="AL970" s="2"/>
      <c r="AM970" s="2"/>
      <c r="AN970" s="2"/>
    </row>
    <row r="971" spans="1:40" ht="16" x14ac:dyDescent="0.2">
      <c r="A971" s="2" t="s">
        <v>3587</v>
      </c>
      <c r="B971" s="2">
        <v>1115</v>
      </c>
      <c r="C971" s="2" t="b">
        <v>0</v>
      </c>
      <c r="D971" s="2" t="b">
        <v>0</v>
      </c>
      <c r="E971" s="2" t="b">
        <v>0</v>
      </c>
      <c r="F971" s="2" t="b">
        <v>0</v>
      </c>
      <c r="G971" s="2" t="s">
        <v>31</v>
      </c>
      <c r="H971" s="2" t="s">
        <v>3588</v>
      </c>
      <c r="I971" s="2" t="s">
        <v>3589</v>
      </c>
      <c r="J971" s="2" t="s">
        <v>3566</v>
      </c>
      <c r="K971" s="2" t="s">
        <v>35</v>
      </c>
      <c r="L971" s="2" t="s">
        <v>35</v>
      </c>
      <c r="M971" s="2" t="s">
        <v>35</v>
      </c>
      <c r="N971" s="2" t="s">
        <v>35</v>
      </c>
      <c r="O971" s="11">
        <v>44769.41929020833</v>
      </c>
      <c r="P971" s="11">
        <v>44769.419805173609</v>
      </c>
      <c r="Q971" s="27">
        <v>5.1496527885319665E-4</v>
      </c>
      <c r="R971" s="27">
        <v>6.0662037139991298E-4</v>
      </c>
      <c r="S971" s="2">
        <v>0</v>
      </c>
      <c r="T971" s="2" t="s">
        <v>36</v>
      </c>
      <c r="U971" s="2" t="s">
        <v>37</v>
      </c>
      <c r="V971" s="2" t="s">
        <v>38</v>
      </c>
      <c r="W971" s="2" t="s">
        <v>35</v>
      </c>
      <c r="X971" s="2" t="s">
        <v>35</v>
      </c>
      <c r="Y971" s="2" t="s">
        <v>35</v>
      </c>
      <c r="Z971" s="2" t="b">
        <v>0</v>
      </c>
      <c r="AA971" s="2" t="s">
        <v>35</v>
      </c>
      <c r="AB971" s="2" t="s">
        <v>35</v>
      </c>
      <c r="AC971" s="2">
        <v>3</v>
      </c>
      <c r="AD971" s="2" t="s">
        <v>35</v>
      </c>
      <c r="AE971" s="2" t="s">
        <v>2840</v>
      </c>
      <c r="AF971" s="11">
        <v>44769.384722222225</v>
      </c>
      <c r="AG971" s="53"/>
      <c r="AH971" s="53" t="b">
        <f t="shared" si="19"/>
        <v>0</v>
      </c>
      <c r="AI971" s="54" t="s">
        <v>10680</v>
      </c>
      <c r="AJ971" s="2" t="s">
        <v>10678</v>
      </c>
      <c r="AK971" s="2" t="s">
        <v>10679</v>
      </c>
      <c r="AL971" s="2"/>
      <c r="AM971" s="2"/>
      <c r="AN971" s="2"/>
    </row>
    <row r="972" spans="1:40" ht="16" x14ac:dyDescent="0.2">
      <c r="A972" s="2" t="s">
        <v>3590</v>
      </c>
      <c r="B972" s="2">
        <v>1116</v>
      </c>
      <c r="C972" s="2" t="b">
        <v>0</v>
      </c>
      <c r="D972" s="2" t="b">
        <v>0</v>
      </c>
      <c r="E972" s="2" t="b">
        <v>0</v>
      </c>
      <c r="F972" s="2" t="b">
        <v>0</v>
      </c>
      <c r="G972" s="2" t="s">
        <v>31</v>
      </c>
      <c r="H972" s="2" t="s">
        <v>3591</v>
      </c>
      <c r="I972" s="2" t="s">
        <v>3592</v>
      </c>
      <c r="J972" s="2" t="s">
        <v>3593</v>
      </c>
      <c r="K972" s="2" t="s">
        <v>35</v>
      </c>
      <c r="L972" s="2" t="s">
        <v>35</v>
      </c>
      <c r="M972" s="2" t="s">
        <v>35</v>
      </c>
      <c r="N972" s="2" t="s">
        <v>35</v>
      </c>
      <c r="O972" s="11">
        <v>44769.421749317131</v>
      </c>
      <c r="P972" s="11">
        <v>44769.422252164353</v>
      </c>
      <c r="Q972" s="27">
        <v>5.0284722237847745E-4</v>
      </c>
      <c r="R972" s="27">
        <v>2.4469907439197414E-3</v>
      </c>
      <c r="S972" s="2">
        <v>0</v>
      </c>
      <c r="T972" s="2" t="s">
        <v>36</v>
      </c>
      <c r="U972" s="2" t="s">
        <v>37</v>
      </c>
      <c r="V972" s="2" t="s">
        <v>38</v>
      </c>
      <c r="W972" s="2" t="s">
        <v>35</v>
      </c>
      <c r="X972" s="2" t="s">
        <v>35</v>
      </c>
      <c r="Y972" s="2" t="s">
        <v>35</v>
      </c>
      <c r="Z972" s="2" t="b">
        <v>0</v>
      </c>
      <c r="AA972" s="2" t="s">
        <v>35</v>
      </c>
      <c r="AB972" s="2" t="s">
        <v>35</v>
      </c>
      <c r="AC972" s="2">
        <v>3</v>
      </c>
      <c r="AD972" s="2">
        <v>4</v>
      </c>
      <c r="AE972" s="2" t="s">
        <v>2840</v>
      </c>
      <c r="AF972" s="11">
        <v>44769.384722222225</v>
      </c>
      <c r="AG972" s="53"/>
      <c r="AH972" s="53" t="b">
        <f t="shared" si="19"/>
        <v>0</v>
      </c>
      <c r="AI972" s="54" t="s">
        <v>9501</v>
      </c>
      <c r="AJ972" s="2"/>
      <c r="AK972" s="2"/>
      <c r="AL972" s="2"/>
      <c r="AM972" s="2"/>
      <c r="AN972" s="2"/>
    </row>
    <row r="973" spans="1:40" ht="16" x14ac:dyDescent="0.2">
      <c r="A973" s="2" t="s">
        <v>3594</v>
      </c>
      <c r="B973" s="2">
        <v>1117</v>
      </c>
      <c r="C973" s="2" t="b">
        <v>0</v>
      </c>
      <c r="D973" s="2" t="b">
        <v>0</v>
      </c>
      <c r="E973" s="2" t="b">
        <v>0</v>
      </c>
      <c r="F973" s="2" t="b">
        <v>0</v>
      </c>
      <c r="G973" s="2" t="s">
        <v>31</v>
      </c>
      <c r="H973" s="2" t="s">
        <v>3595</v>
      </c>
      <c r="I973" s="2" t="s">
        <v>3596</v>
      </c>
      <c r="J973" s="2" t="s">
        <v>3152</v>
      </c>
      <c r="K973" s="2" t="s">
        <v>35</v>
      </c>
      <c r="L973" s="2" t="s">
        <v>35</v>
      </c>
      <c r="M973" s="2" t="s">
        <v>35</v>
      </c>
      <c r="N973" s="2" t="s">
        <v>35</v>
      </c>
      <c r="O973" s="11">
        <v>44769.423682511573</v>
      </c>
      <c r="P973" s="11">
        <v>44769.424200162037</v>
      </c>
      <c r="Q973" s="27">
        <v>5.1765046373475343E-4</v>
      </c>
      <c r="R973" s="27">
        <v>1.9479976836009882E-3</v>
      </c>
      <c r="S973" s="2">
        <v>0</v>
      </c>
      <c r="T973" s="2" t="s">
        <v>36</v>
      </c>
      <c r="U973" s="2" t="s">
        <v>37</v>
      </c>
      <c r="V973" s="2" t="s">
        <v>38</v>
      </c>
      <c r="W973" s="2" t="s">
        <v>35</v>
      </c>
      <c r="X973" s="2" t="s">
        <v>35</v>
      </c>
      <c r="Y973" s="2" t="s">
        <v>35</v>
      </c>
      <c r="Z973" s="2" t="b">
        <v>0</v>
      </c>
      <c r="AA973" s="2" t="s">
        <v>35</v>
      </c>
      <c r="AB973" s="2" t="s">
        <v>35</v>
      </c>
      <c r="AC973" s="2">
        <v>10</v>
      </c>
      <c r="AD973" s="2" t="s">
        <v>35</v>
      </c>
      <c r="AE973" s="2" t="s">
        <v>2840</v>
      </c>
      <c r="AF973" s="11">
        <v>44769.384722222225</v>
      </c>
      <c r="AG973" s="53"/>
      <c r="AH973" s="53" t="b">
        <f t="shared" si="19"/>
        <v>0</v>
      </c>
      <c r="AI973" s="54" t="s">
        <v>10681</v>
      </c>
      <c r="AJ973" s="2"/>
      <c r="AK973" s="2"/>
      <c r="AL973" s="2"/>
      <c r="AM973" s="2"/>
      <c r="AN973" s="2"/>
    </row>
    <row r="974" spans="1:40" ht="16" x14ac:dyDescent="0.2">
      <c r="A974" s="2" t="s">
        <v>3597</v>
      </c>
      <c r="B974" s="2">
        <v>1118</v>
      </c>
      <c r="C974" s="2" t="b">
        <v>0</v>
      </c>
      <c r="D974" s="2" t="b">
        <v>0</v>
      </c>
      <c r="E974" s="2" t="b">
        <v>0</v>
      </c>
      <c r="F974" s="2" t="b">
        <v>0</v>
      </c>
      <c r="G974" s="2" t="s">
        <v>31</v>
      </c>
      <c r="H974" s="2" t="s">
        <v>3598</v>
      </c>
      <c r="I974" s="2" t="s">
        <v>3599</v>
      </c>
      <c r="J974" s="2" t="s">
        <v>35</v>
      </c>
      <c r="K974" s="2" t="s">
        <v>35</v>
      </c>
      <c r="L974" s="2" t="s">
        <v>35</v>
      </c>
      <c r="M974" s="2" t="s">
        <v>35</v>
      </c>
      <c r="N974" s="2" t="s">
        <v>35</v>
      </c>
      <c r="O974" s="11">
        <v>44769.425108692129</v>
      </c>
      <c r="P974" s="11">
        <v>44769.425226562496</v>
      </c>
      <c r="Q974" s="27">
        <v>1.1787036783061922E-4</v>
      </c>
      <c r="R974" s="27">
        <v>1.0264004595228471E-3</v>
      </c>
      <c r="S974" s="2">
        <v>0</v>
      </c>
      <c r="T974" s="2" t="s">
        <v>36</v>
      </c>
      <c r="U974" s="2" t="s">
        <v>37</v>
      </c>
      <c r="V974" s="2" t="s">
        <v>38</v>
      </c>
      <c r="W974" s="2" t="s">
        <v>35</v>
      </c>
      <c r="X974" s="2" t="s">
        <v>35</v>
      </c>
      <c r="Y974" s="2" t="s">
        <v>35</v>
      </c>
      <c r="Z974" s="2" t="b">
        <v>0</v>
      </c>
      <c r="AA974" s="2" t="s">
        <v>35</v>
      </c>
      <c r="AB974" s="2" t="s">
        <v>35</v>
      </c>
      <c r="AC974" s="2" t="s">
        <v>35</v>
      </c>
      <c r="AD974" s="2">
        <v>6</v>
      </c>
      <c r="AE974" s="2" t="s">
        <v>2840</v>
      </c>
      <c r="AF974" s="11">
        <v>44769.384722222225</v>
      </c>
      <c r="AG974" s="53"/>
      <c r="AH974" s="53" t="b">
        <f t="shared" si="19"/>
        <v>0</v>
      </c>
      <c r="AI974" s="54" t="s">
        <v>9500</v>
      </c>
      <c r="AJ974" s="2"/>
      <c r="AK974" s="2"/>
      <c r="AL974" s="2"/>
      <c r="AM974" s="2"/>
      <c r="AN974" s="2"/>
    </row>
    <row r="975" spans="1:40" ht="16" x14ac:dyDescent="0.2">
      <c r="A975" s="2" t="s">
        <v>3605</v>
      </c>
      <c r="B975" s="2">
        <v>1120</v>
      </c>
      <c r="C975" s="2" t="b">
        <v>0</v>
      </c>
      <c r="D975" s="2" t="b">
        <v>0</v>
      </c>
      <c r="E975" s="2" t="b">
        <v>0</v>
      </c>
      <c r="F975" s="2" t="b">
        <v>0</v>
      </c>
      <c r="G975" s="2" t="s">
        <v>31</v>
      </c>
      <c r="H975" s="2" t="s">
        <v>3606</v>
      </c>
      <c r="I975" s="2" t="s">
        <v>3607</v>
      </c>
      <c r="J975" s="2" t="s">
        <v>35</v>
      </c>
      <c r="K975" s="2" t="s">
        <v>35</v>
      </c>
      <c r="L975" s="2" t="s">
        <v>35</v>
      </c>
      <c r="M975" s="2" t="s">
        <v>35</v>
      </c>
      <c r="N975" s="2" t="s">
        <v>35</v>
      </c>
      <c r="O975" s="11">
        <v>44769.426349247682</v>
      </c>
      <c r="P975" s="11">
        <v>44769.426466249999</v>
      </c>
      <c r="Q975" s="27">
        <v>1.1700231698341668E-4</v>
      </c>
      <c r="R975" s="27">
        <v>1.8922453455161303E-4</v>
      </c>
      <c r="S975" s="2">
        <v>0</v>
      </c>
      <c r="T975" s="2" t="s">
        <v>36</v>
      </c>
      <c r="U975" s="2" t="s">
        <v>37</v>
      </c>
      <c r="V975" s="2" t="s">
        <v>38</v>
      </c>
      <c r="W975" s="2" t="s">
        <v>35</v>
      </c>
      <c r="X975" s="2" t="s">
        <v>35</v>
      </c>
      <c r="Y975" s="2" t="s">
        <v>35</v>
      </c>
      <c r="Z975" s="2" t="b">
        <v>0</v>
      </c>
      <c r="AA975" s="2" t="s">
        <v>35</v>
      </c>
      <c r="AB975" s="2" t="s">
        <v>35</v>
      </c>
      <c r="AC975" s="2" t="s">
        <v>35</v>
      </c>
      <c r="AD975" s="2">
        <v>2</v>
      </c>
      <c r="AE975" s="2" t="s">
        <v>2840</v>
      </c>
      <c r="AF975" s="11">
        <v>44769.384722222225</v>
      </c>
      <c r="AG975" s="53"/>
      <c r="AH975" s="53" t="b">
        <f t="shared" si="19"/>
        <v>0</v>
      </c>
      <c r="AI975" s="54" t="s">
        <v>10682</v>
      </c>
      <c r="AJ975" s="2"/>
      <c r="AK975" s="2"/>
      <c r="AL975" s="2"/>
      <c r="AM975" s="2"/>
      <c r="AN975" s="2"/>
    </row>
    <row r="976" spans="1:40" ht="16" x14ac:dyDescent="0.2">
      <c r="A976" s="2" t="s">
        <v>3611</v>
      </c>
      <c r="B976" s="2">
        <v>1122</v>
      </c>
      <c r="C976" s="2" t="b">
        <v>0</v>
      </c>
      <c r="D976" s="2" t="b">
        <v>0</v>
      </c>
      <c r="E976" s="2" t="b">
        <v>0</v>
      </c>
      <c r="F976" s="2" t="b">
        <v>0</v>
      </c>
      <c r="G976" s="2" t="s">
        <v>31</v>
      </c>
      <c r="H976" s="2" t="s">
        <v>3612</v>
      </c>
      <c r="I976" s="2" t="s">
        <v>3613</v>
      </c>
      <c r="J976" s="2" t="s">
        <v>3559</v>
      </c>
      <c r="K976" s="2" t="s">
        <v>35</v>
      </c>
      <c r="L976" s="2" t="s">
        <v>35</v>
      </c>
      <c r="M976" s="2" t="s">
        <v>35</v>
      </c>
      <c r="N976" s="2" t="s">
        <v>35</v>
      </c>
      <c r="O976" s="11">
        <v>44769.427583773147</v>
      </c>
      <c r="P976" s="11">
        <v>44769.42779652778</v>
      </c>
      <c r="Q976" s="27">
        <v>2.1275463222991675E-4</v>
      </c>
      <c r="R976" s="27">
        <v>7.1998842759057879E-4</v>
      </c>
      <c r="S976" s="2">
        <v>0</v>
      </c>
      <c r="T976" s="2" t="s">
        <v>36</v>
      </c>
      <c r="U976" s="2" t="s">
        <v>37</v>
      </c>
      <c r="V976" s="2" t="s">
        <v>38</v>
      </c>
      <c r="W976" s="2" t="s">
        <v>35</v>
      </c>
      <c r="X976" s="2" t="s">
        <v>35</v>
      </c>
      <c r="Y976" s="2" t="s">
        <v>35</v>
      </c>
      <c r="Z976" s="2" t="b">
        <v>0</v>
      </c>
      <c r="AA976" s="2" t="s">
        <v>35</v>
      </c>
      <c r="AB976" s="2" t="s">
        <v>35</v>
      </c>
      <c r="AC976" s="2">
        <v>5</v>
      </c>
      <c r="AD976" s="2" t="s">
        <v>35</v>
      </c>
      <c r="AE976" s="2" t="s">
        <v>2840</v>
      </c>
      <c r="AF976" s="11">
        <v>44769.384722222225</v>
      </c>
      <c r="AG976" s="53"/>
      <c r="AH976" s="53" t="b">
        <f t="shared" si="19"/>
        <v>0</v>
      </c>
      <c r="AI976" s="54" t="s">
        <v>10683</v>
      </c>
      <c r="AJ976" s="2"/>
      <c r="AK976" s="2"/>
      <c r="AL976" s="2"/>
      <c r="AM976" s="2"/>
      <c r="AN976" s="2"/>
    </row>
    <row r="977" spans="1:40" ht="16" x14ac:dyDescent="0.2">
      <c r="A977" s="2" t="s">
        <v>3614</v>
      </c>
      <c r="B977" s="2">
        <v>1123</v>
      </c>
      <c r="C977" s="2" t="b">
        <v>0</v>
      </c>
      <c r="D977" s="2" t="b">
        <v>0</v>
      </c>
      <c r="E977" s="2" t="b">
        <v>0</v>
      </c>
      <c r="F977" s="2" t="b">
        <v>0</v>
      </c>
      <c r="G977" s="2" t="s">
        <v>31</v>
      </c>
      <c r="H977" s="2" t="s">
        <v>3615</v>
      </c>
      <c r="I977" s="2" t="s">
        <v>3616</v>
      </c>
      <c r="J977" s="2" t="s">
        <v>35</v>
      </c>
      <c r="K977" s="2" t="s">
        <v>35</v>
      </c>
      <c r="L977" s="2" t="s">
        <v>35</v>
      </c>
      <c r="M977" s="2" t="s">
        <v>35</v>
      </c>
      <c r="N977" s="2" t="s">
        <v>35</v>
      </c>
      <c r="O977" s="11">
        <v>44769.428820833331</v>
      </c>
      <c r="P977" s="11">
        <v>44769.429044722223</v>
      </c>
      <c r="Q977" s="27">
        <v>2.2388889192370698E-4</v>
      </c>
      <c r="R977" s="27">
        <v>1.2481944431783631E-3</v>
      </c>
      <c r="S977" s="2">
        <v>0</v>
      </c>
      <c r="T977" s="2" t="s">
        <v>36</v>
      </c>
      <c r="U977" s="2" t="s">
        <v>37</v>
      </c>
      <c r="V977" s="2" t="s">
        <v>38</v>
      </c>
      <c r="W977" s="2" t="s">
        <v>35</v>
      </c>
      <c r="X977" s="2" t="s">
        <v>35</v>
      </c>
      <c r="Y977" s="2" t="s">
        <v>35</v>
      </c>
      <c r="Z977" s="2" t="b">
        <v>0</v>
      </c>
      <c r="AA977" s="2" t="s">
        <v>35</v>
      </c>
      <c r="AB977" s="2" t="s">
        <v>35</v>
      </c>
      <c r="AC977" s="2" t="s">
        <v>35</v>
      </c>
      <c r="AD977" s="2">
        <v>2</v>
      </c>
      <c r="AE977" s="2" t="s">
        <v>2840</v>
      </c>
      <c r="AF977" s="11">
        <v>44769.384722222225</v>
      </c>
      <c r="AG977" s="53"/>
      <c r="AH977" s="53" t="b">
        <f t="shared" si="19"/>
        <v>0</v>
      </c>
      <c r="AI977" s="54" t="s">
        <v>10684</v>
      </c>
      <c r="AJ977" s="2"/>
      <c r="AK977" s="2"/>
      <c r="AL977" s="2"/>
      <c r="AM977" s="2"/>
      <c r="AN977" s="2"/>
    </row>
    <row r="978" spans="1:40" ht="16" x14ac:dyDescent="0.2">
      <c r="A978" s="2" t="s">
        <v>3620</v>
      </c>
      <c r="B978" s="2">
        <v>1125</v>
      </c>
      <c r="C978" s="2" t="b">
        <v>0</v>
      </c>
      <c r="D978" s="2" t="b">
        <v>0</v>
      </c>
      <c r="E978" s="2" t="b">
        <v>0</v>
      </c>
      <c r="F978" s="2" t="b">
        <v>0</v>
      </c>
      <c r="G978" s="2" t="s">
        <v>31</v>
      </c>
      <c r="H978" s="2" t="s">
        <v>3621</v>
      </c>
      <c r="I978" s="2" t="s">
        <v>3622</v>
      </c>
      <c r="J978" s="2" t="s">
        <v>35</v>
      </c>
      <c r="K978" s="2" t="s">
        <v>35</v>
      </c>
      <c r="L978" s="2" t="s">
        <v>35</v>
      </c>
      <c r="M978" s="2" t="s">
        <v>35</v>
      </c>
      <c r="N978" s="2" t="s">
        <v>35</v>
      </c>
      <c r="O978" s="11">
        <v>44769.430311678239</v>
      </c>
      <c r="P978" s="11">
        <v>44769.430421446756</v>
      </c>
      <c r="Q978" s="27">
        <v>1.0976851626764983E-4</v>
      </c>
      <c r="R978" s="27">
        <v>6.2983795942272991E-4</v>
      </c>
      <c r="S978" s="2">
        <v>0</v>
      </c>
      <c r="T978" s="2" t="s">
        <v>36</v>
      </c>
      <c r="U978" s="2" t="s">
        <v>37</v>
      </c>
      <c r="V978" s="2" t="s">
        <v>38</v>
      </c>
      <c r="W978" s="2" t="s">
        <v>35</v>
      </c>
      <c r="X978" s="2" t="s">
        <v>35</v>
      </c>
      <c r="Y978" s="2" t="s">
        <v>35</v>
      </c>
      <c r="Z978" s="2" t="b">
        <v>0</v>
      </c>
      <c r="AA978" s="2" t="s">
        <v>35</v>
      </c>
      <c r="AB978" s="2" t="s">
        <v>35</v>
      </c>
      <c r="AC978" s="2" t="s">
        <v>35</v>
      </c>
      <c r="AD978" s="2">
        <v>3</v>
      </c>
      <c r="AE978" s="2" t="s">
        <v>2840</v>
      </c>
      <c r="AF978" s="11">
        <v>44769.384722222225</v>
      </c>
      <c r="AG978" s="53"/>
      <c r="AH978" s="53" t="b">
        <f t="shared" si="19"/>
        <v>0</v>
      </c>
      <c r="AI978" s="54" t="s">
        <v>10685</v>
      </c>
      <c r="AJ978" s="2"/>
      <c r="AK978" s="2"/>
      <c r="AL978" s="2"/>
      <c r="AM978" s="2"/>
      <c r="AN978" s="2"/>
    </row>
    <row r="979" spans="1:40" ht="16" x14ac:dyDescent="0.2">
      <c r="A979" s="2" t="s">
        <v>3623</v>
      </c>
      <c r="B979" s="2">
        <v>1126</v>
      </c>
      <c r="C979" s="2" t="b">
        <v>0</v>
      </c>
      <c r="D979" s="2" t="b">
        <v>0</v>
      </c>
      <c r="E979" s="2" t="b">
        <v>0</v>
      </c>
      <c r="F979" s="2" t="b">
        <v>0</v>
      </c>
      <c r="G979" s="2" t="s">
        <v>31</v>
      </c>
      <c r="H979" s="2" t="s">
        <v>3624</v>
      </c>
      <c r="I979" s="2" t="s">
        <v>3625</v>
      </c>
      <c r="J979" s="2" t="s">
        <v>3566</v>
      </c>
      <c r="K979" s="2" t="s">
        <v>35</v>
      </c>
      <c r="L979" s="2" t="s">
        <v>35</v>
      </c>
      <c r="M979" s="2" t="s">
        <v>35</v>
      </c>
      <c r="N979" s="2" t="s">
        <v>35</v>
      </c>
      <c r="O979" s="11">
        <v>44769.431464120367</v>
      </c>
      <c r="P979" s="11">
        <v>44769.43202940972</v>
      </c>
      <c r="Q979" s="27">
        <v>5.6528935238020495E-4</v>
      </c>
      <c r="R979" s="27">
        <v>1.6079629640444182E-3</v>
      </c>
      <c r="S979" s="2">
        <v>0</v>
      </c>
      <c r="T979" s="2" t="s">
        <v>36</v>
      </c>
      <c r="U979" s="2" t="s">
        <v>37</v>
      </c>
      <c r="V979" s="2" t="s">
        <v>38</v>
      </c>
      <c r="W979" s="2" t="s">
        <v>35</v>
      </c>
      <c r="X979" s="2" t="s">
        <v>35</v>
      </c>
      <c r="Y979" s="2" t="s">
        <v>35</v>
      </c>
      <c r="Z979" s="2" t="b">
        <v>0</v>
      </c>
      <c r="AA979" s="2" t="s">
        <v>35</v>
      </c>
      <c r="AB979" s="2" t="s">
        <v>35</v>
      </c>
      <c r="AC979" s="2">
        <v>6</v>
      </c>
      <c r="AD979" s="2" t="s">
        <v>35</v>
      </c>
      <c r="AE979" s="2" t="s">
        <v>2840</v>
      </c>
      <c r="AF979" s="11">
        <v>44769.384722222225</v>
      </c>
      <c r="AG979" s="53"/>
      <c r="AH979" s="53" t="b">
        <f t="shared" si="19"/>
        <v>0</v>
      </c>
      <c r="AI979" s="54" t="s">
        <v>10686</v>
      </c>
      <c r="AJ979" s="2"/>
      <c r="AK979" s="2"/>
      <c r="AL979" s="2"/>
      <c r="AM979" s="2"/>
      <c r="AN979" s="2"/>
    </row>
    <row r="980" spans="1:40" ht="16" x14ac:dyDescent="0.2">
      <c r="A980" s="2" t="s">
        <v>3626</v>
      </c>
      <c r="B980" s="2">
        <v>1127</v>
      </c>
      <c r="C980" s="2" t="b">
        <v>0</v>
      </c>
      <c r="D980" s="2" t="b">
        <v>0</v>
      </c>
      <c r="E980" s="2" t="b">
        <v>0</v>
      </c>
      <c r="F980" s="2" t="b">
        <v>0</v>
      </c>
      <c r="G980" s="2" t="s">
        <v>31</v>
      </c>
      <c r="H980" s="2" t="s">
        <v>3627</v>
      </c>
      <c r="I980" s="2" t="s">
        <v>3628</v>
      </c>
      <c r="J980" s="2" t="s">
        <v>3629</v>
      </c>
      <c r="K980" s="2" t="s">
        <v>35</v>
      </c>
      <c r="L980" s="2" t="s">
        <v>35</v>
      </c>
      <c r="M980" s="2" t="s">
        <v>35</v>
      </c>
      <c r="N980" s="2" t="s">
        <v>35</v>
      </c>
      <c r="O980" s="11">
        <v>44769.43240391204</v>
      </c>
      <c r="P980" s="11">
        <v>44769.432929178241</v>
      </c>
      <c r="Q980" s="27">
        <v>5.2526620129356161E-4</v>
      </c>
      <c r="R980" s="27">
        <v>8.9976852177642286E-4</v>
      </c>
      <c r="S980" s="2">
        <v>0</v>
      </c>
      <c r="T980" s="2" t="s">
        <v>36</v>
      </c>
      <c r="U980" s="2" t="s">
        <v>37</v>
      </c>
      <c r="V980" s="2" t="s">
        <v>38</v>
      </c>
      <c r="W980" s="2" t="s">
        <v>35</v>
      </c>
      <c r="X980" s="2" t="s">
        <v>35</v>
      </c>
      <c r="Y980" s="2" t="s">
        <v>35</v>
      </c>
      <c r="Z980" s="2" t="b">
        <v>0</v>
      </c>
      <c r="AA980" s="2" t="s">
        <v>35</v>
      </c>
      <c r="AB980" s="2" t="s">
        <v>35</v>
      </c>
      <c r="AC980" s="2">
        <v>3</v>
      </c>
      <c r="AD980" s="2">
        <v>3</v>
      </c>
      <c r="AE980" s="2" t="s">
        <v>2840</v>
      </c>
      <c r="AF980" s="11">
        <v>44769.384722222225</v>
      </c>
      <c r="AG980" s="53"/>
      <c r="AH980" s="53" t="b">
        <f t="shared" si="19"/>
        <v>0</v>
      </c>
      <c r="AI980" s="54" t="s">
        <v>10687</v>
      </c>
      <c r="AJ980" s="2"/>
      <c r="AK980" s="2"/>
      <c r="AL980" s="2"/>
      <c r="AM980" s="2"/>
      <c r="AN980" s="2"/>
    </row>
    <row r="981" spans="1:40" ht="16" x14ac:dyDescent="0.2">
      <c r="A981" s="68" t="s">
        <v>3630</v>
      </c>
      <c r="B981" s="68">
        <v>1128</v>
      </c>
      <c r="C981" s="68" t="b">
        <v>0</v>
      </c>
      <c r="D981" s="68" t="b">
        <v>0</v>
      </c>
      <c r="E981" s="68" t="b">
        <v>0</v>
      </c>
      <c r="F981" s="68" t="b">
        <v>0</v>
      </c>
      <c r="G981" s="68" t="s">
        <v>31</v>
      </c>
      <c r="H981" s="68" t="s">
        <v>149</v>
      </c>
      <c r="I981" s="68" t="s">
        <v>3631</v>
      </c>
      <c r="J981" s="68" t="s">
        <v>3566</v>
      </c>
      <c r="K981" s="68" t="s">
        <v>35</v>
      </c>
      <c r="L981" s="68" t="s">
        <v>35</v>
      </c>
      <c r="M981" s="68" t="s">
        <v>35</v>
      </c>
      <c r="N981" s="68" t="s">
        <v>35</v>
      </c>
      <c r="O981" s="69">
        <v>44769.433386736113</v>
      </c>
      <c r="P981" s="69">
        <v>44769.433668750004</v>
      </c>
      <c r="Q981" s="70">
        <v>2.8201389068271965E-4</v>
      </c>
      <c r="R981" s="70">
        <v>7.3957176209660247E-4</v>
      </c>
      <c r="S981" s="68">
        <v>0</v>
      </c>
      <c r="T981" s="68" t="s">
        <v>36</v>
      </c>
      <c r="U981" s="68" t="s">
        <v>37</v>
      </c>
      <c r="V981" s="68" t="s">
        <v>38</v>
      </c>
      <c r="W981" s="68" t="s">
        <v>35</v>
      </c>
      <c r="X981" s="68" t="s">
        <v>35</v>
      </c>
      <c r="Y981" s="68" t="s">
        <v>35</v>
      </c>
      <c r="Z981" s="68" t="b">
        <v>0</v>
      </c>
      <c r="AA981" s="68" t="s">
        <v>35</v>
      </c>
      <c r="AB981" s="68" t="s">
        <v>35</v>
      </c>
      <c r="AC981" s="68">
        <v>6</v>
      </c>
      <c r="AD981" s="68" t="s">
        <v>35</v>
      </c>
      <c r="AE981" s="68" t="s">
        <v>2840</v>
      </c>
      <c r="AF981" s="69">
        <v>44769.384722222225</v>
      </c>
      <c r="AG981" s="71"/>
      <c r="AH981" s="53" t="b">
        <f t="shared" si="19"/>
        <v>0</v>
      </c>
      <c r="AI981" s="56" t="s">
        <v>35</v>
      </c>
      <c r="AJ981" s="68"/>
      <c r="AK981" s="68"/>
      <c r="AL981" s="68"/>
      <c r="AM981" s="68"/>
      <c r="AN981" s="68"/>
    </row>
    <row r="982" spans="1:40" ht="16" x14ac:dyDescent="0.2">
      <c r="A982" s="2" t="s">
        <v>3638</v>
      </c>
      <c r="B982" s="2">
        <v>1131</v>
      </c>
      <c r="C982" s="2" t="b">
        <v>0</v>
      </c>
      <c r="D982" s="2" t="b">
        <v>0</v>
      </c>
      <c r="E982" s="2" t="b">
        <v>0</v>
      </c>
      <c r="F982" s="2" t="b">
        <v>0</v>
      </c>
      <c r="G982" s="2" t="s">
        <v>31</v>
      </c>
      <c r="H982" s="2" t="s">
        <v>3639</v>
      </c>
      <c r="I982" s="2" t="s">
        <v>3640</v>
      </c>
      <c r="J982" s="2" t="s">
        <v>3641</v>
      </c>
      <c r="K982" s="2" t="s">
        <v>35</v>
      </c>
      <c r="L982" s="2" t="s">
        <v>35</v>
      </c>
      <c r="M982" s="2" t="s">
        <v>35</v>
      </c>
      <c r="N982" s="2" t="s">
        <v>35</v>
      </c>
      <c r="O982" s="11">
        <v>44769.435769351854</v>
      </c>
      <c r="P982" s="11">
        <v>44769.436102638887</v>
      </c>
      <c r="Q982" s="27">
        <v>3.3328703284496441E-4</v>
      </c>
      <c r="R982" s="27">
        <v>8.9431712694931775E-4</v>
      </c>
      <c r="S982" s="2">
        <v>0</v>
      </c>
      <c r="T982" s="2" t="s">
        <v>36</v>
      </c>
      <c r="U982" s="2" t="s">
        <v>37</v>
      </c>
      <c r="V982" s="2" t="s">
        <v>38</v>
      </c>
      <c r="W982" s="2" t="s">
        <v>35</v>
      </c>
      <c r="X982" s="2" t="s">
        <v>35</v>
      </c>
      <c r="Y982" s="2" t="s">
        <v>35</v>
      </c>
      <c r="Z982" s="2" t="b">
        <v>0</v>
      </c>
      <c r="AA982" s="2" t="s">
        <v>35</v>
      </c>
      <c r="AB982" s="2" t="s">
        <v>35</v>
      </c>
      <c r="AC982" s="2">
        <v>6</v>
      </c>
      <c r="AD982" s="2" t="s">
        <v>35</v>
      </c>
      <c r="AE982" s="2" t="s">
        <v>2840</v>
      </c>
      <c r="AF982" s="11">
        <v>44769.384722222225</v>
      </c>
      <c r="AG982" s="53"/>
      <c r="AH982" s="53" t="b">
        <f t="shared" si="19"/>
        <v>0</v>
      </c>
      <c r="AI982" s="54" t="s">
        <v>10688</v>
      </c>
      <c r="AJ982" s="2"/>
      <c r="AK982" s="2"/>
      <c r="AL982" s="2"/>
      <c r="AM982" s="2"/>
      <c r="AN982" s="2"/>
    </row>
    <row r="983" spans="1:40" ht="16" x14ac:dyDescent="0.2">
      <c r="A983" s="2" t="s">
        <v>3642</v>
      </c>
      <c r="B983" s="2">
        <v>1132</v>
      </c>
      <c r="C983" s="2" t="b">
        <v>0</v>
      </c>
      <c r="D983" s="2" t="b">
        <v>0</v>
      </c>
      <c r="E983" s="2" t="b">
        <v>0</v>
      </c>
      <c r="F983" s="2" t="b">
        <v>0</v>
      </c>
      <c r="G983" s="2" t="s">
        <v>31</v>
      </c>
      <c r="H983" s="2" t="s">
        <v>3643</v>
      </c>
      <c r="I983" s="2" t="s">
        <v>3644</v>
      </c>
      <c r="J983" s="2" t="s">
        <v>35</v>
      </c>
      <c r="K983" s="2" t="s">
        <v>35</v>
      </c>
      <c r="L983" s="2" t="s">
        <v>35</v>
      </c>
      <c r="M983" s="2" t="s">
        <v>35</v>
      </c>
      <c r="N983" s="2" t="s">
        <v>35</v>
      </c>
      <c r="O983" s="11">
        <v>44769.438191817128</v>
      </c>
      <c r="P983" s="11">
        <v>44769.438736400465</v>
      </c>
      <c r="Q983" s="27">
        <v>5.4458333761431277E-4</v>
      </c>
      <c r="R983" s="27">
        <v>2.6337615781812929E-3</v>
      </c>
      <c r="S983" s="2">
        <v>0</v>
      </c>
      <c r="T983" s="2" t="s">
        <v>36</v>
      </c>
      <c r="U983" s="2" t="s">
        <v>37</v>
      </c>
      <c r="V983" s="2" t="s">
        <v>38</v>
      </c>
      <c r="W983" s="2" t="s">
        <v>35</v>
      </c>
      <c r="X983" s="2" t="s">
        <v>35</v>
      </c>
      <c r="Y983" s="2" t="s">
        <v>35</v>
      </c>
      <c r="Z983" s="2" t="b">
        <v>0</v>
      </c>
      <c r="AA983" s="2" t="s">
        <v>2933</v>
      </c>
      <c r="AB983" s="2" t="s">
        <v>35</v>
      </c>
      <c r="AC983" s="2">
        <v>12</v>
      </c>
      <c r="AD983" s="2">
        <v>3</v>
      </c>
      <c r="AE983" s="2" t="s">
        <v>2840</v>
      </c>
      <c r="AF983" s="11">
        <v>44769.384722222225</v>
      </c>
      <c r="AG983" s="53"/>
      <c r="AH983" s="53" t="b">
        <f t="shared" si="19"/>
        <v>0</v>
      </c>
      <c r="AI983" s="54" t="s">
        <v>9499</v>
      </c>
      <c r="AJ983" s="2"/>
      <c r="AK983" s="2"/>
      <c r="AL983" s="2"/>
      <c r="AM983" s="2"/>
      <c r="AN983" s="2"/>
    </row>
    <row r="984" spans="1:40" ht="16" x14ac:dyDescent="0.2">
      <c r="A984" s="2" t="s">
        <v>3651</v>
      </c>
      <c r="B984" s="2">
        <v>1135</v>
      </c>
      <c r="C984" s="2" t="b">
        <v>0</v>
      </c>
      <c r="D984" s="2" t="b">
        <v>0</v>
      </c>
      <c r="E984" s="2" t="b">
        <v>0</v>
      </c>
      <c r="F984" s="2" t="b">
        <v>0</v>
      </c>
      <c r="G984" s="2" t="s">
        <v>31</v>
      </c>
      <c r="H984" s="2" t="s">
        <v>3652</v>
      </c>
      <c r="I984" s="2" t="s">
        <v>3653</v>
      </c>
      <c r="J984" s="2" t="s">
        <v>35</v>
      </c>
      <c r="K984" s="2" t="s">
        <v>35</v>
      </c>
      <c r="L984" s="2" t="s">
        <v>35</v>
      </c>
      <c r="M984" s="2" t="s">
        <v>35</v>
      </c>
      <c r="N984" s="2" t="s">
        <v>35</v>
      </c>
      <c r="O984" s="11">
        <v>44769.441731481478</v>
      </c>
      <c r="P984" s="11">
        <v>44769.441978530092</v>
      </c>
      <c r="Q984" s="27">
        <v>2.470486142556183E-4</v>
      </c>
      <c r="R984" s="27">
        <v>7.4896990554407239E-4</v>
      </c>
      <c r="S984" s="2">
        <v>0</v>
      </c>
      <c r="T984" s="2" t="s">
        <v>36</v>
      </c>
      <c r="U984" s="2" t="s">
        <v>37</v>
      </c>
      <c r="V984" s="2" t="s">
        <v>38</v>
      </c>
      <c r="W984" s="2" t="s">
        <v>35</v>
      </c>
      <c r="X984" s="2" t="s">
        <v>35</v>
      </c>
      <c r="Y984" s="2" t="s">
        <v>35</v>
      </c>
      <c r="Z984" s="2" t="b">
        <v>0</v>
      </c>
      <c r="AA984" s="2" t="s">
        <v>35</v>
      </c>
      <c r="AB984" s="2" t="s">
        <v>35</v>
      </c>
      <c r="AC984" s="2" t="s">
        <v>35</v>
      </c>
      <c r="AD984" s="2">
        <v>5</v>
      </c>
      <c r="AE984" s="2" t="s">
        <v>2840</v>
      </c>
      <c r="AF984" s="11">
        <v>44769.384722222225</v>
      </c>
      <c r="AG984" s="53"/>
      <c r="AH984" s="53" t="b">
        <f t="shared" si="19"/>
        <v>0</v>
      </c>
      <c r="AI984" s="54" t="s">
        <v>9498</v>
      </c>
      <c r="AJ984" s="2"/>
      <c r="AK984" s="2"/>
      <c r="AL984" s="2"/>
      <c r="AM984" s="2"/>
      <c r="AN984" s="2"/>
    </row>
    <row r="985" spans="1:40" ht="16" x14ac:dyDescent="0.2">
      <c r="A985" s="2" t="s">
        <v>3654</v>
      </c>
      <c r="B985" s="2">
        <v>1136</v>
      </c>
      <c r="C985" s="2" t="b">
        <v>0</v>
      </c>
      <c r="D985" s="2" t="b">
        <v>0</v>
      </c>
      <c r="E985" s="2" t="b">
        <v>0</v>
      </c>
      <c r="F985" s="2" t="b">
        <v>0</v>
      </c>
      <c r="G985" s="2" t="s">
        <v>31</v>
      </c>
      <c r="H985" s="2" t="s">
        <v>3655</v>
      </c>
      <c r="I985" s="2" t="s">
        <v>3656</v>
      </c>
      <c r="J985" s="2" t="s">
        <v>3657</v>
      </c>
      <c r="K985" s="2" t="s">
        <v>35</v>
      </c>
      <c r="L985" s="2" t="s">
        <v>35</v>
      </c>
      <c r="M985" s="2" t="s">
        <v>35</v>
      </c>
      <c r="N985" s="2" t="s">
        <v>35</v>
      </c>
      <c r="O985" s="11">
        <v>44769.442145370369</v>
      </c>
      <c r="P985" s="11">
        <v>44769.442608043981</v>
      </c>
      <c r="Q985" s="27">
        <v>4.6267361176433042E-4</v>
      </c>
      <c r="R985" s="27">
        <v>6.2951388827059418E-4</v>
      </c>
      <c r="S985" s="2">
        <v>0</v>
      </c>
      <c r="T985" s="2" t="s">
        <v>36</v>
      </c>
      <c r="U985" s="2" t="s">
        <v>37</v>
      </c>
      <c r="V985" s="2" t="s">
        <v>38</v>
      </c>
      <c r="W985" s="2" t="s">
        <v>35</v>
      </c>
      <c r="X985" s="2" t="s">
        <v>35</v>
      </c>
      <c r="Y985" s="2" t="s">
        <v>35</v>
      </c>
      <c r="Z985" s="2" t="b">
        <v>0</v>
      </c>
      <c r="AA985" s="2" t="s">
        <v>35</v>
      </c>
      <c r="AB985" s="2" t="s">
        <v>35</v>
      </c>
      <c r="AC985" s="2">
        <v>5</v>
      </c>
      <c r="AD985" s="2" t="s">
        <v>35</v>
      </c>
      <c r="AE985" s="2" t="s">
        <v>2840</v>
      </c>
      <c r="AF985" s="11">
        <v>44769.384722222225</v>
      </c>
      <c r="AG985" s="53"/>
      <c r="AH985" s="53" t="b">
        <f t="shared" si="19"/>
        <v>0</v>
      </c>
      <c r="AI985" s="54" t="s">
        <v>10689</v>
      </c>
      <c r="AJ985" s="2"/>
      <c r="AK985" s="2"/>
      <c r="AL985" s="2"/>
      <c r="AM985" s="2"/>
      <c r="AN985" s="2"/>
    </row>
    <row r="986" spans="1:40" ht="16" x14ac:dyDescent="0.2">
      <c r="A986" s="2" t="s">
        <v>3661</v>
      </c>
      <c r="B986" s="2">
        <v>1138</v>
      </c>
      <c r="C986" s="2" t="b">
        <v>0</v>
      </c>
      <c r="D986" s="2" t="b">
        <v>0</v>
      </c>
      <c r="E986" s="2" t="b">
        <v>0</v>
      </c>
      <c r="F986" s="2" t="b">
        <v>0</v>
      </c>
      <c r="G986" s="2" t="s">
        <v>31</v>
      </c>
      <c r="H986" s="2" t="s">
        <v>3662</v>
      </c>
      <c r="I986" s="2" t="s">
        <v>3663</v>
      </c>
      <c r="J986" s="2" t="s">
        <v>3566</v>
      </c>
      <c r="K986" s="2" t="s">
        <v>35</v>
      </c>
      <c r="L986" s="2" t="s">
        <v>35</v>
      </c>
      <c r="M986" s="2" t="s">
        <v>35</v>
      </c>
      <c r="N986" s="2" t="s">
        <v>35</v>
      </c>
      <c r="O986" s="11">
        <v>44769.443199629626</v>
      </c>
      <c r="P986" s="11">
        <v>44769.444080775465</v>
      </c>
      <c r="Q986" s="27">
        <v>8.8114583923015743E-4</v>
      </c>
      <c r="R986" s="27">
        <v>1.0520138894207776E-3</v>
      </c>
      <c r="S986" s="2">
        <v>0</v>
      </c>
      <c r="T986" s="2" t="s">
        <v>36</v>
      </c>
      <c r="U986" s="2" t="s">
        <v>37</v>
      </c>
      <c r="V986" s="2" t="s">
        <v>38</v>
      </c>
      <c r="W986" s="2" t="s">
        <v>35</v>
      </c>
      <c r="X986" s="2" t="s">
        <v>35</v>
      </c>
      <c r="Y986" s="2" t="s">
        <v>35</v>
      </c>
      <c r="Z986" s="2" t="b">
        <v>0</v>
      </c>
      <c r="AA986" s="2" t="s">
        <v>35</v>
      </c>
      <c r="AB986" s="2">
        <v>105</v>
      </c>
      <c r="AC986" s="2">
        <v>12</v>
      </c>
      <c r="AD986" s="2" t="s">
        <v>35</v>
      </c>
      <c r="AE986" s="2" t="s">
        <v>2840</v>
      </c>
      <c r="AF986" s="11">
        <v>44769.384722222225</v>
      </c>
      <c r="AG986" s="53"/>
      <c r="AH986" s="53" t="str">
        <f t="shared" si="19"/>
        <v>TRUE</v>
      </c>
      <c r="AI986" s="54" t="s">
        <v>10690</v>
      </c>
      <c r="AJ986" s="2"/>
      <c r="AK986" s="2"/>
      <c r="AL986" s="2"/>
      <c r="AM986" s="2"/>
      <c r="AN986" s="2"/>
    </row>
    <row r="987" spans="1:40" ht="16" x14ac:dyDescent="0.2">
      <c r="A987" s="2" t="s">
        <v>3671</v>
      </c>
      <c r="B987" s="2">
        <v>1141</v>
      </c>
      <c r="C987" s="2" t="b">
        <v>0</v>
      </c>
      <c r="D987" s="2" t="b">
        <v>0</v>
      </c>
      <c r="E987" s="2" t="b">
        <v>0</v>
      </c>
      <c r="F987" s="2" t="b">
        <v>0</v>
      </c>
      <c r="G987" s="2" t="s">
        <v>31</v>
      </c>
      <c r="H987" s="2" t="s">
        <v>3672</v>
      </c>
      <c r="I987" s="2" t="s">
        <v>3673</v>
      </c>
      <c r="J987" s="2" t="s">
        <v>3629</v>
      </c>
      <c r="K987" s="2" t="s">
        <v>35</v>
      </c>
      <c r="L987" s="2" t="s">
        <v>35</v>
      </c>
      <c r="M987" s="2" t="s">
        <v>35</v>
      </c>
      <c r="N987" s="2" t="s">
        <v>35</v>
      </c>
      <c r="O987" s="11">
        <v>44769.447237870372</v>
      </c>
      <c r="P987" s="11">
        <v>44769.447429571759</v>
      </c>
      <c r="Q987" s="27">
        <v>1.917013869388029E-4</v>
      </c>
      <c r="R987" s="27">
        <v>8.3258101949468255E-4</v>
      </c>
      <c r="S987" s="2">
        <v>0</v>
      </c>
      <c r="T987" s="2" t="s">
        <v>36</v>
      </c>
      <c r="U987" s="2" t="s">
        <v>37</v>
      </c>
      <c r="V987" s="2" t="s">
        <v>38</v>
      </c>
      <c r="W987" s="2" t="s">
        <v>35</v>
      </c>
      <c r="X987" s="2" t="s">
        <v>35</v>
      </c>
      <c r="Y987" s="2" t="s">
        <v>35</v>
      </c>
      <c r="Z987" s="2" t="b">
        <v>0</v>
      </c>
      <c r="AA987" s="2" t="s">
        <v>35</v>
      </c>
      <c r="AB987" s="2" t="s">
        <v>35</v>
      </c>
      <c r="AC987" s="2">
        <v>4</v>
      </c>
      <c r="AD987" s="2" t="s">
        <v>35</v>
      </c>
      <c r="AE987" s="2" t="s">
        <v>2840</v>
      </c>
      <c r="AF987" s="11">
        <v>44769.384722222225</v>
      </c>
      <c r="AG987" s="53"/>
      <c r="AH987" s="53" t="b">
        <f t="shared" si="19"/>
        <v>0</v>
      </c>
      <c r="AI987" s="54" t="s">
        <v>10691</v>
      </c>
      <c r="AJ987" s="2"/>
      <c r="AK987" s="2"/>
      <c r="AL987" s="2"/>
      <c r="AM987" s="2"/>
      <c r="AN987" s="2"/>
    </row>
    <row r="988" spans="1:40" ht="16" x14ac:dyDescent="0.2">
      <c r="A988" s="2" t="s">
        <v>3674</v>
      </c>
      <c r="B988" s="2">
        <v>1142</v>
      </c>
      <c r="C988" s="2" t="b">
        <v>0</v>
      </c>
      <c r="D988" s="2" t="b">
        <v>0</v>
      </c>
      <c r="E988" s="2" t="b">
        <v>0</v>
      </c>
      <c r="F988" s="2" t="b">
        <v>0</v>
      </c>
      <c r="G988" s="2" t="s">
        <v>31</v>
      </c>
      <c r="H988" s="2" t="s">
        <v>3675</v>
      </c>
      <c r="I988" s="2" t="s">
        <v>3676</v>
      </c>
      <c r="J988" s="2" t="s">
        <v>3629</v>
      </c>
      <c r="K988" s="2" t="s">
        <v>35</v>
      </c>
      <c r="L988" s="2" t="s">
        <v>35</v>
      </c>
      <c r="M988" s="2" t="s">
        <v>35</v>
      </c>
      <c r="N988" s="2" t="s">
        <v>35</v>
      </c>
      <c r="O988" s="11">
        <v>44769.44782361111</v>
      </c>
      <c r="P988" s="11">
        <v>44769.448044097226</v>
      </c>
      <c r="Q988" s="27">
        <v>2.2048611572245136E-4</v>
      </c>
      <c r="R988" s="27">
        <v>6.1452546651707962E-4</v>
      </c>
      <c r="S988" s="2">
        <v>0</v>
      </c>
      <c r="T988" s="2" t="s">
        <v>36</v>
      </c>
      <c r="U988" s="2" t="s">
        <v>37</v>
      </c>
      <c r="V988" s="2" t="s">
        <v>38</v>
      </c>
      <c r="W988" s="2" t="s">
        <v>35</v>
      </c>
      <c r="X988" s="2" t="s">
        <v>35</v>
      </c>
      <c r="Y988" s="2" t="s">
        <v>35</v>
      </c>
      <c r="Z988" s="2" t="b">
        <v>0</v>
      </c>
      <c r="AA988" s="2" t="s">
        <v>35</v>
      </c>
      <c r="AB988" s="2" t="s">
        <v>35</v>
      </c>
      <c r="AC988" s="2">
        <v>7</v>
      </c>
      <c r="AD988" s="2" t="s">
        <v>35</v>
      </c>
      <c r="AE988" s="2" t="s">
        <v>2840</v>
      </c>
      <c r="AF988" s="11">
        <v>44769.384722222225</v>
      </c>
      <c r="AG988" s="53"/>
      <c r="AH988" s="53" t="b">
        <f t="shared" si="19"/>
        <v>0</v>
      </c>
      <c r="AI988" s="54" t="s">
        <v>10692</v>
      </c>
      <c r="AJ988" s="2"/>
      <c r="AK988" s="2"/>
      <c r="AL988" s="2"/>
      <c r="AM988" s="2"/>
      <c r="AN988" s="2"/>
    </row>
    <row r="989" spans="1:40" ht="16" x14ac:dyDescent="0.2">
      <c r="A989" s="2" t="s">
        <v>3677</v>
      </c>
      <c r="B989" s="2">
        <v>1143</v>
      </c>
      <c r="C989" s="2" t="b">
        <v>0</v>
      </c>
      <c r="D989" s="2" t="b">
        <v>0</v>
      </c>
      <c r="E989" s="2" t="b">
        <v>0</v>
      </c>
      <c r="F989" s="2" t="b">
        <v>0</v>
      </c>
      <c r="G989" s="2" t="s">
        <v>31</v>
      </c>
      <c r="H989" s="2" t="s">
        <v>3678</v>
      </c>
      <c r="I989" s="2" t="s">
        <v>3679</v>
      </c>
      <c r="J989" s="2" t="s">
        <v>3680</v>
      </c>
      <c r="K989" s="2" t="s">
        <v>35</v>
      </c>
      <c r="L989" s="2" t="s">
        <v>35</v>
      </c>
      <c r="M989" s="2" t="s">
        <v>35</v>
      </c>
      <c r="N989" s="2" t="s">
        <v>35</v>
      </c>
      <c r="O989" s="11">
        <v>44769.449519525464</v>
      </c>
      <c r="P989" s="11">
        <v>44769.449972743052</v>
      </c>
      <c r="Q989" s="27">
        <v>4.5321758807403967E-4</v>
      </c>
      <c r="R989" s="27">
        <v>1.9286458264105022E-3</v>
      </c>
      <c r="S989" s="2">
        <v>0</v>
      </c>
      <c r="T989" s="2" t="s">
        <v>36</v>
      </c>
      <c r="U989" s="2" t="s">
        <v>37</v>
      </c>
      <c r="V989" s="2" t="s">
        <v>38</v>
      </c>
      <c r="W989" s="2" t="s">
        <v>35</v>
      </c>
      <c r="X989" s="2" t="s">
        <v>35</v>
      </c>
      <c r="Y989" s="2" t="s">
        <v>35</v>
      </c>
      <c r="Z989" s="2" t="b">
        <v>0</v>
      </c>
      <c r="AA989" s="2" t="s">
        <v>35</v>
      </c>
      <c r="AB989" s="2" t="s">
        <v>35</v>
      </c>
      <c r="AC989" s="2">
        <v>8</v>
      </c>
      <c r="AD989" s="2" t="s">
        <v>35</v>
      </c>
      <c r="AE989" s="2" t="s">
        <v>2840</v>
      </c>
      <c r="AF989" s="11">
        <v>44769.384722222225</v>
      </c>
      <c r="AG989" s="53"/>
      <c r="AH989" s="53" t="b">
        <f t="shared" ref="AH989:AH1006" si="20">IF(Q989&gt;TIME(0,1,9),"TRUE")</f>
        <v>0</v>
      </c>
      <c r="AI989" s="54" t="s">
        <v>10693</v>
      </c>
      <c r="AJ989" s="2"/>
      <c r="AK989" s="2"/>
      <c r="AL989" s="2"/>
      <c r="AM989" s="2"/>
      <c r="AN989" s="2"/>
    </row>
    <row r="990" spans="1:40" ht="16" x14ac:dyDescent="0.2">
      <c r="A990" s="2" t="s">
        <v>3681</v>
      </c>
      <c r="B990" s="2">
        <v>1144</v>
      </c>
      <c r="C990" s="2" t="b">
        <v>0</v>
      </c>
      <c r="D990" s="2" t="b">
        <v>0</v>
      </c>
      <c r="E990" s="2" t="b">
        <v>0</v>
      </c>
      <c r="F990" s="2" t="b">
        <v>0</v>
      </c>
      <c r="G990" s="2" t="s">
        <v>31</v>
      </c>
      <c r="H990" s="2" t="s">
        <v>3682</v>
      </c>
      <c r="I990" s="2" t="s">
        <v>3683</v>
      </c>
      <c r="J990" s="2" t="s">
        <v>3680</v>
      </c>
      <c r="K990" s="2" t="s">
        <v>35</v>
      </c>
      <c r="L990" s="2" t="s">
        <v>35</v>
      </c>
      <c r="M990" s="2" t="s">
        <v>35</v>
      </c>
      <c r="N990" s="2" t="s">
        <v>35</v>
      </c>
      <c r="O990" s="11">
        <v>44769.450413993058</v>
      </c>
      <c r="P990" s="11">
        <v>44769.45074010417</v>
      </c>
      <c r="Q990" s="27">
        <v>3.261111123720184E-4</v>
      </c>
      <c r="R990" s="27">
        <v>7.673611180507578E-4</v>
      </c>
      <c r="S990" s="2">
        <v>0</v>
      </c>
      <c r="T990" s="2" t="s">
        <v>36</v>
      </c>
      <c r="U990" s="2" t="s">
        <v>37</v>
      </c>
      <c r="V990" s="2" t="s">
        <v>38</v>
      </c>
      <c r="W990" s="2" t="s">
        <v>35</v>
      </c>
      <c r="X990" s="2" t="s">
        <v>35</v>
      </c>
      <c r="Y990" s="2" t="s">
        <v>35</v>
      </c>
      <c r="Z990" s="2" t="b">
        <v>0</v>
      </c>
      <c r="AA990" s="2" t="s">
        <v>35</v>
      </c>
      <c r="AB990" s="2" t="s">
        <v>35</v>
      </c>
      <c r="AC990" s="2">
        <v>6</v>
      </c>
      <c r="AD990" s="2">
        <v>2</v>
      </c>
      <c r="AE990" s="2" t="s">
        <v>2840</v>
      </c>
      <c r="AF990" s="11">
        <v>44769.384722222225</v>
      </c>
      <c r="AG990" s="53"/>
      <c r="AH990" s="53" t="b">
        <f t="shared" si="20"/>
        <v>0</v>
      </c>
      <c r="AI990" s="54" t="s">
        <v>10694</v>
      </c>
      <c r="AJ990" s="2"/>
      <c r="AK990" s="2"/>
      <c r="AL990" s="2"/>
      <c r="AM990" s="2"/>
      <c r="AN990" s="2"/>
    </row>
    <row r="991" spans="1:40" ht="16" x14ac:dyDescent="0.2">
      <c r="A991" s="2" t="s">
        <v>3684</v>
      </c>
      <c r="B991" s="2">
        <v>1145</v>
      </c>
      <c r="C991" s="2" t="b">
        <v>0</v>
      </c>
      <c r="D991" s="2" t="b">
        <v>0</v>
      </c>
      <c r="E991" s="2" t="b">
        <v>0</v>
      </c>
      <c r="F991" s="2" t="b">
        <v>0</v>
      </c>
      <c r="G991" s="2" t="s">
        <v>31</v>
      </c>
      <c r="H991" s="2" t="s">
        <v>3685</v>
      </c>
      <c r="I991" s="2" t="s">
        <v>3686</v>
      </c>
      <c r="J991" s="2" t="s">
        <v>3213</v>
      </c>
      <c r="K991" s="2" t="s">
        <v>35</v>
      </c>
      <c r="L991" s="2" t="s">
        <v>35</v>
      </c>
      <c r="M991" s="2" t="s">
        <v>35</v>
      </c>
      <c r="N991" s="2" t="s">
        <v>35</v>
      </c>
      <c r="O991" s="11">
        <v>44769.452104699078</v>
      </c>
      <c r="P991" s="11">
        <v>44769.452548854169</v>
      </c>
      <c r="Q991" s="27">
        <v>4.4415509182726964E-4</v>
      </c>
      <c r="R991" s="27">
        <v>1.8087499993271194E-3</v>
      </c>
      <c r="S991" s="2">
        <v>0</v>
      </c>
      <c r="T991" s="2" t="s">
        <v>36</v>
      </c>
      <c r="U991" s="2" t="s">
        <v>37</v>
      </c>
      <c r="V991" s="2" t="s">
        <v>38</v>
      </c>
      <c r="W991" s="2" t="s">
        <v>35</v>
      </c>
      <c r="X991" s="2" t="s">
        <v>35</v>
      </c>
      <c r="Y991" s="2" t="s">
        <v>35</v>
      </c>
      <c r="Z991" s="2" t="b">
        <v>0</v>
      </c>
      <c r="AA991" s="2" t="s">
        <v>35</v>
      </c>
      <c r="AB991" s="2" t="s">
        <v>35</v>
      </c>
      <c r="AC991" s="2">
        <v>3</v>
      </c>
      <c r="AD991" s="2" t="s">
        <v>35</v>
      </c>
      <c r="AE991" s="2" t="s">
        <v>2840</v>
      </c>
      <c r="AF991" s="11">
        <v>44769.384722222225</v>
      </c>
      <c r="AG991" s="53"/>
      <c r="AH991" s="53" t="b">
        <f t="shared" si="20"/>
        <v>0</v>
      </c>
      <c r="AI991" s="54" t="s">
        <v>10697</v>
      </c>
      <c r="AJ991" s="2" t="s">
        <v>10695</v>
      </c>
      <c r="AK991" s="2" t="s">
        <v>10696</v>
      </c>
      <c r="AL991" s="2"/>
      <c r="AM991" s="2"/>
      <c r="AN991" s="2"/>
    </row>
    <row r="992" spans="1:40" ht="16" x14ac:dyDescent="0.2">
      <c r="A992" s="2" t="s">
        <v>3687</v>
      </c>
      <c r="B992" s="2">
        <v>1146</v>
      </c>
      <c r="C992" s="2" t="b">
        <v>0</v>
      </c>
      <c r="D992" s="2" t="b">
        <v>0</v>
      </c>
      <c r="E992" s="2" t="b">
        <v>0</v>
      </c>
      <c r="F992" s="2" t="b">
        <v>0</v>
      </c>
      <c r="G992" s="2" t="s">
        <v>31</v>
      </c>
      <c r="H992" s="2" t="s">
        <v>3688</v>
      </c>
      <c r="I992" s="2" t="s">
        <v>3689</v>
      </c>
      <c r="J992" s="2" t="s">
        <v>3657</v>
      </c>
      <c r="K992" s="2" t="s">
        <v>35</v>
      </c>
      <c r="L992" s="2" t="s">
        <v>35</v>
      </c>
      <c r="M992" s="2" t="s">
        <v>35</v>
      </c>
      <c r="N992" s="2" t="s">
        <v>35</v>
      </c>
      <c r="O992" s="11">
        <v>44769.452707847224</v>
      </c>
      <c r="P992" s="11">
        <v>44769.452991655089</v>
      </c>
      <c r="Q992" s="27">
        <v>2.8380786534398794E-4</v>
      </c>
      <c r="R992" s="27">
        <v>4.4280091969994828E-4</v>
      </c>
      <c r="S992" s="2">
        <v>0</v>
      </c>
      <c r="T992" s="2" t="s">
        <v>36</v>
      </c>
      <c r="U992" s="2" t="s">
        <v>37</v>
      </c>
      <c r="V992" s="2" t="s">
        <v>38</v>
      </c>
      <c r="W992" s="2" t="s">
        <v>35</v>
      </c>
      <c r="X992" s="2" t="s">
        <v>35</v>
      </c>
      <c r="Y992" s="2" t="s">
        <v>35</v>
      </c>
      <c r="Z992" s="2" t="b">
        <v>0</v>
      </c>
      <c r="AA992" s="2" t="s">
        <v>35</v>
      </c>
      <c r="AB992" s="2" t="s">
        <v>35</v>
      </c>
      <c r="AC992" s="2">
        <v>6</v>
      </c>
      <c r="AD992" s="2">
        <v>2</v>
      </c>
      <c r="AE992" s="2" t="s">
        <v>2840</v>
      </c>
      <c r="AF992" s="11">
        <v>44769.384722222225</v>
      </c>
      <c r="AG992" s="53"/>
      <c r="AH992" s="53" t="b">
        <f t="shared" si="20"/>
        <v>0</v>
      </c>
      <c r="AI992" s="54" t="s">
        <v>10698</v>
      </c>
      <c r="AJ992" s="2"/>
      <c r="AK992" s="2"/>
      <c r="AL992" s="2"/>
      <c r="AM992" s="2"/>
      <c r="AN992" s="2"/>
    </row>
    <row r="993" spans="1:40" ht="16" x14ac:dyDescent="0.2">
      <c r="A993" s="2" t="s">
        <v>3690</v>
      </c>
      <c r="B993" s="2">
        <v>1147</v>
      </c>
      <c r="C993" s="2" t="b">
        <v>0</v>
      </c>
      <c r="D993" s="2" t="b">
        <v>0</v>
      </c>
      <c r="E993" s="2" t="b">
        <v>0</v>
      </c>
      <c r="F993" s="2" t="b">
        <v>0</v>
      </c>
      <c r="G993" s="2" t="s">
        <v>31</v>
      </c>
      <c r="H993" s="2" t="s">
        <v>3691</v>
      </c>
      <c r="I993" s="2" t="s">
        <v>3692</v>
      </c>
      <c r="J993" s="2" t="s">
        <v>584</v>
      </c>
      <c r="K993" s="2" t="s">
        <v>35</v>
      </c>
      <c r="L993" s="2" t="s">
        <v>35</v>
      </c>
      <c r="M993" s="2" t="s">
        <v>35</v>
      </c>
      <c r="N993" s="2" t="s">
        <v>35</v>
      </c>
      <c r="O993" s="11">
        <v>44769.454748784723</v>
      </c>
      <c r="P993" s="11">
        <v>44769.454964143515</v>
      </c>
      <c r="Q993" s="27">
        <v>2.1535879204748198E-4</v>
      </c>
      <c r="R993" s="27">
        <v>1.9724884259630926E-3</v>
      </c>
      <c r="S993" s="2">
        <v>0</v>
      </c>
      <c r="T993" s="2" t="s">
        <v>36</v>
      </c>
      <c r="U993" s="2" t="s">
        <v>37</v>
      </c>
      <c r="V993" s="2" t="s">
        <v>38</v>
      </c>
      <c r="W993" s="2" t="s">
        <v>35</v>
      </c>
      <c r="X993" s="2" t="s">
        <v>35</v>
      </c>
      <c r="Y993" s="2" t="s">
        <v>35</v>
      </c>
      <c r="Z993" s="2" t="b">
        <v>0</v>
      </c>
      <c r="AA993" s="2" t="s">
        <v>35</v>
      </c>
      <c r="AB993" s="2" t="s">
        <v>35</v>
      </c>
      <c r="AC993" s="2">
        <v>4</v>
      </c>
      <c r="AD993" s="2" t="s">
        <v>35</v>
      </c>
      <c r="AE993" s="2" t="s">
        <v>2840</v>
      </c>
      <c r="AF993" s="11">
        <v>44769.384722222225</v>
      </c>
      <c r="AG993" s="53"/>
      <c r="AH993" s="53" t="b">
        <f t="shared" si="20"/>
        <v>0</v>
      </c>
      <c r="AI993" s="54" t="s">
        <v>10699</v>
      </c>
      <c r="AJ993" s="2"/>
      <c r="AK993" s="2"/>
      <c r="AL993" s="2"/>
      <c r="AM993" s="2"/>
      <c r="AN993" s="2"/>
    </row>
    <row r="994" spans="1:40" ht="16" x14ac:dyDescent="0.2">
      <c r="A994" s="2" t="s">
        <v>3693</v>
      </c>
      <c r="B994" s="2">
        <v>1148</v>
      </c>
      <c r="C994" s="2" t="b">
        <v>0</v>
      </c>
      <c r="D994" s="2" t="b">
        <v>0</v>
      </c>
      <c r="E994" s="2" t="b">
        <v>0</v>
      </c>
      <c r="F994" s="2" t="b">
        <v>0</v>
      </c>
      <c r="G994" s="2" t="s">
        <v>31</v>
      </c>
      <c r="H994" s="2" t="s">
        <v>3694</v>
      </c>
      <c r="I994" s="2" t="s">
        <v>3695</v>
      </c>
      <c r="J994" s="2" t="s">
        <v>584</v>
      </c>
      <c r="K994" s="2" t="s">
        <v>35</v>
      </c>
      <c r="L994" s="2" t="s">
        <v>35</v>
      </c>
      <c r="M994" s="2" t="s">
        <v>35</v>
      </c>
      <c r="N994" s="2" t="s">
        <v>35</v>
      </c>
      <c r="O994" s="11">
        <v>44769.455731655093</v>
      </c>
      <c r="P994" s="11">
        <v>44769.455939201391</v>
      </c>
      <c r="Q994" s="27">
        <v>2.0754629804287106E-4</v>
      </c>
      <c r="R994" s="27">
        <v>9.7505787562113255E-4</v>
      </c>
      <c r="S994" s="2">
        <v>0</v>
      </c>
      <c r="T994" s="2" t="s">
        <v>36</v>
      </c>
      <c r="U994" s="2" t="s">
        <v>37</v>
      </c>
      <c r="V994" s="2" t="s">
        <v>38</v>
      </c>
      <c r="W994" s="2" t="s">
        <v>35</v>
      </c>
      <c r="X994" s="2" t="s">
        <v>35</v>
      </c>
      <c r="Y994" s="2" t="s">
        <v>35</v>
      </c>
      <c r="Z994" s="2" t="b">
        <v>0</v>
      </c>
      <c r="AA994" s="2" t="s">
        <v>35</v>
      </c>
      <c r="AB994" s="2" t="s">
        <v>35</v>
      </c>
      <c r="AC994" s="2">
        <v>3</v>
      </c>
      <c r="AD994" s="2" t="s">
        <v>35</v>
      </c>
      <c r="AE994" s="2" t="s">
        <v>2840</v>
      </c>
      <c r="AF994" s="11">
        <v>44769.384722222225</v>
      </c>
      <c r="AG994" s="53"/>
      <c r="AH994" s="53" t="b">
        <f t="shared" si="20"/>
        <v>0</v>
      </c>
      <c r="AI994" s="54" t="s">
        <v>10700</v>
      </c>
      <c r="AJ994" s="2"/>
      <c r="AK994" s="2"/>
      <c r="AL994" s="2"/>
      <c r="AM994" s="2"/>
      <c r="AN994" s="2"/>
    </row>
    <row r="995" spans="1:40" ht="16" x14ac:dyDescent="0.2">
      <c r="A995" s="2" t="s">
        <v>3696</v>
      </c>
      <c r="B995" s="2">
        <v>1149</v>
      </c>
      <c r="C995" s="2" t="b">
        <v>0</v>
      </c>
      <c r="D995" s="2" t="b">
        <v>0</v>
      </c>
      <c r="E995" s="2" t="b">
        <v>0</v>
      </c>
      <c r="F995" s="2" t="b">
        <v>0</v>
      </c>
      <c r="G995" s="2" t="s">
        <v>31</v>
      </c>
      <c r="H995" s="2" t="s">
        <v>3697</v>
      </c>
      <c r="I995" s="2" t="s">
        <v>3698</v>
      </c>
      <c r="J995" s="2" t="s">
        <v>35</v>
      </c>
      <c r="K995" s="2" t="s">
        <v>35</v>
      </c>
      <c r="L995" s="2" t="s">
        <v>35</v>
      </c>
      <c r="M995" s="2" t="s">
        <v>35</v>
      </c>
      <c r="N995" s="2" t="s">
        <v>35</v>
      </c>
      <c r="O995" s="11">
        <v>44769.457876597226</v>
      </c>
      <c r="P995" s="11">
        <v>44769.458026909721</v>
      </c>
      <c r="Q995" s="27">
        <v>1.5031249495223165E-4</v>
      </c>
      <c r="R995" s="27">
        <v>2.0877083297818899E-3</v>
      </c>
      <c r="S995" s="2">
        <v>0</v>
      </c>
      <c r="T995" s="2" t="s">
        <v>36</v>
      </c>
      <c r="U995" s="2" t="s">
        <v>37</v>
      </c>
      <c r="V995" s="2" t="s">
        <v>38</v>
      </c>
      <c r="W995" s="2" t="s">
        <v>35</v>
      </c>
      <c r="X995" s="2" t="s">
        <v>35</v>
      </c>
      <c r="Y995" s="2" t="s">
        <v>35</v>
      </c>
      <c r="Z995" s="2" t="b">
        <v>0</v>
      </c>
      <c r="AA995" s="2" t="s">
        <v>35</v>
      </c>
      <c r="AB995" s="2" t="s">
        <v>35</v>
      </c>
      <c r="AC995" s="2" t="s">
        <v>35</v>
      </c>
      <c r="AD995" s="2">
        <v>3</v>
      </c>
      <c r="AE995" s="2" t="s">
        <v>2840</v>
      </c>
      <c r="AF995" s="11">
        <v>44769.384722222225</v>
      </c>
      <c r="AG995" s="53"/>
      <c r="AH995" s="53" t="b">
        <f t="shared" si="20"/>
        <v>0</v>
      </c>
      <c r="AI995" s="54" t="s">
        <v>10701</v>
      </c>
      <c r="AJ995" s="2"/>
      <c r="AK995" s="2"/>
      <c r="AL995" s="2"/>
      <c r="AM995" s="2"/>
      <c r="AN995" s="2"/>
    </row>
    <row r="996" spans="1:40" ht="16" x14ac:dyDescent="0.2">
      <c r="A996" s="2" t="s">
        <v>3699</v>
      </c>
      <c r="B996" s="2">
        <v>1150</v>
      </c>
      <c r="C996" s="2" t="b">
        <v>0</v>
      </c>
      <c r="D996" s="2" t="b">
        <v>0</v>
      </c>
      <c r="E996" s="2" t="b">
        <v>0</v>
      </c>
      <c r="F996" s="2" t="b">
        <v>0</v>
      </c>
      <c r="G996" s="2" t="s">
        <v>31</v>
      </c>
      <c r="H996" s="2" t="s">
        <v>3700</v>
      </c>
      <c r="I996" s="2" t="s">
        <v>3701</v>
      </c>
      <c r="J996" s="2" t="s">
        <v>35</v>
      </c>
      <c r="K996" s="2" t="s">
        <v>35</v>
      </c>
      <c r="L996" s="2" t="s">
        <v>35</v>
      </c>
      <c r="M996" s="2" t="s">
        <v>35</v>
      </c>
      <c r="N996" s="2" t="s">
        <v>35</v>
      </c>
      <c r="O996" s="11">
        <v>44769.458786354167</v>
      </c>
      <c r="P996" s="11">
        <v>44769.459646886571</v>
      </c>
      <c r="Q996" s="27">
        <v>8.6053240374894813E-4</v>
      </c>
      <c r="R996" s="27">
        <v>1.6199768506339751E-3</v>
      </c>
      <c r="S996" s="2">
        <v>0</v>
      </c>
      <c r="T996" s="2" t="s">
        <v>36</v>
      </c>
      <c r="U996" s="2" t="s">
        <v>37</v>
      </c>
      <c r="V996" s="2" t="s">
        <v>38</v>
      </c>
      <c r="W996" s="2" t="s">
        <v>35</v>
      </c>
      <c r="X996" s="2" t="s">
        <v>35</v>
      </c>
      <c r="Y996" s="2" t="s">
        <v>35</v>
      </c>
      <c r="Z996" s="2" t="b">
        <v>0</v>
      </c>
      <c r="AA996" s="2" t="s">
        <v>35</v>
      </c>
      <c r="AB996" s="2" t="s">
        <v>35</v>
      </c>
      <c r="AC996" s="2" t="s">
        <v>35</v>
      </c>
      <c r="AD996" s="2">
        <v>3</v>
      </c>
      <c r="AE996" s="2" t="s">
        <v>2840</v>
      </c>
      <c r="AF996" s="11">
        <v>44769.384722222225</v>
      </c>
      <c r="AG996" s="53"/>
      <c r="AH996" s="53" t="str">
        <f t="shared" si="20"/>
        <v>TRUE</v>
      </c>
      <c r="AI996" s="54" t="s">
        <v>10702</v>
      </c>
      <c r="AJ996" s="2"/>
      <c r="AK996" s="2"/>
      <c r="AL996" s="2"/>
      <c r="AM996" s="2"/>
      <c r="AN996" s="2"/>
    </row>
    <row r="997" spans="1:40" ht="16" x14ac:dyDescent="0.2">
      <c r="A997" s="2" t="s">
        <v>3702</v>
      </c>
      <c r="B997" s="2">
        <v>1151</v>
      </c>
      <c r="C997" s="2" t="b">
        <v>0</v>
      </c>
      <c r="D997" s="2" t="b">
        <v>0</v>
      </c>
      <c r="E997" s="2" t="b">
        <v>0</v>
      </c>
      <c r="F997" s="2" t="b">
        <v>0</v>
      </c>
      <c r="G997" s="2" t="s">
        <v>31</v>
      </c>
      <c r="H997" s="2" t="s">
        <v>3703</v>
      </c>
      <c r="I997" s="2" t="s">
        <v>3704</v>
      </c>
      <c r="J997" s="2" t="s">
        <v>35</v>
      </c>
      <c r="K997" s="2" t="s">
        <v>35</v>
      </c>
      <c r="L997" s="2" t="s">
        <v>35</v>
      </c>
      <c r="M997" s="2" t="s">
        <v>35</v>
      </c>
      <c r="N997" s="2" t="s">
        <v>35</v>
      </c>
      <c r="O997" s="11">
        <v>44769.459994861114</v>
      </c>
      <c r="P997" s="11">
        <v>44769.46009079861</v>
      </c>
      <c r="Q997" s="27">
        <v>9.5937495643738657E-5</v>
      </c>
      <c r="R997" s="27">
        <v>4.4391203846316785E-4</v>
      </c>
      <c r="S997" s="2">
        <v>0</v>
      </c>
      <c r="T997" s="2" t="s">
        <v>36</v>
      </c>
      <c r="U997" s="2" t="s">
        <v>37</v>
      </c>
      <c r="V997" s="2" t="s">
        <v>38</v>
      </c>
      <c r="W997" s="2" t="s">
        <v>35</v>
      </c>
      <c r="X997" s="2" t="s">
        <v>35</v>
      </c>
      <c r="Y997" s="2" t="s">
        <v>35</v>
      </c>
      <c r="Z997" s="2" t="b">
        <v>0</v>
      </c>
      <c r="AA997" s="2" t="s">
        <v>35</v>
      </c>
      <c r="AB997" s="2" t="s">
        <v>35</v>
      </c>
      <c r="AC997" s="2" t="s">
        <v>35</v>
      </c>
      <c r="AD997" s="2">
        <v>2</v>
      </c>
      <c r="AE997" s="2" t="s">
        <v>2840</v>
      </c>
      <c r="AF997" s="11">
        <v>44769.384722222225</v>
      </c>
      <c r="AG997" s="53"/>
      <c r="AH997" s="53" t="b">
        <f t="shared" si="20"/>
        <v>0</v>
      </c>
      <c r="AI997" s="54" t="s">
        <v>9497</v>
      </c>
      <c r="AJ997" s="2"/>
      <c r="AK997" s="2"/>
      <c r="AL997" s="2"/>
      <c r="AM997" s="2"/>
      <c r="AN997" s="2"/>
    </row>
    <row r="998" spans="1:40" ht="16" x14ac:dyDescent="0.2">
      <c r="A998" s="2" t="s">
        <v>3705</v>
      </c>
      <c r="B998" s="2">
        <v>1152</v>
      </c>
      <c r="C998" s="2" t="b">
        <v>0</v>
      </c>
      <c r="D998" s="2" t="b">
        <v>0</v>
      </c>
      <c r="E998" s="2" t="b">
        <v>0</v>
      </c>
      <c r="F998" s="2" t="b">
        <v>0</v>
      </c>
      <c r="G998" s="2" t="s">
        <v>31</v>
      </c>
      <c r="H998" s="2" t="s">
        <v>3706</v>
      </c>
      <c r="I998" s="2" t="s">
        <v>3707</v>
      </c>
      <c r="J998" s="2" t="s">
        <v>35</v>
      </c>
      <c r="K998" s="2" t="s">
        <v>35</v>
      </c>
      <c r="L998" s="2" t="s">
        <v>35</v>
      </c>
      <c r="M998" s="2" t="s">
        <v>35</v>
      </c>
      <c r="N998" s="2" t="s">
        <v>35</v>
      </c>
      <c r="O998" s="11">
        <v>44769.460586979163</v>
      </c>
      <c r="P998" s="11">
        <v>44769.460821932873</v>
      </c>
      <c r="Q998" s="27">
        <v>2.3495370987802744E-4</v>
      </c>
      <c r="R998" s="27">
        <v>7.3113426333293319E-4</v>
      </c>
      <c r="S998" s="2">
        <v>0</v>
      </c>
      <c r="T998" s="2" t="s">
        <v>36</v>
      </c>
      <c r="U998" s="2" t="s">
        <v>37</v>
      </c>
      <c r="V998" s="2" t="s">
        <v>38</v>
      </c>
      <c r="W998" s="2" t="s">
        <v>35</v>
      </c>
      <c r="X998" s="2" t="s">
        <v>35</v>
      </c>
      <c r="Y998" s="2" t="s">
        <v>35</v>
      </c>
      <c r="Z998" s="2" t="b">
        <v>0</v>
      </c>
      <c r="AA998" s="2" t="s">
        <v>35</v>
      </c>
      <c r="AB998" s="2" t="s">
        <v>35</v>
      </c>
      <c r="AC998" s="2" t="s">
        <v>35</v>
      </c>
      <c r="AD998" s="2">
        <v>2</v>
      </c>
      <c r="AE998" s="2" t="s">
        <v>2840</v>
      </c>
      <c r="AF998" s="11">
        <v>44769.384722222225</v>
      </c>
      <c r="AG998" s="53"/>
      <c r="AH998" s="53" t="b">
        <f t="shared" si="20"/>
        <v>0</v>
      </c>
      <c r="AI998" s="54" t="s">
        <v>10703</v>
      </c>
      <c r="AJ998" s="2"/>
      <c r="AK998" s="2"/>
      <c r="AL998" s="2"/>
      <c r="AM998" s="2"/>
      <c r="AN998" s="2"/>
    </row>
    <row r="999" spans="1:40" ht="16" x14ac:dyDescent="0.2">
      <c r="A999" s="2" t="s">
        <v>3711</v>
      </c>
      <c r="B999" s="2">
        <v>1154</v>
      </c>
      <c r="C999" s="2" t="b">
        <v>0</v>
      </c>
      <c r="D999" s="2" t="b">
        <v>0</v>
      </c>
      <c r="E999" s="2" t="b">
        <v>0</v>
      </c>
      <c r="F999" s="2" t="b">
        <v>0</v>
      </c>
      <c r="G999" s="2" t="s">
        <v>31</v>
      </c>
      <c r="H999" s="2" t="s">
        <v>3712</v>
      </c>
      <c r="I999" s="2" t="s">
        <v>3713</v>
      </c>
      <c r="J999" s="2" t="s">
        <v>1177</v>
      </c>
      <c r="K999" s="2" t="s">
        <v>35</v>
      </c>
      <c r="L999" s="2" t="s">
        <v>35</v>
      </c>
      <c r="M999" s="2" t="s">
        <v>35</v>
      </c>
      <c r="N999" s="2" t="s">
        <v>35</v>
      </c>
      <c r="O999" s="11">
        <v>44769.461709722222</v>
      </c>
      <c r="P999" s="11">
        <v>44769.462220578702</v>
      </c>
      <c r="Q999" s="27">
        <v>5.1085648010484874E-4</v>
      </c>
      <c r="R999" s="27">
        <v>7.7348379272734746E-4</v>
      </c>
      <c r="S999" s="2">
        <v>0</v>
      </c>
      <c r="T999" s="2" t="s">
        <v>36</v>
      </c>
      <c r="U999" s="2" t="s">
        <v>37</v>
      </c>
      <c r="V999" s="2" t="s">
        <v>38</v>
      </c>
      <c r="W999" s="2" t="s">
        <v>35</v>
      </c>
      <c r="X999" s="2" t="s">
        <v>35</v>
      </c>
      <c r="Y999" s="2" t="s">
        <v>35</v>
      </c>
      <c r="Z999" s="2" t="b">
        <v>0</v>
      </c>
      <c r="AA999" s="2" t="s">
        <v>35</v>
      </c>
      <c r="AB999" s="2" t="s">
        <v>35</v>
      </c>
      <c r="AC999" s="2">
        <v>7</v>
      </c>
      <c r="AD999" s="2">
        <v>3</v>
      </c>
      <c r="AE999" s="2" t="s">
        <v>2840</v>
      </c>
      <c r="AF999" s="11">
        <v>44769.384722222225</v>
      </c>
      <c r="AG999" s="53"/>
      <c r="AH999" s="53" t="b">
        <f t="shared" si="20"/>
        <v>0</v>
      </c>
      <c r="AI999" s="54" t="s">
        <v>9496</v>
      </c>
      <c r="AJ999" s="2"/>
      <c r="AK999" s="2"/>
      <c r="AL999" s="2"/>
      <c r="AM999" s="2"/>
      <c r="AN999" s="2"/>
    </row>
    <row r="1000" spans="1:40" ht="16" x14ac:dyDescent="0.2">
      <c r="A1000" s="2" t="s">
        <v>3714</v>
      </c>
      <c r="B1000" s="2">
        <v>1155</v>
      </c>
      <c r="C1000" s="2" t="b">
        <v>0</v>
      </c>
      <c r="D1000" s="2" t="b">
        <v>0</v>
      </c>
      <c r="E1000" s="2" t="b">
        <v>0</v>
      </c>
      <c r="F1000" s="2" t="b">
        <v>0</v>
      </c>
      <c r="G1000" s="2" t="s">
        <v>31</v>
      </c>
      <c r="H1000" s="2" t="s">
        <v>3715</v>
      </c>
      <c r="I1000" s="2" t="s">
        <v>3716</v>
      </c>
      <c r="J1000" s="2" t="s">
        <v>1177</v>
      </c>
      <c r="K1000" s="2" t="s">
        <v>35</v>
      </c>
      <c r="L1000" s="2" t="s">
        <v>35</v>
      </c>
      <c r="M1000" s="2" t="s">
        <v>35</v>
      </c>
      <c r="N1000" s="2" t="s">
        <v>35</v>
      </c>
      <c r="O1000" s="11">
        <v>44769.462813009261</v>
      </c>
      <c r="P1000" s="11">
        <v>44769.463025069446</v>
      </c>
      <c r="Q1000" s="27">
        <v>2.1206018573138863E-4</v>
      </c>
      <c r="R1000" s="27">
        <v>8.0449074448551983E-4</v>
      </c>
      <c r="S1000" s="2">
        <v>0</v>
      </c>
      <c r="T1000" s="2" t="s">
        <v>36</v>
      </c>
      <c r="U1000" s="2" t="s">
        <v>37</v>
      </c>
      <c r="V1000" s="2" t="s">
        <v>38</v>
      </c>
      <c r="W1000" s="2" t="s">
        <v>35</v>
      </c>
      <c r="X1000" s="2" t="s">
        <v>35</v>
      </c>
      <c r="Y1000" s="2" t="s">
        <v>35</v>
      </c>
      <c r="Z1000" s="2" t="b">
        <v>0</v>
      </c>
      <c r="AA1000" s="2" t="s">
        <v>35</v>
      </c>
      <c r="AB1000" s="2" t="s">
        <v>35</v>
      </c>
      <c r="AC1000" s="2">
        <v>4</v>
      </c>
      <c r="AD1000" s="2" t="s">
        <v>35</v>
      </c>
      <c r="AE1000" s="2" t="s">
        <v>2840</v>
      </c>
      <c r="AF1000" s="11">
        <v>44769.384722222225</v>
      </c>
      <c r="AG1000" s="53"/>
      <c r="AH1000" s="53" t="b">
        <f t="shared" si="20"/>
        <v>0</v>
      </c>
      <c r="AI1000" s="54" t="s">
        <v>10704</v>
      </c>
      <c r="AJ1000" s="2"/>
      <c r="AK1000" s="2"/>
      <c r="AL1000" s="2"/>
      <c r="AM1000" s="2"/>
      <c r="AN1000" s="2"/>
    </row>
    <row r="1001" spans="1:40" ht="16" x14ac:dyDescent="0.2">
      <c r="A1001" s="2" t="s">
        <v>3720</v>
      </c>
      <c r="B1001" s="2">
        <v>1157</v>
      </c>
      <c r="C1001" s="2" t="b">
        <v>0</v>
      </c>
      <c r="D1001" s="2" t="b">
        <v>0</v>
      </c>
      <c r="E1001" s="2" t="b">
        <v>0</v>
      </c>
      <c r="F1001" s="2" t="b">
        <v>0</v>
      </c>
      <c r="G1001" s="2" t="s">
        <v>31</v>
      </c>
      <c r="H1001" s="2" t="s">
        <v>3721</v>
      </c>
      <c r="I1001" s="2" t="s">
        <v>3719</v>
      </c>
      <c r="J1001" s="2" t="s">
        <v>3657</v>
      </c>
      <c r="K1001" s="2" t="s">
        <v>35</v>
      </c>
      <c r="L1001" s="2" t="s">
        <v>35</v>
      </c>
      <c r="M1001" s="2" t="s">
        <v>35</v>
      </c>
      <c r="N1001" s="2" t="s">
        <v>35</v>
      </c>
      <c r="O1001" s="11">
        <v>44769.463815625</v>
      </c>
      <c r="P1001" s="11">
        <v>44769.464183622687</v>
      </c>
      <c r="Q1001" s="27">
        <v>3.6799768713535741E-4</v>
      </c>
      <c r="R1001" s="27">
        <v>3.9704861410427839E-4</v>
      </c>
      <c r="S1001" s="2">
        <v>0</v>
      </c>
      <c r="T1001" s="2" t="s">
        <v>36</v>
      </c>
      <c r="U1001" s="2" t="s">
        <v>37</v>
      </c>
      <c r="V1001" s="2" t="s">
        <v>38</v>
      </c>
      <c r="W1001" s="2" t="s">
        <v>35</v>
      </c>
      <c r="X1001" s="2" t="s">
        <v>35</v>
      </c>
      <c r="Y1001" s="2" t="s">
        <v>35</v>
      </c>
      <c r="Z1001" s="2" t="b">
        <v>0</v>
      </c>
      <c r="AA1001" s="2" t="s">
        <v>3722</v>
      </c>
      <c r="AB1001" s="2" t="s">
        <v>35</v>
      </c>
      <c r="AC1001" s="2">
        <v>5</v>
      </c>
      <c r="AD1001" s="2" t="s">
        <v>35</v>
      </c>
      <c r="AE1001" s="2" t="s">
        <v>2840</v>
      </c>
      <c r="AF1001" s="11">
        <v>44769.384722222225</v>
      </c>
      <c r="AG1001" s="53"/>
      <c r="AH1001" s="53" t="b">
        <f t="shared" si="20"/>
        <v>0</v>
      </c>
      <c r="AI1001" s="54" t="s">
        <v>10705</v>
      </c>
      <c r="AJ1001" s="2"/>
      <c r="AK1001" s="2"/>
      <c r="AL1001" s="2"/>
      <c r="AM1001" s="2"/>
      <c r="AN1001" s="2"/>
    </row>
    <row r="1002" spans="1:40" ht="16" x14ac:dyDescent="0.2">
      <c r="A1002" s="2" t="s">
        <v>3723</v>
      </c>
      <c r="B1002" s="2">
        <v>1158</v>
      </c>
      <c r="C1002" s="2" t="b">
        <v>0</v>
      </c>
      <c r="D1002" s="2" t="b">
        <v>0</v>
      </c>
      <c r="E1002" s="2" t="b">
        <v>0</v>
      </c>
      <c r="F1002" s="2" t="b">
        <v>0</v>
      </c>
      <c r="G1002" s="2" t="s">
        <v>31</v>
      </c>
      <c r="H1002" s="2" t="s">
        <v>3724</v>
      </c>
      <c r="I1002" s="2" t="s">
        <v>3725</v>
      </c>
      <c r="J1002" s="2" t="s">
        <v>35</v>
      </c>
      <c r="K1002" s="2" t="s">
        <v>35</v>
      </c>
      <c r="L1002" s="2" t="s">
        <v>35</v>
      </c>
      <c r="M1002" s="2" t="s">
        <v>35</v>
      </c>
      <c r="N1002" s="2" t="s">
        <v>35</v>
      </c>
      <c r="O1002" s="11">
        <v>44769.464205358796</v>
      </c>
      <c r="P1002" s="11">
        <v>44769.464493402775</v>
      </c>
      <c r="Q1002" s="27">
        <v>2.8804397879866883E-4</v>
      </c>
      <c r="R1002" s="27">
        <v>3.0978008726378903E-4</v>
      </c>
      <c r="S1002" s="2">
        <v>0</v>
      </c>
      <c r="T1002" s="2" t="s">
        <v>36</v>
      </c>
      <c r="U1002" s="2" t="s">
        <v>37</v>
      </c>
      <c r="V1002" s="2" t="s">
        <v>38</v>
      </c>
      <c r="W1002" s="2" t="s">
        <v>35</v>
      </c>
      <c r="X1002" s="2" t="s">
        <v>35</v>
      </c>
      <c r="Y1002" s="2" t="s">
        <v>35</v>
      </c>
      <c r="Z1002" s="2" t="b">
        <v>0</v>
      </c>
      <c r="AA1002" s="2" t="s">
        <v>2284</v>
      </c>
      <c r="AB1002" s="2" t="s">
        <v>35</v>
      </c>
      <c r="AC1002" s="2" t="s">
        <v>35</v>
      </c>
      <c r="AD1002" s="2" t="s">
        <v>35</v>
      </c>
      <c r="AE1002" s="2" t="s">
        <v>2840</v>
      </c>
      <c r="AF1002" s="11">
        <v>44769.384722222225</v>
      </c>
      <c r="AG1002" s="53"/>
      <c r="AH1002" s="53" t="b">
        <f t="shared" si="20"/>
        <v>0</v>
      </c>
      <c r="AI1002" s="54" t="s">
        <v>10706</v>
      </c>
      <c r="AJ1002" s="2"/>
      <c r="AK1002" s="2"/>
      <c r="AL1002" s="2"/>
      <c r="AM1002" s="2"/>
      <c r="AN1002" s="2"/>
    </row>
    <row r="1003" spans="1:40" ht="16" x14ac:dyDescent="0.2">
      <c r="A1003" s="2" t="s">
        <v>3726</v>
      </c>
      <c r="B1003" s="2">
        <v>1159</v>
      </c>
      <c r="C1003" s="2" t="b">
        <v>0</v>
      </c>
      <c r="D1003" s="2" t="b">
        <v>0</v>
      </c>
      <c r="E1003" s="2" t="b">
        <v>0</v>
      </c>
      <c r="F1003" s="2" t="b">
        <v>0</v>
      </c>
      <c r="G1003" s="2" t="s">
        <v>31</v>
      </c>
      <c r="H1003" s="2" t="s">
        <v>3727</v>
      </c>
      <c r="I1003" s="2" t="s">
        <v>3728</v>
      </c>
      <c r="J1003" s="2" t="s">
        <v>35</v>
      </c>
      <c r="K1003" s="2" t="s">
        <v>35</v>
      </c>
      <c r="L1003" s="2" t="s">
        <v>35</v>
      </c>
      <c r="M1003" s="2" t="s">
        <v>35</v>
      </c>
      <c r="N1003" s="2" t="s">
        <v>35</v>
      </c>
      <c r="O1003" s="11">
        <v>44769.464740405092</v>
      </c>
      <c r="P1003" s="11">
        <v>44769.464934814816</v>
      </c>
      <c r="Q1003" s="27">
        <v>1.9440972391748801E-4</v>
      </c>
      <c r="R1003" s="27">
        <v>4.4141204125480726E-4</v>
      </c>
      <c r="S1003" s="2">
        <v>0</v>
      </c>
      <c r="T1003" s="2" t="s">
        <v>36</v>
      </c>
      <c r="U1003" s="2" t="s">
        <v>37</v>
      </c>
      <c r="V1003" s="2" t="s">
        <v>38</v>
      </c>
      <c r="W1003" s="2" t="s">
        <v>35</v>
      </c>
      <c r="X1003" s="2" t="s">
        <v>35</v>
      </c>
      <c r="Y1003" s="2" t="s">
        <v>35</v>
      </c>
      <c r="Z1003" s="2" t="b">
        <v>0</v>
      </c>
      <c r="AA1003" s="2" t="s">
        <v>2284</v>
      </c>
      <c r="AB1003" s="2" t="s">
        <v>35</v>
      </c>
      <c r="AC1003" s="2" t="s">
        <v>35</v>
      </c>
      <c r="AD1003" s="2" t="s">
        <v>35</v>
      </c>
      <c r="AE1003" s="2" t="s">
        <v>2840</v>
      </c>
      <c r="AF1003" s="11">
        <v>44769.384722222225</v>
      </c>
      <c r="AG1003" s="53"/>
      <c r="AH1003" s="53" t="b">
        <f t="shared" si="20"/>
        <v>0</v>
      </c>
      <c r="AI1003" s="54" t="s">
        <v>10707</v>
      </c>
      <c r="AJ1003" s="2"/>
      <c r="AK1003" s="2"/>
      <c r="AL1003" s="2"/>
      <c r="AM1003" s="2"/>
      <c r="AN1003" s="2"/>
    </row>
    <row r="1004" spans="1:40" ht="16" x14ac:dyDescent="0.2">
      <c r="A1004" s="2" t="s">
        <v>3738</v>
      </c>
      <c r="B1004" s="2">
        <v>1163</v>
      </c>
      <c r="C1004" s="2" t="b">
        <v>0</v>
      </c>
      <c r="D1004" s="2" t="b">
        <v>0</v>
      </c>
      <c r="E1004" s="2" t="b">
        <v>0</v>
      </c>
      <c r="F1004" s="2" t="b">
        <v>0</v>
      </c>
      <c r="G1004" s="2" t="s">
        <v>31</v>
      </c>
      <c r="H1004" s="2" t="s">
        <v>3739</v>
      </c>
      <c r="I1004" s="2" t="s">
        <v>3740</v>
      </c>
      <c r="J1004" s="2" t="s">
        <v>1177</v>
      </c>
      <c r="K1004" s="2" t="s">
        <v>35</v>
      </c>
      <c r="L1004" s="2" t="s">
        <v>35</v>
      </c>
      <c r="M1004" s="2" t="s">
        <v>35</v>
      </c>
      <c r="N1004" s="2" t="s">
        <v>35</v>
      </c>
      <c r="O1004" s="11">
        <v>44769.467771203701</v>
      </c>
      <c r="P1004" s="11">
        <v>44769.468189421299</v>
      </c>
      <c r="Q1004" s="27">
        <v>4.1821759805316105E-4</v>
      </c>
      <c r="R1004" s="27">
        <v>1.3442013951134868E-3</v>
      </c>
      <c r="S1004" s="2">
        <v>0</v>
      </c>
      <c r="T1004" s="2" t="s">
        <v>36</v>
      </c>
      <c r="U1004" s="2" t="s">
        <v>37</v>
      </c>
      <c r="V1004" s="2" t="s">
        <v>38</v>
      </c>
      <c r="W1004" s="2" t="s">
        <v>35</v>
      </c>
      <c r="X1004" s="2" t="s">
        <v>35</v>
      </c>
      <c r="Y1004" s="2" t="s">
        <v>35</v>
      </c>
      <c r="Z1004" s="2" t="b">
        <v>0</v>
      </c>
      <c r="AA1004" s="2" t="s">
        <v>3516</v>
      </c>
      <c r="AB1004" s="2" t="s">
        <v>35</v>
      </c>
      <c r="AC1004" s="2">
        <v>8</v>
      </c>
      <c r="AD1004" s="2" t="s">
        <v>35</v>
      </c>
      <c r="AE1004" s="2" t="s">
        <v>2840</v>
      </c>
      <c r="AF1004" s="11">
        <v>44769.384722222225</v>
      </c>
      <c r="AG1004" s="53"/>
      <c r="AH1004" s="53" t="b">
        <f t="shared" si="20"/>
        <v>0</v>
      </c>
      <c r="AI1004" s="54" t="s">
        <v>10708</v>
      </c>
      <c r="AJ1004" s="2"/>
      <c r="AK1004" s="2"/>
      <c r="AL1004" s="2"/>
      <c r="AM1004" s="2"/>
      <c r="AN1004" s="2"/>
    </row>
    <row r="1005" spans="1:40" ht="16" x14ac:dyDescent="0.2">
      <c r="A1005" s="2" t="s">
        <v>3741</v>
      </c>
      <c r="B1005" s="2">
        <v>1164</v>
      </c>
      <c r="C1005" s="2" t="b">
        <v>0</v>
      </c>
      <c r="D1005" s="2" t="b">
        <v>0</v>
      </c>
      <c r="E1005" s="2" t="b">
        <v>0</v>
      </c>
      <c r="F1005" s="2" t="b">
        <v>0</v>
      </c>
      <c r="G1005" s="2" t="s">
        <v>31</v>
      </c>
      <c r="H1005" s="2" t="s">
        <v>3742</v>
      </c>
      <c r="I1005" s="2" t="s">
        <v>3743</v>
      </c>
      <c r="J1005" s="2" t="s">
        <v>1177</v>
      </c>
      <c r="K1005" s="2" t="s">
        <v>35</v>
      </c>
      <c r="L1005" s="2" t="s">
        <v>35</v>
      </c>
      <c r="M1005" s="2" t="s">
        <v>35</v>
      </c>
      <c r="N1005" s="2" t="s">
        <v>35</v>
      </c>
      <c r="O1005" s="11">
        <v>44769.468694444447</v>
      </c>
      <c r="P1005" s="11">
        <v>44769.469047777777</v>
      </c>
      <c r="Q1005" s="27">
        <v>3.5333332925802097E-4</v>
      </c>
      <c r="R1005" s="27">
        <v>8.5835647769272327E-4</v>
      </c>
      <c r="S1005" s="2">
        <v>0</v>
      </c>
      <c r="T1005" s="2" t="s">
        <v>36</v>
      </c>
      <c r="U1005" s="2" t="s">
        <v>37</v>
      </c>
      <c r="V1005" s="2" t="s">
        <v>38</v>
      </c>
      <c r="W1005" s="2" t="s">
        <v>35</v>
      </c>
      <c r="X1005" s="2" t="s">
        <v>35</v>
      </c>
      <c r="Y1005" s="2" t="s">
        <v>35</v>
      </c>
      <c r="Z1005" s="2" t="b">
        <v>0</v>
      </c>
      <c r="AA1005" s="2" t="s">
        <v>35</v>
      </c>
      <c r="AB1005" s="2" t="s">
        <v>35</v>
      </c>
      <c r="AC1005" s="2">
        <v>4</v>
      </c>
      <c r="AD1005" s="2" t="s">
        <v>35</v>
      </c>
      <c r="AE1005" s="2" t="s">
        <v>2840</v>
      </c>
      <c r="AF1005" s="11">
        <v>44769.384722222225</v>
      </c>
      <c r="AG1005" s="53"/>
      <c r="AH1005" s="53" t="b">
        <f t="shared" si="20"/>
        <v>0</v>
      </c>
      <c r="AI1005" s="54" t="s">
        <v>9495</v>
      </c>
      <c r="AJ1005" s="2" t="s">
        <v>9494</v>
      </c>
      <c r="AK1005" s="2" t="s">
        <v>9493</v>
      </c>
      <c r="AL1005" s="2"/>
      <c r="AM1005" s="2"/>
      <c r="AN1005" s="2"/>
    </row>
    <row r="1006" spans="1:40" ht="16" x14ac:dyDescent="0.2">
      <c r="A1006" s="2" t="s">
        <v>3747</v>
      </c>
      <c r="B1006" s="2">
        <v>1166</v>
      </c>
      <c r="C1006" s="2" t="b">
        <v>0</v>
      </c>
      <c r="D1006" s="2" t="b">
        <v>0</v>
      </c>
      <c r="E1006" s="2" t="b">
        <v>0</v>
      </c>
      <c r="F1006" s="2" t="b">
        <v>0</v>
      </c>
      <c r="G1006" s="2" t="s">
        <v>31</v>
      </c>
      <c r="H1006" s="2" t="s">
        <v>3748</v>
      </c>
      <c r="I1006" s="2" t="s">
        <v>3749</v>
      </c>
      <c r="J1006" s="2" t="s">
        <v>584</v>
      </c>
      <c r="K1006" s="2" t="s">
        <v>35</v>
      </c>
      <c r="L1006" s="2" t="s">
        <v>35</v>
      </c>
      <c r="M1006" s="2" t="s">
        <v>35</v>
      </c>
      <c r="N1006" s="2" t="s">
        <v>35</v>
      </c>
      <c r="O1006" s="11">
        <v>44769.470793587963</v>
      </c>
      <c r="P1006" s="11">
        <v>44769.471049976855</v>
      </c>
      <c r="Q1006" s="27">
        <v>2.5638889201218262E-4</v>
      </c>
      <c r="R1006" s="27">
        <v>1.1120138951810077E-3</v>
      </c>
      <c r="S1006" s="2">
        <v>0</v>
      </c>
      <c r="T1006" s="2" t="s">
        <v>36</v>
      </c>
      <c r="U1006" s="2" t="s">
        <v>37</v>
      </c>
      <c r="V1006" s="2" t="s">
        <v>38</v>
      </c>
      <c r="W1006" s="2" t="s">
        <v>35</v>
      </c>
      <c r="X1006" s="2" t="s">
        <v>35</v>
      </c>
      <c r="Y1006" s="2" t="s">
        <v>35</v>
      </c>
      <c r="Z1006" s="2" t="b">
        <v>0</v>
      </c>
      <c r="AA1006" s="2" t="s">
        <v>35</v>
      </c>
      <c r="AB1006" s="2" t="s">
        <v>35</v>
      </c>
      <c r="AC1006" s="2">
        <v>3</v>
      </c>
      <c r="AD1006" s="2" t="s">
        <v>35</v>
      </c>
      <c r="AE1006" s="2" t="s">
        <v>2840</v>
      </c>
      <c r="AF1006" s="11">
        <v>44769.384722222225</v>
      </c>
      <c r="AG1006" s="53"/>
      <c r="AH1006" s="53" t="b">
        <f t="shared" si="20"/>
        <v>0</v>
      </c>
      <c r="AI1006" s="54" t="s">
        <v>9491</v>
      </c>
      <c r="AJ1006" s="2"/>
      <c r="AK1006" s="2"/>
      <c r="AL1006" s="2"/>
      <c r="AM1006" s="2"/>
      <c r="AN1006" s="2"/>
    </row>
    <row r="1007" spans="1:40" ht="16" x14ac:dyDescent="0.2">
      <c r="A1007" s="2" t="s">
        <v>120</v>
      </c>
      <c r="B1007" s="2">
        <v>22</v>
      </c>
      <c r="C1007" s="2" t="b">
        <v>0</v>
      </c>
      <c r="D1007" s="2" t="b">
        <v>0</v>
      </c>
      <c r="E1007" s="2" t="b">
        <v>0</v>
      </c>
      <c r="F1007" s="2" t="b">
        <v>0</v>
      </c>
      <c r="G1007" s="2" t="s">
        <v>121</v>
      </c>
      <c r="H1007" s="2" t="s">
        <v>122</v>
      </c>
      <c r="I1007" s="2" t="s">
        <v>123</v>
      </c>
      <c r="J1007" s="2" t="s">
        <v>35</v>
      </c>
      <c r="K1007" s="2" t="s">
        <v>35</v>
      </c>
      <c r="L1007" s="2" t="s">
        <v>35</v>
      </c>
      <c r="M1007" s="2" t="s">
        <v>35</v>
      </c>
      <c r="N1007" s="2" t="s">
        <v>35</v>
      </c>
      <c r="O1007" s="11">
        <v>44725.665856712963</v>
      </c>
      <c r="P1007" s="11">
        <v>44725.665988773151</v>
      </c>
      <c r="Q1007" s="27">
        <v>1.3206018775235862E-4</v>
      </c>
      <c r="R1007" s="27">
        <v>3.1386805567308329E-3</v>
      </c>
      <c r="S1007" s="2">
        <v>0</v>
      </c>
      <c r="T1007" s="2" t="s">
        <v>124</v>
      </c>
      <c r="U1007" s="2" t="s">
        <v>125</v>
      </c>
      <c r="V1007" s="2" t="s">
        <v>38</v>
      </c>
      <c r="W1007" s="2" t="s">
        <v>35</v>
      </c>
      <c r="X1007" s="2" t="s">
        <v>35</v>
      </c>
      <c r="Y1007" s="2" t="s">
        <v>35</v>
      </c>
      <c r="Z1007" s="2" t="b">
        <v>0</v>
      </c>
      <c r="AA1007" s="2" t="s">
        <v>35</v>
      </c>
      <c r="AB1007" s="2" t="s">
        <v>35</v>
      </c>
      <c r="AC1007" s="2" t="s">
        <v>35</v>
      </c>
      <c r="AD1007" s="2" t="s">
        <v>35</v>
      </c>
      <c r="AE1007" s="2" t="s">
        <v>115</v>
      </c>
      <c r="AF1007" s="11">
        <v>44725.654166666667</v>
      </c>
      <c r="AG1007" s="53"/>
      <c r="AH1007" s="53" t="b">
        <f t="shared" ref="AH1007:AH1038" si="21">IF(Q1007&gt;TIME(0,0,45),"TRUE")</f>
        <v>0</v>
      </c>
      <c r="AI1007" s="54" t="s">
        <v>10709</v>
      </c>
      <c r="AJ1007" s="2"/>
      <c r="AK1007" s="2"/>
      <c r="AL1007" s="2"/>
      <c r="AM1007" s="2"/>
      <c r="AN1007" s="2"/>
    </row>
    <row r="1008" spans="1:40" ht="16" x14ac:dyDescent="0.2">
      <c r="A1008" s="2" t="s">
        <v>169</v>
      </c>
      <c r="B1008" s="2">
        <v>36</v>
      </c>
      <c r="C1008" s="2" t="b">
        <v>0</v>
      </c>
      <c r="D1008" s="2" t="b">
        <v>0</v>
      </c>
      <c r="E1008" s="2" t="b">
        <v>0</v>
      </c>
      <c r="F1008" s="2" t="b">
        <v>0</v>
      </c>
      <c r="G1008" s="2" t="s">
        <v>121</v>
      </c>
      <c r="H1008" s="2" t="s">
        <v>170</v>
      </c>
      <c r="I1008" s="2" t="s">
        <v>171</v>
      </c>
      <c r="J1008" s="2" t="s">
        <v>35</v>
      </c>
      <c r="K1008" s="2" t="s">
        <v>35</v>
      </c>
      <c r="L1008" s="2" t="s">
        <v>35</v>
      </c>
      <c r="M1008" s="2" t="s">
        <v>35</v>
      </c>
      <c r="N1008" s="2" t="s">
        <v>35</v>
      </c>
      <c r="O1008" s="11">
        <v>44725.699053032411</v>
      </c>
      <c r="P1008" s="11">
        <v>44725.699252754632</v>
      </c>
      <c r="Q1008" s="27">
        <v>1.9972222071373835E-4</v>
      </c>
      <c r="R1008" s="27">
        <v>2.8565740794874728E-3</v>
      </c>
      <c r="S1008" s="2">
        <v>0</v>
      </c>
      <c r="T1008" s="2" t="s">
        <v>124</v>
      </c>
      <c r="U1008" s="2" t="s">
        <v>125</v>
      </c>
      <c r="V1008" s="2" t="s">
        <v>38</v>
      </c>
      <c r="W1008" s="2" t="s">
        <v>35</v>
      </c>
      <c r="X1008" s="2" t="s">
        <v>35</v>
      </c>
      <c r="Y1008" s="2" t="s">
        <v>35</v>
      </c>
      <c r="Z1008" s="2" t="b">
        <v>0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115</v>
      </c>
      <c r="AF1008" s="11">
        <v>44725.654166666667</v>
      </c>
      <c r="AG1008" s="53"/>
      <c r="AH1008" s="53" t="b">
        <f t="shared" si="21"/>
        <v>0</v>
      </c>
      <c r="AI1008" s="54" t="s">
        <v>10710</v>
      </c>
      <c r="AJ1008" s="2"/>
      <c r="AK1008" s="2"/>
      <c r="AL1008" s="2"/>
      <c r="AM1008" s="2"/>
      <c r="AN1008" s="2"/>
    </row>
    <row r="1009" spans="1:40" ht="16" x14ac:dyDescent="0.2">
      <c r="A1009" s="2" t="s">
        <v>181</v>
      </c>
      <c r="B1009" s="2">
        <v>40</v>
      </c>
      <c r="C1009" s="2" t="b">
        <v>0</v>
      </c>
      <c r="D1009" s="2" t="b">
        <v>0</v>
      </c>
      <c r="E1009" s="2" t="b">
        <v>0</v>
      </c>
      <c r="F1009" s="2" t="b">
        <v>0</v>
      </c>
      <c r="G1009" s="2" t="s">
        <v>121</v>
      </c>
      <c r="H1009" s="2" t="s">
        <v>182</v>
      </c>
      <c r="I1009" s="2" t="s">
        <v>183</v>
      </c>
      <c r="J1009" s="2" t="s">
        <v>35</v>
      </c>
      <c r="K1009" s="2" t="s">
        <v>35</v>
      </c>
      <c r="L1009" s="2" t="s">
        <v>35</v>
      </c>
      <c r="M1009" s="2" t="s">
        <v>35</v>
      </c>
      <c r="N1009" s="2" t="s">
        <v>35</v>
      </c>
      <c r="O1009" s="11">
        <v>44725.72638659722</v>
      </c>
      <c r="P1009" s="11">
        <v>44725.726552743057</v>
      </c>
      <c r="Q1009" s="27">
        <v>1.6614583728369325E-4</v>
      </c>
      <c r="R1009" s="27">
        <v>1.778923615347594E-3</v>
      </c>
      <c r="S1009" s="2">
        <v>0</v>
      </c>
      <c r="T1009" s="2" t="s">
        <v>124</v>
      </c>
      <c r="U1009" s="2" t="s">
        <v>125</v>
      </c>
      <c r="V1009" s="2" t="s">
        <v>38</v>
      </c>
      <c r="W1009" s="2" t="s">
        <v>35</v>
      </c>
      <c r="X1009" s="2" t="s">
        <v>35</v>
      </c>
      <c r="Y1009" s="2" t="s">
        <v>35</v>
      </c>
      <c r="Z1009" s="2" t="b">
        <v>0</v>
      </c>
      <c r="AA1009" s="2" t="s">
        <v>35</v>
      </c>
      <c r="AB1009" s="2" t="s">
        <v>35</v>
      </c>
      <c r="AC1009" s="2" t="s">
        <v>35</v>
      </c>
      <c r="AD1009" s="2" t="s">
        <v>35</v>
      </c>
      <c r="AE1009" s="2" t="s">
        <v>115</v>
      </c>
      <c r="AF1009" s="11">
        <v>44725.654166666667</v>
      </c>
      <c r="AG1009" s="53"/>
      <c r="AH1009" s="53" t="b">
        <f t="shared" si="21"/>
        <v>0</v>
      </c>
      <c r="AI1009" s="54" t="s">
        <v>10711</v>
      </c>
      <c r="AJ1009" s="2"/>
      <c r="AK1009" s="2"/>
      <c r="AL1009" s="2"/>
      <c r="AM1009" s="2"/>
      <c r="AN1009" s="2"/>
    </row>
    <row r="1010" spans="1:40" ht="16" x14ac:dyDescent="0.2">
      <c r="A1010" s="2" t="s">
        <v>184</v>
      </c>
      <c r="B1010" s="2">
        <v>41</v>
      </c>
      <c r="C1010" s="2" t="b">
        <v>0</v>
      </c>
      <c r="D1010" s="2" t="b">
        <v>0</v>
      </c>
      <c r="E1010" s="2" t="b">
        <v>0</v>
      </c>
      <c r="F1010" s="2" t="b">
        <v>0</v>
      </c>
      <c r="G1010" s="2" t="s">
        <v>121</v>
      </c>
      <c r="H1010" s="2" t="s">
        <v>185</v>
      </c>
      <c r="I1010" s="2" t="s">
        <v>186</v>
      </c>
      <c r="J1010" s="2" t="s">
        <v>35</v>
      </c>
      <c r="K1010" s="2" t="s">
        <v>35</v>
      </c>
      <c r="L1010" s="2" t="s">
        <v>35</v>
      </c>
      <c r="M1010" s="2" t="s">
        <v>35</v>
      </c>
      <c r="N1010" s="2" t="s">
        <v>35</v>
      </c>
      <c r="O1010" s="11">
        <v>44725.726766018517</v>
      </c>
      <c r="P1010" s="11">
        <v>44725.727671736109</v>
      </c>
      <c r="Q1010" s="27">
        <v>9.0571759210433811E-4</v>
      </c>
      <c r="R1010" s="27">
        <v>1.1189930519321933E-3</v>
      </c>
      <c r="S1010" s="2">
        <v>0</v>
      </c>
      <c r="T1010" s="2" t="s">
        <v>124</v>
      </c>
      <c r="U1010" s="2" t="s">
        <v>125</v>
      </c>
      <c r="V1010" s="2" t="s">
        <v>38</v>
      </c>
      <c r="W1010" s="2" t="s">
        <v>35</v>
      </c>
      <c r="X1010" s="2" t="s">
        <v>35</v>
      </c>
      <c r="Y1010" s="2" t="s">
        <v>35</v>
      </c>
      <c r="Z1010" s="2" t="b">
        <v>0</v>
      </c>
      <c r="AA1010" s="2" t="s">
        <v>35</v>
      </c>
      <c r="AB1010" s="2" t="s">
        <v>35</v>
      </c>
      <c r="AC1010" s="2" t="s">
        <v>35</v>
      </c>
      <c r="AD1010" s="2" t="s">
        <v>35</v>
      </c>
      <c r="AE1010" s="2" t="s">
        <v>115</v>
      </c>
      <c r="AF1010" s="11">
        <v>44725.654166666667</v>
      </c>
      <c r="AG1010" s="53"/>
      <c r="AH1010" s="53" t="str">
        <f t="shared" si="21"/>
        <v>TRUE</v>
      </c>
      <c r="AI1010" s="54" t="s">
        <v>10714</v>
      </c>
      <c r="AJ1010" s="2" t="s">
        <v>10712</v>
      </c>
      <c r="AK1010" s="2" t="s">
        <v>10713</v>
      </c>
      <c r="AL1010" s="2"/>
      <c r="AM1010" s="2"/>
      <c r="AN1010" s="2"/>
    </row>
    <row r="1011" spans="1:40" ht="16" x14ac:dyDescent="0.2">
      <c r="A1011" s="31" t="s">
        <v>194</v>
      </c>
      <c r="B1011" s="31">
        <v>44</v>
      </c>
      <c r="C1011" s="31" t="b">
        <v>0</v>
      </c>
      <c r="D1011" s="31" t="b">
        <v>0</v>
      </c>
      <c r="E1011" s="31" t="b">
        <v>0</v>
      </c>
      <c r="F1011" s="31" t="b">
        <v>0</v>
      </c>
      <c r="G1011" s="31" t="s">
        <v>121</v>
      </c>
      <c r="H1011" s="31" t="s">
        <v>195</v>
      </c>
      <c r="I1011" s="31" t="s">
        <v>196</v>
      </c>
      <c r="J1011" s="31" t="s">
        <v>35</v>
      </c>
      <c r="K1011" s="31" t="s">
        <v>35</v>
      </c>
      <c r="L1011" s="31" t="s">
        <v>35</v>
      </c>
      <c r="M1011" s="31" t="s">
        <v>35</v>
      </c>
      <c r="N1011" s="31" t="s">
        <v>35</v>
      </c>
      <c r="O1011" s="32">
        <v>44725.741326597221</v>
      </c>
      <c r="P1011" s="32">
        <v>44725.741418414349</v>
      </c>
      <c r="Q1011" s="30">
        <v>9.1817128122784197E-5</v>
      </c>
      <c r="R1011" s="30">
        <v>7.0569444433203898E-3</v>
      </c>
      <c r="S1011" s="31">
        <v>0</v>
      </c>
      <c r="T1011" s="31" t="s">
        <v>124</v>
      </c>
      <c r="U1011" s="31" t="s">
        <v>125</v>
      </c>
      <c r="V1011" s="31" t="s">
        <v>38</v>
      </c>
      <c r="W1011" s="31" t="s">
        <v>35</v>
      </c>
      <c r="X1011" s="31" t="s">
        <v>35</v>
      </c>
      <c r="Y1011" s="31" t="s">
        <v>35</v>
      </c>
      <c r="Z1011" s="31" t="b">
        <v>0</v>
      </c>
      <c r="AA1011" s="31" t="s">
        <v>35</v>
      </c>
      <c r="AB1011" s="31" t="s">
        <v>35</v>
      </c>
      <c r="AC1011" s="31" t="s">
        <v>35</v>
      </c>
      <c r="AD1011" s="31" t="s">
        <v>35</v>
      </c>
      <c r="AE1011" s="31" t="s">
        <v>115</v>
      </c>
      <c r="AF1011" s="32">
        <v>44725.654166666667</v>
      </c>
      <c r="AG1011" s="55"/>
      <c r="AH1011" s="53" t="b">
        <f t="shared" si="21"/>
        <v>0</v>
      </c>
      <c r="AI1011" s="62" t="s">
        <v>9678</v>
      </c>
      <c r="AJ1011" s="31"/>
      <c r="AK1011" s="31"/>
      <c r="AL1011" s="31"/>
      <c r="AM1011" s="31"/>
      <c r="AN1011" s="31"/>
    </row>
    <row r="1012" spans="1:40" ht="16" x14ac:dyDescent="0.2">
      <c r="A1012" s="2" t="s">
        <v>200</v>
      </c>
      <c r="B1012" s="2">
        <v>46</v>
      </c>
      <c r="C1012" s="2" t="b">
        <v>0</v>
      </c>
      <c r="D1012" s="2" t="b">
        <v>0</v>
      </c>
      <c r="E1012" s="2" t="b">
        <v>0</v>
      </c>
      <c r="F1012" s="2" t="b">
        <v>0</v>
      </c>
      <c r="G1012" s="2" t="s">
        <v>121</v>
      </c>
      <c r="H1012" s="2" t="s">
        <v>201</v>
      </c>
      <c r="I1012" s="2" t="s">
        <v>202</v>
      </c>
      <c r="J1012" s="2" t="s">
        <v>35</v>
      </c>
      <c r="K1012" s="2" t="s">
        <v>35</v>
      </c>
      <c r="L1012" s="2" t="s">
        <v>35</v>
      </c>
      <c r="M1012" s="2" t="s">
        <v>35</v>
      </c>
      <c r="N1012" s="2" t="s">
        <v>35</v>
      </c>
      <c r="O1012" s="11">
        <v>44725.75366347222</v>
      </c>
      <c r="P1012" s="11">
        <v>44725.753966481483</v>
      </c>
      <c r="Q1012" s="27">
        <v>3.0300926300697029E-4</v>
      </c>
      <c r="R1012" s="27">
        <v>3.4493402781663463E-3</v>
      </c>
      <c r="S1012" s="2">
        <v>0</v>
      </c>
      <c r="T1012" s="2" t="s">
        <v>124</v>
      </c>
      <c r="U1012" s="2" t="s">
        <v>125</v>
      </c>
      <c r="V1012" s="2" t="s">
        <v>38</v>
      </c>
      <c r="W1012" s="2" t="s">
        <v>35</v>
      </c>
      <c r="X1012" s="2" t="s">
        <v>35</v>
      </c>
      <c r="Y1012" s="2" t="s">
        <v>35</v>
      </c>
      <c r="Z1012" s="2" t="b">
        <v>0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2" t="s">
        <v>115</v>
      </c>
      <c r="AF1012" s="11">
        <v>44725.654166666667</v>
      </c>
      <c r="AG1012" s="53"/>
      <c r="AH1012" s="53" t="b">
        <f t="shared" si="21"/>
        <v>0</v>
      </c>
      <c r="AI1012" s="54" t="s">
        <v>10715</v>
      </c>
      <c r="AJ1012" s="2"/>
      <c r="AK1012" s="2"/>
      <c r="AL1012" s="2"/>
      <c r="AM1012" s="2"/>
      <c r="AN1012" s="2"/>
    </row>
    <row r="1013" spans="1:40" ht="16" x14ac:dyDescent="0.2">
      <c r="A1013" s="2" t="s">
        <v>310</v>
      </c>
      <c r="B1013" s="2">
        <v>82</v>
      </c>
      <c r="C1013" s="2" t="b">
        <v>0</v>
      </c>
      <c r="D1013" s="2" t="b">
        <v>0</v>
      </c>
      <c r="E1013" s="2" t="b">
        <v>0</v>
      </c>
      <c r="F1013" s="2" t="b">
        <v>0</v>
      </c>
      <c r="G1013" s="2" t="s">
        <v>31</v>
      </c>
      <c r="H1013" s="2" t="s">
        <v>311</v>
      </c>
      <c r="I1013" s="2" t="s">
        <v>312</v>
      </c>
      <c r="J1013" s="2" t="s">
        <v>313</v>
      </c>
      <c r="K1013" s="2" t="s">
        <v>35</v>
      </c>
      <c r="L1013" s="2" t="s">
        <v>35</v>
      </c>
      <c r="M1013" s="2" t="s">
        <v>35</v>
      </c>
      <c r="N1013" s="2" t="s">
        <v>35</v>
      </c>
      <c r="O1013" s="11">
        <v>44735.408557453702</v>
      </c>
      <c r="P1013" s="11">
        <v>44735.409805856485</v>
      </c>
      <c r="Q1013" s="27">
        <v>1.2484027829486877E-3</v>
      </c>
      <c r="R1013" s="27">
        <v>1.5664120437577367E-3</v>
      </c>
      <c r="S1013" s="2">
        <v>0</v>
      </c>
      <c r="T1013" s="2" t="s">
        <v>124</v>
      </c>
      <c r="U1013" s="2" t="s">
        <v>125</v>
      </c>
      <c r="V1013" s="2" t="s">
        <v>38</v>
      </c>
      <c r="W1013" s="2" t="s">
        <v>35</v>
      </c>
      <c r="X1013" s="2" t="s">
        <v>35</v>
      </c>
      <c r="Y1013" s="2" t="s">
        <v>35</v>
      </c>
      <c r="Z1013" s="2" t="b">
        <v>0</v>
      </c>
      <c r="AA1013" s="2" t="s">
        <v>35</v>
      </c>
      <c r="AB1013" s="2">
        <v>4</v>
      </c>
      <c r="AC1013" s="2" t="s">
        <v>35</v>
      </c>
      <c r="AD1013" s="2" t="s">
        <v>35</v>
      </c>
      <c r="AE1013" s="2" t="s">
        <v>207</v>
      </c>
      <c r="AF1013" s="11">
        <v>44735.40625</v>
      </c>
      <c r="AG1013" s="53"/>
      <c r="AH1013" s="53" t="str">
        <f t="shared" si="21"/>
        <v>TRUE</v>
      </c>
      <c r="AI1013" s="54" t="s">
        <v>9677</v>
      </c>
      <c r="AJ1013" s="2"/>
      <c r="AK1013" s="2"/>
      <c r="AL1013" s="2"/>
      <c r="AM1013" s="2"/>
      <c r="AN1013" s="2"/>
    </row>
    <row r="1014" spans="1:40" ht="16" x14ac:dyDescent="0.2">
      <c r="A1014" s="2" t="s">
        <v>317</v>
      </c>
      <c r="B1014" s="2">
        <v>84</v>
      </c>
      <c r="C1014" s="2" t="b">
        <v>0</v>
      </c>
      <c r="D1014" s="2" t="b">
        <v>0</v>
      </c>
      <c r="E1014" s="2" t="b">
        <v>0</v>
      </c>
      <c r="F1014" s="2" t="b">
        <v>0</v>
      </c>
      <c r="G1014" s="2" t="s">
        <v>31</v>
      </c>
      <c r="H1014" s="2" t="s">
        <v>318</v>
      </c>
      <c r="I1014" s="2" t="s">
        <v>319</v>
      </c>
      <c r="J1014" s="2" t="s">
        <v>313</v>
      </c>
      <c r="K1014" s="2" t="s">
        <v>35</v>
      </c>
      <c r="L1014" s="2" t="s">
        <v>35</v>
      </c>
      <c r="M1014" s="2" t="s">
        <v>35</v>
      </c>
      <c r="N1014" s="2" t="s">
        <v>35</v>
      </c>
      <c r="O1014" s="11">
        <v>44735.41093716435</v>
      </c>
      <c r="P1014" s="11">
        <v>44735.411220011571</v>
      </c>
      <c r="Q1014" s="27">
        <v>2.828472206601873E-4</v>
      </c>
      <c r="R1014" s="27">
        <v>6.9859953509876505E-4</v>
      </c>
      <c r="S1014" s="2">
        <v>0</v>
      </c>
      <c r="T1014" s="2" t="s">
        <v>124</v>
      </c>
      <c r="U1014" s="2" t="s">
        <v>125</v>
      </c>
      <c r="V1014" s="2" t="s">
        <v>38</v>
      </c>
      <c r="W1014" s="2" t="s">
        <v>35</v>
      </c>
      <c r="X1014" s="2" t="s">
        <v>35</v>
      </c>
      <c r="Y1014" s="2" t="s">
        <v>35</v>
      </c>
      <c r="Z1014" s="2" t="b">
        <v>0</v>
      </c>
      <c r="AA1014" s="2" t="s">
        <v>35</v>
      </c>
      <c r="AB1014" s="2">
        <v>4</v>
      </c>
      <c r="AC1014" s="2" t="s">
        <v>35</v>
      </c>
      <c r="AD1014" s="2" t="s">
        <v>35</v>
      </c>
      <c r="AE1014" s="2" t="s">
        <v>207</v>
      </c>
      <c r="AF1014" s="11">
        <v>44735.40625</v>
      </c>
      <c r="AG1014" s="53"/>
      <c r="AH1014" s="53" t="b">
        <f t="shared" si="21"/>
        <v>0</v>
      </c>
      <c r="AI1014" s="54" t="s">
        <v>10716</v>
      </c>
      <c r="AJ1014" s="2"/>
      <c r="AK1014" s="2"/>
      <c r="AL1014" s="2"/>
      <c r="AM1014" s="2"/>
      <c r="AN1014" s="2"/>
    </row>
    <row r="1015" spans="1:40" ht="16" x14ac:dyDescent="0.2">
      <c r="A1015" s="2" t="s">
        <v>349</v>
      </c>
      <c r="B1015" s="2">
        <v>95</v>
      </c>
      <c r="C1015" s="2" t="b">
        <v>0</v>
      </c>
      <c r="D1015" s="2" t="b">
        <v>0</v>
      </c>
      <c r="E1015" s="2" t="b">
        <v>0</v>
      </c>
      <c r="F1015" s="2" t="b">
        <v>0</v>
      </c>
      <c r="G1015" s="2" t="s">
        <v>31</v>
      </c>
      <c r="H1015" s="2" t="s">
        <v>350</v>
      </c>
      <c r="I1015" s="2" t="s">
        <v>351</v>
      </c>
      <c r="J1015" s="2" t="s">
        <v>352</v>
      </c>
      <c r="K1015" s="2" t="s">
        <v>35</v>
      </c>
      <c r="L1015" s="2" t="s">
        <v>35</v>
      </c>
      <c r="M1015" s="2" t="s">
        <v>35</v>
      </c>
      <c r="N1015" s="2" t="s">
        <v>35</v>
      </c>
      <c r="O1015" s="11">
        <v>44735.473035196759</v>
      </c>
      <c r="P1015" s="11">
        <v>44735.473355821756</v>
      </c>
      <c r="Q1015" s="27">
        <v>3.2062499667517841E-4</v>
      </c>
      <c r="R1015" s="27">
        <v>1.9506134194671176E-3</v>
      </c>
      <c r="S1015" s="2">
        <v>0</v>
      </c>
      <c r="T1015" s="2" t="s">
        <v>124</v>
      </c>
      <c r="U1015" s="2" t="s">
        <v>125</v>
      </c>
      <c r="V1015" s="2" t="s">
        <v>38</v>
      </c>
      <c r="W1015" s="2" t="s">
        <v>35</v>
      </c>
      <c r="X1015" s="2" t="s">
        <v>35</v>
      </c>
      <c r="Y1015" s="2" t="s">
        <v>35</v>
      </c>
      <c r="Z1015" s="2" t="b">
        <v>0</v>
      </c>
      <c r="AA1015" s="2" t="s">
        <v>35</v>
      </c>
      <c r="AB1015" s="2">
        <v>4</v>
      </c>
      <c r="AC1015" s="2" t="s">
        <v>35</v>
      </c>
      <c r="AD1015" s="2" t="s">
        <v>35</v>
      </c>
      <c r="AE1015" s="2" t="s">
        <v>207</v>
      </c>
      <c r="AF1015" s="11">
        <v>44735.40625</v>
      </c>
      <c r="AG1015" s="53"/>
      <c r="AH1015" s="53" t="b">
        <f t="shared" si="21"/>
        <v>0</v>
      </c>
      <c r="AI1015" s="54" t="s">
        <v>10717</v>
      </c>
      <c r="AJ1015" s="2"/>
      <c r="AK1015" s="2"/>
      <c r="AL1015" s="2"/>
      <c r="AM1015" s="2"/>
      <c r="AN1015" s="2"/>
    </row>
    <row r="1016" spans="1:40" ht="16" x14ac:dyDescent="0.2">
      <c r="A1016" s="2" t="s">
        <v>356</v>
      </c>
      <c r="B1016" s="2">
        <v>97</v>
      </c>
      <c r="C1016" s="2" t="b">
        <v>0</v>
      </c>
      <c r="D1016" s="2" t="b">
        <v>0</v>
      </c>
      <c r="E1016" s="2" t="b">
        <v>0</v>
      </c>
      <c r="F1016" s="2" t="b">
        <v>0</v>
      </c>
      <c r="G1016" s="2" t="s">
        <v>31</v>
      </c>
      <c r="H1016" s="2" t="s">
        <v>357</v>
      </c>
      <c r="I1016" s="2" t="s">
        <v>358</v>
      </c>
      <c r="J1016" s="2" t="s">
        <v>35</v>
      </c>
      <c r="K1016" s="2" t="s">
        <v>35</v>
      </c>
      <c r="L1016" s="2" t="s">
        <v>35</v>
      </c>
      <c r="M1016" s="2" t="s">
        <v>35</v>
      </c>
      <c r="N1016" s="2" t="s">
        <v>35</v>
      </c>
      <c r="O1016" s="11">
        <v>44735.475314131945</v>
      </c>
      <c r="P1016" s="11">
        <v>44735.476063402777</v>
      </c>
      <c r="Q1016" s="27">
        <v>7.492708318750374E-4</v>
      </c>
      <c r="R1016" s="27">
        <v>2.1017592589487322E-3</v>
      </c>
      <c r="S1016" s="2">
        <v>0</v>
      </c>
      <c r="T1016" s="2" t="s">
        <v>124</v>
      </c>
      <c r="U1016" s="2" t="s">
        <v>125</v>
      </c>
      <c r="V1016" s="2" t="s">
        <v>38</v>
      </c>
      <c r="W1016" s="2" t="s">
        <v>35</v>
      </c>
      <c r="X1016" s="2" t="s">
        <v>35</v>
      </c>
      <c r="Y1016" s="2" t="s">
        <v>35</v>
      </c>
      <c r="Z1016" s="2" t="b">
        <v>0</v>
      </c>
      <c r="AA1016" s="2" t="s">
        <v>35</v>
      </c>
      <c r="AB1016" s="2">
        <v>4</v>
      </c>
      <c r="AC1016" s="2" t="s">
        <v>35</v>
      </c>
      <c r="AD1016" s="2" t="s">
        <v>35</v>
      </c>
      <c r="AE1016" s="2" t="s">
        <v>207</v>
      </c>
      <c r="AF1016" s="11">
        <v>44735.40625</v>
      </c>
      <c r="AG1016" s="53"/>
      <c r="AH1016" s="53" t="str">
        <f t="shared" si="21"/>
        <v>TRUE</v>
      </c>
      <c r="AI1016" s="54" t="s">
        <v>10718</v>
      </c>
      <c r="AJ1016" s="2"/>
      <c r="AK1016" s="2"/>
      <c r="AL1016" s="2"/>
      <c r="AM1016" s="2"/>
      <c r="AN1016" s="2"/>
    </row>
    <row r="1017" spans="1:40" ht="16" x14ac:dyDescent="0.2">
      <c r="A1017" s="2" t="s">
        <v>359</v>
      </c>
      <c r="B1017" s="2">
        <v>98</v>
      </c>
      <c r="C1017" s="2" t="b">
        <v>0</v>
      </c>
      <c r="D1017" s="2" t="b">
        <v>0</v>
      </c>
      <c r="E1017" s="2" t="b">
        <v>0</v>
      </c>
      <c r="F1017" s="2" t="b">
        <v>0</v>
      </c>
      <c r="G1017" s="2" t="s">
        <v>31</v>
      </c>
      <c r="H1017" s="2" t="s">
        <v>360</v>
      </c>
      <c r="I1017" s="2" t="s">
        <v>361</v>
      </c>
      <c r="J1017" s="2" t="s">
        <v>352</v>
      </c>
      <c r="K1017" s="2" t="s">
        <v>35</v>
      </c>
      <c r="L1017" s="2" t="s">
        <v>35</v>
      </c>
      <c r="M1017" s="2" t="s">
        <v>35</v>
      </c>
      <c r="N1017" s="2" t="s">
        <v>35</v>
      </c>
      <c r="O1017" s="11">
        <v>44735.476845787038</v>
      </c>
      <c r="P1017" s="11">
        <v>44735.477900219907</v>
      </c>
      <c r="Q1017" s="27">
        <v>1.0544328688411042E-3</v>
      </c>
      <c r="R1017" s="27">
        <v>1.8368171295151114E-3</v>
      </c>
      <c r="S1017" s="2">
        <v>0</v>
      </c>
      <c r="T1017" s="2" t="s">
        <v>124</v>
      </c>
      <c r="U1017" s="2" t="s">
        <v>125</v>
      </c>
      <c r="V1017" s="2" t="s">
        <v>38</v>
      </c>
      <c r="W1017" s="2" t="s">
        <v>35</v>
      </c>
      <c r="X1017" s="2" t="s">
        <v>35</v>
      </c>
      <c r="Y1017" s="2" t="s">
        <v>35</v>
      </c>
      <c r="Z1017" s="2" t="b">
        <v>0</v>
      </c>
      <c r="AA1017" s="2" t="s">
        <v>35</v>
      </c>
      <c r="AB1017" s="2">
        <v>4</v>
      </c>
      <c r="AC1017" s="2" t="s">
        <v>35</v>
      </c>
      <c r="AD1017" s="2" t="s">
        <v>35</v>
      </c>
      <c r="AE1017" s="2" t="s">
        <v>207</v>
      </c>
      <c r="AF1017" s="11">
        <v>44735.40625</v>
      </c>
      <c r="AG1017" s="53"/>
      <c r="AH1017" s="53" t="str">
        <f t="shared" si="21"/>
        <v>TRUE</v>
      </c>
      <c r="AI1017" s="54" t="s">
        <v>10719</v>
      </c>
      <c r="AJ1017" s="2"/>
      <c r="AK1017" s="2"/>
      <c r="AL1017" s="2"/>
      <c r="AM1017" s="2"/>
      <c r="AN1017" s="2"/>
    </row>
    <row r="1018" spans="1:40" ht="16" x14ac:dyDescent="0.2">
      <c r="A1018" s="2" t="s">
        <v>362</v>
      </c>
      <c r="B1018" s="2">
        <v>99</v>
      </c>
      <c r="C1018" s="2" t="b">
        <v>0</v>
      </c>
      <c r="D1018" s="2" t="b">
        <v>0</v>
      </c>
      <c r="E1018" s="2" t="b">
        <v>0</v>
      </c>
      <c r="F1018" s="2" t="b">
        <v>0</v>
      </c>
      <c r="G1018" s="2" t="s">
        <v>31</v>
      </c>
      <c r="H1018" s="2" t="s">
        <v>363</v>
      </c>
      <c r="I1018" s="2" t="s">
        <v>364</v>
      </c>
      <c r="J1018" s="2" t="s">
        <v>352</v>
      </c>
      <c r="K1018" s="2" t="s">
        <v>35</v>
      </c>
      <c r="L1018" s="2" t="s">
        <v>35</v>
      </c>
      <c r="M1018" s="2" t="s">
        <v>35</v>
      </c>
      <c r="N1018" s="2" t="s">
        <v>35</v>
      </c>
      <c r="O1018" s="11">
        <v>44735.478199791665</v>
      </c>
      <c r="P1018" s="11">
        <v>44735.478477974539</v>
      </c>
      <c r="Q1018" s="27">
        <v>2.7818287344416603E-4</v>
      </c>
      <c r="R1018" s="27">
        <v>5.777546321041882E-4</v>
      </c>
      <c r="S1018" s="2">
        <v>0</v>
      </c>
      <c r="T1018" s="2" t="s">
        <v>124</v>
      </c>
      <c r="U1018" s="2" t="s">
        <v>125</v>
      </c>
      <c r="V1018" s="2" t="s">
        <v>38</v>
      </c>
      <c r="W1018" s="2" t="s">
        <v>35</v>
      </c>
      <c r="X1018" s="2" t="s">
        <v>35</v>
      </c>
      <c r="Y1018" s="2" t="s">
        <v>35</v>
      </c>
      <c r="Z1018" s="2" t="b">
        <v>0</v>
      </c>
      <c r="AA1018" s="2" t="s">
        <v>35</v>
      </c>
      <c r="AB1018" s="2">
        <v>4</v>
      </c>
      <c r="AC1018" s="2" t="s">
        <v>35</v>
      </c>
      <c r="AD1018" s="2" t="s">
        <v>35</v>
      </c>
      <c r="AE1018" s="2" t="s">
        <v>207</v>
      </c>
      <c r="AF1018" s="11">
        <v>44735.40625</v>
      </c>
      <c r="AG1018" s="53"/>
      <c r="AH1018" s="53" t="b">
        <f t="shared" si="21"/>
        <v>0</v>
      </c>
      <c r="AI1018" s="54" t="s">
        <v>10720</v>
      </c>
      <c r="AJ1018" s="2"/>
      <c r="AK1018" s="2"/>
      <c r="AL1018" s="2"/>
      <c r="AM1018" s="2"/>
      <c r="AN1018" s="2"/>
    </row>
    <row r="1019" spans="1:40" ht="16" x14ac:dyDescent="0.2">
      <c r="A1019" s="2" t="s">
        <v>370</v>
      </c>
      <c r="B1019" s="2">
        <v>101</v>
      </c>
      <c r="C1019" s="2" t="b">
        <v>0</v>
      </c>
      <c r="D1019" s="2" t="b">
        <v>0</v>
      </c>
      <c r="E1019" s="2" t="b">
        <v>0</v>
      </c>
      <c r="F1019" s="2" t="b">
        <v>0</v>
      </c>
      <c r="G1019" s="2" t="s">
        <v>31</v>
      </c>
      <c r="H1019" s="2" t="s">
        <v>371</v>
      </c>
      <c r="I1019" s="2" t="s">
        <v>372</v>
      </c>
      <c r="J1019" s="2" t="s">
        <v>352</v>
      </c>
      <c r="K1019" s="2" t="s">
        <v>35</v>
      </c>
      <c r="L1019" s="2" t="s">
        <v>35</v>
      </c>
      <c r="M1019" s="2" t="s">
        <v>35</v>
      </c>
      <c r="N1019" s="2" t="s">
        <v>35</v>
      </c>
      <c r="O1019" s="11">
        <v>44735.481152708337</v>
      </c>
      <c r="P1019" s="11">
        <v>44735.481391053239</v>
      </c>
      <c r="Q1019" s="27">
        <v>2.3834490275476128E-4</v>
      </c>
      <c r="R1019" s="27">
        <v>1.4203935206751339E-3</v>
      </c>
      <c r="S1019" s="2">
        <v>0</v>
      </c>
      <c r="T1019" s="2" t="s">
        <v>124</v>
      </c>
      <c r="U1019" s="2" t="s">
        <v>125</v>
      </c>
      <c r="V1019" s="2" t="s">
        <v>38</v>
      </c>
      <c r="W1019" s="2" t="s">
        <v>35</v>
      </c>
      <c r="X1019" s="2" t="s">
        <v>35</v>
      </c>
      <c r="Y1019" s="2" t="s">
        <v>35</v>
      </c>
      <c r="Z1019" s="2" t="b">
        <v>0</v>
      </c>
      <c r="AA1019" s="2" t="s">
        <v>35</v>
      </c>
      <c r="AB1019" s="2">
        <v>4</v>
      </c>
      <c r="AC1019" s="2" t="s">
        <v>35</v>
      </c>
      <c r="AD1019" s="2" t="s">
        <v>35</v>
      </c>
      <c r="AE1019" s="2" t="s">
        <v>207</v>
      </c>
      <c r="AF1019" s="11">
        <v>44735.40625</v>
      </c>
      <c r="AG1019" s="53"/>
      <c r="AH1019" s="53" t="b">
        <f t="shared" si="21"/>
        <v>0</v>
      </c>
      <c r="AI1019" s="54" t="s">
        <v>10721</v>
      </c>
      <c r="AJ1019" s="2"/>
      <c r="AK1019" s="2"/>
      <c r="AL1019" s="2"/>
      <c r="AM1019" s="2"/>
      <c r="AN1019" s="2"/>
    </row>
    <row r="1020" spans="1:40" ht="16" x14ac:dyDescent="0.2">
      <c r="A1020" s="2" t="s">
        <v>373</v>
      </c>
      <c r="B1020" s="2">
        <v>102</v>
      </c>
      <c r="C1020" s="2" t="b">
        <v>0</v>
      </c>
      <c r="D1020" s="2" t="b">
        <v>0</v>
      </c>
      <c r="E1020" s="2" t="b">
        <v>0</v>
      </c>
      <c r="F1020" s="2" t="b">
        <v>0</v>
      </c>
      <c r="G1020" s="2" t="s">
        <v>31</v>
      </c>
      <c r="H1020" s="2" t="s">
        <v>374</v>
      </c>
      <c r="I1020" s="2" t="s">
        <v>375</v>
      </c>
      <c r="J1020" s="2" t="s">
        <v>352</v>
      </c>
      <c r="K1020" s="2" t="s">
        <v>35</v>
      </c>
      <c r="L1020" s="2" t="s">
        <v>35</v>
      </c>
      <c r="M1020" s="2" t="s">
        <v>35</v>
      </c>
      <c r="N1020" s="2" t="s">
        <v>35</v>
      </c>
      <c r="O1020" s="11">
        <v>44735.481774305554</v>
      </c>
      <c r="P1020" s="11">
        <v>44735.482161388885</v>
      </c>
      <c r="Q1020" s="27">
        <v>3.8708333158865571E-4</v>
      </c>
      <c r="R1020" s="27">
        <v>7.7033564593875781E-4</v>
      </c>
      <c r="S1020" s="2">
        <v>0</v>
      </c>
      <c r="T1020" s="2" t="s">
        <v>124</v>
      </c>
      <c r="U1020" s="2" t="s">
        <v>125</v>
      </c>
      <c r="V1020" s="2" t="s">
        <v>38</v>
      </c>
      <c r="W1020" s="2" t="s">
        <v>35</v>
      </c>
      <c r="X1020" s="2" t="s">
        <v>35</v>
      </c>
      <c r="Y1020" s="2" t="s">
        <v>35</v>
      </c>
      <c r="Z1020" s="2" t="b">
        <v>0</v>
      </c>
      <c r="AA1020" s="2" t="s">
        <v>35</v>
      </c>
      <c r="AB1020" s="2">
        <v>4</v>
      </c>
      <c r="AC1020" s="2" t="s">
        <v>35</v>
      </c>
      <c r="AD1020" s="2" t="s">
        <v>35</v>
      </c>
      <c r="AE1020" s="2" t="s">
        <v>207</v>
      </c>
      <c r="AF1020" s="11">
        <v>44735.40625</v>
      </c>
      <c r="AG1020" s="53"/>
      <c r="AH1020" s="53" t="b">
        <f t="shared" si="21"/>
        <v>0</v>
      </c>
      <c r="AI1020" s="54" t="s">
        <v>9676</v>
      </c>
      <c r="AJ1020" s="2"/>
      <c r="AK1020" s="2"/>
      <c r="AL1020" s="2"/>
      <c r="AM1020" s="2"/>
      <c r="AN1020" s="2"/>
    </row>
    <row r="1021" spans="1:40" ht="16" x14ac:dyDescent="0.2">
      <c r="A1021" s="2" t="s">
        <v>376</v>
      </c>
      <c r="B1021" s="2">
        <v>103</v>
      </c>
      <c r="C1021" s="2" t="b">
        <v>0</v>
      </c>
      <c r="D1021" s="2" t="b">
        <v>0</v>
      </c>
      <c r="E1021" s="2" t="b">
        <v>0</v>
      </c>
      <c r="F1021" s="2" t="b">
        <v>0</v>
      </c>
      <c r="G1021" s="2" t="s">
        <v>31</v>
      </c>
      <c r="H1021" s="2" t="s">
        <v>377</v>
      </c>
      <c r="I1021" s="2" t="s">
        <v>378</v>
      </c>
      <c r="J1021" s="2" t="s">
        <v>352</v>
      </c>
      <c r="K1021" s="2" t="s">
        <v>35</v>
      </c>
      <c r="L1021" s="2" t="s">
        <v>35</v>
      </c>
      <c r="M1021" s="2" t="s">
        <v>35</v>
      </c>
      <c r="N1021" s="2" t="s">
        <v>35</v>
      </c>
      <c r="O1021" s="11">
        <v>44735.483523136572</v>
      </c>
      <c r="P1021" s="11">
        <v>44735.483951724535</v>
      </c>
      <c r="Q1021" s="27">
        <v>4.2858796223299578E-4</v>
      </c>
      <c r="R1021" s="27">
        <v>1.7903356492752209E-3</v>
      </c>
      <c r="S1021" s="2">
        <v>0</v>
      </c>
      <c r="T1021" s="2" t="s">
        <v>124</v>
      </c>
      <c r="U1021" s="2" t="s">
        <v>125</v>
      </c>
      <c r="V1021" s="2" t="s">
        <v>38</v>
      </c>
      <c r="W1021" s="2" t="s">
        <v>35</v>
      </c>
      <c r="X1021" s="2" t="s">
        <v>35</v>
      </c>
      <c r="Y1021" s="2" t="s">
        <v>35</v>
      </c>
      <c r="Z1021" s="2" t="b">
        <v>0</v>
      </c>
      <c r="AA1021" s="2" t="s">
        <v>35</v>
      </c>
      <c r="AB1021" s="2">
        <v>4</v>
      </c>
      <c r="AC1021" s="2" t="s">
        <v>35</v>
      </c>
      <c r="AD1021" s="2" t="s">
        <v>35</v>
      </c>
      <c r="AE1021" s="2" t="s">
        <v>207</v>
      </c>
      <c r="AF1021" s="11">
        <v>44735.40625</v>
      </c>
      <c r="AG1021" s="53"/>
      <c r="AH1021" s="53" t="b">
        <f t="shared" si="21"/>
        <v>0</v>
      </c>
      <c r="AI1021" s="54" t="s">
        <v>10722</v>
      </c>
      <c r="AJ1021" s="2"/>
      <c r="AK1021" s="2"/>
      <c r="AL1021" s="2"/>
      <c r="AM1021" s="2"/>
      <c r="AN1021" s="2"/>
    </row>
    <row r="1022" spans="1:40" ht="16" x14ac:dyDescent="0.2">
      <c r="A1022" s="2" t="s">
        <v>382</v>
      </c>
      <c r="B1022" s="2">
        <v>105</v>
      </c>
      <c r="C1022" s="2" t="b">
        <v>0</v>
      </c>
      <c r="D1022" s="2" t="b">
        <v>0</v>
      </c>
      <c r="E1022" s="2" t="b">
        <v>0</v>
      </c>
      <c r="F1022" s="2" t="b">
        <v>0</v>
      </c>
      <c r="G1022" s="2" t="s">
        <v>31</v>
      </c>
      <c r="H1022" s="2" t="s">
        <v>383</v>
      </c>
      <c r="I1022" s="2" t="s">
        <v>384</v>
      </c>
      <c r="J1022" s="2" t="s">
        <v>352</v>
      </c>
      <c r="K1022" s="2" t="s">
        <v>35</v>
      </c>
      <c r="L1022" s="2" t="s">
        <v>35</v>
      </c>
      <c r="M1022" s="2" t="s">
        <v>35</v>
      </c>
      <c r="N1022" s="2" t="s">
        <v>35</v>
      </c>
      <c r="O1022" s="11">
        <v>44735.487021805558</v>
      </c>
      <c r="P1022" s="11">
        <v>44735.487392395837</v>
      </c>
      <c r="Q1022" s="27">
        <v>3.7059027818031609E-4</v>
      </c>
      <c r="R1022" s="27">
        <v>1.7455671331845224E-3</v>
      </c>
      <c r="S1022" s="2">
        <v>0</v>
      </c>
      <c r="T1022" s="2" t="s">
        <v>124</v>
      </c>
      <c r="U1022" s="2" t="s">
        <v>125</v>
      </c>
      <c r="V1022" s="2" t="s">
        <v>38</v>
      </c>
      <c r="W1022" s="2" t="s">
        <v>35</v>
      </c>
      <c r="X1022" s="2" t="s">
        <v>35</v>
      </c>
      <c r="Y1022" s="2" t="s">
        <v>35</v>
      </c>
      <c r="Z1022" s="2" t="b">
        <v>0</v>
      </c>
      <c r="AA1022" s="2" t="s">
        <v>35</v>
      </c>
      <c r="AB1022" s="2">
        <v>4</v>
      </c>
      <c r="AC1022" s="2" t="s">
        <v>35</v>
      </c>
      <c r="AD1022" s="2" t="s">
        <v>35</v>
      </c>
      <c r="AE1022" s="2" t="s">
        <v>207</v>
      </c>
      <c r="AF1022" s="11">
        <v>44735.40625</v>
      </c>
      <c r="AG1022" s="53"/>
      <c r="AH1022" s="53" t="b">
        <f t="shared" si="21"/>
        <v>0</v>
      </c>
      <c r="AI1022" s="54" t="s">
        <v>10723</v>
      </c>
      <c r="AJ1022" s="2"/>
      <c r="AK1022" s="2"/>
      <c r="AL1022" s="2"/>
      <c r="AM1022" s="2"/>
      <c r="AN1022" s="2"/>
    </row>
    <row r="1023" spans="1:40" ht="16" x14ac:dyDescent="0.2">
      <c r="A1023" s="2" t="s">
        <v>385</v>
      </c>
      <c r="B1023" s="2">
        <v>106</v>
      </c>
      <c r="C1023" s="2" t="b">
        <v>0</v>
      </c>
      <c r="D1023" s="2" t="b">
        <v>0</v>
      </c>
      <c r="E1023" s="2" t="b">
        <v>0</v>
      </c>
      <c r="F1023" s="2" t="b">
        <v>0</v>
      </c>
      <c r="G1023" s="2" t="s">
        <v>31</v>
      </c>
      <c r="H1023" s="2" t="s">
        <v>386</v>
      </c>
      <c r="I1023" s="2" t="s">
        <v>387</v>
      </c>
      <c r="J1023" s="2" t="s">
        <v>352</v>
      </c>
      <c r="K1023" s="2" t="s">
        <v>35</v>
      </c>
      <c r="L1023" s="2" t="s">
        <v>35</v>
      </c>
      <c r="M1023" s="2" t="s">
        <v>35</v>
      </c>
      <c r="N1023" s="2" t="s">
        <v>35</v>
      </c>
      <c r="O1023" s="11">
        <v>44735.488081180556</v>
      </c>
      <c r="P1023" s="11">
        <v>44735.488294131945</v>
      </c>
      <c r="Q1023" s="27">
        <v>2.129513886757195E-4</v>
      </c>
      <c r="R1023" s="27">
        <v>9.0173610806232318E-4</v>
      </c>
      <c r="S1023" s="2">
        <v>0</v>
      </c>
      <c r="T1023" s="2" t="s">
        <v>124</v>
      </c>
      <c r="U1023" s="2" t="s">
        <v>125</v>
      </c>
      <c r="V1023" s="2" t="s">
        <v>38</v>
      </c>
      <c r="W1023" s="2" t="s">
        <v>35</v>
      </c>
      <c r="X1023" s="2" t="s">
        <v>35</v>
      </c>
      <c r="Y1023" s="2" t="s">
        <v>35</v>
      </c>
      <c r="Z1023" s="2" t="b">
        <v>0</v>
      </c>
      <c r="AA1023" s="2" t="s">
        <v>35</v>
      </c>
      <c r="AB1023" s="2">
        <v>4</v>
      </c>
      <c r="AC1023" s="2" t="s">
        <v>35</v>
      </c>
      <c r="AD1023" s="2" t="s">
        <v>35</v>
      </c>
      <c r="AE1023" s="2" t="s">
        <v>207</v>
      </c>
      <c r="AF1023" s="11">
        <v>44735.40625</v>
      </c>
      <c r="AG1023" s="53"/>
      <c r="AH1023" s="53" t="b">
        <f t="shared" si="21"/>
        <v>0</v>
      </c>
      <c r="AI1023" s="54" t="s">
        <v>10724</v>
      </c>
      <c r="AJ1023" s="2"/>
      <c r="AK1023" s="2"/>
      <c r="AL1023" s="2"/>
      <c r="AM1023" s="2"/>
      <c r="AN1023" s="2"/>
    </row>
    <row r="1024" spans="1:40" ht="16" x14ac:dyDescent="0.2">
      <c r="A1024" s="2" t="s">
        <v>388</v>
      </c>
      <c r="B1024" s="2">
        <v>107</v>
      </c>
      <c r="C1024" s="2" t="b">
        <v>0</v>
      </c>
      <c r="D1024" s="2" t="b">
        <v>0</v>
      </c>
      <c r="E1024" s="2" t="b">
        <v>0</v>
      </c>
      <c r="F1024" s="2" t="b">
        <v>0</v>
      </c>
      <c r="G1024" s="2" t="s">
        <v>31</v>
      </c>
      <c r="H1024" s="2" t="s">
        <v>389</v>
      </c>
      <c r="I1024" s="2" t="s">
        <v>390</v>
      </c>
      <c r="J1024" s="2" t="s">
        <v>352</v>
      </c>
      <c r="K1024" s="2" t="s">
        <v>35</v>
      </c>
      <c r="L1024" s="2" t="s">
        <v>35</v>
      </c>
      <c r="M1024" s="2" t="s">
        <v>35</v>
      </c>
      <c r="N1024" s="2" t="s">
        <v>35</v>
      </c>
      <c r="O1024" s="11">
        <v>44735.48886164352</v>
      </c>
      <c r="P1024" s="11">
        <v>44735.48913008102</v>
      </c>
      <c r="Q1024" s="27">
        <v>2.6843749947147444E-4</v>
      </c>
      <c r="R1024" s="27">
        <v>8.3594907482620329E-4</v>
      </c>
      <c r="S1024" s="2">
        <v>0</v>
      </c>
      <c r="T1024" s="2" t="s">
        <v>124</v>
      </c>
      <c r="U1024" s="2" t="s">
        <v>125</v>
      </c>
      <c r="V1024" s="2" t="s">
        <v>38</v>
      </c>
      <c r="W1024" s="2" t="s">
        <v>35</v>
      </c>
      <c r="X1024" s="2" t="s">
        <v>35</v>
      </c>
      <c r="Y1024" s="2" t="s">
        <v>35</v>
      </c>
      <c r="Z1024" s="2" t="b">
        <v>0</v>
      </c>
      <c r="AA1024" s="2" t="s">
        <v>35</v>
      </c>
      <c r="AB1024" s="2">
        <v>4</v>
      </c>
      <c r="AC1024" s="2" t="s">
        <v>35</v>
      </c>
      <c r="AD1024" s="2" t="s">
        <v>35</v>
      </c>
      <c r="AE1024" s="2" t="s">
        <v>207</v>
      </c>
      <c r="AF1024" s="11">
        <v>44735.40625</v>
      </c>
      <c r="AG1024" s="53"/>
      <c r="AH1024" s="53" t="b">
        <f t="shared" si="21"/>
        <v>0</v>
      </c>
      <c r="AI1024" s="54" t="s">
        <v>10725</v>
      </c>
      <c r="AJ1024" s="2"/>
      <c r="AK1024" s="2"/>
      <c r="AL1024" s="2"/>
      <c r="AM1024" s="2"/>
      <c r="AN1024" s="2"/>
    </row>
    <row r="1025" spans="1:40" ht="16" x14ac:dyDescent="0.2">
      <c r="A1025" s="2" t="s">
        <v>394</v>
      </c>
      <c r="B1025" s="2">
        <v>109</v>
      </c>
      <c r="C1025" s="2" t="b">
        <v>0</v>
      </c>
      <c r="D1025" s="2" t="b">
        <v>0</v>
      </c>
      <c r="E1025" s="2" t="b">
        <v>0</v>
      </c>
      <c r="F1025" s="2" t="b">
        <v>0</v>
      </c>
      <c r="G1025" s="2" t="s">
        <v>31</v>
      </c>
      <c r="H1025" s="2" t="s">
        <v>395</v>
      </c>
      <c r="I1025" s="2" t="s">
        <v>396</v>
      </c>
      <c r="J1025" s="2" t="s">
        <v>352</v>
      </c>
      <c r="K1025" s="2" t="s">
        <v>35</v>
      </c>
      <c r="L1025" s="2" t="s">
        <v>35</v>
      </c>
      <c r="M1025" s="2" t="s">
        <v>35</v>
      </c>
      <c r="N1025" s="2" t="s">
        <v>35</v>
      </c>
      <c r="O1025" s="11">
        <v>44735.49069958333</v>
      </c>
      <c r="P1025" s="11">
        <v>44735.490988819445</v>
      </c>
      <c r="Q1025" s="27">
        <v>2.8923611534992233E-4</v>
      </c>
      <c r="R1025" s="27">
        <v>4.9748842866392806E-4</v>
      </c>
      <c r="S1025" s="2">
        <v>0</v>
      </c>
      <c r="T1025" s="2" t="s">
        <v>124</v>
      </c>
      <c r="U1025" s="2" t="s">
        <v>125</v>
      </c>
      <c r="V1025" s="2" t="s">
        <v>38</v>
      </c>
      <c r="W1025" s="2" t="s">
        <v>35</v>
      </c>
      <c r="X1025" s="2" t="s">
        <v>35</v>
      </c>
      <c r="Y1025" s="2" t="s">
        <v>35</v>
      </c>
      <c r="Z1025" s="2" t="b">
        <v>0</v>
      </c>
      <c r="AA1025" s="2" t="s">
        <v>35</v>
      </c>
      <c r="AB1025" s="2">
        <v>4</v>
      </c>
      <c r="AC1025" s="2" t="s">
        <v>35</v>
      </c>
      <c r="AD1025" s="2" t="s">
        <v>35</v>
      </c>
      <c r="AE1025" s="2" t="s">
        <v>207</v>
      </c>
      <c r="AF1025" s="11">
        <v>44735.40625</v>
      </c>
      <c r="AG1025" s="53"/>
      <c r="AH1025" s="53" t="b">
        <f t="shared" si="21"/>
        <v>0</v>
      </c>
      <c r="AI1025" s="54" t="s">
        <v>10726</v>
      </c>
      <c r="AJ1025" s="2"/>
      <c r="AK1025" s="2"/>
      <c r="AL1025" s="2"/>
      <c r="AM1025" s="2"/>
      <c r="AN1025" s="2"/>
    </row>
    <row r="1026" spans="1:40" ht="16" x14ac:dyDescent="0.2">
      <c r="A1026" s="2" t="s">
        <v>397</v>
      </c>
      <c r="B1026" s="2">
        <v>110</v>
      </c>
      <c r="C1026" s="2" t="b">
        <v>0</v>
      </c>
      <c r="D1026" s="2" t="b">
        <v>0</v>
      </c>
      <c r="E1026" s="2" t="b">
        <v>0</v>
      </c>
      <c r="F1026" s="2" t="b">
        <v>0</v>
      </c>
      <c r="G1026" s="2" t="s">
        <v>31</v>
      </c>
      <c r="H1026" s="2" t="s">
        <v>398</v>
      </c>
      <c r="I1026" s="2" t="s">
        <v>399</v>
      </c>
      <c r="J1026" s="2" t="s">
        <v>352</v>
      </c>
      <c r="K1026" s="2" t="s">
        <v>35</v>
      </c>
      <c r="L1026" s="2" t="s">
        <v>35</v>
      </c>
      <c r="M1026" s="2" t="s">
        <v>35</v>
      </c>
      <c r="N1026" s="2" t="s">
        <v>35</v>
      </c>
      <c r="O1026" s="11">
        <v>44735.492309259258</v>
      </c>
      <c r="P1026" s="11">
        <v>44735.492494999999</v>
      </c>
      <c r="Q1026" s="27">
        <v>1.8574074056232348E-4</v>
      </c>
      <c r="R1026" s="27">
        <v>1.5061805534060113E-3</v>
      </c>
      <c r="S1026" s="2">
        <v>0</v>
      </c>
      <c r="T1026" s="2" t="s">
        <v>124</v>
      </c>
      <c r="U1026" s="2" t="s">
        <v>125</v>
      </c>
      <c r="V1026" s="2" t="s">
        <v>38</v>
      </c>
      <c r="W1026" s="2" t="s">
        <v>35</v>
      </c>
      <c r="X1026" s="2" t="s">
        <v>35</v>
      </c>
      <c r="Y1026" s="2" t="s">
        <v>35</v>
      </c>
      <c r="Z1026" s="2" t="b">
        <v>0</v>
      </c>
      <c r="AA1026" s="2" t="s">
        <v>35</v>
      </c>
      <c r="AB1026" s="2">
        <v>4</v>
      </c>
      <c r="AC1026" s="2" t="s">
        <v>35</v>
      </c>
      <c r="AD1026" s="2" t="s">
        <v>35</v>
      </c>
      <c r="AE1026" s="2" t="s">
        <v>207</v>
      </c>
      <c r="AF1026" s="11">
        <v>44735.40625</v>
      </c>
      <c r="AG1026" s="53"/>
      <c r="AH1026" s="53" t="b">
        <f t="shared" si="21"/>
        <v>0</v>
      </c>
      <c r="AI1026" s="54" t="s">
        <v>10727</v>
      </c>
      <c r="AJ1026" s="2"/>
      <c r="AK1026" s="2"/>
      <c r="AL1026" s="2"/>
      <c r="AM1026" s="2"/>
      <c r="AN1026" s="2"/>
    </row>
    <row r="1027" spans="1:40" ht="16" x14ac:dyDescent="0.2">
      <c r="A1027" s="2" t="s">
        <v>403</v>
      </c>
      <c r="B1027" s="2">
        <v>112</v>
      </c>
      <c r="C1027" s="2" t="b">
        <v>0</v>
      </c>
      <c r="D1027" s="2" t="b">
        <v>0</v>
      </c>
      <c r="E1027" s="2" t="b">
        <v>0</v>
      </c>
      <c r="F1027" s="2" t="b">
        <v>0</v>
      </c>
      <c r="G1027" s="2" t="s">
        <v>31</v>
      </c>
      <c r="H1027" s="2" t="s">
        <v>404</v>
      </c>
      <c r="I1027" s="2" t="s">
        <v>405</v>
      </c>
      <c r="J1027" s="2" t="s">
        <v>352</v>
      </c>
      <c r="K1027" s="2" t="s">
        <v>35</v>
      </c>
      <c r="L1027" s="2" t="s">
        <v>35</v>
      </c>
      <c r="M1027" s="2" t="s">
        <v>35</v>
      </c>
      <c r="N1027" s="2" t="s">
        <v>35</v>
      </c>
      <c r="O1027" s="11">
        <v>44735.494435601853</v>
      </c>
      <c r="P1027" s="11">
        <v>44735.494794432867</v>
      </c>
      <c r="Q1027" s="27">
        <v>3.5883101372746751E-4</v>
      </c>
      <c r="R1027" s="27">
        <v>9.6274305542465299E-4</v>
      </c>
      <c r="S1027" s="2">
        <v>0</v>
      </c>
      <c r="T1027" s="2" t="s">
        <v>124</v>
      </c>
      <c r="U1027" s="2" t="s">
        <v>125</v>
      </c>
      <c r="V1027" s="2" t="s">
        <v>38</v>
      </c>
      <c r="W1027" s="2" t="s">
        <v>35</v>
      </c>
      <c r="X1027" s="2" t="s">
        <v>35</v>
      </c>
      <c r="Y1027" s="2" t="s">
        <v>35</v>
      </c>
      <c r="Z1027" s="2" t="b">
        <v>0</v>
      </c>
      <c r="AA1027" s="2" t="s">
        <v>35</v>
      </c>
      <c r="AB1027" s="2">
        <v>4</v>
      </c>
      <c r="AC1027" s="2" t="s">
        <v>35</v>
      </c>
      <c r="AD1027" s="2" t="s">
        <v>35</v>
      </c>
      <c r="AE1027" s="2" t="s">
        <v>207</v>
      </c>
      <c r="AF1027" s="11">
        <v>44735.40625</v>
      </c>
      <c r="AG1027" s="53"/>
      <c r="AH1027" s="53" t="b">
        <f t="shared" si="21"/>
        <v>0</v>
      </c>
      <c r="AI1027" s="54" t="s">
        <v>10728</v>
      </c>
      <c r="AJ1027" s="2"/>
      <c r="AK1027" s="2"/>
      <c r="AL1027" s="2"/>
      <c r="AM1027" s="2"/>
      <c r="AN1027" s="2"/>
    </row>
    <row r="1028" spans="1:40" ht="16" x14ac:dyDescent="0.2">
      <c r="A1028" s="2" t="s">
        <v>406</v>
      </c>
      <c r="B1028" s="2">
        <v>113</v>
      </c>
      <c r="C1028" s="2" t="b">
        <v>0</v>
      </c>
      <c r="D1028" s="2" t="b">
        <v>0</v>
      </c>
      <c r="E1028" s="2" t="b">
        <v>0</v>
      </c>
      <c r="F1028" s="2" t="b">
        <v>0</v>
      </c>
      <c r="G1028" s="2" t="s">
        <v>31</v>
      </c>
      <c r="H1028" s="2" t="s">
        <v>407</v>
      </c>
      <c r="I1028" s="2" t="s">
        <v>408</v>
      </c>
      <c r="J1028" s="2" t="s">
        <v>352</v>
      </c>
      <c r="K1028" s="2" t="s">
        <v>35</v>
      </c>
      <c r="L1028" s="2" t="s">
        <v>35</v>
      </c>
      <c r="M1028" s="2" t="s">
        <v>35</v>
      </c>
      <c r="N1028" s="2" t="s">
        <v>35</v>
      </c>
      <c r="O1028" s="11">
        <v>44735.500955833333</v>
      </c>
      <c r="P1028" s="11">
        <v>44735.501290752312</v>
      </c>
      <c r="Q1028" s="27">
        <v>3.3491897920612246E-4</v>
      </c>
      <c r="R1028" s="27">
        <v>6.4963194454321638E-3</v>
      </c>
      <c r="S1028" s="2">
        <v>0</v>
      </c>
      <c r="T1028" s="2" t="s">
        <v>124</v>
      </c>
      <c r="U1028" s="2" t="s">
        <v>125</v>
      </c>
      <c r="V1028" s="2" t="s">
        <v>38</v>
      </c>
      <c r="W1028" s="2" t="s">
        <v>35</v>
      </c>
      <c r="X1028" s="2" t="s">
        <v>35</v>
      </c>
      <c r="Y1028" s="2" t="s">
        <v>35</v>
      </c>
      <c r="Z1028" s="2" t="b">
        <v>0</v>
      </c>
      <c r="AA1028" s="2" t="s">
        <v>35</v>
      </c>
      <c r="AB1028" s="2">
        <v>4</v>
      </c>
      <c r="AC1028" s="2" t="s">
        <v>35</v>
      </c>
      <c r="AD1028" s="2" t="s">
        <v>35</v>
      </c>
      <c r="AE1028" s="2" t="s">
        <v>207</v>
      </c>
      <c r="AF1028" s="11">
        <v>44735.40625</v>
      </c>
      <c r="AG1028" s="53"/>
      <c r="AH1028" s="53" t="b">
        <f t="shared" si="21"/>
        <v>0</v>
      </c>
      <c r="AI1028" s="54" t="s">
        <v>10729</v>
      </c>
      <c r="AJ1028" s="2"/>
      <c r="AK1028" s="2"/>
      <c r="AL1028" s="2"/>
      <c r="AM1028" s="2"/>
      <c r="AN1028" s="2"/>
    </row>
    <row r="1029" spans="1:40" ht="16" x14ac:dyDescent="0.2">
      <c r="A1029" s="2" t="s">
        <v>409</v>
      </c>
      <c r="B1029" s="2">
        <v>114</v>
      </c>
      <c r="C1029" s="2" t="b">
        <v>0</v>
      </c>
      <c r="D1029" s="2" t="b">
        <v>0</v>
      </c>
      <c r="E1029" s="2" t="b">
        <v>0</v>
      </c>
      <c r="F1029" s="2" t="b">
        <v>0</v>
      </c>
      <c r="G1029" s="2" t="s">
        <v>31</v>
      </c>
      <c r="H1029" s="2" t="s">
        <v>410</v>
      </c>
      <c r="I1029" s="2" t="s">
        <v>411</v>
      </c>
      <c r="J1029" s="2" t="s">
        <v>352</v>
      </c>
      <c r="K1029" s="2" t="s">
        <v>35</v>
      </c>
      <c r="L1029" s="2" t="s">
        <v>35</v>
      </c>
      <c r="M1029" s="2" t="s">
        <v>35</v>
      </c>
      <c r="N1029" s="2" t="s">
        <v>35</v>
      </c>
      <c r="O1029" s="11">
        <v>44735.502778298614</v>
      </c>
      <c r="P1029" s="11">
        <v>44735.5031790625</v>
      </c>
      <c r="Q1029" s="27">
        <v>4.0076388540910557E-4</v>
      </c>
      <c r="R1029" s="27">
        <v>1.8883101874962449E-3</v>
      </c>
      <c r="S1029" s="2">
        <v>0</v>
      </c>
      <c r="T1029" s="2" t="s">
        <v>124</v>
      </c>
      <c r="U1029" s="2" t="s">
        <v>125</v>
      </c>
      <c r="V1029" s="2" t="s">
        <v>38</v>
      </c>
      <c r="W1029" s="2" t="s">
        <v>35</v>
      </c>
      <c r="X1029" s="2" t="s">
        <v>35</v>
      </c>
      <c r="Y1029" s="2" t="s">
        <v>35</v>
      </c>
      <c r="Z1029" s="2" t="b">
        <v>0</v>
      </c>
      <c r="AA1029" s="2" t="s">
        <v>35</v>
      </c>
      <c r="AB1029" s="2">
        <v>4</v>
      </c>
      <c r="AC1029" s="2" t="s">
        <v>35</v>
      </c>
      <c r="AD1029" s="2" t="s">
        <v>35</v>
      </c>
      <c r="AE1029" s="2" t="s">
        <v>207</v>
      </c>
      <c r="AF1029" s="11">
        <v>44735.40625</v>
      </c>
      <c r="AG1029" s="53"/>
      <c r="AH1029" s="53" t="b">
        <f t="shared" si="21"/>
        <v>0</v>
      </c>
      <c r="AI1029" s="54" t="s">
        <v>10730</v>
      </c>
      <c r="AJ1029" s="2"/>
      <c r="AK1029" s="2"/>
      <c r="AL1029" s="2"/>
      <c r="AM1029" s="2"/>
      <c r="AN1029" s="2"/>
    </row>
    <row r="1030" spans="1:40" ht="16" x14ac:dyDescent="0.2">
      <c r="A1030" s="2" t="s">
        <v>429</v>
      </c>
      <c r="B1030" s="2">
        <v>120</v>
      </c>
      <c r="C1030" s="2" t="b">
        <v>0</v>
      </c>
      <c r="D1030" s="2" t="b">
        <v>0</v>
      </c>
      <c r="E1030" s="2" t="b">
        <v>0</v>
      </c>
      <c r="F1030" s="2" t="b">
        <v>0</v>
      </c>
      <c r="G1030" s="2" t="s">
        <v>31</v>
      </c>
      <c r="H1030" s="2" t="s">
        <v>430</v>
      </c>
      <c r="I1030" s="2" t="s">
        <v>431</v>
      </c>
      <c r="J1030" s="2" t="s">
        <v>352</v>
      </c>
      <c r="K1030" s="2" t="s">
        <v>35</v>
      </c>
      <c r="L1030" s="2" t="s">
        <v>35</v>
      </c>
      <c r="M1030" s="2" t="s">
        <v>35</v>
      </c>
      <c r="N1030" s="2" t="s">
        <v>35</v>
      </c>
      <c r="O1030" s="11">
        <v>44735.508454953706</v>
      </c>
      <c r="P1030" s="11">
        <v>44735.508666956019</v>
      </c>
      <c r="Q1030" s="27">
        <v>2.1200231276452541E-4</v>
      </c>
      <c r="R1030" s="27">
        <v>3.7024305493105203E-4</v>
      </c>
      <c r="S1030" s="2">
        <v>0</v>
      </c>
      <c r="T1030" s="2" t="s">
        <v>124</v>
      </c>
      <c r="U1030" s="2" t="s">
        <v>125</v>
      </c>
      <c r="V1030" s="2" t="s">
        <v>38</v>
      </c>
      <c r="W1030" s="2" t="s">
        <v>35</v>
      </c>
      <c r="X1030" s="2" t="s">
        <v>35</v>
      </c>
      <c r="Y1030" s="2" t="s">
        <v>35</v>
      </c>
      <c r="Z1030" s="2" t="b">
        <v>0</v>
      </c>
      <c r="AA1030" s="2" t="s">
        <v>35</v>
      </c>
      <c r="AB1030" s="2">
        <v>4</v>
      </c>
      <c r="AC1030" s="2" t="s">
        <v>35</v>
      </c>
      <c r="AD1030" s="2" t="s">
        <v>35</v>
      </c>
      <c r="AE1030" s="2" t="s">
        <v>207</v>
      </c>
      <c r="AF1030" s="11">
        <v>44735.40625</v>
      </c>
      <c r="AG1030" s="53"/>
      <c r="AH1030" s="53" t="b">
        <f t="shared" si="21"/>
        <v>0</v>
      </c>
      <c r="AI1030" s="54" t="s">
        <v>10731</v>
      </c>
      <c r="AJ1030" s="2"/>
      <c r="AK1030" s="2"/>
      <c r="AL1030" s="2"/>
      <c r="AM1030" s="2"/>
      <c r="AN1030" s="2"/>
    </row>
    <row r="1031" spans="1:40" ht="16" x14ac:dyDescent="0.2">
      <c r="A1031" s="2" t="s">
        <v>432</v>
      </c>
      <c r="B1031" s="2">
        <v>121</v>
      </c>
      <c r="C1031" s="2" t="b">
        <v>0</v>
      </c>
      <c r="D1031" s="2" t="b">
        <v>0</v>
      </c>
      <c r="E1031" s="2" t="b">
        <v>0</v>
      </c>
      <c r="F1031" s="2" t="b">
        <v>0</v>
      </c>
      <c r="G1031" s="2" t="s">
        <v>31</v>
      </c>
      <c r="H1031" s="2" t="s">
        <v>433</v>
      </c>
      <c r="I1031" s="2" t="s">
        <v>434</v>
      </c>
      <c r="J1031" s="2" t="s">
        <v>352</v>
      </c>
      <c r="K1031" s="2" t="s">
        <v>35</v>
      </c>
      <c r="L1031" s="2" t="s">
        <v>35</v>
      </c>
      <c r="M1031" s="2" t="s">
        <v>35</v>
      </c>
      <c r="N1031" s="2" t="s">
        <v>35</v>
      </c>
      <c r="O1031" s="11">
        <v>44735.509675717592</v>
      </c>
      <c r="P1031" s="11">
        <v>44735.509972858796</v>
      </c>
      <c r="Q1031" s="27">
        <v>2.9714120319113135E-4</v>
      </c>
      <c r="R1031" s="27">
        <v>1.305902776948642E-3</v>
      </c>
      <c r="S1031" s="2">
        <v>0</v>
      </c>
      <c r="T1031" s="2" t="s">
        <v>124</v>
      </c>
      <c r="U1031" s="2" t="s">
        <v>125</v>
      </c>
      <c r="V1031" s="2" t="s">
        <v>38</v>
      </c>
      <c r="W1031" s="2" t="s">
        <v>35</v>
      </c>
      <c r="X1031" s="2" t="s">
        <v>35</v>
      </c>
      <c r="Y1031" s="2" t="s">
        <v>35</v>
      </c>
      <c r="Z1031" s="2" t="b">
        <v>0</v>
      </c>
      <c r="AA1031" s="2" t="s">
        <v>35</v>
      </c>
      <c r="AB1031" s="2">
        <v>4</v>
      </c>
      <c r="AC1031" s="2" t="s">
        <v>35</v>
      </c>
      <c r="AD1031" s="2" t="s">
        <v>35</v>
      </c>
      <c r="AE1031" s="2" t="s">
        <v>207</v>
      </c>
      <c r="AF1031" s="11">
        <v>44735.40625</v>
      </c>
      <c r="AG1031" s="53"/>
      <c r="AH1031" s="53" t="b">
        <f t="shared" si="21"/>
        <v>0</v>
      </c>
      <c r="AI1031" s="54" t="s">
        <v>10732</v>
      </c>
      <c r="AJ1031" s="2"/>
      <c r="AK1031" s="2"/>
      <c r="AL1031" s="2"/>
      <c r="AM1031" s="2"/>
      <c r="AN1031" s="2"/>
    </row>
    <row r="1032" spans="1:40" ht="16" x14ac:dyDescent="0.2">
      <c r="A1032" s="2" t="s">
        <v>449</v>
      </c>
      <c r="B1032" s="2">
        <v>126</v>
      </c>
      <c r="C1032" s="2" t="b">
        <v>0</v>
      </c>
      <c r="D1032" s="2" t="b">
        <v>0</v>
      </c>
      <c r="E1032" s="2" t="b">
        <v>0</v>
      </c>
      <c r="F1032" s="2" t="b">
        <v>0</v>
      </c>
      <c r="G1032" s="2" t="s">
        <v>31</v>
      </c>
      <c r="H1032" s="2" t="s">
        <v>450</v>
      </c>
      <c r="I1032" s="2" t="s">
        <v>451</v>
      </c>
      <c r="J1032" s="2" t="s">
        <v>35</v>
      </c>
      <c r="K1032" s="2" t="s">
        <v>35</v>
      </c>
      <c r="L1032" s="2" t="s">
        <v>35</v>
      </c>
      <c r="M1032" s="2" t="s">
        <v>35</v>
      </c>
      <c r="N1032" s="2" t="s">
        <v>35</v>
      </c>
      <c r="O1032" s="11">
        <v>44735.516078865738</v>
      </c>
      <c r="P1032" s="11">
        <v>44735.516451145835</v>
      </c>
      <c r="Q1032" s="27">
        <v>3.7228009750833735E-4</v>
      </c>
      <c r="R1032" s="27">
        <v>5.1311343122506514E-4</v>
      </c>
      <c r="S1032" s="2">
        <v>0</v>
      </c>
      <c r="T1032" s="2" t="s">
        <v>124</v>
      </c>
      <c r="U1032" s="2" t="s">
        <v>125</v>
      </c>
      <c r="V1032" s="2" t="s">
        <v>38</v>
      </c>
      <c r="W1032" s="2" t="s">
        <v>35</v>
      </c>
      <c r="X1032" s="2" t="s">
        <v>35</v>
      </c>
      <c r="Y1032" s="2" t="s">
        <v>35</v>
      </c>
      <c r="Z1032" s="2" t="b">
        <v>0</v>
      </c>
      <c r="AA1032" s="2" t="s">
        <v>35</v>
      </c>
      <c r="AB1032" s="2">
        <v>65</v>
      </c>
      <c r="AC1032" s="2" t="s">
        <v>35</v>
      </c>
      <c r="AD1032" s="2" t="s">
        <v>35</v>
      </c>
      <c r="AE1032" s="2" t="s">
        <v>207</v>
      </c>
      <c r="AF1032" s="11">
        <v>44735.40625</v>
      </c>
      <c r="AG1032" s="53"/>
      <c r="AH1032" s="53" t="b">
        <f t="shared" si="21"/>
        <v>0</v>
      </c>
      <c r="AI1032" s="54" t="s">
        <v>10733</v>
      </c>
      <c r="AJ1032" s="2"/>
      <c r="AK1032" s="2"/>
      <c r="AL1032" s="2"/>
      <c r="AM1032" s="2"/>
      <c r="AN1032" s="2"/>
    </row>
    <row r="1033" spans="1:40" ht="16" x14ac:dyDescent="0.2">
      <c r="A1033" s="2" t="s">
        <v>486</v>
      </c>
      <c r="B1033" s="2">
        <v>138</v>
      </c>
      <c r="C1033" s="2" t="b">
        <v>0</v>
      </c>
      <c r="D1033" s="2" t="b">
        <v>0</v>
      </c>
      <c r="E1033" s="2" t="b">
        <v>0</v>
      </c>
      <c r="F1033" s="2" t="b">
        <v>0</v>
      </c>
      <c r="G1033" s="2" t="s">
        <v>31</v>
      </c>
      <c r="H1033" s="2" t="s">
        <v>487</v>
      </c>
      <c r="I1033" s="2" t="s">
        <v>488</v>
      </c>
      <c r="J1033" s="2" t="s">
        <v>352</v>
      </c>
      <c r="K1033" s="2" t="s">
        <v>35</v>
      </c>
      <c r="L1033" s="2" t="s">
        <v>35</v>
      </c>
      <c r="M1033" s="2" t="s">
        <v>35</v>
      </c>
      <c r="N1033" s="2" t="s">
        <v>35</v>
      </c>
      <c r="O1033" s="11">
        <v>44735.53630310185</v>
      </c>
      <c r="P1033" s="11">
        <v>44735.53664082176</v>
      </c>
      <c r="Q1033" s="27">
        <v>3.3771991002140567E-4</v>
      </c>
      <c r="R1033" s="27">
        <v>7.6660879858536646E-4</v>
      </c>
      <c r="S1033" s="2">
        <v>0</v>
      </c>
      <c r="T1033" s="2" t="s">
        <v>124</v>
      </c>
      <c r="U1033" s="2" t="s">
        <v>125</v>
      </c>
      <c r="V1033" s="2" t="s">
        <v>38</v>
      </c>
      <c r="W1033" s="2" t="s">
        <v>35</v>
      </c>
      <c r="X1033" s="2" t="s">
        <v>35</v>
      </c>
      <c r="Y1033" s="2" t="s">
        <v>35</v>
      </c>
      <c r="Z1033" s="2" t="b">
        <v>0</v>
      </c>
      <c r="AA1033" s="2" t="s">
        <v>35</v>
      </c>
      <c r="AB1033" s="2">
        <v>4</v>
      </c>
      <c r="AC1033" s="2" t="s">
        <v>35</v>
      </c>
      <c r="AD1033" s="2" t="s">
        <v>35</v>
      </c>
      <c r="AE1033" s="2" t="s">
        <v>207</v>
      </c>
      <c r="AF1033" s="11">
        <v>44735.40625</v>
      </c>
      <c r="AG1033" s="53"/>
      <c r="AH1033" s="53" t="b">
        <f t="shared" si="21"/>
        <v>0</v>
      </c>
      <c r="AI1033" s="54" t="s">
        <v>10734</v>
      </c>
      <c r="AJ1033" s="2"/>
      <c r="AK1033" s="2"/>
      <c r="AL1033" s="2"/>
      <c r="AM1033" s="2"/>
      <c r="AN1033" s="2"/>
    </row>
    <row r="1034" spans="1:40" ht="16" x14ac:dyDescent="0.2">
      <c r="A1034" s="2" t="s">
        <v>489</v>
      </c>
      <c r="B1034" s="2">
        <v>139</v>
      </c>
      <c r="C1034" s="2" t="b">
        <v>0</v>
      </c>
      <c r="D1034" s="2" t="b">
        <v>0</v>
      </c>
      <c r="E1034" s="2" t="b">
        <v>0</v>
      </c>
      <c r="F1034" s="2" t="b">
        <v>0</v>
      </c>
      <c r="G1034" s="2" t="s">
        <v>31</v>
      </c>
      <c r="H1034" s="2" t="s">
        <v>490</v>
      </c>
      <c r="I1034" s="2" t="s">
        <v>491</v>
      </c>
      <c r="J1034" s="2" t="s">
        <v>352</v>
      </c>
      <c r="K1034" s="2" t="s">
        <v>35</v>
      </c>
      <c r="L1034" s="2" t="s">
        <v>35</v>
      </c>
      <c r="M1034" s="2" t="s">
        <v>35</v>
      </c>
      <c r="N1034" s="2" t="s">
        <v>35</v>
      </c>
      <c r="O1034" s="11">
        <v>44736.388243449073</v>
      </c>
      <c r="P1034" s="11">
        <v>44736.388578402781</v>
      </c>
      <c r="Q1034" s="27">
        <v>3.3495370735181496E-4</v>
      </c>
      <c r="R1034" s="27">
        <v>1.0784027836052701E-3</v>
      </c>
      <c r="S1034" s="2">
        <v>0</v>
      </c>
      <c r="T1034" s="2" t="s">
        <v>124</v>
      </c>
      <c r="U1034" s="2" t="s">
        <v>125</v>
      </c>
      <c r="V1034" s="2" t="s">
        <v>38</v>
      </c>
      <c r="W1034" s="2" t="s">
        <v>35</v>
      </c>
      <c r="X1034" s="2" t="s">
        <v>35</v>
      </c>
      <c r="Y1034" s="2" t="s">
        <v>35</v>
      </c>
      <c r="Z1034" s="2" t="b">
        <v>0</v>
      </c>
      <c r="AA1034" s="2" t="s">
        <v>35</v>
      </c>
      <c r="AB1034" s="2">
        <v>4</v>
      </c>
      <c r="AC1034" s="2" t="s">
        <v>35</v>
      </c>
      <c r="AD1034" s="2" t="s">
        <v>35</v>
      </c>
      <c r="AE1034" s="2" t="s">
        <v>492</v>
      </c>
      <c r="AF1034" s="11">
        <v>44736.387499999997</v>
      </c>
      <c r="AG1034" s="53"/>
      <c r="AH1034" s="53" t="b">
        <f t="shared" si="21"/>
        <v>0</v>
      </c>
      <c r="AI1034" s="54" t="s">
        <v>10735</v>
      </c>
      <c r="AJ1034" s="2"/>
      <c r="AK1034" s="2"/>
      <c r="AL1034" s="2"/>
      <c r="AM1034" s="2"/>
      <c r="AN1034" s="2"/>
    </row>
    <row r="1035" spans="1:40" ht="16" x14ac:dyDescent="0.2">
      <c r="A1035" s="2" t="s">
        <v>499</v>
      </c>
      <c r="B1035" s="2">
        <v>142</v>
      </c>
      <c r="C1035" s="2" t="b">
        <v>0</v>
      </c>
      <c r="D1035" s="2" t="b">
        <v>0</v>
      </c>
      <c r="E1035" s="2" t="b">
        <v>0</v>
      </c>
      <c r="F1035" s="2" t="b">
        <v>0</v>
      </c>
      <c r="G1035" s="2" t="s">
        <v>31</v>
      </c>
      <c r="H1035" s="2" t="s">
        <v>500</v>
      </c>
      <c r="I1035" s="2" t="s">
        <v>501</v>
      </c>
      <c r="J1035" s="2" t="s">
        <v>352</v>
      </c>
      <c r="K1035" s="2" t="s">
        <v>35</v>
      </c>
      <c r="L1035" s="2" t="s">
        <v>35</v>
      </c>
      <c r="M1035" s="2" t="s">
        <v>35</v>
      </c>
      <c r="N1035" s="2" t="s">
        <v>35</v>
      </c>
      <c r="O1035" s="11">
        <v>44736.391045254626</v>
      </c>
      <c r="P1035" s="11">
        <v>44736.391252766203</v>
      </c>
      <c r="Q1035" s="27">
        <v>2.0751157717313617E-4</v>
      </c>
      <c r="R1035" s="27">
        <v>2.5171296147163957E-4</v>
      </c>
      <c r="S1035" s="2">
        <v>0</v>
      </c>
      <c r="T1035" s="2" t="s">
        <v>124</v>
      </c>
      <c r="U1035" s="2" t="s">
        <v>125</v>
      </c>
      <c r="V1035" s="2" t="s">
        <v>38</v>
      </c>
      <c r="W1035" s="2" t="s">
        <v>35</v>
      </c>
      <c r="X1035" s="2" t="s">
        <v>35</v>
      </c>
      <c r="Y1035" s="2" t="s">
        <v>35</v>
      </c>
      <c r="Z1035" s="2" t="b">
        <v>0</v>
      </c>
      <c r="AA1035" s="2" t="s">
        <v>35</v>
      </c>
      <c r="AB1035" s="2">
        <v>4</v>
      </c>
      <c r="AC1035" s="2" t="s">
        <v>35</v>
      </c>
      <c r="AD1035" s="2" t="s">
        <v>35</v>
      </c>
      <c r="AE1035" s="2" t="s">
        <v>492</v>
      </c>
      <c r="AF1035" s="11">
        <v>44736.387499942131</v>
      </c>
      <c r="AG1035" s="53"/>
      <c r="AH1035" s="53" t="b">
        <f t="shared" si="21"/>
        <v>0</v>
      </c>
      <c r="AI1035" s="54" t="s">
        <v>10736</v>
      </c>
      <c r="AJ1035" s="2"/>
      <c r="AK1035" s="2"/>
      <c r="AL1035" s="2"/>
      <c r="AM1035" s="2"/>
      <c r="AN1035" s="2"/>
    </row>
    <row r="1036" spans="1:40" ht="16" x14ac:dyDescent="0.2">
      <c r="A1036" s="2" t="s">
        <v>505</v>
      </c>
      <c r="B1036" s="2">
        <v>144</v>
      </c>
      <c r="C1036" s="2" t="b">
        <v>0</v>
      </c>
      <c r="D1036" s="2" t="b">
        <v>0</v>
      </c>
      <c r="E1036" s="2" t="b">
        <v>0</v>
      </c>
      <c r="F1036" s="2" t="b">
        <v>0</v>
      </c>
      <c r="G1036" s="2" t="s">
        <v>31</v>
      </c>
      <c r="H1036" s="2" t="s">
        <v>506</v>
      </c>
      <c r="I1036" s="2" t="s">
        <v>507</v>
      </c>
      <c r="J1036" s="2" t="s">
        <v>352</v>
      </c>
      <c r="K1036" s="2" t="s">
        <v>35</v>
      </c>
      <c r="L1036" s="2" t="s">
        <v>35</v>
      </c>
      <c r="M1036" s="2" t="s">
        <v>35</v>
      </c>
      <c r="N1036" s="2" t="s">
        <v>35</v>
      </c>
      <c r="O1036" s="11">
        <v>44736.391797986114</v>
      </c>
      <c r="P1036" s="11">
        <v>44736.391995219907</v>
      </c>
      <c r="Q1036" s="27">
        <v>1.9723379227798432E-4</v>
      </c>
      <c r="R1036" s="27">
        <v>2.4429398035863414E-4</v>
      </c>
      <c r="S1036" s="2">
        <v>0</v>
      </c>
      <c r="T1036" s="2" t="s">
        <v>124</v>
      </c>
      <c r="U1036" s="2" t="s">
        <v>125</v>
      </c>
      <c r="V1036" s="2" t="s">
        <v>38</v>
      </c>
      <c r="W1036" s="2" t="s">
        <v>35</v>
      </c>
      <c r="X1036" s="2" t="s">
        <v>35</v>
      </c>
      <c r="Y1036" s="2" t="s">
        <v>35</v>
      </c>
      <c r="Z1036" s="2" t="b">
        <v>0</v>
      </c>
      <c r="AA1036" s="2" t="s">
        <v>35</v>
      </c>
      <c r="AB1036" s="2">
        <v>4</v>
      </c>
      <c r="AC1036" s="2" t="s">
        <v>35</v>
      </c>
      <c r="AD1036" s="2" t="s">
        <v>35</v>
      </c>
      <c r="AE1036" s="2" t="s">
        <v>492</v>
      </c>
      <c r="AF1036" s="11">
        <v>44736.387499942131</v>
      </c>
      <c r="AG1036" s="53"/>
      <c r="AH1036" s="53" t="b">
        <f t="shared" si="21"/>
        <v>0</v>
      </c>
      <c r="AI1036" s="54" t="s">
        <v>10737</v>
      </c>
      <c r="AJ1036" s="2"/>
      <c r="AK1036" s="2"/>
      <c r="AL1036" s="2"/>
      <c r="AM1036" s="2"/>
      <c r="AN1036" s="2"/>
    </row>
    <row r="1037" spans="1:40" ht="16" x14ac:dyDescent="0.2">
      <c r="A1037" s="2" t="s">
        <v>511</v>
      </c>
      <c r="B1037" s="2">
        <v>146</v>
      </c>
      <c r="C1037" s="2" t="b">
        <v>0</v>
      </c>
      <c r="D1037" s="2" t="b">
        <v>0</v>
      </c>
      <c r="E1037" s="2" t="b">
        <v>0</v>
      </c>
      <c r="F1037" s="2" t="b">
        <v>0</v>
      </c>
      <c r="G1037" s="2" t="s">
        <v>31</v>
      </c>
      <c r="H1037" s="2" t="s">
        <v>512</v>
      </c>
      <c r="I1037" s="2" t="s">
        <v>513</v>
      </c>
      <c r="J1037" s="2" t="s">
        <v>352</v>
      </c>
      <c r="K1037" s="2" t="s">
        <v>35</v>
      </c>
      <c r="L1037" s="2" t="s">
        <v>35</v>
      </c>
      <c r="M1037" s="2" t="s">
        <v>35</v>
      </c>
      <c r="N1037" s="2" t="s">
        <v>35</v>
      </c>
      <c r="O1037" s="11">
        <v>44736.392599039355</v>
      </c>
      <c r="P1037" s="11">
        <v>44736.393427708332</v>
      </c>
      <c r="Q1037" s="27">
        <v>8.2866897719213739E-4</v>
      </c>
      <c r="R1037" s="27">
        <v>1.0629050884745084E-3</v>
      </c>
      <c r="S1037" s="2">
        <v>0</v>
      </c>
      <c r="T1037" s="2" t="s">
        <v>124</v>
      </c>
      <c r="U1037" s="2" t="s">
        <v>125</v>
      </c>
      <c r="V1037" s="2" t="s">
        <v>38</v>
      </c>
      <c r="W1037" s="2" t="s">
        <v>35</v>
      </c>
      <c r="X1037" s="2" t="s">
        <v>35</v>
      </c>
      <c r="Y1037" s="2" t="s">
        <v>35</v>
      </c>
      <c r="Z1037" s="2" t="b">
        <v>0</v>
      </c>
      <c r="AA1037" s="2" t="s">
        <v>35</v>
      </c>
      <c r="AB1037" s="2">
        <v>4</v>
      </c>
      <c r="AC1037" s="2" t="s">
        <v>35</v>
      </c>
      <c r="AD1037" s="2" t="s">
        <v>35</v>
      </c>
      <c r="AE1037" s="2" t="s">
        <v>492</v>
      </c>
      <c r="AF1037" s="11">
        <v>44736.387499942131</v>
      </c>
      <c r="AG1037" s="53"/>
      <c r="AH1037" s="53" t="str">
        <f t="shared" si="21"/>
        <v>TRUE</v>
      </c>
      <c r="AI1037" s="54" t="s">
        <v>10738</v>
      </c>
      <c r="AJ1037" s="2"/>
      <c r="AK1037" s="2"/>
      <c r="AL1037" s="2"/>
      <c r="AM1037" s="2"/>
      <c r="AN1037" s="2"/>
    </row>
    <row r="1038" spans="1:40" ht="16" x14ac:dyDescent="0.2">
      <c r="A1038" s="2" t="s">
        <v>514</v>
      </c>
      <c r="B1038" s="2">
        <v>147</v>
      </c>
      <c r="C1038" s="2" t="b">
        <v>0</v>
      </c>
      <c r="D1038" s="2" t="b">
        <v>0</v>
      </c>
      <c r="E1038" s="2" t="b">
        <v>0</v>
      </c>
      <c r="F1038" s="2" t="b">
        <v>0</v>
      </c>
      <c r="G1038" s="2" t="s">
        <v>31</v>
      </c>
      <c r="H1038" s="2" t="s">
        <v>515</v>
      </c>
      <c r="I1038" s="2" t="s">
        <v>516</v>
      </c>
      <c r="J1038" s="2" t="s">
        <v>352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11">
        <v>44736.393515648146</v>
      </c>
      <c r="P1038" s="11">
        <v>44736.393723449073</v>
      </c>
      <c r="Q1038" s="27">
        <v>2.0780092745553702E-4</v>
      </c>
      <c r="R1038" s="27">
        <v>2.9574074142146856E-4</v>
      </c>
      <c r="S1038" s="2">
        <v>0</v>
      </c>
      <c r="T1038" s="2" t="s">
        <v>124</v>
      </c>
      <c r="U1038" s="2" t="s">
        <v>125</v>
      </c>
      <c r="V1038" s="2" t="s">
        <v>38</v>
      </c>
      <c r="W1038" s="2" t="s">
        <v>35</v>
      </c>
      <c r="X1038" s="2" t="s">
        <v>35</v>
      </c>
      <c r="Y1038" s="2" t="s">
        <v>35</v>
      </c>
      <c r="Z1038" s="2" t="b">
        <v>0</v>
      </c>
      <c r="AA1038" s="2" t="s">
        <v>35</v>
      </c>
      <c r="AB1038" s="2">
        <v>4</v>
      </c>
      <c r="AC1038" s="2" t="s">
        <v>35</v>
      </c>
      <c r="AD1038" s="2" t="s">
        <v>35</v>
      </c>
      <c r="AE1038" s="2" t="s">
        <v>492</v>
      </c>
      <c r="AF1038" s="11">
        <v>44736.387499942131</v>
      </c>
      <c r="AG1038" s="53"/>
      <c r="AH1038" s="53" t="b">
        <f t="shared" si="21"/>
        <v>0</v>
      </c>
      <c r="AI1038" s="54" t="s">
        <v>10739</v>
      </c>
      <c r="AJ1038" s="2"/>
      <c r="AK1038" s="2"/>
      <c r="AL1038" s="2"/>
      <c r="AM1038" s="2"/>
      <c r="AN1038" s="2"/>
    </row>
    <row r="1039" spans="1:40" ht="16" x14ac:dyDescent="0.2">
      <c r="A1039" s="2" t="s">
        <v>517</v>
      </c>
      <c r="B1039" s="2">
        <v>148</v>
      </c>
      <c r="C1039" s="2" t="b">
        <v>0</v>
      </c>
      <c r="D1039" s="2" t="b">
        <v>0</v>
      </c>
      <c r="E1039" s="2" t="b">
        <v>0</v>
      </c>
      <c r="F1039" s="2" t="b">
        <v>0</v>
      </c>
      <c r="G1039" s="2" t="s">
        <v>31</v>
      </c>
      <c r="H1039" s="2" t="s">
        <v>518</v>
      </c>
      <c r="I1039" s="2" t="s">
        <v>519</v>
      </c>
      <c r="J1039" s="2" t="s">
        <v>352</v>
      </c>
      <c r="K1039" s="2" t="s">
        <v>35</v>
      </c>
      <c r="L1039" s="2" t="s">
        <v>35</v>
      </c>
      <c r="M1039" s="2" t="s">
        <v>35</v>
      </c>
      <c r="N1039" s="2" t="s">
        <v>35</v>
      </c>
      <c r="O1039" s="11">
        <v>44736.393920995368</v>
      </c>
      <c r="P1039" s="11">
        <v>44736.394257569445</v>
      </c>
      <c r="Q1039" s="27">
        <v>3.3657407766440883E-4</v>
      </c>
      <c r="R1039" s="27">
        <v>5.3412037232192233E-4</v>
      </c>
      <c r="S1039" s="2">
        <v>0</v>
      </c>
      <c r="T1039" s="2" t="s">
        <v>124</v>
      </c>
      <c r="U1039" s="2" t="s">
        <v>125</v>
      </c>
      <c r="V1039" s="2" t="s">
        <v>38</v>
      </c>
      <c r="W1039" s="2" t="s">
        <v>35</v>
      </c>
      <c r="X1039" s="2" t="s">
        <v>35</v>
      </c>
      <c r="Y1039" s="2" t="s">
        <v>35</v>
      </c>
      <c r="Z1039" s="2" t="b">
        <v>0</v>
      </c>
      <c r="AA1039" s="2" t="s">
        <v>35</v>
      </c>
      <c r="AB1039" s="2">
        <v>4</v>
      </c>
      <c r="AC1039" s="2" t="s">
        <v>35</v>
      </c>
      <c r="AD1039" s="2" t="s">
        <v>35</v>
      </c>
      <c r="AE1039" s="2" t="s">
        <v>492</v>
      </c>
      <c r="AF1039" s="11">
        <v>44736.387499942131</v>
      </c>
      <c r="AG1039" s="53"/>
      <c r="AH1039" s="53" t="b">
        <f t="shared" ref="AH1039:AH1070" si="22">IF(Q1039&gt;TIME(0,0,45),"TRUE")</f>
        <v>0</v>
      </c>
      <c r="AI1039" s="54" t="s">
        <v>10740</v>
      </c>
      <c r="AJ1039" s="2"/>
      <c r="AK1039" s="2"/>
      <c r="AL1039" s="2"/>
      <c r="AM1039" s="2"/>
      <c r="AN1039" s="2"/>
    </row>
    <row r="1040" spans="1:40" ht="16" x14ac:dyDescent="0.2">
      <c r="A1040" s="2" t="s">
        <v>520</v>
      </c>
      <c r="B1040" s="2">
        <v>149</v>
      </c>
      <c r="C1040" s="2" t="b">
        <v>0</v>
      </c>
      <c r="D1040" s="2" t="b">
        <v>0</v>
      </c>
      <c r="E1040" s="2" t="b">
        <v>0</v>
      </c>
      <c r="F1040" s="2" t="b">
        <v>0</v>
      </c>
      <c r="G1040" s="2" t="s">
        <v>31</v>
      </c>
      <c r="H1040" s="2" t="s">
        <v>521</v>
      </c>
      <c r="I1040" s="2" t="s">
        <v>522</v>
      </c>
      <c r="J1040" s="2" t="s">
        <v>352</v>
      </c>
      <c r="K1040" s="2" t="s">
        <v>35</v>
      </c>
      <c r="L1040" s="2" t="s">
        <v>35</v>
      </c>
      <c r="M1040" s="2" t="s">
        <v>35</v>
      </c>
      <c r="N1040" s="2" t="s">
        <v>35</v>
      </c>
      <c r="O1040" s="11">
        <v>44736.394485694444</v>
      </c>
      <c r="P1040" s="11">
        <v>44736.394796932873</v>
      </c>
      <c r="Q1040" s="27">
        <v>3.1123842927627265E-4</v>
      </c>
      <c r="R1040" s="27">
        <v>5.3936342737870291E-4</v>
      </c>
      <c r="S1040" s="2">
        <v>0</v>
      </c>
      <c r="T1040" s="2" t="s">
        <v>124</v>
      </c>
      <c r="U1040" s="2" t="s">
        <v>125</v>
      </c>
      <c r="V1040" s="2" t="s">
        <v>38</v>
      </c>
      <c r="W1040" s="2" t="s">
        <v>35</v>
      </c>
      <c r="X1040" s="2" t="s">
        <v>35</v>
      </c>
      <c r="Y1040" s="2" t="s">
        <v>35</v>
      </c>
      <c r="Z1040" s="2" t="b">
        <v>0</v>
      </c>
      <c r="AA1040" s="2" t="s">
        <v>35</v>
      </c>
      <c r="AB1040" s="2">
        <v>4</v>
      </c>
      <c r="AC1040" s="2" t="s">
        <v>35</v>
      </c>
      <c r="AD1040" s="2" t="s">
        <v>35</v>
      </c>
      <c r="AE1040" s="2" t="s">
        <v>492</v>
      </c>
      <c r="AF1040" s="11">
        <v>44736.387499942131</v>
      </c>
      <c r="AG1040" s="53"/>
      <c r="AH1040" s="53" t="b">
        <f t="shared" si="22"/>
        <v>0</v>
      </c>
      <c r="AI1040" s="54" t="s">
        <v>10741</v>
      </c>
      <c r="AJ1040" s="2"/>
      <c r="AK1040" s="2"/>
      <c r="AL1040" s="2"/>
      <c r="AM1040" s="2"/>
      <c r="AN1040" s="2"/>
    </row>
    <row r="1041" spans="1:40" ht="16" x14ac:dyDescent="0.2">
      <c r="A1041" s="2" t="s">
        <v>534</v>
      </c>
      <c r="B1041" s="2">
        <v>153</v>
      </c>
      <c r="C1041" s="2" t="b">
        <v>0</v>
      </c>
      <c r="D1041" s="2" t="b">
        <v>0</v>
      </c>
      <c r="E1041" s="2" t="b">
        <v>0</v>
      </c>
      <c r="F1041" s="2" t="b">
        <v>0</v>
      </c>
      <c r="G1041" s="2" t="s">
        <v>31</v>
      </c>
      <c r="H1041" s="2" t="s">
        <v>535</v>
      </c>
      <c r="I1041" s="2" t="s">
        <v>536</v>
      </c>
      <c r="J1041" s="2" t="s">
        <v>352</v>
      </c>
      <c r="K1041" s="2" t="s">
        <v>35</v>
      </c>
      <c r="L1041" s="2" t="s">
        <v>35</v>
      </c>
      <c r="M1041" s="2" t="s">
        <v>35</v>
      </c>
      <c r="N1041" s="2" t="s">
        <v>35</v>
      </c>
      <c r="O1041" s="11">
        <v>44736.397905231483</v>
      </c>
      <c r="P1041" s="11">
        <v>44736.398356805556</v>
      </c>
      <c r="Q1041" s="27">
        <v>4.5157407294027507E-4</v>
      </c>
      <c r="R1041" s="27">
        <v>5.6670139019843191E-4</v>
      </c>
      <c r="S1041" s="2">
        <v>0</v>
      </c>
      <c r="T1041" s="2" t="s">
        <v>124</v>
      </c>
      <c r="U1041" s="2" t="s">
        <v>125</v>
      </c>
      <c r="V1041" s="2" t="s">
        <v>38</v>
      </c>
      <c r="W1041" s="2" t="s">
        <v>35</v>
      </c>
      <c r="X1041" s="2" t="s">
        <v>35</v>
      </c>
      <c r="Y1041" s="2" t="s">
        <v>35</v>
      </c>
      <c r="Z1041" s="2" t="b">
        <v>0</v>
      </c>
      <c r="AA1041" s="2" t="s">
        <v>35</v>
      </c>
      <c r="AB1041" s="2">
        <v>4</v>
      </c>
      <c r="AC1041" s="2" t="s">
        <v>35</v>
      </c>
      <c r="AD1041" s="2" t="s">
        <v>35</v>
      </c>
      <c r="AE1041" s="2" t="s">
        <v>492</v>
      </c>
      <c r="AF1041" s="11">
        <v>44736.387499942131</v>
      </c>
      <c r="AG1041" s="53"/>
      <c r="AH1041" s="53" t="b">
        <f t="shared" si="22"/>
        <v>0</v>
      </c>
      <c r="AI1041" s="54" t="s">
        <v>9675</v>
      </c>
      <c r="AJ1041" s="2"/>
      <c r="AK1041" s="2"/>
      <c r="AL1041" s="2"/>
      <c r="AM1041" s="2"/>
      <c r="AN1041" s="2"/>
    </row>
    <row r="1042" spans="1:40" ht="16" x14ac:dyDescent="0.2">
      <c r="A1042" s="2" t="s">
        <v>541</v>
      </c>
      <c r="B1042" s="2">
        <v>155</v>
      </c>
      <c r="C1042" s="2" t="b">
        <v>0</v>
      </c>
      <c r="D1042" s="2" t="b">
        <v>0</v>
      </c>
      <c r="E1042" s="2" t="b">
        <v>0</v>
      </c>
      <c r="F1042" s="2" t="b">
        <v>0</v>
      </c>
      <c r="G1042" s="2" t="s">
        <v>31</v>
      </c>
      <c r="H1042" s="2" t="s">
        <v>542</v>
      </c>
      <c r="I1042" s="2" t="s">
        <v>543</v>
      </c>
      <c r="J1042" s="2" t="s">
        <v>352</v>
      </c>
      <c r="K1042" s="2" t="s">
        <v>35</v>
      </c>
      <c r="L1042" s="2" t="s">
        <v>35</v>
      </c>
      <c r="M1042" s="2" t="s">
        <v>35</v>
      </c>
      <c r="N1042" s="2" t="s">
        <v>35</v>
      </c>
      <c r="O1042" s="11">
        <v>44736.399983437499</v>
      </c>
      <c r="P1042" s="11">
        <v>44736.400191423614</v>
      </c>
      <c r="Q1042" s="27">
        <v>2.0798611512873322E-4</v>
      </c>
      <c r="R1042" s="27">
        <v>1.1930439868592657E-3</v>
      </c>
      <c r="S1042" s="2">
        <v>0</v>
      </c>
      <c r="T1042" s="2" t="s">
        <v>124</v>
      </c>
      <c r="U1042" s="2" t="s">
        <v>125</v>
      </c>
      <c r="V1042" s="2" t="s">
        <v>38</v>
      </c>
      <c r="W1042" s="2" t="s">
        <v>35</v>
      </c>
      <c r="X1042" s="2" t="s">
        <v>35</v>
      </c>
      <c r="Y1042" s="2" t="s">
        <v>35</v>
      </c>
      <c r="Z1042" s="2" t="b">
        <v>0</v>
      </c>
      <c r="AA1042" s="2" t="s">
        <v>35</v>
      </c>
      <c r="AB1042" s="2">
        <v>4</v>
      </c>
      <c r="AC1042" s="2" t="s">
        <v>35</v>
      </c>
      <c r="AD1042" s="2" t="s">
        <v>35</v>
      </c>
      <c r="AE1042" s="2" t="s">
        <v>492</v>
      </c>
      <c r="AF1042" s="11">
        <v>44736.387499942131</v>
      </c>
      <c r="AG1042" s="53"/>
      <c r="AH1042" s="53" t="b">
        <f t="shared" si="22"/>
        <v>0</v>
      </c>
      <c r="AI1042" s="54" t="s">
        <v>10742</v>
      </c>
      <c r="AJ1042" s="2"/>
      <c r="AK1042" s="2"/>
      <c r="AL1042" s="2"/>
      <c r="AM1042" s="2"/>
      <c r="AN1042" s="2"/>
    </row>
    <row r="1043" spans="1:40" ht="16" x14ac:dyDescent="0.2">
      <c r="A1043" s="2" t="s">
        <v>552</v>
      </c>
      <c r="B1043" s="2">
        <v>159</v>
      </c>
      <c r="C1043" s="2" t="b">
        <v>0</v>
      </c>
      <c r="D1043" s="2" t="b">
        <v>0</v>
      </c>
      <c r="E1043" s="2" t="b">
        <v>0</v>
      </c>
      <c r="F1043" s="2" t="b">
        <v>0</v>
      </c>
      <c r="G1043" s="2" t="s">
        <v>31</v>
      </c>
      <c r="H1043" s="2" t="s">
        <v>553</v>
      </c>
      <c r="I1043" s="2" t="s">
        <v>554</v>
      </c>
      <c r="J1043" s="2" t="s">
        <v>352</v>
      </c>
      <c r="K1043" s="2" t="s">
        <v>35</v>
      </c>
      <c r="L1043" s="2" t="s">
        <v>35</v>
      </c>
      <c r="M1043" s="2" t="s">
        <v>35</v>
      </c>
      <c r="N1043" s="2" t="s">
        <v>35</v>
      </c>
      <c r="O1043" s="11">
        <v>44736.404800150463</v>
      </c>
      <c r="P1043" s="11">
        <v>44736.404953784724</v>
      </c>
      <c r="Q1043" s="27">
        <v>1.5363426064141095E-4</v>
      </c>
      <c r="R1043" s="27">
        <v>3.0006944871274754E-4</v>
      </c>
      <c r="S1043" s="2">
        <v>0</v>
      </c>
      <c r="T1043" s="2" t="s">
        <v>124</v>
      </c>
      <c r="U1043" s="2" t="s">
        <v>125</v>
      </c>
      <c r="V1043" s="2" t="s">
        <v>38</v>
      </c>
      <c r="W1043" s="2" t="s">
        <v>35</v>
      </c>
      <c r="X1043" s="2" t="s">
        <v>35</v>
      </c>
      <c r="Y1043" s="2" t="s">
        <v>35</v>
      </c>
      <c r="Z1043" s="2" t="b">
        <v>0</v>
      </c>
      <c r="AA1043" s="2" t="s">
        <v>35</v>
      </c>
      <c r="AB1043" s="2">
        <v>4</v>
      </c>
      <c r="AC1043" s="2" t="s">
        <v>35</v>
      </c>
      <c r="AD1043" s="2" t="s">
        <v>35</v>
      </c>
      <c r="AE1043" s="2" t="s">
        <v>492</v>
      </c>
      <c r="AF1043" s="11">
        <v>44736.387499942131</v>
      </c>
      <c r="AG1043" s="53"/>
      <c r="AH1043" s="53" t="b">
        <f t="shared" si="22"/>
        <v>0</v>
      </c>
      <c r="AI1043" s="54" t="s">
        <v>10743</v>
      </c>
      <c r="AJ1043" s="2"/>
      <c r="AK1043" s="2"/>
      <c r="AL1043" s="2"/>
      <c r="AM1043" s="2"/>
      <c r="AN1043" s="2"/>
    </row>
    <row r="1044" spans="1:40" ht="16" x14ac:dyDescent="0.2">
      <c r="A1044" s="2" t="s">
        <v>672</v>
      </c>
      <c r="B1044" s="2">
        <v>197</v>
      </c>
      <c r="C1044" s="2" t="b">
        <v>0</v>
      </c>
      <c r="D1044" s="2" t="b">
        <v>0</v>
      </c>
      <c r="E1044" s="2" t="b">
        <v>0</v>
      </c>
      <c r="F1044" s="2" t="b">
        <v>0</v>
      </c>
      <c r="G1044" s="2" t="s">
        <v>31</v>
      </c>
      <c r="H1044" s="2" t="s">
        <v>673</v>
      </c>
      <c r="I1044" s="2" t="s">
        <v>674</v>
      </c>
      <c r="J1044" s="2" t="s">
        <v>675</v>
      </c>
      <c r="K1044" s="2" t="s">
        <v>35</v>
      </c>
      <c r="L1044" s="2" t="s">
        <v>35</v>
      </c>
      <c r="M1044" s="2" t="s">
        <v>35</v>
      </c>
      <c r="N1044" s="2" t="s">
        <v>35</v>
      </c>
      <c r="O1044" s="11">
        <v>44736.447903518521</v>
      </c>
      <c r="P1044" s="11">
        <v>44736.450911585649</v>
      </c>
      <c r="Q1044" s="27">
        <v>3.0080671276664361E-3</v>
      </c>
      <c r="R1044" s="27">
        <v>3.6681712954305112E-3</v>
      </c>
      <c r="S1044" s="2">
        <v>0</v>
      </c>
      <c r="T1044" s="2" t="s">
        <v>124</v>
      </c>
      <c r="U1044" s="2" t="s">
        <v>125</v>
      </c>
      <c r="V1044" s="2" t="s">
        <v>38</v>
      </c>
      <c r="W1044" s="2" t="s">
        <v>35</v>
      </c>
      <c r="X1044" s="2" t="s">
        <v>35</v>
      </c>
      <c r="Y1044" s="2" t="s">
        <v>35</v>
      </c>
      <c r="Z1044" s="2" t="b">
        <v>0</v>
      </c>
      <c r="AA1044" s="2" t="s">
        <v>35</v>
      </c>
      <c r="AB1044" s="2">
        <v>4</v>
      </c>
      <c r="AC1044" s="2" t="s">
        <v>35</v>
      </c>
      <c r="AD1044" s="2" t="s">
        <v>35</v>
      </c>
      <c r="AE1044" s="2" t="s">
        <v>492</v>
      </c>
      <c r="AF1044" s="11">
        <v>44736.387499942131</v>
      </c>
      <c r="AG1044" s="53"/>
      <c r="AH1044" s="53" t="str">
        <f t="shared" si="22"/>
        <v>TRUE</v>
      </c>
      <c r="AI1044" s="54" t="s">
        <v>10744</v>
      </c>
      <c r="AJ1044" s="2"/>
      <c r="AK1044" s="2"/>
      <c r="AL1044" s="2"/>
      <c r="AM1044" s="2"/>
      <c r="AN1044" s="2"/>
    </row>
    <row r="1045" spans="1:40" ht="16" x14ac:dyDescent="0.2">
      <c r="A1045" s="2" t="s">
        <v>679</v>
      </c>
      <c r="B1045" s="2">
        <v>199</v>
      </c>
      <c r="C1045" s="2" t="b">
        <v>0</v>
      </c>
      <c r="D1045" s="2" t="b">
        <v>0</v>
      </c>
      <c r="E1045" s="2" t="b">
        <v>0</v>
      </c>
      <c r="F1045" s="2" t="b">
        <v>0</v>
      </c>
      <c r="G1045" s="2" t="s">
        <v>31</v>
      </c>
      <c r="H1045" s="2" t="s">
        <v>680</v>
      </c>
      <c r="I1045" s="2" t="s">
        <v>681</v>
      </c>
      <c r="J1045" s="2" t="s">
        <v>675</v>
      </c>
      <c r="K1045" s="2" t="s">
        <v>35</v>
      </c>
      <c r="L1045" s="2" t="s">
        <v>35</v>
      </c>
      <c r="M1045" s="2" t="s">
        <v>35</v>
      </c>
      <c r="N1045" s="2" t="s">
        <v>35</v>
      </c>
      <c r="O1045" s="11">
        <v>44736.453368564813</v>
      </c>
      <c r="P1045" s="11">
        <v>44736.45360364583</v>
      </c>
      <c r="Q1045" s="27">
        <v>2.3508101730840281E-4</v>
      </c>
      <c r="R1045" s="27">
        <v>9.3778935115551576E-4</v>
      </c>
      <c r="S1045" s="2">
        <v>0</v>
      </c>
      <c r="T1045" s="2" t="s">
        <v>124</v>
      </c>
      <c r="U1045" s="2" t="s">
        <v>125</v>
      </c>
      <c r="V1045" s="2" t="s">
        <v>38</v>
      </c>
      <c r="W1045" s="2" t="s">
        <v>35</v>
      </c>
      <c r="X1045" s="2" t="s">
        <v>35</v>
      </c>
      <c r="Y1045" s="2" t="s">
        <v>35</v>
      </c>
      <c r="Z1045" s="2" t="b">
        <v>0</v>
      </c>
      <c r="AA1045" s="2" t="s">
        <v>35</v>
      </c>
      <c r="AB1045" s="2">
        <v>4</v>
      </c>
      <c r="AC1045" s="2" t="s">
        <v>35</v>
      </c>
      <c r="AD1045" s="2" t="s">
        <v>35</v>
      </c>
      <c r="AE1045" s="2" t="s">
        <v>492</v>
      </c>
      <c r="AF1045" s="11">
        <v>44736.387499942131</v>
      </c>
      <c r="AG1045" s="53"/>
      <c r="AH1045" s="53" t="b">
        <f t="shared" si="22"/>
        <v>0</v>
      </c>
      <c r="AI1045" s="54" t="s">
        <v>9674</v>
      </c>
      <c r="AJ1045" s="2"/>
      <c r="AK1045" s="2"/>
      <c r="AL1045" s="2"/>
      <c r="AM1045" s="2"/>
      <c r="AN1045" s="2"/>
    </row>
    <row r="1046" spans="1:40" ht="16" x14ac:dyDescent="0.2">
      <c r="A1046" s="2" t="s">
        <v>682</v>
      </c>
      <c r="B1046" s="2">
        <v>200</v>
      </c>
      <c r="C1046" s="2" t="b">
        <v>0</v>
      </c>
      <c r="D1046" s="2" t="b">
        <v>0</v>
      </c>
      <c r="E1046" s="2" t="b">
        <v>0</v>
      </c>
      <c r="F1046" s="2" t="b">
        <v>0</v>
      </c>
      <c r="G1046" s="2" t="s">
        <v>31</v>
      </c>
      <c r="H1046" s="2" t="s">
        <v>683</v>
      </c>
      <c r="I1046" s="2" t="s">
        <v>684</v>
      </c>
      <c r="J1046" s="2" t="s">
        <v>675</v>
      </c>
      <c r="K1046" s="2" t="s">
        <v>35</v>
      </c>
      <c r="L1046" s="2" t="s">
        <v>35</v>
      </c>
      <c r="M1046" s="2" t="s">
        <v>35</v>
      </c>
      <c r="N1046" s="2" t="s">
        <v>35</v>
      </c>
      <c r="O1046" s="11">
        <v>44736.453729594905</v>
      </c>
      <c r="P1046" s="11">
        <v>44736.455519803239</v>
      </c>
      <c r="Q1046" s="27">
        <v>1.7902083345688879E-3</v>
      </c>
      <c r="R1046" s="27">
        <v>1.9161574091413058E-3</v>
      </c>
      <c r="S1046" s="2">
        <v>0</v>
      </c>
      <c r="T1046" s="2" t="s">
        <v>124</v>
      </c>
      <c r="U1046" s="2" t="s">
        <v>125</v>
      </c>
      <c r="V1046" s="2" t="s">
        <v>38</v>
      </c>
      <c r="W1046" s="2" t="s">
        <v>35</v>
      </c>
      <c r="X1046" s="2" t="s">
        <v>35</v>
      </c>
      <c r="Y1046" s="2" t="s">
        <v>35</v>
      </c>
      <c r="Z1046" s="2" t="b">
        <v>0</v>
      </c>
      <c r="AA1046" s="2" t="s">
        <v>35</v>
      </c>
      <c r="AB1046" s="2">
        <v>4</v>
      </c>
      <c r="AC1046" s="2" t="s">
        <v>35</v>
      </c>
      <c r="AD1046" s="2" t="s">
        <v>35</v>
      </c>
      <c r="AE1046" s="2" t="s">
        <v>492</v>
      </c>
      <c r="AF1046" s="11">
        <v>44736.387499942131</v>
      </c>
      <c r="AG1046" s="53"/>
      <c r="AH1046" s="53" t="str">
        <f t="shared" si="22"/>
        <v>TRUE</v>
      </c>
      <c r="AI1046" s="54" t="s">
        <v>10747</v>
      </c>
      <c r="AJ1046" s="2" t="s">
        <v>10745</v>
      </c>
      <c r="AK1046" s="2" t="s">
        <v>10746</v>
      </c>
      <c r="AL1046" s="2"/>
      <c r="AM1046" s="2"/>
      <c r="AN1046" s="2"/>
    </row>
    <row r="1047" spans="1:40" ht="16" x14ac:dyDescent="0.2">
      <c r="A1047" s="2" t="s">
        <v>689</v>
      </c>
      <c r="B1047" s="2">
        <v>202</v>
      </c>
      <c r="C1047" s="2" t="b">
        <v>0</v>
      </c>
      <c r="D1047" s="2" t="b">
        <v>0</v>
      </c>
      <c r="E1047" s="2" t="b">
        <v>0</v>
      </c>
      <c r="F1047" s="2" t="b">
        <v>0</v>
      </c>
      <c r="G1047" s="2" t="s">
        <v>31</v>
      </c>
      <c r="H1047" s="2" t="s">
        <v>690</v>
      </c>
      <c r="I1047" s="2" t="s">
        <v>691</v>
      </c>
      <c r="J1047" s="2" t="s">
        <v>675</v>
      </c>
      <c r="K1047" s="2" t="s">
        <v>35</v>
      </c>
      <c r="L1047" s="2" t="s">
        <v>35</v>
      </c>
      <c r="M1047" s="2" t="s">
        <v>35</v>
      </c>
      <c r="N1047" s="2" t="s">
        <v>35</v>
      </c>
      <c r="O1047" s="11">
        <v>44737.417721921294</v>
      </c>
      <c r="P1047" s="11">
        <v>44737.417890046294</v>
      </c>
      <c r="Q1047" s="27">
        <v>1.6812499961815774E-4</v>
      </c>
      <c r="R1047" s="27">
        <v>1.0590972233330831E-3</v>
      </c>
      <c r="S1047" s="2">
        <v>0</v>
      </c>
      <c r="T1047" s="2" t="s">
        <v>124</v>
      </c>
      <c r="U1047" s="2" t="s">
        <v>125</v>
      </c>
      <c r="V1047" s="2" t="s">
        <v>38</v>
      </c>
      <c r="W1047" s="2" t="s">
        <v>35</v>
      </c>
      <c r="X1047" s="2" t="s">
        <v>35</v>
      </c>
      <c r="Y1047" s="2" t="s">
        <v>35</v>
      </c>
      <c r="Z1047" s="2" t="b">
        <v>0</v>
      </c>
      <c r="AA1047" s="2" t="s">
        <v>35</v>
      </c>
      <c r="AB1047" s="2">
        <v>4</v>
      </c>
      <c r="AC1047" s="2" t="s">
        <v>35</v>
      </c>
      <c r="AD1047" s="2" t="s">
        <v>35</v>
      </c>
      <c r="AE1047" s="2" t="s">
        <v>688</v>
      </c>
      <c r="AF1047" s="11">
        <v>44737.414583333331</v>
      </c>
      <c r="AG1047" s="53"/>
      <c r="AH1047" s="53" t="b">
        <f t="shared" si="22"/>
        <v>0</v>
      </c>
      <c r="AI1047" s="54" t="s">
        <v>10748</v>
      </c>
      <c r="AJ1047" s="2"/>
      <c r="AK1047" s="2"/>
      <c r="AL1047" s="2"/>
      <c r="AM1047" s="2"/>
      <c r="AN1047" s="2"/>
    </row>
    <row r="1048" spans="1:40" ht="16" x14ac:dyDescent="0.2">
      <c r="A1048" s="2" t="s">
        <v>704</v>
      </c>
      <c r="B1048" s="2">
        <v>207</v>
      </c>
      <c r="C1048" s="2" t="b">
        <v>0</v>
      </c>
      <c r="D1048" s="2" t="b">
        <v>0</v>
      </c>
      <c r="E1048" s="2" t="b">
        <v>0</v>
      </c>
      <c r="F1048" s="2" t="b">
        <v>0</v>
      </c>
      <c r="G1048" s="2" t="s">
        <v>31</v>
      </c>
      <c r="H1048" s="2" t="s">
        <v>705</v>
      </c>
      <c r="I1048" s="2" t="s">
        <v>706</v>
      </c>
      <c r="J1048" s="2" t="s">
        <v>675</v>
      </c>
      <c r="K1048" s="2" t="s">
        <v>35</v>
      </c>
      <c r="L1048" s="2" t="s">
        <v>35</v>
      </c>
      <c r="M1048" s="2" t="s">
        <v>35</v>
      </c>
      <c r="N1048" s="2" t="s">
        <v>35</v>
      </c>
      <c r="O1048" s="11">
        <v>44737.422684884259</v>
      </c>
      <c r="P1048" s="11">
        <v>44737.422848425929</v>
      </c>
      <c r="Q1048" s="27">
        <v>1.6354167019017041E-4</v>
      </c>
      <c r="R1048" s="27">
        <v>2.0572917128447443E-4</v>
      </c>
      <c r="S1048" s="2">
        <v>0</v>
      </c>
      <c r="T1048" s="2" t="s">
        <v>124</v>
      </c>
      <c r="U1048" s="2" t="s">
        <v>125</v>
      </c>
      <c r="V1048" s="2" t="s">
        <v>38</v>
      </c>
      <c r="W1048" s="2" t="s">
        <v>35</v>
      </c>
      <c r="X1048" s="2" t="s">
        <v>35</v>
      </c>
      <c r="Y1048" s="2" t="s">
        <v>35</v>
      </c>
      <c r="Z1048" s="2" t="b">
        <v>0</v>
      </c>
      <c r="AA1048" s="2" t="s">
        <v>35</v>
      </c>
      <c r="AB1048" s="2">
        <v>4</v>
      </c>
      <c r="AC1048" s="2" t="s">
        <v>35</v>
      </c>
      <c r="AD1048" s="2" t="s">
        <v>35</v>
      </c>
      <c r="AE1048" s="2" t="s">
        <v>688</v>
      </c>
      <c r="AF1048" s="11">
        <v>44737.414583275466</v>
      </c>
      <c r="AG1048" s="53"/>
      <c r="AH1048" s="53" t="b">
        <f t="shared" si="22"/>
        <v>0</v>
      </c>
      <c r="AI1048" s="54" t="s">
        <v>10749</v>
      </c>
      <c r="AJ1048" s="2"/>
      <c r="AK1048" s="2"/>
      <c r="AL1048" s="2"/>
      <c r="AM1048" s="2"/>
      <c r="AN1048" s="2"/>
    </row>
    <row r="1049" spans="1:40" ht="16" x14ac:dyDescent="0.2">
      <c r="A1049" s="2" t="s">
        <v>710</v>
      </c>
      <c r="B1049" s="2">
        <v>209</v>
      </c>
      <c r="C1049" s="2" t="b">
        <v>0</v>
      </c>
      <c r="D1049" s="2" t="b">
        <v>0</v>
      </c>
      <c r="E1049" s="2" t="b">
        <v>0</v>
      </c>
      <c r="F1049" s="2" t="b">
        <v>0</v>
      </c>
      <c r="G1049" s="2" t="s">
        <v>31</v>
      </c>
      <c r="H1049" s="2" t="s">
        <v>711</v>
      </c>
      <c r="I1049" s="2" t="s">
        <v>712</v>
      </c>
      <c r="J1049" s="2" t="s">
        <v>675</v>
      </c>
      <c r="K1049" s="2" t="s">
        <v>35</v>
      </c>
      <c r="L1049" s="2" t="s">
        <v>35</v>
      </c>
      <c r="M1049" s="2" t="s">
        <v>35</v>
      </c>
      <c r="N1049" s="2" t="s">
        <v>35</v>
      </c>
      <c r="O1049" s="11">
        <v>44737.424236909719</v>
      </c>
      <c r="P1049" s="11">
        <v>44737.424655069444</v>
      </c>
      <c r="Q1049" s="27">
        <v>4.1815972508629784E-4</v>
      </c>
      <c r="R1049" s="27">
        <v>8.2194444257766008E-4</v>
      </c>
      <c r="S1049" s="2">
        <v>0</v>
      </c>
      <c r="T1049" s="2" t="s">
        <v>124</v>
      </c>
      <c r="U1049" s="2" t="s">
        <v>125</v>
      </c>
      <c r="V1049" s="2" t="s">
        <v>38</v>
      </c>
      <c r="W1049" s="2" t="s">
        <v>35</v>
      </c>
      <c r="X1049" s="2" t="s">
        <v>35</v>
      </c>
      <c r="Y1049" s="2" t="s">
        <v>35</v>
      </c>
      <c r="Z1049" s="2" t="b">
        <v>0</v>
      </c>
      <c r="AA1049" s="2" t="s">
        <v>35</v>
      </c>
      <c r="AB1049" s="2">
        <v>4</v>
      </c>
      <c r="AC1049" s="2" t="s">
        <v>35</v>
      </c>
      <c r="AD1049" s="2" t="s">
        <v>35</v>
      </c>
      <c r="AE1049" s="2" t="s">
        <v>688</v>
      </c>
      <c r="AF1049" s="11">
        <v>44737.414583275466</v>
      </c>
      <c r="AG1049" s="53"/>
      <c r="AH1049" s="53" t="b">
        <f t="shared" si="22"/>
        <v>0</v>
      </c>
      <c r="AI1049" s="54" t="s">
        <v>10750</v>
      </c>
      <c r="AJ1049" s="2"/>
      <c r="AK1049" s="2"/>
      <c r="AL1049" s="2"/>
      <c r="AM1049" s="2"/>
      <c r="AN1049" s="2"/>
    </row>
    <row r="1050" spans="1:40" ht="16" x14ac:dyDescent="0.2">
      <c r="A1050" s="2" t="s">
        <v>716</v>
      </c>
      <c r="B1050" s="2">
        <v>211</v>
      </c>
      <c r="C1050" s="2" t="b">
        <v>0</v>
      </c>
      <c r="D1050" s="2" t="b">
        <v>0</v>
      </c>
      <c r="E1050" s="2" t="b">
        <v>0</v>
      </c>
      <c r="F1050" s="2" t="b">
        <v>0</v>
      </c>
      <c r="G1050" s="2" t="s">
        <v>31</v>
      </c>
      <c r="H1050" s="2" t="s">
        <v>717</v>
      </c>
      <c r="I1050" s="2" t="s">
        <v>718</v>
      </c>
      <c r="J1050" s="2" t="s">
        <v>675</v>
      </c>
      <c r="K1050" s="2" t="s">
        <v>35</v>
      </c>
      <c r="L1050" s="2" t="s">
        <v>35</v>
      </c>
      <c r="M1050" s="2" t="s">
        <v>35</v>
      </c>
      <c r="N1050" s="2" t="s">
        <v>35</v>
      </c>
      <c r="O1050" s="11">
        <v>44737.42633905093</v>
      </c>
      <c r="P1050" s="11">
        <v>44737.426552129633</v>
      </c>
      <c r="Q1050" s="27">
        <v>2.1307870338205248E-4</v>
      </c>
      <c r="R1050" s="27">
        <v>1.3779050932498649E-3</v>
      </c>
      <c r="S1050" s="2">
        <v>0</v>
      </c>
      <c r="T1050" s="2" t="s">
        <v>124</v>
      </c>
      <c r="U1050" s="2" t="s">
        <v>125</v>
      </c>
      <c r="V1050" s="2" t="s">
        <v>38</v>
      </c>
      <c r="W1050" s="2" t="s">
        <v>35</v>
      </c>
      <c r="X1050" s="2" t="s">
        <v>35</v>
      </c>
      <c r="Y1050" s="2" t="s">
        <v>35</v>
      </c>
      <c r="Z1050" s="2" t="b">
        <v>0</v>
      </c>
      <c r="AA1050" s="2" t="s">
        <v>35</v>
      </c>
      <c r="AB1050" s="2">
        <v>4</v>
      </c>
      <c r="AC1050" s="2" t="s">
        <v>35</v>
      </c>
      <c r="AD1050" s="2" t="s">
        <v>35</v>
      </c>
      <c r="AE1050" s="2" t="s">
        <v>688</v>
      </c>
      <c r="AF1050" s="11">
        <v>44737.414583275466</v>
      </c>
      <c r="AG1050" s="53"/>
      <c r="AH1050" s="53" t="b">
        <f t="shared" si="22"/>
        <v>0</v>
      </c>
      <c r="AI1050" s="54" t="s">
        <v>9673</v>
      </c>
      <c r="AJ1050" s="2"/>
      <c r="AK1050" s="2"/>
      <c r="AL1050" s="2"/>
      <c r="AM1050" s="2"/>
      <c r="AN1050" s="2"/>
    </row>
    <row r="1051" spans="1:40" ht="16" x14ac:dyDescent="0.2">
      <c r="A1051" s="2" t="s">
        <v>744</v>
      </c>
      <c r="B1051" s="2">
        <v>220</v>
      </c>
      <c r="C1051" s="2" t="b">
        <v>0</v>
      </c>
      <c r="D1051" s="2" t="b">
        <v>0</v>
      </c>
      <c r="E1051" s="2" t="b">
        <v>0</v>
      </c>
      <c r="F1051" s="2" t="b">
        <v>0</v>
      </c>
      <c r="G1051" s="2" t="s">
        <v>31</v>
      </c>
      <c r="H1051" s="2" t="s">
        <v>745</v>
      </c>
      <c r="I1051" s="2" t="s">
        <v>746</v>
      </c>
      <c r="J1051" s="2" t="s">
        <v>675</v>
      </c>
      <c r="K1051" s="2" t="s">
        <v>35</v>
      </c>
      <c r="L1051" s="2" t="s">
        <v>35</v>
      </c>
      <c r="M1051" s="2" t="s">
        <v>35</v>
      </c>
      <c r="N1051" s="2" t="s">
        <v>35</v>
      </c>
      <c r="O1051" s="11">
        <v>44737.439672569446</v>
      </c>
      <c r="P1051" s="11">
        <v>44737.439962962962</v>
      </c>
      <c r="Q1051" s="27">
        <v>2.9039351647952572E-4</v>
      </c>
      <c r="R1051" s="27">
        <v>8.6689814634155482E-4</v>
      </c>
      <c r="S1051" s="2">
        <v>0</v>
      </c>
      <c r="T1051" s="2" t="s">
        <v>124</v>
      </c>
      <c r="U1051" s="2" t="s">
        <v>125</v>
      </c>
      <c r="V1051" s="2" t="s">
        <v>38</v>
      </c>
      <c r="W1051" s="2" t="s">
        <v>35</v>
      </c>
      <c r="X1051" s="2" t="s">
        <v>35</v>
      </c>
      <c r="Y1051" s="2" t="s">
        <v>35</v>
      </c>
      <c r="Z1051" s="2" t="b">
        <v>0</v>
      </c>
      <c r="AA1051" s="2" t="s">
        <v>35</v>
      </c>
      <c r="AB1051" s="2">
        <v>4</v>
      </c>
      <c r="AC1051" s="2" t="s">
        <v>35</v>
      </c>
      <c r="AD1051" s="2" t="s">
        <v>35</v>
      </c>
      <c r="AE1051" s="2" t="s">
        <v>688</v>
      </c>
      <c r="AF1051" s="11">
        <v>44737.414583275466</v>
      </c>
      <c r="AG1051" s="53"/>
      <c r="AH1051" s="53" t="b">
        <f t="shared" si="22"/>
        <v>0</v>
      </c>
      <c r="AI1051" s="54" t="s">
        <v>9672</v>
      </c>
      <c r="AJ1051" s="2"/>
      <c r="AK1051" s="2"/>
      <c r="AL1051" s="2"/>
      <c r="AM1051" s="2"/>
      <c r="AN1051" s="2"/>
    </row>
    <row r="1052" spans="1:40" ht="16" x14ac:dyDescent="0.2">
      <c r="A1052" s="2" t="s">
        <v>819</v>
      </c>
      <c r="B1052" s="2">
        <v>244</v>
      </c>
      <c r="C1052" s="2" t="b">
        <v>0</v>
      </c>
      <c r="D1052" s="2" t="b">
        <v>0</v>
      </c>
      <c r="E1052" s="2" t="b">
        <v>0</v>
      </c>
      <c r="F1052" s="2" t="b">
        <v>0</v>
      </c>
      <c r="G1052" s="2" t="s">
        <v>31</v>
      </c>
      <c r="H1052" s="2" t="s">
        <v>820</v>
      </c>
      <c r="I1052" s="2" t="s">
        <v>821</v>
      </c>
      <c r="J1052" s="2" t="s">
        <v>675</v>
      </c>
      <c r="K1052" s="2" t="s">
        <v>35</v>
      </c>
      <c r="L1052" s="2" t="s">
        <v>35</v>
      </c>
      <c r="M1052" s="2" t="s">
        <v>35</v>
      </c>
      <c r="N1052" s="2" t="s">
        <v>35</v>
      </c>
      <c r="O1052" s="11">
        <v>44737.478912870371</v>
      </c>
      <c r="P1052" s="11">
        <v>44737.479154618057</v>
      </c>
      <c r="Q1052" s="27">
        <v>2.4174768623197451E-4</v>
      </c>
      <c r="R1052" s="27">
        <v>3.9109953650040552E-4</v>
      </c>
      <c r="S1052" s="2">
        <v>0</v>
      </c>
      <c r="T1052" s="2" t="s">
        <v>124</v>
      </c>
      <c r="U1052" s="2" t="s">
        <v>125</v>
      </c>
      <c r="V1052" s="2" t="s">
        <v>38</v>
      </c>
      <c r="W1052" s="2" t="s">
        <v>35</v>
      </c>
      <c r="X1052" s="2" t="s">
        <v>35</v>
      </c>
      <c r="Y1052" s="2" t="s">
        <v>35</v>
      </c>
      <c r="Z1052" s="2" t="b">
        <v>0</v>
      </c>
      <c r="AA1052" s="2" t="s">
        <v>35</v>
      </c>
      <c r="AB1052" s="2">
        <v>4</v>
      </c>
      <c r="AC1052" s="2" t="s">
        <v>35</v>
      </c>
      <c r="AD1052" s="2" t="s">
        <v>35</v>
      </c>
      <c r="AE1052" s="2" t="s">
        <v>792</v>
      </c>
      <c r="AF1052" s="11">
        <v>44737.463888831022</v>
      </c>
      <c r="AG1052" s="53"/>
      <c r="AH1052" s="53" t="b">
        <f t="shared" si="22"/>
        <v>0</v>
      </c>
      <c r="AI1052" s="54" t="s">
        <v>10751</v>
      </c>
      <c r="AJ1052" s="2"/>
      <c r="AK1052" s="2"/>
      <c r="AL1052" s="2"/>
      <c r="AM1052" s="2"/>
      <c r="AN1052" s="2"/>
    </row>
    <row r="1053" spans="1:40" ht="16" x14ac:dyDescent="0.2">
      <c r="A1053" s="31" t="s">
        <v>843</v>
      </c>
      <c r="B1053" s="31">
        <v>252</v>
      </c>
      <c r="C1053" s="31" t="b">
        <v>0</v>
      </c>
      <c r="D1053" s="31" t="b">
        <v>0</v>
      </c>
      <c r="E1053" s="31" t="b">
        <v>0</v>
      </c>
      <c r="F1053" s="31" t="b">
        <v>0</v>
      </c>
      <c r="G1053" s="31" t="s">
        <v>31</v>
      </c>
      <c r="H1053" s="31" t="s">
        <v>844</v>
      </c>
      <c r="I1053" s="31" t="s">
        <v>845</v>
      </c>
      <c r="J1053" s="31" t="s">
        <v>675</v>
      </c>
      <c r="K1053" s="31" t="s">
        <v>35</v>
      </c>
      <c r="L1053" s="31" t="s">
        <v>35</v>
      </c>
      <c r="M1053" s="31" t="s">
        <v>35</v>
      </c>
      <c r="N1053" s="31" t="s">
        <v>35</v>
      </c>
      <c r="O1053" s="32">
        <v>44737.499484791668</v>
      </c>
      <c r="P1053" s="32">
        <v>44737.499677361113</v>
      </c>
      <c r="Q1053" s="30">
        <v>1.9256944506196305E-4</v>
      </c>
      <c r="R1053" s="30">
        <v>1.1064745369367301E-2</v>
      </c>
      <c r="S1053" s="31">
        <v>0</v>
      </c>
      <c r="T1053" s="31" t="s">
        <v>124</v>
      </c>
      <c r="U1053" s="31" t="s">
        <v>125</v>
      </c>
      <c r="V1053" s="31" t="s">
        <v>38</v>
      </c>
      <c r="W1053" s="31" t="s">
        <v>35</v>
      </c>
      <c r="X1053" s="31" t="s">
        <v>35</v>
      </c>
      <c r="Y1053" s="31" t="s">
        <v>35</v>
      </c>
      <c r="Z1053" s="31" t="b">
        <v>0</v>
      </c>
      <c r="AA1053" s="31" t="s">
        <v>35</v>
      </c>
      <c r="AB1053" s="31">
        <v>4</v>
      </c>
      <c r="AC1053" s="31" t="s">
        <v>35</v>
      </c>
      <c r="AD1053" s="31" t="s">
        <v>35</v>
      </c>
      <c r="AE1053" s="31" t="s">
        <v>792</v>
      </c>
      <c r="AF1053" s="32">
        <v>44737.463888831022</v>
      </c>
      <c r="AG1053" s="55" t="s">
        <v>9408</v>
      </c>
      <c r="AH1053" s="53" t="b">
        <f t="shared" si="22"/>
        <v>0</v>
      </c>
      <c r="AI1053" s="62" t="s">
        <v>10845</v>
      </c>
      <c r="AJ1053" s="31"/>
      <c r="AK1053" s="31"/>
      <c r="AL1053" s="31"/>
      <c r="AM1053" s="31"/>
      <c r="AN1053" s="31"/>
    </row>
    <row r="1054" spans="1:40" ht="16" x14ac:dyDescent="0.2">
      <c r="A1054" s="2" t="s">
        <v>846</v>
      </c>
      <c r="B1054" s="2">
        <v>253</v>
      </c>
      <c r="C1054" s="2" t="b">
        <v>0</v>
      </c>
      <c r="D1054" s="2" t="b">
        <v>0</v>
      </c>
      <c r="E1054" s="2" t="b">
        <v>0</v>
      </c>
      <c r="F1054" s="2" t="b">
        <v>0</v>
      </c>
      <c r="G1054" s="2" t="s">
        <v>31</v>
      </c>
      <c r="H1054" s="2" t="s">
        <v>847</v>
      </c>
      <c r="I1054" s="2" t="s">
        <v>848</v>
      </c>
      <c r="J1054" s="2" t="s">
        <v>675</v>
      </c>
      <c r="K1054" s="2" t="s">
        <v>35</v>
      </c>
      <c r="L1054" s="2" t="s">
        <v>35</v>
      </c>
      <c r="M1054" s="2" t="s">
        <v>35</v>
      </c>
      <c r="N1054" s="2" t="s">
        <v>35</v>
      </c>
      <c r="O1054" s="11">
        <v>44737.500219641202</v>
      </c>
      <c r="P1054" s="11">
        <v>44737.500559976848</v>
      </c>
      <c r="Q1054" s="27">
        <v>3.4033564588753507E-4</v>
      </c>
      <c r="R1054" s="27">
        <v>8.8261573546333238E-4</v>
      </c>
      <c r="S1054" s="2">
        <v>0</v>
      </c>
      <c r="T1054" s="2" t="s">
        <v>124</v>
      </c>
      <c r="U1054" s="2" t="s">
        <v>125</v>
      </c>
      <c r="V1054" s="2" t="s">
        <v>38</v>
      </c>
      <c r="W1054" s="2" t="s">
        <v>35</v>
      </c>
      <c r="X1054" s="2" t="s">
        <v>35</v>
      </c>
      <c r="Y1054" s="2" t="s">
        <v>35</v>
      </c>
      <c r="Z1054" s="2" t="b">
        <v>0</v>
      </c>
      <c r="AA1054" s="2" t="s">
        <v>35</v>
      </c>
      <c r="AB1054" s="2">
        <v>4</v>
      </c>
      <c r="AC1054" s="2" t="s">
        <v>35</v>
      </c>
      <c r="AD1054" s="2" t="s">
        <v>35</v>
      </c>
      <c r="AE1054" s="2" t="s">
        <v>792</v>
      </c>
      <c r="AF1054" s="11">
        <v>44737.463888831022</v>
      </c>
      <c r="AG1054" s="53"/>
      <c r="AH1054" s="53" t="b">
        <f t="shared" si="22"/>
        <v>0</v>
      </c>
      <c r="AI1054" s="54" t="s">
        <v>10752</v>
      </c>
      <c r="AJ1054" s="2"/>
      <c r="AK1054" s="2"/>
      <c r="AL1054" s="2"/>
      <c r="AM1054" s="2"/>
      <c r="AN1054" s="2"/>
    </row>
    <row r="1055" spans="1:40" ht="16" x14ac:dyDescent="0.2">
      <c r="A1055" s="2" t="s">
        <v>856</v>
      </c>
      <c r="B1055" s="2">
        <v>256</v>
      </c>
      <c r="C1055" s="2" t="b">
        <v>0</v>
      </c>
      <c r="D1055" s="2" t="b">
        <v>0</v>
      </c>
      <c r="E1055" s="2" t="b">
        <v>0</v>
      </c>
      <c r="F1055" s="2" t="b">
        <v>0</v>
      </c>
      <c r="G1055" s="2" t="s">
        <v>31</v>
      </c>
      <c r="H1055" s="2" t="s">
        <v>857</v>
      </c>
      <c r="I1055" s="2" t="s">
        <v>858</v>
      </c>
      <c r="J1055" s="2" t="s">
        <v>675</v>
      </c>
      <c r="K1055" s="2" t="s">
        <v>35</v>
      </c>
      <c r="L1055" s="2" t="s">
        <v>35</v>
      </c>
      <c r="M1055" s="2" t="s">
        <v>35</v>
      </c>
      <c r="N1055" s="2" t="s">
        <v>35</v>
      </c>
      <c r="O1055" s="11">
        <v>44737.506963263892</v>
      </c>
      <c r="P1055" s="11">
        <v>44737.507414201391</v>
      </c>
      <c r="Q1055" s="27">
        <v>4.5093749940861017E-4</v>
      </c>
      <c r="R1055" s="27">
        <v>5.7228009245591238E-4</v>
      </c>
      <c r="S1055" s="2">
        <v>0</v>
      </c>
      <c r="T1055" s="2" t="s">
        <v>124</v>
      </c>
      <c r="U1055" s="2" t="s">
        <v>125</v>
      </c>
      <c r="V1055" s="2" t="s">
        <v>38</v>
      </c>
      <c r="W1055" s="2" t="s">
        <v>35</v>
      </c>
      <c r="X1055" s="2" t="s">
        <v>35</v>
      </c>
      <c r="Y1055" s="2" t="s">
        <v>35</v>
      </c>
      <c r="Z1055" s="2" t="b">
        <v>0</v>
      </c>
      <c r="AA1055" s="2" t="s">
        <v>35</v>
      </c>
      <c r="AB1055" s="2">
        <v>4</v>
      </c>
      <c r="AC1055" s="2" t="s">
        <v>35</v>
      </c>
      <c r="AD1055" s="2" t="s">
        <v>35</v>
      </c>
      <c r="AE1055" s="2" t="s">
        <v>792</v>
      </c>
      <c r="AF1055" s="11">
        <v>44737.463888831022</v>
      </c>
      <c r="AG1055" s="53"/>
      <c r="AH1055" s="53" t="b">
        <f t="shared" si="22"/>
        <v>0</v>
      </c>
      <c r="AI1055" s="54" t="s">
        <v>10753</v>
      </c>
      <c r="AJ1055" s="2"/>
      <c r="AK1055" s="2"/>
      <c r="AL1055" s="2"/>
      <c r="AM1055" s="2"/>
      <c r="AN1055" s="2"/>
    </row>
    <row r="1056" spans="1:40" ht="16" x14ac:dyDescent="0.2">
      <c r="A1056" s="2" t="s">
        <v>865</v>
      </c>
      <c r="B1056" s="2">
        <v>259</v>
      </c>
      <c r="C1056" s="2" t="b">
        <v>0</v>
      </c>
      <c r="D1056" s="2" t="b">
        <v>0</v>
      </c>
      <c r="E1056" s="2" t="b">
        <v>0</v>
      </c>
      <c r="F1056" s="2" t="b">
        <v>0</v>
      </c>
      <c r="G1056" s="2" t="s">
        <v>31</v>
      </c>
      <c r="H1056" s="2" t="s">
        <v>866</v>
      </c>
      <c r="I1056" s="2" t="s">
        <v>867</v>
      </c>
      <c r="J1056" s="2" t="s">
        <v>675</v>
      </c>
      <c r="K1056" s="2" t="s">
        <v>35</v>
      </c>
      <c r="L1056" s="2" t="s">
        <v>35</v>
      </c>
      <c r="M1056" s="2" t="s">
        <v>35</v>
      </c>
      <c r="N1056" s="2" t="s">
        <v>35</v>
      </c>
      <c r="O1056" s="11">
        <v>44737.512057881948</v>
      </c>
      <c r="P1056" s="11">
        <v>44737.512242881945</v>
      </c>
      <c r="Q1056" s="27">
        <v>1.8499999714549631E-4</v>
      </c>
      <c r="R1056" s="27">
        <v>4.9877315177582204E-4</v>
      </c>
      <c r="S1056" s="2">
        <v>0</v>
      </c>
      <c r="T1056" s="2" t="s">
        <v>124</v>
      </c>
      <c r="U1056" s="2" t="s">
        <v>125</v>
      </c>
      <c r="V1056" s="2" t="s">
        <v>38</v>
      </c>
      <c r="W1056" s="2" t="s">
        <v>35</v>
      </c>
      <c r="X1056" s="2" t="s">
        <v>35</v>
      </c>
      <c r="Y1056" s="2" t="s">
        <v>35</v>
      </c>
      <c r="Z1056" s="2" t="b">
        <v>0</v>
      </c>
      <c r="AA1056" s="2" t="s">
        <v>35</v>
      </c>
      <c r="AB1056" s="2">
        <v>4</v>
      </c>
      <c r="AC1056" s="2" t="s">
        <v>35</v>
      </c>
      <c r="AD1056" s="2" t="s">
        <v>35</v>
      </c>
      <c r="AE1056" s="2" t="s">
        <v>792</v>
      </c>
      <c r="AF1056" s="11">
        <v>44737.463888831022</v>
      </c>
      <c r="AG1056" s="53"/>
      <c r="AH1056" s="53" t="b">
        <f t="shared" si="22"/>
        <v>0</v>
      </c>
      <c r="AI1056" s="54" t="s">
        <v>10754</v>
      </c>
      <c r="AJ1056" s="2"/>
      <c r="AK1056" s="2"/>
      <c r="AL1056" s="2"/>
      <c r="AM1056" s="2"/>
      <c r="AN1056" s="2"/>
    </row>
    <row r="1057" spans="1:40" ht="16" x14ac:dyDescent="0.2">
      <c r="A1057" s="2" t="s">
        <v>871</v>
      </c>
      <c r="B1057" s="2">
        <v>261</v>
      </c>
      <c r="C1057" s="2" t="b">
        <v>0</v>
      </c>
      <c r="D1057" s="2" t="b">
        <v>0</v>
      </c>
      <c r="E1057" s="2" t="b">
        <v>0</v>
      </c>
      <c r="F1057" s="2" t="b">
        <v>0</v>
      </c>
      <c r="G1057" s="2" t="s">
        <v>31</v>
      </c>
      <c r="H1057" s="2" t="s">
        <v>872</v>
      </c>
      <c r="I1057" s="2" t="s">
        <v>873</v>
      </c>
      <c r="J1057" s="2" t="s">
        <v>675</v>
      </c>
      <c r="K1057" s="2" t="s">
        <v>35</v>
      </c>
      <c r="L1057" s="2" t="s">
        <v>35</v>
      </c>
      <c r="M1057" s="2" t="s">
        <v>35</v>
      </c>
      <c r="N1057" s="2" t="s">
        <v>35</v>
      </c>
      <c r="O1057" s="11">
        <v>44737.515036122684</v>
      </c>
      <c r="P1057" s="11">
        <v>44737.515243530092</v>
      </c>
      <c r="Q1057" s="27">
        <v>2.0740740728797391E-4</v>
      </c>
      <c r="R1057" s="27">
        <v>2.0461458334466442E-3</v>
      </c>
      <c r="S1057" s="2">
        <v>0</v>
      </c>
      <c r="T1057" s="2" t="s">
        <v>124</v>
      </c>
      <c r="U1057" s="2" t="s">
        <v>125</v>
      </c>
      <c r="V1057" s="2" t="s">
        <v>38</v>
      </c>
      <c r="W1057" s="2" t="s">
        <v>35</v>
      </c>
      <c r="X1057" s="2" t="s">
        <v>35</v>
      </c>
      <c r="Y1057" s="2" t="s">
        <v>35</v>
      </c>
      <c r="Z1057" s="2" t="b">
        <v>0</v>
      </c>
      <c r="AA1057" s="2" t="s">
        <v>35</v>
      </c>
      <c r="AB1057" s="2">
        <v>4</v>
      </c>
      <c r="AC1057" s="2" t="s">
        <v>35</v>
      </c>
      <c r="AD1057" s="2" t="s">
        <v>35</v>
      </c>
      <c r="AE1057" s="2" t="s">
        <v>792</v>
      </c>
      <c r="AF1057" s="11">
        <v>44737.463888831022</v>
      </c>
      <c r="AG1057" s="53"/>
      <c r="AH1057" s="53" t="b">
        <f t="shared" si="22"/>
        <v>0</v>
      </c>
      <c r="AI1057" s="54" t="s">
        <v>10755</v>
      </c>
      <c r="AJ1057" s="2"/>
      <c r="AK1057" s="2"/>
      <c r="AL1057" s="2"/>
      <c r="AM1057" s="2"/>
      <c r="AN1057" s="2"/>
    </row>
    <row r="1058" spans="1:40" ht="16" x14ac:dyDescent="0.2">
      <c r="A1058" s="2" t="s">
        <v>874</v>
      </c>
      <c r="B1058" s="2">
        <v>262</v>
      </c>
      <c r="C1058" s="2" t="b">
        <v>0</v>
      </c>
      <c r="D1058" s="2" t="b">
        <v>0</v>
      </c>
      <c r="E1058" s="2" t="b">
        <v>0</v>
      </c>
      <c r="F1058" s="2" t="b">
        <v>0</v>
      </c>
      <c r="G1058" s="2" t="s">
        <v>31</v>
      </c>
      <c r="H1058" s="2" t="s">
        <v>875</v>
      </c>
      <c r="I1058" s="2" t="s">
        <v>876</v>
      </c>
      <c r="J1058" s="2" t="s">
        <v>675</v>
      </c>
      <c r="K1058" s="2" t="s">
        <v>35</v>
      </c>
      <c r="L1058" s="2" t="s">
        <v>35</v>
      </c>
      <c r="M1058" s="2" t="s">
        <v>35</v>
      </c>
      <c r="N1058" s="2" t="s">
        <v>35</v>
      </c>
      <c r="O1058" s="11">
        <v>44737.515482152776</v>
      </c>
      <c r="P1058" s="11">
        <v>44737.515645925923</v>
      </c>
      <c r="Q1058" s="27">
        <v>1.6377314750570804E-4</v>
      </c>
      <c r="R1058" s="27">
        <v>4.0239583177026361E-4</v>
      </c>
      <c r="S1058" s="2">
        <v>0</v>
      </c>
      <c r="T1058" s="2" t="s">
        <v>124</v>
      </c>
      <c r="U1058" s="2" t="s">
        <v>125</v>
      </c>
      <c r="V1058" s="2" t="s">
        <v>38</v>
      </c>
      <c r="W1058" s="2" t="s">
        <v>35</v>
      </c>
      <c r="X1058" s="2" t="s">
        <v>35</v>
      </c>
      <c r="Y1058" s="2" t="s">
        <v>35</v>
      </c>
      <c r="Z1058" s="2" t="b">
        <v>0</v>
      </c>
      <c r="AA1058" s="2" t="s">
        <v>35</v>
      </c>
      <c r="AB1058" s="2">
        <v>4</v>
      </c>
      <c r="AC1058" s="2" t="s">
        <v>35</v>
      </c>
      <c r="AD1058" s="2" t="s">
        <v>35</v>
      </c>
      <c r="AE1058" s="2" t="s">
        <v>792</v>
      </c>
      <c r="AF1058" s="11">
        <v>44737.463888831022</v>
      </c>
      <c r="AG1058" s="53"/>
      <c r="AH1058" s="53" t="b">
        <f t="shared" si="22"/>
        <v>0</v>
      </c>
      <c r="AI1058" s="54" t="s">
        <v>9671</v>
      </c>
      <c r="AJ1058" s="2"/>
      <c r="AK1058" s="2"/>
      <c r="AL1058" s="2"/>
      <c r="AM1058" s="2"/>
      <c r="AN1058" s="2"/>
    </row>
    <row r="1059" spans="1:40" ht="16" x14ac:dyDescent="0.2">
      <c r="A1059" s="2" t="s">
        <v>881</v>
      </c>
      <c r="B1059" s="2">
        <v>264</v>
      </c>
      <c r="C1059" s="2" t="b">
        <v>0</v>
      </c>
      <c r="D1059" s="2" t="b">
        <v>0</v>
      </c>
      <c r="E1059" s="2" t="b">
        <v>0</v>
      </c>
      <c r="F1059" s="2" t="b">
        <v>0</v>
      </c>
      <c r="G1059" s="2" t="s">
        <v>31</v>
      </c>
      <c r="H1059" s="2" t="s">
        <v>882</v>
      </c>
      <c r="I1059" s="2" t="s">
        <v>883</v>
      </c>
      <c r="J1059" s="2" t="s">
        <v>675</v>
      </c>
      <c r="K1059" s="2" t="s">
        <v>35</v>
      </c>
      <c r="L1059" s="2" t="s">
        <v>35</v>
      </c>
      <c r="M1059" s="2" t="s">
        <v>35</v>
      </c>
      <c r="N1059" s="2" t="s">
        <v>35</v>
      </c>
      <c r="O1059" s="11">
        <v>44737.516726273148</v>
      </c>
      <c r="P1059" s="11">
        <v>44737.517545532406</v>
      </c>
      <c r="Q1059" s="27">
        <v>8.192592576961033E-4</v>
      </c>
      <c r="R1059" s="27">
        <v>1.0687731482903473E-3</v>
      </c>
      <c r="S1059" s="2">
        <v>0</v>
      </c>
      <c r="T1059" s="2" t="s">
        <v>124</v>
      </c>
      <c r="U1059" s="2" t="s">
        <v>125</v>
      </c>
      <c r="V1059" s="2" t="s">
        <v>38</v>
      </c>
      <c r="W1059" s="2" t="s">
        <v>35</v>
      </c>
      <c r="X1059" s="2" t="s">
        <v>35</v>
      </c>
      <c r="Y1059" s="2" t="s">
        <v>35</v>
      </c>
      <c r="Z1059" s="2" t="b">
        <v>0</v>
      </c>
      <c r="AA1059" s="2" t="s">
        <v>35</v>
      </c>
      <c r="AB1059" s="2">
        <v>4</v>
      </c>
      <c r="AC1059" s="2" t="s">
        <v>35</v>
      </c>
      <c r="AD1059" s="2" t="s">
        <v>35</v>
      </c>
      <c r="AE1059" s="2" t="s">
        <v>792</v>
      </c>
      <c r="AF1059" s="11">
        <v>44737.463888831022</v>
      </c>
      <c r="AG1059" s="53"/>
      <c r="AH1059" s="53" t="str">
        <f t="shared" si="22"/>
        <v>TRUE</v>
      </c>
      <c r="AI1059" s="54" t="s">
        <v>10756</v>
      </c>
      <c r="AJ1059" s="2"/>
      <c r="AK1059" s="2"/>
      <c r="AL1059" s="2"/>
      <c r="AM1059" s="2"/>
      <c r="AN1059" s="2"/>
    </row>
    <row r="1060" spans="1:40" ht="16" x14ac:dyDescent="0.2">
      <c r="A1060" s="2" t="s">
        <v>884</v>
      </c>
      <c r="B1060" s="2">
        <v>265</v>
      </c>
      <c r="C1060" s="2" t="b">
        <v>0</v>
      </c>
      <c r="D1060" s="2" t="b">
        <v>0</v>
      </c>
      <c r="E1060" s="2" t="b">
        <v>0</v>
      </c>
      <c r="F1060" s="2" t="b">
        <v>0</v>
      </c>
      <c r="G1060" s="2" t="s">
        <v>31</v>
      </c>
      <c r="H1060" s="2" t="s">
        <v>885</v>
      </c>
      <c r="I1060" s="2" t="s">
        <v>886</v>
      </c>
      <c r="J1060" s="2" t="s">
        <v>675</v>
      </c>
      <c r="K1060" s="2" t="s">
        <v>35</v>
      </c>
      <c r="L1060" s="2" t="s">
        <v>35</v>
      </c>
      <c r="M1060" s="2" t="s">
        <v>35</v>
      </c>
      <c r="N1060" s="2" t="s">
        <v>35</v>
      </c>
      <c r="O1060" s="11">
        <v>44737.51759019676</v>
      </c>
      <c r="P1060" s="11">
        <v>44737.517943553241</v>
      </c>
      <c r="Q1060" s="27">
        <v>3.533564813551493E-4</v>
      </c>
      <c r="R1060" s="27">
        <v>3.9802083483664319E-4</v>
      </c>
      <c r="S1060" s="2">
        <v>0</v>
      </c>
      <c r="T1060" s="2" t="s">
        <v>124</v>
      </c>
      <c r="U1060" s="2" t="s">
        <v>125</v>
      </c>
      <c r="V1060" s="2" t="s">
        <v>38</v>
      </c>
      <c r="W1060" s="2" t="s">
        <v>35</v>
      </c>
      <c r="X1060" s="2" t="s">
        <v>35</v>
      </c>
      <c r="Y1060" s="2" t="s">
        <v>35</v>
      </c>
      <c r="Z1060" s="2" t="b">
        <v>0</v>
      </c>
      <c r="AA1060" s="2" t="s">
        <v>35</v>
      </c>
      <c r="AB1060" s="2">
        <v>4</v>
      </c>
      <c r="AC1060" s="2" t="s">
        <v>35</v>
      </c>
      <c r="AD1060" s="2" t="s">
        <v>35</v>
      </c>
      <c r="AE1060" s="2" t="s">
        <v>792</v>
      </c>
      <c r="AF1060" s="11">
        <v>44737.463888831022</v>
      </c>
      <c r="AG1060" s="53"/>
      <c r="AH1060" s="53" t="b">
        <f t="shared" si="22"/>
        <v>0</v>
      </c>
      <c r="AI1060" s="54" t="s">
        <v>10757</v>
      </c>
      <c r="AJ1060" s="2"/>
      <c r="AK1060" s="2"/>
      <c r="AL1060" s="2"/>
      <c r="AM1060" s="2"/>
      <c r="AN1060" s="2"/>
    </row>
    <row r="1061" spans="1:40" ht="16" x14ac:dyDescent="0.2">
      <c r="A1061" s="2" t="s">
        <v>887</v>
      </c>
      <c r="B1061" s="2">
        <v>266</v>
      </c>
      <c r="C1061" s="2" t="b">
        <v>0</v>
      </c>
      <c r="D1061" s="2" t="b">
        <v>0</v>
      </c>
      <c r="E1061" s="2" t="b">
        <v>0</v>
      </c>
      <c r="F1061" s="2" t="b">
        <v>0</v>
      </c>
      <c r="G1061" s="2" t="s">
        <v>31</v>
      </c>
      <c r="H1061" s="2" t="s">
        <v>888</v>
      </c>
      <c r="I1061" s="2" t="s">
        <v>889</v>
      </c>
      <c r="J1061" s="2" t="s">
        <v>675</v>
      </c>
      <c r="K1061" s="2" t="s">
        <v>35</v>
      </c>
      <c r="L1061" s="2" t="s">
        <v>35</v>
      </c>
      <c r="M1061" s="2" t="s">
        <v>35</v>
      </c>
      <c r="N1061" s="2" t="s">
        <v>35</v>
      </c>
      <c r="O1061" s="11">
        <v>44737.519019074076</v>
      </c>
      <c r="P1061" s="11">
        <v>44737.519171539352</v>
      </c>
      <c r="Q1061" s="27">
        <v>1.5246527618728578E-4</v>
      </c>
      <c r="R1061" s="27">
        <v>1.2279861111892387E-3</v>
      </c>
      <c r="S1061" s="2">
        <v>0</v>
      </c>
      <c r="T1061" s="2" t="s">
        <v>124</v>
      </c>
      <c r="U1061" s="2" t="s">
        <v>125</v>
      </c>
      <c r="V1061" s="2" t="s">
        <v>38</v>
      </c>
      <c r="W1061" s="2" t="s">
        <v>35</v>
      </c>
      <c r="X1061" s="2" t="s">
        <v>35</v>
      </c>
      <c r="Y1061" s="2" t="s">
        <v>35</v>
      </c>
      <c r="Z1061" s="2" t="b">
        <v>0</v>
      </c>
      <c r="AA1061" s="2" t="s">
        <v>35</v>
      </c>
      <c r="AB1061" s="2">
        <v>4</v>
      </c>
      <c r="AC1061" s="2" t="s">
        <v>35</v>
      </c>
      <c r="AD1061" s="2" t="s">
        <v>35</v>
      </c>
      <c r="AE1061" s="2" t="s">
        <v>792</v>
      </c>
      <c r="AF1061" s="11">
        <v>44737.463888831022</v>
      </c>
      <c r="AG1061" s="53"/>
      <c r="AH1061" s="53" t="b">
        <f t="shared" si="22"/>
        <v>0</v>
      </c>
      <c r="AI1061" s="54" t="s">
        <v>10758</v>
      </c>
      <c r="AJ1061" s="2"/>
      <c r="AK1061" s="2"/>
      <c r="AL1061" s="2"/>
      <c r="AM1061" s="2"/>
      <c r="AN1061" s="2"/>
    </row>
    <row r="1062" spans="1:40" ht="16" x14ac:dyDescent="0.2">
      <c r="A1062" s="2" t="s">
        <v>912</v>
      </c>
      <c r="B1062" s="2">
        <v>274</v>
      </c>
      <c r="C1062" s="2" t="b">
        <v>0</v>
      </c>
      <c r="D1062" s="2" t="b">
        <v>0</v>
      </c>
      <c r="E1062" s="2" t="b">
        <v>0</v>
      </c>
      <c r="F1062" s="2" t="b">
        <v>0</v>
      </c>
      <c r="G1062" s="2" t="s">
        <v>31</v>
      </c>
      <c r="H1062" s="2" t="s">
        <v>913</v>
      </c>
      <c r="I1062" s="2" t="s">
        <v>914</v>
      </c>
      <c r="J1062" s="2" t="s">
        <v>675</v>
      </c>
      <c r="K1062" s="2" t="s">
        <v>35</v>
      </c>
      <c r="L1062" s="2" t="s">
        <v>35</v>
      </c>
      <c r="M1062" s="2" t="s">
        <v>35</v>
      </c>
      <c r="N1062" s="2" t="s">
        <v>35</v>
      </c>
      <c r="O1062" s="11">
        <v>44737.526667002312</v>
      </c>
      <c r="P1062" s="11">
        <v>44737.527705578701</v>
      </c>
      <c r="Q1062" s="27">
        <v>1.0385763889644295E-3</v>
      </c>
      <c r="R1062" s="27">
        <v>2.5054976795217954E-3</v>
      </c>
      <c r="S1062" s="2">
        <v>0</v>
      </c>
      <c r="T1062" s="2" t="s">
        <v>124</v>
      </c>
      <c r="U1062" s="2" t="s">
        <v>125</v>
      </c>
      <c r="V1062" s="2" t="s">
        <v>38</v>
      </c>
      <c r="W1062" s="2" t="s">
        <v>35</v>
      </c>
      <c r="X1062" s="2" t="s">
        <v>35</v>
      </c>
      <c r="Y1062" s="2" t="s">
        <v>35</v>
      </c>
      <c r="Z1062" s="2" t="b">
        <v>0</v>
      </c>
      <c r="AA1062" s="2" t="s">
        <v>35</v>
      </c>
      <c r="AB1062" s="2">
        <v>4</v>
      </c>
      <c r="AC1062" s="2" t="s">
        <v>35</v>
      </c>
      <c r="AD1062" s="2" t="s">
        <v>35</v>
      </c>
      <c r="AE1062" s="2" t="s">
        <v>792</v>
      </c>
      <c r="AF1062" s="11">
        <v>44737.463888831022</v>
      </c>
      <c r="AG1062" s="53"/>
      <c r="AH1062" s="53" t="str">
        <f t="shared" si="22"/>
        <v>TRUE</v>
      </c>
      <c r="AI1062" s="54" t="s">
        <v>9670</v>
      </c>
      <c r="AJ1062" s="2"/>
      <c r="AK1062" s="2"/>
      <c r="AL1062" s="2"/>
      <c r="AM1062" s="2"/>
      <c r="AN1062" s="2"/>
    </row>
    <row r="1063" spans="1:40" ht="16" x14ac:dyDescent="0.2">
      <c r="A1063" s="2" t="s">
        <v>915</v>
      </c>
      <c r="B1063" s="2">
        <v>275</v>
      </c>
      <c r="C1063" s="2" t="b">
        <v>0</v>
      </c>
      <c r="D1063" s="2" t="b">
        <v>0</v>
      </c>
      <c r="E1063" s="2" t="b">
        <v>0</v>
      </c>
      <c r="F1063" s="2" t="b">
        <v>0</v>
      </c>
      <c r="G1063" s="2" t="s">
        <v>31</v>
      </c>
      <c r="H1063" s="2" t="s">
        <v>916</v>
      </c>
      <c r="I1063" s="2" t="s">
        <v>917</v>
      </c>
      <c r="J1063" s="2" t="s">
        <v>675</v>
      </c>
      <c r="K1063" s="2" t="s">
        <v>35</v>
      </c>
      <c r="L1063" s="2" t="s">
        <v>35</v>
      </c>
      <c r="M1063" s="2" t="s">
        <v>35</v>
      </c>
      <c r="N1063" s="2" t="s">
        <v>35</v>
      </c>
      <c r="O1063" s="11">
        <v>44737.527775937502</v>
      </c>
      <c r="P1063" s="11">
        <v>44737.528022847226</v>
      </c>
      <c r="Q1063" s="27">
        <v>2.4690972350072116E-4</v>
      </c>
      <c r="R1063" s="27">
        <v>3.1726852466817945E-4</v>
      </c>
      <c r="S1063" s="2">
        <v>0</v>
      </c>
      <c r="T1063" s="2" t="s">
        <v>124</v>
      </c>
      <c r="U1063" s="2" t="s">
        <v>125</v>
      </c>
      <c r="V1063" s="2" t="s">
        <v>38</v>
      </c>
      <c r="W1063" s="2" t="s">
        <v>35</v>
      </c>
      <c r="X1063" s="2" t="s">
        <v>35</v>
      </c>
      <c r="Y1063" s="2" t="s">
        <v>35</v>
      </c>
      <c r="Z1063" s="2" t="b">
        <v>0</v>
      </c>
      <c r="AA1063" s="2" t="s">
        <v>35</v>
      </c>
      <c r="AB1063" s="2">
        <v>4</v>
      </c>
      <c r="AC1063" s="2" t="s">
        <v>35</v>
      </c>
      <c r="AD1063" s="2" t="s">
        <v>35</v>
      </c>
      <c r="AE1063" s="2" t="s">
        <v>792</v>
      </c>
      <c r="AF1063" s="11">
        <v>44737.463888831022</v>
      </c>
      <c r="AG1063" s="53"/>
      <c r="AH1063" s="53" t="b">
        <f t="shared" si="22"/>
        <v>0</v>
      </c>
      <c r="AI1063" s="54" t="s">
        <v>9669</v>
      </c>
      <c r="AJ1063" s="2"/>
      <c r="AK1063" s="2"/>
      <c r="AL1063" s="2"/>
      <c r="AM1063" s="2"/>
      <c r="AN1063" s="2"/>
    </row>
    <row r="1064" spans="1:40" ht="16" x14ac:dyDescent="0.2">
      <c r="A1064" s="2" t="s">
        <v>918</v>
      </c>
      <c r="B1064" s="2">
        <v>276</v>
      </c>
      <c r="C1064" s="2" t="b">
        <v>0</v>
      </c>
      <c r="D1064" s="2" t="b">
        <v>0</v>
      </c>
      <c r="E1064" s="2" t="b">
        <v>0</v>
      </c>
      <c r="F1064" s="2" t="b">
        <v>0</v>
      </c>
      <c r="G1064" s="2" t="s">
        <v>31</v>
      </c>
      <c r="H1064" s="2" t="s">
        <v>919</v>
      </c>
      <c r="I1064" s="2" t="s">
        <v>920</v>
      </c>
      <c r="J1064" s="2" t="s">
        <v>675</v>
      </c>
      <c r="K1064" s="2" t="s">
        <v>35</v>
      </c>
      <c r="L1064" s="2" t="s">
        <v>35</v>
      </c>
      <c r="M1064" s="2" t="s">
        <v>35</v>
      </c>
      <c r="N1064" s="2" t="s">
        <v>35</v>
      </c>
      <c r="O1064" s="11">
        <v>44737.529034224535</v>
      </c>
      <c r="P1064" s="11">
        <v>44737.529266377314</v>
      </c>
      <c r="Q1064" s="27">
        <v>2.3215277906274423E-4</v>
      </c>
      <c r="R1064" s="27">
        <v>1.2435300886863843E-3</v>
      </c>
      <c r="S1064" s="2">
        <v>0</v>
      </c>
      <c r="T1064" s="2" t="s">
        <v>124</v>
      </c>
      <c r="U1064" s="2" t="s">
        <v>125</v>
      </c>
      <c r="V1064" s="2" t="s">
        <v>38</v>
      </c>
      <c r="W1064" s="2" t="s">
        <v>35</v>
      </c>
      <c r="X1064" s="2" t="s">
        <v>35</v>
      </c>
      <c r="Y1064" s="2" t="s">
        <v>35</v>
      </c>
      <c r="Z1064" s="2" t="b">
        <v>0</v>
      </c>
      <c r="AA1064" s="2" t="s">
        <v>35</v>
      </c>
      <c r="AB1064" s="2">
        <v>4</v>
      </c>
      <c r="AC1064" s="2" t="s">
        <v>35</v>
      </c>
      <c r="AD1064" s="2" t="s">
        <v>35</v>
      </c>
      <c r="AE1064" s="2" t="s">
        <v>792</v>
      </c>
      <c r="AF1064" s="11">
        <v>44737.463888831022</v>
      </c>
      <c r="AG1064" s="53"/>
      <c r="AH1064" s="53" t="b">
        <f t="shared" si="22"/>
        <v>0</v>
      </c>
      <c r="AI1064" s="54" t="s">
        <v>9668</v>
      </c>
      <c r="AJ1064" s="2"/>
      <c r="AK1064" s="2"/>
      <c r="AL1064" s="2"/>
      <c r="AM1064" s="2"/>
      <c r="AN1064" s="2"/>
    </row>
    <row r="1065" spans="1:40" ht="16" x14ac:dyDescent="0.2">
      <c r="A1065" s="2" t="s">
        <v>937</v>
      </c>
      <c r="B1065" s="2">
        <v>282</v>
      </c>
      <c r="C1065" s="2" t="b">
        <v>0</v>
      </c>
      <c r="D1065" s="2" t="b">
        <v>0</v>
      </c>
      <c r="E1065" s="2" t="b">
        <v>0</v>
      </c>
      <c r="F1065" s="2" t="b">
        <v>0</v>
      </c>
      <c r="G1065" s="2" t="s">
        <v>31</v>
      </c>
      <c r="H1065" s="2" t="s">
        <v>938</v>
      </c>
      <c r="I1065" s="2" t="s">
        <v>939</v>
      </c>
      <c r="J1065" s="2" t="s">
        <v>940</v>
      </c>
      <c r="K1065" s="2" t="s">
        <v>35</v>
      </c>
      <c r="L1065" s="2" t="s">
        <v>35</v>
      </c>
      <c r="M1065" s="2" t="s">
        <v>35</v>
      </c>
      <c r="N1065" s="2" t="s">
        <v>35</v>
      </c>
      <c r="O1065" s="11">
        <v>44740.451746446757</v>
      </c>
      <c r="P1065" s="11">
        <v>44740.452059050927</v>
      </c>
      <c r="Q1065" s="27">
        <v>3.1260417017620057E-4</v>
      </c>
      <c r="R1065" s="27">
        <v>3.4479398163966835E-3</v>
      </c>
      <c r="S1065" s="2">
        <v>0</v>
      </c>
      <c r="T1065" s="2" t="s">
        <v>124</v>
      </c>
      <c r="U1065" s="2" t="s">
        <v>125</v>
      </c>
      <c r="V1065" s="2" t="s">
        <v>38</v>
      </c>
      <c r="W1065" s="2" t="s">
        <v>35</v>
      </c>
      <c r="X1065" s="2" t="s">
        <v>35</v>
      </c>
      <c r="Y1065" s="2" t="s">
        <v>35</v>
      </c>
      <c r="Z1065" s="2" t="b">
        <v>0</v>
      </c>
      <c r="AA1065" s="2" t="s">
        <v>35</v>
      </c>
      <c r="AB1065" s="2">
        <v>4</v>
      </c>
      <c r="AC1065" s="2" t="s">
        <v>35</v>
      </c>
      <c r="AD1065" s="2" t="s">
        <v>35</v>
      </c>
      <c r="AE1065" s="2" t="s">
        <v>941</v>
      </c>
      <c r="AF1065" s="11">
        <v>44740.448611111111</v>
      </c>
      <c r="AG1065" s="53"/>
      <c r="AH1065" s="53" t="b">
        <f t="shared" si="22"/>
        <v>0</v>
      </c>
      <c r="AI1065" s="54" t="s">
        <v>9667</v>
      </c>
      <c r="AJ1065" s="2"/>
      <c r="AK1065" s="2"/>
      <c r="AL1065" s="2"/>
      <c r="AM1065" s="2"/>
      <c r="AN1065" s="2"/>
    </row>
    <row r="1066" spans="1:40" ht="16" x14ac:dyDescent="0.2">
      <c r="A1066" s="2" t="s">
        <v>942</v>
      </c>
      <c r="B1066" s="2">
        <v>283</v>
      </c>
      <c r="C1066" s="2" t="b">
        <v>0</v>
      </c>
      <c r="D1066" s="2" t="b">
        <v>0</v>
      </c>
      <c r="E1066" s="2" t="b">
        <v>0</v>
      </c>
      <c r="F1066" s="2" t="b">
        <v>0</v>
      </c>
      <c r="G1066" s="2" t="s">
        <v>31</v>
      </c>
      <c r="H1066" s="2" t="s">
        <v>943</v>
      </c>
      <c r="I1066" s="2" t="s">
        <v>944</v>
      </c>
      <c r="J1066" s="2" t="s">
        <v>940</v>
      </c>
      <c r="K1066" s="2" t="s">
        <v>35</v>
      </c>
      <c r="L1066" s="2" t="s">
        <v>35</v>
      </c>
      <c r="M1066" s="2" t="s">
        <v>35</v>
      </c>
      <c r="N1066" s="2" t="s">
        <v>35</v>
      </c>
      <c r="O1066" s="11">
        <v>44740.452408518518</v>
      </c>
      <c r="P1066" s="11">
        <v>44740.452614745373</v>
      </c>
      <c r="Q1066" s="27">
        <v>2.0622685406124219E-4</v>
      </c>
      <c r="R1066" s="27">
        <v>5.5569444521097466E-4</v>
      </c>
      <c r="S1066" s="2">
        <v>0</v>
      </c>
      <c r="T1066" s="2" t="s">
        <v>124</v>
      </c>
      <c r="U1066" s="2" t="s">
        <v>125</v>
      </c>
      <c r="V1066" s="2" t="s">
        <v>38</v>
      </c>
      <c r="W1066" s="2" t="s">
        <v>35</v>
      </c>
      <c r="X1066" s="2" t="s">
        <v>35</v>
      </c>
      <c r="Y1066" s="2" t="s">
        <v>35</v>
      </c>
      <c r="Z1066" s="2" t="b">
        <v>0</v>
      </c>
      <c r="AA1066" s="2" t="s">
        <v>35</v>
      </c>
      <c r="AB1066" s="2">
        <v>4</v>
      </c>
      <c r="AC1066" s="2" t="s">
        <v>35</v>
      </c>
      <c r="AD1066" s="2" t="s">
        <v>35</v>
      </c>
      <c r="AE1066" s="2" t="s">
        <v>941</v>
      </c>
      <c r="AF1066" s="11">
        <v>44740.448611111111</v>
      </c>
      <c r="AG1066" s="53"/>
      <c r="AH1066" s="53" t="b">
        <f t="shared" si="22"/>
        <v>0</v>
      </c>
      <c r="AI1066" s="54" t="s">
        <v>10759</v>
      </c>
      <c r="AJ1066" s="2"/>
      <c r="AK1066" s="2"/>
      <c r="AL1066" s="2"/>
      <c r="AM1066" s="2"/>
      <c r="AN1066" s="2"/>
    </row>
    <row r="1067" spans="1:40" ht="16" x14ac:dyDescent="0.2">
      <c r="A1067" s="2" t="s">
        <v>945</v>
      </c>
      <c r="B1067" s="2">
        <v>284</v>
      </c>
      <c r="C1067" s="2" t="b">
        <v>0</v>
      </c>
      <c r="D1067" s="2" t="b">
        <v>0</v>
      </c>
      <c r="E1067" s="2" t="b">
        <v>0</v>
      </c>
      <c r="F1067" s="2" t="b">
        <v>0</v>
      </c>
      <c r="G1067" s="2" t="s">
        <v>31</v>
      </c>
      <c r="H1067" s="2" t="s">
        <v>946</v>
      </c>
      <c r="I1067" s="2" t="s">
        <v>947</v>
      </c>
      <c r="J1067" s="2" t="s">
        <v>940</v>
      </c>
      <c r="K1067" s="2" t="s">
        <v>35</v>
      </c>
      <c r="L1067" s="2" t="s">
        <v>35</v>
      </c>
      <c r="M1067" s="2" t="s">
        <v>35</v>
      </c>
      <c r="N1067" s="2" t="s">
        <v>35</v>
      </c>
      <c r="O1067" s="11">
        <v>44740.452987048608</v>
      </c>
      <c r="P1067" s="11">
        <v>44740.453242384261</v>
      </c>
      <c r="Q1067" s="27">
        <v>2.5533565349178389E-4</v>
      </c>
      <c r="R1067" s="27">
        <v>6.2763888854533434E-4</v>
      </c>
      <c r="S1067" s="2">
        <v>0</v>
      </c>
      <c r="T1067" s="2" t="s">
        <v>124</v>
      </c>
      <c r="U1067" s="2" t="s">
        <v>125</v>
      </c>
      <c r="V1067" s="2" t="s">
        <v>38</v>
      </c>
      <c r="W1067" s="2" t="s">
        <v>35</v>
      </c>
      <c r="X1067" s="2" t="s">
        <v>35</v>
      </c>
      <c r="Y1067" s="2" t="s">
        <v>35</v>
      </c>
      <c r="Z1067" s="2" t="b">
        <v>0</v>
      </c>
      <c r="AA1067" s="2" t="s">
        <v>35</v>
      </c>
      <c r="AB1067" s="2">
        <v>4</v>
      </c>
      <c r="AC1067" s="2" t="s">
        <v>35</v>
      </c>
      <c r="AD1067" s="2" t="s">
        <v>35</v>
      </c>
      <c r="AE1067" s="2" t="s">
        <v>941</v>
      </c>
      <c r="AF1067" s="11">
        <v>44740.448611053238</v>
      </c>
      <c r="AG1067" s="53"/>
      <c r="AH1067" s="53" t="b">
        <f t="shared" si="22"/>
        <v>0</v>
      </c>
      <c r="AI1067" s="54" t="s">
        <v>10760</v>
      </c>
      <c r="AJ1067" s="2"/>
      <c r="AK1067" s="2"/>
      <c r="AL1067" s="2"/>
      <c r="AM1067" s="2"/>
      <c r="AN1067" s="2"/>
    </row>
    <row r="1068" spans="1:40" ht="16" x14ac:dyDescent="0.2">
      <c r="A1068" s="2" t="s">
        <v>948</v>
      </c>
      <c r="B1068" s="2">
        <v>285</v>
      </c>
      <c r="C1068" s="2" t="b">
        <v>0</v>
      </c>
      <c r="D1068" s="2" t="b">
        <v>0</v>
      </c>
      <c r="E1068" s="2" t="b">
        <v>0</v>
      </c>
      <c r="F1068" s="2" t="b">
        <v>0</v>
      </c>
      <c r="G1068" s="2" t="s">
        <v>31</v>
      </c>
      <c r="H1068" s="2" t="s">
        <v>949</v>
      </c>
      <c r="I1068" s="2" t="s">
        <v>950</v>
      </c>
      <c r="J1068" s="2" t="s">
        <v>940</v>
      </c>
      <c r="K1068" s="2" t="s">
        <v>35</v>
      </c>
      <c r="L1068" s="2" t="s">
        <v>35</v>
      </c>
      <c r="M1068" s="2" t="s">
        <v>35</v>
      </c>
      <c r="N1068" s="2" t="s">
        <v>35</v>
      </c>
      <c r="O1068" s="11">
        <v>44740.454233101853</v>
      </c>
      <c r="P1068" s="11">
        <v>44740.454411990744</v>
      </c>
      <c r="Q1068" s="27">
        <v>1.7888889124151319E-4</v>
      </c>
      <c r="R1068" s="27">
        <v>1.1696064830175601E-3</v>
      </c>
      <c r="S1068" s="2">
        <v>0</v>
      </c>
      <c r="T1068" s="2" t="s">
        <v>124</v>
      </c>
      <c r="U1068" s="2" t="s">
        <v>125</v>
      </c>
      <c r="V1068" s="2" t="s">
        <v>38</v>
      </c>
      <c r="W1068" s="2" t="s">
        <v>35</v>
      </c>
      <c r="X1068" s="2" t="s">
        <v>35</v>
      </c>
      <c r="Y1068" s="2" t="s">
        <v>35</v>
      </c>
      <c r="Z1068" s="2" t="b">
        <v>0</v>
      </c>
      <c r="AA1068" s="2" t="s">
        <v>35</v>
      </c>
      <c r="AB1068" s="2">
        <v>4</v>
      </c>
      <c r="AC1068" s="2" t="s">
        <v>35</v>
      </c>
      <c r="AD1068" s="2" t="s">
        <v>35</v>
      </c>
      <c r="AE1068" s="2" t="s">
        <v>941</v>
      </c>
      <c r="AF1068" s="11">
        <v>44740.448611053238</v>
      </c>
      <c r="AG1068" s="53"/>
      <c r="AH1068" s="53" t="b">
        <f t="shared" si="22"/>
        <v>0</v>
      </c>
      <c r="AI1068" s="54" t="s">
        <v>10761</v>
      </c>
      <c r="AJ1068" s="2"/>
      <c r="AK1068" s="2"/>
      <c r="AL1068" s="2"/>
      <c r="AM1068" s="2"/>
      <c r="AN1068" s="2"/>
    </row>
    <row r="1069" spans="1:40" x14ac:dyDescent="0.2">
      <c r="A1069" s="68" t="s">
        <v>951</v>
      </c>
      <c r="B1069" s="68">
        <v>286</v>
      </c>
      <c r="C1069" s="68" t="b">
        <v>0</v>
      </c>
      <c r="D1069" s="68" t="b">
        <v>0</v>
      </c>
      <c r="E1069" s="68" t="b">
        <v>0</v>
      </c>
      <c r="F1069" s="68" t="b">
        <v>0</v>
      </c>
      <c r="G1069" s="68" t="s">
        <v>31</v>
      </c>
      <c r="H1069" s="68" t="s">
        <v>149</v>
      </c>
      <c r="I1069" s="68" t="s">
        <v>952</v>
      </c>
      <c r="J1069" s="68" t="s">
        <v>940</v>
      </c>
      <c r="K1069" s="68" t="s">
        <v>35</v>
      </c>
      <c r="L1069" s="68" t="s">
        <v>35</v>
      </c>
      <c r="M1069" s="68" t="s">
        <v>35</v>
      </c>
      <c r="N1069" s="68" t="s">
        <v>35</v>
      </c>
      <c r="O1069" s="69">
        <v>44740.454495787038</v>
      </c>
      <c r="P1069" s="69">
        <v>44740.454676655092</v>
      </c>
      <c r="Q1069" s="70">
        <v>1.8086805357597768E-4</v>
      </c>
      <c r="R1069" s="70">
        <v>2.6466434792382643E-4</v>
      </c>
      <c r="S1069" s="68">
        <v>0</v>
      </c>
      <c r="T1069" s="68" t="s">
        <v>124</v>
      </c>
      <c r="U1069" s="68" t="s">
        <v>125</v>
      </c>
      <c r="V1069" s="68" t="s">
        <v>38</v>
      </c>
      <c r="W1069" s="68" t="s">
        <v>35</v>
      </c>
      <c r="X1069" s="68" t="s">
        <v>35</v>
      </c>
      <c r="Y1069" s="68" t="s">
        <v>35</v>
      </c>
      <c r="Z1069" s="68" t="b">
        <v>0</v>
      </c>
      <c r="AA1069" s="68" t="s">
        <v>35</v>
      </c>
      <c r="AB1069" s="68">
        <v>4</v>
      </c>
      <c r="AC1069" s="68" t="s">
        <v>35</v>
      </c>
      <c r="AD1069" s="68" t="s">
        <v>35</v>
      </c>
      <c r="AE1069" s="68" t="s">
        <v>941</v>
      </c>
      <c r="AF1069" s="69">
        <v>44740.448611053238</v>
      </c>
      <c r="AG1069" s="71"/>
      <c r="AH1069" s="53" t="b">
        <f t="shared" si="22"/>
        <v>0</v>
      </c>
      <c r="AI1069" s="56"/>
      <c r="AJ1069" s="68"/>
      <c r="AK1069" s="68"/>
      <c r="AL1069" s="68"/>
      <c r="AM1069" s="68"/>
      <c r="AN1069" s="68"/>
    </row>
    <row r="1070" spans="1:40" ht="16" x14ac:dyDescent="0.2">
      <c r="A1070" s="2" t="s">
        <v>953</v>
      </c>
      <c r="B1070" s="2">
        <v>287</v>
      </c>
      <c r="C1070" s="2" t="b">
        <v>0</v>
      </c>
      <c r="D1070" s="2" t="b">
        <v>0</v>
      </c>
      <c r="E1070" s="2" t="b">
        <v>0</v>
      </c>
      <c r="F1070" s="2" t="b">
        <v>0</v>
      </c>
      <c r="G1070" s="2" t="s">
        <v>31</v>
      </c>
      <c r="H1070" s="2" t="s">
        <v>954</v>
      </c>
      <c r="I1070" s="2" t="s">
        <v>955</v>
      </c>
      <c r="J1070" s="2" t="s">
        <v>956</v>
      </c>
      <c r="K1070" s="2" t="s">
        <v>35</v>
      </c>
      <c r="L1070" s="2" t="s">
        <v>35</v>
      </c>
      <c r="M1070" s="2" t="s">
        <v>35</v>
      </c>
      <c r="N1070" s="2" t="s">
        <v>35</v>
      </c>
      <c r="O1070" s="11">
        <v>44740.455151423608</v>
      </c>
      <c r="P1070" s="11">
        <v>44740.455473506947</v>
      </c>
      <c r="Q1070" s="27">
        <v>3.2208333868766204E-4</v>
      </c>
      <c r="R1070" s="27">
        <v>7.9685185482958332E-4</v>
      </c>
      <c r="S1070" s="2">
        <v>0</v>
      </c>
      <c r="T1070" s="2" t="s">
        <v>124</v>
      </c>
      <c r="U1070" s="2" t="s">
        <v>125</v>
      </c>
      <c r="V1070" s="2" t="s">
        <v>38</v>
      </c>
      <c r="W1070" s="2" t="s">
        <v>35</v>
      </c>
      <c r="X1070" s="2" t="s">
        <v>35</v>
      </c>
      <c r="Y1070" s="2" t="s">
        <v>35</v>
      </c>
      <c r="Z1070" s="2" t="b">
        <v>0</v>
      </c>
      <c r="AA1070" s="2" t="s">
        <v>35</v>
      </c>
      <c r="AB1070" s="2">
        <v>4</v>
      </c>
      <c r="AC1070" s="2" t="s">
        <v>35</v>
      </c>
      <c r="AD1070" s="2" t="s">
        <v>35</v>
      </c>
      <c r="AE1070" s="2" t="s">
        <v>941</v>
      </c>
      <c r="AF1070" s="11">
        <v>44740.448611053238</v>
      </c>
      <c r="AG1070" s="53"/>
      <c r="AH1070" s="53" t="b">
        <f t="shared" si="22"/>
        <v>0</v>
      </c>
      <c r="AI1070" s="54" t="s">
        <v>10762</v>
      </c>
      <c r="AJ1070" s="2"/>
      <c r="AK1070" s="2"/>
      <c r="AL1070" s="2"/>
      <c r="AM1070" s="2"/>
      <c r="AN1070" s="2"/>
    </row>
    <row r="1071" spans="1:40" ht="16" x14ac:dyDescent="0.2">
      <c r="A1071" s="2" t="s">
        <v>957</v>
      </c>
      <c r="B1071" s="2">
        <v>288</v>
      </c>
      <c r="C1071" s="2" t="b">
        <v>0</v>
      </c>
      <c r="D1071" s="2" t="b">
        <v>0</v>
      </c>
      <c r="E1071" s="2" t="b">
        <v>0</v>
      </c>
      <c r="F1071" s="2" t="b">
        <v>0</v>
      </c>
      <c r="G1071" s="2" t="s">
        <v>31</v>
      </c>
      <c r="H1071" s="2" t="s">
        <v>958</v>
      </c>
      <c r="I1071" s="2" t="s">
        <v>959</v>
      </c>
      <c r="J1071" s="2" t="s">
        <v>940</v>
      </c>
      <c r="K1071" s="2" t="s">
        <v>35</v>
      </c>
      <c r="L1071" s="2" t="s">
        <v>35</v>
      </c>
      <c r="M1071" s="2" t="s">
        <v>35</v>
      </c>
      <c r="N1071" s="2" t="s">
        <v>35</v>
      </c>
      <c r="O1071" s="11">
        <v>44740.455632129633</v>
      </c>
      <c r="P1071" s="11">
        <v>44740.455861203707</v>
      </c>
      <c r="Q1071" s="27">
        <v>2.2907407401362434E-4</v>
      </c>
      <c r="R1071" s="27">
        <v>3.876967602991499E-4</v>
      </c>
      <c r="S1071" s="2">
        <v>0</v>
      </c>
      <c r="T1071" s="2" t="s">
        <v>124</v>
      </c>
      <c r="U1071" s="2" t="s">
        <v>125</v>
      </c>
      <c r="V1071" s="2" t="s">
        <v>38</v>
      </c>
      <c r="W1071" s="2" t="s">
        <v>35</v>
      </c>
      <c r="X1071" s="2" t="s">
        <v>35</v>
      </c>
      <c r="Y1071" s="2" t="s">
        <v>35</v>
      </c>
      <c r="Z1071" s="2" t="b">
        <v>0</v>
      </c>
      <c r="AA1071" s="2" t="s">
        <v>35</v>
      </c>
      <c r="AB1071" s="2">
        <v>4</v>
      </c>
      <c r="AC1071" s="2" t="s">
        <v>35</v>
      </c>
      <c r="AD1071" s="2" t="s">
        <v>35</v>
      </c>
      <c r="AE1071" s="2" t="s">
        <v>941</v>
      </c>
      <c r="AF1071" s="11">
        <v>44740.448611053238</v>
      </c>
      <c r="AG1071" s="53"/>
      <c r="AH1071" s="53" t="b">
        <f t="shared" ref="AH1071:AH1102" si="23">IF(Q1071&gt;TIME(0,0,45),"TRUE")</f>
        <v>0</v>
      </c>
      <c r="AI1071" s="54" t="s">
        <v>10763</v>
      </c>
      <c r="AJ1071" s="2"/>
      <c r="AK1071" s="2"/>
      <c r="AL1071" s="2"/>
      <c r="AM1071" s="2"/>
      <c r="AN1071" s="2"/>
    </row>
    <row r="1072" spans="1:40" ht="16" x14ac:dyDescent="0.2">
      <c r="A1072" s="2" t="s">
        <v>960</v>
      </c>
      <c r="B1072" s="2">
        <v>289</v>
      </c>
      <c r="C1072" s="2" t="b">
        <v>0</v>
      </c>
      <c r="D1072" s="2" t="b">
        <v>0</v>
      </c>
      <c r="E1072" s="2" t="b">
        <v>0</v>
      </c>
      <c r="F1072" s="2" t="b">
        <v>0</v>
      </c>
      <c r="G1072" s="2" t="s">
        <v>31</v>
      </c>
      <c r="H1072" s="2" t="s">
        <v>961</v>
      </c>
      <c r="I1072" s="2" t="s">
        <v>962</v>
      </c>
      <c r="J1072" s="2" t="s">
        <v>940</v>
      </c>
      <c r="K1072" s="2" t="s">
        <v>35</v>
      </c>
      <c r="L1072" s="2" t="s">
        <v>35</v>
      </c>
      <c r="M1072" s="2" t="s">
        <v>35</v>
      </c>
      <c r="N1072" s="2" t="s">
        <v>35</v>
      </c>
      <c r="O1072" s="11">
        <v>44740.456147719909</v>
      </c>
      <c r="P1072" s="11">
        <v>44740.456453472223</v>
      </c>
      <c r="Q1072" s="27">
        <v>3.0575231357943267E-4</v>
      </c>
      <c r="R1072" s="27">
        <v>5.9226851590210572E-4</v>
      </c>
      <c r="S1072" s="2">
        <v>0</v>
      </c>
      <c r="T1072" s="2" t="s">
        <v>124</v>
      </c>
      <c r="U1072" s="2" t="s">
        <v>125</v>
      </c>
      <c r="V1072" s="2" t="s">
        <v>38</v>
      </c>
      <c r="W1072" s="2" t="s">
        <v>35</v>
      </c>
      <c r="X1072" s="2" t="s">
        <v>35</v>
      </c>
      <c r="Y1072" s="2" t="s">
        <v>35</v>
      </c>
      <c r="Z1072" s="2" t="b">
        <v>0</v>
      </c>
      <c r="AA1072" s="2" t="s">
        <v>35</v>
      </c>
      <c r="AB1072" s="2">
        <v>4</v>
      </c>
      <c r="AC1072" s="2" t="s">
        <v>35</v>
      </c>
      <c r="AD1072" s="2" t="s">
        <v>35</v>
      </c>
      <c r="AE1072" s="2" t="s">
        <v>941</v>
      </c>
      <c r="AF1072" s="11">
        <v>44740.448611053238</v>
      </c>
      <c r="AG1072" s="53"/>
      <c r="AH1072" s="53" t="b">
        <f t="shared" si="23"/>
        <v>0</v>
      </c>
      <c r="AI1072" s="54" t="s">
        <v>9666</v>
      </c>
      <c r="AJ1072" s="2"/>
      <c r="AK1072" s="2"/>
      <c r="AL1072" s="2"/>
      <c r="AM1072" s="2"/>
      <c r="AN1072" s="2"/>
    </row>
    <row r="1073" spans="1:40" ht="16" x14ac:dyDescent="0.2">
      <c r="A1073" s="2" t="s">
        <v>966</v>
      </c>
      <c r="B1073" s="2">
        <v>291</v>
      </c>
      <c r="C1073" s="2" t="b">
        <v>0</v>
      </c>
      <c r="D1073" s="2" t="b">
        <v>0</v>
      </c>
      <c r="E1073" s="2" t="b">
        <v>0</v>
      </c>
      <c r="F1073" s="2" t="b">
        <v>0</v>
      </c>
      <c r="G1073" s="2" t="s">
        <v>31</v>
      </c>
      <c r="H1073" s="2" t="s">
        <v>967</v>
      </c>
      <c r="I1073" s="2" t="s">
        <v>968</v>
      </c>
      <c r="J1073" s="2" t="s">
        <v>969</v>
      </c>
      <c r="K1073" s="2" t="s">
        <v>35</v>
      </c>
      <c r="L1073" s="2" t="s">
        <v>35</v>
      </c>
      <c r="M1073" s="2" t="s">
        <v>35</v>
      </c>
      <c r="N1073" s="2" t="s">
        <v>35</v>
      </c>
      <c r="O1073" s="11">
        <v>44740.459686782408</v>
      </c>
      <c r="P1073" s="11">
        <v>44740.460035555552</v>
      </c>
      <c r="Q1073" s="27">
        <v>3.4877314465120435E-4</v>
      </c>
      <c r="R1073" s="27">
        <v>7.1782407030696049E-4</v>
      </c>
      <c r="S1073" s="2">
        <v>0</v>
      </c>
      <c r="T1073" s="2" t="s">
        <v>124</v>
      </c>
      <c r="U1073" s="2" t="s">
        <v>125</v>
      </c>
      <c r="V1073" s="2" t="s">
        <v>38</v>
      </c>
      <c r="W1073" s="2" t="s">
        <v>35</v>
      </c>
      <c r="X1073" s="2" t="s">
        <v>35</v>
      </c>
      <c r="Y1073" s="2" t="s">
        <v>35</v>
      </c>
      <c r="Z1073" s="2" t="b">
        <v>0</v>
      </c>
      <c r="AA1073" s="2" t="s">
        <v>35</v>
      </c>
      <c r="AB1073" s="2">
        <v>4</v>
      </c>
      <c r="AC1073" s="2" t="s">
        <v>35</v>
      </c>
      <c r="AD1073" s="2" t="s">
        <v>35</v>
      </c>
      <c r="AE1073" s="2" t="s">
        <v>941</v>
      </c>
      <c r="AF1073" s="11">
        <v>44740.448611053238</v>
      </c>
      <c r="AG1073" s="53"/>
      <c r="AH1073" s="53" t="b">
        <f t="shared" si="23"/>
        <v>0</v>
      </c>
      <c r="AI1073" s="54" t="s">
        <v>10764</v>
      </c>
      <c r="AJ1073" s="2"/>
      <c r="AK1073" s="2"/>
      <c r="AL1073" s="2"/>
      <c r="AM1073" s="2"/>
      <c r="AN1073" s="2"/>
    </row>
    <row r="1074" spans="1:40" ht="16" x14ac:dyDescent="0.2">
      <c r="A1074" s="2" t="s">
        <v>970</v>
      </c>
      <c r="B1074" s="2">
        <v>292</v>
      </c>
      <c r="C1074" s="2" t="b">
        <v>0</v>
      </c>
      <c r="D1074" s="2" t="b">
        <v>0</v>
      </c>
      <c r="E1074" s="2" t="b">
        <v>0</v>
      </c>
      <c r="F1074" s="2" t="b">
        <v>0</v>
      </c>
      <c r="G1074" s="2" t="s">
        <v>31</v>
      </c>
      <c r="H1074" s="2" t="s">
        <v>971</v>
      </c>
      <c r="I1074" s="2" t="s">
        <v>972</v>
      </c>
      <c r="J1074" s="2" t="s">
        <v>940</v>
      </c>
      <c r="K1074" s="2" t="s">
        <v>35</v>
      </c>
      <c r="L1074" s="2" t="s">
        <v>35</v>
      </c>
      <c r="M1074" s="2" t="s">
        <v>35</v>
      </c>
      <c r="N1074" s="2" t="s">
        <v>35</v>
      </c>
      <c r="O1074" s="11">
        <v>44740.460553888886</v>
      </c>
      <c r="P1074" s="11">
        <v>44740.460740671297</v>
      </c>
      <c r="Q1074" s="27">
        <v>1.8678241031011567E-4</v>
      </c>
      <c r="R1074" s="27">
        <v>7.0511574449483305E-4</v>
      </c>
      <c r="S1074" s="2">
        <v>0</v>
      </c>
      <c r="T1074" s="2" t="s">
        <v>124</v>
      </c>
      <c r="U1074" s="2" t="s">
        <v>125</v>
      </c>
      <c r="V1074" s="2" t="s">
        <v>38</v>
      </c>
      <c r="W1074" s="2" t="s">
        <v>35</v>
      </c>
      <c r="X1074" s="2" t="s">
        <v>35</v>
      </c>
      <c r="Y1074" s="2" t="s">
        <v>35</v>
      </c>
      <c r="Z1074" s="2" t="b">
        <v>0</v>
      </c>
      <c r="AA1074" s="2" t="s">
        <v>35</v>
      </c>
      <c r="AB1074" s="2">
        <v>4</v>
      </c>
      <c r="AC1074" s="2" t="s">
        <v>35</v>
      </c>
      <c r="AD1074" s="2" t="s">
        <v>35</v>
      </c>
      <c r="AE1074" s="2" t="s">
        <v>941</v>
      </c>
      <c r="AF1074" s="11">
        <v>44740.448611053238</v>
      </c>
      <c r="AG1074" s="53"/>
      <c r="AH1074" s="53" t="b">
        <f t="shared" si="23"/>
        <v>0</v>
      </c>
      <c r="AI1074" s="54" t="s">
        <v>9665</v>
      </c>
      <c r="AJ1074" s="2"/>
      <c r="AK1074" s="2"/>
      <c r="AL1074" s="2"/>
      <c r="AM1074" s="2"/>
      <c r="AN1074" s="2"/>
    </row>
    <row r="1075" spans="1:40" ht="16" x14ac:dyDescent="0.2">
      <c r="A1075" s="2" t="s">
        <v>989</v>
      </c>
      <c r="B1075" s="2">
        <v>298</v>
      </c>
      <c r="C1075" s="2" t="b">
        <v>0</v>
      </c>
      <c r="D1075" s="2" t="b">
        <v>0</v>
      </c>
      <c r="E1075" s="2" t="b">
        <v>0</v>
      </c>
      <c r="F1075" s="2" t="b">
        <v>0</v>
      </c>
      <c r="G1075" s="2" t="s">
        <v>31</v>
      </c>
      <c r="H1075" s="2" t="s">
        <v>990</v>
      </c>
      <c r="I1075" s="2" t="s">
        <v>991</v>
      </c>
      <c r="J1075" s="2" t="s">
        <v>940</v>
      </c>
      <c r="K1075" s="2" t="s">
        <v>35</v>
      </c>
      <c r="L1075" s="2" t="s">
        <v>35</v>
      </c>
      <c r="M1075" s="2" t="s">
        <v>35</v>
      </c>
      <c r="N1075" s="2" t="s">
        <v>35</v>
      </c>
      <c r="O1075" s="11">
        <v>44740.475649456021</v>
      </c>
      <c r="P1075" s="11">
        <v>44740.475853368058</v>
      </c>
      <c r="Q1075" s="27">
        <v>2.0391203725012019E-4</v>
      </c>
      <c r="R1075" s="27">
        <v>5.6800925813149661E-4</v>
      </c>
      <c r="S1075" s="2">
        <v>0</v>
      </c>
      <c r="T1075" s="2" t="s">
        <v>124</v>
      </c>
      <c r="U1075" s="2" t="s">
        <v>125</v>
      </c>
      <c r="V1075" s="2" t="s">
        <v>38</v>
      </c>
      <c r="W1075" s="2" t="s">
        <v>35</v>
      </c>
      <c r="X1075" s="2" t="s">
        <v>35</v>
      </c>
      <c r="Y1075" s="2" t="s">
        <v>35</v>
      </c>
      <c r="Z1075" s="2" t="b">
        <v>0</v>
      </c>
      <c r="AA1075" s="2" t="s">
        <v>35</v>
      </c>
      <c r="AB1075" s="2">
        <v>4</v>
      </c>
      <c r="AC1075" s="2" t="s">
        <v>35</v>
      </c>
      <c r="AD1075" s="2" t="s">
        <v>35</v>
      </c>
      <c r="AE1075" s="2" t="s">
        <v>941</v>
      </c>
      <c r="AF1075" s="11">
        <v>44740.448611053238</v>
      </c>
      <c r="AG1075" s="53"/>
      <c r="AH1075" s="53" t="b">
        <f t="shared" si="23"/>
        <v>0</v>
      </c>
      <c r="AI1075" s="54" t="s">
        <v>9664</v>
      </c>
      <c r="AJ1075" s="2"/>
      <c r="AK1075" s="2"/>
      <c r="AL1075" s="2"/>
      <c r="AM1075" s="2"/>
      <c r="AN1075" s="2"/>
    </row>
    <row r="1076" spans="1:40" ht="16" x14ac:dyDescent="0.2">
      <c r="A1076" s="2" t="s">
        <v>1085</v>
      </c>
      <c r="B1076" s="2">
        <v>328</v>
      </c>
      <c r="C1076" s="2" t="b">
        <v>0</v>
      </c>
      <c r="D1076" s="2" t="b">
        <v>0</v>
      </c>
      <c r="E1076" s="2" t="b">
        <v>0</v>
      </c>
      <c r="F1076" s="2" t="b">
        <v>0</v>
      </c>
      <c r="G1076" s="2" t="s">
        <v>31</v>
      </c>
      <c r="H1076" s="2" t="s">
        <v>1086</v>
      </c>
      <c r="I1076" s="2" t="s">
        <v>1087</v>
      </c>
      <c r="J1076" s="2" t="s">
        <v>940</v>
      </c>
      <c r="K1076" s="2" t="s">
        <v>35</v>
      </c>
      <c r="L1076" s="2" t="s">
        <v>35</v>
      </c>
      <c r="M1076" s="2" t="s">
        <v>35</v>
      </c>
      <c r="N1076" s="2" t="s">
        <v>35</v>
      </c>
      <c r="O1076" s="11">
        <v>44740.528336898147</v>
      </c>
      <c r="P1076" s="11">
        <v>44740.528766030089</v>
      </c>
      <c r="Q1076" s="27">
        <v>4.2913194192806259E-4</v>
      </c>
      <c r="R1076" s="27">
        <v>2.0055439745192416E-3</v>
      </c>
      <c r="S1076" s="2">
        <v>0</v>
      </c>
      <c r="T1076" s="2" t="s">
        <v>124</v>
      </c>
      <c r="U1076" s="2" t="s">
        <v>125</v>
      </c>
      <c r="V1076" s="2" t="s">
        <v>38</v>
      </c>
      <c r="W1076" s="2" t="s">
        <v>35</v>
      </c>
      <c r="X1076" s="2" t="s">
        <v>35</v>
      </c>
      <c r="Y1076" s="2" t="s">
        <v>35</v>
      </c>
      <c r="Z1076" s="2" t="b">
        <v>0</v>
      </c>
      <c r="AA1076" s="2" t="s">
        <v>35</v>
      </c>
      <c r="AB1076" s="2">
        <v>4</v>
      </c>
      <c r="AC1076" s="2" t="s">
        <v>35</v>
      </c>
      <c r="AD1076" s="2" t="s">
        <v>35</v>
      </c>
      <c r="AE1076" s="2" t="s">
        <v>941</v>
      </c>
      <c r="AF1076" s="11">
        <v>44740.448611053238</v>
      </c>
      <c r="AG1076" s="53"/>
      <c r="AH1076" s="53" t="b">
        <f t="shared" si="23"/>
        <v>0</v>
      </c>
      <c r="AI1076" s="54" t="s">
        <v>10765</v>
      </c>
      <c r="AJ1076" s="2"/>
      <c r="AK1076" s="2"/>
      <c r="AL1076" s="2"/>
      <c r="AM1076" s="2"/>
      <c r="AN1076" s="2"/>
    </row>
    <row r="1077" spans="1:40" ht="16" x14ac:dyDescent="0.2">
      <c r="A1077" s="2" t="s">
        <v>1114</v>
      </c>
      <c r="B1077" s="2">
        <v>336</v>
      </c>
      <c r="C1077" s="2" t="b">
        <v>0</v>
      </c>
      <c r="D1077" s="2" t="b">
        <v>0</v>
      </c>
      <c r="E1077" s="2" t="b">
        <v>0</v>
      </c>
      <c r="F1077" s="2" t="b">
        <v>0</v>
      </c>
      <c r="G1077" s="2" t="s">
        <v>31</v>
      </c>
      <c r="H1077" s="2" t="s">
        <v>1115</v>
      </c>
      <c r="I1077" s="2" t="s">
        <v>1116</v>
      </c>
      <c r="J1077" s="2" t="s">
        <v>675</v>
      </c>
      <c r="K1077" s="2" t="s">
        <v>35</v>
      </c>
      <c r="L1077" s="2" t="s">
        <v>35</v>
      </c>
      <c r="M1077" s="2" t="s">
        <v>35</v>
      </c>
      <c r="N1077" s="2" t="s">
        <v>35</v>
      </c>
      <c r="O1077" s="11">
        <v>44743.592847418979</v>
      </c>
      <c r="P1077" s="11">
        <v>44743.593009583332</v>
      </c>
      <c r="Q1077" s="27">
        <v>1.6216435324167833E-4</v>
      </c>
      <c r="R1077" s="27">
        <v>2.0373611114337109E-3</v>
      </c>
      <c r="S1077" s="2">
        <v>0</v>
      </c>
      <c r="T1077" s="2" t="s">
        <v>124</v>
      </c>
      <c r="U1077" s="2" t="s">
        <v>125</v>
      </c>
      <c r="V1077" s="2" t="s">
        <v>38</v>
      </c>
      <c r="W1077" s="2" t="s">
        <v>35</v>
      </c>
      <c r="X1077" s="2" t="s">
        <v>35</v>
      </c>
      <c r="Y1077" s="2" t="s">
        <v>35</v>
      </c>
      <c r="Z1077" s="2" t="b">
        <v>0</v>
      </c>
      <c r="AA1077" s="2" t="s">
        <v>35</v>
      </c>
      <c r="AB1077" s="2">
        <v>4</v>
      </c>
      <c r="AC1077" s="2" t="s">
        <v>35</v>
      </c>
      <c r="AD1077" s="2" t="s">
        <v>35</v>
      </c>
      <c r="AE1077" s="2" t="s">
        <v>1117</v>
      </c>
      <c r="AF1077" s="11">
        <v>44743.59097222222</v>
      </c>
      <c r="AG1077" s="53"/>
      <c r="AH1077" s="53" t="b">
        <f t="shared" si="23"/>
        <v>0</v>
      </c>
      <c r="AI1077" s="54" t="s">
        <v>10766</v>
      </c>
      <c r="AJ1077" s="2"/>
      <c r="AK1077" s="2"/>
      <c r="AL1077" s="2"/>
      <c r="AM1077" s="2"/>
      <c r="AN1077" s="2"/>
    </row>
    <row r="1078" spans="1:40" ht="16" x14ac:dyDescent="0.2">
      <c r="A1078" s="2" t="s">
        <v>1383</v>
      </c>
      <c r="B1078" s="2">
        <v>419</v>
      </c>
      <c r="C1078" s="2" t="b">
        <v>0</v>
      </c>
      <c r="D1078" s="2" t="b">
        <v>0</v>
      </c>
      <c r="E1078" s="2" t="b">
        <v>0</v>
      </c>
      <c r="F1078" s="2" t="b">
        <v>0</v>
      </c>
      <c r="G1078" s="2" t="s">
        <v>31</v>
      </c>
      <c r="H1078" s="2" t="s">
        <v>1384</v>
      </c>
      <c r="I1078" s="2" t="s">
        <v>1385</v>
      </c>
      <c r="J1078" s="2" t="s">
        <v>675</v>
      </c>
      <c r="K1078" s="2" t="s">
        <v>35</v>
      </c>
      <c r="L1078" s="2" t="s">
        <v>35</v>
      </c>
      <c r="M1078" s="2" t="s">
        <v>35</v>
      </c>
      <c r="N1078" s="2" t="s">
        <v>35</v>
      </c>
      <c r="O1078" s="11">
        <v>44743.724761979167</v>
      </c>
      <c r="P1078" s="11">
        <v>44743.72495614583</v>
      </c>
      <c r="Q1078" s="27">
        <v>1.941666632774286E-4</v>
      </c>
      <c r="R1078" s="27">
        <v>2.4948958307504654E-3</v>
      </c>
      <c r="S1078" s="2">
        <v>0</v>
      </c>
      <c r="T1078" s="2" t="s">
        <v>124</v>
      </c>
      <c r="U1078" s="2" t="s">
        <v>125</v>
      </c>
      <c r="V1078" s="2" t="s">
        <v>38</v>
      </c>
      <c r="W1078" s="2" t="s">
        <v>35</v>
      </c>
      <c r="X1078" s="2" t="s">
        <v>35</v>
      </c>
      <c r="Y1078" s="2" t="s">
        <v>35</v>
      </c>
      <c r="Z1078" s="2" t="b">
        <v>0</v>
      </c>
      <c r="AA1078" s="2" t="s">
        <v>35</v>
      </c>
      <c r="AB1078" s="2">
        <v>4</v>
      </c>
      <c r="AC1078" s="2" t="s">
        <v>35</v>
      </c>
      <c r="AD1078" s="2" t="s">
        <v>35</v>
      </c>
      <c r="AE1078" s="2" t="s">
        <v>1117</v>
      </c>
      <c r="AF1078" s="11">
        <v>44743.590972164355</v>
      </c>
      <c r="AG1078" s="53"/>
      <c r="AH1078" s="53" t="b">
        <f t="shared" si="23"/>
        <v>0</v>
      </c>
      <c r="AI1078" s="54" t="s">
        <v>10767</v>
      </c>
      <c r="AJ1078" s="2"/>
      <c r="AK1078" s="2"/>
      <c r="AL1078" s="2"/>
      <c r="AM1078" s="2"/>
      <c r="AN1078" s="2"/>
    </row>
    <row r="1079" spans="1:40" ht="16" x14ac:dyDescent="0.2">
      <c r="A1079" s="2" t="s">
        <v>1388</v>
      </c>
      <c r="B1079" s="2">
        <v>421</v>
      </c>
      <c r="C1079" s="2" t="b">
        <v>0</v>
      </c>
      <c r="D1079" s="2" t="b">
        <v>0</v>
      </c>
      <c r="E1079" s="2" t="b">
        <v>0</v>
      </c>
      <c r="F1079" s="2" t="b">
        <v>0</v>
      </c>
      <c r="G1079" s="2" t="s">
        <v>31</v>
      </c>
      <c r="H1079" s="2" t="s">
        <v>1389</v>
      </c>
      <c r="I1079" s="2" t="s">
        <v>1390</v>
      </c>
      <c r="J1079" s="2" t="s">
        <v>675</v>
      </c>
      <c r="K1079" s="2" t="s">
        <v>35</v>
      </c>
      <c r="L1079" s="2" t="s">
        <v>35</v>
      </c>
      <c r="M1079" s="2" t="s">
        <v>35</v>
      </c>
      <c r="N1079" s="2" t="s">
        <v>35</v>
      </c>
      <c r="O1079" s="11">
        <v>44743.726075694445</v>
      </c>
      <c r="P1079" s="11">
        <v>44743.726250462962</v>
      </c>
      <c r="Q1079" s="27">
        <v>1.7476851644460112E-4</v>
      </c>
      <c r="R1079" s="27">
        <v>5.9942129155388102E-4</v>
      </c>
      <c r="S1079" s="2">
        <v>0</v>
      </c>
      <c r="T1079" s="2" t="s">
        <v>124</v>
      </c>
      <c r="U1079" s="2" t="s">
        <v>125</v>
      </c>
      <c r="V1079" s="2" t="s">
        <v>38</v>
      </c>
      <c r="W1079" s="2" t="s">
        <v>35</v>
      </c>
      <c r="X1079" s="2" t="s">
        <v>35</v>
      </c>
      <c r="Y1079" s="2" t="s">
        <v>35</v>
      </c>
      <c r="Z1079" s="2" t="b">
        <v>0</v>
      </c>
      <c r="AA1079" s="2" t="s">
        <v>35</v>
      </c>
      <c r="AB1079" s="2">
        <v>4</v>
      </c>
      <c r="AC1079" s="2" t="s">
        <v>35</v>
      </c>
      <c r="AD1079" s="2" t="s">
        <v>35</v>
      </c>
      <c r="AE1079" s="2" t="s">
        <v>1117</v>
      </c>
      <c r="AF1079" s="11">
        <v>44743.590972164355</v>
      </c>
      <c r="AG1079" s="53"/>
      <c r="AH1079" s="53" t="b">
        <f t="shared" si="23"/>
        <v>0</v>
      </c>
      <c r="AI1079" s="54" t="s">
        <v>10768</v>
      </c>
      <c r="AJ1079" s="2"/>
      <c r="AK1079" s="2"/>
      <c r="AL1079" s="2"/>
      <c r="AM1079" s="2"/>
      <c r="AN1079" s="2"/>
    </row>
    <row r="1080" spans="1:40" ht="16" x14ac:dyDescent="0.2">
      <c r="A1080" s="2" t="s">
        <v>1461</v>
      </c>
      <c r="B1080" s="2">
        <v>444</v>
      </c>
      <c r="C1080" s="2" t="b">
        <v>0</v>
      </c>
      <c r="D1080" s="2" t="b">
        <v>0</v>
      </c>
      <c r="E1080" s="2" t="b">
        <v>0</v>
      </c>
      <c r="F1080" s="2" t="b">
        <v>0</v>
      </c>
      <c r="G1080" s="2" t="s">
        <v>31</v>
      </c>
      <c r="H1080" s="2" t="s">
        <v>1462</v>
      </c>
      <c r="I1080" s="2" t="s">
        <v>1463</v>
      </c>
      <c r="J1080" s="2" t="s">
        <v>675</v>
      </c>
      <c r="K1080" s="2" t="s">
        <v>35</v>
      </c>
      <c r="L1080" s="2" t="s">
        <v>35</v>
      </c>
      <c r="M1080" s="2" t="s">
        <v>35</v>
      </c>
      <c r="N1080" s="2" t="s">
        <v>35</v>
      </c>
      <c r="O1080" s="11">
        <v>44747.42669857639</v>
      </c>
      <c r="P1080" s="11">
        <v>44747.427022569442</v>
      </c>
      <c r="Q1080" s="27">
        <v>3.2399305200669914E-4</v>
      </c>
      <c r="R1080" s="27">
        <v>1.3281249994179234E-3</v>
      </c>
      <c r="S1080" s="2">
        <v>0</v>
      </c>
      <c r="T1080" s="2" t="s">
        <v>124</v>
      </c>
      <c r="U1080" s="2" t="s">
        <v>125</v>
      </c>
      <c r="V1080" s="2" t="s">
        <v>38</v>
      </c>
      <c r="W1080" s="2" t="s">
        <v>35</v>
      </c>
      <c r="X1080" s="2" t="s">
        <v>35</v>
      </c>
      <c r="Y1080" s="2" t="s">
        <v>35</v>
      </c>
      <c r="Z1080" s="2" t="b">
        <v>0</v>
      </c>
      <c r="AA1080" s="2" t="s">
        <v>35</v>
      </c>
      <c r="AB1080" s="2">
        <v>4</v>
      </c>
      <c r="AC1080" s="2" t="s">
        <v>35</v>
      </c>
      <c r="AD1080" s="2" t="s">
        <v>35</v>
      </c>
      <c r="AE1080" s="2" t="s">
        <v>1464</v>
      </c>
      <c r="AF1080" s="11">
        <v>44747.425694444442</v>
      </c>
      <c r="AG1080" s="53" t="s">
        <v>9408</v>
      </c>
      <c r="AH1080" s="53" t="b">
        <f t="shared" si="23"/>
        <v>0</v>
      </c>
      <c r="AI1080" s="54" t="s">
        <v>9663</v>
      </c>
      <c r="AJ1080" s="2"/>
      <c r="AK1080" s="2"/>
      <c r="AL1080" s="2"/>
      <c r="AM1080" s="2"/>
      <c r="AN1080" s="2"/>
    </row>
    <row r="1081" spans="1:40" ht="16" x14ac:dyDescent="0.2">
      <c r="A1081" s="2" t="s">
        <v>1476</v>
      </c>
      <c r="B1081" s="2">
        <v>448</v>
      </c>
      <c r="C1081" s="2" t="b">
        <v>0</v>
      </c>
      <c r="D1081" s="2" t="b">
        <v>0</v>
      </c>
      <c r="E1081" s="2" t="b">
        <v>0</v>
      </c>
      <c r="F1081" s="2" t="b">
        <v>0</v>
      </c>
      <c r="G1081" s="2" t="s">
        <v>31</v>
      </c>
      <c r="H1081" s="2" t="s">
        <v>1477</v>
      </c>
      <c r="I1081" s="2" t="s">
        <v>1478</v>
      </c>
      <c r="J1081" s="2" t="s">
        <v>675</v>
      </c>
      <c r="K1081" s="2" t="s">
        <v>35</v>
      </c>
      <c r="L1081" s="2" t="s">
        <v>35</v>
      </c>
      <c r="M1081" s="2" t="s">
        <v>35</v>
      </c>
      <c r="N1081" s="2" t="s">
        <v>35</v>
      </c>
      <c r="O1081" s="11">
        <v>44747.42943452546</v>
      </c>
      <c r="P1081" s="11">
        <v>44747.429648750003</v>
      </c>
      <c r="Q1081" s="27">
        <v>2.1422454301500693E-4</v>
      </c>
      <c r="R1081" s="27">
        <v>4.7329861263278872E-4</v>
      </c>
      <c r="S1081" s="2">
        <v>0</v>
      </c>
      <c r="T1081" s="2" t="s">
        <v>124</v>
      </c>
      <c r="U1081" s="2" t="s">
        <v>125</v>
      </c>
      <c r="V1081" s="2" t="s">
        <v>38</v>
      </c>
      <c r="W1081" s="2" t="s">
        <v>35</v>
      </c>
      <c r="X1081" s="2" t="s">
        <v>35</v>
      </c>
      <c r="Y1081" s="2" t="s">
        <v>35</v>
      </c>
      <c r="Z1081" s="2" t="b">
        <v>0</v>
      </c>
      <c r="AA1081" s="2" t="s">
        <v>35</v>
      </c>
      <c r="AB1081" s="2">
        <v>4</v>
      </c>
      <c r="AC1081" s="2" t="s">
        <v>35</v>
      </c>
      <c r="AD1081" s="2" t="s">
        <v>35</v>
      </c>
      <c r="AE1081" s="2" t="s">
        <v>1464</v>
      </c>
      <c r="AF1081" s="11">
        <v>44747.425694386577</v>
      </c>
      <c r="AG1081" s="53"/>
      <c r="AH1081" s="53" t="b">
        <f t="shared" si="23"/>
        <v>0</v>
      </c>
      <c r="AI1081" s="54" t="s">
        <v>10769</v>
      </c>
      <c r="AJ1081" s="2"/>
      <c r="AK1081" s="2"/>
      <c r="AL1081" s="2"/>
      <c r="AM1081" s="2"/>
      <c r="AN1081" s="2"/>
    </row>
    <row r="1082" spans="1:40" ht="16" x14ac:dyDescent="0.2">
      <c r="A1082" s="2" t="s">
        <v>1485</v>
      </c>
      <c r="B1082" s="2">
        <v>451</v>
      </c>
      <c r="C1082" s="2" t="b">
        <v>0</v>
      </c>
      <c r="D1082" s="2" t="b">
        <v>0</v>
      </c>
      <c r="E1082" s="2" t="b">
        <v>0</v>
      </c>
      <c r="F1082" s="2" t="b">
        <v>0</v>
      </c>
      <c r="G1082" s="2" t="s">
        <v>31</v>
      </c>
      <c r="H1082" s="2" t="s">
        <v>1486</v>
      </c>
      <c r="I1082" s="2" t="s">
        <v>1487</v>
      </c>
      <c r="J1082" s="2" t="s">
        <v>675</v>
      </c>
      <c r="K1082" s="2" t="s">
        <v>35</v>
      </c>
      <c r="L1082" s="2" t="s">
        <v>35</v>
      </c>
      <c r="M1082" s="2" t="s">
        <v>35</v>
      </c>
      <c r="N1082" s="2" t="s">
        <v>35</v>
      </c>
      <c r="O1082" s="11">
        <v>44747.433530555558</v>
      </c>
      <c r="P1082" s="11">
        <v>44747.433751504628</v>
      </c>
      <c r="Q1082" s="27">
        <v>2.2094907035352662E-4</v>
      </c>
      <c r="R1082" s="27">
        <v>2.8824305554735474E-3</v>
      </c>
      <c r="S1082" s="2">
        <v>0</v>
      </c>
      <c r="T1082" s="2" t="s">
        <v>124</v>
      </c>
      <c r="U1082" s="2" t="s">
        <v>125</v>
      </c>
      <c r="V1082" s="2" t="s">
        <v>38</v>
      </c>
      <c r="W1082" s="2" t="s">
        <v>35</v>
      </c>
      <c r="X1082" s="2" t="s">
        <v>35</v>
      </c>
      <c r="Y1082" s="2" t="s">
        <v>35</v>
      </c>
      <c r="Z1082" s="2" t="b">
        <v>0</v>
      </c>
      <c r="AA1082" s="2" t="s">
        <v>35</v>
      </c>
      <c r="AB1082" s="2">
        <v>4</v>
      </c>
      <c r="AC1082" s="2" t="s">
        <v>35</v>
      </c>
      <c r="AD1082" s="2" t="s">
        <v>35</v>
      </c>
      <c r="AE1082" s="2" t="s">
        <v>1464</v>
      </c>
      <c r="AF1082" s="11">
        <v>44747.425694386577</v>
      </c>
      <c r="AG1082" s="53"/>
      <c r="AH1082" s="53" t="b">
        <f t="shared" si="23"/>
        <v>0</v>
      </c>
      <c r="AI1082" s="54" t="s">
        <v>10770</v>
      </c>
      <c r="AJ1082" s="2"/>
      <c r="AK1082" s="2"/>
      <c r="AL1082" s="2"/>
      <c r="AM1082" s="2"/>
      <c r="AN1082" s="2"/>
    </row>
    <row r="1083" spans="1:40" ht="16" x14ac:dyDescent="0.2">
      <c r="A1083" s="2" t="s">
        <v>1488</v>
      </c>
      <c r="B1083" s="2">
        <v>452</v>
      </c>
      <c r="C1083" s="2" t="b">
        <v>0</v>
      </c>
      <c r="D1083" s="2" t="b">
        <v>0</v>
      </c>
      <c r="E1083" s="2" t="b">
        <v>0</v>
      </c>
      <c r="F1083" s="2" t="b">
        <v>0</v>
      </c>
      <c r="G1083" s="2" t="s">
        <v>31</v>
      </c>
      <c r="H1083" s="2" t="s">
        <v>1489</v>
      </c>
      <c r="I1083" s="2" t="s">
        <v>1490</v>
      </c>
      <c r="J1083" s="2" t="s">
        <v>675</v>
      </c>
      <c r="K1083" s="2" t="s">
        <v>35</v>
      </c>
      <c r="L1083" s="2" t="s">
        <v>35</v>
      </c>
      <c r="M1083" s="2" t="s">
        <v>35</v>
      </c>
      <c r="N1083" s="2" t="s">
        <v>35</v>
      </c>
      <c r="O1083" s="11">
        <v>44747.434220821757</v>
      </c>
      <c r="P1083" s="11">
        <v>44747.434380671293</v>
      </c>
      <c r="Q1083" s="27">
        <v>1.5984953643055633E-4</v>
      </c>
      <c r="R1083" s="27">
        <v>6.2916666502133012E-4</v>
      </c>
      <c r="S1083" s="2">
        <v>0</v>
      </c>
      <c r="T1083" s="2" t="s">
        <v>124</v>
      </c>
      <c r="U1083" s="2" t="s">
        <v>125</v>
      </c>
      <c r="V1083" s="2" t="s">
        <v>38</v>
      </c>
      <c r="W1083" s="2" t="s">
        <v>35</v>
      </c>
      <c r="X1083" s="2" t="s">
        <v>35</v>
      </c>
      <c r="Y1083" s="2" t="s">
        <v>35</v>
      </c>
      <c r="Z1083" s="2" t="b">
        <v>0</v>
      </c>
      <c r="AA1083" s="2" t="s">
        <v>35</v>
      </c>
      <c r="AB1083" s="2">
        <v>4</v>
      </c>
      <c r="AC1083" s="2" t="s">
        <v>35</v>
      </c>
      <c r="AD1083" s="2" t="s">
        <v>35</v>
      </c>
      <c r="AE1083" s="2" t="s">
        <v>1464</v>
      </c>
      <c r="AF1083" s="11">
        <v>44747.425694386577</v>
      </c>
      <c r="AG1083" s="53"/>
      <c r="AH1083" s="53" t="b">
        <f t="shared" si="23"/>
        <v>0</v>
      </c>
      <c r="AI1083" s="54" t="s">
        <v>10771</v>
      </c>
      <c r="AJ1083" s="2"/>
      <c r="AK1083" s="2"/>
      <c r="AL1083" s="2"/>
      <c r="AM1083" s="2"/>
      <c r="AN1083" s="2"/>
    </row>
    <row r="1084" spans="1:40" ht="16" x14ac:dyDescent="0.2">
      <c r="A1084" s="2" t="s">
        <v>1519</v>
      </c>
      <c r="B1084" s="2">
        <v>462</v>
      </c>
      <c r="C1084" s="2" t="b">
        <v>0</v>
      </c>
      <c r="D1084" s="2" t="b">
        <v>0</v>
      </c>
      <c r="E1084" s="2" t="b">
        <v>0</v>
      </c>
      <c r="F1084" s="2" t="b">
        <v>0</v>
      </c>
      <c r="G1084" s="2" t="s">
        <v>31</v>
      </c>
      <c r="H1084" s="2" t="s">
        <v>1520</v>
      </c>
      <c r="I1084" s="2" t="s">
        <v>1521</v>
      </c>
      <c r="J1084" s="2" t="s">
        <v>675</v>
      </c>
      <c r="K1084" s="2" t="s">
        <v>35</v>
      </c>
      <c r="L1084" s="2" t="s">
        <v>35</v>
      </c>
      <c r="M1084" s="2" t="s">
        <v>35</v>
      </c>
      <c r="N1084" s="2" t="s">
        <v>35</v>
      </c>
      <c r="O1084" s="11">
        <v>44747.446460324078</v>
      </c>
      <c r="P1084" s="11">
        <v>44747.446662974537</v>
      </c>
      <c r="Q1084" s="27">
        <v>2.0265045895939693E-4</v>
      </c>
      <c r="R1084" s="27">
        <v>9.4589120271848515E-4</v>
      </c>
      <c r="S1084" s="2">
        <v>0</v>
      </c>
      <c r="T1084" s="2" t="s">
        <v>124</v>
      </c>
      <c r="U1084" s="2" t="s">
        <v>125</v>
      </c>
      <c r="V1084" s="2" t="s">
        <v>38</v>
      </c>
      <c r="W1084" s="2" t="s">
        <v>35</v>
      </c>
      <c r="X1084" s="2" t="s">
        <v>35</v>
      </c>
      <c r="Y1084" s="2" t="s">
        <v>35</v>
      </c>
      <c r="Z1084" s="2" t="b">
        <v>0</v>
      </c>
      <c r="AA1084" s="2" t="s">
        <v>35</v>
      </c>
      <c r="AB1084" s="2">
        <v>4</v>
      </c>
      <c r="AC1084" s="2" t="s">
        <v>35</v>
      </c>
      <c r="AD1084" s="2" t="s">
        <v>35</v>
      </c>
      <c r="AE1084" s="2" t="s">
        <v>1464</v>
      </c>
      <c r="AF1084" s="11">
        <v>44747.425694386577</v>
      </c>
      <c r="AG1084" s="53"/>
      <c r="AH1084" s="53" t="b">
        <f t="shared" si="23"/>
        <v>0</v>
      </c>
      <c r="AI1084" s="54" t="s">
        <v>10772</v>
      </c>
      <c r="AJ1084" s="2"/>
      <c r="AK1084" s="2"/>
      <c r="AL1084" s="2"/>
      <c r="AM1084" s="2"/>
      <c r="AN1084" s="2"/>
    </row>
    <row r="1085" spans="1:40" ht="16" x14ac:dyDescent="0.2">
      <c r="A1085" s="2" t="s">
        <v>1775</v>
      </c>
      <c r="B1085" s="2">
        <v>541</v>
      </c>
      <c r="C1085" s="2" t="b">
        <v>0</v>
      </c>
      <c r="D1085" s="2" t="b">
        <v>0</v>
      </c>
      <c r="E1085" s="2" t="b">
        <v>0</v>
      </c>
      <c r="F1085" s="2" t="b">
        <v>0</v>
      </c>
      <c r="G1085" s="2" t="s">
        <v>31</v>
      </c>
      <c r="H1085" s="2" t="s">
        <v>1776</v>
      </c>
      <c r="I1085" s="2" t="s">
        <v>1777</v>
      </c>
      <c r="J1085" s="2" t="s">
        <v>940</v>
      </c>
      <c r="K1085" s="2" t="s">
        <v>35</v>
      </c>
      <c r="L1085" s="2" t="s">
        <v>35</v>
      </c>
      <c r="M1085" s="2" t="s">
        <v>35</v>
      </c>
      <c r="N1085" s="2" t="s">
        <v>35</v>
      </c>
      <c r="O1085" s="11">
        <v>44748.599635497689</v>
      </c>
      <c r="P1085" s="11">
        <v>44748.599892349535</v>
      </c>
      <c r="Q1085" s="27">
        <v>2.5685184664325789E-4</v>
      </c>
      <c r="R1085" s="27">
        <v>2.3432870366377756E-3</v>
      </c>
      <c r="S1085" s="2">
        <v>0</v>
      </c>
      <c r="T1085" s="2" t="s">
        <v>124</v>
      </c>
      <c r="U1085" s="2" t="s">
        <v>125</v>
      </c>
      <c r="V1085" s="2" t="s">
        <v>38</v>
      </c>
      <c r="W1085" s="2" t="s">
        <v>35</v>
      </c>
      <c r="X1085" s="2" t="s">
        <v>35</v>
      </c>
      <c r="Y1085" s="2" t="s">
        <v>35</v>
      </c>
      <c r="Z1085" s="2" t="b">
        <v>0</v>
      </c>
      <c r="AA1085" s="2" t="s">
        <v>35</v>
      </c>
      <c r="AB1085" s="2">
        <v>4</v>
      </c>
      <c r="AC1085" s="2" t="s">
        <v>35</v>
      </c>
      <c r="AD1085" s="2" t="s">
        <v>35</v>
      </c>
      <c r="AE1085" s="2" t="s">
        <v>941</v>
      </c>
      <c r="AF1085" s="11">
        <v>44748.587500000001</v>
      </c>
      <c r="AG1085" s="53"/>
      <c r="AH1085" s="53" t="b">
        <f t="shared" si="23"/>
        <v>0</v>
      </c>
      <c r="AI1085" s="54" t="s">
        <v>10773</v>
      </c>
      <c r="AJ1085" s="2"/>
      <c r="AK1085" s="2"/>
      <c r="AL1085" s="2"/>
      <c r="AM1085" s="2"/>
      <c r="AN1085" s="2"/>
    </row>
    <row r="1086" spans="1:40" ht="16" x14ac:dyDescent="0.2">
      <c r="A1086" s="68" t="s">
        <v>1778</v>
      </c>
      <c r="B1086" s="68">
        <v>542</v>
      </c>
      <c r="C1086" s="68" t="b">
        <v>0</v>
      </c>
      <c r="D1086" s="68" t="b">
        <v>0</v>
      </c>
      <c r="E1086" s="68" t="b">
        <v>0</v>
      </c>
      <c r="F1086" s="68" t="b">
        <v>0</v>
      </c>
      <c r="G1086" s="68" t="s">
        <v>31</v>
      </c>
      <c r="H1086" s="68" t="s">
        <v>149</v>
      </c>
      <c r="I1086" s="68" t="s">
        <v>1779</v>
      </c>
      <c r="J1086" s="68" t="s">
        <v>940</v>
      </c>
      <c r="K1086" s="68" t="s">
        <v>35</v>
      </c>
      <c r="L1086" s="68" t="s">
        <v>35</v>
      </c>
      <c r="M1086" s="68" t="s">
        <v>35</v>
      </c>
      <c r="N1086" s="68" t="s">
        <v>35</v>
      </c>
      <c r="O1086" s="69">
        <v>44748.600552372685</v>
      </c>
      <c r="P1086" s="69">
        <v>44748.600758877314</v>
      </c>
      <c r="Q1086" s="70">
        <v>2.0650462829507887E-4</v>
      </c>
      <c r="R1086" s="70">
        <v>8.6652777827112004E-4</v>
      </c>
      <c r="S1086" s="68">
        <v>0</v>
      </c>
      <c r="T1086" s="68" t="s">
        <v>124</v>
      </c>
      <c r="U1086" s="68" t="s">
        <v>125</v>
      </c>
      <c r="V1086" s="68" t="s">
        <v>38</v>
      </c>
      <c r="W1086" s="68" t="s">
        <v>35</v>
      </c>
      <c r="X1086" s="68" t="s">
        <v>35</v>
      </c>
      <c r="Y1086" s="68" t="s">
        <v>35</v>
      </c>
      <c r="Z1086" s="68" t="b">
        <v>0</v>
      </c>
      <c r="AA1086" s="68" t="s">
        <v>35</v>
      </c>
      <c r="AB1086" s="68">
        <v>4</v>
      </c>
      <c r="AC1086" s="68" t="s">
        <v>35</v>
      </c>
      <c r="AD1086" s="68" t="s">
        <v>35</v>
      </c>
      <c r="AE1086" s="68" t="s">
        <v>941</v>
      </c>
      <c r="AF1086" s="69">
        <v>44748.587500000001</v>
      </c>
      <c r="AG1086" s="71"/>
      <c r="AH1086" s="53" t="b">
        <f t="shared" si="23"/>
        <v>0</v>
      </c>
      <c r="AI1086" s="56" t="s">
        <v>35</v>
      </c>
      <c r="AJ1086" s="68"/>
      <c r="AK1086" s="68"/>
      <c r="AL1086" s="68"/>
      <c r="AM1086" s="68"/>
      <c r="AN1086" s="68"/>
    </row>
    <row r="1087" spans="1:40" ht="16" x14ac:dyDescent="0.2">
      <c r="A1087" s="2" t="s">
        <v>1780</v>
      </c>
      <c r="B1087" s="2">
        <v>543</v>
      </c>
      <c r="C1087" s="2" t="b">
        <v>0</v>
      </c>
      <c r="D1087" s="2" t="b">
        <v>0</v>
      </c>
      <c r="E1087" s="2" t="b">
        <v>0</v>
      </c>
      <c r="F1087" s="2" t="b">
        <v>0</v>
      </c>
      <c r="G1087" s="2" t="s">
        <v>31</v>
      </c>
      <c r="H1087" s="2" t="s">
        <v>1781</v>
      </c>
      <c r="I1087" s="2" t="s">
        <v>1782</v>
      </c>
      <c r="J1087" s="2" t="s">
        <v>940</v>
      </c>
      <c r="K1087" s="2" t="s">
        <v>35</v>
      </c>
      <c r="L1087" s="2" t="s">
        <v>35</v>
      </c>
      <c r="M1087" s="2" t="s">
        <v>35</v>
      </c>
      <c r="N1087" s="2" t="s">
        <v>35</v>
      </c>
      <c r="O1087" s="11">
        <v>44748.601175312499</v>
      </c>
      <c r="P1087" s="11">
        <v>44748.601422361113</v>
      </c>
      <c r="Q1087" s="27">
        <v>2.470486142556183E-4</v>
      </c>
      <c r="R1087" s="27">
        <v>6.6348379914416E-4</v>
      </c>
      <c r="S1087" s="2">
        <v>0</v>
      </c>
      <c r="T1087" s="2" t="s">
        <v>124</v>
      </c>
      <c r="U1087" s="2" t="s">
        <v>125</v>
      </c>
      <c r="V1087" s="2" t="s">
        <v>38</v>
      </c>
      <c r="W1087" s="2" t="s">
        <v>35</v>
      </c>
      <c r="X1087" s="2" t="s">
        <v>35</v>
      </c>
      <c r="Y1087" s="2" t="s">
        <v>35</v>
      </c>
      <c r="Z1087" s="2" t="b">
        <v>0</v>
      </c>
      <c r="AA1087" s="2" t="s">
        <v>35</v>
      </c>
      <c r="AB1087" s="2">
        <v>4</v>
      </c>
      <c r="AC1087" s="2" t="s">
        <v>35</v>
      </c>
      <c r="AD1087" s="2" t="s">
        <v>35</v>
      </c>
      <c r="AE1087" s="2" t="s">
        <v>941</v>
      </c>
      <c r="AF1087" s="11">
        <v>44748.587500000001</v>
      </c>
      <c r="AG1087" s="53"/>
      <c r="AH1087" s="53" t="b">
        <f t="shared" si="23"/>
        <v>0</v>
      </c>
      <c r="AI1087" s="54" t="s">
        <v>10774</v>
      </c>
      <c r="AJ1087" s="2"/>
      <c r="AK1087" s="2"/>
      <c r="AL1087" s="2"/>
      <c r="AM1087" s="2"/>
      <c r="AN1087" s="2"/>
    </row>
    <row r="1088" spans="1:40" ht="16" x14ac:dyDescent="0.2">
      <c r="A1088" s="2" t="s">
        <v>1783</v>
      </c>
      <c r="B1088" s="2">
        <v>544</v>
      </c>
      <c r="C1088" s="2" t="b">
        <v>0</v>
      </c>
      <c r="D1088" s="2" t="b">
        <v>0</v>
      </c>
      <c r="E1088" s="2" t="b">
        <v>0</v>
      </c>
      <c r="F1088" s="2" t="b">
        <v>0</v>
      </c>
      <c r="G1088" s="2" t="s">
        <v>31</v>
      </c>
      <c r="H1088" s="2" t="s">
        <v>1784</v>
      </c>
      <c r="I1088" s="2" t="s">
        <v>1785</v>
      </c>
      <c r="J1088" s="2" t="s">
        <v>940</v>
      </c>
      <c r="K1088" s="2" t="s">
        <v>35</v>
      </c>
      <c r="L1088" s="2" t="s">
        <v>35</v>
      </c>
      <c r="M1088" s="2" t="s">
        <v>35</v>
      </c>
      <c r="N1088" s="2" t="s">
        <v>35</v>
      </c>
      <c r="O1088" s="11">
        <v>44748.602517222222</v>
      </c>
      <c r="P1088" s="11">
        <v>44748.602736354165</v>
      </c>
      <c r="Q1088" s="27">
        <v>2.1913194359513E-4</v>
      </c>
      <c r="R1088" s="27">
        <v>1.3139930524630472E-3</v>
      </c>
      <c r="S1088" s="2">
        <v>0</v>
      </c>
      <c r="T1088" s="2" t="s">
        <v>124</v>
      </c>
      <c r="U1088" s="2" t="s">
        <v>125</v>
      </c>
      <c r="V1088" s="2" t="s">
        <v>38</v>
      </c>
      <c r="W1088" s="2" t="s">
        <v>35</v>
      </c>
      <c r="X1088" s="2" t="s">
        <v>35</v>
      </c>
      <c r="Y1088" s="2" t="s">
        <v>35</v>
      </c>
      <c r="Z1088" s="2" t="b">
        <v>0</v>
      </c>
      <c r="AA1088" s="2" t="s">
        <v>35</v>
      </c>
      <c r="AB1088" s="2">
        <v>4</v>
      </c>
      <c r="AC1088" s="2" t="s">
        <v>35</v>
      </c>
      <c r="AD1088" s="2" t="s">
        <v>35</v>
      </c>
      <c r="AE1088" s="2" t="s">
        <v>941</v>
      </c>
      <c r="AF1088" s="11">
        <v>44748.587500000001</v>
      </c>
      <c r="AG1088" s="53"/>
      <c r="AH1088" s="53" t="b">
        <f t="shared" si="23"/>
        <v>0</v>
      </c>
      <c r="AI1088" s="54" t="s">
        <v>10775</v>
      </c>
      <c r="AJ1088" s="2"/>
      <c r="AK1088" s="2"/>
      <c r="AL1088" s="2"/>
      <c r="AM1088" s="2"/>
      <c r="AN1088" s="2"/>
    </row>
    <row r="1089" spans="1:40" ht="16" x14ac:dyDescent="0.2">
      <c r="A1089" s="2" t="s">
        <v>1786</v>
      </c>
      <c r="B1089" s="2">
        <v>545</v>
      </c>
      <c r="C1089" s="2" t="b">
        <v>0</v>
      </c>
      <c r="D1089" s="2" t="b">
        <v>0</v>
      </c>
      <c r="E1089" s="2" t="b">
        <v>0</v>
      </c>
      <c r="F1089" s="2" t="b">
        <v>0</v>
      </c>
      <c r="G1089" s="2" t="s">
        <v>31</v>
      </c>
      <c r="H1089" s="2" t="s">
        <v>1787</v>
      </c>
      <c r="I1089" s="2" t="s">
        <v>1788</v>
      </c>
      <c r="J1089" s="2" t="s">
        <v>940</v>
      </c>
      <c r="K1089" s="2" t="s">
        <v>35</v>
      </c>
      <c r="L1089" s="2" t="s">
        <v>35</v>
      </c>
      <c r="M1089" s="2" t="s">
        <v>35</v>
      </c>
      <c r="N1089" s="2" t="s">
        <v>35</v>
      </c>
      <c r="O1089" s="11">
        <v>44748.603118449071</v>
      </c>
      <c r="P1089" s="11">
        <v>44748.603509652778</v>
      </c>
      <c r="Q1089" s="27">
        <v>3.9120370638556778E-4</v>
      </c>
      <c r="R1089" s="27">
        <v>7.7329861233010888E-4</v>
      </c>
      <c r="S1089" s="2">
        <v>0</v>
      </c>
      <c r="T1089" s="2" t="s">
        <v>124</v>
      </c>
      <c r="U1089" s="2" t="s">
        <v>125</v>
      </c>
      <c r="V1089" s="2" t="s">
        <v>38</v>
      </c>
      <c r="W1089" s="2" t="s">
        <v>35</v>
      </c>
      <c r="X1089" s="2" t="s">
        <v>35</v>
      </c>
      <c r="Y1089" s="2" t="s">
        <v>35</v>
      </c>
      <c r="Z1089" s="2" t="b">
        <v>0</v>
      </c>
      <c r="AA1089" s="2" t="s">
        <v>35</v>
      </c>
      <c r="AB1089" s="2">
        <v>4</v>
      </c>
      <c r="AC1089" s="2" t="s">
        <v>35</v>
      </c>
      <c r="AD1089" s="2" t="s">
        <v>35</v>
      </c>
      <c r="AE1089" s="2" t="s">
        <v>941</v>
      </c>
      <c r="AF1089" s="11">
        <v>44748.587500000001</v>
      </c>
      <c r="AG1089" s="53"/>
      <c r="AH1089" s="53" t="b">
        <f t="shared" si="23"/>
        <v>0</v>
      </c>
      <c r="AI1089" s="54" t="s">
        <v>10776</v>
      </c>
      <c r="AJ1089" s="2"/>
      <c r="AK1089" s="2"/>
      <c r="AL1089" s="2"/>
      <c r="AM1089" s="2"/>
      <c r="AN1089" s="2"/>
    </row>
    <row r="1090" spans="1:40" ht="16" x14ac:dyDescent="0.2">
      <c r="A1090" s="2" t="s">
        <v>1804</v>
      </c>
      <c r="B1090" s="2">
        <v>551</v>
      </c>
      <c r="C1090" s="2" t="b">
        <v>0</v>
      </c>
      <c r="D1090" s="2" t="b">
        <v>0</v>
      </c>
      <c r="E1090" s="2" t="b">
        <v>0</v>
      </c>
      <c r="F1090" s="2" t="b">
        <v>0</v>
      </c>
      <c r="G1090" s="2" t="s">
        <v>31</v>
      </c>
      <c r="H1090" s="2" t="s">
        <v>1805</v>
      </c>
      <c r="I1090" s="2" t="s">
        <v>1806</v>
      </c>
      <c r="J1090" s="2" t="s">
        <v>940</v>
      </c>
      <c r="K1090" s="2" t="s">
        <v>35</v>
      </c>
      <c r="L1090" s="2" t="s">
        <v>35</v>
      </c>
      <c r="M1090" s="2" t="s">
        <v>35</v>
      </c>
      <c r="N1090" s="2" t="s">
        <v>35</v>
      </c>
      <c r="O1090" s="11">
        <v>44748.611765462963</v>
      </c>
      <c r="P1090" s="11">
        <v>44748.611956400462</v>
      </c>
      <c r="Q1090" s="27">
        <v>1.9093749870080501E-4</v>
      </c>
      <c r="R1090" s="27">
        <v>1.9405439816182479E-3</v>
      </c>
      <c r="S1090" s="2">
        <v>0</v>
      </c>
      <c r="T1090" s="2" t="s">
        <v>124</v>
      </c>
      <c r="U1090" s="2" t="s">
        <v>125</v>
      </c>
      <c r="V1090" s="2" t="s">
        <v>38</v>
      </c>
      <c r="W1090" s="2" t="s">
        <v>35</v>
      </c>
      <c r="X1090" s="2" t="s">
        <v>35</v>
      </c>
      <c r="Y1090" s="2" t="s">
        <v>35</v>
      </c>
      <c r="Z1090" s="2" t="b">
        <v>0</v>
      </c>
      <c r="AA1090" s="2" t="s">
        <v>35</v>
      </c>
      <c r="AB1090" s="2">
        <v>4</v>
      </c>
      <c r="AC1090" s="2" t="s">
        <v>35</v>
      </c>
      <c r="AD1090" s="2" t="s">
        <v>35</v>
      </c>
      <c r="AE1090" s="2" t="s">
        <v>941</v>
      </c>
      <c r="AF1090" s="11">
        <v>44748.587500000001</v>
      </c>
      <c r="AG1090" s="53"/>
      <c r="AH1090" s="53" t="b">
        <f t="shared" si="23"/>
        <v>0</v>
      </c>
      <c r="AI1090" s="54" t="s">
        <v>10777</v>
      </c>
      <c r="AJ1090" s="2"/>
      <c r="AK1090" s="2"/>
      <c r="AL1090" s="2"/>
      <c r="AM1090" s="2"/>
      <c r="AN1090" s="2"/>
    </row>
    <row r="1091" spans="1:40" ht="16" x14ac:dyDescent="0.2">
      <c r="A1091" s="68" t="s">
        <v>1842</v>
      </c>
      <c r="B1091" s="68">
        <v>565</v>
      </c>
      <c r="C1091" s="68" t="b">
        <v>0</v>
      </c>
      <c r="D1091" s="68" t="b">
        <v>0</v>
      </c>
      <c r="E1091" s="68" t="b">
        <v>0</v>
      </c>
      <c r="F1091" s="68" t="b">
        <v>0</v>
      </c>
      <c r="G1091" s="68" t="s">
        <v>31</v>
      </c>
      <c r="H1091" s="68" t="s">
        <v>149</v>
      </c>
      <c r="I1091" s="68" t="s">
        <v>1843</v>
      </c>
      <c r="J1091" s="68" t="s">
        <v>940</v>
      </c>
      <c r="K1091" s="68" t="s">
        <v>35</v>
      </c>
      <c r="L1091" s="68" t="s">
        <v>35</v>
      </c>
      <c r="M1091" s="68" t="s">
        <v>35</v>
      </c>
      <c r="N1091" s="68" t="s">
        <v>35</v>
      </c>
      <c r="O1091" s="69">
        <v>44748.640732384258</v>
      </c>
      <c r="P1091" s="69">
        <v>44748.641055</v>
      </c>
      <c r="Q1091" s="70">
        <v>3.2261574233416468E-4</v>
      </c>
      <c r="R1091" s="70">
        <v>3.2183912044274621E-3</v>
      </c>
      <c r="S1091" s="68">
        <v>0</v>
      </c>
      <c r="T1091" s="68" t="s">
        <v>124</v>
      </c>
      <c r="U1091" s="68" t="s">
        <v>125</v>
      </c>
      <c r="V1091" s="68" t="s">
        <v>38</v>
      </c>
      <c r="W1091" s="68" t="s">
        <v>35</v>
      </c>
      <c r="X1091" s="68" t="s">
        <v>35</v>
      </c>
      <c r="Y1091" s="68" t="s">
        <v>35</v>
      </c>
      <c r="Z1091" s="68" t="b">
        <v>0</v>
      </c>
      <c r="AA1091" s="68" t="s">
        <v>35</v>
      </c>
      <c r="AB1091" s="68">
        <v>4</v>
      </c>
      <c r="AC1091" s="68" t="s">
        <v>35</v>
      </c>
      <c r="AD1091" s="68" t="s">
        <v>35</v>
      </c>
      <c r="AE1091" s="68" t="s">
        <v>1826</v>
      </c>
      <c r="AF1091" s="69">
        <v>44748.629166608793</v>
      </c>
      <c r="AG1091" s="71"/>
      <c r="AH1091" s="53" t="b">
        <f t="shared" si="23"/>
        <v>0</v>
      </c>
      <c r="AI1091" s="56" t="s">
        <v>35</v>
      </c>
      <c r="AJ1091" s="68"/>
      <c r="AK1091" s="68"/>
      <c r="AL1091" s="68"/>
      <c r="AM1091" s="68"/>
      <c r="AN1091" s="68"/>
    </row>
    <row r="1092" spans="1:40" ht="16" x14ac:dyDescent="0.2">
      <c r="A1092" s="2" t="s">
        <v>1844</v>
      </c>
      <c r="B1092" s="2">
        <v>566</v>
      </c>
      <c r="C1092" s="2" t="b">
        <v>0</v>
      </c>
      <c r="D1092" s="2" t="b">
        <v>0</v>
      </c>
      <c r="E1092" s="2" t="b">
        <v>0</v>
      </c>
      <c r="F1092" s="2" t="b">
        <v>0</v>
      </c>
      <c r="G1092" s="2" t="s">
        <v>31</v>
      </c>
      <c r="H1092" s="2" t="s">
        <v>1845</v>
      </c>
      <c r="I1092" s="2" t="s">
        <v>1846</v>
      </c>
      <c r="J1092" s="2" t="s">
        <v>940</v>
      </c>
      <c r="K1092" s="2" t="s">
        <v>35</v>
      </c>
      <c r="L1092" s="2" t="s">
        <v>35</v>
      </c>
      <c r="M1092" s="2" t="s">
        <v>35</v>
      </c>
      <c r="N1092" s="2" t="s">
        <v>35</v>
      </c>
      <c r="O1092" s="11">
        <v>44748.641262800928</v>
      </c>
      <c r="P1092" s="11">
        <v>44748.641960069443</v>
      </c>
      <c r="Q1092" s="27">
        <v>6.9726851506857201E-4</v>
      </c>
      <c r="R1092" s="27">
        <v>9.0506944252410904E-4</v>
      </c>
      <c r="S1092" s="2">
        <v>0</v>
      </c>
      <c r="T1092" s="2" t="s">
        <v>124</v>
      </c>
      <c r="U1092" s="2" t="s">
        <v>125</v>
      </c>
      <c r="V1092" s="2" t="s">
        <v>38</v>
      </c>
      <c r="W1092" s="2" t="s">
        <v>35</v>
      </c>
      <c r="X1092" s="2" t="s">
        <v>35</v>
      </c>
      <c r="Y1092" s="2" t="s">
        <v>35</v>
      </c>
      <c r="Z1092" s="2" t="b">
        <v>0</v>
      </c>
      <c r="AA1092" s="2" t="s">
        <v>35</v>
      </c>
      <c r="AB1092" s="2">
        <v>4</v>
      </c>
      <c r="AC1092" s="2" t="s">
        <v>35</v>
      </c>
      <c r="AD1092" s="2" t="s">
        <v>35</v>
      </c>
      <c r="AE1092" s="2" t="s">
        <v>1826</v>
      </c>
      <c r="AF1092" s="11">
        <v>44748.629166608793</v>
      </c>
      <c r="AG1092" s="53"/>
      <c r="AH1092" s="53" t="str">
        <f t="shared" si="23"/>
        <v>TRUE</v>
      </c>
      <c r="AI1092" s="54" t="s">
        <v>10778</v>
      </c>
      <c r="AJ1092" s="2"/>
      <c r="AK1092" s="2"/>
      <c r="AL1092" s="2"/>
      <c r="AM1092" s="2"/>
      <c r="AN1092" s="2"/>
    </row>
    <row r="1093" spans="1:40" ht="16" x14ac:dyDescent="0.2">
      <c r="A1093" s="2" t="s">
        <v>1867</v>
      </c>
      <c r="B1093" s="2">
        <v>574</v>
      </c>
      <c r="C1093" s="2" t="b">
        <v>0</v>
      </c>
      <c r="D1093" s="2" t="b">
        <v>0</v>
      </c>
      <c r="E1093" s="2" t="b">
        <v>0</v>
      </c>
      <c r="F1093" s="2" t="b">
        <v>0</v>
      </c>
      <c r="G1093" s="2" t="s">
        <v>31</v>
      </c>
      <c r="H1093" s="2" t="s">
        <v>1868</v>
      </c>
      <c r="I1093" s="2" t="s">
        <v>1869</v>
      </c>
      <c r="J1093" s="2" t="s">
        <v>940</v>
      </c>
      <c r="K1093" s="2" t="s">
        <v>35</v>
      </c>
      <c r="L1093" s="2" t="s">
        <v>35</v>
      </c>
      <c r="M1093" s="2" t="s">
        <v>35</v>
      </c>
      <c r="N1093" s="2" t="s">
        <v>35</v>
      </c>
      <c r="O1093" s="11">
        <v>44748.652139687503</v>
      </c>
      <c r="P1093" s="11">
        <v>44748.652556053239</v>
      </c>
      <c r="Q1093" s="27">
        <v>4.1636573587311432E-4</v>
      </c>
      <c r="R1093" s="27">
        <v>1.2850810162490234E-3</v>
      </c>
      <c r="S1093" s="2">
        <v>0</v>
      </c>
      <c r="T1093" s="2" t="s">
        <v>124</v>
      </c>
      <c r="U1093" s="2" t="s">
        <v>125</v>
      </c>
      <c r="V1093" s="2" t="s">
        <v>38</v>
      </c>
      <c r="W1093" s="2" t="s">
        <v>35</v>
      </c>
      <c r="X1093" s="2" t="s">
        <v>35</v>
      </c>
      <c r="Y1093" s="2" t="s">
        <v>35</v>
      </c>
      <c r="Z1093" s="2" t="b">
        <v>0</v>
      </c>
      <c r="AA1093" s="2" t="s">
        <v>35</v>
      </c>
      <c r="AB1093" s="2">
        <v>4</v>
      </c>
      <c r="AC1093" s="2" t="s">
        <v>35</v>
      </c>
      <c r="AD1093" s="2" t="s">
        <v>35</v>
      </c>
      <c r="AE1093" s="2" t="s">
        <v>1826</v>
      </c>
      <c r="AF1093" s="11">
        <v>44748.629166608793</v>
      </c>
      <c r="AG1093" s="53"/>
      <c r="AH1093" s="53" t="b">
        <f t="shared" si="23"/>
        <v>0</v>
      </c>
      <c r="AI1093" s="54" t="s">
        <v>9662</v>
      </c>
      <c r="AJ1093" s="2"/>
      <c r="AK1093" s="2"/>
      <c r="AL1093" s="2"/>
      <c r="AM1093" s="2"/>
      <c r="AN1093" s="2"/>
    </row>
    <row r="1094" spans="1:40" ht="16" x14ac:dyDescent="0.2">
      <c r="A1094" s="2" t="s">
        <v>1870</v>
      </c>
      <c r="B1094" s="2">
        <v>575</v>
      </c>
      <c r="C1094" s="2" t="b">
        <v>0</v>
      </c>
      <c r="D1094" s="2" t="b">
        <v>0</v>
      </c>
      <c r="E1094" s="2" t="b">
        <v>0</v>
      </c>
      <c r="F1094" s="2" t="b">
        <v>0</v>
      </c>
      <c r="G1094" s="2" t="s">
        <v>31</v>
      </c>
      <c r="H1094" s="2" t="s">
        <v>1871</v>
      </c>
      <c r="I1094" s="2" t="s">
        <v>1872</v>
      </c>
      <c r="J1094" s="2" t="s">
        <v>940</v>
      </c>
      <c r="K1094" s="2" t="s">
        <v>35</v>
      </c>
      <c r="L1094" s="2" t="s">
        <v>35</v>
      </c>
      <c r="M1094" s="2" t="s">
        <v>35</v>
      </c>
      <c r="N1094" s="2" t="s">
        <v>35</v>
      </c>
      <c r="O1094" s="11">
        <v>44748.652601203707</v>
      </c>
      <c r="P1094" s="11">
        <v>44748.652787800929</v>
      </c>
      <c r="Q1094" s="27">
        <v>1.8659722263691947E-4</v>
      </c>
      <c r="R1094" s="27">
        <v>2.3174769012257457E-4</v>
      </c>
      <c r="S1094" s="2">
        <v>0</v>
      </c>
      <c r="T1094" s="2" t="s">
        <v>124</v>
      </c>
      <c r="U1094" s="2" t="s">
        <v>125</v>
      </c>
      <c r="V1094" s="2" t="s">
        <v>38</v>
      </c>
      <c r="W1094" s="2" t="s">
        <v>35</v>
      </c>
      <c r="X1094" s="2" t="s">
        <v>35</v>
      </c>
      <c r="Y1094" s="2" t="s">
        <v>35</v>
      </c>
      <c r="Z1094" s="2" t="b">
        <v>0</v>
      </c>
      <c r="AA1094" s="2" t="s">
        <v>35</v>
      </c>
      <c r="AB1094" s="2">
        <v>4</v>
      </c>
      <c r="AC1094" s="2" t="s">
        <v>35</v>
      </c>
      <c r="AD1094" s="2" t="s">
        <v>35</v>
      </c>
      <c r="AE1094" s="2" t="s">
        <v>1826</v>
      </c>
      <c r="AF1094" s="11">
        <v>44748.629166608793</v>
      </c>
      <c r="AG1094" s="53"/>
      <c r="AH1094" s="53" t="b">
        <f t="shared" si="23"/>
        <v>0</v>
      </c>
      <c r="AI1094" s="54" t="s">
        <v>9661</v>
      </c>
      <c r="AJ1094" s="2"/>
      <c r="AK1094" s="2"/>
      <c r="AL1094" s="2"/>
      <c r="AM1094" s="2"/>
      <c r="AN1094" s="2"/>
    </row>
    <row r="1095" spans="1:40" ht="16" x14ac:dyDescent="0.2">
      <c r="A1095" s="2" t="s">
        <v>1895</v>
      </c>
      <c r="B1095" s="2">
        <v>583</v>
      </c>
      <c r="C1095" s="2" t="b">
        <v>0</v>
      </c>
      <c r="D1095" s="2" t="b">
        <v>0</v>
      </c>
      <c r="E1095" s="2" t="b">
        <v>0</v>
      </c>
      <c r="F1095" s="2" t="b">
        <v>0</v>
      </c>
      <c r="G1095" s="2" t="s">
        <v>31</v>
      </c>
      <c r="H1095" s="2" t="s">
        <v>1896</v>
      </c>
      <c r="I1095" s="2" t="s">
        <v>1897</v>
      </c>
      <c r="J1095" s="2" t="s">
        <v>940</v>
      </c>
      <c r="K1095" s="2" t="s">
        <v>35</v>
      </c>
      <c r="L1095" s="2" t="s">
        <v>35</v>
      </c>
      <c r="M1095" s="2" t="s">
        <v>35</v>
      </c>
      <c r="N1095" s="2" t="s">
        <v>35</v>
      </c>
      <c r="O1095" s="11">
        <v>44748.667972303243</v>
      </c>
      <c r="P1095" s="11">
        <v>44748.668392210646</v>
      </c>
      <c r="Q1095" s="27">
        <v>4.1990740282926708E-4</v>
      </c>
      <c r="R1095" s="27">
        <v>9.3498842034023255E-4</v>
      </c>
      <c r="S1095" s="2">
        <v>0</v>
      </c>
      <c r="T1095" s="2" t="s">
        <v>124</v>
      </c>
      <c r="U1095" s="2" t="s">
        <v>125</v>
      </c>
      <c r="V1095" s="2" t="s">
        <v>38</v>
      </c>
      <c r="W1095" s="2" t="s">
        <v>35</v>
      </c>
      <c r="X1095" s="2" t="s">
        <v>35</v>
      </c>
      <c r="Y1095" s="2" t="s">
        <v>35</v>
      </c>
      <c r="Z1095" s="2" t="b">
        <v>0</v>
      </c>
      <c r="AA1095" s="2" t="s">
        <v>35</v>
      </c>
      <c r="AB1095" s="2">
        <v>4</v>
      </c>
      <c r="AC1095" s="2" t="s">
        <v>35</v>
      </c>
      <c r="AD1095" s="2" t="s">
        <v>35</v>
      </c>
      <c r="AE1095" s="2" t="s">
        <v>1826</v>
      </c>
      <c r="AF1095" s="11">
        <v>44748.629166608793</v>
      </c>
      <c r="AG1095" s="53"/>
      <c r="AH1095" s="53" t="b">
        <f t="shared" si="23"/>
        <v>0</v>
      </c>
      <c r="AI1095" s="54" t="s">
        <v>10779</v>
      </c>
      <c r="AJ1095" s="2"/>
      <c r="AK1095" s="2"/>
      <c r="AL1095" s="2"/>
      <c r="AM1095" s="2"/>
      <c r="AN1095" s="2"/>
    </row>
    <row r="1096" spans="1:40" ht="16" x14ac:dyDescent="0.2">
      <c r="A1096" s="2" t="s">
        <v>1902</v>
      </c>
      <c r="B1096" s="2">
        <v>586</v>
      </c>
      <c r="C1096" s="2" t="b">
        <v>0</v>
      </c>
      <c r="D1096" s="2" t="b">
        <v>0</v>
      </c>
      <c r="E1096" s="2" t="b">
        <v>0</v>
      </c>
      <c r="F1096" s="2" t="b">
        <v>0</v>
      </c>
      <c r="G1096" s="2" t="s">
        <v>31</v>
      </c>
      <c r="H1096" s="2" t="s">
        <v>1903</v>
      </c>
      <c r="I1096" s="2" t="s">
        <v>1904</v>
      </c>
      <c r="J1096" s="2" t="s">
        <v>940</v>
      </c>
      <c r="K1096" s="2" t="s">
        <v>35</v>
      </c>
      <c r="L1096" s="2" t="s">
        <v>35</v>
      </c>
      <c r="M1096" s="2" t="s">
        <v>35</v>
      </c>
      <c r="N1096" s="2" t="s">
        <v>35</v>
      </c>
      <c r="O1096" s="11">
        <v>44748.669739849538</v>
      </c>
      <c r="P1096" s="11">
        <v>44748.670265624998</v>
      </c>
      <c r="Q1096" s="27">
        <v>5.2577546011889353E-4</v>
      </c>
      <c r="R1096" s="27">
        <v>1.1889583329320885E-3</v>
      </c>
      <c r="S1096" s="2">
        <v>0</v>
      </c>
      <c r="T1096" s="2" t="s">
        <v>124</v>
      </c>
      <c r="U1096" s="2" t="s">
        <v>125</v>
      </c>
      <c r="V1096" s="2" t="s">
        <v>38</v>
      </c>
      <c r="W1096" s="2" t="s">
        <v>35</v>
      </c>
      <c r="X1096" s="2" t="s">
        <v>35</v>
      </c>
      <c r="Y1096" s="2" t="s">
        <v>35</v>
      </c>
      <c r="Z1096" s="2" t="b">
        <v>0</v>
      </c>
      <c r="AA1096" s="2" t="s">
        <v>35</v>
      </c>
      <c r="AB1096" s="2">
        <v>4</v>
      </c>
      <c r="AC1096" s="2" t="s">
        <v>35</v>
      </c>
      <c r="AD1096" s="2" t="s">
        <v>35</v>
      </c>
      <c r="AE1096" s="2" t="s">
        <v>1826</v>
      </c>
      <c r="AF1096" s="11">
        <v>44748.629166608793</v>
      </c>
      <c r="AG1096" s="53"/>
      <c r="AH1096" s="53" t="str">
        <f t="shared" si="23"/>
        <v>TRUE</v>
      </c>
      <c r="AI1096" s="54" t="s">
        <v>9660</v>
      </c>
      <c r="AJ1096" s="2" t="s">
        <v>9659</v>
      </c>
      <c r="AK1096" s="2" t="s">
        <v>9658</v>
      </c>
      <c r="AL1096" s="2" t="s">
        <v>9657</v>
      </c>
      <c r="AM1096" s="2"/>
      <c r="AN1096" s="2"/>
    </row>
    <row r="1097" spans="1:40" ht="16" x14ac:dyDescent="0.2">
      <c r="A1097" s="68" t="s">
        <v>2457</v>
      </c>
      <c r="B1097" s="68">
        <v>758</v>
      </c>
      <c r="C1097" s="68" t="b">
        <v>0</v>
      </c>
      <c r="D1097" s="68" t="b">
        <v>0</v>
      </c>
      <c r="E1097" s="68" t="b">
        <v>0</v>
      </c>
      <c r="F1097" s="68" t="b">
        <v>0</v>
      </c>
      <c r="G1097" s="68" t="s">
        <v>31</v>
      </c>
      <c r="H1097" s="68" t="s">
        <v>149</v>
      </c>
      <c r="I1097" s="68" t="s">
        <v>2458</v>
      </c>
      <c r="J1097" s="68" t="s">
        <v>675</v>
      </c>
      <c r="K1097" s="68" t="s">
        <v>35</v>
      </c>
      <c r="L1097" s="68" t="s">
        <v>35</v>
      </c>
      <c r="M1097" s="68" t="s">
        <v>35</v>
      </c>
      <c r="N1097" s="68" t="s">
        <v>35</v>
      </c>
      <c r="O1097" s="69">
        <v>44753.434061550928</v>
      </c>
      <c r="P1097" s="69">
        <v>44753.434260335649</v>
      </c>
      <c r="Q1097" s="70">
        <v>1.9878472085110843E-4</v>
      </c>
      <c r="R1097" s="70">
        <v>6.0714120627380908E-4</v>
      </c>
      <c r="S1097" s="68">
        <v>0</v>
      </c>
      <c r="T1097" s="68" t="s">
        <v>124</v>
      </c>
      <c r="U1097" s="68" t="s">
        <v>125</v>
      </c>
      <c r="V1097" s="68" t="s">
        <v>38</v>
      </c>
      <c r="W1097" s="68" t="s">
        <v>35</v>
      </c>
      <c r="X1097" s="68" t="s">
        <v>35</v>
      </c>
      <c r="Y1097" s="68" t="s">
        <v>35</v>
      </c>
      <c r="Z1097" s="68" t="b">
        <v>0</v>
      </c>
      <c r="AA1097" s="68" t="s">
        <v>35</v>
      </c>
      <c r="AB1097" s="68">
        <v>4</v>
      </c>
      <c r="AC1097" s="68" t="s">
        <v>35</v>
      </c>
      <c r="AD1097" s="68" t="s">
        <v>35</v>
      </c>
      <c r="AE1097" s="68" t="s">
        <v>2406</v>
      </c>
      <c r="AF1097" s="69">
        <v>44753.409722164353</v>
      </c>
      <c r="AG1097" s="71"/>
      <c r="AH1097" s="53" t="b">
        <f t="shared" si="23"/>
        <v>0</v>
      </c>
      <c r="AI1097" s="56" t="s">
        <v>35</v>
      </c>
      <c r="AJ1097" s="68"/>
      <c r="AK1097" s="68"/>
      <c r="AL1097" s="68"/>
      <c r="AM1097" s="68"/>
      <c r="AN1097" s="68"/>
    </row>
    <row r="1098" spans="1:40" ht="16" x14ac:dyDescent="0.2">
      <c r="A1098" s="2" t="s">
        <v>2459</v>
      </c>
      <c r="B1098" s="2">
        <v>759</v>
      </c>
      <c r="C1098" s="2" t="b">
        <v>0</v>
      </c>
      <c r="D1098" s="2" t="b">
        <v>0</v>
      </c>
      <c r="E1098" s="2" t="b">
        <v>0</v>
      </c>
      <c r="F1098" s="2" t="b">
        <v>0</v>
      </c>
      <c r="G1098" s="2" t="s">
        <v>31</v>
      </c>
      <c r="H1098" s="2" t="s">
        <v>2460</v>
      </c>
      <c r="I1098" s="2" t="s">
        <v>2461</v>
      </c>
      <c r="J1098" s="2" t="s">
        <v>675</v>
      </c>
      <c r="K1098" s="2" t="s">
        <v>35</v>
      </c>
      <c r="L1098" s="2" t="s">
        <v>35</v>
      </c>
      <c r="M1098" s="2" t="s">
        <v>35</v>
      </c>
      <c r="N1098" s="2" t="s">
        <v>35</v>
      </c>
      <c r="O1098" s="11">
        <v>44753.437176319443</v>
      </c>
      <c r="P1098" s="11">
        <v>44753.437353993053</v>
      </c>
      <c r="Q1098" s="27">
        <v>1.7767360986908898E-4</v>
      </c>
      <c r="R1098" s="27">
        <v>3.0936574039515108E-3</v>
      </c>
      <c r="S1098" s="2">
        <v>0</v>
      </c>
      <c r="T1098" s="2" t="s">
        <v>124</v>
      </c>
      <c r="U1098" s="2" t="s">
        <v>125</v>
      </c>
      <c r="V1098" s="2" t="s">
        <v>38</v>
      </c>
      <c r="W1098" s="2" t="s">
        <v>35</v>
      </c>
      <c r="X1098" s="2" t="s">
        <v>35</v>
      </c>
      <c r="Y1098" s="2" t="s">
        <v>35</v>
      </c>
      <c r="Z1098" s="2" t="b">
        <v>0</v>
      </c>
      <c r="AA1098" s="2" t="s">
        <v>35</v>
      </c>
      <c r="AB1098" s="2">
        <v>4</v>
      </c>
      <c r="AC1098" s="2" t="s">
        <v>35</v>
      </c>
      <c r="AD1098" s="2" t="s">
        <v>35</v>
      </c>
      <c r="AE1098" s="2" t="s">
        <v>2406</v>
      </c>
      <c r="AF1098" s="11">
        <v>44753.409722164353</v>
      </c>
      <c r="AG1098" s="53"/>
      <c r="AH1098" s="53" t="b">
        <f t="shared" si="23"/>
        <v>0</v>
      </c>
      <c r="AI1098" s="54" t="s">
        <v>10780</v>
      </c>
      <c r="AJ1098" s="2"/>
      <c r="AK1098" s="2"/>
      <c r="AL1098" s="2"/>
      <c r="AM1098" s="2"/>
      <c r="AN1098" s="2"/>
    </row>
    <row r="1099" spans="1:40" ht="16" x14ac:dyDescent="0.2">
      <c r="A1099" s="2" t="s">
        <v>2462</v>
      </c>
      <c r="B1099" s="2">
        <v>760</v>
      </c>
      <c r="C1099" s="2" t="b">
        <v>0</v>
      </c>
      <c r="D1099" s="2" t="b">
        <v>0</v>
      </c>
      <c r="E1099" s="2" t="b">
        <v>0</v>
      </c>
      <c r="F1099" s="2" t="b">
        <v>0</v>
      </c>
      <c r="G1099" s="2" t="s">
        <v>31</v>
      </c>
      <c r="H1099" s="2" t="s">
        <v>2463</v>
      </c>
      <c r="I1099" s="2" t="s">
        <v>2464</v>
      </c>
      <c r="J1099" s="2" t="s">
        <v>675</v>
      </c>
      <c r="K1099" s="2" t="s">
        <v>35</v>
      </c>
      <c r="L1099" s="2" t="s">
        <v>35</v>
      </c>
      <c r="M1099" s="2" t="s">
        <v>35</v>
      </c>
      <c r="N1099" s="2" t="s">
        <v>35</v>
      </c>
      <c r="O1099" s="11">
        <v>44753.438078634259</v>
      </c>
      <c r="P1099" s="11">
        <v>44753.438282754629</v>
      </c>
      <c r="Q1099" s="27">
        <v>2.0412036974448711E-4</v>
      </c>
      <c r="R1099" s="27">
        <v>9.2876157577848062E-4</v>
      </c>
      <c r="S1099" s="2">
        <v>0</v>
      </c>
      <c r="T1099" s="2" t="s">
        <v>124</v>
      </c>
      <c r="U1099" s="2" t="s">
        <v>125</v>
      </c>
      <c r="V1099" s="2" t="s">
        <v>38</v>
      </c>
      <c r="W1099" s="2" t="s">
        <v>35</v>
      </c>
      <c r="X1099" s="2" t="s">
        <v>35</v>
      </c>
      <c r="Y1099" s="2" t="s">
        <v>35</v>
      </c>
      <c r="Z1099" s="2" t="b">
        <v>0</v>
      </c>
      <c r="AA1099" s="2" t="s">
        <v>35</v>
      </c>
      <c r="AB1099" s="2">
        <v>4</v>
      </c>
      <c r="AC1099" s="2" t="s">
        <v>35</v>
      </c>
      <c r="AD1099" s="2" t="s">
        <v>35</v>
      </c>
      <c r="AE1099" s="2" t="s">
        <v>2406</v>
      </c>
      <c r="AF1099" s="11">
        <v>44753.409722164353</v>
      </c>
      <c r="AG1099" s="53"/>
      <c r="AH1099" s="53" t="b">
        <f t="shared" si="23"/>
        <v>0</v>
      </c>
      <c r="AI1099" s="54" t="s">
        <v>10781</v>
      </c>
      <c r="AJ1099" s="2"/>
      <c r="AK1099" s="2"/>
      <c r="AL1099" s="2"/>
      <c r="AM1099" s="2"/>
      <c r="AN1099" s="2"/>
    </row>
    <row r="1100" spans="1:40" ht="16" x14ac:dyDescent="0.2">
      <c r="A1100" s="2" t="s">
        <v>2465</v>
      </c>
      <c r="B1100" s="2">
        <v>761</v>
      </c>
      <c r="C1100" s="2" t="b">
        <v>0</v>
      </c>
      <c r="D1100" s="2" t="b">
        <v>0</v>
      </c>
      <c r="E1100" s="2" t="b">
        <v>0</v>
      </c>
      <c r="F1100" s="2" t="b">
        <v>0</v>
      </c>
      <c r="G1100" s="2" t="s">
        <v>31</v>
      </c>
      <c r="H1100" s="2" t="s">
        <v>2466</v>
      </c>
      <c r="I1100" s="2" t="s">
        <v>2467</v>
      </c>
      <c r="J1100" s="2" t="s">
        <v>675</v>
      </c>
      <c r="K1100" s="2" t="s">
        <v>35</v>
      </c>
      <c r="L1100" s="2" t="s">
        <v>35</v>
      </c>
      <c r="M1100" s="2" t="s">
        <v>35</v>
      </c>
      <c r="N1100" s="2" t="s">
        <v>35</v>
      </c>
      <c r="O1100" s="11">
        <v>44753.438426122688</v>
      </c>
      <c r="P1100" s="11">
        <v>44753.43866540509</v>
      </c>
      <c r="Q1100" s="27">
        <v>2.392824026173912E-4</v>
      </c>
      <c r="R1100" s="27">
        <v>3.8265046168817207E-4</v>
      </c>
      <c r="S1100" s="2">
        <v>0</v>
      </c>
      <c r="T1100" s="2" t="s">
        <v>124</v>
      </c>
      <c r="U1100" s="2" t="s">
        <v>125</v>
      </c>
      <c r="V1100" s="2" t="s">
        <v>38</v>
      </c>
      <c r="W1100" s="2" t="s">
        <v>35</v>
      </c>
      <c r="X1100" s="2" t="s">
        <v>35</v>
      </c>
      <c r="Y1100" s="2" t="s">
        <v>35</v>
      </c>
      <c r="Z1100" s="2" t="b">
        <v>0</v>
      </c>
      <c r="AA1100" s="2" t="s">
        <v>35</v>
      </c>
      <c r="AB1100" s="2">
        <v>4</v>
      </c>
      <c r="AC1100" s="2" t="s">
        <v>35</v>
      </c>
      <c r="AD1100" s="2" t="s">
        <v>35</v>
      </c>
      <c r="AE1100" s="2" t="s">
        <v>2406</v>
      </c>
      <c r="AF1100" s="11">
        <v>44753.409722164353</v>
      </c>
      <c r="AG1100" s="53"/>
      <c r="AH1100" s="53" t="b">
        <f t="shared" si="23"/>
        <v>0</v>
      </c>
      <c r="AI1100" s="54" t="s">
        <v>10782</v>
      </c>
      <c r="AJ1100" s="2"/>
      <c r="AK1100" s="2"/>
      <c r="AL1100" s="2"/>
      <c r="AM1100" s="2"/>
      <c r="AN1100" s="2"/>
    </row>
    <row r="1101" spans="1:40" ht="16" x14ac:dyDescent="0.2">
      <c r="A1101" s="2" t="s">
        <v>2468</v>
      </c>
      <c r="B1101" s="2">
        <v>762</v>
      </c>
      <c r="C1101" s="2" t="b">
        <v>0</v>
      </c>
      <c r="D1101" s="2" t="b">
        <v>0</v>
      </c>
      <c r="E1101" s="2" t="b">
        <v>0</v>
      </c>
      <c r="F1101" s="2" t="b">
        <v>0</v>
      </c>
      <c r="G1101" s="2" t="s">
        <v>31</v>
      </c>
      <c r="H1101" s="2" t="s">
        <v>2469</v>
      </c>
      <c r="I1101" s="2" t="s">
        <v>2470</v>
      </c>
      <c r="J1101" s="2" t="s">
        <v>675</v>
      </c>
      <c r="K1101" s="2" t="s">
        <v>35</v>
      </c>
      <c r="L1101" s="2" t="s">
        <v>35</v>
      </c>
      <c r="M1101" s="2" t="s">
        <v>35</v>
      </c>
      <c r="N1101" s="2" t="s">
        <v>35</v>
      </c>
      <c r="O1101" s="11">
        <v>44753.439603784725</v>
      </c>
      <c r="P1101" s="11">
        <v>44753.439764409719</v>
      </c>
      <c r="Q1101" s="27">
        <v>1.6062499344116077E-4</v>
      </c>
      <c r="R1101" s="27">
        <v>1.099004628486E-3</v>
      </c>
      <c r="S1101" s="2">
        <v>0</v>
      </c>
      <c r="T1101" s="2" t="s">
        <v>124</v>
      </c>
      <c r="U1101" s="2" t="s">
        <v>125</v>
      </c>
      <c r="V1101" s="2" t="s">
        <v>38</v>
      </c>
      <c r="W1101" s="2" t="s">
        <v>35</v>
      </c>
      <c r="X1101" s="2" t="s">
        <v>35</v>
      </c>
      <c r="Y1101" s="2" t="s">
        <v>35</v>
      </c>
      <c r="Z1101" s="2" t="b">
        <v>0</v>
      </c>
      <c r="AA1101" s="2" t="s">
        <v>35</v>
      </c>
      <c r="AB1101" s="2">
        <v>4</v>
      </c>
      <c r="AC1101" s="2" t="s">
        <v>35</v>
      </c>
      <c r="AD1101" s="2" t="s">
        <v>35</v>
      </c>
      <c r="AE1101" s="2" t="s">
        <v>2406</v>
      </c>
      <c r="AF1101" s="11">
        <v>44753.409722164353</v>
      </c>
      <c r="AG1101" s="53"/>
      <c r="AH1101" s="53" t="b">
        <f t="shared" si="23"/>
        <v>0</v>
      </c>
      <c r="AI1101" s="54" t="s">
        <v>10783</v>
      </c>
      <c r="AJ1101" s="2"/>
      <c r="AK1101" s="2"/>
      <c r="AL1101" s="2"/>
      <c r="AM1101" s="2"/>
      <c r="AN1101" s="2"/>
    </row>
    <row r="1102" spans="1:40" ht="16" x14ac:dyDescent="0.2">
      <c r="A1102" s="31" t="s">
        <v>2480</v>
      </c>
      <c r="B1102" s="31">
        <v>766</v>
      </c>
      <c r="C1102" s="31" t="b">
        <v>0</v>
      </c>
      <c r="D1102" s="31" t="b">
        <v>0</v>
      </c>
      <c r="E1102" s="31" t="b">
        <v>0</v>
      </c>
      <c r="F1102" s="31" t="b">
        <v>0</v>
      </c>
      <c r="G1102" s="31" t="s">
        <v>31</v>
      </c>
      <c r="H1102" s="68" t="s">
        <v>149</v>
      </c>
      <c r="I1102" s="31" t="s">
        <v>2481</v>
      </c>
      <c r="J1102" s="31" t="s">
        <v>675</v>
      </c>
      <c r="K1102" s="31" t="s">
        <v>35</v>
      </c>
      <c r="L1102" s="31" t="s">
        <v>35</v>
      </c>
      <c r="M1102" s="31" t="s">
        <v>35</v>
      </c>
      <c r="N1102" s="31" t="s">
        <v>35</v>
      </c>
      <c r="O1102" s="32">
        <v>44753.450270949077</v>
      </c>
      <c r="P1102" s="32">
        <v>44753.450399456022</v>
      </c>
      <c r="Q1102" s="30">
        <v>1.2850694474764168E-4</v>
      </c>
      <c r="R1102" s="30">
        <v>9.537731486489065E-3</v>
      </c>
      <c r="S1102" s="31">
        <v>0</v>
      </c>
      <c r="T1102" s="31" t="s">
        <v>124</v>
      </c>
      <c r="U1102" s="31" t="s">
        <v>125</v>
      </c>
      <c r="V1102" s="31" t="s">
        <v>38</v>
      </c>
      <c r="W1102" s="31" t="s">
        <v>35</v>
      </c>
      <c r="X1102" s="31" t="s">
        <v>35</v>
      </c>
      <c r="Y1102" s="31" t="s">
        <v>35</v>
      </c>
      <c r="Z1102" s="31" t="b">
        <v>0</v>
      </c>
      <c r="AA1102" s="31" t="s">
        <v>35</v>
      </c>
      <c r="AB1102" s="31">
        <v>4</v>
      </c>
      <c r="AC1102" s="31" t="s">
        <v>35</v>
      </c>
      <c r="AD1102" s="31" t="s">
        <v>35</v>
      </c>
      <c r="AE1102" s="31" t="s">
        <v>2406</v>
      </c>
      <c r="AF1102" s="32">
        <v>44753.409722164353</v>
      </c>
      <c r="AG1102" s="55" t="s">
        <v>9408</v>
      </c>
      <c r="AH1102" s="53" t="b">
        <f t="shared" si="23"/>
        <v>0</v>
      </c>
      <c r="AI1102" s="56" t="s">
        <v>35</v>
      </c>
      <c r="AJ1102" s="31"/>
      <c r="AK1102" s="31"/>
      <c r="AL1102" s="31"/>
      <c r="AM1102" s="31"/>
      <c r="AN1102" s="31"/>
    </row>
    <row r="1103" spans="1:40" ht="16" x14ac:dyDescent="0.2">
      <c r="A1103" s="2" t="s">
        <v>2488</v>
      </c>
      <c r="B1103" s="2">
        <v>769</v>
      </c>
      <c r="C1103" s="2" t="b">
        <v>0</v>
      </c>
      <c r="D1103" s="2" t="b">
        <v>0</v>
      </c>
      <c r="E1103" s="2" t="b">
        <v>0</v>
      </c>
      <c r="F1103" s="2" t="b">
        <v>0</v>
      </c>
      <c r="G1103" s="2" t="s">
        <v>31</v>
      </c>
      <c r="H1103" s="2" t="s">
        <v>2489</v>
      </c>
      <c r="I1103" s="2" t="s">
        <v>2490</v>
      </c>
      <c r="J1103" s="2" t="s">
        <v>675</v>
      </c>
      <c r="K1103" s="2" t="s">
        <v>35</v>
      </c>
      <c r="L1103" s="2" t="s">
        <v>35</v>
      </c>
      <c r="M1103" s="2" t="s">
        <v>35</v>
      </c>
      <c r="N1103" s="2" t="s">
        <v>35</v>
      </c>
      <c r="O1103" s="11">
        <v>44753.451982592589</v>
      </c>
      <c r="P1103" s="11">
        <v>44753.452129062498</v>
      </c>
      <c r="Q1103" s="27">
        <v>1.4646990894107148E-4</v>
      </c>
      <c r="R1103" s="27">
        <v>8.6865740740904585E-4</v>
      </c>
      <c r="S1103" s="2">
        <v>0</v>
      </c>
      <c r="T1103" s="2" t="s">
        <v>124</v>
      </c>
      <c r="U1103" s="2" t="s">
        <v>125</v>
      </c>
      <c r="V1103" s="2" t="s">
        <v>38</v>
      </c>
      <c r="W1103" s="2" t="s">
        <v>35</v>
      </c>
      <c r="X1103" s="2" t="s">
        <v>35</v>
      </c>
      <c r="Y1103" s="2" t="s">
        <v>35</v>
      </c>
      <c r="Z1103" s="2" t="b">
        <v>0</v>
      </c>
      <c r="AA1103" s="2" t="s">
        <v>35</v>
      </c>
      <c r="AB1103" s="2">
        <v>4</v>
      </c>
      <c r="AC1103" s="2" t="s">
        <v>35</v>
      </c>
      <c r="AD1103" s="2" t="s">
        <v>35</v>
      </c>
      <c r="AE1103" s="2" t="s">
        <v>2406</v>
      </c>
      <c r="AF1103" s="11">
        <v>44753.409722164353</v>
      </c>
      <c r="AG1103" s="53"/>
      <c r="AH1103" s="53" t="b">
        <f t="shared" ref="AH1103:AH1134" si="24">IF(Q1103&gt;TIME(0,0,45),"TRUE")</f>
        <v>0</v>
      </c>
      <c r="AI1103" s="54" t="s">
        <v>9656</v>
      </c>
      <c r="AJ1103" s="2"/>
      <c r="AK1103" s="2"/>
      <c r="AL1103" s="2"/>
      <c r="AM1103" s="2"/>
      <c r="AN1103" s="2"/>
    </row>
    <row r="1104" spans="1:40" ht="16" x14ac:dyDescent="0.2">
      <c r="A1104" s="2" t="s">
        <v>2572</v>
      </c>
      <c r="B1104" s="2">
        <v>795</v>
      </c>
      <c r="C1104" s="2" t="b">
        <v>0</v>
      </c>
      <c r="D1104" s="2" t="b">
        <v>0</v>
      </c>
      <c r="E1104" s="2" t="b">
        <v>0</v>
      </c>
      <c r="F1104" s="2" t="b">
        <v>0</v>
      </c>
      <c r="G1104" s="2" t="s">
        <v>31</v>
      </c>
      <c r="H1104" s="2" t="s">
        <v>2573</v>
      </c>
      <c r="I1104" s="2" t="s">
        <v>2574</v>
      </c>
      <c r="J1104" s="2" t="s">
        <v>675</v>
      </c>
      <c r="K1104" s="2" t="s">
        <v>35</v>
      </c>
      <c r="L1104" s="2" t="s">
        <v>35</v>
      </c>
      <c r="M1104" s="2" t="s">
        <v>35</v>
      </c>
      <c r="N1104" s="2" t="s">
        <v>35</v>
      </c>
      <c r="O1104" s="11">
        <v>44753.484712627316</v>
      </c>
      <c r="P1104" s="11">
        <v>44753.48566337963</v>
      </c>
      <c r="Q1104" s="27">
        <v>9.5075231365626678E-4</v>
      </c>
      <c r="R1104" s="27">
        <v>1.5705092591815628E-3</v>
      </c>
      <c r="S1104" s="2">
        <v>0</v>
      </c>
      <c r="T1104" s="2" t="s">
        <v>124</v>
      </c>
      <c r="U1104" s="2" t="s">
        <v>125</v>
      </c>
      <c r="V1104" s="2" t="s">
        <v>38</v>
      </c>
      <c r="W1104" s="2" t="s">
        <v>35</v>
      </c>
      <c r="X1104" s="2" t="s">
        <v>35</v>
      </c>
      <c r="Y1104" s="2" t="s">
        <v>35</v>
      </c>
      <c r="Z1104" s="2" t="b">
        <v>0</v>
      </c>
      <c r="AA1104" s="2" t="s">
        <v>35</v>
      </c>
      <c r="AB1104" s="2">
        <v>4</v>
      </c>
      <c r="AC1104" s="2" t="s">
        <v>35</v>
      </c>
      <c r="AD1104" s="2" t="s">
        <v>35</v>
      </c>
      <c r="AE1104" s="2" t="s">
        <v>2406</v>
      </c>
      <c r="AF1104" s="11">
        <v>44753.409722164353</v>
      </c>
      <c r="AG1104" s="53"/>
      <c r="AH1104" s="53" t="str">
        <f t="shared" si="24"/>
        <v>TRUE</v>
      </c>
      <c r="AI1104" s="54" t="s">
        <v>10784</v>
      </c>
      <c r="AJ1104" s="2"/>
      <c r="AK1104" s="2"/>
      <c r="AL1104" s="2"/>
      <c r="AM1104" s="2"/>
      <c r="AN1104" s="2"/>
    </row>
    <row r="1105" spans="1:40" ht="16" x14ac:dyDescent="0.2">
      <c r="A1105" s="2" t="s">
        <v>2608</v>
      </c>
      <c r="B1105" s="2">
        <v>807</v>
      </c>
      <c r="C1105" s="2" t="b">
        <v>0</v>
      </c>
      <c r="D1105" s="2" t="b">
        <v>0</v>
      </c>
      <c r="E1105" s="2" t="b">
        <v>0</v>
      </c>
      <c r="F1105" s="2" t="b">
        <v>0</v>
      </c>
      <c r="G1105" s="2" t="s">
        <v>31</v>
      </c>
      <c r="H1105" s="2" t="s">
        <v>2609</v>
      </c>
      <c r="I1105" s="2" t="s">
        <v>2610</v>
      </c>
      <c r="J1105" s="2" t="s">
        <v>675</v>
      </c>
      <c r="K1105" s="2" t="s">
        <v>35</v>
      </c>
      <c r="L1105" s="2" t="s">
        <v>35</v>
      </c>
      <c r="M1105" s="2" t="s">
        <v>35</v>
      </c>
      <c r="N1105" s="2" t="s">
        <v>35</v>
      </c>
      <c r="O1105" s="11">
        <v>44753.506539895832</v>
      </c>
      <c r="P1105" s="11">
        <v>44753.506754826391</v>
      </c>
      <c r="Q1105" s="27">
        <v>2.149305582861416E-4</v>
      </c>
      <c r="R1105" s="27">
        <v>1.4368981501320377E-3</v>
      </c>
      <c r="S1105" s="2">
        <v>0</v>
      </c>
      <c r="T1105" s="2" t="s">
        <v>124</v>
      </c>
      <c r="U1105" s="2" t="s">
        <v>125</v>
      </c>
      <c r="V1105" s="2" t="s">
        <v>38</v>
      </c>
      <c r="W1105" s="2" t="s">
        <v>35</v>
      </c>
      <c r="X1105" s="2" t="s">
        <v>35</v>
      </c>
      <c r="Y1105" s="2" t="s">
        <v>35</v>
      </c>
      <c r="Z1105" s="2" t="b">
        <v>0</v>
      </c>
      <c r="AA1105" s="2" t="s">
        <v>35</v>
      </c>
      <c r="AB1105" s="2">
        <v>4</v>
      </c>
      <c r="AC1105" s="2" t="s">
        <v>35</v>
      </c>
      <c r="AD1105" s="2" t="s">
        <v>35</v>
      </c>
      <c r="AE1105" s="2" t="s">
        <v>2406</v>
      </c>
      <c r="AF1105" s="11">
        <v>44753.409722164353</v>
      </c>
      <c r="AG1105" s="53"/>
      <c r="AH1105" s="53" t="b">
        <f t="shared" si="24"/>
        <v>0</v>
      </c>
      <c r="AI1105" s="54" t="s">
        <v>10785</v>
      </c>
      <c r="AJ1105" s="2"/>
      <c r="AK1105" s="2"/>
      <c r="AL1105" s="2"/>
      <c r="AM1105" s="2"/>
      <c r="AN1105" s="2"/>
    </row>
    <row r="1106" spans="1:40" ht="16" x14ac:dyDescent="0.2">
      <c r="A1106" s="2" t="s">
        <v>2611</v>
      </c>
      <c r="B1106" s="2">
        <v>808</v>
      </c>
      <c r="C1106" s="2" t="b">
        <v>0</v>
      </c>
      <c r="D1106" s="2" t="b">
        <v>0</v>
      </c>
      <c r="E1106" s="2" t="b">
        <v>0</v>
      </c>
      <c r="F1106" s="2" t="b">
        <v>0</v>
      </c>
      <c r="G1106" s="2" t="s">
        <v>31</v>
      </c>
      <c r="H1106" s="2" t="s">
        <v>2612</v>
      </c>
      <c r="I1106" s="2" t="s">
        <v>2613</v>
      </c>
      <c r="J1106" s="2" t="s">
        <v>675</v>
      </c>
      <c r="K1106" s="2" t="s">
        <v>35</v>
      </c>
      <c r="L1106" s="2" t="s">
        <v>35</v>
      </c>
      <c r="M1106" s="2" t="s">
        <v>35</v>
      </c>
      <c r="N1106" s="2" t="s">
        <v>35</v>
      </c>
      <c r="O1106" s="11">
        <v>44753.508019421293</v>
      </c>
      <c r="P1106" s="11">
        <v>44753.508245104167</v>
      </c>
      <c r="Q1106" s="27">
        <v>2.2568287386093289E-4</v>
      </c>
      <c r="R1106" s="27">
        <v>1.4902777766110376E-3</v>
      </c>
      <c r="S1106" s="2">
        <v>0</v>
      </c>
      <c r="T1106" s="2" t="s">
        <v>124</v>
      </c>
      <c r="U1106" s="2" t="s">
        <v>125</v>
      </c>
      <c r="V1106" s="2" t="s">
        <v>38</v>
      </c>
      <c r="W1106" s="2" t="s">
        <v>35</v>
      </c>
      <c r="X1106" s="2" t="s">
        <v>35</v>
      </c>
      <c r="Y1106" s="2" t="s">
        <v>35</v>
      </c>
      <c r="Z1106" s="2" t="b">
        <v>0</v>
      </c>
      <c r="AA1106" s="2" t="s">
        <v>35</v>
      </c>
      <c r="AB1106" s="2">
        <v>4</v>
      </c>
      <c r="AC1106" s="2" t="s">
        <v>35</v>
      </c>
      <c r="AD1106" s="2" t="s">
        <v>35</v>
      </c>
      <c r="AE1106" s="2" t="s">
        <v>2406</v>
      </c>
      <c r="AF1106" s="11">
        <v>44753.409722164353</v>
      </c>
      <c r="AG1106" s="53"/>
      <c r="AH1106" s="53" t="b">
        <f t="shared" si="24"/>
        <v>0</v>
      </c>
      <c r="AI1106" s="54" t="s">
        <v>10786</v>
      </c>
      <c r="AJ1106" s="2"/>
      <c r="AK1106" s="2"/>
      <c r="AL1106" s="2"/>
      <c r="AM1106" s="2"/>
      <c r="AN1106" s="2"/>
    </row>
    <row r="1107" spans="1:40" ht="16" x14ac:dyDescent="0.2">
      <c r="A1107" s="2" t="s">
        <v>2614</v>
      </c>
      <c r="B1107" s="2">
        <v>809</v>
      </c>
      <c r="C1107" s="2" t="b">
        <v>0</v>
      </c>
      <c r="D1107" s="2" t="b">
        <v>0</v>
      </c>
      <c r="E1107" s="2" t="b">
        <v>0</v>
      </c>
      <c r="F1107" s="2" t="b">
        <v>0</v>
      </c>
      <c r="G1107" s="2" t="s">
        <v>31</v>
      </c>
      <c r="H1107" s="2" t="s">
        <v>2615</v>
      </c>
      <c r="I1107" s="2" t="s">
        <v>2616</v>
      </c>
      <c r="J1107" s="2" t="s">
        <v>675</v>
      </c>
      <c r="K1107" s="2" t="s">
        <v>35</v>
      </c>
      <c r="L1107" s="2" t="s">
        <v>35</v>
      </c>
      <c r="M1107" s="2" t="s">
        <v>35</v>
      </c>
      <c r="N1107" s="2" t="s">
        <v>35</v>
      </c>
      <c r="O1107" s="11">
        <v>44753.509149097219</v>
      </c>
      <c r="P1107" s="11">
        <v>44753.509339953707</v>
      </c>
      <c r="Q1107" s="27">
        <v>1.9085648818872869E-4</v>
      </c>
      <c r="R1107" s="27">
        <v>1.0948495400953107E-3</v>
      </c>
      <c r="S1107" s="2">
        <v>0</v>
      </c>
      <c r="T1107" s="2" t="s">
        <v>124</v>
      </c>
      <c r="U1107" s="2" t="s">
        <v>125</v>
      </c>
      <c r="V1107" s="2" t="s">
        <v>38</v>
      </c>
      <c r="W1107" s="2" t="s">
        <v>35</v>
      </c>
      <c r="X1107" s="2" t="s">
        <v>35</v>
      </c>
      <c r="Y1107" s="2" t="s">
        <v>35</v>
      </c>
      <c r="Z1107" s="2" t="b">
        <v>0</v>
      </c>
      <c r="AA1107" s="2" t="s">
        <v>35</v>
      </c>
      <c r="AB1107" s="2">
        <v>4</v>
      </c>
      <c r="AC1107" s="2" t="s">
        <v>35</v>
      </c>
      <c r="AD1107" s="2" t="s">
        <v>35</v>
      </c>
      <c r="AE1107" s="2" t="s">
        <v>2406</v>
      </c>
      <c r="AF1107" s="11">
        <v>44753.409722164353</v>
      </c>
      <c r="AG1107" s="53"/>
      <c r="AH1107" s="53" t="b">
        <f t="shared" si="24"/>
        <v>0</v>
      </c>
      <c r="AI1107" s="54" t="s">
        <v>10787</v>
      </c>
      <c r="AJ1107" s="2"/>
      <c r="AK1107" s="2"/>
      <c r="AL1107" s="2"/>
      <c r="AM1107" s="2"/>
      <c r="AN1107" s="2"/>
    </row>
    <row r="1108" spans="1:40" ht="16" x14ac:dyDescent="0.2">
      <c r="A1108" s="2" t="s">
        <v>2617</v>
      </c>
      <c r="B1108" s="2">
        <v>810</v>
      </c>
      <c r="C1108" s="2" t="b">
        <v>0</v>
      </c>
      <c r="D1108" s="2" t="b">
        <v>0</v>
      </c>
      <c r="E1108" s="2" t="b">
        <v>0</v>
      </c>
      <c r="F1108" s="2" t="b">
        <v>0</v>
      </c>
      <c r="G1108" s="2" t="s">
        <v>31</v>
      </c>
      <c r="H1108" s="2" t="s">
        <v>2618</v>
      </c>
      <c r="I1108" s="2" t="s">
        <v>2619</v>
      </c>
      <c r="J1108" s="2" t="s">
        <v>675</v>
      </c>
      <c r="K1108" s="2" t="s">
        <v>35</v>
      </c>
      <c r="L1108" s="2" t="s">
        <v>35</v>
      </c>
      <c r="M1108" s="2" t="s">
        <v>35</v>
      </c>
      <c r="N1108" s="2" t="s">
        <v>35</v>
      </c>
      <c r="O1108" s="11">
        <v>44753.509904444443</v>
      </c>
      <c r="P1108" s="11">
        <v>44753.510201296296</v>
      </c>
      <c r="Q1108" s="27">
        <v>2.9685185290873051E-4</v>
      </c>
      <c r="R1108" s="27">
        <v>8.6134258890524507E-4</v>
      </c>
      <c r="S1108" s="2">
        <v>0</v>
      </c>
      <c r="T1108" s="2" t="s">
        <v>124</v>
      </c>
      <c r="U1108" s="2" t="s">
        <v>125</v>
      </c>
      <c r="V1108" s="2" t="s">
        <v>38</v>
      </c>
      <c r="W1108" s="2" t="s">
        <v>35</v>
      </c>
      <c r="X1108" s="2" t="s">
        <v>35</v>
      </c>
      <c r="Y1108" s="2" t="s">
        <v>35</v>
      </c>
      <c r="Z1108" s="2" t="b">
        <v>0</v>
      </c>
      <c r="AA1108" s="2" t="s">
        <v>35</v>
      </c>
      <c r="AB1108" s="2">
        <v>4</v>
      </c>
      <c r="AC1108" s="2" t="s">
        <v>35</v>
      </c>
      <c r="AD1108" s="2" t="s">
        <v>35</v>
      </c>
      <c r="AE1108" s="2" t="s">
        <v>2406</v>
      </c>
      <c r="AF1108" s="11">
        <v>44753.409722164353</v>
      </c>
      <c r="AG1108" s="53"/>
      <c r="AH1108" s="53" t="b">
        <f t="shared" si="24"/>
        <v>0</v>
      </c>
      <c r="AI1108" s="54" t="s">
        <v>9655</v>
      </c>
      <c r="AJ1108" s="2" t="s">
        <v>9654</v>
      </c>
      <c r="AK1108" s="2"/>
      <c r="AL1108" s="2"/>
      <c r="AM1108" s="2"/>
      <c r="AN1108" s="2"/>
    </row>
    <row r="1109" spans="1:40" ht="16" x14ac:dyDescent="0.2">
      <c r="A1109" s="2" t="s">
        <v>2620</v>
      </c>
      <c r="B1109" s="2">
        <v>811</v>
      </c>
      <c r="C1109" s="2" t="b">
        <v>0</v>
      </c>
      <c r="D1109" s="2" t="b">
        <v>0</v>
      </c>
      <c r="E1109" s="2" t="b">
        <v>0</v>
      </c>
      <c r="F1109" s="2" t="b">
        <v>0</v>
      </c>
      <c r="G1109" s="2" t="s">
        <v>31</v>
      </c>
      <c r="H1109" s="2" t="s">
        <v>2621</v>
      </c>
      <c r="I1109" s="2" t="s">
        <v>2622</v>
      </c>
      <c r="J1109" s="2" t="s">
        <v>675</v>
      </c>
      <c r="K1109" s="2" t="s">
        <v>35</v>
      </c>
      <c r="L1109" s="2" t="s">
        <v>35</v>
      </c>
      <c r="M1109" s="2" t="s">
        <v>35</v>
      </c>
      <c r="N1109" s="2" t="s">
        <v>35</v>
      </c>
      <c r="O1109" s="11">
        <v>44753.510268726852</v>
      </c>
      <c r="P1109" s="11">
        <v>44753.510569999999</v>
      </c>
      <c r="Q1109" s="27">
        <v>3.0127314676064998E-4</v>
      </c>
      <c r="R1109" s="27">
        <v>3.6870370240649208E-4</v>
      </c>
      <c r="S1109" s="2">
        <v>0</v>
      </c>
      <c r="T1109" s="2" t="s">
        <v>124</v>
      </c>
      <c r="U1109" s="2" t="s">
        <v>125</v>
      </c>
      <c r="V1109" s="2" t="s">
        <v>38</v>
      </c>
      <c r="W1109" s="2" t="s">
        <v>35</v>
      </c>
      <c r="X1109" s="2" t="s">
        <v>35</v>
      </c>
      <c r="Y1109" s="2" t="s">
        <v>35</v>
      </c>
      <c r="Z1109" s="2" t="b">
        <v>0</v>
      </c>
      <c r="AA1109" s="2" t="s">
        <v>35</v>
      </c>
      <c r="AB1109" s="2">
        <v>4</v>
      </c>
      <c r="AC1109" s="2" t="s">
        <v>35</v>
      </c>
      <c r="AD1109" s="2" t="s">
        <v>35</v>
      </c>
      <c r="AE1109" s="2" t="s">
        <v>2406</v>
      </c>
      <c r="AF1109" s="11">
        <v>44753.409722164353</v>
      </c>
      <c r="AG1109" s="53"/>
      <c r="AH1109" s="53" t="b">
        <f t="shared" si="24"/>
        <v>0</v>
      </c>
      <c r="AI1109" s="54" t="s">
        <v>9653</v>
      </c>
      <c r="AJ1109" s="2"/>
      <c r="AK1109" s="2"/>
      <c r="AL1109" s="2"/>
      <c r="AM1109" s="2"/>
      <c r="AN1109" s="2"/>
    </row>
    <row r="1110" spans="1:40" ht="16" x14ac:dyDescent="0.2">
      <c r="A1110" s="2" t="s">
        <v>2623</v>
      </c>
      <c r="B1110" s="2">
        <v>812</v>
      </c>
      <c r="C1110" s="2" t="b">
        <v>0</v>
      </c>
      <c r="D1110" s="2" t="b">
        <v>0</v>
      </c>
      <c r="E1110" s="2" t="b">
        <v>0</v>
      </c>
      <c r="F1110" s="2" t="b">
        <v>0</v>
      </c>
      <c r="G1110" s="2" t="s">
        <v>31</v>
      </c>
      <c r="H1110" s="2" t="s">
        <v>2624</v>
      </c>
      <c r="I1110" s="2" t="s">
        <v>2625</v>
      </c>
      <c r="J1110" s="2" t="s">
        <v>675</v>
      </c>
      <c r="K1110" s="2" t="s">
        <v>35</v>
      </c>
      <c r="L1110" s="2" t="s">
        <v>35</v>
      </c>
      <c r="M1110" s="2" t="s">
        <v>35</v>
      </c>
      <c r="N1110" s="2" t="s">
        <v>35</v>
      </c>
      <c r="O1110" s="11">
        <v>44753.510754305556</v>
      </c>
      <c r="P1110" s="11">
        <v>44753.510954930556</v>
      </c>
      <c r="Q1110" s="27">
        <v>2.0062499970663339E-4</v>
      </c>
      <c r="R1110" s="27">
        <v>3.8493055762955919E-4</v>
      </c>
      <c r="S1110" s="2">
        <v>0</v>
      </c>
      <c r="T1110" s="2" t="s">
        <v>124</v>
      </c>
      <c r="U1110" s="2" t="s">
        <v>125</v>
      </c>
      <c r="V1110" s="2" t="s">
        <v>38</v>
      </c>
      <c r="W1110" s="2" t="s">
        <v>35</v>
      </c>
      <c r="X1110" s="2" t="s">
        <v>35</v>
      </c>
      <c r="Y1110" s="2" t="s">
        <v>35</v>
      </c>
      <c r="Z1110" s="2" t="b">
        <v>0</v>
      </c>
      <c r="AA1110" s="2" t="s">
        <v>35</v>
      </c>
      <c r="AB1110" s="2">
        <v>4</v>
      </c>
      <c r="AC1110" s="2" t="s">
        <v>35</v>
      </c>
      <c r="AD1110" s="2" t="s">
        <v>35</v>
      </c>
      <c r="AE1110" s="2" t="s">
        <v>2406</v>
      </c>
      <c r="AF1110" s="11">
        <v>44753.409722164353</v>
      </c>
      <c r="AG1110" s="53"/>
      <c r="AH1110" s="53" t="b">
        <f t="shared" si="24"/>
        <v>0</v>
      </c>
      <c r="AI1110" s="54" t="s">
        <v>10788</v>
      </c>
      <c r="AJ1110" s="2"/>
      <c r="AK1110" s="2"/>
      <c r="AL1110" s="2"/>
      <c r="AM1110" s="2"/>
      <c r="AN1110" s="2"/>
    </row>
    <row r="1111" spans="1:40" ht="16" x14ac:dyDescent="0.2">
      <c r="A1111" s="2" t="s">
        <v>2629</v>
      </c>
      <c r="B1111" s="2">
        <v>814</v>
      </c>
      <c r="C1111" s="2" t="b">
        <v>0</v>
      </c>
      <c r="D1111" s="2" t="b">
        <v>0</v>
      </c>
      <c r="E1111" s="2" t="b">
        <v>0</v>
      </c>
      <c r="F1111" s="2" t="b">
        <v>0</v>
      </c>
      <c r="G1111" s="2" t="s">
        <v>31</v>
      </c>
      <c r="H1111" s="2" t="s">
        <v>2630</v>
      </c>
      <c r="I1111" s="2" t="s">
        <v>2631</v>
      </c>
      <c r="J1111" s="2" t="s">
        <v>675</v>
      </c>
      <c r="K1111" s="2" t="s">
        <v>35</v>
      </c>
      <c r="L1111" s="2" t="s">
        <v>35</v>
      </c>
      <c r="M1111" s="2" t="s">
        <v>35</v>
      </c>
      <c r="N1111" s="2" t="s">
        <v>35</v>
      </c>
      <c r="O1111" s="11">
        <v>44753.512634965278</v>
      </c>
      <c r="P1111" s="11">
        <v>44753.51289824074</v>
      </c>
      <c r="Q1111" s="27">
        <v>2.6327546220272779E-4</v>
      </c>
      <c r="R1111" s="27">
        <v>9.9622685229405761E-4</v>
      </c>
      <c r="S1111" s="2">
        <v>0</v>
      </c>
      <c r="T1111" s="2" t="s">
        <v>124</v>
      </c>
      <c r="U1111" s="2" t="s">
        <v>125</v>
      </c>
      <c r="V1111" s="2" t="s">
        <v>38</v>
      </c>
      <c r="W1111" s="2" t="s">
        <v>35</v>
      </c>
      <c r="X1111" s="2" t="s">
        <v>35</v>
      </c>
      <c r="Y1111" s="2" t="s">
        <v>35</v>
      </c>
      <c r="Z1111" s="2" t="b">
        <v>0</v>
      </c>
      <c r="AA1111" s="2" t="s">
        <v>35</v>
      </c>
      <c r="AB1111" s="2">
        <v>4</v>
      </c>
      <c r="AC1111" s="2" t="s">
        <v>35</v>
      </c>
      <c r="AD1111" s="2" t="s">
        <v>35</v>
      </c>
      <c r="AE1111" s="2" t="s">
        <v>2406</v>
      </c>
      <c r="AF1111" s="11">
        <v>44753.409722164353</v>
      </c>
      <c r="AG1111" s="53"/>
      <c r="AH1111" s="53" t="b">
        <f t="shared" si="24"/>
        <v>0</v>
      </c>
      <c r="AI1111" s="54" t="s">
        <v>10789</v>
      </c>
      <c r="AJ1111" s="2"/>
      <c r="AK1111" s="2"/>
      <c r="AL1111" s="2"/>
      <c r="AM1111" s="2"/>
      <c r="AN1111" s="2"/>
    </row>
    <row r="1112" spans="1:40" ht="16" x14ac:dyDescent="0.2">
      <c r="A1112" s="2" t="s">
        <v>2632</v>
      </c>
      <c r="B1112" s="2">
        <v>815</v>
      </c>
      <c r="C1112" s="2" t="b">
        <v>0</v>
      </c>
      <c r="D1112" s="2" t="b">
        <v>0</v>
      </c>
      <c r="E1112" s="2" t="b">
        <v>0</v>
      </c>
      <c r="F1112" s="2" t="b">
        <v>0</v>
      </c>
      <c r="G1112" s="2" t="s">
        <v>31</v>
      </c>
      <c r="H1112" s="2" t="s">
        <v>2633</v>
      </c>
      <c r="I1112" s="2" t="s">
        <v>2634</v>
      </c>
      <c r="J1112" s="2" t="s">
        <v>675</v>
      </c>
      <c r="K1112" s="2" t="s">
        <v>35</v>
      </c>
      <c r="L1112" s="2" t="s">
        <v>35</v>
      </c>
      <c r="M1112" s="2" t="s">
        <v>35</v>
      </c>
      <c r="N1112" s="2" t="s">
        <v>35</v>
      </c>
      <c r="O1112" s="11">
        <v>44753.513595069446</v>
      </c>
      <c r="P1112" s="11">
        <v>44753.513811319448</v>
      </c>
      <c r="Q1112" s="27">
        <v>2.1625000226777047E-4</v>
      </c>
      <c r="R1112" s="27">
        <v>9.1307870752643794E-4</v>
      </c>
      <c r="S1112" s="2">
        <v>0</v>
      </c>
      <c r="T1112" s="2" t="s">
        <v>124</v>
      </c>
      <c r="U1112" s="2" t="s">
        <v>125</v>
      </c>
      <c r="V1112" s="2" t="s">
        <v>38</v>
      </c>
      <c r="W1112" s="2" t="s">
        <v>35</v>
      </c>
      <c r="X1112" s="2" t="s">
        <v>35</v>
      </c>
      <c r="Y1112" s="2" t="s">
        <v>35</v>
      </c>
      <c r="Z1112" s="2" t="b">
        <v>0</v>
      </c>
      <c r="AA1112" s="2" t="s">
        <v>35</v>
      </c>
      <c r="AB1112" s="2">
        <v>4</v>
      </c>
      <c r="AC1112" s="2" t="s">
        <v>35</v>
      </c>
      <c r="AD1112" s="2" t="s">
        <v>35</v>
      </c>
      <c r="AE1112" s="2" t="s">
        <v>2406</v>
      </c>
      <c r="AF1112" s="11">
        <v>44753.409722164353</v>
      </c>
      <c r="AG1112" s="53"/>
      <c r="AH1112" s="53" t="b">
        <f t="shared" si="24"/>
        <v>0</v>
      </c>
      <c r="AI1112" s="54" t="s">
        <v>10790</v>
      </c>
      <c r="AJ1112" s="2"/>
      <c r="AK1112" s="2"/>
      <c r="AL1112" s="2"/>
      <c r="AM1112" s="2"/>
      <c r="AN1112" s="2"/>
    </row>
    <row r="1113" spans="1:40" ht="16" x14ac:dyDescent="0.2">
      <c r="A1113" s="2" t="s">
        <v>2635</v>
      </c>
      <c r="B1113" s="2">
        <v>816</v>
      </c>
      <c r="C1113" s="2" t="b">
        <v>0</v>
      </c>
      <c r="D1113" s="2" t="b">
        <v>0</v>
      </c>
      <c r="E1113" s="2" t="b">
        <v>0</v>
      </c>
      <c r="F1113" s="2" t="b">
        <v>0</v>
      </c>
      <c r="G1113" s="2" t="s">
        <v>31</v>
      </c>
      <c r="H1113" s="2" t="s">
        <v>2636</v>
      </c>
      <c r="I1113" s="2" t="s">
        <v>2637</v>
      </c>
      <c r="J1113" s="2" t="s">
        <v>675</v>
      </c>
      <c r="K1113" s="2" t="s">
        <v>35</v>
      </c>
      <c r="L1113" s="2" t="s">
        <v>35</v>
      </c>
      <c r="M1113" s="2" t="s">
        <v>35</v>
      </c>
      <c r="N1113" s="2" t="s">
        <v>35</v>
      </c>
      <c r="O1113" s="11">
        <v>44753.514623877316</v>
      </c>
      <c r="P1113" s="11">
        <v>44753.514790381945</v>
      </c>
      <c r="Q1113" s="27">
        <v>1.6650462930556387E-4</v>
      </c>
      <c r="R1113" s="27">
        <v>9.7906249720836058E-4</v>
      </c>
      <c r="S1113" s="2">
        <v>0</v>
      </c>
      <c r="T1113" s="2" t="s">
        <v>124</v>
      </c>
      <c r="U1113" s="2" t="s">
        <v>125</v>
      </c>
      <c r="V1113" s="2" t="s">
        <v>38</v>
      </c>
      <c r="W1113" s="2" t="s">
        <v>35</v>
      </c>
      <c r="X1113" s="2" t="s">
        <v>35</v>
      </c>
      <c r="Y1113" s="2" t="s">
        <v>35</v>
      </c>
      <c r="Z1113" s="2" t="b">
        <v>0</v>
      </c>
      <c r="AA1113" s="2" t="s">
        <v>35</v>
      </c>
      <c r="AB1113" s="2">
        <v>4</v>
      </c>
      <c r="AC1113" s="2" t="s">
        <v>35</v>
      </c>
      <c r="AD1113" s="2" t="s">
        <v>35</v>
      </c>
      <c r="AE1113" s="2" t="s">
        <v>2406</v>
      </c>
      <c r="AF1113" s="11">
        <v>44753.409722164353</v>
      </c>
      <c r="AG1113" s="53"/>
      <c r="AH1113" s="53" t="b">
        <f t="shared" si="24"/>
        <v>0</v>
      </c>
      <c r="AI1113" s="54" t="s">
        <v>10791</v>
      </c>
      <c r="AJ1113" s="2"/>
      <c r="AK1113" s="2"/>
      <c r="AL1113" s="2"/>
      <c r="AM1113" s="2"/>
      <c r="AN1113" s="2"/>
    </row>
    <row r="1114" spans="1:40" ht="16" x14ac:dyDescent="0.2">
      <c r="A1114" s="2" t="s">
        <v>2638</v>
      </c>
      <c r="B1114" s="2">
        <v>817</v>
      </c>
      <c r="C1114" s="2" t="b">
        <v>0</v>
      </c>
      <c r="D1114" s="2" t="b">
        <v>0</v>
      </c>
      <c r="E1114" s="2" t="b">
        <v>0</v>
      </c>
      <c r="F1114" s="2" t="b">
        <v>0</v>
      </c>
      <c r="G1114" s="2" t="s">
        <v>31</v>
      </c>
      <c r="H1114" s="2" t="s">
        <v>2639</v>
      </c>
      <c r="I1114" s="2" t="s">
        <v>2640</v>
      </c>
      <c r="J1114" s="2" t="s">
        <v>675</v>
      </c>
      <c r="K1114" s="2" t="s">
        <v>35</v>
      </c>
      <c r="L1114" s="2" t="s">
        <v>35</v>
      </c>
      <c r="M1114" s="2" t="s">
        <v>35</v>
      </c>
      <c r="N1114" s="2" t="s">
        <v>35</v>
      </c>
      <c r="O1114" s="11">
        <v>44753.515315775461</v>
      </c>
      <c r="P1114" s="11">
        <v>44753.515590937503</v>
      </c>
      <c r="Q1114" s="27">
        <v>2.7516204136190936E-4</v>
      </c>
      <c r="R1114" s="27">
        <v>8.0055555736180395E-4</v>
      </c>
      <c r="S1114" s="2">
        <v>0</v>
      </c>
      <c r="T1114" s="2" t="s">
        <v>124</v>
      </c>
      <c r="U1114" s="2" t="s">
        <v>125</v>
      </c>
      <c r="V1114" s="2" t="s">
        <v>38</v>
      </c>
      <c r="W1114" s="2" t="s">
        <v>35</v>
      </c>
      <c r="X1114" s="2" t="s">
        <v>35</v>
      </c>
      <c r="Y1114" s="2" t="s">
        <v>35</v>
      </c>
      <c r="Z1114" s="2" t="b">
        <v>0</v>
      </c>
      <c r="AA1114" s="2" t="s">
        <v>35</v>
      </c>
      <c r="AB1114" s="2">
        <v>4</v>
      </c>
      <c r="AC1114" s="2" t="s">
        <v>35</v>
      </c>
      <c r="AD1114" s="2" t="s">
        <v>35</v>
      </c>
      <c r="AE1114" s="2" t="s">
        <v>2406</v>
      </c>
      <c r="AF1114" s="11">
        <v>44753.409722164353</v>
      </c>
      <c r="AG1114" s="53"/>
      <c r="AH1114" s="53" t="b">
        <f t="shared" si="24"/>
        <v>0</v>
      </c>
      <c r="AI1114" s="54" t="s">
        <v>10792</v>
      </c>
      <c r="AJ1114" s="2"/>
      <c r="AK1114" s="2"/>
      <c r="AL1114" s="2"/>
      <c r="AM1114" s="2"/>
      <c r="AN1114" s="2"/>
    </row>
    <row r="1115" spans="1:40" ht="16" x14ac:dyDescent="0.2">
      <c r="A1115" s="2" t="s">
        <v>2641</v>
      </c>
      <c r="B1115" s="2">
        <v>818</v>
      </c>
      <c r="C1115" s="2" t="b">
        <v>0</v>
      </c>
      <c r="D1115" s="2" t="b">
        <v>0</v>
      </c>
      <c r="E1115" s="2" t="b">
        <v>0</v>
      </c>
      <c r="F1115" s="2" t="b">
        <v>0</v>
      </c>
      <c r="G1115" s="2" t="s">
        <v>31</v>
      </c>
      <c r="H1115" s="2" t="s">
        <v>2642</v>
      </c>
      <c r="I1115" s="2" t="s">
        <v>2643</v>
      </c>
      <c r="J1115" s="2" t="s">
        <v>675</v>
      </c>
      <c r="K1115" s="2" t="s">
        <v>35</v>
      </c>
      <c r="L1115" s="2" t="s">
        <v>35</v>
      </c>
      <c r="M1115" s="2" t="s">
        <v>35</v>
      </c>
      <c r="N1115" s="2" t="s">
        <v>35</v>
      </c>
      <c r="O1115" s="11">
        <v>44753.515709039355</v>
      </c>
      <c r="P1115" s="11">
        <v>44753.51592740741</v>
      </c>
      <c r="Q1115" s="27">
        <v>2.1836805535713211E-4</v>
      </c>
      <c r="R1115" s="27">
        <v>3.3646990777924657E-4</v>
      </c>
      <c r="S1115" s="2">
        <v>0</v>
      </c>
      <c r="T1115" s="2" t="s">
        <v>124</v>
      </c>
      <c r="U1115" s="2" t="s">
        <v>125</v>
      </c>
      <c r="V1115" s="2" t="s">
        <v>38</v>
      </c>
      <c r="W1115" s="2" t="s">
        <v>35</v>
      </c>
      <c r="X1115" s="2" t="s">
        <v>35</v>
      </c>
      <c r="Y1115" s="2" t="s">
        <v>35</v>
      </c>
      <c r="Z1115" s="2" t="b">
        <v>0</v>
      </c>
      <c r="AA1115" s="2" t="s">
        <v>35</v>
      </c>
      <c r="AB1115" s="2">
        <v>4</v>
      </c>
      <c r="AC1115" s="2" t="s">
        <v>35</v>
      </c>
      <c r="AD1115" s="2" t="s">
        <v>35</v>
      </c>
      <c r="AE1115" s="2" t="s">
        <v>2406</v>
      </c>
      <c r="AF1115" s="11">
        <v>44753.409722164353</v>
      </c>
      <c r="AG1115" s="53"/>
      <c r="AH1115" s="53" t="b">
        <f t="shared" si="24"/>
        <v>0</v>
      </c>
      <c r="AI1115" s="54" t="s">
        <v>10793</v>
      </c>
      <c r="AJ1115" s="2"/>
      <c r="AK1115" s="2"/>
      <c r="AL1115" s="2"/>
      <c r="AM1115" s="2"/>
      <c r="AN1115" s="2"/>
    </row>
    <row r="1116" spans="1:40" ht="16" x14ac:dyDescent="0.2">
      <c r="A1116" s="2" t="s">
        <v>2644</v>
      </c>
      <c r="B1116" s="2">
        <v>819</v>
      </c>
      <c r="C1116" s="2" t="b">
        <v>0</v>
      </c>
      <c r="D1116" s="2" t="b">
        <v>0</v>
      </c>
      <c r="E1116" s="2" t="b">
        <v>0</v>
      </c>
      <c r="F1116" s="2" t="b">
        <v>0</v>
      </c>
      <c r="G1116" s="2" t="s">
        <v>31</v>
      </c>
      <c r="H1116" s="2" t="s">
        <v>2645</v>
      </c>
      <c r="I1116" s="2" t="s">
        <v>2646</v>
      </c>
      <c r="J1116" s="2" t="s">
        <v>675</v>
      </c>
      <c r="K1116" s="2" t="s">
        <v>35</v>
      </c>
      <c r="L1116" s="2" t="s">
        <v>35</v>
      </c>
      <c r="M1116" s="2" t="s">
        <v>35</v>
      </c>
      <c r="N1116" s="2" t="s">
        <v>35</v>
      </c>
      <c r="O1116" s="11">
        <v>44753.516129953707</v>
      </c>
      <c r="P1116" s="11">
        <v>44753.516320671297</v>
      </c>
      <c r="Q1116" s="27">
        <v>1.9071759015787393E-4</v>
      </c>
      <c r="R1116" s="27">
        <v>3.9326388650806621E-4</v>
      </c>
      <c r="S1116" s="2">
        <v>0</v>
      </c>
      <c r="T1116" s="2" t="s">
        <v>124</v>
      </c>
      <c r="U1116" s="2" t="s">
        <v>125</v>
      </c>
      <c r="V1116" s="2" t="s">
        <v>38</v>
      </c>
      <c r="W1116" s="2" t="s">
        <v>35</v>
      </c>
      <c r="X1116" s="2" t="s">
        <v>35</v>
      </c>
      <c r="Y1116" s="2" t="s">
        <v>35</v>
      </c>
      <c r="Z1116" s="2" t="b">
        <v>0</v>
      </c>
      <c r="AA1116" s="2" t="s">
        <v>35</v>
      </c>
      <c r="AB1116" s="2">
        <v>4</v>
      </c>
      <c r="AC1116" s="2" t="s">
        <v>35</v>
      </c>
      <c r="AD1116" s="2" t="s">
        <v>35</v>
      </c>
      <c r="AE1116" s="2" t="s">
        <v>2406</v>
      </c>
      <c r="AF1116" s="11">
        <v>44753.409722164353</v>
      </c>
      <c r="AG1116" s="53"/>
      <c r="AH1116" s="53" t="b">
        <f t="shared" si="24"/>
        <v>0</v>
      </c>
      <c r="AI1116" s="54" t="s">
        <v>10794</v>
      </c>
      <c r="AJ1116" s="2"/>
      <c r="AK1116" s="2"/>
      <c r="AL1116" s="2"/>
      <c r="AM1116" s="2"/>
      <c r="AN1116" s="2"/>
    </row>
    <row r="1117" spans="1:40" ht="16" x14ac:dyDescent="0.2">
      <c r="A1117" s="2" t="s">
        <v>2862</v>
      </c>
      <c r="B1117" s="2">
        <v>886</v>
      </c>
      <c r="C1117" s="2" t="b">
        <v>0</v>
      </c>
      <c r="D1117" s="2" t="b">
        <v>0</v>
      </c>
      <c r="E1117" s="2" t="b">
        <v>0</v>
      </c>
      <c r="F1117" s="2" t="b">
        <v>0</v>
      </c>
      <c r="G1117" s="2" t="s">
        <v>31</v>
      </c>
      <c r="H1117" s="2" t="s">
        <v>2863</v>
      </c>
      <c r="I1117" s="2" t="s">
        <v>2864</v>
      </c>
      <c r="J1117" s="2" t="s">
        <v>675</v>
      </c>
      <c r="K1117" s="2" t="s">
        <v>35</v>
      </c>
      <c r="L1117" s="2" t="s">
        <v>35</v>
      </c>
      <c r="M1117" s="2" t="s">
        <v>35</v>
      </c>
      <c r="N1117" s="2" t="s">
        <v>35</v>
      </c>
      <c r="O1117" s="11">
        <v>44762.356832685182</v>
      </c>
      <c r="P1117" s="11">
        <v>44762.357148530093</v>
      </c>
      <c r="Q1117" s="27">
        <v>3.1584491080138832E-4</v>
      </c>
      <c r="R1117" s="27">
        <v>6.698148135910742E-4</v>
      </c>
      <c r="S1117" s="2">
        <v>0</v>
      </c>
      <c r="T1117" s="2" t="s">
        <v>124</v>
      </c>
      <c r="U1117" s="2" t="s">
        <v>125</v>
      </c>
      <c r="V1117" s="2" t="s">
        <v>38</v>
      </c>
      <c r="W1117" s="2" t="s">
        <v>35</v>
      </c>
      <c r="X1117" s="2" t="s">
        <v>35</v>
      </c>
      <c r="Y1117" s="2" t="s">
        <v>35</v>
      </c>
      <c r="Z1117" s="2" t="b">
        <v>0</v>
      </c>
      <c r="AA1117" s="2" t="s">
        <v>35</v>
      </c>
      <c r="AB1117" s="2">
        <v>4</v>
      </c>
      <c r="AC1117" s="2" t="s">
        <v>35</v>
      </c>
      <c r="AD1117" s="2" t="s">
        <v>35</v>
      </c>
      <c r="AE1117" s="2" t="s">
        <v>2840</v>
      </c>
      <c r="AF1117" s="11">
        <v>44762.350694444445</v>
      </c>
      <c r="AG1117" s="53"/>
      <c r="AH1117" s="53" t="b">
        <f t="shared" si="24"/>
        <v>0</v>
      </c>
      <c r="AI1117" s="54" t="s">
        <v>10795</v>
      </c>
      <c r="AJ1117" s="2"/>
      <c r="AK1117" s="2"/>
      <c r="AL1117" s="2"/>
      <c r="AM1117" s="2"/>
      <c r="AN1117" s="2"/>
    </row>
    <row r="1118" spans="1:40" ht="16" x14ac:dyDescent="0.2">
      <c r="A1118" s="2" t="s">
        <v>2885</v>
      </c>
      <c r="B1118" s="2">
        <v>893</v>
      </c>
      <c r="C1118" s="2" t="b">
        <v>0</v>
      </c>
      <c r="D1118" s="2" t="b">
        <v>0</v>
      </c>
      <c r="E1118" s="2" t="b">
        <v>0</v>
      </c>
      <c r="F1118" s="2" t="b">
        <v>0</v>
      </c>
      <c r="G1118" s="2" t="s">
        <v>31</v>
      </c>
      <c r="H1118" s="2" t="s">
        <v>2886</v>
      </c>
      <c r="I1118" s="2" t="s">
        <v>2887</v>
      </c>
      <c r="J1118" s="2" t="s">
        <v>675</v>
      </c>
      <c r="K1118" s="2" t="s">
        <v>35</v>
      </c>
      <c r="L1118" s="2" t="s">
        <v>35</v>
      </c>
      <c r="M1118" s="2" t="s">
        <v>35</v>
      </c>
      <c r="N1118" s="2" t="s">
        <v>35</v>
      </c>
      <c r="O1118" s="11">
        <v>44762.36224318287</v>
      </c>
      <c r="P1118" s="11">
        <v>44762.362649756942</v>
      </c>
      <c r="Q1118" s="27">
        <v>4.0657407225808129E-4</v>
      </c>
      <c r="R1118" s="27">
        <v>4.5717592001892626E-4</v>
      </c>
      <c r="S1118" s="2">
        <v>0</v>
      </c>
      <c r="T1118" s="2" t="s">
        <v>124</v>
      </c>
      <c r="U1118" s="2" t="s">
        <v>125</v>
      </c>
      <c r="V1118" s="2" t="s">
        <v>38</v>
      </c>
      <c r="W1118" s="2" t="s">
        <v>35</v>
      </c>
      <c r="X1118" s="2" t="s">
        <v>35</v>
      </c>
      <c r="Y1118" s="2" t="s">
        <v>35</v>
      </c>
      <c r="Z1118" s="2" t="b">
        <v>0</v>
      </c>
      <c r="AA1118" s="2" t="s">
        <v>35</v>
      </c>
      <c r="AB1118" s="2">
        <v>4</v>
      </c>
      <c r="AC1118" s="2" t="s">
        <v>35</v>
      </c>
      <c r="AD1118" s="2" t="s">
        <v>35</v>
      </c>
      <c r="AE1118" s="2" t="s">
        <v>2840</v>
      </c>
      <c r="AF1118" s="11">
        <v>44762.350694444445</v>
      </c>
      <c r="AG1118" s="53"/>
      <c r="AH1118" s="53" t="b">
        <f t="shared" si="24"/>
        <v>0</v>
      </c>
      <c r="AI1118" s="54" t="s">
        <v>10796</v>
      </c>
      <c r="AJ1118" s="2"/>
      <c r="AK1118" s="2"/>
      <c r="AL1118" s="2"/>
      <c r="AM1118" s="2"/>
      <c r="AN1118" s="2"/>
    </row>
    <row r="1119" spans="1:40" ht="16" x14ac:dyDescent="0.2">
      <c r="A1119" s="2" t="s">
        <v>2898</v>
      </c>
      <c r="B1119" s="2">
        <v>897</v>
      </c>
      <c r="C1119" s="2" t="b">
        <v>0</v>
      </c>
      <c r="D1119" s="2" t="b">
        <v>0</v>
      </c>
      <c r="E1119" s="2" t="b">
        <v>0</v>
      </c>
      <c r="F1119" s="2" t="b">
        <v>0</v>
      </c>
      <c r="G1119" s="2" t="s">
        <v>31</v>
      </c>
      <c r="H1119" s="2" t="s">
        <v>2899</v>
      </c>
      <c r="I1119" s="2" t="s">
        <v>2900</v>
      </c>
      <c r="J1119" s="2" t="s">
        <v>675</v>
      </c>
      <c r="K1119" s="2" t="s">
        <v>35</v>
      </c>
      <c r="L1119" s="2" t="s">
        <v>35</v>
      </c>
      <c r="M1119" s="2" t="s">
        <v>35</v>
      </c>
      <c r="N1119" s="2" t="s">
        <v>35</v>
      </c>
      <c r="O1119" s="11">
        <v>44762.364838414353</v>
      </c>
      <c r="P1119" s="11">
        <v>44762.364976249999</v>
      </c>
      <c r="Q1119" s="27">
        <v>1.3783564645564184E-4</v>
      </c>
      <c r="R1119" s="27">
        <v>2.5795138935791329E-4</v>
      </c>
      <c r="S1119" s="2">
        <v>0</v>
      </c>
      <c r="T1119" s="2" t="s">
        <v>124</v>
      </c>
      <c r="U1119" s="2" t="s">
        <v>125</v>
      </c>
      <c r="V1119" s="2" t="s">
        <v>38</v>
      </c>
      <c r="W1119" s="2" t="s">
        <v>35</v>
      </c>
      <c r="X1119" s="2" t="s">
        <v>35</v>
      </c>
      <c r="Y1119" s="2" t="s">
        <v>35</v>
      </c>
      <c r="Z1119" s="2" t="b">
        <v>0</v>
      </c>
      <c r="AA1119" s="2" t="s">
        <v>35</v>
      </c>
      <c r="AB1119" s="2">
        <v>4</v>
      </c>
      <c r="AC1119" s="2" t="s">
        <v>35</v>
      </c>
      <c r="AD1119" s="2" t="s">
        <v>35</v>
      </c>
      <c r="AE1119" s="2" t="s">
        <v>2840</v>
      </c>
      <c r="AF1119" s="11">
        <v>44762.350694444445</v>
      </c>
      <c r="AG1119" s="53"/>
      <c r="AH1119" s="53" t="b">
        <f t="shared" si="24"/>
        <v>0</v>
      </c>
      <c r="AI1119" s="54" t="s">
        <v>10797</v>
      </c>
      <c r="AJ1119" s="2"/>
      <c r="AK1119" s="2"/>
      <c r="AL1119" s="2"/>
      <c r="AM1119" s="2"/>
      <c r="AN1119" s="2"/>
    </row>
    <row r="1120" spans="1:40" ht="16" x14ac:dyDescent="0.2">
      <c r="A1120" s="2" t="s">
        <v>2918</v>
      </c>
      <c r="B1120" s="2">
        <v>903</v>
      </c>
      <c r="C1120" s="2" t="b">
        <v>0</v>
      </c>
      <c r="D1120" s="2" t="b">
        <v>0</v>
      </c>
      <c r="E1120" s="2" t="b">
        <v>0</v>
      </c>
      <c r="F1120" s="2" t="b">
        <v>0</v>
      </c>
      <c r="G1120" s="2" t="s">
        <v>121</v>
      </c>
      <c r="H1120" s="2" t="s">
        <v>2919</v>
      </c>
      <c r="I1120" s="2" t="s">
        <v>2920</v>
      </c>
      <c r="J1120" s="2" t="s">
        <v>35</v>
      </c>
      <c r="K1120" s="2" t="s">
        <v>35</v>
      </c>
      <c r="L1120" s="2" t="s">
        <v>35</v>
      </c>
      <c r="M1120" s="2" t="s">
        <v>35</v>
      </c>
      <c r="N1120" s="2" t="s">
        <v>35</v>
      </c>
      <c r="O1120" s="11">
        <v>44762.371571724536</v>
      </c>
      <c r="P1120" s="11">
        <v>44762.371746736113</v>
      </c>
      <c r="Q1120" s="27">
        <v>1.7501157708466053E-4</v>
      </c>
      <c r="R1120" s="27">
        <v>6.0398148343665525E-4</v>
      </c>
      <c r="S1120" s="2">
        <v>0</v>
      </c>
      <c r="T1120" s="2" t="s">
        <v>124</v>
      </c>
      <c r="U1120" s="2" t="s">
        <v>125</v>
      </c>
      <c r="V1120" s="2" t="s">
        <v>38</v>
      </c>
      <c r="W1120" s="2" t="s">
        <v>35</v>
      </c>
      <c r="X1120" s="2" t="s">
        <v>35</v>
      </c>
      <c r="Y1120" s="2" t="s">
        <v>35</v>
      </c>
      <c r="Z1120" s="2" t="b">
        <v>0</v>
      </c>
      <c r="AA1120" s="2" t="s">
        <v>35</v>
      </c>
      <c r="AB1120" s="2" t="s">
        <v>35</v>
      </c>
      <c r="AC1120" s="2" t="s">
        <v>35</v>
      </c>
      <c r="AD1120" s="2" t="s">
        <v>35</v>
      </c>
      <c r="AE1120" s="2" t="s">
        <v>2840</v>
      </c>
      <c r="AF1120" s="11">
        <v>44762.350694444445</v>
      </c>
      <c r="AG1120" s="53"/>
      <c r="AH1120" s="53" t="b">
        <f t="shared" si="24"/>
        <v>0</v>
      </c>
      <c r="AI1120" s="54" t="s">
        <v>9652</v>
      </c>
      <c r="AJ1120" s="2"/>
      <c r="AK1120" s="2"/>
      <c r="AL1120" s="2"/>
      <c r="AM1120" s="2"/>
      <c r="AN1120" s="2"/>
    </row>
    <row r="1121" spans="1:40" ht="16" x14ac:dyDescent="0.2">
      <c r="A1121" s="2" t="s">
        <v>2945</v>
      </c>
      <c r="B1121" s="2">
        <v>912</v>
      </c>
      <c r="C1121" s="2" t="b">
        <v>0</v>
      </c>
      <c r="D1121" s="2" t="b">
        <v>0</v>
      </c>
      <c r="E1121" s="2" t="b">
        <v>0</v>
      </c>
      <c r="F1121" s="2" t="b">
        <v>0</v>
      </c>
      <c r="G1121" s="2" t="s">
        <v>31</v>
      </c>
      <c r="H1121" s="2" t="s">
        <v>2946</v>
      </c>
      <c r="I1121" s="2" t="s">
        <v>2947</v>
      </c>
      <c r="J1121" s="2" t="s">
        <v>675</v>
      </c>
      <c r="K1121" s="2" t="s">
        <v>35</v>
      </c>
      <c r="L1121" s="2" t="s">
        <v>35</v>
      </c>
      <c r="M1121" s="2" t="s">
        <v>35</v>
      </c>
      <c r="N1121" s="2" t="s">
        <v>35</v>
      </c>
      <c r="O1121" s="11">
        <v>44762.380661597221</v>
      </c>
      <c r="P1121" s="11">
        <v>44762.382099756942</v>
      </c>
      <c r="Q1121" s="27">
        <v>1.4381597211468033E-3</v>
      </c>
      <c r="R1121" s="27">
        <v>1.438009254343342E-3</v>
      </c>
      <c r="S1121" s="2">
        <v>0</v>
      </c>
      <c r="T1121" s="2" t="s">
        <v>124</v>
      </c>
      <c r="U1121" s="2" t="s">
        <v>125</v>
      </c>
      <c r="V1121" s="2" t="s">
        <v>38</v>
      </c>
      <c r="W1121" s="2" t="s">
        <v>35</v>
      </c>
      <c r="X1121" s="2" t="s">
        <v>35</v>
      </c>
      <c r="Y1121" s="2" t="s">
        <v>35</v>
      </c>
      <c r="Z1121" s="2" t="b">
        <v>0</v>
      </c>
      <c r="AA1121" s="2" t="s">
        <v>35</v>
      </c>
      <c r="AB1121" s="2">
        <v>4</v>
      </c>
      <c r="AC1121" s="2" t="s">
        <v>35</v>
      </c>
      <c r="AD1121" s="2">
        <v>2</v>
      </c>
      <c r="AE1121" s="2" t="s">
        <v>2840</v>
      </c>
      <c r="AF1121" s="11">
        <v>44762.350694444445</v>
      </c>
      <c r="AG1121" s="53"/>
      <c r="AH1121" s="53" t="str">
        <f t="shared" si="24"/>
        <v>TRUE</v>
      </c>
      <c r="AI1121" s="54" t="s">
        <v>10798</v>
      </c>
      <c r="AJ1121" s="2"/>
      <c r="AK1121" s="2"/>
      <c r="AL1121" s="2"/>
      <c r="AM1121" s="2"/>
      <c r="AN1121" s="2"/>
    </row>
    <row r="1122" spans="1:40" ht="16" x14ac:dyDescent="0.2">
      <c r="A1122" s="2" t="s">
        <v>2959</v>
      </c>
      <c r="B1122" s="2">
        <v>916</v>
      </c>
      <c r="C1122" s="2" t="b">
        <v>0</v>
      </c>
      <c r="D1122" s="2" t="b">
        <v>0</v>
      </c>
      <c r="E1122" s="2" t="b">
        <v>0</v>
      </c>
      <c r="F1122" s="2" t="b">
        <v>0</v>
      </c>
      <c r="G1122" s="2" t="s">
        <v>31</v>
      </c>
      <c r="H1122" s="2" t="s">
        <v>2960</v>
      </c>
      <c r="I1122" s="2" t="s">
        <v>2961</v>
      </c>
      <c r="J1122" s="2" t="s">
        <v>675</v>
      </c>
      <c r="K1122" s="2" t="s">
        <v>35</v>
      </c>
      <c r="L1122" s="2" t="s">
        <v>35</v>
      </c>
      <c r="M1122" s="2" t="s">
        <v>35</v>
      </c>
      <c r="N1122" s="2" t="s">
        <v>35</v>
      </c>
      <c r="O1122" s="11">
        <v>44762.385607824071</v>
      </c>
      <c r="P1122" s="11">
        <v>44762.385839178241</v>
      </c>
      <c r="Q1122" s="27">
        <v>2.3135416995501146E-4</v>
      </c>
      <c r="R1122" s="27">
        <v>5.1239583262940869E-4</v>
      </c>
      <c r="S1122" s="2">
        <v>0</v>
      </c>
      <c r="T1122" s="2" t="s">
        <v>124</v>
      </c>
      <c r="U1122" s="2" t="s">
        <v>125</v>
      </c>
      <c r="V1122" s="2" t="s">
        <v>38</v>
      </c>
      <c r="W1122" s="2" t="s">
        <v>35</v>
      </c>
      <c r="X1122" s="2" t="s">
        <v>35</v>
      </c>
      <c r="Y1122" s="2" t="s">
        <v>35</v>
      </c>
      <c r="Z1122" s="2" t="b">
        <v>0</v>
      </c>
      <c r="AA1122" s="2" t="s">
        <v>35</v>
      </c>
      <c r="AB1122" s="2">
        <v>4</v>
      </c>
      <c r="AC1122" s="2" t="s">
        <v>35</v>
      </c>
      <c r="AD1122" s="2" t="s">
        <v>35</v>
      </c>
      <c r="AE1122" s="2" t="s">
        <v>2840</v>
      </c>
      <c r="AF1122" s="11">
        <v>44762.350694444445</v>
      </c>
      <c r="AG1122" s="53"/>
      <c r="AH1122" s="53" t="b">
        <f t="shared" si="24"/>
        <v>0</v>
      </c>
      <c r="AI1122" s="54" t="s">
        <v>10799</v>
      </c>
      <c r="AJ1122" s="2"/>
      <c r="AK1122" s="2"/>
      <c r="AL1122" s="2"/>
      <c r="AM1122" s="2"/>
      <c r="AN1122" s="2"/>
    </row>
    <row r="1123" spans="1:40" ht="16" x14ac:dyDescent="0.2">
      <c r="A1123" s="2" t="s">
        <v>2977</v>
      </c>
      <c r="B1123" s="2">
        <v>922</v>
      </c>
      <c r="C1123" s="2" t="b">
        <v>0</v>
      </c>
      <c r="D1123" s="2" t="b">
        <v>0</v>
      </c>
      <c r="E1123" s="2" t="b">
        <v>0</v>
      </c>
      <c r="F1123" s="2" t="b">
        <v>0</v>
      </c>
      <c r="G1123" s="2" t="s">
        <v>31</v>
      </c>
      <c r="H1123" s="2" t="s">
        <v>2978</v>
      </c>
      <c r="I1123" s="2" t="s">
        <v>2979</v>
      </c>
      <c r="J1123" s="2" t="s">
        <v>675</v>
      </c>
      <c r="K1123" s="2" t="s">
        <v>35</v>
      </c>
      <c r="L1123" s="2" t="s">
        <v>35</v>
      </c>
      <c r="M1123" s="2" t="s">
        <v>35</v>
      </c>
      <c r="N1123" s="2" t="s">
        <v>35</v>
      </c>
      <c r="O1123" s="11">
        <v>44762.390844618058</v>
      </c>
      <c r="P1123" s="11">
        <v>44762.391048055557</v>
      </c>
      <c r="Q1123" s="27">
        <v>2.0343749929452315E-4</v>
      </c>
      <c r="R1123" s="27">
        <v>3.3190972317242995E-4</v>
      </c>
      <c r="S1123" s="2">
        <v>0</v>
      </c>
      <c r="T1123" s="2" t="s">
        <v>124</v>
      </c>
      <c r="U1123" s="2" t="s">
        <v>125</v>
      </c>
      <c r="V1123" s="2" t="s">
        <v>38</v>
      </c>
      <c r="W1123" s="2" t="s">
        <v>35</v>
      </c>
      <c r="X1123" s="2" t="s">
        <v>35</v>
      </c>
      <c r="Y1123" s="2" t="s">
        <v>35</v>
      </c>
      <c r="Z1123" s="2" t="b">
        <v>0</v>
      </c>
      <c r="AA1123" s="2" t="s">
        <v>35</v>
      </c>
      <c r="AB1123" s="2">
        <v>4</v>
      </c>
      <c r="AC1123" s="2" t="s">
        <v>35</v>
      </c>
      <c r="AD1123" s="2" t="s">
        <v>35</v>
      </c>
      <c r="AE1123" s="2" t="s">
        <v>2840</v>
      </c>
      <c r="AF1123" s="11">
        <v>44762.350694444445</v>
      </c>
      <c r="AG1123" s="53"/>
      <c r="AH1123" s="53" t="b">
        <f t="shared" si="24"/>
        <v>0</v>
      </c>
      <c r="AI1123" s="54" t="s">
        <v>10800</v>
      </c>
      <c r="AJ1123" s="2"/>
      <c r="AK1123" s="2"/>
      <c r="AL1123" s="2"/>
      <c r="AM1123" s="2"/>
      <c r="AN1123" s="2"/>
    </row>
    <row r="1124" spans="1:40" ht="16" x14ac:dyDescent="0.2">
      <c r="A1124" s="2" t="s">
        <v>3096</v>
      </c>
      <c r="B1124" s="2">
        <v>960</v>
      </c>
      <c r="C1124" s="2" t="b">
        <v>0</v>
      </c>
      <c r="D1124" s="2" t="b">
        <v>0</v>
      </c>
      <c r="E1124" s="2" t="b">
        <v>0</v>
      </c>
      <c r="F1124" s="2" t="b">
        <v>0</v>
      </c>
      <c r="G1124" s="2" t="s">
        <v>31</v>
      </c>
      <c r="H1124" s="2" t="s">
        <v>3097</v>
      </c>
      <c r="I1124" s="2" t="s">
        <v>3098</v>
      </c>
      <c r="J1124" s="2" t="s">
        <v>675</v>
      </c>
      <c r="K1124" s="2" t="s">
        <v>35</v>
      </c>
      <c r="L1124" s="2" t="s">
        <v>35</v>
      </c>
      <c r="M1124" s="2" t="s">
        <v>35</v>
      </c>
      <c r="N1124" s="2" t="s">
        <v>35</v>
      </c>
      <c r="O1124" s="11">
        <v>44762.43306935185</v>
      </c>
      <c r="P1124" s="11">
        <v>44762.433293078706</v>
      </c>
      <c r="Q1124" s="27">
        <v>2.2372685634763911E-4</v>
      </c>
      <c r="R1124" s="27">
        <v>9.0123842528555542E-4</v>
      </c>
      <c r="S1124" s="2">
        <v>0</v>
      </c>
      <c r="T1124" s="2" t="s">
        <v>124</v>
      </c>
      <c r="U1124" s="2" t="s">
        <v>125</v>
      </c>
      <c r="V1124" s="2" t="s">
        <v>38</v>
      </c>
      <c r="W1124" s="2" t="s">
        <v>35</v>
      </c>
      <c r="X1124" s="2" t="s">
        <v>35</v>
      </c>
      <c r="Y1124" s="2" t="s">
        <v>35</v>
      </c>
      <c r="Z1124" s="2" t="b">
        <v>0</v>
      </c>
      <c r="AA1124" s="2" t="s">
        <v>35</v>
      </c>
      <c r="AB1124" s="2">
        <v>4</v>
      </c>
      <c r="AC1124" s="2" t="s">
        <v>35</v>
      </c>
      <c r="AD1124" s="2" t="s">
        <v>35</v>
      </c>
      <c r="AE1124" s="2" t="s">
        <v>2840</v>
      </c>
      <c r="AF1124" s="11">
        <v>44762.350694444445</v>
      </c>
      <c r="AG1124" s="53"/>
      <c r="AH1124" s="53" t="b">
        <f t="shared" si="24"/>
        <v>0</v>
      </c>
      <c r="AI1124" s="54" t="s">
        <v>9651</v>
      </c>
      <c r="AJ1124" s="2"/>
      <c r="AK1124" s="2"/>
      <c r="AL1124" s="2"/>
      <c r="AM1124" s="2"/>
      <c r="AN1124" s="2"/>
    </row>
    <row r="1125" spans="1:40" ht="16" x14ac:dyDescent="0.2">
      <c r="A1125" s="2" t="s">
        <v>3171</v>
      </c>
      <c r="B1125" s="2">
        <v>983</v>
      </c>
      <c r="C1125" s="2" t="b">
        <v>0</v>
      </c>
      <c r="D1125" s="2" t="b">
        <v>0</v>
      </c>
      <c r="E1125" s="2" t="b">
        <v>0</v>
      </c>
      <c r="F1125" s="2" t="b">
        <v>0</v>
      </c>
      <c r="G1125" s="2" t="s">
        <v>31</v>
      </c>
      <c r="H1125" s="2" t="s">
        <v>3172</v>
      </c>
      <c r="I1125" s="2" t="s">
        <v>3173</v>
      </c>
      <c r="J1125" s="2" t="s">
        <v>675</v>
      </c>
      <c r="K1125" s="2" t="s">
        <v>35</v>
      </c>
      <c r="L1125" s="2" t="s">
        <v>35</v>
      </c>
      <c r="M1125" s="2" t="s">
        <v>35</v>
      </c>
      <c r="N1125" s="2" t="s">
        <v>35</v>
      </c>
      <c r="O1125" s="11">
        <v>44762.49274533565</v>
      </c>
      <c r="P1125" s="11">
        <v>44762.493056863423</v>
      </c>
      <c r="Q1125" s="27">
        <v>3.1152777228271589E-4</v>
      </c>
      <c r="R1125" s="27">
        <v>3.9150462544057518E-4</v>
      </c>
      <c r="S1125" s="2">
        <v>0</v>
      </c>
      <c r="T1125" s="2" t="s">
        <v>124</v>
      </c>
      <c r="U1125" s="2" t="s">
        <v>125</v>
      </c>
      <c r="V1125" s="2" t="s">
        <v>38</v>
      </c>
      <c r="W1125" s="2" t="s">
        <v>35</v>
      </c>
      <c r="X1125" s="2" t="s">
        <v>35</v>
      </c>
      <c r="Y1125" s="2" t="s">
        <v>35</v>
      </c>
      <c r="Z1125" s="2" t="b">
        <v>0</v>
      </c>
      <c r="AA1125" s="2" t="s">
        <v>35</v>
      </c>
      <c r="AB1125" s="2">
        <v>4</v>
      </c>
      <c r="AC1125" s="2" t="s">
        <v>35</v>
      </c>
      <c r="AD1125" s="2" t="s">
        <v>35</v>
      </c>
      <c r="AE1125" s="2" t="s">
        <v>2840</v>
      </c>
      <c r="AF1125" s="11">
        <v>44762.350694444445</v>
      </c>
      <c r="AG1125" s="53"/>
      <c r="AH1125" s="53" t="b">
        <f t="shared" si="24"/>
        <v>0</v>
      </c>
      <c r="AI1125" s="54" t="s">
        <v>10801</v>
      </c>
      <c r="AJ1125" s="2"/>
      <c r="AK1125" s="2"/>
      <c r="AL1125" s="2"/>
      <c r="AM1125" s="2"/>
      <c r="AN1125" s="2"/>
    </row>
    <row r="1126" spans="1:40" ht="16" x14ac:dyDescent="0.2">
      <c r="A1126" s="2" t="s">
        <v>3245</v>
      </c>
      <c r="B1126" s="2">
        <v>1006</v>
      </c>
      <c r="C1126" s="2" t="b">
        <v>0</v>
      </c>
      <c r="D1126" s="2" t="b">
        <v>0</v>
      </c>
      <c r="E1126" s="2" t="b">
        <v>0</v>
      </c>
      <c r="F1126" s="2" t="b">
        <v>0</v>
      </c>
      <c r="G1126" s="2" t="s">
        <v>31</v>
      </c>
      <c r="H1126" s="2" t="s">
        <v>3246</v>
      </c>
      <c r="I1126" s="2" t="s">
        <v>3247</v>
      </c>
      <c r="J1126" s="2" t="s">
        <v>675</v>
      </c>
      <c r="K1126" s="2" t="s">
        <v>35</v>
      </c>
      <c r="L1126" s="2" t="s">
        <v>35</v>
      </c>
      <c r="M1126" s="2" t="s">
        <v>35</v>
      </c>
      <c r="N1126" s="2" t="s">
        <v>35</v>
      </c>
      <c r="O1126" s="11">
        <v>44764.361344062498</v>
      </c>
      <c r="P1126" s="11">
        <v>44764.361556516204</v>
      </c>
      <c r="Q1126" s="27">
        <v>2.1245370589895174E-4</v>
      </c>
      <c r="R1126" s="27">
        <v>4.4540509406942874E-4</v>
      </c>
      <c r="S1126" s="2">
        <v>0</v>
      </c>
      <c r="T1126" s="2" t="s">
        <v>124</v>
      </c>
      <c r="U1126" s="2" t="s">
        <v>125</v>
      </c>
      <c r="V1126" s="2" t="s">
        <v>38</v>
      </c>
      <c r="W1126" s="2" t="s">
        <v>35</v>
      </c>
      <c r="X1126" s="2" t="s">
        <v>35</v>
      </c>
      <c r="Y1126" s="2" t="s">
        <v>35</v>
      </c>
      <c r="Z1126" s="2" t="b">
        <v>0</v>
      </c>
      <c r="AA1126" s="2" t="s">
        <v>35</v>
      </c>
      <c r="AB1126" s="2">
        <v>4</v>
      </c>
      <c r="AC1126" s="2" t="s">
        <v>35</v>
      </c>
      <c r="AD1126" s="2" t="s">
        <v>35</v>
      </c>
      <c r="AE1126" s="2" t="s">
        <v>3248</v>
      </c>
      <c r="AF1126" s="11">
        <v>44764.361111111109</v>
      </c>
      <c r="AG1126" s="53"/>
      <c r="AH1126" s="53" t="b">
        <f t="shared" si="24"/>
        <v>0</v>
      </c>
      <c r="AI1126" s="54" t="s">
        <v>9650</v>
      </c>
      <c r="AJ1126" s="2"/>
      <c r="AK1126" s="2"/>
      <c r="AL1126" s="2"/>
      <c r="AM1126" s="2"/>
      <c r="AN1126" s="2"/>
    </row>
    <row r="1127" spans="1:40" ht="16" x14ac:dyDescent="0.2">
      <c r="A1127" s="2" t="s">
        <v>3262</v>
      </c>
      <c r="B1127" s="2">
        <v>1011</v>
      </c>
      <c r="C1127" s="2" t="b">
        <v>0</v>
      </c>
      <c r="D1127" s="2" t="b">
        <v>0</v>
      </c>
      <c r="E1127" s="2" t="b">
        <v>0</v>
      </c>
      <c r="F1127" s="2" t="b">
        <v>0</v>
      </c>
      <c r="G1127" s="2" t="s">
        <v>31</v>
      </c>
      <c r="H1127" s="2" t="s">
        <v>3263</v>
      </c>
      <c r="I1127" s="2" t="s">
        <v>3264</v>
      </c>
      <c r="J1127" s="2" t="s">
        <v>675</v>
      </c>
      <c r="K1127" s="2" t="s">
        <v>35</v>
      </c>
      <c r="L1127" s="2" t="s">
        <v>35</v>
      </c>
      <c r="M1127" s="2" t="s">
        <v>35</v>
      </c>
      <c r="N1127" s="2" t="s">
        <v>35</v>
      </c>
      <c r="O1127" s="11">
        <v>44764.364806238424</v>
      </c>
      <c r="P1127" s="11">
        <v>44764.364963946762</v>
      </c>
      <c r="Q1127" s="27">
        <v>1.5770833852002397E-4</v>
      </c>
      <c r="R1127" s="27">
        <v>5.80312502279412E-4</v>
      </c>
      <c r="S1127" s="2">
        <v>0</v>
      </c>
      <c r="T1127" s="2" t="s">
        <v>124</v>
      </c>
      <c r="U1127" s="2" t="s">
        <v>125</v>
      </c>
      <c r="V1127" s="2" t="s">
        <v>38</v>
      </c>
      <c r="W1127" s="2" t="s">
        <v>35</v>
      </c>
      <c r="X1127" s="2" t="s">
        <v>35</v>
      </c>
      <c r="Y1127" s="2" t="s">
        <v>35</v>
      </c>
      <c r="Z1127" s="2" t="b">
        <v>0</v>
      </c>
      <c r="AA1127" s="2" t="s">
        <v>35</v>
      </c>
      <c r="AB1127" s="2">
        <v>4</v>
      </c>
      <c r="AC1127" s="2" t="s">
        <v>35</v>
      </c>
      <c r="AD1127" s="2" t="s">
        <v>35</v>
      </c>
      <c r="AE1127" s="2" t="s">
        <v>3248</v>
      </c>
      <c r="AF1127" s="11">
        <v>44764.361111053244</v>
      </c>
      <c r="AG1127" s="53"/>
      <c r="AH1127" s="53" t="b">
        <f t="shared" si="24"/>
        <v>0</v>
      </c>
      <c r="AI1127" s="54" t="s">
        <v>10802</v>
      </c>
      <c r="AJ1127" s="2"/>
      <c r="AK1127" s="2"/>
      <c r="AL1127" s="2"/>
      <c r="AM1127" s="2"/>
      <c r="AN1127" s="2"/>
    </row>
    <row r="1128" spans="1:40" ht="16" x14ac:dyDescent="0.2">
      <c r="A1128" s="2" t="s">
        <v>3281</v>
      </c>
      <c r="B1128" s="2">
        <v>1017</v>
      </c>
      <c r="C1128" s="2" t="b">
        <v>0</v>
      </c>
      <c r="D1128" s="2" t="b">
        <v>0</v>
      </c>
      <c r="E1128" s="2" t="b">
        <v>0</v>
      </c>
      <c r="F1128" s="2" t="b">
        <v>0</v>
      </c>
      <c r="G1128" s="2" t="s">
        <v>31</v>
      </c>
      <c r="H1128" s="2" t="s">
        <v>3282</v>
      </c>
      <c r="I1128" s="2" t="s">
        <v>3283</v>
      </c>
      <c r="J1128" s="2" t="s">
        <v>675</v>
      </c>
      <c r="K1128" s="2" t="s">
        <v>35</v>
      </c>
      <c r="L1128" s="2" t="s">
        <v>35</v>
      </c>
      <c r="M1128" s="2" t="s">
        <v>35</v>
      </c>
      <c r="N1128" s="2" t="s">
        <v>35</v>
      </c>
      <c r="O1128" s="11">
        <v>44764.370525601851</v>
      </c>
      <c r="P1128" s="11">
        <v>44764.370816898147</v>
      </c>
      <c r="Q1128" s="27">
        <v>2.9129629547242075E-4</v>
      </c>
      <c r="R1128" s="27">
        <v>2.6368055550847203E-3</v>
      </c>
      <c r="S1128" s="2">
        <v>0</v>
      </c>
      <c r="T1128" s="2" t="s">
        <v>124</v>
      </c>
      <c r="U1128" s="2" t="s">
        <v>125</v>
      </c>
      <c r="V1128" s="2" t="s">
        <v>38</v>
      </c>
      <c r="W1128" s="2" t="s">
        <v>35</v>
      </c>
      <c r="X1128" s="2" t="s">
        <v>35</v>
      </c>
      <c r="Y1128" s="2" t="s">
        <v>35</v>
      </c>
      <c r="Z1128" s="2" t="b">
        <v>0</v>
      </c>
      <c r="AA1128" s="2" t="s">
        <v>35</v>
      </c>
      <c r="AB1128" s="2">
        <v>4</v>
      </c>
      <c r="AC1128" s="2" t="s">
        <v>35</v>
      </c>
      <c r="AD1128" s="2" t="s">
        <v>35</v>
      </c>
      <c r="AE1128" s="2" t="s">
        <v>3248</v>
      </c>
      <c r="AF1128" s="11">
        <v>44764.361111053244</v>
      </c>
      <c r="AG1128" s="53"/>
      <c r="AH1128" s="53" t="b">
        <f t="shared" si="24"/>
        <v>0</v>
      </c>
      <c r="AI1128" s="54" t="s">
        <v>10803</v>
      </c>
      <c r="AJ1128" s="2"/>
      <c r="AK1128" s="2"/>
      <c r="AL1128" s="2"/>
      <c r="AM1128" s="2"/>
      <c r="AN1128" s="2"/>
    </row>
    <row r="1129" spans="1:40" ht="16" x14ac:dyDescent="0.2">
      <c r="A1129" s="2" t="s">
        <v>3293</v>
      </c>
      <c r="B1129" s="2">
        <v>1021</v>
      </c>
      <c r="C1129" s="2" t="b">
        <v>0</v>
      </c>
      <c r="D1129" s="2" t="b">
        <v>0</v>
      </c>
      <c r="E1129" s="2" t="b">
        <v>0</v>
      </c>
      <c r="F1129" s="2" t="b">
        <v>0</v>
      </c>
      <c r="G1129" s="2" t="s">
        <v>31</v>
      </c>
      <c r="H1129" s="2" t="s">
        <v>3294</v>
      </c>
      <c r="I1129" s="2" t="s">
        <v>3295</v>
      </c>
      <c r="J1129" s="2" t="s">
        <v>675</v>
      </c>
      <c r="K1129" s="2" t="s">
        <v>35</v>
      </c>
      <c r="L1129" s="2" t="s">
        <v>35</v>
      </c>
      <c r="M1129" s="2" t="s">
        <v>35</v>
      </c>
      <c r="N1129" s="2" t="s">
        <v>35</v>
      </c>
      <c r="O1129" s="11">
        <v>44764.37715886574</v>
      </c>
      <c r="P1129" s="11">
        <v>44764.377571770834</v>
      </c>
      <c r="Q1129" s="27">
        <v>4.129050939809531E-4</v>
      </c>
      <c r="R1129" s="27">
        <v>8.9094907161779702E-4</v>
      </c>
      <c r="S1129" s="2">
        <v>0</v>
      </c>
      <c r="T1129" s="2" t="s">
        <v>124</v>
      </c>
      <c r="U1129" s="2" t="s">
        <v>125</v>
      </c>
      <c r="V1129" s="2" t="s">
        <v>38</v>
      </c>
      <c r="W1129" s="2" t="s">
        <v>35</v>
      </c>
      <c r="X1129" s="2" t="s">
        <v>35</v>
      </c>
      <c r="Y1129" s="2" t="s">
        <v>35</v>
      </c>
      <c r="Z1129" s="2" t="b">
        <v>0</v>
      </c>
      <c r="AA1129" s="2" t="s">
        <v>35</v>
      </c>
      <c r="AB1129" s="2">
        <v>4</v>
      </c>
      <c r="AC1129" s="2" t="s">
        <v>35</v>
      </c>
      <c r="AD1129" s="2" t="s">
        <v>35</v>
      </c>
      <c r="AE1129" s="2" t="s">
        <v>3248</v>
      </c>
      <c r="AF1129" s="11">
        <v>44764.361111053244</v>
      </c>
      <c r="AG1129" s="53"/>
      <c r="AH1129" s="53" t="b">
        <f t="shared" si="24"/>
        <v>0</v>
      </c>
      <c r="AI1129" s="54" t="s">
        <v>10807</v>
      </c>
      <c r="AJ1129" s="2" t="s">
        <v>10804</v>
      </c>
      <c r="AK1129" s="2" t="s">
        <v>10805</v>
      </c>
      <c r="AL1129" s="2" t="s">
        <v>10806</v>
      </c>
      <c r="AM1129" s="2"/>
      <c r="AN1129" s="2"/>
    </row>
    <row r="1130" spans="1:40" ht="16" x14ac:dyDescent="0.2">
      <c r="A1130" s="2" t="s">
        <v>3308</v>
      </c>
      <c r="B1130" s="2">
        <v>1027</v>
      </c>
      <c r="C1130" s="2" t="b">
        <v>0</v>
      </c>
      <c r="D1130" s="2" t="b">
        <v>0</v>
      </c>
      <c r="E1130" s="2" t="b">
        <v>0</v>
      </c>
      <c r="F1130" s="2" t="b">
        <v>0</v>
      </c>
      <c r="G1130" s="2" t="s">
        <v>31</v>
      </c>
      <c r="H1130" s="2" t="s">
        <v>3309</v>
      </c>
      <c r="I1130" s="2" t="s">
        <v>3310</v>
      </c>
      <c r="J1130" s="2" t="s">
        <v>675</v>
      </c>
      <c r="K1130" s="2" t="s">
        <v>35</v>
      </c>
      <c r="L1130" s="2" t="s">
        <v>35</v>
      </c>
      <c r="M1130" s="2" t="s">
        <v>35</v>
      </c>
      <c r="N1130" s="2" t="s">
        <v>35</v>
      </c>
      <c r="O1130" s="11">
        <v>44764.381928506948</v>
      </c>
      <c r="P1130" s="11">
        <v>44764.382191192133</v>
      </c>
      <c r="Q1130" s="27">
        <v>2.6268518558936194E-4</v>
      </c>
      <c r="R1130" s="27">
        <v>1.4028240766492672E-3</v>
      </c>
      <c r="S1130" s="2">
        <v>0</v>
      </c>
      <c r="T1130" s="2" t="s">
        <v>124</v>
      </c>
      <c r="U1130" s="2" t="s">
        <v>125</v>
      </c>
      <c r="V1130" s="2" t="s">
        <v>38</v>
      </c>
      <c r="W1130" s="2" t="s">
        <v>35</v>
      </c>
      <c r="X1130" s="2" t="s">
        <v>35</v>
      </c>
      <c r="Y1130" s="2" t="s">
        <v>35</v>
      </c>
      <c r="Z1130" s="2" t="b">
        <v>0</v>
      </c>
      <c r="AA1130" s="2" t="s">
        <v>35</v>
      </c>
      <c r="AB1130" s="2">
        <v>4</v>
      </c>
      <c r="AC1130" s="2" t="s">
        <v>35</v>
      </c>
      <c r="AD1130" s="2" t="s">
        <v>35</v>
      </c>
      <c r="AE1130" s="2" t="s">
        <v>3248</v>
      </c>
      <c r="AF1130" s="11">
        <v>44764.361111053244</v>
      </c>
      <c r="AG1130" s="53"/>
      <c r="AH1130" s="53" t="b">
        <f t="shared" si="24"/>
        <v>0</v>
      </c>
      <c r="AI1130" s="54" t="s">
        <v>10808</v>
      </c>
      <c r="AJ1130" s="2"/>
      <c r="AK1130" s="2"/>
      <c r="AL1130" s="2"/>
      <c r="AM1130" s="2"/>
      <c r="AN1130" s="2"/>
    </row>
    <row r="1131" spans="1:40" ht="16" x14ac:dyDescent="0.2">
      <c r="A1131" s="2" t="s">
        <v>3311</v>
      </c>
      <c r="B1131" s="2">
        <v>1028</v>
      </c>
      <c r="C1131" s="2" t="b">
        <v>0</v>
      </c>
      <c r="D1131" s="2" t="b">
        <v>0</v>
      </c>
      <c r="E1131" s="2" t="b">
        <v>0</v>
      </c>
      <c r="F1131" s="2" t="b">
        <v>0</v>
      </c>
      <c r="G1131" s="2" t="s">
        <v>31</v>
      </c>
      <c r="H1131" s="2" t="s">
        <v>3312</v>
      </c>
      <c r="I1131" s="2" t="s">
        <v>3313</v>
      </c>
      <c r="J1131" s="2" t="s">
        <v>675</v>
      </c>
      <c r="K1131" s="2" t="s">
        <v>35</v>
      </c>
      <c r="L1131" s="2" t="s">
        <v>35</v>
      </c>
      <c r="M1131" s="2" t="s">
        <v>35</v>
      </c>
      <c r="N1131" s="2" t="s">
        <v>35</v>
      </c>
      <c r="O1131" s="11">
        <v>44764.382457928237</v>
      </c>
      <c r="P1131" s="11">
        <v>44764.382602881946</v>
      </c>
      <c r="Q1131" s="27">
        <v>1.4495370851363987E-4</v>
      </c>
      <c r="R1131" s="27">
        <v>4.1168981260852888E-4</v>
      </c>
      <c r="S1131" s="2">
        <v>0</v>
      </c>
      <c r="T1131" s="2" t="s">
        <v>124</v>
      </c>
      <c r="U1131" s="2" t="s">
        <v>125</v>
      </c>
      <c r="V1131" s="2" t="s">
        <v>38</v>
      </c>
      <c r="W1131" s="2" t="s">
        <v>35</v>
      </c>
      <c r="X1131" s="2" t="s">
        <v>35</v>
      </c>
      <c r="Y1131" s="2" t="s">
        <v>35</v>
      </c>
      <c r="Z1131" s="2" t="b">
        <v>0</v>
      </c>
      <c r="AA1131" s="2" t="s">
        <v>35</v>
      </c>
      <c r="AB1131" s="2">
        <v>4</v>
      </c>
      <c r="AC1131" s="2" t="s">
        <v>35</v>
      </c>
      <c r="AD1131" s="2" t="s">
        <v>35</v>
      </c>
      <c r="AE1131" s="2" t="s">
        <v>3248</v>
      </c>
      <c r="AF1131" s="11">
        <v>44764.361111053244</v>
      </c>
      <c r="AG1131" s="53"/>
      <c r="AH1131" s="53" t="b">
        <f t="shared" si="24"/>
        <v>0</v>
      </c>
      <c r="AI1131" s="54" t="s">
        <v>9649</v>
      </c>
      <c r="AJ1131" s="2"/>
      <c r="AK1131" s="2"/>
      <c r="AL1131" s="2"/>
      <c r="AM1131" s="2"/>
      <c r="AN1131" s="2"/>
    </row>
    <row r="1132" spans="1:40" ht="16" x14ac:dyDescent="0.2">
      <c r="A1132" s="2" t="s">
        <v>3326</v>
      </c>
      <c r="B1132" s="2">
        <v>1033</v>
      </c>
      <c r="C1132" s="2" t="b">
        <v>0</v>
      </c>
      <c r="D1132" s="2" t="b">
        <v>0</v>
      </c>
      <c r="E1132" s="2" t="b">
        <v>0</v>
      </c>
      <c r="F1132" s="2" t="b">
        <v>0</v>
      </c>
      <c r="G1132" s="2" t="s">
        <v>31</v>
      </c>
      <c r="H1132" s="2" t="s">
        <v>3327</v>
      </c>
      <c r="I1132" s="2" t="s">
        <v>3328</v>
      </c>
      <c r="J1132" s="2" t="s">
        <v>675</v>
      </c>
      <c r="K1132" s="2" t="s">
        <v>35</v>
      </c>
      <c r="L1132" s="2" t="s">
        <v>35</v>
      </c>
      <c r="M1132" s="2" t="s">
        <v>35</v>
      </c>
      <c r="N1132" s="2" t="s">
        <v>35</v>
      </c>
      <c r="O1132" s="11">
        <v>44764.389395694445</v>
      </c>
      <c r="P1132" s="11">
        <v>44764.38961766204</v>
      </c>
      <c r="Q1132" s="27">
        <v>2.2196759528014809E-4</v>
      </c>
      <c r="R1132" s="27">
        <v>7.6976852142252028E-4</v>
      </c>
      <c r="S1132" s="2">
        <v>0</v>
      </c>
      <c r="T1132" s="2" t="s">
        <v>124</v>
      </c>
      <c r="U1132" s="2" t="s">
        <v>125</v>
      </c>
      <c r="V1132" s="2" t="s">
        <v>38</v>
      </c>
      <c r="W1132" s="2" t="s">
        <v>35</v>
      </c>
      <c r="X1132" s="2" t="s">
        <v>35</v>
      </c>
      <c r="Y1132" s="2" t="s">
        <v>35</v>
      </c>
      <c r="Z1132" s="2" t="b">
        <v>0</v>
      </c>
      <c r="AA1132" s="2" t="s">
        <v>35</v>
      </c>
      <c r="AB1132" s="2">
        <v>4</v>
      </c>
      <c r="AC1132" s="2" t="s">
        <v>35</v>
      </c>
      <c r="AD1132" s="2" t="s">
        <v>35</v>
      </c>
      <c r="AE1132" s="2" t="s">
        <v>3248</v>
      </c>
      <c r="AF1132" s="11">
        <v>44764.361111053244</v>
      </c>
      <c r="AG1132" s="53"/>
      <c r="AH1132" s="53" t="b">
        <f t="shared" si="24"/>
        <v>0</v>
      </c>
      <c r="AI1132" s="54" t="s">
        <v>10809</v>
      </c>
      <c r="AJ1132" s="2"/>
      <c r="AK1132" s="2"/>
      <c r="AL1132" s="2"/>
      <c r="AM1132" s="2"/>
      <c r="AN1132" s="2"/>
    </row>
    <row r="1133" spans="1:40" ht="16" x14ac:dyDescent="0.2">
      <c r="A1133" s="2" t="s">
        <v>3329</v>
      </c>
      <c r="B1133" s="2">
        <v>1034</v>
      </c>
      <c r="C1133" s="2" t="b">
        <v>0</v>
      </c>
      <c r="D1133" s="2" t="b">
        <v>0</v>
      </c>
      <c r="E1133" s="2" t="b">
        <v>0</v>
      </c>
      <c r="F1133" s="2" t="b">
        <v>0</v>
      </c>
      <c r="G1133" s="2" t="s">
        <v>31</v>
      </c>
      <c r="H1133" s="2" t="s">
        <v>3330</v>
      </c>
      <c r="I1133" s="2" t="s">
        <v>3331</v>
      </c>
      <c r="J1133" s="2" t="s">
        <v>675</v>
      </c>
      <c r="K1133" s="2" t="s">
        <v>35</v>
      </c>
      <c r="L1133" s="2" t="s">
        <v>35</v>
      </c>
      <c r="M1133" s="2" t="s">
        <v>35</v>
      </c>
      <c r="N1133" s="2" t="s">
        <v>35</v>
      </c>
      <c r="O1133" s="11">
        <v>44764.391007673614</v>
      </c>
      <c r="P1133" s="11">
        <v>44764.391174432873</v>
      </c>
      <c r="Q1133" s="27">
        <v>1.6675925871822983E-4</v>
      </c>
      <c r="R1133" s="27">
        <v>1.5567708323942497E-3</v>
      </c>
      <c r="S1133" s="2">
        <v>0</v>
      </c>
      <c r="T1133" s="2" t="s">
        <v>124</v>
      </c>
      <c r="U1133" s="2" t="s">
        <v>125</v>
      </c>
      <c r="V1133" s="2" t="s">
        <v>38</v>
      </c>
      <c r="W1133" s="2" t="s">
        <v>35</v>
      </c>
      <c r="X1133" s="2" t="s">
        <v>35</v>
      </c>
      <c r="Y1133" s="2" t="s">
        <v>35</v>
      </c>
      <c r="Z1133" s="2" t="b">
        <v>0</v>
      </c>
      <c r="AA1133" s="2" t="s">
        <v>35</v>
      </c>
      <c r="AB1133" s="2">
        <v>4</v>
      </c>
      <c r="AC1133" s="2" t="s">
        <v>35</v>
      </c>
      <c r="AD1133" s="2" t="s">
        <v>35</v>
      </c>
      <c r="AE1133" s="2" t="s">
        <v>3248</v>
      </c>
      <c r="AF1133" s="11">
        <v>44764.361111053244</v>
      </c>
      <c r="AG1133" s="53"/>
      <c r="AH1133" s="53" t="b">
        <f t="shared" si="24"/>
        <v>0</v>
      </c>
      <c r="AI1133" s="54" t="s">
        <v>10810</v>
      </c>
      <c r="AJ1133" s="2"/>
      <c r="AK1133" s="2"/>
      <c r="AL1133" s="2"/>
      <c r="AM1133" s="2"/>
      <c r="AN1133" s="2"/>
    </row>
    <row r="1134" spans="1:40" ht="16" x14ac:dyDescent="0.2">
      <c r="A1134" s="2" t="s">
        <v>3332</v>
      </c>
      <c r="B1134" s="2">
        <v>1035</v>
      </c>
      <c r="C1134" s="2" t="b">
        <v>0</v>
      </c>
      <c r="D1134" s="2" t="b">
        <v>0</v>
      </c>
      <c r="E1134" s="2" t="b">
        <v>0</v>
      </c>
      <c r="F1134" s="2" t="b">
        <v>0</v>
      </c>
      <c r="G1134" s="2" t="s">
        <v>31</v>
      </c>
      <c r="H1134" s="2" t="s">
        <v>3333</v>
      </c>
      <c r="I1134" s="2" t="s">
        <v>3334</v>
      </c>
      <c r="J1134" s="2" t="s">
        <v>675</v>
      </c>
      <c r="K1134" s="2" t="s">
        <v>35</v>
      </c>
      <c r="L1134" s="2" t="s">
        <v>35</v>
      </c>
      <c r="M1134" s="2" t="s">
        <v>35</v>
      </c>
      <c r="N1134" s="2" t="s">
        <v>35</v>
      </c>
      <c r="O1134" s="11">
        <v>44764.392402314814</v>
      </c>
      <c r="P1134" s="11">
        <v>44764.392574884259</v>
      </c>
      <c r="Q1134" s="27">
        <v>1.7256944556720555E-4</v>
      </c>
      <c r="R1134" s="27">
        <v>1.400451386871282E-3</v>
      </c>
      <c r="S1134" s="2">
        <v>0</v>
      </c>
      <c r="T1134" s="2" t="s">
        <v>124</v>
      </c>
      <c r="U1134" s="2" t="s">
        <v>125</v>
      </c>
      <c r="V1134" s="2" t="s">
        <v>38</v>
      </c>
      <c r="W1134" s="2" t="s">
        <v>35</v>
      </c>
      <c r="X1134" s="2" t="s">
        <v>35</v>
      </c>
      <c r="Y1134" s="2" t="s">
        <v>35</v>
      </c>
      <c r="Z1134" s="2" t="b">
        <v>0</v>
      </c>
      <c r="AA1134" s="2" t="s">
        <v>35</v>
      </c>
      <c r="AB1134" s="2">
        <v>4</v>
      </c>
      <c r="AC1134" s="2" t="s">
        <v>35</v>
      </c>
      <c r="AD1134" s="2" t="s">
        <v>35</v>
      </c>
      <c r="AE1134" s="2" t="s">
        <v>3248</v>
      </c>
      <c r="AF1134" s="11">
        <v>44764.361111053244</v>
      </c>
      <c r="AG1134" s="53"/>
      <c r="AH1134" s="53" t="b">
        <f t="shared" si="24"/>
        <v>0</v>
      </c>
      <c r="AI1134" s="54" t="s">
        <v>10811</v>
      </c>
      <c r="AJ1134" s="2"/>
      <c r="AK1134" s="2"/>
      <c r="AL1134" s="2"/>
      <c r="AM1134" s="2"/>
      <c r="AN1134" s="2"/>
    </row>
    <row r="1135" spans="1:40" ht="16" x14ac:dyDescent="0.2">
      <c r="A1135" s="2" t="s">
        <v>3335</v>
      </c>
      <c r="B1135" s="2">
        <v>1036</v>
      </c>
      <c r="C1135" s="2" t="b">
        <v>0</v>
      </c>
      <c r="D1135" s="2" t="b">
        <v>0</v>
      </c>
      <c r="E1135" s="2" t="b">
        <v>0</v>
      </c>
      <c r="F1135" s="2" t="b">
        <v>0</v>
      </c>
      <c r="G1135" s="2" t="s">
        <v>31</v>
      </c>
      <c r="H1135" s="2" t="s">
        <v>3336</v>
      </c>
      <c r="I1135" s="2" t="s">
        <v>3337</v>
      </c>
      <c r="J1135" s="2" t="s">
        <v>675</v>
      </c>
      <c r="K1135" s="2" t="s">
        <v>35</v>
      </c>
      <c r="L1135" s="2" t="s">
        <v>35</v>
      </c>
      <c r="M1135" s="2" t="s">
        <v>35</v>
      </c>
      <c r="N1135" s="2" t="s">
        <v>35</v>
      </c>
      <c r="O1135" s="11">
        <v>44764.392907175927</v>
      </c>
      <c r="P1135" s="11">
        <v>44764.393426527779</v>
      </c>
      <c r="Q1135" s="27">
        <v>5.1935185183538124E-4</v>
      </c>
      <c r="R1135" s="27">
        <v>8.5164351912681013E-4</v>
      </c>
      <c r="S1135" s="2">
        <v>0</v>
      </c>
      <c r="T1135" s="2" t="s">
        <v>124</v>
      </c>
      <c r="U1135" s="2" t="s">
        <v>125</v>
      </c>
      <c r="V1135" s="2" t="s">
        <v>38</v>
      </c>
      <c r="W1135" s="2" t="s">
        <v>35</v>
      </c>
      <c r="X1135" s="2" t="s">
        <v>35</v>
      </c>
      <c r="Y1135" s="2" t="s">
        <v>35</v>
      </c>
      <c r="Z1135" s="2" t="b">
        <v>0</v>
      </c>
      <c r="AA1135" s="2" t="s">
        <v>35</v>
      </c>
      <c r="AB1135" s="2">
        <v>4</v>
      </c>
      <c r="AC1135" s="2" t="s">
        <v>35</v>
      </c>
      <c r="AD1135" s="2" t="s">
        <v>35</v>
      </c>
      <c r="AE1135" s="2" t="s">
        <v>3248</v>
      </c>
      <c r="AF1135" s="11">
        <v>44764.361111053244</v>
      </c>
      <c r="AG1135" s="53"/>
      <c r="AH1135" s="53" t="b">
        <f t="shared" ref="AH1135:AH1147" si="25">IF(Q1135&gt;TIME(0,0,45),"TRUE")</f>
        <v>0</v>
      </c>
      <c r="AI1135" s="115" t="s">
        <v>10812</v>
      </c>
      <c r="AJ1135" s="2"/>
      <c r="AK1135" s="2"/>
      <c r="AL1135" s="2"/>
      <c r="AM1135" s="2"/>
      <c r="AN1135" s="2"/>
    </row>
    <row r="1136" spans="1:40" ht="16" x14ac:dyDescent="0.2">
      <c r="A1136" s="2" t="s">
        <v>3344</v>
      </c>
      <c r="B1136" s="2">
        <v>1039</v>
      </c>
      <c r="C1136" s="2" t="b">
        <v>0</v>
      </c>
      <c r="D1136" s="2" t="b">
        <v>0</v>
      </c>
      <c r="E1136" s="2" t="b">
        <v>0</v>
      </c>
      <c r="F1136" s="2" t="b">
        <v>0</v>
      </c>
      <c r="G1136" s="2" t="s">
        <v>31</v>
      </c>
      <c r="H1136" s="2" t="s">
        <v>3345</v>
      </c>
      <c r="I1136" s="2" t="s">
        <v>3346</v>
      </c>
      <c r="J1136" s="2" t="s">
        <v>675</v>
      </c>
      <c r="K1136" s="2" t="s">
        <v>35</v>
      </c>
      <c r="L1136" s="2" t="s">
        <v>35</v>
      </c>
      <c r="M1136" s="2" t="s">
        <v>35</v>
      </c>
      <c r="N1136" s="2" t="s">
        <v>35</v>
      </c>
      <c r="O1136" s="11">
        <v>44764.395027997685</v>
      </c>
      <c r="P1136" s="11">
        <v>44764.395244884261</v>
      </c>
      <c r="Q1136" s="27">
        <v>2.1688657579943538E-4</v>
      </c>
      <c r="R1136" s="27">
        <v>6.8454861320788041E-4</v>
      </c>
      <c r="S1136" s="2">
        <v>0</v>
      </c>
      <c r="T1136" s="2" t="s">
        <v>124</v>
      </c>
      <c r="U1136" s="2" t="s">
        <v>125</v>
      </c>
      <c r="V1136" s="2" t="s">
        <v>38</v>
      </c>
      <c r="W1136" s="2" t="s">
        <v>35</v>
      </c>
      <c r="X1136" s="2" t="s">
        <v>35</v>
      </c>
      <c r="Y1136" s="2" t="s">
        <v>35</v>
      </c>
      <c r="Z1136" s="2" t="b">
        <v>0</v>
      </c>
      <c r="AA1136" s="2" t="s">
        <v>35</v>
      </c>
      <c r="AB1136" s="2">
        <v>4</v>
      </c>
      <c r="AC1136" s="2" t="s">
        <v>35</v>
      </c>
      <c r="AD1136" s="2" t="s">
        <v>35</v>
      </c>
      <c r="AE1136" s="2" t="s">
        <v>3248</v>
      </c>
      <c r="AF1136" s="11">
        <v>44764.361111053244</v>
      </c>
      <c r="AG1136" s="53"/>
      <c r="AH1136" s="53" t="b">
        <f t="shared" si="25"/>
        <v>0</v>
      </c>
      <c r="AI1136" s="54" t="s">
        <v>10813</v>
      </c>
      <c r="AJ1136" s="2"/>
      <c r="AK1136" s="2"/>
      <c r="AL1136" s="2"/>
      <c r="AM1136" s="2"/>
      <c r="AN1136" s="2"/>
    </row>
    <row r="1137" spans="1:40" ht="16" x14ac:dyDescent="0.2">
      <c r="A1137" s="68" t="s">
        <v>3347</v>
      </c>
      <c r="B1137" s="68">
        <v>1040</v>
      </c>
      <c r="C1137" s="68" t="b">
        <v>0</v>
      </c>
      <c r="D1137" s="68" t="b">
        <v>0</v>
      </c>
      <c r="E1137" s="68" t="b">
        <v>0</v>
      </c>
      <c r="F1137" s="68" t="b">
        <v>0</v>
      </c>
      <c r="G1137" s="68" t="s">
        <v>31</v>
      </c>
      <c r="H1137" s="68" t="s">
        <v>149</v>
      </c>
      <c r="I1137" s="68" t="s">
        <v>3348</v>
      </c>
      <c r="J1137" s="68" t="s">
        <v>675</v>
      </c>
      <c r="K1137" s="68" t="s">
        <v>35</v>
      </c>
      <c r="L1137" s="68" t="s">
        <v>35</v>
      </c>
      <c r="M1137" s="68" t="s">
        <v>35</v>
      </c>
      <c r="N1137" s="68" t="s">
        <v>35</v>
      </c>
      <c r="O1137" s="69">
        <v>44764.395299780095</v>
      </c>
      <c r="P1137" s="69">
        <v>44764.395482164349</v>
      </c>
      <c r="Q1137" s="70">
        <v>1.823842540034093E-4</v>
      </c>
      <c r="R1137" s="70">
        <v>2.3728008818579838E-4</v>
      </c>
      <c r="S1137" s="68">
        <v>0</v>
      </c>
      <c r="T1137" s="68" t="s">
        <v>124</v>
      </c>
      <c r="U1137" s="68" t="s">
        <v>125</v>
      </c>
      <c r="V1137" s="68" t="s">
        <v>38</v>
      </c>
      <c r="W1137" s="68" t="s">
        <v>35</v>
      </c>
      <c r="X1137" s="68" t="s">
        <v>35</v>
      </c>
      <c r="Y1137" s="68" t="s">
        <v>35</v>
      </c>
      <c r="Z1137" s="68" t="b">
        <v>0</v>
      </c>
      <c r="AA1137" s="68" t="s">
        <v>35</v>
      </c>
      <c r="AB1137" s="68">
        <v>4</v>
      </c>
      <c r="AC1137" s="68" t="s">
        <v>35</v>
      </c>
      <c r="AD1137" s="68" t="s">
        <v>35</v>
      </c>
      <c r="AE1137" s="68" t="s">
        <v>3248</v>
      </c>
      <c r="AF1137" s="69">
        <v>44764.361111053244</v>
      </c>
      <c r="AG1137" s="71"/>
      <c r="AH1137" s="53" t="b">
        <f t="shared" si="25"/>
        <v>0</v>
      </c>
      <c r="AI1137" s="56" t="s">
        <v>35</v>
      </c>
      <c r="AJ1137" s="68"/>
      <c r="AK1137" s="68"/>
      <c r="AL1137" s="68"/>
      <c r="AM1137" s="68"/>
      <c r="AN1137" s="68"/>
    </row>
    <row r="1138" spans="1:40" ht="16" x14ac:dyDescent="0.2">
      <c r="A1138" s="2" t="s">
        <v>3352</v>
      </c>
      <c r="B1138" s="2">
        <v>1042</v>
      </c>
      <c r="C1138" s="2" t="b">
        <v>0</v>
      </c>
      <c r="D1138" s="2" t="b">
        <v>0</v>
      </c>
      <c r="E1138" s="2" t="b">
        <v>0</v>
      </c>
      <c r="F1138" s="2" t="b">
        <v>0</v>
      </c>
      <c r="G1138" s="2" t="s">
        <v>31</v>
      </c>
      <c r="H1138" s="2" t="s">
        <v>3353</v>
      </c>
      <c r="I1138" s="2" t="s">
        <v>3354</v>
      </c>
      <c r="J1138" s="2" t="s">
        <v>675</v>
      </c>
      <c r="K1138" s="2" t="s">
        <v>35</v>
      </c>
      <c r="L1138" s="2" t="s">
        <v>35</v>
      </c>
      <c r="M1138" s="2" t="s">
        <v>35</v>
      </c>
      <c r="N1138" s="2" t="s">
        <v>35</v>
      </c>
      <c r="O1138" s="11">
        <v>44764.399158379631</v>
      </c>
      <c r="P1138" s="11">
        <v>44764.399338136573</v>
      </c>
      <c r="Q1138" s="27">
        <v>1.7975694208871573E-4</v>
      </c>
      <c r="R1138" s="27">
        <v>1.1255092613282613E-3</v>
      </c>
      <c r="S1138" s="2">
        <v>0</v>
      </c>
      <c r="T1138" s="2" t="s">
        <v>124</v>
      </c>
      <c r="U1138" s="2" t="s">
        <v>125</v>
      </c>
      <c r="V1138" s="2" t="s">
        <v>38</v>
      </c>
      <c r="W1138" s="2" t="s">
        <v>35</v>
      </c>
      <c r="X1138" s="2" t="s">
        <v>35</v>
      </c>
      <c r="Y1138" s="2" t="s">
        <v>35</v>
      </c>
      <c r="Z1138" s="2" t="b">
        <v>0</v>
      </c>
      <c r="AA1138" s="2" t="s">
        <v>35</v>
      </c>
      <c r="AB1138" s="2">
        <v>4</v>
      </c>
      <c r="AC1138" s="2" t="s">
        <v>35</v>
      </c>
      <c r="AD1138" s="2" t="s">
        <v>35</v>
      </c>
      <c r="AE1138" s="2" t="s">
        <v>3248</v>
      </c>
      <c r="AF1138" s="11">
        <v>44764.361111053244</v>
      </c>
      <c r="AG1138" s="53"/>
      <c r="AH1138" s="53" t="b">
        <f t="shared" si="25"/>
        <v>0</v>
      </c>
      <c r="AI1138" s="54" t="s">
        <v>9648</v>
      </c>
      <c r="AJ1138" s="2"/>
      <c r="AK1138" s="2"/>
      <c r="AL1138" s="2"/>
      <c r="AM1138" s="2"/>
      <c r="AN1138" s="2"/>
    </row>
    <row r="1139" spans="1:40" ht="16" x14ac:dyDescent="0.2">
      <c r="A1139" s="2" t="s">
        <v>3355</v>
      </c>
      <c r="B1139" s="2">
        <v>1043</v>
      </c>
      <c r="C1139" s="2" t="b">
        <v>0</v>
      </c>
      <c r="D1139" s="2" t="b">
        <v>0</v>
      </c>
      <c r="E1139" s="2" t="b">
        <v>0</v>
      </c>
      <c r="F1139" s="2" t="b">
        <v>0</v>
      </c>
      <c r="G1139" s="2" t="s">
        <v>31</v>
      </c>
      <c r="H1139" s="2" t="s">
        <v>3356</v>
      </c>
      <c r="I1139" s="2" t="s">
        <v>3357</v>
      </c>
      <c r="J1139" s="2" t="s">
        <v>675</v>
      </c>
      <c r="K1139" s="2" t="s">
        <v>35</v>
      </c>
      <c r="L1139" s="2" t="s">
        <v>35</v>
      </c>
      <c r="M1139" s="2" t="s">
        <v>35</v>
      </c>
      <c r="N1139" s="2" t="s">
        <v>35</v>
      </c>
      <c r="O1139" s="11">
        <v>44764.40000775463</v>
      </c>
      <c r="P1139" s="11">
        <v>44764.400279814814</v>
      </c>
      <c r="Q1139" s="27">
        <v>2.7206018421566114E-4</v>
      </c>
      <c r="R1139" s="27">
        <v>9.4167824136093259E-4</v>
      </c>
      <c r="S1139" s="2">
        <v>0</v>
      </c>
      <c r="T1139" s="2" t="s">
        <v>124</v>
      </c>
      <c r="U1139" s="2" t="s">
        <v>125</v>
      </c>
      <c r="V1139" s="2" t="s">
        <v>38</v>
      </c>
      <c r="W1139" s="2" t="s">
        <v>35</v>
      </c>
      <c r="X1139" s="2" t="s">
        <v>35</v>
      </c>
      <c r="Y1139" s="2" t="s">
        <v>35</v>
      </c>
      <c r="Z1139" s="2" t="b">
        <v>0</v>
      </c>
      <c r="AA1139" s="2" t="s">
        <v>35</v>
      </c>
      <c r="AB1139" s="2">
        <v>4</v>
      </c>
      <c r="AC1139" s="2" t="s">
        <v>35</v>
      </c>
      <c r="AD1139" s="2" t="s">
        <v>35</v>
      </c>
      <c r="AE1139" s="2" t="s">
        <v>3248</v>
      </c>
      <c r="AF1139" s="11">
        <v>44764.361111053244</v>
      </c>
      <c r="AG1139" s="53"/>
      <c r="AH1139" s="53" t="b">
        <f t="shared" si="25"/>
        <v>0</v>
      </c>
      <c r="AI1139" s="54" t="s">
        <v>10814</v>
      </c>
      <c r="AJ1139" s="2"/>
      <c r="AK1139" s="2"/>
      <c r="AL1139" s="2"/>
      <c r="AM1139" s="2"/>
      <c r="AN1139" s="2"/>
    </row>
    <row r="1140" spans="1:40" ht="16" x14ac:dyDescent="0.2">
      <c r="A1140" s="2" t="s">
        <v>3403</v>
      </c>
      <c r="B1140" s="2">
        <v>1058</v>
      </c>
      <c r="C1140" s="2" t="b">
        <v>0</v>
      </c>
      <c r="D1140" s="2" t="b">
        <v>0</v>
      </c>
      <c r="E1140" s="2" t="b">
        <v>0</v>
      </c>
      <c r="F1140" s="2" t="b">
        <v>0</v>
      </c>
      <c r="G1140" s="2" t="s">
        <v>31</v>
      </c>
      <c r="H1140" s="2" t="s">
        <v>3404</v>
      </c>
      <c r="I1140" s="2" t="s">
        <v>3405</v>
      </c>
      <c r="J1140" s="2" t="s">
        <v>675</v>
      </c>
      <c r="K1140" s="2" t="s">
        <v>35</v>
      </c>
      <c r="L1140" s="2" t="s">
        <v>35</v>
      </c>
      <c r="M1140" s="2" t="s">
        <v>35</v>
      </c>
      <c r="N1140" s="2" t="s">
        <v>35</v>
      </c>
      <c r="O1140" s="11">
        <v>44764.433464872687</v>
      </c>
      <c r="P1140" s="11">
        <v>44764.433713680555</v>
      </c>
      <c r="Q1140" s="27">
        <v>2.4880786804715171E-4</v>
      </c>
      <c r="R1140" s="27">
        <v>3.618518530856818E-4</v>
      </c>
      <c r="S1140" s="2">
        <v>0</v>
      </c>
      <c r="T1140" s="2" t="s">
        <v>124</v>
      </c>
      <c r="U1140" s="2" t="s">
        <v>125</v>
      </c>
      <c r="V1140" s="2" t="s">
        <v>38</v>
      </c>
      <c r="W1140" s="2" t="s">
        <v>35</v>
      </c>
      <c r="X1140" s="2" t="s">
        <v>35</v>
      </c>
      <c r="Y1140" s="2" t="s">
        <v>35</v>
      </c>
      <c r="Z1140" s="2" t="b">
        <v>0</v>
      </c>
      <c r="AA1140" s="2" t="s">
        <v>35</v>
      </c>
      <c r="AB1140" s="2">
        <v>4</v>
      </c>
      <c r="AC1140" s="2" t="s">
        <v>35</v>
      </c>
      <c r="AD1140" s="2" t="s">
        <v>35</v>
      </c>
      <c r="AE1140" s="2" t="s">
        <v>3248</v>
      </c>
      <c r="AF1140" s="11">
        <v>44764.361111053244</v>
      </c>
      <c r="AG1140" s="53"/>
      <c r="AH1140" s="53" t="b">
        <f t="shared" si="25"/>
        <v>0</v>
      </c>
      <c r="AI1140" s="54" t="s">
        <v>10815</v>
      </c>
      <c r="AJ1140" s="2"/>
      <c r="AK1140" s="2"/>
      <c r="AL1140" s="2"/>
      <c r="AM1140" s="2"/>
      <c r="AN1140" s="2"/>
    </row>
    <row r="1141" spans="1:40" ht="16" x14ac:dyDescent="0.2">
      <c r="A1141" s="2" t="s">
        <v>3406</v>
      </c>
      <c r="B1141" s="2">
        <v>1059</v>
      </c>
      <c r="C1141" s="2" t="b">
        <v>0</v>
      </c>
      <c r="D1141" s="2" t="b">
        <v>0</v>
      </c>
      <c r="E1141" s="2" t="b">
        <v>0</v>
      </c>
      <c r="F1141" s="2" t="b">
        <v>0</v>
      </c>
      <c r="G1141" s="2" t="s">
        <v>31</v>
      </c>
      <c r="H1141" s="2" t="s">
        <v>3407</v>
      </c>
      <c r="I1141" s="2" t="s">
        <v>3408</v>
      </c>
      <c r="J1141" s="2" t="s">
        <v>675</v>
      </c>
      <c r="K1141" s="2" t="s">
        <v>35</v>
      </c>
      <c r="L1141" s="2" t="s">
        <v>35</v>
      </c>
      <c r="M1141" s="2" t="s">
        <v>35</v>
      </c>
      <c r="N1141" s="2" t="s">
        <v>35</v>
      </c>
      <c r="O1141" s="11">
        <v>44764.434323553243</v>
      </c>
      <c r="P1141" s="11">
        <v>44764.434670300929</v>
      </c>
      <c r="Q1141" s="27">
        <v>3.4674768539844081E-4</v>
      </c>
      <c r="R1141" s="27">
        <v>9.5662037347210571E-4</v>
      </c>
      <c r="S1141" s="2">
        <v>0</v>
      </c>
      <c r="T1141" s="2" t="s">
        <v>124</v>
      </c>
      <c r="U1141" s="2" t="s">
        <v>125</v>
      </c>
      <c r="V1141" s="2" t="s">
        <v>38</v>
      </c>
      <c r="W1141" s="2" t="s">
        <v>35</v>
      </c>
      <c r="X1141" s="2" t="s">
        <v>35</v>
      </c>
      <c r="Y1141" s="2" t="s">
        <v>35</v>
      </c>
      <c r="Z1141" s="2" t="b">
        <v>0</v>
      </c>
      <c r="AA1141" s="2" t="s">
        <v>35</v>
      </c>
      <c r="AB1141" s="2">
        <v>4</v>
      </c>
      <c r="AC1141" s="2" t="s">
        <v>35</v>
      </c>
      <c r="AD1141" s="2" t="s">
        <v>35</v>
      </c>
      <c r="AE1141" s="2" t="s">
        <v>3248</v>
      </c>
      <c r="AF1141" s="11">
        <v>44764.361111053244</v>
      </c>
      <c r="AG1141" s="53"/>
      <c r="AH1141" s="53" t="b">
        <f t="shared" si="25"/>
        <v>0</v>
      </c>
      <c r="AI1141" s="54" t="s">
        <v>10816</v>
      </c>
      <c r="AJ1141" s="2"/>
      <c r="AK1141" s="2"/>
      <c r="AL1141" s="2"/>
      <c r="AM1141" s="2"/>
      <c r="AN1141" s="2"/>
    </row>
    <row r="1142" spans="1:40" ht="16" x14ac:dyDescent="0.2">
      <c r="A1142" s="2" t="s">
        <v>3409</v>
      </c>
      <c r="B1142" s="2">
        <v>1060</v>
      </c>
      <c r="C1142" s="2" t="b">
        <v>0</v>
      </c>
      <c r="D1142" s="2" t="b">
        <v>0</v>
      </c>
      <c r="E1142" s="2" t="b">
        <v>0</v>
      </c>
      <c r="F1142" s="2" t="b">
        <v>0</v>
      </c>
      <c r="G1142" s="2" t="s">
        <v>31</v>
      </c>
      <c r="H1142" s="2" t="s">
        <v>3410</v>
      </c>
      <c r="I1142" s="2" t="s">
        <v>3411</v>
      </c>
      <c r="J1142" s="2" t="s">
        <v>675</v>
      </c>
      <c r="K1142" s="2" t="s">
        <v>35</v>
      </c>
      <c r="L1142" s="2" t="s">
        <v>35</v>
      </c>
      <c r="M1142" s="2" t="s">
        <v>35</v>
      </c>
      <c r="N1142" s="2" t="s">
        <v>35</v>
      </c>
      <c r="O1142" s="11">
        <v>44764.434855937499</v>
      </c>
      <c r="P1142" s="11">
        <v>44764.434992708331</v>
      </c>
      <c r="Q1142" s="27">
        <v>1.3677083188667893E-4</v>
      </c>
      <c r="R1142" s="27">
        <v>3.2240740256384015E-4</v>
      </c>
      <c r="S1142" s="2">
        <v>0</v>
      </c>
      <c r="T1142" s="2" t="s">
        <v>124</v>
      </c>
      <c r="U1142" s="2" t="s">
        <v>125</v>
      </c>
      <c r="V1142" s="2" t="s">
        <v>38</v>
      </c>
      <c r="W1142" s="2" t="s">
        <v>35</v>
      </c>
      <c r="X1142" s="2" t="s">
        <v>35</v>
      </c>
      <c r="Y1142" s="2" t="s">
        <v>35</v>
      </c>
      <c r="Z1142" s="2" t="b">
        <v>0</v>
      </c>
      <c r="AA1142" s="2" t="s">
        <v>35</v>
      </c>
      <c r="AB1142" s="2">
        <v>4</v>
      </c>
      <c r="AC1142" s="2" t="s">
        <v>35</v>
      </c>
      <c r="AD1142" s="2" t="s">
        <v>35</v>
      </c>
      <c r="AE1142" s="2" t="s">
        <v>3248</v>
      </c>
      <c r="AF1142" s="11">
        <v>44764.361111053244</v>
      </c>
      <c r="AG1142" s="53"/>
      <c r="AH1142" s="53" t="b">
        <f t="shared" si="25"/>
        <v>0</v>
      </c>
      <c r="AI1142" s="54" t="s">
        <v>10817</v>
      </c>
      <c r="AJ1142" s="2"/>
      <c r="AK1142" s="2"/>
      <c r="AL1142" s="2"/>
      <c r="AM1142" s="2"/>
      <c r="AN1142" s="2"/>
    </row>
    <row r="1143" spans="1:40" ht="16" x14ac:dyDescent="0.2">
      <c r="A1143" s="2" t="s">
        <v>3415</v>
      </c>
      <c r="B1143" s="2">
        <v>1062</v>
      </c>
      <c r="C1143" s="2" t="b">
        <v>0</v>
      </c>
      <c r="D1143" s="2" t="b">
        <v>0</v>
      </c>
      <c r="E1143" s="2" t="b">
        <v>0</v>
      </c>
      <c r="F1143" s="2" t="b">
        <v>0</v>
      </c>
      <c r="G1143" s="2" t="s">
        <v>31</v>
      </c>
      <c r="H1143" s="2" t="s">
        <v>3416</v>
      </c>
      <c r="I1143" s="2" t="s">
        <v>3417</v>
      </c>
      <c r="J1143" s="2" t="s">
        <v>675</v>
      </c>
      <c r="K1143" s="2" t="s">
        <v>35</v>
      </c>
      <c r="L1143" s="2" t="s">
        <v>35</v>
      </c>
      <c r="M1143" s="2" t="s">
        <v>35</v>
      </c>
      <c r="N1143" s="2" t="s">
        <v>35</v>
      </c>
      <c r="O1143" s="11">
        <v>44764.435381041665</v>
      </c>
      <c r="P1143" s="11">
        <v>44764.435554224539</v>
      </c>
      <c r="Q1143" s="27">
        <v>1.7318287427769974E-4</v>
      </c>
      <c r="R1143" s="27">
        <v>2.8957176255062222E-4</v>
      </c>
      <c r="S1143" s="2">
        <v>0</v>
      </c>
      <c r="T1143" s="2" t="s">
        <v>124</v>
      </c>
      <c r="U1143" s="2" t="s">
        <v>125</v>
      </c>
      <c r="V1143" s="2" t="s">
        <v>38</v>
      </c>
      <c r="W1143" s="2" t="s">
        <v>35</v>
      </c>
      <c r="X1143" s="2" t="s">
        <v>35</v>
      </c>
      <c r="Y1143" s="2" t="s">
        <v>35</v>
      </c>
      <c r="Z1143" s="2" t="b">
        <v>0</v>
      </c>
      <c r="AA1143" s="2" t="s">
        <v>35</v>
      </c>
      <c r="AB1143" s="2">
        <v>4</v>
      </c>
      <c r="AC1143" s="2" t="s">
        <v>35</v>
      </c>
      <c r="AD1143" s="2" t="s">
        <v>35</v>
      </c>
      <c r="AE1143" s="2" t="s">
        <v>3248</v>
      </c>
      <c r="AF1143" s="11">
        <v>44764.361111053244</v>
      </c>
      <c r="AG1143" s="53"/>
      <c r="AH1143" s="53" t="b">
        <f t="shared" si="25"/>
        <v>0</v>
      </c>
      <c r="AI1143" s="54" t="s">
        <v>10818</v>
      </c>
      <c r="AJ1143" s="2"/>
      <c r="AK1143" s="2"/>
      <c r="AL1143" s="2"/>
      <c r="AM1143" s="2"/>
      <c r="AN1143" s="2"/>
    </row>
    <row r="1144" spans="1:40" ht="16" x14ac:dyDescent="0.2">
      <c r="A1144" s="2" t="s">
        <v>3418</v>
      </c>
      <c r="B1144" s="2">
        <v>1063</v>
      </c>
      <c r="C1144" s="2" t="b">
        <v>0</v>
      </c>
      <c r="D1144" s="2" t="b">
        <v>0</v>
      </c>
      <c r="E1144" s="2" t="b">
        <v>0</v>
      </c>
      <c r="F1144" s="2" t="b">
        <v>0</v>
      </c>
      <c r="G1144" s="2" t="s">
        <v>31</v>
      </c>
      <c r="H1144" s="2" t="s">
        <v>3419</v>
      </c>
      <c r="I1144" s="2" t="s">
        <v>3420</v>
      </c>
      <c r="J1144" s="2" t="s">
        <v>675</v>
      </c>
      <c r="K1144" s="2" t="s">
        <v>35</v>
      </c>
      <c r="L1144" s="2" t="s">
        <v>35</v>
      </c>
      <c r="M1144" s="2" t="s">
        <v>35</v>
      </c>
      <c r="N1144" s="2" t="s">
        <v>35</v>
      </c>
      <c r="O1144" s="11">
        <v>44764.435600937497</v>
      </c>
      <c r="P1144" s="11">
        <v>44764.435831770832</v>
      </c>
      <c r="Q1144" s="27">
        <v>2.3083333508111537E-4</v>
      </c>
      <c r="R1144" s="27">
        <v>2.7754629263654351E-4</v>
      </c>
      <c r="S1144" s="2">
        <v>0</v>
      </c>
      <c r="T1144" s="2" t="s">
        <v>124</v>
      </c>
      <c r="U1144" s="2" t="s">
        <v>125</v>
      </c>
      <c r="V1144" s="2" t="s">
        <v>38</v>
      </c>
      <c r="W1144" s="2" t="s">
        <v>35</v>
      </c>
      <c r="X1144" s="2" t="s">
        <v>35</v>
      </c>
      <c r="Y1144" s="2" t="s">
        <v>35</v>
      </c>
      <c r="Z1144" s="2" t="b">
        <v>0</v>
      </c>
      <c r="AA1144" s="2" t="s">
        <v>35</v>
      </c>
      <c r="AB1144" s="2">
        <v>4</v>
      </c>
      <c r="AC1144" s="2" t="s">
        <v>35</v>
      </c>
      <c r="AD1144" s="2" t="s">
        <v>35</v>
      </c>
      <c r="AE1144" s="2" t="s">
        <v>3248</v>
      </c>
      <c r="AF1144" s="11">
        <v>44764.361111053244</v>
      </c>
      <c r="AG1144" s="53"/>
      <c r="AH1144" s="53" t="b">
        <f t="shared" si="25"/>
        <v>0</v>
      </c>
      <c r="AI1144" s="54" t="s">
        <v>10819</v>
      </c>
      <c r="AJ1144" s="2"/>
      <c r="AK1144" s="2"/>
      <c r="AL1144" s="2"/>
      <c r="AM1144" s="2"/>
      <c r="AN1144" s="2"/>
    </row>
    <row r="1145" spans="1:40" ht="16" x14ac:dyDescent="0.2">
      <c r="A1145" s="2" t="s">
        <v>3424</v>
      </c>
      <c r="B1145" s="2">
        <v>1065</v>
      </c>
      <c r="C1145" s="2" t="b">
        <v>0</v>
      </c>
      <c r="D1145" s="2" t="b">
        <v>0</v>
      </c>
      <c r="E1145" s="2" t="b">
        <v>0</v>
      </c>
      <c r="F1145" s="2" t="b">
        <v>0</v>
      </c>
      <c r="G1145" s="2" t="s">
        <v>31</v>
      </c>
      <c r="H1145" s="2" t="s">
        <v>3425</v>
      </c>
      <c r="I1145" s="2" t="s">
        <v>3426</v>
      </c>
      <c r="J1145" s="2" t="s">
        <v>675</v>
      </c>
      <c r="K1145" s="2" t="s">
        <v>35</v>
      </c>
      <c r="L1145" s="2" t="s">
        <v>35</v>
      </c>
      <c r="M1145" s="2" t="s">
        <v>35</v>
      </c>
      <c r="N1145" s="2" t="s">
        <v>35</v>
      </c>
      <c r="O1145" s="11">
        <v>44764.439885185187</v>
      </c>
      <c r="P1145" s="11">
        <v>44764.440036377317</v>
      </c>
      <c r="Q1145" s="27">
        <v>1.5119212912395597E-4</v>
      </c>
      <c r="R1145" s="27">
        <v>3.39584490575362E-3</v>
      </c>
      <c r="S1145" s="2">
        <v>0</v>
      </c>
      <c r="T1145" s="2" t="s">
        <v>124</v>
      </c>
      <c r="U1145" s="2" t="s">
        <v>125</v>
      </c>
      <c r="V1145" s="2" t="s">
        <v>38</v>
      </c>
      <c r="W1145" s="2" t="s">
        <v>35</v>
      </c>
      <c r="X1145" s="2" t="s">
        <v>35</v>
      </c>
      <c r="Y1145" s="2" t="s">
        <v>35</v>
      </c>
      <c r="Z1145" s="2" t="b">
        <v>0</v>
      </c>
      <c r="AA1145" s="2" t="s">
        <v>35</v>
      </c>
      <c r="AB1145" s="2">
        <v>4</v>
      </c>
      <c r="AC1145" s="2" t="s">
        <v>35</v>
      </c>
      <c r="AD1145" s="2" t="s">
        <v>35</v>
      </c>
      <c r="AE1145" s="2" t="s">
        <v>3248</v>
      </c>
      <c r="AF1145" s="11">
        <v>44764.361111053244</v>
      </c>
      <c r="AG1145" s="53"/>
      <c r="AH1145" s="53" t="b">
        <f t="shared" si="25"/>
        <v>0</v>
      </c>
      <c r="AI1145" s="54" t="s">
        <v>10820</v>
      </c>
      <c r="AJ1145" s="2"/>
      <c r="AK1145" s="2"/>
      <c r="AL1145" s="2"/>
      <c r="AM1145" s="2"/>
      <c r="AN1145" s="2"/>
    </row>
    <row r="1146" spans="1:40" ht="16" x14ac:dyDescent="0.2">
      <c r="A1146" s="2" t="s">
        <v>3480</v>
      </c>
      <c r="B1146" s="2">
        <v>1082</v>
      </c>
      <c r="C1146" s="2" t="b">
        <v>0</v>
      </c>
      <c r="D1146" s="2" t="b">
        <v>0</v>
      </c>
      <c r="E1146" s="2" t="b">
        <v>0</v>
      </c>
      <c r="F1146" s="2" t="b">
        <v>0</v>
      </c>
      <c r="G1146" s="2" t="s">
        <v>31</v>
      </c>
      <c r="H1146" s="2" t="s">
        <v>3481</v>
      </c>
      <c r="I1146" s="2" t="s">
        <v>3482</v>
      </c>
      <c r="J1146" s="2" t="s">
        <v>675</v>
      </c>
      <c r="K1146" s="2" t="s">
        <v>35</v>
      </c>
      <c r="L1146" s="2" t="s">
        <v>35</v>
      </c>
      <c r="M1146" s="2" t="s">
        <v>35</v>
      </c>
      <c r="N1146" s="2" t="s">
        <v>35</v>
      </c>
      <c r="O1146" s="11">
        <v>44764.46405289352</v>
      </c>
      <c r="P1146" s="11">
        <v>44764.464233715276</v>
      </c>
      <c r="Q1146" s="27">
        <v>1.8082175665767863E-4</v>
      </c>
      <c r="R1146" s="27">
        <v>5.6514699026593007E-3</v>
      </c>
      <c r="S1146" s="2">
        <v>0</v>
      </c>
      <c r="T1146" s="2" t="s">
        <v>124</v>
      </c>
      <c r="U1146" s="2" t="s">
        <v>125</v>
      </c>
      <c r="V1146" s="2" t="s">
        <v>38</v>
      </c>
      <c r="W1146" s="2" t="s">
        <v>35</v>
      </c>
      <c r="X1146" s="2" t="s">
        <v>35</v>
      </c>
      <c r="Y1146" s="2" t="s">
        <v>35</v>
      </c>
      <c r="Z1146" s="2" t="b">
        <v>0</v>
      </c>
      <c r="AA1146" s="2" t="s">
        <v>35</v>
      </c>
      <c r="AB1146" s="2">
        <v>4</v>
      </c>
      <c r="AC1146" s="2" t="s">
        <v>35</v>
      </c>
      <c r="AD1146" s="2" t="s">
        <v>35</v>
      </c>
      <c r="AE1146" s="2" t="s">
        <v>3248</v>
      </c>
      <c r="AF1146" s="11">
        <v>44764.361111053244</v>
      </c>
      <c r="AG1146" s="53"/>
      <c r="AH1146" s="53" t="b">
        <f t="shared" si="25"/>
        <v>0</v>
      </c>
      <c r="AI1146" s="54" t="s">
        <v>10821</v>
      </c>
      <c r="AJ1146" s="2"/>
      <c r="AK1146" s="2"/>
      <c r="AL1146" s="2"/>
      <c r="AM1146" s="2"/>
      <c r="AN1146" s="2"/>
    </row>
    <row r="1147" spans="1:40" ht="16" x14ac:dyDescent="0.2">
      <c r="A1147" s="2" t="s">
        <v>3544</v>
      </c>
      <c r="B1147" s="2">
        <v>1102</v>
      </c>
      <c r="C1147" s="2" t="b">
        <v>0</v>
      </c>
      <c r="D1147" s="2" t="b">
        <v>0</v>
      </c>
      <c r="E1147" s="2" t="b">
        <v>0</v>
      </c>
      <c r="F1147" s="2" t="b">
        <v>0</v>
      </c>
      <c r="G1147" s="2" t="s">
        <v>31</v>
      </c>
      <c r="H1147" s="2" t="s">
        <v>3545</v>
      </c>
      <c r="I1147" s="2" t="s">
        <v>3546</v>
      </c>
      <c r="J1147" s="2" t="s">
        <v>675</v>
      </c>
      <c r="K1147" s="2" t="s">
        <v>35</v>
      </c>
      <c r="L1147" s="2" t="s">
        <v>35</v>
      </c>
      <c r="M1147" s="2" t="s">
        <v>35</v>
      </c>
      <c r="N1147" s="2" t="s">
        <v>35</v>
      </c>
      <c r="O1147" s="11">
        <v>44769.408863807868</v>
      </c>
      <c r="P1147" s="11">
        <v>44769.40912866898</v>
      </c>
      <c r="Q1147" s="27">
        <v>2.6486111164558679E-4</v>
      </c>
      <c r="R1147" s="27">
        <v>6.1910879594506696E-4</v>
      </c>
      <c r="S1147" s="2">
        <v>0</v>
      </c>
      <c r="T1147" s="2" t="s">
        <v>124</v>
      </c>
      <c r="U1147" s="2" t="s">
        <v>125</v>
      </c>
      <c r="V1147" s="2" t="s">
        <v>38</v>
      </c>
      <c r="W1147" s="2" t="s">
        <v>35</v>
      </c>
      <c r="X1147" s="2" t="s">
        <v>35</v>
      </c>
      <c r="Y1147" s="2" t="s">
        <v>35</v>
      </c>
      <c r="Z1147" s="2" t="b">
        <v>0</v>
      </c>
      <c r="AA1147" s="2" t="s">
        <v>35</v>
      </c>
      <c r="AB1147" s="2">
        <v>4</v>
      </c>
      <c r="AC1147" s="2" t="s">
        <v>35</v>
      </c>
      <c r="AD1147" s="2" t="s">
        <v>35</v>
      </c>
      <c r="AE1147" s="2" t="s">
        <v>2840</v>
      </c>
      <c r="AF1147" s="11">
        <v>44769.384722222225</v>
      </c>
      <c r="AG1147" s="53"/>
      <c r="AH1147" s="53" t="b">
        <f t="shared" si="25"/>
        <v>0</v>
      </c>
      <c r="AI1147" s="54" t="s">
        <v>10824</v>
      </c>
      <c r="AJ1147" s="2" t="s">
        <v>10822</v>
      </c>
      <c r="AK1147" s="2" t="s">
        <v>10823</v>
      </c>
      <c r="AL1147" s="2"/>
      <c r="AM1147" s="2"/>
      <c r="AN1147" s="2"/>
    </row>
    <row r="1154" spans="1:40" x14ac:dyDescent="0.2">
      <c r="A1154" s="68" t="s">
        <v>3299</v>
      </c>
      <c r="B1154" s="68">
        <v>1023</v>
      </c>
      <c r="C1154" s="68" t="b">
        <v>0</v>
      </c>
      <c r="D1154" s="68" t="b">
        <v>0</v>
      </c>
      <c r="E1154" s="68" t="b">
        <v>0</v>
      </c>
      <c r="F1154" s="68" t="b">
        <v>0</v>
      </c>
      <c r="G1154" s="68" t="s">
        <v>31</v>
      </c>
      <c r="H1154" s="68" t="s">
        <v>149</v>
      </c>
      <c r="I1154" s="68" t="s">
        <v>3300</v>
      </c>
      <c r="J1154" s="68" t="s">
        <v>35</v>
      </c>
      <c r="K1154" s="68" t="s">
        <v>35</v>
      </c>
      <c r="L1154" s="68">
        <v>13</v>
      </c>
      <c r="M1154" s="68" t="s">
        <v>35</v>
      </c>
      <c r="N1154" s="68" t="s">
        <v>35</v>
      </c>
      <c r="O1154" s="69">
        <v>44764.380604050923</v>
      </c>
      <c r="P1154" s="69">
        <v>44764.38060527778</v>
      </c>
      <c r="Q1154" s="70">
        <v>1.2268574209883809E-6</v>
      </c>
      <c r="R1154" s="70">
        <v>2.1277777777868323E-3</v>
      </c>
      <c r="S1154" s="68">
        <v>0</v>
      </c>
      <c r="T1154" s="68" t="s">
        <v>265</v>
      </c>
      <c r="U1154" s="68" t="s">
        <v>266</v>
      </c>
      <c r="V1154" s="68" t="s">
        <v>38</v>
      </c>
      <c r="W1154" s="68" t="s">
        <v>35</v>
      </c>
      <c r="X1154" s="68" t="s">
        <v>35</v>
      </c>
      <c r="Y1154" s="68" t="s">
        <v>35</v>
      </c>
      <c r="Z1154" s="68" t="b">
        <v>0</v>
      </c>
      <c r="AA1154" s="68" t="s">
        <v>35</v>
      </c>
      <c r="AB1154" s="68" t="s">
        <v>35</v>
      </c>
      <c r="AC1154" s="68" t="s">
        <v>35</v>
      </c>
      <c r="AD1154" s="68" t="s">
        <v>35</v>
      </c>
      <c r="AE1154" s="68" t="s">
        <v>3248</v>
      </c>
      <c r="AF1154" s="69">
        <v>44764.361111053244</v>
      </c>
      <c r="AG1154" s="71"/>
      <c r="AH1154" s="11" t="s">
        <v>10834</v>
      </c>
      <c r="AI1154" s="94" t="s">
        <v>9485</v>
      </c>
      <c r="AJ1154" s="68"/>
      <c r="AK1154" s="68"/>
      <c r="AL1154" s="68"/>
      <c r="AM1154" s="68"/>
      <c r="AN1154" s="68"/>
    </row>
    <row r="1155" spans="1:40" x14ac:dyDescent="0.2">
      <c r="A1155" s="21" t="s">
        <v>3301</v>
      </c>
      <c r="B1155" s="21">
        <v>1024</v>
      </c>
      <c r="C1155" s="21" t="b">
        <v>0</v>
      </c>
      <c r="D1155" s="21" t="b">
        <v>0</v>
      </c>
      <c r="E1155" s="21" t="b">
        <v>0</v>
      </c>
      <c r="F1155" s="21" t="b">
        <v>0</v>
      </c>
      <c r="G1155" s="21" t="s">
        <v>31</v>
      </c>
      <c r="H1155" s="68" t="s">
        <v>149</v>
      </c>
      <c r="I1155" s="21" t="s">
        <v>3302</v>
      </c>
      <c r="J1155" s="21" t="s">
        <v>35</v>
      </c>
      <c r="K1155" s="21" t="s">
        <v>35</v>
      </c>
      <c r="L1155" s="21">
        <v>5</v>
      </c>
      <c r="M1155" s="21" t="s">
        <v>35</v>
      </c>
      <c r="N1155" s="21" t="s">
        <v>35</v>
      </c>
      <c r="O1155" s="22">
        <v>44764.380607187501</v>
      </c>
      <c r="P1155" s="22">
        <v>44764.380608356485</v>
      </c>
      <c r="Q1155" s="23">
        <v>1.1689844541251659E-6</v>
      </c>
      <c r="R1155" s="23">
        <v>3.0787050491198897E-6</v>
      </c>
      <c r="S1155" s="21">
        <v>0</v>
      </c>
      <c r="T1155" s="21" t="s">
        <v>265</v>
      </c>
      <c r="U1155" s="21" t="s">
        <v>266</v>
      </c>
      <c r="V1155" s="21" t="s">
        <v>38</v>
      </c>
      <c r="W1155" s="21" t="s">
        <v>35</v>
      </c>
      <c r="X1155" s="21" t="s">
        <v>35</v>
      </c>
      <c r="Y1155" s="21" t="s">
        <v>35</v>
      </c>
      <c r="Z1155" s="21" t="b">
        <v>0</v>
      </c>
      <c r="AA1155" s="21" t="s">
        <v>35</v>
      </c>
      <c r="AB1155" s="21" t="s">
        <v>35</v>
      </c>
      <c r="AC1155" s="21" t="s">
        <v>35</v>
      </c>
      <c r="AD1155" s="21" t="s">
        <v>35</v>
      </c>
      <c r="AE1155" s="21" t="s">
        <v>3248</v>
      </c>
      <c r="AF1155" s="22">
        <v>44764.361111053244</v>
      </c>
      <c r="AG1155" s="57"/>
      <c r="AH1155" s="11" t="s">
        <v>10834</v>
      </c>
      <c r="AI1155" s="94" t="s">
        <v>9486</v>
      </c>
      <c r="AJ1155" s="21"/>
      <c r="AK1155" s="21"/>
      <c r="AL1155" s="21"/>
      <c r="AM1155" s="21"/>
      <c r="AN1155" s="21"/>
    </row>
    <row r="1156" spans="1:40" ht="16" x14ac:dyDescent="0.2">
      <c r="A1156" s="31" t="s">
        <v>214</v>
      </c>
      <c r="B1156" s="31">
        <v>50</v>
      </c>
      <c r="C1156" s="31" t="b">
        <v>0</v>
      </c>
      <c r="D1156" s="31" t="b">
        <v>0</v>
      </c>
      <c r="E1156" s="31" t="b">
        <v>0</v>
      </c>
      <c r="F1156" s="31" t="b">
        <v>0</v>
      </c>
      <c r="G1156" s="31" t="s">
        <v>31</v>
      </c>
      <c r="H1156" s="68" t="s">
        <v>149</v>
      </c>
      <c r="I1156" s="31" t="s">
        <v>215</v>
      </c>
      <c r="J1156" s="31" t="s">
        <v>35</v>
      </c>
      <c r="K1156" s="31" t="s">
        <v>35</v>
      </c>
      <c r="L1156" s="31" t="s">
        <v>35</v>
      </c>
      <c r="M1156" s="31">
        <v>26</v>
      </c>
      <c r="N1156" s="31">
        <v>15</v>
      </c>
      <c r="O1156" s="32">
        <v>44729.671817916664</v>
      </c>
      <c r="P1156" s="32">
        <v>44729.671818460651</v>
      </c>
      <c r="Q1156" s="30">
        <v>5.4398697102442384E-7</v>
      </c>
      <c r="R1156" s="30">
        <v>8.8804398183128797E-3</v>
      </c>
      <c r="S1156" s="31">
        <v>0</v>
      </c>
      <c r="T1156" s="31" t="s">
        <v>54</v>
      </c>
      <c r="U1156" s="31" t="s">
        <v>55</v>
      </c>
      <c r="V1156" s="31" t="s">
        <v>38</v>
      </c>
      <c r="W1156" s="31" t="s">
        <v>35</v>
      </c>
      <c r="X1156" s="31" t="s">
        <v>35</v>
      </c>
      <c r="Y1156" s="31" t="s">
        <v>35</v>
      </c>
      <c r="Z1156" s="31" t="b">
        <v>0</v>
      </c>
      <c r="AA1156" s="31" t="s">
        <v>35</v>
      </c>
      <c r="AB1156" s="31" t="s">
        <v>35</v>
      </c>
      <c r="AC1156" s="31" t="s">
        <v>35</v>
      </c>
      <c r="AD1156" s="31" t="s">
        <v>35</v>
      </c>
      <c r="AE1156" s="31" t="s">
        <v>207</v>
      </c>
      <c r="AF1156" s="32">
        <v>44729.65</v>
      </c>
      <c r="AG1156" s="55" t="s">
        <v>9462</v>
      </c>
      <c r="AH1156" s="11" t="s">
        <v>10834</v>
      </c>
      <c r="AI1156" s="94" t="s">
        <v>9458</v>
      </c>
      <c r="AJ1156" s="31"/>
      <c r="AK1156" s="31"/>
      <c r="AL1156" s="31"/>
      <c r="AM1156" s="31"/>
      <c r="AN1156" s="31"/>
    </row>
    <row r="1157" spans="1:40" ht="64" x14ac:dyDescent="0.2">
      <c r="A1157" s="21" t="s">
        <v>216</v>
      </c>
      <c r="B1157" s="21">
        <v>51</v>
      </c>
      <c r="C1157" s="21" t="b">
        <v>0</v>
      </c>
      <c r="D1157" s="21" t="b">
        <v>0</v>
      </c>
      <c r="E1157" s="21" t="b">
        <v>0</v>
      </c>
      <c r="F1157" s="21" t="b">
        <v>0</v>
      </c>
      <c r="G1157" s="21" t="s">
        <v>31</v>
      </c>
      <c r="H1157" s="68" t="s">
        <v>149</v>
      </c>
      <c r="I1157" s="21" t="s">
        <v>217</v>
      </c>
      <c r="J1157" s="21" t="s">
        <v>35</v>
      </c>
      <c r="K1157" s="21" t="s">
        <v>35</v>
      </c>
      <c r="L1157" s="21" t="s">
        <v>35</v>
      </c>
      <c r="M1157" s="21">
        <v>24</v>
      </c>
      <c r="N1157" s="21">
        <v>16</v>
      </c>
      <c r="O1157" s="22">
        <v>44729.67181832176</v>
      </c>
      <c r="P1157" s="22">
        <v>44729.671818634262</v>
      </c>
      <c r="Q1157" s="23">
        <v>3.1250237952917814E-7</v>
      </c>
      <c r="R1157" s="23">
        <v>1.7361162463203073E-7</v>
      </c>
      <c r="S1157" s="21">
        <v>0</v>
      </c>
      <c r="T1157" s="21" t="s">
        <v>54</v>
      </c>
      <c r="U1157" s="21" t="s">
        <v>55</v>
      </c>
      <c r="V1157" s="21" t="s">
        <v>38</v>
      </c>
      <c r="W1157" s="21" t="s">
        <v>35</v>
      </c>
      <c r="X1157" s="21" t="s">
        <v>35</v>
      </c>
      <c r="Y1157" s="21" t="s">
        <v>35</v>
      </c>
      <c r="Z1157" s="21" t="b">
        <v>0</v>
      </c>
      <c r="AA1157" s="21" t="s">
        <v>35</v>
      </c>
      <c r="AB1157" s="21" t="s">
        <v>35</v>
      </c>
      <c r="AC1157" s="21" t="s">
        <v>35</v>
      </c>
      <c r="AD1157" s="21" t="s">
        <v>35</v>
      </c>
      <c r="AE1157" s="21" t="s">
        <v>207</v>
      </c>
      <c r="AF1157" s="22">
        <v>44729.65</v>
      </c>
      <c r="AG1157" s="57" t="s">
        <v>9463</v>
      </c>
      <c r="AH1157" s="11" t="s">
        <v>10834</v>
      </c>
      <c r="AI1157" s="94" t="s">
        <v>9459</v>
      </c>
      <c r="AJ1157" s="21"/>
      <c r="AK1157" s="21"/>
      <c r="AL1157" s="21"/>
      <c r="AM1157" s="21"/>
      <c r="AN1157" s="21"/>
    </row>
    <row r="1158" spans="1:40" ht="16" x14ac:dyDescent="0.2">
      <c r="A1158" s="21" t="s">
        <v>218</v>
      </c>
      <c r="B1158" s="21">
        <v>52</v>
      </c>
      <c r="C1158" s="21" t="b">
        <v>0</v>
      </c>
      <c r="D1158" s="21" t="b">
        <v>0</v>
      </c>
      <c r="E1158" s="21" t="b">
        <v>0</v>
      </c>
      <c r="F1158" s="21" t="b">
        <v>0</v>
      </c>
      <c r="G1158" s="21" t="s">
        <v>31</v>
      </c>
      <c r="H1158" s="68" t="s">
        <v>149</v>
      </c>
      <c r="I1158" s="21" t="s">
        <v>219</v>
      </c>
      <c r="J1158" s="21" t="s">
        <v>35</v>
      </c>
      <c r="K1158" s="21" t="s">
        <v>35</v>
      </c>
      <c r="L1158" s="21" t="s">
        <v>35</v>
      </c>
      <c r="M1158" s="21">
        <v>1</v>
      </c>
      <c r="N1158" s="21">
        <v>15</v>
      </c>
      <c r="O1158" s="22">
        <v>44729.67191326389</v>
      </c>
      <c r="P1158" s="22">
        <v>44729.67192241898</v>
      </c>
      <c r="Q1158" s="23">
        <v>9.1550900833681226E-6</v>
      </c>
      <c r="R1158" s="23">
        <v>1.0378471779404208E-4</v>
      </c>
      <c r="S1158" s="21">
        <v>0</v>
      </c>
      <c r="T1158" s="21" t="s">
        <v>54</v>
      </c>
      <c r="U1158" s="21" t="s">
        <v>55</v>
      </c>
      <c r="V1158" s="21" t="s">
        <v>38</v>
      </c>
      <c r="W1158" s="21" t="s">
        <v>35</v>
      </c>
      <c r="X1158" s="21" t="s">
        <v>35</v>
      </c>
      <c r="Y1158" s="21" t="s">
        <v>35</v>
      </c>
      <c r="Z1158" s="21" t="b">
        <v>0</v>
      </c>
      <c r="AA1158" s="21" t="s">
        <v>35</v>
      </c>
      <c r="AB1158" s="21" t="s">
        <v>35</v>
      </c>
      <c r="AC1158" s="21" t="s">
        <v>35</v>
      </c>
      <c r="AD1158" s="21" t="s">
        <v>35</v>
      </c>
      <c r="AE1158" s="21" t="s">
        <v>207</v>
      </c>
      <c r="AF1158" s="22">
        <v>44729.65</v>
      </c>
      <c r="AG1158" s="57" t="s">
        <v>9464</v>
      </c>
      <c r="AH1158" s="11" t="s">
        <v>10834</v>
      </c>
      <c r="AI1158" s="94" t="s">
        <v>9460</v>
      </c>
      <c r="AJ1158" s="21"/>
      <c r="AK1158" s="21"/>
      <c r="AL1158" s="21"/>
      <c r="AM1158" s="21"/>
      <c r="AN1158" s="21"/>
    </row>
    <row r="1159" spans="1:40" x14ac:dyDescent="0.2">
      <c r="A1159" s="2" t="s">
        <v>232</v>
      </c>
      <c r="B1159" s="2">
        <v>57</v>
      </c>
      <c r="C1159" s="2" t="b">
        <v>0</v>
      </c>
      <c r="D1159" s="2" t="b">
        <v>0</v>
      </c>
      <c r="E1159" s="2" t="b">
        <v>0</v>
      </c>
      <c r="F1159" s="2" t="b">
        <v>0</v>
      </c>
      <c r="G1159" s="2" t="s">
        <v>31</v>
      </c>
      <c r="H1159" s="68" t="s">
        <v>149</v>
      </c>
      <c r="I1159" s="2" t="s">
        <v>233</v>
      </c>
      <c r="J1159" s="2" t="s">
        <v>35</v>
      </c>
      <c r="K1159" s="2" t="s">
        <v>35</v>
      </c>
      <c r="L1159" s="2" t="s">
        <v>35</v>
      </c>
      <c r="M1159" s="2">
        <v>26</v>
      </c>
      <c r="N1159" s="2">
        <v>16</v>
      </c>
      <c r="O1159" s="11">
        <v>44729.692116585647</v>
      </c>
      <c r="P1159" s="11">
        <v>44729.692117222221</v>
      </c>
      <c r="Q1159" s="27">
        <v>6.3657353166490793E-7</v>
      </c>
      <c r="R1159" s="27">
        <v>6.6620370344026014E-3</v>
      </c>
      <c r="S1159" s="2">
        <v>0</v>
      </c>
      <c r="T1159" s="2" t="s">
        <v>54</v>
      </c>
      <c r="U1159" s="2" t="s">
        <v>55</v>
      </c>
      <c r="V1159" s="2" t="s">
        <v>38</v>
      </c>
      <c r="W1159" s="2" t="s">
        <v>35</v>
      </c>
      <c r="X1159" s="2" t="s">
        <v>35</v>
      </c>
      <c r="Y1159" s="2" t="s">
        <v>35</v>
      </c>
      <c r="Z1159" s="2" t="b">
        <v>0</v>
      </c>
      <c r="AA1159" s="2" t="s">
        <v>35</v>
      </c>
      <c r="AB1159" s="2" t="s">
        <v>35</v>
      </c>
      <c r="AC1159" s="2" t="s">
        <v>35</v>
      </c>
      <c r="AD1159" s="2" t="s">
        <v>35</v>
      </c>
      <c r="AE1159" s="2" t="s">
        <v>207</v>
      </c>
      <c r="AF1159" s="11">
        <v>44729.65</v>
      </c>
      <c r="AG1159" s="53"/>
      <c r="AH1159" s="11" t="s">
        <v>10834</v>
      </c>
      <c r="AI1159" s="94" t="s">
        <v>9466</v>
      </c>
      <c r="AJ1159" s="2"/>
      <c r="AK1159" s="2"/>
      <c r="AL1159" s="2"/>
      <c r="AM1159" s="2"/>
      <c r="AN1159" s="2"/>
    </row>
    <row r="1160" spans="1:40" ht="80" x14ac:dyDescent="0.2">
      <c r="A1160" s="4" t="s">
        <v>234</v>
      </c>
      <c r="B1160" s="4">
        <v>58</v>
      </c>
      <c r="C1160" s="4" t="b">
        <v>0</v>
      </c>
      <c r="D1160" s="4" t="b">
        <v>0</v>
      </c>
      <c r="E1160" s="4" t="b">
        <v>0</v>
      </c>
      <c r="F1160" s="4" t="b">
        <v>0</v>
      </c>
      <c r="G1160" s="4" t="s">
        <v>121</v>
      </c>
      <c r="H1160" s="68" t="s">
        <v>149</v>
      </c>
      <c r="I1160" s="4" t="s">
        <v>235</v>
      </c>
      <c r="J1160" s="4" t="s">
        <v>35</v>
      </c>
      <c r="K1160" s="4" t="s">
        <v>35</v>
      </c>
      <c r="L1160" s="4" t="s">
        <v>35</v>
      </c>
      <c r="M1160" s="4">
        <v>16</v>
      </c>
      <c r="N1160" s="4">
        <v>16</v>
      </c>
      <c r="O1160" s="13">
        <v>44729.692116851853</v>
      </c>
      <c r="P1160" s="13">
        <v>44729.692117511571</v>
      </c>
      <c r="Q1160" s="15">
        <v>6.5971835283562541E-7</v>
      </c>
      <c r="R1160" s="15">
        <v>2.8935028240084648E-7</v>
      </c>
      <c r="S1160" s="4">
        <v>0</v>
      </c>
      <c r="T1160" s="4" t="s">
        <v>54</v>
      </c>
      <c r="U1160" s="4" t="s">
        <v>55</v>
      </c>
      <c r="V1160" s="4" t="s">
        <v>38</v>
      </c>
      <c r="W1160" s="4" t="s">
        <v>35</v>
      </c>
      <c r="X1160" s="4" t="s">
        <v>35</v>
      </c>
      <c r="Y1160" s="4" t="s">
        <v>35</v>
      </c>
      <c r="Z1160" s="4" t="b">
        <v>0</v>
      </c>
      <c r="AA1160" s="4" t="s">
        <v>35</v>
      </c>
      <c r="AB1160" s="4" t="s">
        <v>35</v>
      </c>
      <c r="AC1160" s="4" t="s">
        <v>35</v>
      </c>
      <c r="AD1160" s="4" t="s">
        <v>35</v>
      </c>
      <c r="AE1160" s="4" t="s">
        <v>207</v>
      </c>
      <c r="AF1160" s="13">
        <v>44729.65</v>
      </c>
      <c r="AG1160" s="58" t="s">
        <v>9402</v>
      </c>
      <c r="AH1160" s="11" t="s">
        <v>10834</v>
      </c>
      <c r="AI1160" s="94" t="s">
        <v>9465</v>
      </c>
      <c r="AJ1160" s="4"/>
      <c r="AK1160" s="4"/>
      <c r="AL1160" s="4"/>
      <c r="AM1160" s="4"/>
      <c r="AN1160" s="4"/>
    </row>
    <row r="1161" spans="1:40" ht="16" x14ac:dyDescent="0.2">
      <c r="A1161" s="21" t="s">
        <v>220</v>
      </c>
      <c r="B1161" s="21">
        <v>53</v>
      </c>
      <c r="C1161" s="21" t="b">
        <v>0</v>
      </c>
      <c r="D1161" s="21" t="b">
        <v>0</v>
      </c>
      <c r="E1161" s="21" t="b">
        <v>0</v>
      </c>
      <c r="F1161" s="21" t="b">
        <v>0</v>
      </c>
      <c r="G1161" s="21" t="s">
        <v>31</v>
      </c>
      <c r="H1161" s="68" t="s">
        <v>149</v>
      </c>
      <c r="I1161" s="21" t="s">
        <v>221</v>
      </c>
      <c r="J1161" s="21" t="s">
        <v>206</v>
      </c>
      <c r="K1161" s="21" t="s">
        <v>35</v>
      </c>
      <c r="L1161" s="21" t="s">
        <v>35</v>
      </c>
      <c r="M1161" s="21" t="s">
        <v>35</v>
      </c>
      <c r="N1161" s="21" t="s">
        <v>35</v>
      </c>
      <c r="O1161" s="22">
        <v>44729.671922638889</v>
      </c>
      <c r="P1161" s="22">
        <v>44729.671923298614</v>
      </c>
      <c r="Q1161" s="23">
        <v>6.5972562879323959E-7</v>
      </c>
      <c r="R1161" s="23">
        <v>8.7963417172431946E-7</v>
      </c>
      <c r="S1161" s="21">
        <v>0</v>
      </c>
      <c r="T1161" s="21" t="s">
        <v>36</v>
      </c>
      <c r="U1161" s="21" t="s">
        <v>37</v>
      </c>
      <c r="V1161" s="21" t="s">
        <v>38</v>
      </c>
      <c r="W1161" s="21" t="s">
        <v>35</v>
      </c>
      <c r="X1161" s="21" t="s">
        <v>35</v>
      </c>
      <c r="Y1161" s="21" t="s">
        <v>35</v>
      </c>
      <c r="Z1161" s="21" t="b">
        <v>0</v>
      </c>
      <c r="AA1161" s="21" t="s">
        <v>35</v>
      </c>
      <c r="AB1161" s="21" t="s">
        <v>35</v>
      </c>
      <c r="AC1161" s="21">
        <v>8</v>
      </c>
      <c r="AD1161" s="21" t="s">
        <v>35</v>
      </c>
      <c r="AE1161" s="21" t="s">
        <v>207</v>
      </c>
      <c r="AF1161" s="22">
        <v>44729.65</v>
      </c>
      <c r="AG1161" s="57" t="s">
        <v>9464</v>
      </c>
      <c r="AH1161" s="11" t="s">
        <v>10834</v>
      </c>
      <c r="AI1161" s="94" t="s">
        <v>9461</v>
      </c>
      <c r="AJ1161" s="21"/>
      <c r="AK1161" s="21"/>
      <c r="AL1161" s="21"/>
      <c r="AM1161" s="21"/>
      <c r="AN1161" s="21"/>
    </row>
    <row r="1162" spans="1:40" x14ac:dyDescent="0.2">
      <c r="A1162" s="2" t="s">
        <v>297</v>
      </c>
      <c r="B1162" s="2">
        <v>77</v>
      </c>
      <c r="C1162" s="2" t="b">
        <v>0</v>
      </c>
      <c r="D1162" s="2" t="b">
        <v>0</v>
      </c>
      <c r="E1162" s="2" t="b">
        <v>0</v>
      </c>
      <c r="F1162" s="2" t="b">
        <v>0</v>
      </c>
      <c r="G1162" s="2" t="s">
        <v>31</v>
      </c>
      <c r="H1162" s="68" t="s">
        <v>149</v>
      </c>
      <c r="I1162" s="2" t="s">
        <v>298</v>
      </c>
      <c r="J1162" s="2" t="s">
        <v>35</v>
      </c>
      <c r="K1162" s="2" t="s">
        <v>35</v>
      </c>
      <c r="L1162" s="2" t="s">
        <v>35</v>
      </c>
      <c r="M1162" s="2" t="s">
        <v>35</v>
      </c>
      <c r="N1162" s="2" t="s">
        <v>35</v>
      </c>
      <c r="O1162" s="11">
        <v>44729.746537916668</v>
      </c>
      <c r="P1162" s="11">
        <v>44729.74655729167</v>
      </c>
      <c r="Q1162" s="27">
        <v>1.9375002011656761E-5</v>
      </c>
      <c r="R1162" s="27">
        <v>5.6912962973001413E-3</v>
      </c>
      <c r="S1162" s="2">
        <v>0</v>
      </c>
      <c r="T1162" s="2" t="s">
        <v>36</v>
      </c>
      <c r="U1162" s="2" t="s">
        <v>37</v>
      </c>
      <c r="V1162" s="2" t="s">
        <v>38</v>
      </c>
      <c r="W1162" s="2" t="s">
        <v>35</v>
      </c>
      <c r="X1162" s="2" t="s">
        <v>35</v>
      </c>
      <c r="Y1162" s="2" t="s">
        <v>35</v>
      </c>
      <c r="Z1162" s="2" t="b">
        <v>0</v>
      </c>
      <c r="AA1162" s="2" t="s">
        <v>35</v>
      </c>
      <c r="AB1162" s="2" t="s">
        <v>35</v>
      </c>
      <c r="AC1162" s="2">
        <v>9</v>
      </c>
      <c r="AD1162" s="2" t="s">
        <v>35</v>
      </c>
      <c r="AE1162" s="2" t="s">
        <v>207</v>
      </c>
      <c r="AF1162" s="11">
        <v>44729.65</v>
      </c>
      <c r="AG1162" s="59"/>
      <c r="AH1162" s="11" t="s">
        <v>10834</v>
      </c>
      <c r="AI1162" s="94" t="s">
        <v>9467</v>
      </c>
      <c r="AJ1162" s="2"/>
      <c r="AK1162" s="2"/>
      <c r="AL1162" s="2"/>
      <c r="AM1162" s="2"/>
      <c r="AN1162" s="2"/>
    </row>
    <row r="1163" spans="1:40" ht="32" x14ac:dyDescent="0.2">
      <c r="A1163" s="4" t="s">
        <v>329</v>
      </c>
      <c r="B1163" s="4">
        <v>88</v>
      </c>
      <c r="C1163" s="4" t="b">
        <v>0</v>
      </c>
      <c r="D1163" s="4" t="b">
        <v>0</v>
      </c>
      <c r="E1163" s="4" t="b">
        <v>0</v>
      </c>
      <c r="F1163" s="4" t="b">
        <v>0</v>
      </c>
      <c r="G1163" s="4" t="s">
        <v>121</v>
      </c>
      <c r="H1163" s="68" t="s">
        <v>149</v>
      </c>
      <c r="I1163" s="4" t="s">
        <v>330</v>
      </c>
      <c r="J1163" s="4" t="s">
        <v>35</v>
      </c>
      <c r="K1163" s="4" t="s">
        <v>35</v>
      </c>
      <c r="L1163" s="4" t="s">
        <v>35</v>
      </c>
      <c r="M1163" s="4" t="s">
        <v>35</v>
      </c>
      <c r="N1163" s="4" t="s">
        <v>35</v>
      </c>
      <c r="O1163" s="13">
        <v>44735.427842303237</v>
      </c>
      <c r="P1163" s="13">
        <v>44735.42784488426</v>
      </c>
      <c r="Q1163" s="15">
        <v>2.5810222723521292E-6</v>
      </c>
      <c r="R1163" s="15">
        <v>2.4606365768704563E-3</v>
      </c>
      <c r="S1163" s="4">
        <v>0</v>
      </c>
      <c r="T1163" s="4" t="s">
        <v>36</v>
      </c>
      <c r="U1163" s="4" t="s">
        <v>37</v>
      </c>
      <c r="V1163" s="4" t="s">
        <v>38</v>
      </c>
      <c r="W1163" s="4" t="s">
        <v>35</v>
      </c>
      <c r="X1163" s="4" t="s">
        <v>35</v>
      </c>
      <c r="Y1163" s="4" t="s">
        <v>35</v>
      </c>
      <c r="Z1163" s="4" t="b">
        <v>0</v>
      </c>
      <c r="AA1163" s="4" t="s">
        <v>35</v>
      </c>
      <c r="AB1163" s="4" t="s">
        <v>35</v>
      </c>
      <c r="AC1163" s="4">
        <v>6</v>
      </c>
      <c r="AD1163" s="4" t="s">
        <v>35</v>
      </c>
      <c r="AE1163" s="4" t="s">
        <v>207</v>
      </c>
      <c r="AF1163" s="13">
        <v>44735.40625</v>
      </c>
      <c r="AG1163" s="58" t="s">
        <v>9404</v>
      </c>
      <c r="AH1163" s="11" t="s">
        <v>10834</v>
      </c>
      <c r="AI1163" s="94" t="s">
        <v>9468</v>
      </c>
      <c r="AJ1163" s="4"/>
      <c r="AK1163" s="4"/>
      <c r="AL1163" s="4"/>
      <c r="AM1163" s="4"/>
      <c r="AN1163" s="4"/>
    </row>
    <row r="1164" spans="1:40" ht="48" x14ac:dyDescent="0.2">
      <c r="A1164" s="21" t="s">
        <v>558</v>
      </c>
      <c r="B1164" s="21">
        <v>161</v>
      </c>
      <c r="C1164" s="21" t="b">
        <v>0</v>
      </c>
      <c r="D1164" s="21" t="b">
        <v>0</v>
      </c>
      <c r="E1164" s="21" t="b">
        <v>0</v>
      </c>
      <c r="F1164" s="21" t="b">
        <v>0</v>
      </c>
      <c r="G1164" s="21" t="s">
        <v>31</v>
      </c>
      <c r="H1164" s="68" t="s">
        <v>149</v>
      </c>
      <c r="I1164" s="21" t="s">
        <v>559</v>
      </c>
      <c r="J1164" s="21" t="s">
        <v>35</v>
      </c>
      <c r="K1164" s="21" t="s">
        <v>35</v>
      </c>
      <c r="L1164" s="21" t="s">
        <v>35</v>
      </c>
      <c r="M1164" s="21" t="s">
        <v>35</v>
      </c>
      <c r="N1164" s="21" t="s">
        <v>35</v>
      </c>
      <c r="O1164" s="22">
        <v>44736.407819583335</v>
      </c>
      <c r="P1164" s="22">
        <v>44736.407851365744</v>
      </c>
      <c r="Q1164" s="23">
        <v>3.1782408768776804E-5</v>
      </c>
      <c r="R1164" s="23">
        <v>-4.4788193918066099E-4</v>
      </c>
      <c r="S1164" s="21">
        <v>0</v>
      </c>
      <c r="T1164" s="21" t="s">
        <v>36</v>
      </c>
      <c r="U1164" s="21" t="s">
        <v>37</v>
      </c>
      <c r="V1164" s="21" t="s">
        <v>38</v>
      </c>
      <c r="W1164" s="21" t="s">
        <v>35</v>
      </c>
      <c r="X1164" s="21" t="s">
        <v>35</v>
      </c>
      <c r="Y1164" s="21" t="s">
        <v>35</v>
      </c>
      <c r="Z1164" s="21" t="b">
        <v>0</v>
      </c>
      <c r="AA1164" s="21" t="s">
        <v>35</v>
      </c>
      <c r="AB1164" s="21" t="s">
        <v>35</v>
      </c>
      <c r="AC1164" s="21" t="s">
        <v>35</v>
      </c>
      <c r="AD1164" s="21">
        <v>4</v>
      </c>
      <c r="AE1164" s="21" t="s">
        <v>492</v>
      </c>
      <c r="AF1164" s="22">
        <v>44736.387499942131</v>
      </c>
      <c r="AG1164" s="57" t="s">
        <v>9405</v>
      </c>
      <c r="AH1164" s="11" t="s">
        <v>10834</v>
      </c>
      <c r="AI1164" s="94" t="s">
        <v>9474</v>
      </c>
      <c r="AJ1164" s="21"/>
      <c r="AK1164" s="21"/>
      <c r="AL1164" s="21"/>
      <c r="AM1164" s="21"/>
      <c r="AN1164" s="21"/>
    </row>
    <row r="1165" spans="1:40" x14ac:dyDescent="0.2">
      <c r="A1165" s="68" t="s">
        <v>580</v>
      </c>
      <c r="B1165" s="68">
        <v>168</v>
      </c>
      <c r="C1165" s="68" t="b">
        <v>0</v>
      </c>
      <c r="D1165" s="68" t="b">
        <v>0</v>
      </c>
      <c r="E1165" s="68" t="b">
        <v>0</v>
      </c>
      <c r="F1165" s="68" t="b">
        <v>0</v>
      </c>
      <c r="G1165" s="68" t="s">
        <v>31</v>
      </c>
      <c r="H1165" s="68" t="s">
        <v>149</v>
      </c>
      <c r="I1165" s="68" t="s">
        <v>581</v>
      </c>
      <c r="J1165" s="68" t="s">
        <v>35</v>
      </c>
      <c r="K1165" s="68" t="s">
        <v>35</v>
      </c>
      <c r="L1165" s="68" t="s">
        <v>35</v>
      </c>
      <c r="M1165" s="68" t="s">
        <v>35</v>
      </c>
      <c r="N1165" s="68" t="s">
        <v>35</v>
      </c>
      <c r="O1165" s="69">
        <v>44736.418747835647</v>
      </c>
      <c r="P1165" s="69">
        <v>44736.418775555554</v>
      </c>
      <c r="Q1165" s="70">
        <v>2.7719906938727945E-5</v>
      </c>
      <c r="R1165" s="70">
        <v>4.8554861059528776E-3</v>
      </c>
      <c r="S1165" s="68">
        <v>0</v>
      </c>
      <c r="T1165" s="68" t="s">
        <v>36</v>
      </c>
      <c r="U1165" s="68" t="s">
        <v>37</v>
      </c>
      <c r="V1165" s="68" t="s">
        <v>38</v>
      </c>
      <c r="W1165" s="68" t="s">
        <v>35</v>
      </c>
      <c r="X1165" s="68" t="s">
        <v>35</v>
      </c>
      <c r="Y1165" s="68" t="s">
        <v>35</v>
      </c>
      <c r="Z1165" s="68" t="b">
        <v>0</v>
      </c>
      <c r="AA1165" s="68" t="s">
        <v>35</v>
      </c>
      <c r="AB1165" s="68" t="s">
        <v>35</v>
      </c>
      <c r="AC1165" s="68" t="s">
        <v>35</v>
      </c>
      <c r="AD1165" s="68">
        <v>4</v>
      </c>
      <c r="AE1165" s="68" t="s">
        <v>492</v>
      </c>
      <c r="AF1165" s="69">
        <v>44736.387499942131</v>
      </c>
      <c r="AG1165" s="71"/>
      <c r="AH1165" s="11" t="s">
        <v>10834</v>
      </c>
      <c r="AI1165" s="94" t="s">
        <v>9476</v>
      </c>
      <c r="AJ1165" s="68"/>
      <c r="AK1165" s="68"/>
      <c r="AL1165" s="68"/>
      <c r="AM1165" s="68"/>
      <c r="AN1165" s="68"/>
    </row>
    <row r="1166" spans="1:40" x14ac:dyDescent="0.2">
      <c r="A1166" s="4" t="s">
        <v>582</v>
      </c>
      <c r="B1166" s="4">
        <v>169</v>
      </c>
      <c r="C1166" s="4" t="b">
        <v>0</v>
      </c>
      <c r="D1166" s="4" t="b">
        <v>0</v>
      </c>
      <c r="E1166" s="4" t="b">
        <v>0</v>
      </c>
      <c r="F1166" s="4" t="b">
        <v>0</v>
      </c>
      <c r="G1166" s="4" t="s">
        <v>121</v>
      </c>
      <c r="H1166" s="68" t="s">
        <v>149</v>
      </c>
      <c r="I1166" s="4" t="s">
        <v>583</v>
      </c>
      <c r="J1166" s="4" t="s">
        <v>584</v>
      </c>
      <c r="K1166" s="4" t="s">
        <v>35</v>
      </c>
      <c r="L1166" s="4" t="s">
        <v>35</v>
      </c>
      <c r="M1166" s="4" t="s">
        <v>35</v>
      </c>
      <c r="N1166" s="4" t="s">
        <v>35</v>
      </c>
      <c r="O1166" s="13">
        <v>44736.41876119213</v>
      </c>
      <c r="P1166" s="13">
        <v>44736.418775682869</v>
      </c>
      <c r="Q1166" s="15">
        <v>1.4490738976746798E-5</v>
      </c>
      <c r="R1166" s="15">
        <v>1.2731470633298159E-7</v>
      </c>
      <c r="S1166" s="4">
        <v>0</v>
      </c>
      <c r="T1166" s="4" t="s">
        <v>36</v>
      </c>
      <c r="U1166" s="4" t="s">
        <v>37</v>
      </c>
      <c r="V1166" s="4" t="s">
        <v>38</v>
      </c>
      <c r="W1166" s="4" t="s">
        <v>35</v>
      </c>
      <c r="X1166" s="4" t="s">
        <v>35</v>
      </c>
      <c r="Y1166" s="4" t="s">
        <v>35</v>
      </c>
      <c r="Z1166" s="4" t="b">
        <v>0</v>
      </c>
      <c r="AA1166" s="4" t="s">
        <v>35</v>
      </c>
      <c r="AB1166" s="4" t="s">
        <v>35</v>
      </c>
      <c r="AC1166" s="4">
        <v>9</v>
      </c>
      <c r="AD1166" s="4">
        <v>4</v>
      </c>
      <c r="AE1166" s="4" t="s">
        <v>492</v>
      </c>
      <c r="AF1166" s="13">
        <v>44736.387499942131</v>
      </c>
      <c r="AG1166" s="58"/>
      <c r="AH1166" s="11" t="s">
        <v>10834</v>
      </c>
      <c r="AI1166" s="94" t="s">
        <v>9475</v>
      </c>
      <c r="AJ1166" s="4"/>
      <c r="AK1166" s="4"/>
      <c r="AL1166" s="4"/>
      <c r="AM1166" s="4"/>
      <c r="AN1166" s="4"/>
    </row>
    <row r="1167" spans="1:40" x14ac:dyDescent="0.2">
      <c r="A1167" s="68" t="s">
        <v>2086</v>
      </c>
      <c r="B1167" s="68">
        <v>644</v>
      </c>
      <c r="C1167" s="68" t="b">
        <v>0</v>
      </c>
      <c r="D1167" s="68" t="b">
        <v>0</v>
      </c>
      <c r="E1167" s="68" t="b">
        <v>0</v>
      </c>
      <c r="F1167" s="68" t="b">
        <v>0</v>
      </c>
      <c r="G1167" s="68" t="s">
        <v>31</v>
      </c>
      <c r="H1167" s="68" t="s">
        <v>149</v>
      </c>
      <c r="I1167" s="68" t="s">
        <v>2087</v>
      </c>
      <c r="J1167" s="68" t="s">
        <v>2088</v>
      </c>
      <c r="K1167" s="68" t="s">
        <v>35</v>
      </c>
      <c r="L1167" s="68" t="s">
        <v>35</v>
      </c>
      <c r="M1167" s="68" t="s">
        <v>35</v>
      </c>
      <c r="N1167" s="68" t="s">
        <v>35</v>
      </c>
      <c r="O1167" s="69">
        <v>44749.431405902775</v>
      </c>
      <c r="P1167" s="69">
        <v>44749.431440370368</v>
      </c>
      <c r="Q1167" s="70">
        <v>3.4467593650333583E-5</v>
      </c>
      <c r="R1167" s="70">
        <v>4.3645023106364533E-3</v>
      </c>
      <c r="S1167" s="68">
        <v>0</v>
      </c>
      <c r="T1167" s="68" t="s">
        <v>36</v>
      </c>
      <c r="U1167" s="68" t="s">
        <v>37</v>
      </c>
      <c r="V1167" s="68" t="s">
        <v>38</v>
      </c>
      <c r="W1167" s="68" t="s">
        <v>35</v>
      </c>
      <c r="X1167" s="68" t="s">
        <v>35</v>
      </c>
      <c r="Y1167" s="68" t="s">
        <v>35</v>
      </c>
      <c r="Z1167" s="68" t="b">
        <v>0</v>
      </c>
      <c r="AA1167" s="68" t="s">
        <v>35</v>
      </c>
      <c r="AB1167" s="68" t="s">
        <v>35</v>
      </c>
      <c r="AC1167" s="68">
        <v>5</v>
      </c>
      <c r="AD1167" s="68" t="s">
        <v>35</v>
      </c>
      <c r="AE1167" s="68" t="s">
        <v>2025</v>
      </c>
      <c r="AF1167" s="69">
        <v>44749.40625</v>
      </c>
      <c r="AG1167" s="71"/>
      <c r="AH1167" s="11" t="s">
        <v>10834</v>
      </c>
      <c r="AI1167" s="94" t="s">
        <v>35</v>
      </c>
      <c r="AJ1167" s="68"/>
      <c r="AK1167" s="68"/>
      <c r="AL1167" s="68"/>
      <c r="AM1167" s="68"/>
      <c r="AN1167" s="68"/>
    </row>
    <row r="1168" spans="1:40" x14ac:dyDescent="0.2">
      <c r="A1168" s="4" t="s">
        <v>2196</v>
      </c>
      <c r="B1168" s="4">
        <v>678</v>
      </c>
      <c r="C1168" s="4" t="b">
        <v>0</v>
      </c>
      <c r="D1168" s="4" t="b">
        <v>0</v>
      </c>
      <c r="E1168" s="4" t="b">
        <v>0</v>
      </c>
      <c r="F1168" s="4" t="b">
        <v>0</v>
      </c>
      <c r="G1168" s="4" t="s">
        <v>121</v>
      </c>
      <c r="H1168" s="68" t="s">
        <v>149</v>
      </c>
      <c r="I1168" s="4" t="s">
        <v>2197</v>
      </c>
      <c r="J1168" s="4" t="s">
        <v>2150</v>
      </c>
      <c r="K1168" s="4" t="s">
        <v>35</v>
      </c>
      <c r="L1168" s="4" t="s">
        <v>35</v>
      </c>
      <c r="M1168" s="4" t="s">
        <v>35</v>
      </c>
      <c r="N1168" s="4" t="s">
        <v>35</v>
      </c>
      <c r="O1168" s="13">
        <v>44749.463344699077</v>
      </c>
      <c r="P1168" s="13">
        <v>44749.463345625001</v>
      </c>
      <c r="Q1168" s="15">
        <v>9.2592381406575441E-7</v>
      </c>
      <c r="R1168" s="15">
        <v>1.0019328692578711E-3</v>
      </c>
      <c r="S1168" s="4">
        <v>0</v>
      </c>
      <c r="T1168" s="4" t="s">
        <v>36</v>
      </c>
      <c r="U1168" s="4" t="s">
        <v>37</v>
      </c>
      <c r="V1168" s="4" t="s">
        <v>38</v>
      </c>
      <c r="W1168" s="4" t="s">
        <v>35</v>
      </c>
      <c r="X1168" s="4" t="s">
        <v>35</v>
      </c>
      <c r="Y1168" s="4" t="s">
        <v>35</v>
      </c>
      <c r="Z1168" s="4" t="b">
        <v>0</v>
      </c>
      <c r="AA1168" s="4" t="s">
        <v>35</v>
      </c>
      <c r="AB1168" s="4" t="s">
        <v>35</v>
      </c>
      <c r="AC1168" s="4">
        <v>7</v>
      </c>
      <c r="AD1168" s="4" t="s">
        <v>35</v>
      </c>
      <c r="AE1168" s="4" t="s">
        <v>2025</v>
      </c>
      <c r="AF1168" s="13">
        <v>44749.40625</v>
      </c>
      <c r="AG1168" s="58"/>
      <c r="AH1168" s="11" t="s">
        <v>10834</v>
      </c>
      <c r="AI1168" s="94" t="s">
        <v>35</v>
      </c>
      <c r="AJ1168" s="4"/>
      <c r="AK1168" s="4"/>
      <c r="AL1168" s="4"/>
      <c r="AM1168" s="4"/>
      <c r="AN1168" s="4"/>
    </row>
    <row r="1169" spans="1:40" x14ac:dyDescent="0.2">
      <c r="A1169" s="4" t="s">
        <v>2943</v>
      </c>
      <c r="B1169" s="4">
        <v>911</v>
      </c>
      <c r="C1169" s="4" t="b">
        <v>0</v>
      </c>
      <c r="D1169" s="4" t="b">
        <v>0</v>
      </c>
      <c r="E1169" s="4" t="b">
        <v>0</v>
      </c>
      <c r="F1169" s="4" t="b">
        <v>0</v>
      </c>
      <c r="G1169" s="4" t="s">
        <v>121</v>
      </c>
      <c r="H1169" s="68" t="s">
        <v>149</v>
      </c>
      <c r="I1169" s="4" t="s">
        <v>2944</v>
      </c>
      <c r="J1169" s="4" t="s">
        <v>35</v>
      </c>
      <c r="K1169" s="4" t="s">
        <v>35</v>
      </c>
      <c r="L1169" s="4" t="s">
        <v>35</v>
      </c>
      <c r="M1169" s="4" t="s">
        <v>35</v>
      </c>
      <c r="N1169" s="4" t="s">
        <v>35</v>
      </c>
      <c r="O1169" s="13">
        <v>44762.380661388888</v>
      </c>
      <c r="P1169" s="13">
        <v>44762.380661747688</v>
      </c>
      <c r="Q1169" s="15">
        <v>3.5879929782822728E-7</v>
      </c>
      <c r="R1169" s="15">
        <v>1.9711805580300279E-3</v>
      </c>
      <c r="S1169" s="4">
        <v>0</v>
      </c>
      <c r="T1169" s="4" t="s">
        <v>36</v>
      </c>
      <c r="U1169" s="4" t="s">
        <v>37</v>
      </c>
      <c r="V1169" s="4" t="s">
        <v>38</v>
      </c>
      <c r="W1169" s="4" t="s">
        <v>35</v>
      </c>
      <c r="X1169" s="4" t="s">
        <v>35</v>
      </c>
      <c r="Y1169" s="4" t="s">
        <v>35</v>
      </c>
      <c r="Z1169" s="4" t="b">
        <v>0</v>
      </c>
      <c r="AA1169" s="4" t="s">
        <v>35</v>
      </c>
      <c r="AB1169" s="4" t="s">
        <v>35</v>
      </c>
      <c r="AC1169" s="4" t="s">
        <v>35</v>
      </c>
      <c r="AD1169" s="4">
        <v>2</v>
      </c>
      <c r="AE1169" s="4" t="s">
        <v>2840</v>
      </c>
      <c r="AF1169" s="13">
        <v>44762.350694444445</v>
      </c>
      <c r="AG1169" s="58"/>
      <c r="AH1169" s="11" t="s">
        <v>10834</v>
      </c>
      <c r="AI1169" s="94" t="s">
        <v>9484</v>
      </c>
      <c r="AJ1169" s="4"/>
      <c r="AK1169" s="4"/>
      <c r="AL1169" s="4"/>
      <c r="AM1169" s="4"/>
      <c r="AN1169" s="4"/>
    </row>
    <row r="1170" spans="1:40" ht="16" x14ac:dyDescent="0.2">
      <c r="A1170" s="4" t="s">
        <v>1824</v>
      </c>
      <c r="B1170" s="4">
        <v>557</v>
      </c>
      <c r="C1170" s="4" t="b">
        <v>0</v>
      </c>
      <c r="D1170" s="4" t="b">
        <v>0</v>
      </c>
      <c r="E1170" s="4" t="b">
        <v>0</v>
      </c>
      <c r="F1170" s="4" t="b">
        <v>0</v>
      </c>
      <c r="G1170" s="4" t="s">
        <v>121</v>
      </c>
      <c r="H1170" s="68" t="s">
        <v>149</v>
      </c>
      <c r="I1170" s="4" t="s">
        <v>1825</v>
      </c>
      <c r="J1170" s="4" t="s">
        <v>35</v>
      </c>
      <c r="K1170" s="4" t="s">
        <v>35</v>
      </c>
      <c r="L1170" s="4" t="s">
        <v>35</v>
      </c>
      <c r="M1170" s="4" t="s">
        <v>35</v>
      </c>
      <c r="N1170" s="4" t="s">
        <v>35</v>
      </c>
      <c r="O1170" s="13">
        <v>44748.632398310183</v>
      </c>
      <c r="P1170" s="13">
        <v>44748.632413576386</v>
      </c>
      <c r="Q1170" s="15">
        <v>1.5266203263308853E-5</v>
      </c>
      <c r="R1170" s="15">
        <v>3.2469097204739228E-3</v>
      </c>
      <c r="S1170" s="4">
        <v>0</v>
      </c>
      <c r="T1170" s="4" t="s">
        <v>124</v>
      </c>
      <c r="U1170" s="4" t="s">
        <v>125</v>
      </c>
      <c r="V1170" s="4" t="s">
        <v>38</v>
      </c>
      <c r="W1170" s="4" t="s">
        <v>35</v>
      </c>
      <c r="X1170" s="4" t="s">
        <v>35</v>
      </c>
      <c r="Y1170" s="4" t="s">
        <v>35</v>
      </c>
      <c r="Z1170" s="4" t="b">
        <v>0</v>
      </c>
      <c r="AA1170" s="4" t="s">
        <v>35</v>
      </c>
      <c r="AB1170" s="4" t="s">
        <v>35</v>
      </c>
      <c r="AC1170" s="4" t="s">
        <v>35</v>
      </c>
      <c r="AD1170" s="4" t="s">
        <v>35</v>
      </c>
      <c r="AE1170" s="4" t="s">
        <v>1826</v>
      </c>
      <c r="AF1170" s="13">
        <v>44748.629166666666</v>
      </c>
      <c r="AG1170" s="74" t="s">
        <v>9488</v>
      </c>
      <c r="AH1170" s="11" t="s">
        <v>10834</v>
      </c>
      <c r="AI1170" s="94" t="s">
        <v>35</v>
      </c>
      <c r="AJ1170" s="4"/>
      <c r="AK1170" s="4"/>
      <c r="AL1170" s="4"/>
      <c r="AM1170" s="4"/>
      <c r="AN1170" s="4"/>
    </row>
    <row r="1171" spans="1:40" ht="16" x14ac:dyDescent="0.2">
      <c r="A1171" s="4" t="s">
        <v>1827</v>
      </c>
      <c r="B1171" s="4">
        <v>558</v>
      </c>
      <c r="C1171" s="4" t="b">
        <v>0</v>
      </c>
      <c r="D1171" s="4" t="b">
        <v>0</v>
      </c>
      <c r="E1171" s="4" t="b">
        <v>0</v>
      </c>
      <c r="F1171" s="4" t="b">
        <v>0</v>
      </c>
      <c r="G1171" s="4" t="s">
        <v>121</v>
      </c>
      <c r="H1171" s="68" t="s">
        <v>149</v>
      </c>
      <c r="I1171" s="4" t="s">
        <v>1825</v>
      </c>
      <c r="J1171" s="4" t="s">
        <v>35</v>
      </c>
      <c r="K1171" s="4" t="s">
        <v>35</v>
      </c>
      <c r="L1171" s="4" t="s">
        <v>35</v>
      </c>
      <c r="M1171" s="4" t="s">
        <v>35</v>
      </c>
      <c r="N1171" s="4" t="s">
        <v>35</v>
      </c>
      <c r="O1171" s="13">
        <v>44748.63239846065</v>
      </c>
      <c r="P1171" s="13">
        <v>44748.632413587962</v>
      </c>
      <c r="Q1171" s="15">
        <v>1.5127312508411705E-5</v>
      </c>
      <c r="R1171" s="15">
        <v>1.1576048564165831E-8</v>
      </c>
      <c r="S1171" s="4">
        <v>0</v>
      </c>
      <c r="T1171" s="4" t="s">
        <v>124</v>
      </c>
      <c r="U1171" s="4" t="s">
        <v>125</v>
      </c>
      <c r="V1171" s="4" t="s">
        <v>38</v>
      </c>
      <c r="W1171" s="4" t="s">
        <v>35</v>
      </c>
      <c r="X1171" s="4" t="s">
        <v>35</v>
      </c>
      <c r="Y1171" s="4" t="s">
        <v>35</v>
      </c>
      <c r="Z1171" s="4" t="b">
        <v>0</v>
      </c>
      <c r="AA1171" s="4" t="s">
        <v>35</v>
      </c>
      <c r="AB1171" s="4" t="s">
        <v>35</v>
      </c>
      <c r="AC1171" s="4" t="s">
        <v>35</v>
      </c>
      <c r="AD1171" s="4" t="s">
        <v>35</v>
      </c>
      <c r="AE1171" s="4" t="s">
        <v>1826</v>
      </c>
      <c r="AF1171" s="13">
        <v>44748.629166666666</v>
      </c>
      <c r="AG1171" s="74" t="s">
        <v>9490</v>
      </c>
      <c r="AH1171" s="11" t="s">
        <v>10834</v>
      </c>
      <c r="AI1171" s="94" t="s">
        <v>35</v>
      </c>
      <c r="AJ1171" s="4"/>
      <c r="AK1171" s="4"/>
      <c r="AL1171" s="4"/>
      <c r="AM1171" s="4"/>
      <c r="AN1171" s="4"/>
    </row>
    <row r="1172" spans="1:40" ht="16" x14ac:dyDescent="0.2">
      <c r="A1172" s="21" t="s">
        <v>1832</v>
      </c>
      <c r="B1172" s="21">
        <v>560</v>
      </c>
      <c r="C1172" s="21" t="b">
        <v>0</v>
      </c>
      <c r="D1172" s="21" t="b">
        <v>0</v>
      </c>
      <c r="E1172" s="21" t="b">
        <v>0</v>
      </c>
      <c r="F1172" s="21" t="b">
        <v>0</v>
      </c>
      <c r="G1172" s="21" t="s">
        <v>31</v>
      </c>
      <c r="H1172" s="68" t="s">
        <v>149</v>
      </c>
      <c r="I1172" s="21" t="s">
        <v>1825</v>
      </c>
      <c r="J1172" s="21" t="s">
        <v>940</v>
      </c>
      <c r="K1172" s="21" t="s">
        <v>35</v>
      </c>
      <c r="L1172" s="21" t="s">
        <v>35</v>
      </c>
      <c r="M1172" s="21" t="s">
        <v>35</v>
      </c>
      <c r="N1172" s="21" t="s">
        <v>35</v>
      </c>
      <c r="O1172" s="22">
        <v>44748.63239864583</v>
      </c>
      <c r="P1172" s="22">
        <v>44748.632413599538</v>
      </c>
      <c r="Q1172" s="23">
        <v>1.4953708159737289E-5</v>
      </c>
      <c r="R1172" s="23">
        <v>-4.9078703887062147E-4</v>
      </c>
      <c r="S1172" s="21">
        <v>0</v>
      </c>
      <c r="T1172" s="21" t="s">
        <v>124</v>
      </c>
      <c r="U1172" s="21" t="s">
        <v>125</v>
      </c>
      <c r="V1172" s="21" t="s">
        <v>38</v>
      </c>
      <c r="W1172" s="21" t="s">
        <v>35</v>
      </c>
      <c r="X1172" s="21" t="s">
        <v>35</v>
      </c>
      <c r="Y1172" s="21" t="s">
        <v>35</v>
      </c>
      <c r="Z1172" s="21" t="b">
        <v>0</v>
      </c>
      <c r="AA1172" s="21" t="s">
        <v>35</v>
      </c>
      <c r="AB1172" s="21">
        <v>4</v>
      </c>
      <c r="AC1172" s="21" t="s">
        <v>35</v>
      </c>
      <c r="AD1172" s="21" t="s">
        <v>35</v>
      </c>
      <c r="AE1172" s="21" t="s">
        <v>1826</v>
      </c>
      <c r="AF1172" s="22">
        <v>44748.629166666666</v>
      </c>
      <c r="AG1172" s="75" t="s">
        <v>9489</v>
      </c>
      <c r="AH1172" s="11" t="s">
        <v>10834</v>
      </c>
      <c r="AI1172" s="94" t="s">
        <v>35</v>
      </c>
      <c r="AJ1172" s="21"/>
      <c r="AK1172" s="21"/>
      <c r="AL1172" s="21"/>
      <c r="AM1172" s="21"/>
      <c r="AN1172" s="21"/>
    </row>
    <row r="1173" spans="1:40" x14ac:dyDescent="0.2">
      <c r="A1173" s="21" t="s">
        <v>3303</v>
      </c>
      <c r="B1173" s="21">
        <v>1025</v>
      </c>
      <c r="C1173" s="21" t="b">
        <v>0</v>
      </c>
      <c r="D1173" s="21" t="b">
        <v>0</v>
      </c>
      <c r="E1173" s="21" t="b">
        <v>0</v>
      </c>
      <c r="F1173" s="21" t="b">
        <v>0</v>
      </c>
      <c r="G1173" s="21" t="s">
        <v>31</v>
      </c>
      <c r="H1173" s="68" t="s">
        <v>149</v>
      </c>
      <c r="I1173" s="21" t="s">
        <v>3304</v>
      </c>
      <c r="J1173" s="21" t="s">
        <v>675</v>
      </c>
      <c r="K1173" s="21" t="s">
        <v>35</v>
      </c>
      <c r="L1173" s="21" t="s">
        <v>35</v>
      </c>
      <c r="M1173" s="21" t="s">
        <v>35</v>
      </c>
      <c r="N1173" s="21" t="s">
        <v>35</v>
      </c>
      <c r="O1173" s="22">
        <v>44764.380610324071</v>
      </c>
      <c r="P1173" s="22">
        <v>44764.380612071756</v>
      </c>
      <c r="Q1173" s="23">
        <v>1.7476850189268589E-6</v>
      </c>
      <c r="R1173" s="23">
        <v>3.7152713048271835E-6</v>
      </c>
      <c r="S1173" s="21">
        <v>0</v>
      </c>
      <c r="T1173" s="21" t="s">
        <v>124</v>
      </c>
      <c r="U1173" s="21" t="s">
        <v>125</v>
      </c>
      <c r="V1173" s="21" t="s">
        <v>38</v>
      </c>
      <c r="W1173" s="21" t="s">
        <v>35</v>
      </c>
      <c r="X1173" s="21" t="s">
        <v>35</v>
      </c>
      <c r="Y1173" s="21" t="s">
        <v>35</v>
      </c>
      <c r="Z1173" s="21" t="b">
        <v>0</v>
      </c>
      <c r="AA1173" s="21" t="s">
        <v>35</v>
      </c>
      <c r="AB1173" s="21">
        <v>4</v>
      </c>
      <c r="AC1173" s="21" t="s">
        <v>35</v>
      </c>
      <c r="AD1173" s="21" t="s">
        <v>35</v>
      </c>
      <c r="AE1173" s="21" t="s">
        <v>3248</v>
      </c>
      <c r="AF1173" s="22">
        <v>44764.361111053244</v>
      </c>
      <c r="AG1173" s="57"/>
      <c r="AH1173" s="11" t="s">
        <v>10834</v>
      </c>
      <c r="AI1173" s="94" t="s">
        <v>9487</v>
      </c>
      <c r="AJ1173" s="21"/>
      <c r="AK1173" s="21"/>
      <c r="AL1173" s="21"/>
      <c r="AM1173" s="21"/>
      <c r="AN1173" s="21"/>
    </row>
    <row r="1174" spans="1:40" x14ac:dyDescent="0.2">
      <c r="A1174" s="4" t="s">
        <v>3498</v>
      </c>
      <c r="B1174" s="4">
        <v>1088</v>
      </c>
      <c r="C1174" s="4" t="b">
        <v>0</v>
      </c>
      <c r="D1174" s="4" t="b">
        <v>0</v>
      </c>
      <c r="E1174" s="4" t="b">
        <v>0</v>
      </c>
      <c r="F1174" s="4" t="b">
        <v>0</v>
      </c>
      <c r="G1174" s="4" t="s">
        <v>121</v>
      </c>
      <c r="H1174" s="68" t="s">
        <v>149</v>
      </c>
      <c r="I1174" s="4" t="s">
        <v>3499</v>
      </c>
      <c r="J1174" s="4" t="s">
        <v>35</v>
      </c>
      <c r="K1174" s="4" t="s">
        <v>35</v>
      </c>
      <c r="L1174" s="4" t="s">
        <v>35</v>
      </c>
      <c r="M1174" s="4" t="s">
        <v>35</v>
      </c>
      <c r="N1174" s="4" t="s">
        <v>35</v>
      </c>
      <c r="O1174" s="13">
        <v>44769.385202129626</v>
      </c>
      <c r="P1174" s="13">
        <v>44769.38520478009</v>
      </c>
      <c r="Q1174" s="15">
        <v>2.6504640118218958E-6</v>
      </c>
      <c r="R1174" s="15">
        <v>4.8255786532536149E-4</v>
      </c>
      <c r="S1174" s="4">
        <v>0</v>
      </c>
      <c r="T1174" s="4" t="s">
        <v>124</v>
      </c>
      <c r="U1174" s="4" t="s">
        <v>125</v>
      </c>
      <c r="V1174" s="4" t="s">
        <v>38</v>
      </c>
      <c r="W1174" s="4" t="s">
        <v>35</v>
      </c>
      <c r="X1174" s="4" t="s">
        <v>35</v>
      </c>
      <c r="Y1174" s="4" t="s">
        <v>35</v>
      </c>
      <c r="Z1174" s="4" t="b">
        <v>0</v>
      </c>
      <c r="AA1174" s="4" t="s">
        <v>35</v>
      </c>
      <c r="AB1174" s="4" t="s">
        <v>35</v>
      </c>
      <c r="AC1174" s="4" t="s">
        <v>35</v>
      </c>
      <c r="AD1174" s="4" t="s">
        <v>35</v>
      </c>
      <c r="AE1174" s="4" t="s">
        <v>2840</v>
      </c>
      <c r="AF1174" s="13">
        <v>44769.384722222225</v>
      </c>
      <c r="AG1174" s="58"/>
      <c r="AH1174" s="11" t="s">
        <v>10834</v>
      </c>
      <c r="AI1174" s="94" t="s">
        <v>35</v>
      </c>
      <c r="AJ1174" s="4"/>
      <c r="AK1174" s="4"/>
      <c r="AL1174" s="4"/>
      <c r="AM1174" s="4"/>
      <c r="AN1174" s="4"/>
    </row>
  </sheetData>
  <autoFilter ref="A1:AN1147" xr:uid="{B475CD92-7FA1-F941-85E2-468ACD4B1172}"/>
  <hyperlinks>
    <hyperlink ref="AJ462" r:id="rId1" xr:uid="{EE0E1EDA-589E-5F44-A226-8817AD86A29A}"/>
    <hyperlink ref="AI462" r:id="rId2" xr:uid="{DF45A688-821C-D94D-B2AE-EC2F2EB6EEEE}"/>
    <hyperlink ref="AJ460" r:id="rId3" xr:uid="{CC1A512F-A7DB-8547-8BF1-D4CE10292102}"/>
    <hyperlink ref="AI445" r:id="rId4" xr:uid="{31BDB963-A89C-4945-9616-0C9DA0712562}"/>
    <hyperlink ref="AI2" r:id="rId5" xr:uid="{FDEF41EE-1599-E848-8004-5FFEDAFA0B1E}"/>
    <hyperlink ref="AI360" r:id="rId6" xr:uid="{282A5F4B-7974-3643-AD01-C932E1B8D09C}"/>
    <hyperlink ref="AI1135" r:id="rId7" xr:uid="{6F5822CC-09C0-A749-AF1E-43A652EEB754}"/>
    <hyperlink ref="AI413" r:id="rId8" xr:uid="{FDE28EF5-D571-7749-B140-1F0B9DDA872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F6EA8-6D58-DC4E-8E23-9FDD2853616D}">
  <dimension ref="A1:L77"/>
  <sheetViews>
    <sheetView zoomScale="91" zoomScaleNormal="91" workbookViewId="0">
      <selection activeCell="B15" sqref="B15"/>
    </sheetView>
  </sheetViews>
  <sheetFormatPr baseColWidth="10" defaultColWidth="11.5" defaultRowHeight="15" x14ac:dyDescent="0.2"/>
  <cols>
    <col min="1" max="1" width="21.83203125" customWidth="1"/>
    <col min="2" max="2" width="18.83203125" customWidth="1"/>
    <col min="3" max="3" width="17.6640625" customWidth="1"/>
    <col min="4" max="4" width="20.1640625" customWidth="1"/>
    <col min="5" max="5" width="14.6640625" customWidth="1"/>
    <col min="6" max="6" width="13.1640625" customWidth="1"/>
    <col min="9" max="9" width="21.33203125" customWidth="1"/>
    <col min="10" max="10" width="14.5" customWidth="1"/>
    <col min="11" max="11" width="15" customWidth="1"/>
    <col min="12" max="12" width="16.5" customWidth="1"/>
  </cols>
  <sheetData>
    <row r="1" spans="1:12" x14ac:dyDescent="0.2">
      <c r="A1" s="6" t="s">
        <v>3755</v>
      </c>
      <c r="F1" s="6" t="s">
        <v>3756</v>
      </c>
      <c r="I1" t="s">
        <v>9830</v>
      </c>
      <c r="L1" t="s">
        <v>3764</v>
      </c>
    </row>
    <row r="2" spans="1:12" x14ac:dyDescent="0.2">
      <c r="C2" s="49" t="s">
        <v>10885</v>
      </c>
      <c r="D2" s="49" t="s">
        <v>10886</v>
      </c>
      <c r="F2">
        <v>1</v>
      </c>
      <c r="G2">
        <v>2</v>
      </c>
      <c r="H2" t="s">
        <v>3757</v>
      </c>
      <c r="J2" t="s">
        <v>9419</v>
      </c>
    </row>
    <row r="3" spans="1:12" x14ac:dyDescent="0.2">
      <c r="A3" t="s">
        <v>1945</v>
      </c>
      <c r="B3">
        <f>COUNTIF(Barrierenmessung!AE:AE, "A")</f>
        <v>27</v>
      </c>
      <c r="C3">
        <f>COUNTIFS(Barrierenmessung!AE:AE, "A", Barrierenmessung!AH:AH, "FALSE")</f>
        <v>27</v>
      </c>
      <c r="D3">
        <f>COUNTIFS(Barrierenmessung_reviewed!AE:AE, "A", Barrierenmessung_reviewed!AH:AH, "FALSE")</f>
        <v>27</v>
      </c>
      <c r="F3" s="8">
        <v>2.361111111111111E-2</v>
      </c>
      <c r="H3" s="10">
        <f t="shared" ref="H3:H18" si="0">SUM(F3:G3)</f>
        <v>2.361111111111111E-2</v>
      </c>
      <c r="I3" s="7">
        <f>SUMIFS(Barrierenmessung!R:R, Barrierenmessung!AE:AE, "A")</f>
        <v>2.3652407406189013E-2</v>
      </c>
      <c r="L3" s="10">
        <f t="shared" ref="L3:L18" si="1">H3/B3</f>
        <v>8.7448559670781894E-4</v>
      </c>
    </row>
    <row r="4" spans="1:12" x14ac:dyDescent="0.2">
      <c r="A4" t="s">
        <v>792</v>
      </c>
      <c r="B4">
        <f>COUNTIF(Barrierenmessung!AE:AE, "B")</f>
        <v>48</v>
      </c>
      <c r="C4">
        <f>COUNTIFS(Barrierenmessung!AE:AE, "B", Barrierenmessung!AH:AH, "FALSE")</f>
        <v>48</v>
      </c>
      <c r="D4">
        <f>COUNTIFS(Barrierenmessung_reviewed!AE:AE, "B", Barrierenmessung_reviewed!AH:AH, "FALSE")</f>
        <v>45</v>
      </c>
      <c r="F4" s="8">
        <v>7.0833333333333331E-2</v>
      </c>
      <c r="H4" s="10">
        <f t="shared" si="0"/>
        <v>7.0833333333333331E-2</v>
      </c>
      <c r="I4" s="7">
        <f>SUMIFS(Barrierenmessung!R:R, Barrierenmessung!AE:AE, "B")</f>
        <v>6.9775821757502854E-2</v>
      </c>
      <c r="L4" s="10">
        <f t="shared" si="1"/>
        <v>1.4756944444444444E-3</v>
      </c>
    </row>
    <row r="5" spans="1:12" x14ac:dyDescent="0.2">
      <c r="A5" t="s">
        <v>492</v>
      </c>
      <c r="B5">
        <f>COUNTIF(Barrierenmessung!AE:AE, "C")</f>
        <v>62</v>
      </c>
      <c r="C5">
        <f>COUNTIFS(Barrierenmessung!AE:AE, "C", Barrierenmessung!AH:AH, "FALSE")</f>
        <v>62</v>
      </c>
      <c r="D5">
        <f>COUNTIFS(Barrierenmessung_reviewed!AE:AE, "C", Barrierenmessung_reviewed!AH:AH, "FALSE")</f>
        <v>52</v>
      </c>
      <c r="F5" s="8">
        <v>6.7361111111111108E-2</v>
      </c>
      <c r="H5" s="10">
        <f t="shared" si="0"/>
        <v>6.7361111111111108E-2</v>
      </c>
      <c r="I5" s="7">
        <f>SUMIFS(Barrierenmessung!R:R, Barrierenmessung!AE:AE, "C")</f>
        <v>6.8019803242350463E-2</v>
      </c>
      <c r="L5" s="10">
        <f t="shared" si="1"/>
        <v>1.0864695340501791E-3</v>
      </c>
    </row>
    <row r="6" spans="1:12" x14ac:dyDescent="0.2">
      <c r="A6" t="s">
        <v>207</v>
      </c>
      <c r="B6">
        <f>COUNTIF(Barrierenmessung!AE:AE, "D")</f>
        <v>92</v>
      </c>
      <c r="C6">
        <f>COUNTIFS(Barrierenmessung!AE:AE, "D", Barrierenmessung!AH:AH, "FALSE")</f>
        <v>85</v>
      </c>
      <c r="D6">
        <f>COUNTIFS(Barrierenmessung_reviewed!AE:AE, "D", Barrierenmessung_reviewed!AH:AH, "FALSE")</f>
        <v>68</v>
      </c>
      <c r="F6" s="7">
        <v>0.10069444444444443</v>
      </c>
      <c r="G6" s="7">
        <v>0.12986111111111112</v>
      </c>
      <c r="H6" s="10">
        <f t="shared" si="0"/>
        <v>0.23055555555555557</v>
      </c>
      <c r="I6" s="7">
        <f>SUMIFS(Barrierenmessung!R:R, Barrierenmessung!AE:AE, "D")</f>
        <v>0.22931335648172535</v>
      </c>
      <c r="L6" s="10">
        <f t="shared" si="1"/>
        <v>2.5060386473429951E-3</v>
      </c>
    </row>
    <row r="7" spans="1:12" x14ac:dyDescent="0.2">
      <c r="A7" t="s">
        <v>1117</v>
      </c>
      <c r="B7">
        <f>COUNTIF(Barrierenmessung!AE:AE, "E")</f>
        <v>96</v>
      </c>
      <c r="C7">
        <f>COUNTIFS(Barrierenmessung!AE:AE, "E", Barrierenmessung!AH:AH, "FALSE")</f>
        <v>96</v>
      </c>
      <c r="D7">
        <f>COUNTIFS(Barrierenmessung_reviewed!AE:AE, "E", Barrierenmessung_reviewed!AH:AH, "FALSE")</f>
        <v>93</v>
      </c>
      <c r="F7" s="8">
        <v>0.12569444444444444</v>
      </c>
      <c r="H7" s="10">
        <f t="shared" si="0"/>
        <v>0.12569444444444444</v>
      </c>
      <c r="I7" s="7">
        <f>SUMIFS(Barrierenmessung!R:R, Barrierenmessung!AE:AE, "E")</f>
        <v>0.14598053241206799</v>
      </c>
      <c r="L7" s="10">
        <f t="shared" si="1"/>
        <v>1.3093171296296297E-3</v>
      </c>
    </row>
    <row r="8" spans="1:12" x14ac:dyDescent="0.2">
      <c r="A8" t="s">
        <v>2840</v>
      </c>
      <c r="B8">
        <f>COUNTIF(Barrierenmessung!AE:AE, "F")</f>
        <v>208</v>
      </c>
      <c r="C8">
        <f>COUNTIFS(Barrierenmessung!AE:AE, "F", Barrierenmessung!AH:AH, "FALSE")</f>
        <v>206</v>
      </c>
      <c r="D8">
        <f>COUNTIFS(Barrierenmessung_reviewed!AE:AE, "F", Barrierenmessung_reviewed!AH:AH, "FALSE")</f>
        <v>199</v>
      </c>
      <c r="F8" s="8">
        <v>0.11944444444444445</v>
      </c>
      <c r="G8" s="8">
        <v>8.7500000000000008E-2</v>
      </c>
      <c r="H8" s="10">
        <f t="shared" si="0"/>
        <v>0.20694444444444446</v>
      </c>
      <c r="I8" s="7">
        <f>SUMIFS(Barrierenmessung!R:R, Barrierenmessung!AE:AE, "F")</f>
        <v>0.24832976851030253</v>
      </c>
      <c r="J8" t="s">
        <v>9831</v>
      </c>
      <c r="L8" s="10">
        <f t="shared" si="1"/>
        <v>9.9492521367521383E-4</v>
      </c>
    </row>
    <row r="9" spans="1:12" x14ac:dyDescent="0.2">
      <c r="A9" t="s">
        <v>1464</v>
      </c>
      <c r="B9">
        <f>COUNTIF(Barrierenmessung!AE:AE, "G")</f>
        <v>87</v>
      </c>
      <c r="C9">
        <f>COUNTIFS(Barrierenmessung!AE:AE, "G", Barrierenmessung!AH:AH, "FALSE")</f>
        <v>87</v>
      </c>
      <c r="D9">
        <f>COUNTIFS(Barrierenmessung_reviewed!AE:AE, "G", Barrierenmessung_reviewed!AH:AH, "FALSE")</f>
        <v>87</v>
      </c>
      <c r="F9" s="8">
        <v>0.10208333333333335</v>
      </c>
      <c r="H9" s="10">
        <f t="shared" si="0"/>
        <v>0.10208333333333335</v>
      </c>
      <c r="I9" s="7">
        <f>SUMIFS(Barrierenmessung!R:R, Barrierenmessung!AE:AE, "G")</f>
        <v>0.100566516208346</v>
      </c>
      <c r="L9" s="10">
        <f t="shared" si="1"/>
        <v>1.1733716475095786E-3</v>
      </c>
    </row>
    <row r="10" spans="1:12" x14ac:dyDescent="0.2">
      <c r="A10" t="s">
        <v>2406</v>
      </c>
      <c r="B10">
        <f>COUNTIF(Barrierenmessung!AE:AE, "H")</f>
        <v>78</v>
      </c>
      <c r="C10">
        <f>COUNTIFS(Barrierenmessung!AE:AE, "H", Barrierenmessung!AH:AH, "FALSE")</f>
        <v>78</v>
      </c>
      <c r="D10">
        <f>COUNTIFS(Barrierenmessung_reviewed!AE:AE, "H", Barrierenmessung_reviewed!AH:AH, "FALSE")</f>
        <v>74</v>
      </c>
      <c r="F10" s="8">
        <v>0.1076388888888889</v>
      </c>
      <c r="H10" s="10">
        <f t="shared" si="0"/>
        <v>0.1076388888888889</v>
      </c>
      <c r="I10" s="7">
        <f>SUMIFS(Barrierenmessung!R:R, Barrierenmessung!AE:AE, "H")</f>
        <v>0.10659844907786464</v>
      </c>
      <c r="L10" s="10">
        <f t="shared" si="1"/>
        <v>1.3799857549857551E-3</v>
      </c>
    </row>
    <row r="11" spans="1:12" x14ac:dyDescent="0.2">
      <c r="A11" t="s">
        <v>941</v>
      </c>
      <c r="B11">
        <f>COUNTIF(Barrierenmessung!AE:AE, "I")</f>
        <v>80</v>
      </c>
      <c r="C11">
        <f>COUNTIFS(Barrierenmessung!AE:AE, "I", Barrierenmessung!AH:AH, "FALSE")</f>
        <v>80</v>
      </c>
      <c r="D11">
        <f>COUNTIFS(Barrierenmessung_reviewed!AE:AE, "I", Barrierenmessung_reviewed!AH:AH, "FALSE")</f>
        <v>75</v>
      </c>
      <c r="F11" s="8">
        <v>8.9583333333333334E-2</v>
      </c>
      <c r="G11" s="8">
        <v>3.0555555555555555E-2</v>
      </c>
      <c r="H11" s="10">
        <f t="shared" si="0"/>
        <v>0.12013888888888889</v>
      </c>
      <c r="I11" s="7">
        <f>SUMIFS(Barrierenmessung!R:R, Barrierenmessung!AE:AE, "I")</f>
        <v>0.12053532407298917</v>
      </c>
      <c r="L11" s="10">
        <f t="shared" si="1"/>
        <v>1.5017361111111112E-3</v>
      </c>
    </row>
    <row r="12" spans="1:12" x14ac:dyDescent="0.2">
      <c r="A12" t="s">
        <v>2025</v>
      </c>
      <c r="B12">
        <f>COUNTIF(Barrierenmessung!AE:AE, "J")</f>
        <v>116</v>
      </c>
      <c r="C12">
        <f>COUNTIFS(Barrierenmessung!AE:AE, "J", Barrierenmessung!AH:AH, "FALSE")</f>
        <v>115</v>
      </c>
      <c r="D12">
        <f>COUNTIFS(Barrierenmessung_reviewed!AE:AE, "J", Barrierenmessung_reviewed!AH:AH, "FALSE")</f>
        <v>109</v>
      </c>
      <c r="F12" s="8">
        <v>0.11666666666666665</v>
      </c>
      <c r="H12" s="10">
        <f t="shared" si="0"/>
        <v>0.11666666666666665</v>
      </c>
      <c r="I12" s="7">
        <f>SUMIFS(Barrierenmessung!R:R, Barrierenmessung!AE:AE, "J")</f>
        <v>0.1739773495355621</v>
      </c>
      <c r="J12" t="s">
        <v>9831</v>
      </c>
      <c r="L12" s="10">
        <f t="shared" si="1"/>
        <v>1.0057471264367816E-3</v>
      </c>
    </row>
    <row r="13" spans="1:12" x14ac:dyDescent="0.2">
      <c r="A13" t="s">
        <v>115</v>
      </c>
      <c r="B13">
        <f>COUNTIF(Barrierenmessung!AE:AE, "K")</f>
        <v>27</v>
      </c>
      <c r="C13">
        <f>COUNTIFS(Barrierenmessung!AE:AE, "K", Barrierenmessung!AH:AH, "FALSE")</f>
        <v>27</v>
      </c>
      <c r="D13">
        <f>COUNTIFS(Barrierenmessung_reviewed!AE:AE, "K", Barrierenmessung_reviewed!AH:AH, "FALSE")</f>
        <v>22</v>
      </c>
      <c r="F13" s="8">
        <v>9.5833333333333326E-2</v>
      </c>
      <c r="G13" s="8"/>
      <c r="H13" s="10">
        <f t="shared" si="0"/>
        <v>9.5833333333333326E-2</v>
      </c>
      <c r="I13" s="7">
        <f>SUMIFS(Barrierenmessung!R:R, Barrierenmessung!AE:AE, "K")</f>
        <v>9.9799814815924037E-2</v>
      </c>
      <c r="J13" t="s">
        <v>9831</v>
      </c>
      <c r="L13" s="10">
        <f t="shared" si="1"/>
        <v>3.5493827160493823E-3</v>
      </c>
    </row>
    <row r="14" spans="1:12" x14ac:dyDescent="0.2">
      <c r="A14" t="s">
        <v>39</v>
      </c>
      <c r="B14">
        <f>COUNTIF(Barrierenmessung!AE:AE, "L")</f>
        <v>19</v>
      </c>
      <c r="C14">
        <f>COUNTIFS(Barrierenmessung!AE:AE, "L", Barrierenmessung!AH:AH, "FALSE")</f>
        <v>19</v>
      </c>
      <c r="D14">
        <f>COUNTIFS(Barrierenmessung_reviewed!AE:AE, "L", Barrierenmessung_reviewed!AH:AH, "FALSE")</f>
        <v>17</v>
      </c>
      <c r="F14" s="8">
        <v>8.1250000000000003E-2</v>
      </c>
      <c r="H14" s="10">
        <f t="shared" si="0"/>
        <v>8.1250000000000003E-2</v>
      </c>
      <c r="I14" s="7">
        <f>SUMIFS(Barrierenmessung!R:R, Barrierenmessung!AE:AE, "L")</f>
        <v>7.7155520833912306E-2</v>
      </c>
      <c r="J14" t="s">
        <v>9831</v>
      </c>
      <c r="L14" s="10">
        <f t="shared" si="1"/>
        <v>4.2763157894736845E-3</v>
      </c>
    </row>
    <row r="15" spans="1:12" x14ac:dyDescent="0.2">
      <c r="A15" t="s">
        <v>3248</v>
      </c>
      <c r="B15">
        <f>COUNTIF(Barrierenmessung!AE:AE, "M")</f>
        <v>82</v>
      </c>
      <c r="C15">
        <f>COUNTIFS(Barrierenmessung!AE:AE, "M", Barrierenmessung!AH:AH, "FALSE")</f>
        <v>79</v>
      </c>
      <c r="D15">
        <f>COUNTIFS(Barrierenmessung_reviewed!AE:AE, "M", Barrierenmessung_reviewed!AH:AH, "FALSE")</f>
        <v>78</v>
      </c>
      <c r="F15" s="9">
        <v>0.1076388888888889</v>
      </c>
      <c r="H15" s="10">
        <f t="shared" si="0"/>
        <v>0.1076388888888889</v>
      </c>
      <c r="I15" s="7">
        <f>SUMIFS(Barrierenmessung!R:R, Barrierenmessung!AE:AE, "M")</f>
        <v>0.11673750000045402</v>
      </c>
      <c r="J15" t="s">
        <v>9831</v>
      </c>
      <c r="L15" s="10">
        <f t="shared" si="1"/>
        <v>1.3126693766937669E-3</v>
      </c>
    </row>
    <row r="16" spans="1:12" x14ac:dyDescent="0.2">
      <c r="A16" t="s">
        <v>2650</v>
      </c>
      <c r="B16">
        <f>COUNTIF(Barrierenmessung!AE:AE, "N")</f>
        <v>58</v>
      </c>
      <c r="C16">
        <f>COUNTIFS(Barrierenmessung!AE:AE, "N", Barrierenmessung!AH:AH, "FALSE")</f>
        <v>58</v>
      </c>
      <c r="D16">
        <f>COUNTIFS(Barrierenmessung_reviewed!AE:AE, "N", Barrierenmessung_reviewed!AH:AH, "FALSE")</f>
        <v>55</v>
      </c>
      <c r="F16" s="8">
        <v>7.2916666666666671E-2</v>
      </c>
      <c r="H16" s="10">
        <f t="shared" si="0"/>
        <v>7.2916666666666671E-2</v>
      </c>
      <c r="I16" s="7">
        <f>SUMIFS(Barrierenmessung!R:R, Barrierenmessung!AE:AE, "N")</f>
        <v>7.1725046291248873E-2</v>
      </c>
      <c r="L16" s="10">
        <f t="shared" si="1"/>
        <v>1.257183908045977E-3</v>
      </c>
    </row>
    <row r="17" spans="1:12" x14ac:dyDescent="0.2">
      <c r="A17" t="s">
        <v>1826</v>
      </c>
      <c r="B17">
        <f>COUNTIF(Barrierenmessung!AE:AE, "O")</f>
        <v>42</v>
      </c>
      <c r="C17">
        <f>COUNTIFS(Barrierenmessung!AE:AE, "O", Barrierenmessung!AH:AH, "FALSE")</f>
        <v>42</v>
      </c>
      <c r="D17">
        <f>COUNTIFS(Barrierenmessung_reviewed!AE:AE, "O", Barrierenmessung_reviewed!AH:AH, "FALSE")</f>
        <v>36</v>
      </c>
      <c r="F17" s="8">
        <v>5.347222222222222E-2</v>
      </c>
      <c r="H17" s="10">
        <f t="shared" si="0"/>
        <v>5.347222222222222E-2</v>
      </c>
      <c r="I17" s="7">
        <f>SUMIFS(Barrierenmessung!R:R, Barrierenmessung!AE:AE, "O")</f>
        <v>5.3550706019450445E-2</v>
      </c>
      <c r="L17" s="10">
        <f t="shared" si="1"/>
        <v>1.273148148148148E-3</v>
      </c>
    </row>
    <row r="18" spans="1:12" x14ac:dyDescent="0.2">
      <c r="A18" t="s">
        <v>688</v>
      </c>
      <c r="B18">
        <f>COUNTIF(Barrierenmessung!AE:AE, "P")</f>
        <v>45</v>
      </c>
      <c r="C18">
        <f>COUNTIFS(Barrierenmessung!AE:AE, "P", Barrierenmessung!AH:AH, "FALSE")</f>
        <v>45</v>
      </c>
      <c r="D18">
        <f>COUNTIFS(Barrierenmessung_reviewed!AE:AE, "P", Barrierenmessung_reviewed!AH:AH, "FALSE")</f>
        <v>38</v>
      </c>
      <c r="F18" s="8">
        <v>4.4444444444444446E-2</v>
      </c>
      <c r="G18" s="8">
        <v>1.6666666666666666E-2</v>
      </c>
      <c r="H18" s="10">
        <f t="shared" si="0"/>
        <v>6.1111111111111116E-2</v>
      </c>
      <c r="I18" s="7">
        <f>SUMIFS(Barrierenmessung!R:R, Barrierenmessung!AE:AE, "P")</f>
        <v>6.2233553246187512E-2</v>
      </c>
      <c r="L18" s="10">
        <f t="shared" si="1"/>
        <v>1.3580246913580249E-3</v>
      </c>
    </row>
    <row r="22" spans="1:12" x14ac:dyDescent="0.2">
      <c r="A22" s="36" t="s">
        <v>3758</v>
      </c>
      <c r="B22" s="34">
        <f>SUM(B3:B18)</f>
        <v>1167</v>
      </c>
      <c r="C22" s="34">
        <f>SUM(C3:C18)</f>
        <v>1154</v>
      </c>
      <c r="D22" s="34">
        <f>SUM(D3:D18)</f>
        <v>1075</v>
      </c>
      <c r="G22" s="36" t="s">
        <v>3759</v>
      </c>
      <c r="H22" s="35">
        <f>SUM(H3:H18)</f>
        <v>1.64375</v>
      </c>
      <c r="K22" s="36" t="s">
        <v>3760</v>
      </c>
      <c r="L22" s="35">
        <f>H22/B22</f>
        <v>1.4085261353898885E-3</v>
      </c>
    </row>
    <row r="33" spans="1:12" x14ac:dyDescent="0.2">
      <c r="B33" t="s">
        <v>10885</v>
      </c>
    </row>
    <row r="34" spans="1:12" x14ac:dyDescent="0.2">
      <c r="A34" s="6" t="s">
        <v>9828</v>
      </c>
      <c r="B34" s="6" t="s">
        <v>9829</v>
      </c>
      <c r="C34" s="6" t="s">
        <v>2381</v>
      </c>
      <c r="D34" s="6" t="s">
        <v>101</v>
      </c>
      <c r="E34" s="6" t="s">
        <v>266</v>
      </c>
      <c r="F34" s="6" t="s">
        <v>55</v>
      </c>
      <c r="G34" s="6" t="s">
        <v>417</v>
      </c>
      <c r="H34" s="6" t="s">
        <v>2006</v>
      </c>
      <c r="I34" s="6" t="s">
        <v>110</v>
      </c>
      <c r="J34" s="6" t="s">
        <v>3158</v>
      </c>
      <c r="K34" s="6" t="s">
        <v>37</v>
      </c>
      <c r="L34" s="6" t="s">
        <v>125</v>
      </c>
    </row>
    <row r="35" spans="1:12" x14ac:dyDescent="0.2">
      <c r="A35" t="s">
        <v>1945</v>
      </c>
      <c r="B35">
        <f t="shared" ref="B35:B50" si="2">SUM(C35:L35)</f>
        <v>27</v>
      </c>
      <c r="C35">
        <f>COUNTIFS(Barrierenmessung!U:U, "gate", Barrierenmessung!AE:AE, "A", Barrierenmessung!AH:AH, "FALSE")</f>
        <v>0</v>
      </c>
      <c r="D35">
        <f>COUNTIFS(Barrierenmessung!U:U, "bollard", Barrierenmessung!AE:AE, "A", Barrierenmessung!AH:AH, "FALSE")</f>
        <v>0</v>
      </c>
      <c r="E35">
        <f>COUNTIFS(Barrierenmessung!U:U, "kerb", Barrierenmessung!AE:AE, "A", Barrierenmessung!AH:AH, "FALSE")</f>
        <v>4</v>
      </c>
      <c r="F35">
        <f>COUNTIFS(Barrierenmessung!U:U, "stair", Barrierenmessung!AE:AE, "A", Barrierenmessung!AH:AH, "FALSE")</f>
        <v>6</v>
      </c>
      <c r="G35">
        <f>COUNTIFS(Barrierenmessung!U:U, "other", Barrierenmessung!AE:AE, "A", Barrierenmessung!AH:AH, "FALSE")</f>
        <v>1</v>
      </c>
      <c r="H35">
        <f>COUNTIFS(Barrierenmessung!U:U, "cycle_barrier", Barrierenmessung!AE:AE, "A", Barrierenmessung!AH:AH, "FALSE")</f>
        <v>2</v>
      </c>
      <c r="I35">
        <f>COUNTIFS(Barrierenmessung!U:U, "block", Barrierenmessung!AE:AE, "A", Barrierenmessung!AH:AH, "FALSE")</f>
        <v>0</v>
      </c>
      <c r="J35">
        <f>COUNTIFS(Barrierenmessung!U:U, "planter", Barrierenmessung!AE:AE, "A", Barrierenmessung!AH:AH, "FALSE")</f>
        <v>0</v>
      </c>
      <c r="K35">
        <f>COUNTIFS(Barrierenmessung!U:U, "problematic_way", Barrierenmessung!AE:AE, "A", Barrierenmessung!AH:AH, "FALSE")</f>
        <v>14</v>
      </c>
      <c r="L35">
        <f>COUNTIFS(Barrierenmessung!U:U, "cross_drain", Barrierenmessung!AE:AE, "A", Barrierenmessung!AH:AH, "FALSE")</f>
        <v>0</v>
      </c>
    </row>
    <row r="36" spans="1:12" x14ac:dyDescent="0.2">
      <c r="A36" t="s">
        <v>792</v>
      </c>
      <c r="B36">
        <f t="shared" si="2"/>
        <v>48</v>
      </c>
      <c r="C36">
        <f>COUNTIFS(Barrierenmessung!U:U, "gate", Barrierenmessung!AE:AE, "B", Barrierenmessung!AH:AH, "FALSE")</f>
        <v>0</v>
      </c>
      <c r="D36">
        <f>COUNTIFS(Barrierenmessung!U:U, "bollard", Barrierenmessung!AE:AE, "B", Barrierenmessung!AH:AH, "FALSE")</f>
        <v>1</v>
      </c>
      <c r="E36">
        <f>COUNTIFS(Barrierenmessung!U:U, "kerb", Barrierenmessung!AE:AE, "B", Barrierenmessung!AH:AH, "FALSE")</f>
        <v>4</v>
      </c>
      <c r="F36">
        <f>COUNTIFS(Barrierenmessung!U:U, "stair", Barrierenmessung!AE:AE, "B", Barrierenmessung!AH:AH, "FALSE")</f>
        <v>8</v>
      </c>
      <c r="G36">
        <f>COUNTIFS(Barrierenmessung!U:U, "other", Barrierenmessung!AE:AE, "B", Barrierenmessung!AH:AH, "FALSE")</f>
        <v>0</v>
      </c>
      <c r="H36">
        <f>COUNTIFS(Barrierenmessung!U:U, "cycle_barrier", Barrierenmessung!AE:AE, "B", Barrierenmessung!AH:AH, "FALSE")</f>
        <v>0</v>
      </c>
      <c r="I36">
        <f>COUNTIFS(Barrierenmessung!U:U, "block", Barrierenmessung!AE:AE, "B", Barrierenmessung!AH:AH, "FALSE")</f>
        <v>2</v>
      </c>
      <c r="J36">
        <f>COUNTIFS(Barrierenmessung!U:U, "planter", Barrierenmessung!AE:AE, "B", Barrierenmessung!AH:AH, "FALSE")</f>
        <v>0</v>
      </c>
      <c r="K36">
        <f>COUNTIFS(Barrierenmessung!U:U, "problematic_way", Barrierenmessung!AE:AE, "B", Barrierenmessung!AH:AH, "FALSE")</f>
        <v>20</v>
      </c>
      <c r="L36">
        <f>COUNTIFS(Barrierenmessung!U:U, "cross_drain", Barrierenmessung!AE:AE, "B", Barrierenmessung!AH:AH, "FALSE")</f>
        <v>13</v>
      </c>
    </row>
    <row r="37" spans="1:12" x14ac:dyDescent="0.2">
      <c r="A37" t="s">
        <v>492</v>
      </c>
      <c r="B37">
        <f t="shared" si="2"/>
        <v>62</v>
      </c>
      <c r="C37">
        <f>COUNTIFS(Barrierenmessung!U:U, "gate", Barrierenmessung!AE:AE, "C", Barrierenmessung!AH:AH, "FALSE")</f>
        <v>0</v>
      </c>
      <c r="D37">
        <f>COUNTIFS(Barrierenmessung!U:U, "bollard", Barrierenmessung!AE:AE, "C", Barrierenmessung!AH:AH, "FALSE")</f>
        <v>0</v>
      </c>
      <c r="E37">
        <f>COUNTIFS(Barrierenmessung!U:U, "kerb", Barrierenmessung!AE:AE, "C", Barrierenmessung!AH:AH, "FALSE")</f>
        <v>7</v>
      </c>
      <c r="F37">
        <f>COUNTIFS(Barrierenmessung!U:U, "stair", Barrierenmessung!AE:AE, "C", Barrierenmessung!AH:AH, "FALSE")</f>
        <v>2</v>
      </c>
      <c r="G37">
        <f>COUNTIFS(Barrierenmessung!U:U, "other", Barrierenmessung!AE:AE, "C", Barrierenmessung!AH:AH, "FALSE")</f>
        <v>2</v>
      </c>
      <c r="H37">
        <f>COUNTIFS(Barrierenmessung!U:U, "cycle_barrier", Barrierenmessung!AE:AE, "C", Barrierenmessung!AH:AH, "FALSE")</f>
        <v>0</v>
      </c>
      <c r="I37">
        <f>COUNTIFS(Barrierenmessung!U:U, "block", Barrierenmessung!AE:AE, "C", Barrierenmessung!AH:AH, "FALSE")</f>
        <v>3</v>
      </c>
      <c r="J37">
        <f>COUNTIFS(Barrierenmessung!U:U, "planter", Barrierenmessung!AE:AE, "C", Barrierenmessung!AH:AH, "FALSE")</f>
        <v>0</v>
      </c>
      <c r="K37">
        <f>COUNTIFS(Barrierenmessung!U:U, "problematic_way", Barrierenmessung!AE:AE, "C", Barrierenmessung!AH:AH, "FALSE")</f>
        <v>35</v>
      </c>
      <c r="L37">
        <f>COUNTIFS(Barrierenmessung!U:U, "cross_drain", Barrierenmessung!AE:AE, "C", Barrierenmessung!AH:AH, "FALSE")</f>
        <v>13</v>
      </c>
    </row>
    <row r="38" spans="1:12" x14ac:dyDescent="0.2">
      <c r="A38" t="s">
        <v>207</v>
      </c>
      <c r="B38">
        <f t="shared" si="2"/>
        <v>85</v>
      </c>
      <c r="C38">
        <f>COUNTIFS(Barrierenmessung!U:U, "gate", Barrierenmessung!AE:AE, "D", Barrierenmessung!AH:AH, "FALSE")</f>
        <v>0</v>
      </c>
      <c r="D38">
        <f>COUNTIFS(Barrierenmessung!U:U, "bollard", Barrierenmessung!AE:AE, "D", Barrierenmessung!AH:AH, "FALSE")</f>
        <v>0</v>
      </c>
      <c r="E38">
        <f>COUNTIFS(Barrierenmessung!U:U, "kerb", Barrierenmessung!AE:AE, "D", Barrierenmessung!AH:AH, "FALSE")</f>
        <v>8</v>
      </c>
      <c r="F38">
        <f>COUNTIFS(Barrierenmessung!U:U, "stair", Barrierenmessung!AE:AE, "D", Barrierenmessung!AH:AH, "FALSE")</f>
        <v>12</v>
      </c>
      <c r="G38">
        <f>COUNTIFS(Barrierenmessung!U:U, "other", Barrierenmessung!AE:AE, "D", Barrierenmessung!AH:AH, "FALSE")</f>
        <v>5</v>
      </c>
      <c r="H38">
        <f>COUNTIFS(Barrierenmessung!U:U, "cycle_barrier", Barrierenmessung!AE:AE, "D", Barrierenmessung!AH:AH, "FALSE")</f>
        <v>0</v>
      </c>
      <c r="I38">
        <f>COUNTIFS(Barrierenmessung!U:U, "block", Barrierenmessung!AE:AE, "D", Barrierenmessung!AH:AH, "FALSE")</f>
        <v>5</v>
      </c>
      <c r="J38">
        <f>COUNTIFS(Barrierenmessung!U:U, "planter", Barrierenmessung!AE:AE, "D", Barrierenmessung!AH:AH, "FALSE")</f>
        <v>0</v>
      </c>
      <c r="K38">
        <f>COUNTIFS(Barrierenmessung!U:U, "problematic_way", Barrierenmessung!AE:AE, "D", Barrierenmessung!AH:AH, "FALSE")</f>
        <v>34</v>
      </c>
      <c r="L38">
        <f>COUNTIFS(Barrierenmessung!U:U, "cross_drain", Barrierenmessung!AE:AE, "D", Barrierenmessung!AH:AH, "FALSE")</f>
        <v>21</v>
      </c>
    </row>
    <row r="39" spans="1:12" x14ac:dyDescent="0.2">
      <c r="A39" t="s">
        <v>1117</v>
      </c>
      <c r="B39">
        <f t="shared" si="2"/>
        <v>96</v>
      </c>
      <c r="C39">
        <f>COUNTIFS(Barrierenmessung!U:U, "gate", Barrierenmessung!AE:AE, "E", Barrierenmessung!AH:AH, "FALSE")</f>
        <v>0</v>
      </c>
      <c r="D39">
        <f>COUNTIFS(Barrierenmessung!U:U, "bollard", Barrierenmessung!AE:AE, "E", Barrierenmessung!AH:AH, "FALSE")</f>
        <v>2</v>
      </c>
      <c r="E39">
        <f>COUNTIFS(Barrierenmessung!U:U, "kerb", Barrierenmessung!AE:AE, "E", Barrierenmessung!AH:AH, "FALSE")</f>
        <v>5</v>
      </c>
      <c r="F39">
        <f>COUNTIFS(Barrierenmessung!U:U, "stair", Barrierenmessung!AE:AE, "E", Barrierenmessung!AH:AH, "FALSE")</f>
        <v>20</v>
      </c>
      <c r="G39">
        <f>COUNTIFS(Barrierenmessung!U:U, "other", Barrierenmessung!AE:AE, "E", Barrierenmessung!AH:AH, "FALSE")</f>
        <v>1</v>
      </c>
      <c r="H39">
        <f>COUNTIFS(Barrierenmessung!U:U, "cycle_barrier", Barrierenmessung!AE:AE, "E", Barrierenmessung!AH:AH, "FALSE")</f>
        <v>0</v>
      </c>
      <c r="I39">
        <f>COUNTIFS(Barrierenmessung!U:U, "block", Barrierenmessung!AE:AE, "E", Barrierenmessung!AH:AH, "FALSE")</f>
        <v>1</v>
      </c>
      <c r="J39">
        <f>COUNTIFS(Barrierenmessung!U:U, "planter", Barrierenmessung!AE:AE, "E", Barrierenmessung!AH:AH, "FALSE")</f>
        <v>0</v>
      </c>
      <c r="K39">
        <f>COUNTIFS(Barrierenmessung!U:U, "problematic_way", Barrierenmessung!AE:AE, "E", Barrierenmessung!AH:AH, "FALSE")</f>
        <v>64</v>
      </c>
      <c r="L39">
        <f>COUNTIFS(Barrierenmessung!U:U, "cross_drain", Barrierenmessung!AE:AE, "E", Barrierenmessung!AH:AH, "FALSE")</f>
        <v>3</v>
      </c>
    </row>
    <row r="40" spans="1:12" x14ac:dyDescent="0.2">
      <c r="A40" t="s">
        <v>2840</v>
      </c>
      <c r="B40">
        <f t="shared" si="2"/>
        <v>206</v>
      </c>
      <c r="C40">
        <f>COUNTIFS(Barrierenmessung!U:U, "gate", Barrierenmessung!AE:AE, "F", Barrierenmessung!AH:AH, "FALSE")</f>
        <v>0</v>
      </c>
      <c r="D40">
        <f>COUNTIFS(Barrierenmessung!U:U, "bollard", Barrierenmessung!AE:AE, "F", Barrierenmessung!AH:AH, "FALSE")</f>
        <v>1</v>
      </c>
      <c r="E40">
        <f>COUNTIFS(Barrierenmessung!U:U, "kerb", Barrierenmessung!AE:AE, "F", Barrierenmessung!AH:AH, "FALSE")</f>
        <v>14</v>
      </c>
      <c r="F40">
        <f>COUNTIFS(Barrierenmessung!U:U, "stair", Barrierenmessung!AE:AE, "F", Barrierenmessung!AH:AH, "FALSE")</f>
        <v>35</v>
      </c>
      <c r="G40">
        <f>COUNTIFS(Barrierenmessung!U:U, "other", Barrierenmessung!AE:AE, "F", Barrierenmessung!AH:AH, "FALSE")</f>
        <v>3</v>
      </c>
      <c r="H40">
        <f>COUNTIFS(Barrierenmessung!U:U, "cycle_barrier", Barrierenmessung!AE:AE, "F", Barrierenmessung!AH:AH, "FALSE")</f>
        <v>0</v>
      </c>
      <c r="I40">
        <f>COUNTIFS(Barrierenmessung!U:U, "block", Barrierenmessung!AE:AE, "F", Barrierenmessung!AH:AH, "FALSE")</f>
        <v>11</v>
      </c>
      <c r="J40">
        <f>COUNTIFS(Barrierenmessung!U:U, "planter", Barrierenmessung!AE:AE, "F", Barrierenmessung!AH:AH, "FALSE")</f>
        <v>1</v>
      </c>
      <c r="K40">
        <f>COUNTIFS(Barrierenmessung!U:U, "problematic_way", Barrierenmessung!AE:AE, "F", Barrierenmessung!AH:AH, "FALSE")</f>
        <v>131</v>
      </c>
      <c r="L40">
        <f>COUNTIFS(Barrierenmessung!U:U, "cross_drain", Barrierenmessung!AE:AE, "F", Barrierenmessung!AH:AH, "FALSE")</f>
        <v>10</v>
      </c>
    </row>
    <row r="41" spans="1:12" x14ac:dyDescent="0.2">
      <c r="A41" t="s">
        <v>1464</v>
      </c>
      <c r="B41">
        <f t="shared" si="2"/>
        <v>87</v>
      </c>
      <c r="C41">
        <f>COUNTIFS(Barrierenmessung!U:U, "gate", Barrierenmessung!AE:AE, "G", Barrierenmessung!AH:AH, "FALSE")</f>
        <v>0</v>
      </c>
      <c r="D41">
        <f>COUNTIFS(Barrierenmessung!U:U, "bollard", Barrierenmessung!AE:AE, "G", Barrierenmessung!AH:AH, "FALSE")</f>
        <v>0</v>
      </c>
      <c r="E41">
        <f>COUNTIFS(Barrierenmessung!U:U, "kerb", Barrierenmessung!AE:AE, "G", Barrierenmessung!AH:AH, "FALSE")</f>
        <v>8</v>
      </c>
      <c r="F41">
        <f>COUNTIFS(Barrierenmessung!U:U, "stair", Barrierenmessung!AE:AE, "G", Barrierenmessung!AH:AH, "FALSE")</f>
        <v>26</v>
      </c>
      <c r="G41">
        <f>COUNTIFS(Barrierenmessung!U:U, "other", Barrierenmessung!AE:AE, "G", Barrierenmessung!AH:AH, "FALSE")</f>
        <v>3</v>
      </c>
      <c r="H41">
        <f>COUNTIFS(Barrierenmessung!U:U, "cycle_barrier", Barrierenmessung!AE:AE, "G", Barrierenmessung!AH:AH, "FALSE")</f>
        <v>0</v>
      </c>
      <c r="I41">
        <f>COUNTIFS(Barrierenmessung!U:U, "block", Barrierenmessung!AE:AE, "G", Barrierenmessung!AH:AH, "FALSE")</f>
        <v>3</v>
      </c>
      <c r="J41">
        <f>COUNTIFS(Barrierenmessung!U:U, "planter", Barrierenmessung!AE:AE, "G", Barrierenmessung!AH:AH, "FALSE")</f>
        <v>0</v>
      </c>
      <c r="K41">
        <f>COUNTIFS(Barrierenmessung!U:U, "problematic_way", Barrierenmessung!AE:AE, "G", Barrierenmessung!AH:AH, "FALSE")</f>
        <v>42</v>
      </c>
      <c r="L41">
        <f>COUNTIFS(Barrierenmessung!U:U, "cross_drain", Barrierenmessung!AE:AE, "G", Barrierenmessung!AH:AH, "FALSE")</f>
        <v>5</v>
      </c>
    </row>
    <row r="42" spans="1:12" x14ac:dyDescent="0.2">
      <c r="A42" t="s">
        <v>2406</v>
      </c>
      <c r="B42">
        <f t="shared" si="2"/>
        <v>78</v>
      </c>
      <c r="C42">
        <f>COUNTIFS(Barrierenmessung!U:U, "gate", Barrierenmessung!AE:AE, "H", Barrierenmessung!AH:AH, "FALSE")</f>
        <v>0</v>
      </c>
      <c r="D42">
        <f>COUNTIFS(Barrierenmessung!U:U, "bollard", Barrierenmessung!AE:AE, "H", Barrierenmessung!AH:AH, "FALSE")</f>
        <v>0</v>
      </c>
      <c r="E42">
        <f>COUNTIFS(Barrierenmessung!U:U, "kerb", Barrierenmessung!AE:AE, "H", Barrierenmessung!AH:AH, "FALSE")</f>
        <v>6</v>
      </c>
      <c r="F42">
        <f>COUNTIFS(Barrierenmessung!U:U, "stair", Barrierenmessung!AE:AE, "H", Barrierenmessung!AH:AH, "FALSE")</f>
        <v>17</v>
      </c>
      <c r="G42">
        <f>COUNTIFS(Barrierenmessung!U:U, "other", Barrierenmessung!AE:AE, "H", Barrierenmessung!AH:AH, "FALSE")</f>
        <v>0</v>
      </c>
      <c r="H42">
        <f>COUNTIFS(Barrierenmessung!U:U, "cycle_barrier", Barrierenmessung!AE:AE, "H", Barrierenmessung!AH:AH, "FALSE")</f>
        <v>0</v>
      </c>
      <c r="I42">
        <f>COUNTIFS(Barrierenmessung!U:U, "block", Barrierenmessung!AE:AE, "H", Barrierenmessung!AH:AH, "FALSE")</f>
        <v>1</v>
      </c>
      <c r="J42">
        <f>COUNTIFS(Barrierenmessung!U:U, "planter", Barrierenmessung!AE:AE, "H", Barrierenmessung!AH:AH, "FALSE")</f>
        <v>0</v>
      </c>
      <c r="K42">
        <f>COUNTIFS(Barrierenmessung!U:U, "problematic_way", Barrierenmessung!AE:AE, "H", Barrierenmessung!AH:AH, "FALSE")</f>
        <v>34</v>
      </c>
      <c r="L42">
        <f>COUNTIFS(Barrierenmessung!U:U, "cross_drain", Barrierenmessung!AE:AE, "H", Barrierenmessung!AH:AH, "FALSE")</f>
        <v>20</v>
      </c>
    </row>
    <row r="43" spans="1:12" x14ac:dyDescent="0.2">
      <c r="A43" t="s">
        <v>941</v>
      </c>
      <c r="B43">
        <f t="shared" si="2"/>
        <v>80</v>
      </c>
      <c r="C43">
        <f>COUNTIFS(Barrierenmessung!U:U, "gate", Barrierenmessung!AE:AE, "I", Barrierenmessung!AH:AH, "FALSE")</f>
        <v>0</v>
      </c>
      <c r="D43">
        <f>COUNTIFS(Barrierenmessung!U:U, "bollard", Barrierenmessung!AE:AE, "I", Barrierenmessung!AH:AH, "FALSE")</f>
        <v>1</v>
      </c>
      <c r="E43">
        <f>COUNTIFS(Barrierenmessung!U:U, "kerb", Barrierenmessung!AE:AE, "I", Barrierenmessung!AH:AH, "FALSE")</f>
        <v>6</v>
      </c>
      <c r="F43">
        <f>COUNTIFS(Barrierenmessung!U:U, "stair", Barrierenmessung!AE:AE, "I", Barrierenmessung!AH:AH, "FALSE")</f>
        <v>15</v>
      </c>
      <c r="G43">
        <f>COUNTIFS(Barrierenmessung!U:U, "other", Barrierenmessung!AE:AE, "I", Barrierenmessung!AH:AH, "FALSE")</f>
        <v>1</v>
      </c>
      <c r="H43">
        <f>COUNTIFS(Barrierenmessung!U:U, "cycle_barrier", Barrierenmessung!AE:AE, "I", Barrierenmessung!AH:AH, "FALSE")</f>
        <v>0</v>
      </c>
      <c r="I43">
        <f>COUNTIFS(Barrierenmessung!U:U, "block", Barrierenmessung!AE:AE, "I", Barrierenmessung!AH:AH, "FALSE")</f>
        <v>9</v>
      </c>
      <c r="J43">
        <f>COUNTIFS(Barrierenmessung!U:U, "planter", Barrierenmessung!AE:AE, "I", Barrierenmessung!AH:AH, "FALSE")</f>
        <v>0</v>
      </c>
      <c r="K43">
        <f>COUNTIFS(Barrierenmessung!U:U, "problematic_way", Barrierenmessung!AE:AE, "I", Barrierenmessung!AH:AH, "FALSE")</f>
        <v>30</v>
      </c>
      <c r="L43">
        <f>COUNTIFS(Barrierenmessung!U:U, "cross_drain", Barrierenmessung!AE:AE, "I", Barrierenmessung!AH:AH, "FALSE")</f>
        <v>18</v>
      </c>
    </row>
    <row r="44" spans="1:12" x14ac:dyDescent="0.2">
      <c r="A44" t="s">
        <v>2025</v>
      </c>
      <c r="B44">
        <f t="shared" si="2"/>
        <v>115</v>
      </c>
      <c r="C44">
        <f>COUNTIFS(Barrierenmessung!U:U, "gate", Barrierenmessung!AE:AE, "J", Barrierenmessung!AH:AH, "FALSE")</f>
        <v>2</v>
      </c>
      <c r="D44">
        <f>COUNTIFS(Barrierenmessung!U:U, "bollard", Barrierenmessung!AE:AE, "J", Barrierenmessung!AH:AH, "FALSE")</f>
        <v>0</v>
      </c>
      <c r="E44">
        <f>COUNTIFS(Barrierenmessung!U:U, "kerb", Barrierenmessung!AE:AE, "J", Barrierenmessung!AH:AH, "FALSE")</f>
        <v>8</v>
      </c>
      <c r="F44">
        <f>COUNTIFS(Barrierenmessung!U:U, "stair", Barrierenmessung!AE:AE, "J", Barrierenmessung!AH:AH, "FALSE")</f>
        <v>32</v>
      </c>
      <c r="G44">
        <f>COUNTIFS(Barrierenmessung!U:U, "other", Barrierenmessung!AE:AE, "J", Barrierenmessung!AH:AH, "FALSE")</f>
        <v>0</v>
      </c>
      <c r="H44">
        <f>COUNTIFS(Barrierenmessung!U:U, "cycle_barrier", Barrierenmessung!AE:AE, "J", Barrierenmessung!AH:AH, "FALSE")</f>
        <v>0</v>
      </c>
      <c r="I44">
        <f>COUNTIFS(Barrierenmessung!U:U, "block", Barrierenmessung!AE:AE, "J", Barrierenmessung!AH:AH, "FALSE")</f>
        <v>3</v>
      </c>
      <c r="J44">
        <f>COUNTIFS(Barrierenmessung!U:U, "planter", Barrierenmessung!AE:AE, "J", Barrierenmessung!AH:AH, "FALSE")</f>
        <v>0</v>
      </c>
      <c r="K44">
        <f>COUNTIFS(Barrierenmessung!U:U, "problematic_way", Barrierenmessung!AE:AE, "J", Barrierenmessung!AH:AH, "FALSE")</f>
        <v>70</v>
      </c>
      <c r="L44">
        <f>COUNTIFS(Barrierenmessung!U:U, "cross_drain", Barrierenmessung!AE:AE, "J", Barrierenmessung!AH:AH, "FALSE")</f>
        <v>0</v>
      </c>
    </row>
    <row r="45" spans="1:12" x14ac:dyDescent="0.2">
      <c r="A45" t="s">
        <v>115</v>
      </c>
      <c r="B45">
        <f t="shared" si="2"/>
        <v>27</v>
      </c>
      <c r="C45">
        <f>COUNTIFS(Barrierenmessung!U:U, "gate", Barrierenmessung!AE:AE, "K", Barrierenmessung!AH:AH, "FALSE")</f>
        <v>0</v>
      </c>
      <c r="D45">
        <f>COUNTIFS(Barrierenmessung!U:U, "bollard", Barrierenmessung!AE:AE, "K", Barrierenmessung!AH:AH, "FALSE")</f>
        <v>0</v>
      </c>
      <c r="E45">
        <f>COUNTIFS(Barrierenmessung!U:U, "kerb", Barrierenmessung!AE:AE, "K", Barrierenmessung!AH:AH, "FALSE")</f>
        <v>0</v>
      </c>
      <c r="F45">
        <f>COUNTIFS(Barrierenmessung!U:U, "stair", Barrierenmessung!AE:AE, "K", Barrierenmessung!AH:AH, "FALSE")</f>
        <v>8</v>
      </c>
      <c r="G45">
        <f>COUNTIFS(Barrierenmessung!U:U, "other", Barrierenmessung!AE:AE, "K", Barrierenmessung!AH:AH, "FALSE")</f>
        <v>0</v>
      </c>
      <c r="H45">
        <f>COUNTIFS(Barrierenmessung!U:U, "cycle_barrier", Barrierenmessung!AE:AE, "K", Barrierenmessung!AH:AH, "FALSE")</f>
        <v>0</v>
      </c>
      <c r="I45">
        <f>COUNTIFS(Barrierenmessung!U:U, "block", Barrierenmessung!AE:AE, "K", Barrierenmessung!AH:AH, "FALSE")</f>
        <v>4</v>
      </c>
      <c r="J45">
        <f>COUNTIFS(Barrierenmessung!U:U, "planter", Barrierenmessung!AE:AE, "K", Barrierenmessung!AH:AH, "FALSE")</f>
        <v>0</v>
      </c>
      <c r="K45">
        <f>COUNTIFS(Barrierenmessung!U:U, "problematic_way", Barrierenmessung!AE:AE, "K", Barrierenmessung!AH:AH, "FALSE")</f>
        <v>9</v>
      </c>
      <c r="L45">
        <f>COUNTIFS(Barrierenmessung!U:U, "cross_drain", Barrierenmessung!AE:AE, "K", Barrierenmessung!AH:AH, "FALSE")</f>
        <v>6</v>
      </c>
    </row>
    <row r="46" spans="1:12" x14ac:dyDescent="0.2">
      <c r="A46" t="s">
        <v>39</v>
      </c>
      <c r="B46">
        <f t="shared" si="2"/>
        <v>19</v>
      </c>
      <c r="C46">
        <f>COUNTIFS(Barrierenmessung!U:U, "gate", Barrierenmessung!AE:AE, "L", Barrierenmessung!AH:AH, "FALSE")</f>
        <v>0</v>
      </c>
      <c r="D46">
        <f>COUNTIFS(Barrierenmessung!U:U, "bollard", Barrierenmessung!AE:AE, "L", Barrierenmessung!AH:AH, "FALSE")</f>
        <v>1</v>
      </c>
      <c r="E46">
        <f>COUNTIFS(Barrierenmessung!U:U, "kerb", Barrierenmessung!AE:AE, "L", Barrierenmessung!AH:AH, "FALSE")</f>
        <v>0</v>
      </c>
      <c r="F46">
        <f>COUNTIFS(Barrierenmessung!U:U, "stair", Barrierenmessung!AE:AE, "L", Barrierenmessung!AH:AH, "FALSE")</f>
        <v>1</v>
      </c>
      <c r="G46">
        <f>COUNTIFS(Barrierenmessung!U:U, "other", Barrierenmessung!AE:AE, "L", Barrierenmessung!AH:AH, "FALSE")</f>
        <v>0</v>
      </c>
      <c r="H46">
        <f>COUNTIFS(Barrierenmessung!U:U, "cycle_barrier", Barrierenmessung!AE:AE, "L", Barrierenmessung!AH:AH, "FALSE")</f>
        <v>0</v>
      </c>
      <c r="I46">
        <f>COUNTIFS(Barrierenmessung!U:U, "block", Barrierenmessung!AE:AE, "L", Barrierenmessung!AH:AH, "FALSE")</f>
        <v>1</v>
      </c>
      <c r="J46">
        <f>COUNTIFS(Barrierenmessung!U:U, "planter", Barrierenmessung!AE:AE, "L", Barrierenmessung!AH:AH, "FALSE")</f>
        <v>0</v>
      </c>
      <c r="K46">
        <f>COUNTIFS(Barrierenmessung!U:U, "problematic_way", Barrierenmessung!AE:AE, "L", Barrierenmessung!AH:AH, "FALSE")</f>
        <v>16</v>
      </c>
      <c r="L46">
        <f>COUNTIFS(Barrierenmessung!U:U, "cross_drain", Barrierenmessung!AE:AE, "L", Barrierenmessung!AH:AH, "FALSE")</f>
        <v>0</v>
      </c>
    </row>
    <row r="47" spans="1:12" x14ac:dyDescent="0.2">
      <c r="A47" t="s">
        <v>3248</v>
      </c>
      <c r="B47">
        <f t="shared" si="2"/>
        <v>79</v>
      </c>
      <c r="C47">
        <f>COUNTIFS(Barrierenmessung!U:U, "gate", Barrierenmessung!AE:AE, "M", Barrierenmessung!AH:AH, "FALSE")</f>
        <v>0</v>
      </c>
      <c r="D47">
        <f>COUNTIFS(Barrierenmessung!U:U, "bollard", Barrierenmessung!AE:AE, "M", Barrierenmessung!AH:AH, "FALSE")</f>
        <v>0</v>
      </c>
      <c r="E47">
        <f>COUNTIFS(Barrierenmessung!U:U, "kerb", Barrierenmessung!AE:AE, "M", Barrierenmessung!AH:AH, "FALSE")</f>
        <v>11</v>
      </c>
      <c r="F47">
        <f>COUNTIFS(Barrierenmessung!U:U, "stair", Barrierenmessung!AE:AE, "M", Barrierenmessung!AH:AH, "FALSE")</f>
        <v>17</v>
      </c>
      <c r="G47">
        <f>COUNTIFS(Barrierenmessung!U:U, "other", Barrierenmessung!AE:AE, "M", Barrierenmessung!AH:AH, "FALSE")</f>
        <v>5</v>
      </c>
      <c r="H47">
        <f>COUNTIFS(Barrierenmessung!U:U, "cycle_barrier", Barrierenmessung!AE:AE, "M", Barrierenmessung!AH:AH, "FALSE")</f>
        <v>0</v>
      </c>
      <c r="I47">
        <f>COUNTIFS(Barrierenmessung!U:U, "block", Barrierenmessung!AE:AE, "M", Barrierenmessung!AH:AH, "FALSE")</f>
        <v>3</v>
      </c>
      <c r="J47">
        <f>COUNTIFS(Barrierenmessung!U:U, "planter", Barrierenmessung!AE:AE, "M", Barrierenmessung!AH:AH, "FALSE")</f>
        <v>0</v>
      </c>
      <c r="K47">
        <f>COUNTIFS(Barrierenmessung!U:U, "problematic_way", Barrierenmessung!AE:AE, "M", Barrierenmessung!AH:AH, "FALSE")</f>
        <v>22</v>
      </c>
      <c r="L47">
        <f>COUNTIFS(Barrierenmessung!U:U, "cross_drain", Barrierenmessung!AE:AE, "M", Barrierenmessung!AH:AH, "FALSE")</f>
        <v>21</v>
      </c>
    </row>
    <row r="48" spans="1:12" x14ac:dyDescent="0.2">
      <c r="A48" t="s">
        <v>2650</v>
      </c>
      <c r="B48">
        <f t="shared" si="2"/>
        <v>58</v>
      </c>
      <c r="C48">
        <f>COUNTIFS(Barrierenmessung!U:U, "gate", Barrierenmessung!AE:AE, "N", Barrierenmessung!AH:AH, "FALSE")</f>
        <v>0</v>
      </c>
      <c r="D48">
        <f>COUNTIFS(Barrierenmessung!U:U, "bollard", Barrierenmessung!AE:AE, "N", Barrierenmessung!AH:AH, "FALSE")</f>
        <v>0</v>
      </c>
      <c r="E48">
        <f>COUNTIFS(Barrierenmessung!U:U, "kerb", Barrierenmessung!AE:AE, "N", Barrierenmessung!AH:AH, "FALSE")</f>
        <v>6</v>
      </c>
      <c r="F48">
        <f>COUNTIFS(Barrierenmessung!U:U, "stair", Barrierenmessung!AE:AE, "N", Barrierenmessung!AH:AH, "FALSE")</f>
        <v>12</v>
      </c>
      <c r="G48">
        <f>COUNTIFS(Barrierenmessung!U:U, "other", Barrierenmessung!AE:AE, "N", Barrierenmessung!AH:AH, "FALSE")</f>
        <v>1</v>
      </c>
      <c r="H48">
        <f>COUNTIFS(Barrierenmessung!U:U, "cycle_barrier", Barrierenmessung!AE:AE, "N", Barrierenmessung!AH:AH, "FALSE")</f>
        <v>0</v>
      </c>
      <c r="I48">
        <f>COUNTIFS(Barrierenmessung!U:U, "block", Barrierenmessung!AE:AE, "N", Barrierenmessung!AH:AH, "FALSE")</f>
        <v>2</v>
      </c>
      <c r="J48">
        <f>COUNTIFS(Barrierenmessung!U:U, "planter", Barrierenmessung!AE:AE, "N", Barrierenmessung!AH:AH, "FALSE")</f>
        <v>0</v>
      </c>
      <c r="K48">
        <f>COUNTIFS(Barrierenmessung!U:U, "problematic_way", Barrierenmessung!AE:AE, "N", Barrierenmessung!AH:AH, "FALSE")</f>
        <v>37</v>
      </c>
      <c r="L48">
        <f>COUNTIFS(Barrierenmessung!U:U, "cross_drain", Barrierenmessung!AE:AE, "N", Barrierenmessung!AH:AH, "FALSE")</f>
        <v>0</v>
      </c>
    </row>
    <row r="49" spans="1:12" x14ac:dyDescent="0.2">
      <c r="A49" t="s">
        <v>1826</v>
      </c>
      <c r="B49">
        <f t="shared" si="2"/>
        <v>42</v>
      </c>
      <c r="C49">
        <f>COUNTIFS(Barrierenmessung!U:U, "gate", Barrierenmessung!AE:AE, "O", Barrierenmessung!AH:AH, "FALSE")</f>
        <v>0</v>
      </c>
      <c r="D49">
        <f>COUNTIFS(Barrierenmessung!U:U, "bollard", Barrierenmessung!AE:AE, "O", Barrierenmessung!AH:AH, "FALSE")</f>
        <v>0</v>
      </c>
      <c r="E49">
        <f>COUNTIFS(Barrierenmessung!U:U, "kerb", Barrierenmessung!AE:AE, "O", Barrierenmessung!AH:AH, "FALSE")</f>
        <v>1</v>
      </c>
      <c r="F49">
        <f>COUNTIFS(Barrierenmessung!U:U, "stair", Barrierenmessung!AE:AE, "O", Barrierenmessung!AH:AH, "FALSE")</f>
        <v>19</v>
      </c>
      <c r="G49">
        <f>COUNTIFS(Barrierenmessung!U:U, "other", Barrierenmessung!AE:AE, "O", Barrierenmessung!AH:AH, "FALSE")</f>
        <v>1</v>
      </c>
      <c r="H49">
        <f>COUNTIFS(Barrierenmessung!U:U, "cycle_barrier", Barrierenmessung!AE:AE, "O", Barrierenmessung!AH:AH, "FALSE")</f>
        <v>0</v>
      </c>
      <c r="I49">
        <f>COUNTIFS(Barrierenmessung!U:U, "block", Barrierenmessung!AE:AE, "O", Barrierenmessung!AH:AH, "FALSE")</f>
        <v>0</v>
      </c>
      <c r="J49">
        <f>COUNTIFS(Barrierenmessung!U:U, "planter", Barrierenmessung!AE:AE, "O", Barrierenmessung!AH:AH, "FALSE")</f>
        <v>0</v>
      </c>
      <c r="K49">
        <f>COUNTIFS(Barrierenmessung!U:U, "problematic_way", Barrierenmessung!AE:AE, "O", Barrierenmessung!AH:AH, "FALSE")</f>
        <v>12</v>
      </c>
      <c r="L49">
        <f>COUNTIFS(Barrierenmessung!U:U, "cross_drain", Barrierenmessung!AE:AE, "O", Barrierenmessung!AH:AH, "FALSE")</f>
        <v>9</v>
      </c>
    </row>
    <row r="50" spans="1:12" x14ac:dyDescent="0.2">
      <c r="A50" t="s">
        <v>688</v>
      </c>
      <c r="B50">
        <f t="shared" si="2"/>
        <v>45</v>
      </c>
      <c r="C50">
        <f>COUNTIFS(Barrierenmessung!U:U, "gate", Barrierenmessung!AE:AE, "P", Barrierenmessung!AH:AH, "FALSE")</f>
        <v>0</v>
      </c>
      <c r="D50">
        <f>COUNTIFS(Barrierenmessung!U:U, "bollard", Barrierenmessung!AE:AE, "P", Barrierenmessung!AH:AH, "FALSE")</f>
        <v>0</v>
      </c>
      <c r="E50">
        <f>COUNTIFS(Barrierenmessung!U:U, "kerb", Barrierenmessung!AE:AE, "P", Barrierenmessung!AH:AH, "FALSE")</f>
        <v>1</v>
      </c>
      <c r="F50">
        <f>COUNTIFS(Barrierenmessung!U:U, "stair", Barrierenmessung!AE:AE, "P", Barrierenmessung!AH:AH, "FALSE")</f>
        <v>7</v>
      </c>
      <c r="G50">
        <f>COUNTIFS(Barrierenmessung!U:U, "other", Barrierenmessung!AE:AE, "P", Barrierenmessung!AH:AH, "FALSE")</f>
        <v>1</v>
      </c>
      <c r="H50">
        <f>COUNTIFS(Barrierenmessung!U:U, "cycle_barrier", Barrierenmessung!AE:AE, "P", Barrierenmessung!AH:AH, "FALSE")</f>
        <v>0</v>
      </c>
      <c r="I50">
        <f>COUNTIFS(Barrierenmessung!U:U, "block", Barrierenmessung!AE:AE, "P", Barrierenmessung!AH:AH, "FALSE")</f>
        <v>2</v>
      </c>
      <c r="J50">
        <f>COUNTIFS(Barrierenmessung!U:U, "planter", Barrierenmessung!AE:AE, "P", Barrierenmessung!AH:AH, "FALSE")</f>
        <v>0</v>
      </c>
      <c r="K50">
        <f>COUNTIFS(Barrierenmessung!U:U, "problematic_way", Barrierenmessung!AE:AE, "P", Barrierenmessung!AH:AH, "FALSE")</f>
        <v>29</v>
      </c>
      <c r="L50">
        <f>COUNTIFS(Barrierenmessung!U:U, "cross_drain", Barrierenmessung!AE:AE, "P", Barrierenmessung!AH:AH, "FALSE")</f>
        <v>5</v>
      </c>
    </row>
    <row r="52" spans="1:12" x14ac:dyDescent="0.2">
      <c r="A52" s="36" t="s">
        <v>3757</v>
      </c>
      <c r="B52" s="34">
        <f t="shared" ref="B52:L52" si="3">SUM(B35:B50)</f>
        <v>1154</v>
      </c>
      <c r="C52" s="34">
        <f t="shared" si="3"/>
        <v>2</v>
      </c>
      <c r="D52" s="34">
        <f t="shared" si="3"/>
        <v>6</v>
      </c>
      <c r="E52" s="34">
        <f t="shared" si="3"/>
        <v>89</v>
      </c>
      <c r="F52" s="34">
        <f t="shared" si="3"/>
        <v>237</v>
      </c>
      <c r="G52" s="34">
        <f t="shared" si="3"/>
        <v>24</v>
      </c>
      <c r="H52" s="34">
        <f t="shared" si="3"/>
        <v>2</v>
      </c>
      <c r="I52" s="34">
        <f t="shared" si="3"/>
        <v>50</v>
      </c>
      <c r="J52" s="34">
        <f t="shared" si="3"/>
        <v>1</v>
      </c>
      <c r="K52" s="34">
        <f t="shared" si="3"/>
        <v>599</v>
      </c>
      <c r="L52" s="34">
        <f t="shared" si="3"/>
        <v>144</v>
      </c>
    </row>
    <row r="58" spans="1:12" x14ac:dyDescent="0.2">
      <c r="B58" t="s">
        <v>10884</v>
      </c>
    </row>
    <row r="59" spans="1:12" x14ac:dyDescent="0.2">
      <c r="A59" s="6" t="s">
        <v>9828</v>
      </c>
      <c r="B59" s="6" t="s">
        <v>9829</v>
      </c>
      <c r="C59" s="6" t="s">
        <v>2381</v>
      </c>
      <c r="D59" s="6" t="s">
        <v>101</v>
      </c>
      <c r="E59" s="6" t="s">
        <v>266</v>
      </c>
      <c r="F59" s="6" t="s">
        <v>55</v>
      </c>
      <c r="G59" s="6" t="s">
        <v>417</v>
      </c>
      <c r="H59" s="6" t="s">
        <v>2006</v>
      </c>
      <c r="I59" s="6" t="s">
        <v>110</v>
      </c>
      <c r="J59" s="6" t="s">
        <v>3158</v>
      </c>
      <c r="K59" s="6" t="s">
        <v>37</v>
      </c>
      <c r="L59" s="6" t="s">
        <v>125</v>
      </c>
    </row>
    <row r="60" spans="1:12" x14ac:dyDescent="0.2">
      <c r="A60" t="s">
        <v>1945</v>
      </c>
      <c r="B60">
        <f t="shared" ref="B60:B75" si="4">SUM(C60:L60)</f>
        <v>27</v>
      </c>
      <c r="C60">
        <f>COUNTIFS(Barrierenmessung_reviewed!U:U, "gate", Barrierenmessung_reviewed!AE:AE, "A", Barrierenmessung_reviewed!AH:AH, "FALSE")</f>
        <v>0</v>
      </c>
      <c r="D60">
        <f>COUNTIFS(Barrierenmessung_reviewed!U:U, "bollard", Barrierenmessung_reviewed!AE:AE, "A", Barrierenmessung_reviewed!AH:AH, "FALSE")</f>
        <v>0</v>
      </c>
      <c r="E60">
        <f>COUNTIFS(Barrierenmessung_reviewed!U:U, "kerb", Barrierenmessung_reviewed!AE:AE, "A", Barrierenmessung_reviewed!AH:AH, "FALSE")</f>
        <v>4</v>
      </c>
      <c r="F60">
        <f>COUNTIFS(Barrierenmessung_reviewed!U:U, "stair", Barrierenmessung_reviewed!AE:AE, "A", Barrierenmessung_reviewed!AH:AH, "FALSE")</f>
        <v>6</v>
      </c>
      <c r="G60">
        <f>COUNTIFS(Barrierenmessung_reviewed!U:U, "other", Barrierenmessung_reviewed!AE:AE, "A", Barrierenmessung_reviewed!AH:AH, "FALSE")</f>
        <v>1</v>
      </c>
      <c r="H60">
        <f>COUNTIFS(Barrierenmessung_reviewed!U:U, "cycle_barrier", Barrierenmessung_reviewed!AE:AE, "A", Barrierenmessung_reviewed!AH:AH, "FALSE")</f>
        <v>2</v>
      </c>
      <c r="I60">
        <f>COUNTIFS(Barrierenmessung_reviewed!U:U, "block", Barrierenmessung_reviewed!AE:AE, "A", Barrierenmessung_reviewed!AH:AH, "FALSE")</f>
        <v>0</v>
      </c>
      <c r="J60">
        <f>COUNTIFS(Barrierenmessung_reviewed!U:U, "planter", Barrierenmessung_reviewed!AE:AE, "A", Barrierenmessung_reviewed!AH:AH, "FALSE")</f>
        <v>0</v>
      </c>
      <c r="K60">
        <f>COUNTIFS(Barrierenmessung_reviewed!U:U, "problematic_way", Barrierenmessung_reviewed!AE:AE, "A", Barrierenmessung_reviewed!AH:AH, "FALSE")</f>
        <v>14</v>
      </c>
      <c r="L60">
        <f>COUNTIFS(Barrierenmessung_reviewed!U:U, "cross_drain", Barrierenmessung_reviewed!AE:AE, "A", Barrierenmessung_reviewed!AH:AH, "FALSE")</f>
        <v>0</v>
      </c>
    </row>
    <row r="61" spans="1:12" x14ac:dyDescent="0.2">
      <c r="A61" t="s">
        <v>792</v>
      </c>
      <c r="B61">
        <f t="shared" si="4"/>
        <v>45</v>
      </c>
      <c r="C61">
        <f>COUNTIFS(Barrierenmessung_reviewed!U:U, "gate", Barrierenmessung_reviewed!AE:AE, "B", Barrierenmessung_reviewed!AH:AH, "FALSE")</f>
        <v>0</v>
      </c>
      <c r="D61">
        <f>COUNTIFS(Barrierenmessung_reviewed!U:U, "bollard", Barrierenmessung_reviewed!AE:AE, "B", Barrierenmessung_reviewed!AH:AH, "FALSE")</f>
        <v>1</v>
      </c>
      <c r="E61">
        <f>COUNTIFS(Barrierenmessung_reviewed!U:U, "kerb", Barrierenmessung_reviewed!AE:AE, "B", Barrierenmessung_reviewed!AH:AH, "FALSE")</f>
        <v>3</v>
      </c>
      <c r="F61">
        <f>COUNTIFS(Barrierenmessung_reviewed!U:U, "stair", Barrierenmessung_reviewed!AE:AE, "B", Barrierenmessung_reviewed!AH:AH, "FALSE")</f>
        <v>8</v>
      </c>
      <c r="G61">
        <f>COUNTIFS(Barrierenmessung_reviewed!U:U, "other", Barrierenmessung_reviewed!AE:AE, "B", Barrierenmessung_reviewed!AH:AH, "FALSE")</f>
        <v>0</v>
      </c>
      <c r="H61">
        <f>COUNTIFS(Barrierenmessung_reviewed!U:U, "cycle_barrier", Barrierenmessung_reviewed!AE:AE, "B", Barrierenmessung_reviewed!AH:AH, "FALSE")</f>
        <v>0</v>
      </c>
      <c r="I61">
        <f>COUNTIFS(Barrierenmessung_reviewed!U:U, "block", Barrierenmessung_reviewed!AE:AE, "B", Barrierenmessung_reviewed!AH:AH, "FALSE")</f>
        <v>2</v>
      </c>
      <c r="J61">
        <f>COUNTIFS(Barrierenmessung_reviewed!U:U, "planter", Barrierenmessung_reviewed!AE:AE, "B", Barrierenmessung_reviewed!AH:AH, "FALSE")</f>
        <v>0</v>
      </c>
      <c r="K61">
        <f>COUNTIFS(Barrierenmessung_reviewed!U:U, "problematic_way", Barrierenmessung_reviewed!AE:AE, "B", Barrierenmessung_reviewed!AH:AH, "FALSE")</f>
        <v>20</v>
      </c>
      <c r="L61">
        <f>COUNTIFS(Barrierenmessung_reviewed!U:U, "cross_drain", Barrierenmessung_reviewed!AE:AE, "B", Barrierenmessung_reviewed!AH:AH, "FALSE")</f>
        <v>11</v>
      </c>
    </row>
    <row r="62" spans="1:12" x14ac:dyDescent="0.2">
      <c r="A62" t="s">
        <v>492</v>
      </c>
      <c r="B62">
        <f t="shared" si="4"/>
        <v>52</v>
      </c>
      <c r="C62">
        <f>COUNTIFS(Barrierenmessung_reviewed!U:U, "gate", Barrierenmessung_reviewed!AE:AE, "C", Barrierenmessung_reviewed!AH:AH, "FALSE")</f>
        <v>0</v>
      </c>
      <c r="D62">
        <f>COUNTIFS(Barrierenmessung_reviewed!U:U, "bollard", Barrierenmessung_reviewed!AE:AE, "C", Barrierenmessung_reviewed!AH:AH, "FALSE")</f>
        <v>0</v>
      </c>
      <c r="E62">
        <f>COUNTIFS(Barrierenmessung_reviewed!U:U, "kerb", Barrierenmessung_reviewed!AE:AE, "C", Barrierenmessung_reviewed!AH:AH, "FALSE")</f>
        <v>7</v>
      </c>
      <c r="F62">
        <f>COUNTIFS(Barrierenmessung_reviewed!U:U, "stair", Barrierenmessung_reviewed!AE:AE, "C", Barrierenmessung_reviewed!AH:AH, "FALSE")</f>
        <v>1</v>
      </c>
      <c r="G62">
        <f>COUNTIFS(Barrierenmessung_reviewed!U:U, "other", Barrierenmessung_reviewed!AE:AE, "C", Barrierenmessung_reviewed!AH:AH, "FALSE")</f>
        <v>1</v>
      </c>
      <c r="H62">
        <f>COUNTIFS(Barrierenmessung_reviewed!U:U, "cycle_barrier", Barrierenmessung_reviewed!AE:AE, "C", Barrierenmessung_reviewed!AH:AH, "FALSE")</f>
        <v>0</v>
      </c>
      <c r="I62">
        <f>COUNTIFS(Barrierenmessung_reviewed!U:U, "block", Barrierenmessung_reviewed!AE:AE, "C", Barrierenmessung_reviewed!AH:AH, "FALSE")</f>
        <v>3</v>
      </c>
      <c r="J62">
        <f>COUNTIFS(Barrierenmessung_reviewed!U:U, "planter", Barrierenmessung_reviewed!AE:AE, "C", Barrierenmessung_reviewed!AH:AH, "FALSE")</f>
        <v>0</v>
      </c>
      <c r="K62">
        <f>COUNTIFS(Barrierenmessung_reviewed!U:U, "problematic_way", Barrierenmessung_reviewed!AE:AE, "C", Barrierenmessung_reviewed!AH:AH, "FALSE")</f>
        <v>30</v>
      </c>
      <c r="L62">
        <f>COUNTIFS(Barrierenmessung_reviewed!U:U, "cross_drain", Barrierenmessung_reviewed!AE:AE, "C", Barrierenmessung_reviewed!AH:AH, "FALSE")</f>
        <v>10</v>
      </c>
    </row>
    <row r="63" spans="1:12" x14ac:dyDescent="0.2">
      <c r="A63" t="s">
        <v>207</v>
      </c>
      <c r="B63">
        <f t="shared" si="4"/>
        <v>68</v>
      </c>
      <c r="C63">
        <f>COUNTIFS(Barrierenmessung_reviewed!U:U, "gate", Barrierenmessung_reviewed!AE:AE, "D", Barrierenmessung_reviewed!AH:AH, "FALSE")</f>
        <v>0</v>
      </c>
      <c r="D63">
        <f>COUNTIFS(Barrierenmessung_reviewed!U:U, "bollard", Barrierenmessung_reviewed!AE:AE, "D", Barrierenmessung_reviewed!AH:AH, "FALSE")</f>
        <v>0</v>
      </c>
      <c r="E63">
        <f>COUNTIFS(Barrierenmessung_reviewed!U:U, "kerb", Barrierenmessung_reviewed!AE:AE, "D", Barrierenmessung_reviewed!AH:AH, "FALSE")</f>
        <v>7</v>
      </c>
      <c r="F63">
        <f>COUNTIFS(Barrierenmessung_reviewed!U:U, "stair", Barrierenmessung_reviewed!AE:AE, "D", Barrierenmessung_reviewed!AH:AH, "FALSE")</f>
        <v>11</v>
      </c>
      <c r="G63">
        <f>COUNTIFS(Barrierenmessung_reviewed!U:U, "other", Barrierenmessung_reviewed!AE:AE, "D", Barrierenmessung_reviewed!AH:AH, "FALSE")</f>
        <v>5</v>
      </c>
      <c r="H63">
        <f>COUNTIFS(Barrierenmessung_reviewed!U:U, "cycle_barrier", Barrierenmessung_reviewed!AE:AE, "D", Barrierenmessung_reviewed!AH:AH, "FALSE")</f>
        <v>0</v>
      </c>
      <c r="I63">
        <f>COUNTIFS(Barrierenmessung_reviewed!U:U, "block", Barrierenmessung_reviewed!AE:AE, "D", Barrierenmessung_reviewed!AH:AH, "FALSE")</f>
        <v>5</v>
      </c>
      <c r="J63">
        <f>COUNTIFS(Barrierenmessung_reviewed!U:U, "planter", Barrierenmessung_reviewed!AE:AE, "D", Barrierenmessung_reviewed!AH:AH, "FALSE")</f>
        <v>0</v>
      </c>
      <c r="K63">
        <f>COUNTIFS(Barrierenmessung_reviewed!U:U, "problematic_way", Barrierenmessung_reviewed!AE:AE, "D", Barrierenmessung_reviewed!AH:AH, "FALSE")</f>
        <v>22</v>
      </c>
      <c r="L63">
        <f>COUNTIFS(Barrierenmessung_reviewed!U:U, "cross_drain", Barrierenmessung_reviewed!AE:AE, "D", Barrierenmessung_reviewed!AH:AH, "FALSE")</f>
        <v>18</v>
      </c>
    </row>
    <row r="64" spans="1:12" x14ac:dyDescent="0.2">
      <c r="A64" t="s">
        <v>1117</v>
      </c>
      <c r="B64">
        <f t="shared" si="4"/>
        <v>93</v>
      </c>
      <c r="C64">
        <f>COUNTIFS(Barrierenmessung_reviewed!U:U, "gate", Barrierenmessung_reviewed!AE:AE, "E", Barrierenmessung_reviewed!AH:AH, "FALSE")</f>
        <v>0</v>
      </c>
      <c r="D64">
        <f>COUNTIFS(Barrierenmessung_reviewed!U:U, "bollard", Barrierenmessung_reviewed!AE:AE, "E", Barrierenmessung_reviewed!AH:AH, "FALSE")</f>
        <v>2</v>
      </c>
      <c r="E64">
        <f>COUNTIFS(Barrierenmessung_reviewed!U:U, "kerb", Barrierenmessung_reviewed!AE:AE, "E", Barrierenmessung_reviewed!AH:AH, "FALSE")</f>
        <v>5</v>
      </c>
      <c r="F64">
        <f>COUNTIFS(Barrierenmessung_reviewed!U:U, "stair", Barrierenmessung_reviewed!AE:AE, "E", Barrierenmessung_reviewed!AH:AH, "FALSE")</f>
        <v>20</v>
      </c>
      <c r="G64">
        <f>COUNTIFS(Barrierenmessung_reviewed!U:U, "other", Barrierenmessung_reviewed!AE:AE, "E", Barrierenmessung_reviewed!AH:AH, "FALSE")</f>
        <v>0</v>
      </c>
      <c r="H64">
        <f>COUNTIFS(Barrierenmessung_reviewed!U:U, "cycle_barrier", Barrierenmessung_reviewed!AE:AE, "E", Barrierenmessung_reviewed!AH:AH, "FALSE")</f>
        <v>0</v>
      </c>
      <c r="I64">
        <f>COUNTIFS(Barrierenmessung_reviewed!U:U, "block", Barrierenmessung_reviewed!AE:AE, "E", Barrierenmessung_reviewed!AH:AH, "FALSE")</f>
        <v>1</v>
      </c>
      <c r="J64">
        <f>COUNTIFS(Barrierenmessung_reviewed!U:U, "planter", Barrierenmessung_reviewed!AE:AE, "E", Barrierenmessung_reviewed!AH:AH, "FALSE")</f>
        <v>0</v>
      </c>
      <c r="K64">
        <f>COUNTIFS(Barrierenmessung_reviewed!U:U, "problematic_way", Barrierenmessung_reviewed!AE:AE, "E", Barrierenmessung_reviewed!AH:AH, "FALSE")</f>
        <v>62</v>
      </c>
      <c r="L64">
        <f>COUNTIFS(Barrierenmessung_reviewed!U:U, "cross_drain", Barrierenmessung_reviewed!AE:AE, "E", Barrierenmessung_reviewed!AH:AH, "FALSE")</f>
        <v>3</v>
      </c>
    </row>
    <row r="65" spans="1:12" x14ac:dyDescent="0.2">
      <c r="A65" t="s">
        <v>2840</v>
      </c>
      <c r="B65">
        <f t="shared" si="4"/>
        <v>199</v>
      </c>
      <c r="C65">
        <f>COUNTIFS(Barrierenmessung_reviewed!U:U, "gate", Barrierenmessung_reviewed!AE:AE, "F", Barrierenmessung_reviewed!AH:AH, "FALSE")</f>
        <v>0</v>
      </c>
      <c r="D65">
        <f>COUNTIFS(Barrierenmessung_reviewed!U:U, "bollard", Barrierenmessung_reviewed!AE:AE, "F", Barrierenmessung_reviewed!AH:AH, "FALSE")</f>
        <v>1</v>
      </c>
      <c r="E65">
        <f>COUNTIFS(Barrierenmessung_reviewed!U:U, "kerb", Barrierenmessung_reviewed!AE:AE, "F", Barrierenmessung_reviewed!AH:AH, "FALSE")</f>
        <v>13</v>
      </c>
      <c r="F65">
        <f>COUNTIFS(Barrierenmessung_reviewed!U:U, "stair", Barrierenmessung_reviewed!AE:AE, "F", Barrierenmessung_reviewed!AH:AH, "FALSE")</f>
        <v>33</v>
      </c>
      <c r="G65">
        <f>COUNTIFS(Barrierenmessung_reviewed!U:U, "other", Barrierenmessung_reviewed!AE:AE, "F", Barrierenmessung_reviewed!AH:AH, "FALSE")</f>
        <v>3</v>
      </c>
      <c r="H65">
        <f>COUNTIFS(Barrierenmessung_reviewed!U:U, "cycle_barrier", Barrierenmessung_reviewed!AE:AE, "F", Barrierenmessung_reviewed!AH:AH, "FALSE")</f>
        <v>0</v>
      </c>
      <c r="I65">
        <f>COUNTIFS(Barrierenmessung_reviewed!U:U, "block", Barrierenmessung_reviewed!AE:AE, "F", Barrierenmessung_reviewed!AH:AH, "FALSE")</f>
        <v>11</v>
      </c>
      <c r="J65">
        <f>COUNTIFS(Barrierenmessung_reviewed!U:U, "planter", Barrierenmessung_reviewed!AE:AE, "F", Barrierenmessung_reviewed!AH:AH, "FALSE")</f>
        <v>1</v>
      </c>
      <c r="K65">
        <f>COUNTIFS(Barrierenmessung_reviewed!U:U, "problematic_way", Barrierenmessung_reviewed!AE:AE, "F", Barrierenmessung_reviewed!AH:AH, "FALSE")</f>
        <v>128</v>
      </c>
      <c r="L65">
        <f>COUNTIFS(Barrierenmessung_reviewed!U:U, "cross_drain", Barrierenmessung_reviewed!AE:AE, "F", Barrierenmessung_reviewed!AH:AH, "FALSE")</f>
        <v>9</v>
      </c>
    </row>
    <row r="66" spans="1:12" x14ac:dyDescent="0.2">
      <c r="A66" t="s">
        <v>1464</v>
      </c>
      <c r="B66">
        <f t="shared" si="4"/>
        <v>87</v>
      </c>
      <c r="C66">
        <f>COUNTIFS(Barrierenmessung_reviewed!U:U, "gate", Barrierenmessung_reviewed!AE:AE, "G", Barrierenmessung_reviewed!AH:AH, "FALSE")</f>
        <v>0</v>
      </c>
      <c r="D66">
        <f>COUNTIFS(Barrierenmessung_reviewed!U:U, "bollard", Barrierenmessung_reviewed!AE:AE, "G", Barrierenmessung_reviewed!AH:AH, "FALSE")</f>
        <v>0</v>
      </c>
      <c r="E66">
        <f>COUNTIFS(Barrierenmessung_reviewed!U:U, "kerb", Barrierenmessung_reviewed!AE:AE, "G", Barrierenmessung_reviewed!AH:AH, "FALSE")</f>
        <v>8</v>
      </c>
      <c r="F66">
        <f>COUNTIFS(Barrierenmessung_reviewed!U:U, "stair", Barrierenmessung_reviewed!AE:AE, "G", Barrierenmessung_reviewed!AH:AH, "FALSE")</f>
        <v>26</v>
      </c>
      <c r="G66">
        <f>COUNTIFS(Barrierenmessung_reviewed!U:U, "other", Barrierenmessung_reviewed!AE:AE, "G", Barrierenmessung_reviewed!AH:AH, "FALSE")</f>
        <v>3</v>
      </c>
      <c r="H66">
        <f>COUNTIFS(Barrierenmessung_reviewed!U:U, "cycle_barrier", Barrierenmessung_reviewed!AE:AE, "G", Barrierenmessung_reviewed!AH:AH, "FALSE")</f>
        <v>0</v>
      </c>
      <c r="I66">
        <f>COUNTIFS(Barrierenmessung_reviewed!U:U, "block", Barrierenmessung_reviewed!AE:AE, "G", Barrierenmessung_reviewed!AH:AH, "FALSE")</f>
        <v>3</v>
      </c>
      <c r="J66">
        <f>COUNTIFS(Barrierenmessung_reviewed!U:U, "planter", Barrierenmessung_reviewed!AE:AE, "G", Barrierenmessung_reviewed!AH:AH, "FALSE")</f>
        <v>0</v>
      </c>
      <c r="K66">
        <f>COUNTIFS(Barrierenmessung_reviewed!U:U, "problematic_way", Barrierenmessung_reviewed!AE:AE, "G", Barrierenmessung_reviewed!AH:AH, "FALSE")</f>
        <v>42</v>
      </c>
      <c r="L66">
        <f>COUNTIFS(Barrierenmessung_reviewed!U:U, "cross_drain", Barrierenmessung_reviewed!AE:AE, "G", Barrierenmessung_reviewed!AH:AH, "FALSE")</f>
        <v>5</v>
      </c>
    </row>
    <row r="67" spans="1:12" x14ac:dyDescent="0.2">
      <c r="A67" t="s">
        <v>2406</v>
      </c>
      <c r="B67">
        <f t="shared" si="4"/>
        <v>74</v>
      </c>
      <c r="C67">
        <f>COUNTIFS(Barrierenmessung_reviewed!U:U, "gate", Barrierenmessung_reviewed!AE:AE, "H", Barrierenmessung_reviewed!AH:AH, "FALSE")</f>
        <v>0</v>
      </c>
      <c r="D67">
        <f>COUNTIFS(Barrierenmessung_reviewed!U:U, "bollard", Barrierenmessung_reviewed!AE:AE, "H", Barrierenmessung_reviewed!AH:AH, "FALSE")</f>
        <v>0</v>
      </c>
      <c r="E67">
        <f>COUNTIFS(Barrierenmessung_reviewed!U:U, "kerb", Barrierenmessung_reviewed!AE:AE, "H", Barrierenmessung_reviewed!AH:AH, "FALSE")</f>
        <v>6</v>
      </c>
      <c r="F67">
        <f>COUNTIFS(Barrierenmessung_reviewed!U:U, "stair", Barrierenmessung_reviewed!AE:AE, "H", Barrierenmessung_reviewed!AH:AH, "FALSE")</f>
        <v>17</v>
      </c>
      <c r="G67">
        <f>COUNTIFS(Barrierenmessung_reviewed!U:U, "other", Barrierenmessung_reviewed!AE:AE, "H", Barrierenmessung_reviewed!AH:AH, "FALSE")</f>
        <v>0</v>
      </c>
      <c r="H67">
        <f>COUNTIFS(Barrierenmessung_reviewed!U:U, "cycle_barrier", Barrierenmessung_reviewed!AE:AE, "H", Barrierenmessung_reviewed!AH:AH, "FALSE")</f>
        <v>0</v>
      </c>
      <c r="I67">
        <f>COUNTIFS(Barrierenmessung_reviewed!U:U, "block", Barrierenmessung_reviewed!AE:AE, "H", Barrierenmessung_reviewed!AH:AH, "FALSE")</f>
        <v>1</v>
      </c>
      <c r="J67">
        <f>COUNTIFS(Barrierenmessung_reviewed!U:U, "planter", Barrierenmessung_reviewed!AE:AE, "H", Barrierenmessung_reviewed!AH:AH, "FALSE")</f>
        <v>0</v>
      </c>
      <c r="K67">
        <f>COUNTIFS(Barrierenmessung_reviewed!U:U, "problematic_way", Barrierenmessung_reviewed!AE:AE, "H", Barrierenmessung_reviewed!AH:AH, "FALSE")</f>
        <v>31</v>
      </c>
      <c r="L67">
        <f>COUNTIFS(Barrierenmessung_reviewed!U:U, "cross_drain", Barrierenmessung_reviewed!AE:AE, "H", Barrierenmessung_reviewed!AH:AH, "FALSE")</f>
        <v>19</v>
      </c>
    </row>
    <row r="68" spans="1:12" x14ac:dyDescent="0.2">
      <c r="A68" t="s">
        <v>941</v>
      </c>
      <c r="B68">
        <f t="shared" si="4"/>
        <v>75</v>
      </c>
      <c r="C68">
        <f>COUNTIFS(Barrierenmessung_reviewed!U:U, "gate", Barrierenmessung_reviewed!AE:AE, "I", Barrierenmessung_reviewed!AH:AH, "FALSE")</f>
        <v>0</v>
      </c>
      <c r="D68">
        <f>COUNTIFS(Barrierenmessung_reviewed!U:U, "bollard", Barrierenmessung_reviewed!AE:AE, "I", Barrierenmessung_reviewed!AH:AH, "FALSE")</f>
        <v>1</v>
      </c>
      <c r="E68">
        <f>COUNTIFS(Barrierenmessung_reviewed!U:U, "kerb", Barrierenmessung_reviewed!AE:AE, "I", Barrierenmessung_reviewed!AH:AH, "FALSE")</f>
        <v>4</v>
      </c>
      <c r="F68">
        <f>COUNTIFS(Barrierenmessung_reviewed!U:U, "stair", Barrierenmessung_reviewed!AE:AE, "I", Barrierenmessung_reviewed!AH:AH, "FALSE")</f>
        <v>13</v>
      </c>
      <c r="G68">
        <f>COUNTIFS(Barrierenmessung_reviewed!U:U, "other", Barrierenmessung_reviewed!AE:AE, "I", Barrierenmessung_reviewed!AH:AH, "FALSE")</f>
        <v>1</v>
      </c>
      <c r="H68">
        <f>COUNTIFS(Barrierenmessung_reviewed!U:U, "cycle_barrier", Barrierenmessung_reviewed!AE:AE, "I", Barrierenmessung_reviewed!AH:AH, "FALSE")</f>
        <v>0</v>
      </c>
      <c r="I68">
        <f>COUNTIFS(Barrierenmessung_reviewed!U:U, "block", Barrierenmessung_reviewed!AE:AE, "I", Barrierenmessung_reviewed!AH:AH, "FALSE")</f>
        <v>9</v>
      </c>
      <c r="J68">
        <f>COUNTIFS(Barrierenmessung_reviewed!U:U, "planter", Barrierenmessung_reviewed!AE:AE, "I", Barrierenmessung_reviewed!AH:AH, "FALSE")</f>
        <v>0</v>
      </c>
      <c r="K68">
        <f>COUNTIFS(Barrierenmessung_reviewed!U:U, "problematic_way", Barrierenmessung_reviewed!AE:AE, "I", Barrierenmessung_reviewed!AH:AH, "FALSE")</f>
        <v>29</v>
      </c>
      <c r="L68">
        <f>COUNTIFS(Barrierenmessung_reviewed!U:U, "cross_drain", Barrierenmessung_reviewed!AE:AE, "I", Barrierenmessung_reviewed!AH:AH, "FALSE")</f>
        <v>18</v>
      </c>
    </row>
    <row r="69" spans="1:12" x14ac:dyDescent="0.2">
      <c r="A69" t="s">
        <v>2025</v>
      </c>
      <c r="B69">
        <f t="shared" si="4"/>
        <v>109</v>
      </c>
      <c r="C69">
        <f>COUNTIFS(Barrierenmessung_reviewed!U:U, "gate", Barrierenmessung_reviewed!AE:AE, "J", Barrierenmessung_reviewed!AH:AH, "FALSE")</f>
        <v>2</v>
      </c>
      <c r="D69">
        <f>COUNTIFS(Barrierenmessung_reviewed!U:U, "bollard", Barrierenmessung_reviewed!AE:AE, "J", Barrierenmessung_reviewed!AH:AH, "FALSE")</f>
        <v>0</v>
      </c>
      <c r="E69">
        <f>COUNTIFS(Barrierenmessung_reviewed!U:U, "kerb", Barrierenmessung_reviewed!AE:AE, "J", Barrierenmessung_reviewed!AH:AH, "FALSE")</f>
        <v>7</v>
      </c>
      <c r="F69">
        <f>COUNTIFS(Barrierenmessung_reviewed!U:U, "stair", Barrierenmessung_reviewed!AE:AE, "J", Barrierenmessung_reviewed!AH:AH, "FALSE")</f>
        <v>29</v>
      </c>
      <c r="G69">
        <f>COUNTIFS(Barrierenmessung_reviewed!U:U, "other", Barrierenmessung_reviewed!AE:AE, "J", Barrierenmessung_reviewed!AH:AH, "FALSE")</f>
        <v>0</v>
      </c>
      <c r="H69">
        <f>COUNTIFS(Barrierenmessung_reviewed!U:U, "cycle_barrier", Barrierenmessung_reviewed!AE:AE, "J", Barrierenmessung_reviewed!AH:AH, "FALSE")</f>
        <v>0</v>
      </c>
      <c r="I69">
        <f>COUNTIFS(Barrierenmessung_reviewed!U:U, "block", Barrierenmessung_reviewed!AE:AE, "J", Barrierenmessung_reviewed!AH:AH, "FALSE")</f>
        <v>3</v>
      </c>
      <c r="J69">
        <f>COUNTIFS(Barrierenmessung_reviewed!U:U, "planter", Barrierenmessung_reviewed!AE:AE, "J", Barrierenmessung_reviewed!AH:AH, "FALSE")</f>
        <v>0</v>
      </c>
      <c r="K69">
        <f>COUNTIFS(Barrierenmessung_reviewed!U:U, "problematic_way", Barrierenmessung_reviewed!AE:AE, "J", Barrierenmessung_reviewed!AH:AH, "FALSE")</f>
        <v>68</v>
      </c>
      <c r="L69">
        <f>COUNTIFS(Barrierenmessung_reviewed!U:U, "cross_drain", Barrierenmessung_reviewed!AE:AE, "J", Barrierenmessung_reviewed!AH:AH, "FALSE")</f>
        <v>0</v>
      </c>
    </row>
    <row r="70" spans="1:12" x14ac:dyDescent="0.2">
      <c r="A70" t="s">
        <v>115</v>
      </c>
      <c r="B70">
        <f t="shared" si="4"/>
        <v>22</v>
      </c>
      <c r="C70">
        <f>COUNTIFS(Barrierenmessung_reviewed!U:U, "gate", Barrierenmessung_reviewed!AE:AE, "K", Barrierenmessung_reviewed!AH:AH, "FALSE")</f>
        <v>0</v>
      </c>
      <c r="D70">
        <f>COUNTIFS(Barrierenmessung_reviewed!U:U, "bollard", Barrierenmessung_reviewed!AE:AE, "K", Barrierenmessung_reviewed!AH:AH, "FALSE")</f>
        <v>0</v>
      </c>
      <c r="E70">
        <f>COUNTIFS(Barrierenmessung_reviewed!U:U, "kerb", Barrierenmessung_reviewed!AE:AE, "K", Barrierenmessung_reviewed!AH:AH, "FALSE")</f>
        <v>0</v>
      </c>
      <c r="F70">
        <f>COUNTIFS(Barrierenmessung_reviewed!U:U, "stair", Barrierenmessung_reviewed!AE:AE, "K", Barrierenmessung_reviewed!AH:AH, "FALSE")</f>
        <v>7</v>
      </c>
      <c r="G70">
        <f>COUNTIFS(Barrierenmessung_reviewed!U:U, "other", Barrierenmessung_reviewed!AE:AE, "K", Barrierenmessung_reviewed!AH:AH, "FALSE")</f>
        <v>0</v>
      </c>
      <c r="H70">
        <f>COUNTIFS(Barrierenmessung_reviewed!U:U, "cycle_barrier", Barrierenmessung_reviewed!AE:AE, "K", Barrierenmessung_reviewed!AH:AH, "FALSE")</f>
        <v>0</v>
      </c>
      <c r="I70">
        <f>COUNTIFS(Barrierenmessung_reviewed!U:U, "block", Barrierenmessung_reviewed!AE:AE, "K", Barrierenmessung_reviewed!AH:AH, "FALSE")</f>
        <v>4</v>
      </c>
      <c r="J70">
        <f>COUNTIFS(Barrierenmessung_reviewed!U:U, "planter", Barrierenmessung_reviewed!AE:AE, "K", Barrierenmessung_reviewed!AH:AH, "FALSE")</f>
        <v>0</v>
      </c>
      <c r="K70">
        <f>COUNTIFS(Barrierenmessung_reviewed!U:U, "problematic_way", Barrierenmessung_reviewed!AE:AE, "K", Barrierenmessung_reviewed!AH:AH, "FALSE")</f>
        <v>6</v>
      </c>
      <c r="L70">
        <f>COUNTIFS(Barrierenmessung_reviewed!U:U, "cross_drain", Barrierenmessung_reviewed!AE:AE, "K", Barrierenmessung_reviewed!AH:AH, "FALSE")</f>
        <v>5</v>
      </c>
    </row>
    <row r="71" spans="1:12" x14ac:dyDescent="0.2">
      <c r="A71" t="s">
        <v>39</v>
      </c>
      <c r="B71">
        <f t="shared" si="4"/>
        <v>17</v>
      </c>
      <c r="C71">
        <f>COUNTIFS(Barrierenmessung_reviewed!U:U, "gate", Barrierenmessung_reviewed!AE:AE, "L", Barrierenmessung_reviewed!AH:AH, "FALSE")</f>
        <v>0</v>
      </c>
      <c r="D71">
        <f>COUNTIFS(Barrierenmessung_reviewed!U:U, "bollard", Barrierenmessung_reviewed!AE:AE, "L", Barrierenmessung_reviewed!AH:AH, "FALSE")</f>
        <v>1</v>
      </c>
      <c r="E71">
        <f>COUNTIFS(Barrierenmessung_reviewed!U:U, "kerb", Barrierenmessung_reviewed!AE:AE, "L", Barrierenmessung_reviewed!AH:AH, "FALSE")</f>
        <v>0</v>
      </c>
      <c r="F71">
        <f>COUNTIFS(Barrierenmessung_reviewed!U:U, "stair", Barrierenmessung_reviewed!AE:AE, "L", Barrierenmessung_reviewed!AH:AH, "FALSE")</f>
        <v>1</v>
      </c>
      <c r="G71">
        <f>COUNTIFS(Barrierenmessung_reviewed!U:U, "other", Barrierenmessung_reviewed!AE:AE, "L", Barrierenmessung_reviewed!AH:AH, "FALSE")</f>
        <v>0</v>
      </c>
      <c r="H71">
        <f>COUNTIFS(Barrierenmessung_reviewed!U:U, "cycle_barrier", Barrierenmessung_reviewed!AE:AE, "L", Barrierenmessung_reviewed!AH:AH, "FALSE")</f>
        <v>0</v>
      </c>
      <c r="I71">
        <f>COUNTIFS(Barrierenmessung_reviewed!U:U, "block", Barrierenmessung_reviewed!AE:AE, "L", Barrierenmessung_reviewed!AH:AH, "FALSE")</f>
        <v>1</v>
      </c>
      <c r="J71">
        <f>COUNTIFS(Barrierenmessung_reviewed!U:U, "planter", Barrierenmessung_reviewed!AE:AE, "L", Barrierenmessung_reviewed!AH:AH, "FALSE")</f>
        <v>0</v>
      </c>
      <c r="K71">
        <f>COUNTIFS(Barrierenmessung_reviewed!U:U, "problematic_way", Barrierenmessung_reviewed!AE:AE, "L", Barrierenmessung_reviewed!AH:AH, "FALSE")</f>
        <v>14</v>
      </c>
      <c r="L71">
        <f>COUNTIFS(Barrierenmessung_reviewed!U:U, "cross_drain", Barrierenmessung_reviewed!AE:AE, "L", Barrierenmessung_reviewed!AH:AH, "FALSE")</f>
        <v>0</v>
      </c>
    </row>
    <row r="72" spans="1:12" x14ac:dyDescent="0.2">
      <c r="A72" t="s">
        <v>3248</v>
      </c>
      <c r="B72">
        <f t="shared" si="4"/>
        <v>78</v>
      </c>
      <c r="C72">
        <f>COUNTIFS(Barrierenmessung_reviewed!U:U, "gate", Barrierenmessung_reviewed!AE:AE, "M", Barrierenmessung_reviewed!AH:AH, "FALSE")</f>
        <v>0</v>
      </c>
      <c r="D72">
        <f>COUNTIFS(Barrierenmessung_reviewed!U:U, "bollard", Barrierenmessung_reviewed!AE:AE, "M", Barrierenmessung_reviewed!AH:AH, "FALSE")</f>
        <v>0</v>
      </c>
      <c r="E72">
        <f>COUNTIFS(Barrierenmessung_reviewed!U:U, "kerb", Barrierenmessung_reviewed!AE:AE, "M", Barrierenmessung_reviewed!AH:AH, "FALSE")</f>
        <v>10</v>
      </c>
      <c r="F72">
        <f>COUNTIFS(Barrierenmessung_reviewed!U:U, "stair", Barrierenmessung_reviewed!AE:AE, "M", Barrierenmessung_reviewed!AH:AH, "FALSE")</f>
        <v>17</v>
      </c>
      <c r="G72">
        <f>COUNTIFS(Barrierenmessung_reviewed!U:U, "other", Barrierenmessung_reviewed!AE:AE, "M", Barrierenmessung_reviewed!AH:AH, "FALSE")</f>
        <v>5</v>
      </c>
      <c r="H72">
        <f>COUNTIFS(Barrierenmessung_reviewed!U:U, "cycle_barrier", Barrierenmessung_reviewed!AE:AE, "M", Barrierenmessung_reviewed!AH:AH, "FALSE")</f>
        <v>0</v>
      </c>
      <c r="I72">
        <f>COUNTIFS(Barrierenmessung_reviewed!U:U, "block", Barrierenmessung_reviewed!AE:AE, "M", Barrierenmessung_reviewed!AH:AH, "FALSE")</f>
        <v>3</v>
      </c>
      <c r="J72">
        <f>COUNTIFS(Barrierenmessung_reviewed!U:U, "planter", Barrierenmessung_reviewed!AE:AE, "M", Barrierenmessung_reviewed!AH:AH, "FALSE")</f>
        <v>0</v>
      </c>
      <c r="K72">
        <f>COUNTIFS(Barrierenmessung_reviewed!U:U, "problematic_way", Barrierenmessung_reviewed!AE:AE, "M", Barrierenmessung_reviewed!AH:AH, "FALSE")</f>
        <v>22</v>
      </c>
      <c r="L72">
        <f>COUNTIFS(Barrierenmessung_reviewed!U:U, "cross_drain", Barrierenmessung_reviewed!AE:AE, "M", Barrierenmessung_reviewed!AH:AH, "FALSE")</f>
        <v>21</v>
      </c>
    </row>
    <row r="73" spans="1:12" x14ac:dyDescent="0.2">
      <c r="A73" t="s">
        <v>2650</v>
      </c>
      <c r="B73">
        <f t="shared" si="4"/>
        <v>55</v>
      </c>
      <c r="C73">
        <f>COUNTIFS(Barrierenmessung_reviewed!U:U, "gate", Barrierenmessung_reviewed!AE:AE, "N", Barrierenmessung_reviewed!AH:AH, "FALSE")</f>
        <v>0</v>
      </c>
      <c r="D73">
        <f>COUNTIFS(Barrierenmessung_reviewed!U:U, "bollard", Barrierenmessung_reviewed!AE:AE, "N", Barrierenmessung_reviewed!AH:AH, "FALSE")</f>
        <v>0</v>
      </c>
      <c r="E73">
        <f>COUNTIFS(Barrierenmessung_reviewed!U:U, "kerb", Barrierenmessung_reviewed!AE:AE, "N", Barrierenmessung_reviewed!AH:AH, "FALSE")</f>
        <v>6</v>
      </c>
      <c r="F73">
        <f>COUNTIFS(Barrierenmessung_reviewed!U:U, "stair", Barrierenmessung_reviewed!AE:AE, "N", Barrierenmessung_reviewed!AH:AH, "FALSE")</f>
        <v>9</v>
      </c>
      <c r="G73">
        <f>COUNTIFS(Barrierenmessung_reviewed!U:U, "other", Barrierenmessung_reviewed!AE:AE, "N", Barrierenmessung_reviewed!AH:AH, "FALSE")</f>
        <v>1</v>
      </c>
      <c r="H73">
        <f>COUNTIFS(Barrierenmessung_reviewed!U:U, "cycle_barrier", Barrierenmessung_reviewed!AE:AE, "N", Barrierenmessung_reviewed!AH:AH, "FALSE")</f>
        <v>0</v>
      </c>
      <c r="I73">
        <f>COUNTIFS(Barrierenmessung_reviewed!U:U, "block", Barrierenmessung_reviewed!AE:AE, "N", Barrierenmessung_reviewed!AH:AH, "FALSE")</f>
        <v>2</v>
      </c>
      <c r="J73">
        <f>COUNTIFS(Barrierenmessung_reviewed!U:U, "planter", Barrierenmessung_reviewed!AE:AE, "N", Barrierenmessung_reviewed!AH:AH, "FALSE")</f>
        <v>0</v>
      </c>
      <c r="K73">
        <f>COUNTIFS(Barrierenmessung_reviewed!U:U, "problematic_way", Barrierenmessung_reviewed!AE:AE, "N", Barrierenmessung_reviewed!AH:AH, "FALSE")</f>
        <v>37</v>
      </c>
      <c r="L73">
        <f>COUNTIFS(Barrierenmessung_reviewed!U:U, "cross_drain", Barrierenmessung_reviewed!AE:AE, "N", Barrierenmessung_reviewed!AH:AH, "FALSE")</f>
        <v>0</v>
      </c>
    </row>
    <row r="74" spans="1:12" x14ac:dyDescent="0.2">
      <c r="A74" t="s">
        <v>1826</v>
      </c>
      <c r="B74">
        <f t="shared" si="4"/>
        <v>36</v>
      </c>
      <c r="C74">
        <f>COUNTIFS(Barrierenmessung_reviewed!U:U, "gate", Barrierenmessung_reviewed!AE:AE, "O", Barrierenmessung_reviewed!AH:AH, "FALSE")</f>
        <v>0</v>
      </c>
      <c r="D74">
        <f>COUNTIFS(Barrierenmessung_reviewed!U:U, "bollard", Barrierenmessung_reviewed!AE:AE, "O", Barrierenmessung_reviewed!AH:AH, "FALSE")</f>
        <v>0</v>
      </c>
      <c r="E74">
        <f>COUNTIFS(Barrierenmessung_reviewed!U:U, "kerb", Barrierenmessung_reviewed!AE:AE, "O", Barrierenmessung_reviewed!AH:AH, "FALSE")</f>
        <v>1</v>
      </c>
      <c r="F74">
        <f>COUNTIFS(Barrierenmessung_reviewed!U:U, "stair", Barrierenmessung_reviewed!AE:AE, "O", Barrierenmessung_reviewed!AH:AH, "FALSE")</f>
        <v>18</v>
      </c>
      <c r="G74">
        <f>COUNTIFS(Barrierenmessung_reviewed!U:U, "other", Barrierenmessung_reviewed!AE:AE, "O", Barrierenmessung_reviewed!AH:AH, "FALSE")</f>
        <v>1</v>
      </c>
      <c r="H74">
        <f>COUNTIFS(Barrierenmessung_reviewed!U:U, "cycle_barrier", Barrierenmessung_reviewed!AE:AE, "O", Barrierenmessung_reviewed!AH:AH, "FALSE")</f>
        <v>0</v>
      </c>
      <c r="I74">
        <f>COUNTIFS(Barrierenmessung_reviewed!U:U, "block", Barrierenmessung_reviewed!AE:AE, "O", Barrierenmessung_reviewed!AH:AH, "FALSE")</f>
        <v>0</v>
      </c>
      <c r="J74">
        <f>COUNTIFS(Barrierenmessung_reviewed!U:U, "planter", Barrierenmessung_reviewed!AE:AE, "O", Barrierenmessung_reviewed!AH:AH, "FALSE")</f>
        <v>0</v>
      </c>
      <c r="K74">
        <f>COUNTIFS(Barrierenmessung_reviewed!U:U, "problematic_way", Barrierenmessung_reviewed!AE:AE, "O", Barrierenmessung_reviewed!AH:AH, "FALSE")</f>
        <v>12</v>
      </c>
      <c r="L74">
        <f>COUNTIFS(Barrierenmessung_reviewed!U:U, "cross_drain", Barrierenmessung_reviewed!AE:AE, "O", Barrierenmessung_reviewed!AH:AH, "FALSE")</f>
        <v>4</v>
      </c>
    </row>
    <row r="75" spans="1:12" x14ac:dyDescent="0.2">
      <c r="A75" t="s">
        <v>688</v>
      </c>
      <c r="B75">
        <f t="shared" si="4"/>
        <v>38</v>
      </c>
      <c r="C75">
        <f>COUNTIFS(Barrierenmessung_reviewed!U:U, "gate", Barrierenmessung_reviewed!AE:AE, "P", Barrierenmessung_reviewed!AH:AH, "FALSE")</f>
        <v>0</v>
      </c>
      <c r="D75">
        <f>COUNTIFS(Barrierenmessung_reviewed!U:U, "bollard", Barrierenmessung_reviewed!AE:AE, "P", Barrierenmessung_reviewed!AH:AH, "FALSE")</f>
        <v>0</v>
      </c>
      <c r="E75">
        <f>COUNTIFS(Barrierenmessung_reviewed!U:U, "kerb", Barrierenmessung_reviewed!AE:AE, "P", Barrierenmessung_reviewed!AH:AH, "FALSE")</f>
        <v>1</v>
      </c>
      <c r="F75">
        <f>COUNTIFS(Barrierenmessung_reviewed!U:U, "stair", Barrierenmessung_reviewed!AE:AE, "P", Barrierenmessung_reviewed!AH:AH, "FALSE")</f>
        <v>5</v>
      </c>
      <c r="G75">
        <f>COUNTIFS(Barrierenmessung_reviewed!U:U, "other", Barrierenmessung_reviewed!AE:AE, "P", Barrierenmessung_reviewed!AH:AH, "FALSE")</f>
        <v>0</v>
      </c>
      <c r="H75">
        <f>COUNTIFS(Barrierenmessung_reviewed!U:U, "cycle_barrier", Barrierenmessung_reviewed!AE:AE, "P", Barrierenmessung_reviewed!AH:AH, "FALSE")</f>
        <v>0</v>
      </c>
      <c r="I75">
        <f>COUNTIFS(Barrierenmessung_reviewed!U:U, "block", Barrierenmessung_reviewed!AE:AE, "P", Barrierenmessung_reviewed!AH:AH, "FALSE")</f>
        <v>1</v>
      </c>
      <c r="J75">
        <f>COUNTIFS(Barrierenmessung_reviewed!U:U, "planter", Barrierenmessung_reviewed!AE:AE, "P", Barrierenmessung_reviewed!AH:AH, "FALSE")</f>
        <v>0</v>
      </c>
      <c r="K75">
        <f>COUNTIFS(Barrierenmessung_reviewed!U:U, "problematic_way", Barrierenmessung_reviewed!AE:AE, "P", Barrierenmessung_reviewed!AH:AH, "FALSE")</f>
        <v>26</v>
      </c>
      <c r="L75">
        <f>COUNTIFS(Barrierenmessung_reviewed!U:U, "cross_drain", Barrierenmessung_reviewed!AE:AE, "P", Barrierenmessung_reviewed!AH:AH, "FALSE")</f>
        <v>5</v>
      </c>
    </row>
    <row r="77" spans="1:12" x14ac:dyDescent="0.2">
      <c r="A77" s="36" t="s">
        <v>3757</v>
      </c>
      <c r="B77" s="34">
        <f t="shared" ref="B77:L77" si="5">SUM(B60:B75)</f>
        <v>1075</v>
      </c>
      <c r="C77" s="34">
        <f t="shared" si="5"/>
        <v>2</v>
      </c>
      <c r="D77" s="34">
        <f t="shared" si="5"/>
        <v>6</v>
      </c>
      <c r="E77" s="34">
        <f t="shared" si="5"/>
        <v>82</v>
      </c>
      <c r="F77" s="34">
        <f t="shared" si="5"/>
        <v>221</v>
      </c>
      <c r="G77" s="34">
        <f t="shared" si="5"/>
        <v>21</v>
      </c>
      <c r="H77" s="34">
        <f t="shared" si="5"/>
        <v>2</v>
      </c>
      <c r="I77" s="34">
        <f t="shared" si="5"/>
        <v>49</v>
      </c>
      <c r="J77" s="34">
        <f t="shared" si="5"/>
        <v>1</v>
      </c>
      <c r="K77" s="34">
        <f t="shared" si="5"/>
        <v>563</v>
      </c>
      <c r="L77" s="34">
        <f t="shared" si="5"/>
        <v>128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A2CE-A47F-0C40-A7CE-21D104545074}">
  <dimension ref="A1:Z57"/>
  <sheetViews>
    <sheetView topLeftCell="M1" zoomScale="125" zoomScaleNormal="63" workbookViewId="0">
      <selection activeCell="T13" sqref="T13"/>
    </sheetView>
  </sheetViews>
  <sheetFormatPr baseColWidth="10" defaultColWidth="11.5" defaultRowHeight="15" x14ac:dyDescent="0.2"/>
  <cols>
    <col min="1" max="1" width="14.33203125" bestFit="1" customWidth="1"/>
    <col min="2" max="2" width="8.1640625" bestFit="1" customWidth="1"/>
    <col min="3" max="3" width="15.1640625" bestFit="1" customWidth="1"/>
    <col min="4" max="4" width="13" bestFit="1" customWidth="1"/>
    <col min="5" max="6" width="10.5" customWidth="1"/>
    <col min="7" max="7" width="20.83203125" customWidth="1"/>
    <col min="8" max="8" width="14.33203125" bestFit="1" customWidth="1"/>
    <col min="9" max="9" width="10" customWidth="1"/>
    <col min="10" max="10" width="15.1640625" bestFit="1" customWidth="1"/>
    <col min="11" max="11" width="13" bestFit="1" customWidth="1"/>
    <col min="12" max="13" width="9.83203125" customWidth="1"/>
    <col min="14" max="14" width="20.5" style="49" customWidth="1"/>
    <col min="15" max="15" width="16.5" customWidth="1"/>
    <col min="16" max="16" width="13.5" customWidth="1"/>
    <col min="18" max="18" width="13.83203125" customWidth="1"/>
    <col min="19" max="19" width="20" customWidth="1"/>
    <col min="20" max="20" width="21.1640625" customWidth="1"/>
    <col min="21" max="21" width="28.33203125" customWidth="1"/>
    <col min="22" max="22" width="16.1640625" customWidth="1"/>
    <col min="24" max="24" width="19.6640625" customWidth="1"/>
  </cols>
  <sheetData>
    <row r="1" spans="1:26" x14ac:dyDescent="0.2">
      <c r="A1" t="s">
        <v>3761</v>
      </c>
      <c r="B1" t="s">
        <v>3762</v>
      </c>
      <c r="C1" t="s">
        <v>3763</v>
      </c>
      <c r="D1" t="s">
        <v>3764</v>
      </c>
      <c r="G1" s="49" t="s">
        <v>9411</v>
      </c>
      <c r="H1" t="s">
        <v>3761</v>
      </c>
      <c r="I1" t="s">
        <v>3762</v>
      </c>
      <c r="J1" t="s">
        <v>3763</v>
      </c>
      <c r="K1" t="s">
        <v>3764</v>
      </c>
      <c r="N1" s="49" t="s">
        <v>9457</v>
      </c>
      <c r="O1" t="s">
        <v>3761</v>
      </c>
      <c r="P1" t="s">
        <v>3762</v>
      </c>
      <c r="Q1" t="s">
        <v>3763</v>
      </c>
      <c r="R1" t="s">
        <v>3764</v>
      </c>
      <c r="S1" t="s">
        <v>10882</v>
      </c>
      <c r="T1" s="337" t="s">
        <v>11967</v>
      </c>
      <c r="V1" t="s">
        <v>9424</v>
      </c>
      <c r="W1" t="s">
        <v>3761</v>
      </c>
      <c r="X1" t="s">
        <v>9416</v>
      </c>
      <c r="Y1" t="s">
        <v>10882</v>
      </c>
      <c r="Z1" t="s">
        <v>9419</v>
      </c>
    </row>
    <row r="2" spans="1:26" x14ac:dyDescent="0.2">
      <c r="A2" t="s">
        <v>2381</v>
      </c>
      <c r="B2" s="7">
        <f>SUMIF(Barrierenmessung!U:U, "gate", Barrierenmessung!R:R)</f>
        <v>2.5367129637743346E-3</v>
      </c>
      <c r="C2">
        <f>COUNTIF(Barrierenmessung!U:U, "gate")</f>
        <v>2</v>
      </c>
      <c r="D2" s="7">
        <f>B2/C2</f>
        <v>1.2683564818871673E-3</v>
      </c>
      <c r="G2" s="49" t="s">
        <v>10883</v>
      </c>
      <c r="H2" t="s">
        <v>2381</v>
      </c>
      <c r="I2" s="7">
        <f>SUMIFS(Barrierenmessung!R:R, Barrierenmessung!U:U, "gate", Barrierenmessung!AH:AH, "FALSE")</f>
        <v>2.5367129637743346E-3</v>
      </c>
      <c r="J2">
        <f>COUNTIFS(Barrierenmessung!U:U, "gate", Barrierenmessung!AH:AH, "FALSE")</f>
        <v>2</v>
      </c>
      <c r="K2" s="7">
        <f>I2/J2</f>
        <v>1.2683564818871673E-3</v>
      </c>
      <c r="N2" s="49" t="s">
        <v>10883</v>
      </c>
      <c r="O2" t="s">
        <v>2381</v>
      </c>
      <c r="P2" s="7">
        <f>SUMIFS(Barrierenmessung!Q:Q, Barrierenmessung!U:U, "gate", Barrierenmessung!AH:AH, "FALSE")</f>
        <v>7.2026620910037309E-4</v>
      </c>
      <c r="Q2">
        <f>COUNTIFS(Barrierenmessung!U:U, "gate", Barrierenmessung!AH:AH, "FALSE")</f>
        <v>2</v>
      </c>
      <c r="R2" s="7">
        <f t="shared" ref="R2:R11" si="0">P2/Q2</f>
        <v>3.6013310455018654E-4</v>
      </c>
      <c r="S2" s="7">
        <f t="shared" ref="S2:S11" si="1">0.1*R2</f>
        <v>3.6013310455018656E-5</v>
      </c>
      <c r="T2" s="7">
        <f>MEDIAN([1]Barrierenmessung_reviewed!Q2:Q3)</f>
        <v>3.5879629629629629E-4</v>
      </c>
      <c r="V2" t="s">
        <v>9415</v>
      </c>
      <c r="W2" t="s">
        <v>2381</v>
      </c>
      <c r="X2" s="42">
        <v>5.4398148148148144E-4</v>
      </c>
      <c r="Y2" s="7">
        <f t="shared" ref="Y2:Y11" si="2">0.1*X2</f>
        <v>5.4398148148148144E-5</v>
      </c>
    </row>
    <row r="3" spans="1:26" x14ac:dyDescent="0.2">
      <c r="A3" t="s">
        <v>101</v>
      </c>
      <c r="B3" s="7">
        <f>SUMIF(Barrierenmessung!U:U, "bollard", Barrierenmessung!R:R)</f>
        <v>1.4587430559913628E-2</v>
      </c>
      <c r="C3">
        <f>COUNTIF(Barrierenmessung!U:U, "bollard")</f>
        <v>6</v>
      </c>
      <c r="D3" s="7">
        <f t="shared" ref="D3:D11" si="3">B3/C3</f>
        <v>2.4312384266522713E-3</v>
      </c>
      <c r="H3" t="s">
        <v>101</v>
      </c>
      <c r="I3" s="7">
        <f>SUMIFS(Barrierenmessung!R:R, Barrierenmessung!U:U, "bollard", Barrierenmessung!AH:AH, "FALSE")</f>
        <v>1.4587430559913628E-2</v>
      </c>
      <c r="J3">
        <f>COUNTIFS(Barrierenmessung!U:U, "bollard", Barrierenmessung!AH:AH, "FALSE")</f>
        <v>6</v>
      </c>
      <c r="K3" s="7">
        <f t="shared" ref="K3:K11" si="4">I3/J3</f>
        <v>2.4312384266522713E-3</v>
      </c>
      <c r="O3" t="s">
        <v>101</v>
      </c>
      <c r="P3" s="7">
        <f>SUMIFS(Barrierenmessung!Q:Q, Barrierenmessung!U:U, "bollard", Barrierenmessung!AH:AH, "FALSE")</f>
        <v>4.5059722106088884E-3</v>
      </c>
      <c r="Q3">
        <f>COUNTIFS(Barrierenmessung!U:U, "bollard", Barrierenmessung!AH:AH, "FALSE")</f>
        <v>6</v>
      </c>
      <c r="R3" s="7">
        <f t="shared" si="0"/>
        <v>7.5099536843481474E-4</v>
      </c>
      <c r="S3" s="7">
        <f t="shared" si="1"/>
        <v>7.5099536843481474E-5</v>
      </c>
      <c r="T3" s="7">
        <f>MEDIAN([1]Barrierenmessung_reviewed!Q4:Q9)</f>
        <v>6.9030671147629619E-4</v>
      </c>
      <c r="W3" t="s">
        <v>101</v>
      </c>
      <c r="X3" s="42">
        <v>4.5138888888888892E-4</v>
      </c>
      <c r="Y3" s="7">
        <f t="shared" si="2"/>
        <v>4.5138888888888894E-5</v>
      </c>
    </row>
    <row r="4" spans="1:26" x14ac:dyDescent="0.2">
      <c r="A4" t="s">
        <v>266</v>
      </c>
      <c r="B4" s="7">
        <f>SUMIF(Barrierenmessung!U:U, "kerb", Barrierenmessung!R:R)</f>
        <v>9.2488831047376152E-2</v>
      </c>
      <c r="C4">
        <f>COUNTIF(Barrierenmessung!U:U, "kerb")</f>
        <v>91</v>
      </c>
      <c r="D4" s="7">
        <f t="shared" si="3"/>
        <v>1.0163607807403973E-3</v>
      </c>
      <c r="H4" t="s">
        <v>266</v>
      </c>
      <c r="I4" s="7">
        <f>SUMIFS(Barrierenmessung!R:R, Barrierenmessung!U:U, "kerb", Barrierenmessung!AH:AH, "FALSE")</f>
        <v>9.03579745645402E-2</v>
      </c>
      <c r="J4">
        <f>COUNTIFS(Barrierenmessung!U:U, "kerb", Barrierenmessung!AH:AH, "FALSE")</f>
        <v>89</v>
      </c>
      <c r="K4" s="7">
        <f t="shared" si="4"/>
        <v>1.0152581411746089E-3</v>
      </c>
      <c r="O4" t="s">
        <v>266</v>
      </c>
      <c r="P4" s="7">
        <f>SUMIFS(Barrierenmessung!Q:Q, Barrierenmessung!U:U, "kerb", Barrierenmessung!AH:AH, "FALSE")</f>
        <v>3.3453518553869799E-2</v>
      </c>
      <c r="Q4">
        <f>COUNTIFS(Barrierenmessung!U:U, "kerb", Barrierenmessung!AH:AH, "FALSE")</f>
        <v>89</v>
      </c>
      <c r="R4" s="7">
        <f t="shared" si="0"/>
        <v>3.7588223094235727E-4</v>
      </c>
      <c r="S4" s="7">
        <f t="shared" si="1"/>
        <v>3.7588223094235732E-5</v>
      </c>
      <c r="T4" s="7">
        <f>MEDIAN([1]Barrierenmessung_reviewed!Q10:Q98)</f>
        <v>2.9135416843928397E-4</v>
      </c>
      <c r="W4" t="s">
        <v>266</v>
      </c>
      <c r="X4" s="42">
        <v>4.1666666666666669E-4</v>
      </c>
      <c r="Y4" s="7">
        <f t="shared" si="2"/>
        <v>4.1666666666666672E-5</v>
      </c>
    </row>
    <row r="5" spans="1:26" x14ac:dyDescent="0.2">
      <c r="A5" t="s">
        <v>55</v>
      </c>
      <c r="B5" s="7">
        <f>SUMIF(Barrierenmessung!U:U, "stair", Barrierenmessung!R:R)</f>
        <v>0.36159346064232523</v>
      </c>
      <c r="C5">
        <f>COUNTIF(Barrierenmessung!U:U, "stair")</f>
        <v>242</v>
      </c>
      <c r="D5" s="7">
        <f t="shared" si="3"/>
        <v>1.4941878538939058E-3</v>
      </c>
      <c r="H5" t="s">
        <v>55</v>
      </c>
      <c r="I5" s="7">
        <f>SUMIFS(Barrierenmessung!R:R, Barrierenmessung!U:U, "stair", Barrierenmessung!AH:AH, "FALSE")</f>
        <v>0.34594673610990867</v>
      </c>
      <c r="J5">
        <f>COUNTIFS(Barrierenmessung!U:U, "stair", Barrierenmessung!AH:AH, "FALSE")</f>
        <v>237</v>
      </c>
      <c r="K5" s="7">
        <f t="shared" si="4"/>
        <v>1.4596908696620618E-3</v>
      </c>
      <c r="O5" t="s">
        <v>55</v>
      </c>
      <c r="P5" s="7">
        <f>SUMIFS(Barrierenmessung!Q:Q, Barrierenmessung!U:U, "stair", Barrierenmessung!AH:AH, "FALSE")</f>
        <v>0.10515785883035278</v>
      </c>
      <c r="Q5">
        <f>COUNTIFS(Barrierenmessung!U:U, "stair", Barrierenmessung!AH:AH, "FALSE")</f>
        <v>237</v>
      </c>
      <c r="R5" s="7">
        <f t="shared" si="0"/>
        <v>4.4370404569769103E-4</v>
      </c>
      <c r="S5" s="7">
        <f t="shared" si="1"/>
        <v>4.4370404569769108E-5</v>
      </c>
      <c r="T5" s="7">
        <f>MEDIAN([1]Barrierenmessung_reviewed!Q99:Q335)</f>
        <v>3.6903935688314959E-4</v>
      </c>
      <c r="W5" t="s">
        <v>55</v>
      </c>
      <c r="X5" s="42">
        <v>4.5138888888888892E-4</v>
      </c>
      <c r="Y5" s="7">
        <f t="shared" si="2"/>
        <v>4.5138888888888894E-5</v>
      </c>
      <c r="Z5" t="s">
        <v>9418</v>
      </c>
    </row>
    <row r="6" spans="1:26" x14ac:dyDescent="0.2">
      <c r="A6" t="s">
        <v>417</v>
      </c>
      <c r="B6" s="7">
        <f>SUMIF(Barrierenmessung!U:U, "other", Barrierenmessung!R:R)</f>
        <v>3.8058553203882184E-2</v>
      </c>
      <c r="C6">
        <f>COUNTIF(Barrierenmessung!U:U, "other")</f>
        <v>24</v>
      </c>
      <c r="D6" s="7">
        <f t="shared" si="3"/>
        <v>1.5857730501617577E-3</v>
      </c>
      <c r="H6" t="s">
        <v>417</v>
      </c>
      <c r="I6" s="7">
        <f>SUMIFS(Barrierenmessung!R:R, Barrierenmessung!U:U, "other", Barrierenmessung!AH:AH, "FALSE")</f>
        <v>3.8058553203882184E-2</v>
      </c>
      <c r="J6">
        <f>COUNTIFS(Barrierenmessung!U:U, "other", Barrierenmessung!AH:AH, "FALSE")</f>
        <v>24</v>
      </c>
      <c r="K6" s="7">
        <f t="shared" si="4"/>
        <v>1.5857730501617577E-3</v>
      </c>
      <c r="O6" t="s">
        <v>417</v>
      </c>
      <c r="P6" s="7">
        <f>SUMIFS(Barrierenmessung!Q:Q, Barrierenmessung!U:U, "other", Barrierenmessung!AH:AH, "FALSE")</f>
        <v>1.2370844888209831E-2</v>
      </c>
      <c r="Q6">
        <f>COUNTIFS(Barrierenmessung!U:U, "other", Barrierenmessung!AH:AH, "FALSE")</f>
        <v>24</v>
      </c>
      <c r="R6" s="7">
        <f t="shared" si="0"/>
        <v>5.1545187034207629E-4</v>
      </c>
      <c r="S6" s="7">
        <f t="shared" si="1"/>
        <v>5.1545187034207629E-5</v>
      </c>
      <c r="T6" s="7">
        <f>MEDIAN([1]Barrierenmessung_reviewed!Q336:Q359)</f>
        <v>4.0956597149488516E-4</v>
      </c>
      <c r="W6" t="s">
        <v>417</v>
      </c>
      <c r="X6" s="42">
        <v>4.9768518518518521E-4</v>
      </c>
      <c r="Y6" s="7">
        <f t="shared" si="2"/>
        <v>4.9768518518518522E-5</v>
      </c>
      <c r="Z6" t="s">
        <v>9417</v>
      </c>
    </row>
    <row r="7" spans="1:26" x14ac:dyDescent="0.2">
      <c r="A7" t="s">
        <v>2006</v>
      </c>
      <c r="B7" s="7">
        <f>SUMIF(Barrierenmessung!U:U, "cycle_barrier", Barrierenmessung!R:R)</f>
        <v>2.7256018584012054E-3</v>
      </c>
      <c r="C7">
        <f>COUNTIF(Barrierenmessung!U:U, "cycle_barrier")</f>
        <v>2</v>
      </c>
      <c r="D7" s="7">
        <f t="shared" si="3"/>
        <v>1.3628009292006027E-3</v>
      </c>
      <c r="H7" t="s">
        <v>2006</v>
      </c>
      <c r="I7" s="7">
        <f>SUMIFS(Barrierenmessung!R:R, Barrierenmessung!U:U, "cycle_barrier", Barrierenmessung!AH:AH, "FALSE")</f>
        <v>2.7256018584012054E-3</v>
      </c>
      <c r="J7">
        <f>COUNTIFS(Barrierenmessung!U:U, "cycle_barrier", Barrierenmessung!AH:AH, "FALSE")</f>
        <v>2</v>
      </c>
      <c r="K7" s="7">
        <f t="shared" si="4"/>
        <v>1.3628009292006027E-3</v>
      </c>
      <c r="O7" t="s">
        <v>2006</v>
      </c>
      <c r="P7" s="7">
        <f>SUMIFS(Barrierenmessung!Q:Q, Barrierenmessung!U:U, "cycle_barrier", Barrierenmessung!AH:AH, "FALSE")</f>
        <v>1.8537384239607491E-3</v>
      </c>
      <c r="Q7">
        <f>COUNTIFS(Barrierenmessung!U:U, "cycle_barrier", Barrierenmessung!AH:AH, "FALSE")</f>
        <v>2</v>
      </c>
      <c r="R7" s="7">
        <f t="shared" si="0"/>
        <v>9.2686921198037453E-4</v>
      </c>
      <c r="S7" s="7">
        <f t="shared" si="1"/>
        <v>9.2686921198037461E-5</v>
      </c>
      <c r="T7" s="7">
        <f>MEDIAN([1]Barrierenmessung_reviewed!Q360:Q361)</f>
        <v>9.2592592592592585E-4</v>
      </c>
      <c r="W7" t="s">
        <v>2006</v>
      </c>
      <c r="X7" s="42">
        <v>4.1666666666666669E-4</v>
      </c>
      <c r="Y7" s="7">
        <f t="shared" si="2"/>
        <v>4.1666666666666672E-5</v>
      </c>
    </row>
    <row r="8" spans="1:26" x14ac:dyDescent="0.2">
      <c r="A8" t="s">
        <v>110</v>
      </c>
      <c r="B8" s="7">
        <f>SUMIF(Barrierenmessung!U:U, "block", Barrierenmessung!R:R)</f>
        <v>9.8713761573890224E-2</v>
      </c>
      <c r="C8">
        <f>COUNTIF(Barrierenmessung!U:U, "block")</f>
        <v>50</v>
      </c>
      <c r="D8" s="7">
        <f t="shared" si="3"/>
        <v>1.9742752314778045E-3</v>
      </c>
      <c r="H8" t="s">
        <v>110</v>
      </c>
      <c r="I8" s="7">
        <f>SUMIFS(Barrierenmessung!R:R, Barrierenmessung!U:U, "block", Barrierenmessung!AH:AH, "FALSE")</f>
        <v>9.8713761573890224E-2</v>
      </c>
      <c r="J8">
        <f>COUNTIFS(Barrierenmessung!U:U, "block", Barrierenmessung!AH:AH, "FALSE")</f>
        <v>50</v>
      </c>
      <c r="K8" s="7">
        <f t="shared" si="4"/>
        <v>1.9742752314778045E-3</v>
      </c>
      <c r="O8" t="s">
        <v>110</v>
      </c>
      <c r="P8" s="7">
        <f>SUMIFS(Barrierenmessung!Q:Q, Barrierenmessung!U:U, "block", Barrierenmessung!AH:AH, "FALSE")</f>
        <v>2.1752615743025672E-2</v>
      </c>
      <c r="Q8">
        <f>COUNTIFS(Barrierenmessung!U:U, "block", Barrierenmessung!AH:AH, "FALSE")</f>
        <v>50</v>
      </c>
      <c r="R8" s="7">
        <f t="shared" si="0"/>
        <v>4.3505231486051343E-4</v>
      </c>
      <c r="S8" s="7">
        <f t="shared" si="1"/>
        <v>4.3505231486051347E-5</v>
      </c>
      <c r="T8" s="7">
        <f>MEDIAN([1]Barrierenmessung_reviewed!Q362:Q411)</f>
        <v>3.5908564677811228E-4</v>
      </c>
      <c r="W8" t="s">
        <v>110</v>
      </c>
      <c r="X8" s="42">
        <v>3.4722222222222224E-4</v>
      </c>
      <c r="Y8" s="7">
        <f t="shared" si="2"/>
        <v>3.4722222222222222E-5</v>
      </c>
      <c r="Z8" t="s">
        <v>9420</v>
      </c>
    </row>
    <row r="9" spans="1:26" x14ac:dyDescent="0.2">
      <c r="A9" t="s">
        <v>3158</v>
      </c>
      <c r="B9" s="7">
        <f>SUMIF(Barrierenmessung!U:U, "planter", Barrierenmessung!R:R)</f>
        <v>2.45112268748926E-3</v>
      </c>
      <c r="C9">
        <f>COUNTIF(Barrierenmessung!U:U, "planter")</f>
        <v>1</v>
      </c>
      <c r="D9" s="7">
        <f t="shared" si="3"/>
        <v>2.45112268748926E-3</v>
      </c>
      <c r="H9" t="s">
        <v>3158</v>
      </c>
      <c r="I9" s="7">
        <f>SUMIFS(Barrierenmessung!R:R, Barrierenmessung!U:U, "planter", Barrierenmessung!AH:AH, "FALSE")</f>
        <v>2.45112268748926E-3</v>
      </c>
      <c r="J9">
        <f>COUNTIFS(Barrierenmessung!U:U, "planter", Barrierenmessung!AH:AH, "FALSE")</f>
        <v>1</v>
      </c>
      <c r="K9" s="7">
        <f t="shared" si="4"/>
        <v>2.45112268748926E-3</v>
      </c>
      <c r="O9" t="s">
        <v>3158</v>
      </c>
      <c r="P9" s="7">
        <f>SUMIFS(Barrierenmessung!Q:Q, Barrierenmessung!U:U, "planter", Barrierenmessung!AH:AH, "FALSE")</f>
        <v>1.348692130704876E-3</v>
      </c>
      <c r="Q9">
        <f>COUNTIFS(Barrierenmessung!U:U, "planter", Barrierenmessung!AH:AH, "FALSE")</f>
        <v>1</v>
      </c>
      <c r="R9" s="7">
        <f t="shared" si="0"/>
        <v>1.348692130704876E-3</v>
      </c>
      <c r="S9" s="7">
        <f t="shared" si="1"/>
        <v>1.348692130704876E-4</v>
      </c>
      <c r="T9" s="7">
        <f>MEDIAN([1]Barrierenmessung_reviewed!Q412)</f>
        <v>1.3541666666666667E-3</v>
      </c>
      <c r="W9" t="s">
        <v>3158</v>
      </c>
      <c r="X9" s="42">
        <v>3.5879629629629635E-4</v>
      </c>
      <c r="Y9" s="7">
        <f t="shared" si="2"/>
        <v>3.5879629629629636E-5</v>
      </c>
    </row>
    <row r="10" spans="1:26" x14ac:dyDescent="0.2">
      <c r="A10" t="s">
        <v>37</v>
      </c>
      <c r="B10" s="7">
        <f>SUMIF(Barrierenmessung!U:U, "problematic_way", Barrierenmessung!R:R)</f>
        <v>0.96369914353999775</v>
      </c>
      <c r="C10">
        <f>COUNTIF(Barrierenmessung!U:U, "problematic_way")</f>
        <v>603</v>
      </c>
      <c r="D10" s="7">
        <f t="shared" si="3"/>
        <v>1.5981743673963479E-3</v>
      </c>
      <c r="H10" t="s">
        <v>37</v>
      </c>
      <c r="I10" s="7">
        <f>SUMIFS(Barrierenmessung!R:R, Barrierenmessung!U:U, "problematic_way", Barrierenmessung!AH:AH, "FALSE")</f>
        <v>0.95826451390166767</v>
      </c>
      <c r="J10">
        <f>COUNTIFS(Barrierenmessung!U:U, "problematic_way", Barrierenmessung!AH:AH, "FALSE")</f>
        <v>599</v>
      </c>
      <c r="K10" s="7">
        <f t="shared" si="4"/>
        <v>1.599773812857542E-3</v>
      </c>
      <c r="O10" t="s">
        <v>37</v>
      </c>
      <c r="P10" s="7">
        <f>SUMIFS(Barrierenmessung!Q:Q, Barrierenmessung!U:U, "problematic_way", Barrierenmessung!AH:AH, "FALSE")</f>
        <v>0.20059108796704095</v>
      </c>
      <c r="Q10">
        <f>COUNTIFS(Barrierenmessung!U:U, "problematic_way", Barrierenmessung!AH:AH, "FALSE")</f>
        <v>599</v>
      </c>
      <c r="R10" s="7">
        <f t="shared" si="0"/>
        <v>3.3487660762444231E-4</v>
      </c>
      <c r="S10" s="7">
        <f t="shared" si="1"/>
        <v>3.3487660762444231E-5</v>
      </c>
      <c r="T10" s="7">
        <f>MEDIAN([1]Barrierenmessung_reviewed!Q413:Q1006)</f>
        <v>2.6388888727524318E-4</v>
      </c>
      <c r="W10" t="s">
        <v>37</v>
      </c>
      <c r="X10" s="42">
        <v>5.7870370370370378E-4</v>
      </c>
      <c r="Y10" s="7">
        <f t="shared" si="2"/>
        <v>5.7870370370370379E-5</v>
      </c>
      <c r="Z10" t="s">
        <v>9421</v>
      </c>
    </row>
    <row r="11" spans="1:26" x14ac:dyDescent="0.2">
      <c r="A11" t="s">
        <v>125</v>
      </c>
      <c r="B11" s="7">
        <f>SUMIF(Barrierenmessung!U:U, "cross_drain", Barrierenmessung!R:R)</f>
        <v>0.19109685183502734</v>
      </c>
      <c r="C11">
        <f>COUNTIF(Barrierenmessung!U:U, "cross_drain")</f>
        <v>146</v>
      </c>
      <c r="D11" s="7">
        <f t="shared" si="3"/>
        <v>1.3088825468152558E-3</v>
      </c>
      <c r="H11" t="s">
        <v>125</v>
      </c>
      <c r="I11" s="7">
        <f>SUMIFS(Barrierenmessung!R:R, Barrierenmessung!U:U, "cross_drain", Barrierenmessung!AH:AH, "FALSE")</f>
        <v>0.19061057869839715</v>
      </c>
      <c r="J11">
        <f>COUNTIFS(Barrierenmessung!U:U, "cross_drain", Barrierenmessung!AH:AH, "FALSE")</f>
        <v>144</v>
      </c>
      <c r="K11" s="7">
        <f t="shared" si="4"/>
        <v>1.3236845742944246E-3</v>
      </c>
      <c r="O11" t="s">
        <v>125</v>
      </c>
      <c r="P11" s="7">
        <f>SUMIFS(Barrierenmessung!Q:Q, Barrierenmessung!U:U, "cross_drain", Barrierenmessung!AH:AH, "FALSE")</f>
        <v>4.7070081025594845E-2</v>
      </c>
      <c r="Q11">
        <f>COUNTIFS(Barrierenmessung!U:U, "cross_drain", Barrierenmessung!AH:AH, "FALSE")</f>
        <v>144</v>
      </c>
      <c r="R11" s="7">
        <f t="shared" si="0"/>
        <v>3.2687556267774198E-4</v>
      </c>
      <c r="S11" s="7">
        <f t="shared" si="1"/>
        <v>3.2687556267774201E-5</v>
      </c>
      <c r="T11" s="7">
        <f>MEDIAN([1]Barrierenmessung_reviewed!Q1007:Q1147)</f>
        <v>2.3215277906274423E-4</v>
      </c>
      <c r="W11" t="s">
        <v>125</v>
      </c>
      <c r="X11" s="42">
        <v>3.0092592592592595E-4</v>
      </c>
      <c r="Y11" s="7">
        <f t="shared" si="2"/>
        <v>3.0092592592592597E-5</v>
      </c>
      <c r="Z11" t="s">
        <v>9423</v>
      </c>
    </row>
    <row r="12" spans="1:26" ht="16" x14ac:dyDescent="0.2">
      <c r="A12" s="25"/>
      <c r="B12" s="25"/>
      <c r="C12" s="25"/>
      <c r="D12" s="50" t="s">
        <v>9455</v>
      </c>
      <c r="E12" s="49" t="s">
        <v>9456</v>
      </c>
      <c r="F12" s="49"/>
      <c r="H12" s="25"/>
      <c r="K12" s="49" t="s">
        <v>9455</v>
      </c>
      <c r="M12" s="49"/>
      <c r="O12" s="25"/>
      <c r="R12" s="49" t="s">
        <v>9455</v>
      </c>
      <c r="S12" s="49" t="s">
        <v>9455</v>
      </c>
      <c r="T12" s="49" t="s">
        <v>11968</v>
      </c>
      <c r="X12" s="49" t="s">
        <v>9455</v>
      </c>
      <c r="Y12" s="49" t="s">
        <v>9455</v>
      </c>
    </row>
    <row r="13" spans="1:26" ht="16" x14ac:dyDescent="0.2">
      <c r="A13" s="25" t="s">
        <v>3757</v>
      </c>
      <c r="B13" s="29">
        <f>SUM(B2:B11)</f>
        <v>1.7679514699120773</v>
      </c>
      <c r="C13" s="25">
        <f>SUM(C2:C11)</f>
        <v>1167</v>
      </c>
      <c r="D13" s="29">
        <f>B13/C13</f>
        <v>1.5149541301731596E-3</v>
      </c>
      <c r="E13" s="7">
        <f>MEDIAN(D2:D11)</f>
        <v>1.5399804520278317E-3</v>
      </c>
      <c r="F13" s="7"/>
      <c r="H13" s="25" t="s">
        <v>3757</v>
      </c>
      <c r="I13" s="10">
        <f>SUM(I2:I11)</f>
        <v>1.7442529861218645</v>
      </c>
      <c r="J13">
        <f>SUM(J2:J11)</f>
        <v>1154</v>
      </c>
      <c r="K13" s="10">
        <f>I13/J13</f>
        <v>1.5114843900536088E-3</v>
      </c>
      <c r="M13" s="7"/>
      <c r="O13" s="25"/>
      <c r="P13" s="10">
        <f>SUM(P2:P11)</f>
        <v>0.42882467598246876</v>
      </c>
      <c r="Q13">
        <f>SUM(Q2:Q11)</f>
        <v>1154</v>
      </c>
      <c r="R13" s="10">
        <f>P13/Q13</f>
        <v>3.7159850605066616E-4</v>
      </c>
      <c r="S13" s="7">
        <f>AVERAGE(S2:S11)</f>
        <v>5.8185324478150748E-5</v>
      </c>
      <c r="T13" s="7">
        <f>AVERAGE(T2:T11)</f>
        <v>5.2542824102986033E-4</v>
      </c>
      <c r="X13" s="42">
        <f>AVERAGE(X2:X11)</f>
        <v>4.3634259259259266E-4</v>
      </c>
      <c r="Y13" s="42">
        <f>AVERAGE(Y2:Y11)</f>
        <v>4.363425925925926E-5</v>
      </c>
    </row>
    <row r="14" spans="1:26" x14ac:dyDescent="0.2">
      <c r="A14" s="25"/>
      <c r="B14" s="25"/>
      <c r="C14" s="25"/>
      <c r="K14" s="49" t="s">
        <v>9456</v>
      </c>
      <c r="R14" s="49" t="s">
        <v>9456</v>
      </c>
      <c r="X14" s="49" t="s">
        <v>9456</v>
      </c>
    </row>
    <row r="15" spans="1:26" x14ac:dyDescent="0.2">
      <c r="A15" s="25"/>
      <c r="B15" s="25"/>
      <c r="C15" s="25"/>
      <c r="D15" s="25"/>
      <c r="K15" s="7">
        <f>MEDIAN(K2:K11)</f>
        <v>1.5227319599119098E-3</v>
      </c>
      <c r="R15" s="7">
        <f>MEDIAN(R2:R11)</f>
        <v>4.3937818027910223E-4</v>
      </c>
      <c r="X15" s="42">
        <f>MEDIAN(X2:X11)</f>
        <v>4.3402777777777781E-4</v>
      </c>
    </row>
    <row r="17" spans="1:4" x14ac:dyDescent="0.2">
      <c r="A17" s="25"/>
      <c r="B17" s="25"/>
      <c r="C17" s="25"/>
      <c r="D17" s="25"/>
    </row>
    <row r="18" spans="1:4" x14ac:dyDescent="0.2">
      <c r="A18" s="25"/>
      <c r="B18" s="25"/>
      <c r="C18" s="25"/>
      <c r="D18" s="25"/>
    </row>
    <row r="19" spans="1:4" ht="127" customHeight="1" x14ac:dyDescent="0.2">
      <c r="A19" s="547" t="s">
        <v>9422</v>
      </c>
      <c r="B19" s="547"/>
      <c r="C19" s="547"/>
      <c r="D19" s="25"/>
    </row>
    <row r="20" spans="1:4" x14ac:dyDescent="0.2">
      <c r="A20" s="25"/>
      <c r="B20" s="25"/>
      <c r="C20" s="25"/>
      <c r="D20" s="25"/>
    </row>
    <row r="43" spans="7:18" x14ac:dyDescent="0.2">
      <c r="G43" s="49" t="s">
        <v>10884</v>
      </c>
      <c r="H43" t="s">
        <v>3761</v>
      </c>
      <c r="I43" t="s">
        <v>3762</v>
      </c>
      <c r="J43" t="s">
        <v>3763</v>
      </c>
      <c r="K43" t="s">
        <v>3764</v>
      </c>
      <c r="N43" s="49" t="s">
        <v>10884</v>
      </c>
      <c r="O43" t="s">
        <v>3761</v>
      </c>
      <c r="P43" t="s">
        <v>3762</v>
      </c>
      <c r="Q43" t="s">
        <v>3763</v>
      </c>
      <c r="R43" t="s">
        <v>3764</v>
      </c>
    </row>
    <row r="44" spans="7:18" x14ac:dyDescent="0.2">
      <c r="G44" s="49" t="s">
        <v>10887</v>
      </c>
      <c r="H44" t="s">
        <v>2381</v>
      </c>
      <c r="I44" s="7">
        <f>SUMIFS(Barrierenmessung_reviewed!R:R, Barrierenmessung_reviewed!U:U, "gate", Barrierenmessung_reviewed!AH:AH, "FALSE")</f>
        <v>2.5347222222222221E-3</v>
      </c>
      <c r="J44">
        <f>COUNTIFS(Barrierenmessung_reviewed!U:U, "gate", Barrierenmessung_reviewed!AH:AH, "FALSE")</f>
        <v>2</v>
      </c>
      <c r="K44" s="7">
        <f>I44/J44</f>
        <v>1.267361111111111E-3</v>
      </c>
      <c r="N44" s="49" t="s">
        <v>9457</v>
      </c>
      <c r="O44" t="s">
        <v>2381</v>
      </c>
      <c r="P44" s="7">
        <f>SUMIFS(Barrierenmessung_reviewed!Q:Q, Barrierenmessung_reviewed!U:U, "gate", Barrierenmessung_reviewed!AH:AH, "FALSE")</f>
        <v>7.1759259259259248E-4</v>
      </c>
      <c r="Q44">
        <f>COUNTIFS(Barrierenmessung_reviewed!U:U, "gate", Barrierenmessung_reviewed!AH:AH, "FALSE")</f>
        <v>2</v>
      </c>
      <c r="R44" s="7">
        <f t="shared" ref="R44:R53" si="5">P44/Q44</f>
        <v>3.5879629629629624E-4</v>
      </c>
    </row>
    <row r="45" spans="7:18" x14ac:dyDescent="0.2">
      <c r="H45" t="s">
        <v>101</v>
      </c>
      <c r="I45" s="7">
        <f>SUMIFS(Barrierenmessung_reviewed!R:R, Barrierenmessung_reviewed!U:U, "bollard", Barrierenmessung_reviewed!AH:AH, "FALSE")</f>
        <v>1.4587430559913628E-2</v>
      </c>
      <c r="J45">
        <f>COUNTIFS(Barrierenmessung_reviewed!U:U, "bollard", Barrierenmessung_reviewed!AH:AH, "FALSE")</f>
        <v>6</v>
      </c>
      <c r="K45" s="7">
        <f t="shared" ref="K45:K53" si="6">I45/J45</f>
        <v>2.4312384266522713E-3</v>
      </c>
      <c r="O45" t="s">
        <v>101</v>
      </c>
      <c r="P45" s="7">
        <f>SUMIFS(Barrierenmessung_reviewed!Q:Q, Barrierenmessung_reviewed!U:U, "bollard", Barrierenmessung_reviewed!AH:AH, "FALSE")</f>
        <v>4.5059722106088884E-3</v>
      </c>
      <c r="Q45">
        <f>COUNTIFS(Barrierenmessung_reviewed!U:U, "bollard", Barrierenmessung_reviewed!AH:AH, "FALSE")</f>
        <v>6</v>
      </c>
      <c r="R45" s="7">
        <f t="shared" si="5"/>
        <v>7.5099536843481474E-4</v>
      </c>
    </row>
    <row r="46" spans="7:18" x14ac:dyDescent="0.2">
      <c r="H46" t="s">
        <v>266</v>
      </c>
      <c r="I46" s="7">
        <f>SUMIFS(Barrierenmessung_reviewed!R:R, Barrierenmessung_reviewed!U:U, "kerb", Barrierenmessung_reviewed!AH:AH, "FALSE")</f>
        <v>7.1933541679754853E-2</v>
      </c>
      <c r="J46">
        <f>COUNTIFS(Barrierenmessung_reviewed!U:U, "kerb", Barrierenmessung_reviewed!AH:AH, "FALSE")</f>
        <v>82</v>
      </c>
      <c r="K46" s="7">
        <f t="shared" si="6"/>
        <v>8.7723831316774208E-4</v>
      </c>
      <c r="O46" t="s">
        <v>266</v>
      </c>
      <c r="P46" s="7">
        <f>SUMIFS(Barrierenmessung_reviewed!Q:Q, Barrierenmessung_reviewed!U:U, "kerb", Barrierenmessung_reviewed!AH:AH, "FALSE")</f>
        <v>2.4589733817265369E-2</v>
      </c>
      <c r="Q46">
        <f>COUNTIFS(Barrierenmessung_reviewed!U:U, "kerb", Barrierenmessung_reviewed!AH:AH, "FALSE")</f>
        <v>82</v>
      </c>
      <c r="R46" s="7">
        <f t="shared" si="5"/>
        <v>2.9987480264957766E-4</v>
      </c>
    </row>
    <row r="47" spans="7:18" x14ac:dyDescent="0.2">
      <c r="H47" t="s">
        <v>55</v>
      </c>
      <c r="I47" s="7">
        <f>SUMIFS(Barrierenmessung_reviewed!R:R, Barrierenmessung_reviewed!U:U, "stair", Barrierenmessung_reviewed!AH:AH, "FALSE")</f>
        <v>0.31213377312087687</v>
      </c>
      <c r="J47">
        <f>COUNTIFS(Barrierenmessung_reviewed!U:U, "stair", Barrierenmessung_reviewed!AH:AH, "FALSE")</f>
        <v>221</v>
      </c>
      <c r="K47" s="7">
        <f t="shared" si="6"/>
        <v>1.4123700141216147E-3</v>
      </c>
      <c r="O47" t="s">
        <v>55</v>
      </c>
      <c r="P47" s="7">
        <f>SUMIFS(Barrierenmessung_reviewed!Q:Q, Barrierenmessung_reviewed!U:U, "stair", Barrierenmessung_reviewed!AH:AH, "FALSE")</f>
        <v>8.2932384299056139E-2</v>
      </c>
      <c r="Q47">
        <f>COUNTIFS(Barrierenmessung_reviewed!U:U, "stair", Barrierenmessung_reviewed!AH:AH, "FALSE")</f>
        <v>221</v>
      </c>
      <c r="R47" s="7">
        <f t="shared" si="5"/>
        <v>3.7525965746179249E-4</v>
      </c>
    </row>
    <row r="48" spans="7:18" x14ac:dyDescent="0.2">
      <c r="H48" t="s">
        <v>417</v>
      </c>
      <c r="I48" s="7">
        <f>SUMIFS(Barrierenmessung_reviewed!R:R, Barrierenmessung_reviewed!U:U, "other", Barrierenmessung_reviewed!AH:AH, "FALSE")</f>
        <v>3.260120367485797E-2</v>
      </c>
      <c r="J48">
        <f>COUNTIFS(Barrierenmessung_reviewed!U:U, "other", Barrierenmessung_reviewed!AH:AH, "FALSE")</f>
        <v>21</v>
      </c>
      <c r="K48" s="7">
        <f t="shared" si="6"/>
        <v>1.5524382702313318E-3</v>
      </c>
      <c r="O48" t="s">
        <v>417</v>
      </c>
      <c r="P48" s="7">
        <f>SUMIFS(Barrierenmessung_reviewed!Q:Q, Barrierenmessung_reviewed!U:U, "other", Barrierenmessung_reviewed!AH:AH, "FALSE")</f>
        <v>8.7507407151861116E-3</v>
      </c>
      <c r="Q48">
        <f>COUNTIFS(Barrierenmessung_reviewed!U:U, "other", Barrierenmessung_reviewed!AH:AH, "FALSE")</f>
        <v>21</v>
      </c>
      <c r="R48" s="7">
        <f t="shared" si="5"/>
        <v>4.1670193881838627E-4</v>
      </c>
    </row>
    <row r="49" spans="8:18" x14ac:dyDescent="0.2">
      <c r="H49" t="s">
        <v>2006</v>
      </c>
      <c r="I49" s="7">
        <f>SUMIFS(Barrierenmessung_reviewed!R:R, Barrierenmessung_reviewed!U:U, "cycle_barrier", Barrierenmessung_reviewed!AH:AH, "FALSE")</f>
        <v>2.7314814814814814E-3</v>
      </c>
      <c r="J49">
        <f>COUNTIFS(Barrierenmessung_reviewed!U:U, "cycle_barrier", Barrierenmessung_reviewed!AH:AH, "FALSE")</f>
        <v>2</v>
      </c>
      <c r="K49" s="7">
        <f t="shared" si="6"/>
        <v>1.3657407407407407E-3</v>
      </c>
      <c r="O49" t="s">
        <v>2006</v>
      </c>
      <c r="P49" s="7">
        <f>SUMIFS(Barrierenmessung_reviewed!Q:Q, Barrierenmessung_reviewed!U:U, "cycle_barrier", Barrierenmessung_reviewed!AH:AH, "FALSE")</f>
        <v>1.8518518518518517E-3</v>
      </c>
      <c r="Q49">
        <f>COUNTIFS(Barrierenmessung_reviewed!U:U, "cycle_barrier", Barrierenmessung_reviewed!AH:AH, "FALSE")</f>
        <v>2</v>
      </c>
      <c r="R49" s="7">
        <f t="shared" si="5"/>
        <v>9.2592592592592585E-4</v>
      </c>
    </row>
    <row r="50" spans="8:18" x14ac:dyDescent="0.2">
      <c r="H50" t="s">
        <v>110</v>
      </c>
      <c r="I50" s="7">
        <f>SUMIFS(Barrierenmessung_reviewed!R:R, Barrierenmessung_reviewed!U:U, "block", Barrierenmessung_reviewed!AH:AH, "FALSE")</f>
        <v>9.5616087965026964E-2</v>
      </c>
      <c r="J50">
        <f>COUNTIFS(Barrierenmessung_reviewed!U:U, "block", Barrierenmessung_reviewed!AH:AH, "FALSE")</f>
        <v>49</v>
      </c>
      <c r="K50" s="7">
        <f t="shared" si="6"/>
        <v>1.9513487339801422E-3</v>
      </c>
      <c r="O50" t="s">
        <v>110</v>
      </c>
      <c r="P50" s="7">
        <f>SUMIFS(Barrierenmessung_reviewed!Q:Q, Barrierenmessung_reviewed!U:U, "block", Barrierenmessung_reviewed!AH:AH, "FALSE")</f>
        <v>2.0680381945567206E-2</v>
      </c>
      <c r="Q50">
        <f>COUNTIFS(Barrierenmessung_reviewed!U:U, "block", Barrierenmessung_reviewed!AH:AH, "FALSE")</f>
        <v>49</v>
      </c>
      <c r="R50" s="7">
        <f t="shared" si="5"/>
        <v>4.2204861113402458E-4</v>
      </c>
    </row>
    <row r="51" spans="8:18" x14ac:dyDescent="0.2">
      <c r="H51" t="s">
        <v>3158</v>
      </c>
      <c r="I51" s="7">
        <f>SUMIFS(Barrierenmessung_reviewed!R:R, Barrierenmessung_reviewed!U:U, "planter", Barrierenmessung_reviewed!AH:AH, "FALSE")</f>
        <v>2.4537037037037036E-3</v>
      </c>
      <c r="J51">
        <f>COUNTIFS(Barrierenmessung_reviewed!U:U, "planter", Barrierenmessung_reviewed!AH:AH, "FALSE")</f>
        <v>1</v>
      </c>
      <c r="K51" s="7">
        <f t="shared" si="6"/>
        <v>2.4537037037037036E-3</v>
      </c>
      <c r="O51" t="s">
        <v>3158</v>
      </c>
      <c r="P51" s="7">
        <f>SUMIFS(Barrierenmessung_reviewed!Q:Q, Barrierenmessung_reviewed!U:U, "planter", Barrierenmessung_reviewed!AH:AH, "FALSE")</f>
        <v>1.3541666666666667E-3</v>
      </c>
      <c r="Q51">
        <f>COUNTIFS(Barrierenmessung_reviewed!U:U, "planter", Barrierenmessung_reviewed!AH:AH, "FALSE")</f>
        <v>1</v>
      </c>
      <c r="R51" s="7">
        <f t="shared" si="5"/>
        <v>1.3541666666666667E-3</v>
      </c>
    </row>
    <row r="52" spans="8:18" x14ac:dyDescent="0.2">
      <c r="H52" t="s">
        <v>37</v>
      </c>
      <c r="I52" s="7">
        <f>SUMIFS(Barrierenmessung_reviewed!R:R, Barrierenmessung_reviewed!U:U, "problematic_way", Barrierenmessung_reviewed!AH:AH, "FALSE")</f>
        <v>0.84396383105195127</v>
      </c>
      <c r="J52">
        <f>COUNTIFS(Barrierenmessung_reviewed!U:U, "problematic_way", Barrierenmessung_reviewed!AH:AH, "FALSE")</f>
        <v>563</v>
      </c>
      <c r="K52" s="7">
        <f t="shared" si="6"/>
        <v>1.4990476572858814E-3</v>
      </c>
      <c r="O52" t="s">
        <v>37</v>
      </c>
      <c r="P52" s="7">
        <f>SUMIFS(Barrierenmessung_reviewed!Q:Q, Barrierenmessung_reviewed!U:U, "problematic_way", Barrierenmessung_reviewed!AH:AH, "FALSE")</f>
        <v>0.16174456019507488</v>
      </c>
      <c r="Q52">
        <f>COUNTIFS(Barrierenmessung_reviewed!U:U, "problematic_way", Barrierenmessung_reviewed!AH:AH, "FALSE")</f>
        <v>563</v>
      </c>
      <c r="R52" s="7">
        <f t="shared" si="5"/>
        <v>2.8729051544418272E-4</v>
      </c>
    </row>
    <row r="53" spans="8:18" x14ac:dyDescent="0.2">
      <c r="H53" t="s">
        <v>125</v>
      </c>
      <c r="I53" s="7">
        <f>SUMIFS(Barrierenmessung_reviewed!R:R, Barrierenmessung_reviewed!U:U, "cross_drain", Barrierenmessung_reviewed!AH:AH, "FALSE")</f>
        <v>0.16590641204675194</v>
      </c>
      <c r="J53">
        <f>COUNTIFS(Barrierenmessung_reviewed!U:U, "cross_drain", Barrierenmessung_reviewed!AH:AH, "FALSE")</f>
        <v>128</v>
      </c>
      <c r="K53" s="7">
        <f t="shared" si="6"/>
        <v>1.2961438441152495E-3</v>
      </c>
      <c r="O53" t="s">
        <v>125</v>
      </c>
      <c r="P53" s="7">
        <f>SUMIFS(Barrierenmessung_reviewed!Q:Q, Barrierenmessung_reviewed!U:U, "cross_drain", Barrierenmessung_reviewed!AH:AH, "FALSE")</f>
        <v>3.197017362981569E-2</v>
      </c>
      <c r="Q53">
        <f>COUNTIFS(Barrierenmessung_reviewed!U:U, "cross_drain", Barrierenmessung_reviewed!AH:AH, "FALSE")</f>
        <v>128</v>
      </c>
      <c r="R53" s="7">
        <f t="shared" si="5"/>
        <v>2.4976698148293508E-4</v>
      </c>
    </row>
    <row r="54" spans="8:18" x14ac:dyDescent="0.2">
      <c r="H54" s="25"/>
      <c r="K54" s="49" t="s">
        <v>9455</v>
      </c>
      <c r="O54" s="25"/>
      <c r="R54" s="49" t="s">
        <v>9455</v>
      </c>
    </row>
    <row r="55" spans="8:18" ht="16" x14ac:dyDescent="0.2">
      <c r="H55" s="25" t="s">
        <v>3757</v>
      </c>
      <c r="I55" s="10">
        <f>SUM(I44:I53)</f>
        <v>1.5444621875065407</v>
      </c>
      <c r="J55">
        <f>SUM(J44:J53)</f>
        <v>1075</v>
      </c>
      <c r="K55" s="10">
        <f>I55/J55</f>
        <v>1.4367090116339913E-3</v>
      </c>
      <c r="O55" s="25" t="s">
        <v>3757</v>
      </c>
      <c r="P55" s="10">
        <f>SUM(P44:P53)</f>
        <v>0.3390975579236854</v>
      </c>
      <c r="Q55">
        <f>SUM(Q44:Q53)</f>
        <v>1075</v>
      </c>
      <c r="R55" s="10">
        <f>P55/Q55</f>
        <v>3.1543958876621898E-4</v>
      </c>
    </row>
    <row r="56" spans="8:18" x14ac:dyDescent="0.2">
      <c r="K56" s="49" t="s">
        <v>9456</v>
      </c>
      <c r="R56" s="49" t="s">
        <v>9456</v>
      </c>
    </row>
    <row r="57" spans="8:18" x14ac:dyDescent="0.2">
      <c r="K57" s="7">
        <f>MEDIAN(K44:K53)</f>
        <v>1.455708835703748E-3</v>
      </c>
      <c r="R57" s="7">
        <f>MEDIAN(R44:R53)</f>
        <v>3.9598079814008938E-4</v>
      </c>
    </row>
  </sheetData>
  <mergeCells count="1">
    <mergeCell ref="A19:C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E49D-B2A6-A543-AD04-A64252D7FF38}">
  <dimension ref="A1:N11"/>
  <sheetViews>
    <sheetView topLeftCell="G1" zoomScale="86" workbookViewId="0">
      <pane ySplit="1" topLeftCell="A5" activePane="bottomLeft" state="frozen"/>
      <selection pane="bottomLeft" activeCell="F6" sqref="F6"/>
    </sheetView>
  </sheetViews>
  <sheetFormatPr baseColWidth="10" defaultRowHeight="15" x14ac:dyDescent="0.2"/>
  <cols>
    <col min="1" max="1" width="14.33203125" customWidth="1"/>
    <col min="3" max="3" width="19.33203125" style="37" bestFit="1" customWidth="1"/>
    <col min="4" max="4" width="21.5" style="37" bestFit="1" customWidth="1"/>
    <col min="5" max="5" width="40" style="37" bestFit="1" customWidth="1"/>
    <col min="6" max="7" width="10.83203125" style="37"/>
    <col min="8" max="8" width="11.5" style="37" bestFit="1" customWidth="1"/>
    <col min="9" max="9" width="10.83203125" style="37"/>
    <col min="11" max="11" width="54.1640625" style="25" customWidth="1"/>
    <col min="12" max="12" width="43.83203125" style="25" customWidth="1"/>
    <col min="13" max="13" width="43.33203125" style="25" customWidth="1"/>
    <col min="14" max="14" width="43.1640625" style="25" customWidth="1"/>
  </cols>
  <sheetData>
    <row r="1" spans="1:14" s="6" customFormat="1" ht="16" x14ac:dyDescent="0.2">
      <c r="A1" s="6" t="s">
        <v>3761</v>
      </c>
      <c r="C1" s="43" t="s">
        <v>9425</v>
      </c>
      <c r="D1" s="43" t="s">
        <v>11088</v>
      </c>
      <c r="E1" s="43" t="s">
        <v>9426</v>
      </c>
      <c r="F1" s="43" t="s">
        <v>9427</v>
      </c>
      <c r="G1" s="43" t="s">
        <v>9428</v>
      </c>
      <c r="H1" s="43" t="s">
        <v>9429</v>
      </c>
      <c r="I1" s="43" t="s">
        <v>9440</v>
      </c>
      <c r="K1" s="44" t="s">
        <v>9430</v>
      </c>
      <c r="L1" s="44" t="s">
        <v>9431</v>
      </c>
      <c r="M1" s="44" t="s">
        <v>10832</v>
      </c>
      <c r="N1" s="44" t="s">
        <v>9438</v>
      </c>
    </row>
    <row r="2" spans="1:14" ht="48" x14ac:dyDescent="0.2">
      <c r="A2" t="s">
        <v>2381</v>
      </c>
      <c r="D2" s="37" t="s">
        <v>9409</v>
      </c>
      <c r="F2" s="37" t="s">
        <v>9409</v>
      </c>
      <c r="G2" s="37" t="s">
        <v>9409</v>
      </c>
      <c r="K2" s="25" t="s">
        <v>9432</v>
      </c>
      <c r="L2" s="25" t="s">
        <v>9433</v>
      </c>
    </row>
    <row r="3" spans="1:14" ht="64" x14ac:dyDescent="0.2">
      <c r="A3" t="s">
        <v>101</v>
      </c>
      <c r="G3" s="37" t="s">
        <v>9409</v>
      </c>
      <c r="L3" s="25" t="s">
        <v>9434</v>
      </c>
    </row>
    <row r="4" spans="1:14" ht="32" x14ac:dyDescent="0.2">
      <c r="A4" t="s">
        <v>266</v>
      </c>
      <c r="D4" s="37" t="s">
        <v>9409</v>
      </c>
      <c r="F4" s="37" t="s">
        <v>9409</v>
      </c>
      <c r="G4" s="37" t="s">
        <v>9409</v>
      </c>
      <c r="L4" s="25" t="s">
        <v>9435</v>
      </c>
    </row>
    <row r="5" spans="1:14" ht="32" x14ac:dyDescent="0.2">
      <c r="A5" t="s">
        <v>55</v>
      </c>
      <c r="D5" s="37" t="s">
        <v>9409</v>
      </c>
      <c r="F5" s="37" t="s">
        <v>9409</v>
      </c>
      <c r="G5" s="37" t="s">
        <v>9409</v>
      </c>
      <c r="K5" s="25" t="s">
        <v>9436</v>
      </c>
      <c r="L5" s="25" t="s">
        <v>9437</v>
      </c>
    </row>
    <row r="6" spans="1:14" ht="96" x14ac:dyDescent="0.2">
      <c r="A6" t="s">
        <v>417</v>
      </c>
      <c r="D6" s="37" t="s">
        <v>9409</v>
      </c>
      <c r="F6" s="37" t="s">
        <v>9409</v>
      </c>
      <c r="G6" s="37" t="s">
        <v>9409</v>
      </c>
      <c r="I6" s="37" t="s">
        <v>9409</v>
      </c>
      <c r="N6" s="25" t="s">
        <v>9439</v>
      </c>
    </row>
    <row r="7" spans="1:14" ht="48" x14ac:dyDescent="0.2">
      <c r="A7" t="s">
        <v>2006</v>
      </c>
      <c r="D7" s="37" t="s">
        <v>9409</v>
      </c>
      <c r="F7" s="37" t="s">
        <v>9409</v>
      </c>
      <c r="G7" s="37" t="s">
        <v>9409</v>
      </c>
      <c r="L7" s="25" t="s">
        <v>9441</v>
      </c>
    </row>
    <row r="8" spans="1:14" ht="32" x14ac:dyDescent="0.2">
      <c r="A8" t="s">
        <v>110</v>
      </c>
      <c r="D8" s="37" t="s">
        <v>9409</v>
      </c>
      <c r="F8" s="37" t="s">
        <v>9409</v>
      </c>
      <c r="G8" s="37" t="s">
        <v>9409</v>
      </c>
      <c r="I8" s="37" t="s">
        <v>9409</v>
      </c>
      <c r="L8" s="25" t="s">
        <v>9444</v>
      </c>
      <c r="N8" s="25" t="s">
        <v>9443</v>
      </c>
    </row>
    <row r="9" spans="1:14" ht="32" x14ac:dyDescent="0.2">
      <c r="A9" t="s">
        <v>3158</v>
      </c>
      <c r="E9" s="37" t="s">
        <v>9409</v>
      </c>
      <c r="F9" s="37" t="s">
        <v>9409</v>
      </c>
      <c r="G9" s="37" t="s">
        <v>9409</v>
      </c>
      <c r="H9" s="37" t="s">
        <v>9409</v>
      </c>
      <c r="L9" s="25" t="s">
        <v>9445</v>
      </c>
    </row>
    <row r="10" spans="1:14" ht="80" x14ac:dyDescent="0.2">
      <c r="A10" t="s">
        <v>37</v>
      </c>
      <c r="D10" s="37" t="s">
        <v>9409</v>
      </c>
      <c r="F10" s="37" t="s">
        <v>9409</v>
      </c>
      <c r="G10" s="37" t="s">
        <v>9409</v>
      </c>
      <c r="H10" s="37" t="s">
        <v>9409</v>
      </c>
      <c r="K10" s="25" t="s">
        <v>11266</v>
      </c>
      <c r="L10" s="25" t="s">
        <v>9446</v>
      </c>
      <c r="M10" s="25" t="s">
        <v>9447</v>
      </c>
    </row>
    <row r="11" spans="1:14" ht="32" x14ac:dyDescent="0.2">
      <c r="A11" t="s">
        <v>125</v>
      </c>
      <c r="D11" s="37" t="s">
        <v>9409</v>
      </c>
      <c r="F11" s="37" t="s">
        <v>9409</v>
      </c>
      <c r="G11" s="37" t="s">
        <v>9409</v>
      </c>
      <c r="K11" s="25" t="s">
        <v>9448</v>
      </c>
      <c r="L11" s="25" t="s">
        <v>9449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86034-8002-9246-B66A-7B38EA66A441}">
  <dimension ref="A1:CE24"/>
  <sheetViews>
    <sheetView zoomScale="91" workbookViewId="0">
      <pane xSplit="3" ySplit="1" topLeftCell="D6" activePane="bottomRight" state="frozen"/>
      <selection pane="topRight" activeCell="D1" sqref="D1"/>
      <selection pane="bottomLeft" activeCell="A2" sqref="A2"/>
      <selection pane="bottomRight" activeCell="D11" sqref="D11"/>
    </sheetView>
  </sheetViews>
  <sheetFormatPr baseColWidth="10" defaultRowHeight="15" x14ac:dyDescent="0.2"/>
  <cols>
    <col min="1" max="1" width="17" customWidth="1"/>
    <col min="2" max="2" width="14.6640625" customWidth="1"/>
    <col min="3" max="3" width="10.83203125" style="37"/>
    <col min="4" max="6" width="15" style="76" customWidth="1"/>
    <col min="7" max="7" width="18.6640625" style="76" customWidth="1"/>
    <col min="8" max="9" width="15" style="140" customWidth="1"/>
    <col min="10" max="10" width="18.6640625" style="160" customWidth="1"/>
    <col min="11" max="11" width="13.33203125" style="37" customWidth="1"/>
    <col min="12" max="12" width="16.5" style="37" customWidth="1"/>
    <col min="13" max="13" width="19.6640625" style="37" customWidth="1"/>
    <col min="14" max="14" width="18" style="140" customWidth="1"/>
    <col min="15" max="15" width="13.33203125" style="140" customWidth="1"/>
    <col min="16" max="16" width="23.1640625" style="160" customWidth="1"/>
    <col min="17" max="17" width="18.6640625" style="37" customWidth="1"/>
    <col min="18" max="18" width="21.83203125" style="37" bestFit="1" customWidth="1"/>
    <col min="19" max="19" width="25.5" style="37" bestFit="1" customWidth="1"/>
    <col min="20" max="22" width="17.6640625" style="37" customWidth="1"/>
    <col min="23" max="23" width="12.33203125" customWidth="1"/>
    <col min="24" max="24" width="15.83203125" bestFit="1" customWidth="1"/>
    <col min="25" max="25" width="20.33203125" bestFit="1" customWidth="1"/>
    <col min="26" max="26" width="17.5" customWidth="1"/>
    <col min="27" max="27" width="12.33203125" customWidth="1"/>
    <col min="28" max="28" width="21.6640625" style="37" customWidth="1"/>
    <col min="29" max="29" width="21.6640625" style="80" customWidth="1"/>
    <col min="30" max="31" width="21.6640625" style="37" customWidth="1"/>
    <col min="33" max="33" width="10.5" style="25" customWidth="1"/>
    <col min="34" max="34" width="12.33203125" style="25" customWidth="1"/>
    <col min="35" max="35" width="12" style="25" customWidth="1"/>
    <col min="36" max="36" width="11.33203125" style="25" customWidth="1"/>
  </cols>
  <sheetData>
    <row r="1" spans="1:83" s="6" customFormat="1" ht="16" x14ac:dyDescent="0.2">
      <c r="A1" s="6" t="s">
        <v>3761</v>
      </c>
      <c r="B1" s="6" t="s">
        <v>9450</v>
      </c>
      <c r="C1" s="43" t="s">
        <v>9451</v>
      </c>
      <c r="D1" s="162" t="s">
        <v>11323</v>
      </c>
      <c r="E1" s="43" t="s">
        <v>9815</v>
      </c>
      <c r="F1" s="43" t="s">
        <v>11316</v>
      </c>
      <c r="G1" s="43" t="s">
        <v>11327</v>
      </c>
      <c r="H1" s="43" t="s">
        <v>9816</v>
      </c>
      <c r="I1" s="43" t="s">
        <v>9821</v>
      </c>
      <c r="J1" s="162" t="s">
        <v>11324</v>
      </c>
      <c r="K1" s="43" t="s">
        <v>9799</v>
      </c>
      <c r="L1" s="43" t="s">
        <v>11317</v>
      </c>
      <c r="M1" s="43" t="s">
        <v>11318</v>
      </c>
      <c r="N1" s="43" t="s">
        <v>9817</v>
      </c>
      <c r="O1" s="43" t="s">
        <v>9826</v>
      </c>
      <c r="P1" s="162" t="s">
        <v>11325</v>
      </c>
      <c r="Q1" s="43" t="s">
        <v>9800</v>
      </c>
      <c r="R1" s="43" t="s">
        <v>11330</v>
      </c>
      <c r="S1" s="43" t="s">
        <v>11335</v>
      </c>
      <c r="T1" s="43" t="s">
        <v>9818</v>
      </c>
      <c r="U1" s="43" t="s">
        <v>9823</v>
      </c>
      <c r="V1" s="162" t="s">
        <v>11326</v>
      </c>
      <c r="W1" s="43" t="s">
        <v>9802</v>
      </c>
      <c r="X1" s="43" t="s">
        <v>11336</v>
      </c>
      <c r="Y1" s="43" t="s">
        <v>11337</v>
      </c>
      <c r="Z1" s="43" t="s">
        <v>9819</v>
      </c>
      <c r="AA1" s="43" t="s">
        <v>9824</v>
      </c>
      <c r="AB1" s="162" t="s">
        <v>9811</v>
      </c>
      <c r="AC1" s="78" t="s">
        <v>9812</v>
      </c>
      <c r="AD1" s="43" t="s">
        <v>9813</v>
      </c>
      <c r="AE1" s="174" t="s">
        <v>9814</v>
      </c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</row>
    <row r="2" spans="1:83" ht="80" x14ac:dyDescent="0.2">
      <c r="A2" s="47" t="s">
        <v>2381</v>
      </c>
      <c r="B2">
        <f>'Kalkulationen Barrieretypen'!J44</f>
        <v>2</v>
      </c>
      <c r="C2" s="37">
        <v>2</v>
      </c>
      <c r="D2" s="166">
        <f>gate!Q4</f>
        <v>0</v>
      </c>
      <c r="E2" s="530">
        <f>gate!AM4</f>
        <v>0</v>
      </c>
      <c r="F2" s="531">
        <f>gate!AN4</f>
        <v>1</v>
      </c>
      <c r="G2" s="531">
        <f>gate!AO4</f>
        <v>0</v>
      </c>
      <c r="H2" s="530" t="s">
        <v>9801</v>
      </c>
      <c r="I2" s="532" t="s">
        <v>11384</v>
      </c>
      <c r="J2" s="166">
        <f>gate!Q5</f>
        <v>2.3148148148148146E-4</v>
      </c>
      <c r="K2" s="529">
        <f>gate!AX4</f>
        <v>5.4398148148148144E-4</v>
      </c>
      <c r="L2" s="531">
        <f>gate!AY4</f>
        <v>0.5</v>
      </c>
      <c r="M2" s="531">
        <f>gate!AZ4</f>
        <v>1</v>
      </c>
      <c r="N2" s="529">
        <f>K2-J2</f>
        <v>3.1249999999999995E-4</v>
      </c>
      <c r="O2" s="531">
        <f>gate!BE4</f>
        <v>0.5</v>
      </c>
      <c r="P2" s="163" t="s">
        <v>9801</v>
      </c>
      <c r="Q2" s="534" t="s">
        <v>9801</v>
      </c>
      <c r="R2" s="534" t="s">
        <v>9801</v>
      </c>
      <c r="S2" s="534" t="s">
        <v>9801</v>
      </c>
      <c r="T2" s="534" t="s">
        <v>9801</v>
      </c>
      <c r="U2" s="534" t="s">
        <v>9801</v>
      </c>
      <c r="V2" s="164" t="s">
        <v>9801</v>
      </c>
      <c r="W2" s="534" t="s">
        <v>9801</v>
      </c>
      <c r="X2" s="534" t="s">
        <v>9801</v>
      </c>
      <c r="Y2" s="534" t="s">
        <v>9801</v>
      </c>
      <c r="Z2" s="534" t="s">
        <v>9801</v>
      </c>
      <c r="AA2" s="534" t="s">
        <v>9801</v>
      </c>
      <c r="AB2" s="168" t="s">
        <v>11240</v>
      </c>
      <c r="AC2" s="79" t="s">
        <v>11249</v>
      </c>
      <c r="AD2" s="76" t="s">
        <v>9801</v>
      </c>
      <c r="AE2" s="175" t="s">
        <v>9801</v>
      </c>
    </row>
    <row r="3" spans="1:83" ht="192" x14ac:dyDescent="0.2">
      <c r="A3" s="47" t="s">
        <v>101</v>
      </c>
      <c r="B3">
        <f>'Kalkulationen Barrieretypen'!J45</f>
        <v>6</v>
      </c>
      <c r="C3" s="37">
        <v>6</v>
      </c>
      <c r="D3" s="166" t="s">
        <v>9801</v>
      </c>
      <c r="E3" s="534" t="s">
        <v>9801</v>
      </c>
      <c r="F3" s="531" t="s">
        <v>9801</v>
      </c>
      <c r="G3" s="531" t="s">
        <v>9801</v>
      </c>
      <c r="H3" s="534" t="s">
        <v>9801</v>
      </c>
      <c r="I3" s="534" t="s">
        <v>9801</v>
      </c>
      <c r="J3" s="197">
        <f>bollard!Q8</f>
        <v>3.3796296296296296E-3</v>
      </c>
      <c r="K3" s="529">
        <f>bollard!AP8</f>
        <v>3.7615740740740734E-3</v>
      </c>
      <c r="L3" s="531">
        <f>bollard!AQ8</f>
        <v>0.83333333333333337</v>
      </c>
      <c r="M3" s="531">
        <f>bollard!AR8</f>
        <v>1</v>
      </c>
      <c r="N3" s="529">
        <f>K3-J3</f>
        <v>3.8194444444444387E-4</v>
      </c>
      <c r="O3" s="531">
        <f>bollard!AW8</f>
        <v>0.41985381968812591</v>
      </c>
      <c r="P3" s="165" t="s">
        <v>9801</v>
      </c>
      <c r="Q3" s="534" t="s">
        <v>9801</v>
      </c>
      <c r="R3" s="534" t="s">
        <v>9801</v>
      </c>
      <c r="S3" s="534" t="s">
        <v>9801</v>
      </c>
      <c r="T3" s="534" t="s">
        <v>9801</v>
      </c>
      <c r="U3" s="534" t="s">
        <v>9801</v>
      </c>
      <c r="V3" s="164" t="s">
        <v>9801</v>
      </c>
      <c r="W3" s="534" t="s">
        <v>9801</v>
      </c>
      <c r="X3" s="534" t="s">
        <v>9801</v>
      </c>
      <c r="Y3" s="534" t="s">
        <v>9801</v>
      </c>
      <c r="Z3" s="534" t="s">
        <v>9801</v>
      </c>
      <c r="AA3" s="534" t="s">
        <v>9801</v>
      </c>
      <c r="AB3" s="167" t="s">
        <v>9801</v>
      </c>
      <c r="AC3" s="79" t="s">
        <v>9820</v>
      </c>
      <c r="AD3" s="76" t="s">
        <v>9801</v>
      </c>
      <c r="AE3" s="175" t="s">
        <v>9801</v>
      </c>
    </row>
    <row r="4" spans="1:83" ht="32" x14ac:dyDescent="0.2">
      <c r="A4" s="47" t="s">
        <v>266</v>
      </c>
      <c r="B4">
        <f>'Kalkulationen Barrieretypen'!J46</f>
        <v>82</v>
      </c>
      <c r="C4" s="37">
        <f>IF(B4*0.1&gt;30, B4*0.1, 30)</f>
        <v>30</v>
      </c>
      <c r="D4" s="166">
        <f>kerb!Q33</f>
        <v>0</v>
      </c>
      <c r="E4" s="529">
        <f>kerb!AZ32</f>
        <v>0</v>
      </c>
      <c r="F4" s="531">
        <f>kerb!BA32</f>
        <v>0.3</v>
      </c>
      <c r="G4" s="531">
        <f>kerb!BB32</f>
        <v>0</v>
      </c>
      <c r="H4" s="529" t="s">
        <v>9801</v>
      </c>
      <c r="I4" s="534" t="s">
        <v>11384</v>
      </c>
      <c r="J4" s="197">
        <f>kerb!Q32</f>
        <v>8.2754629629629636E-3</v>
      </c>
      <c r="K4" s="529">
        <f>kerb!AN32</f>
        <v>1.0983796296296295E-2</v>
      </c>
      <c r="L4" s="531">
        <f>kerb!AO32</f>
        <v>0.96666666666666667</v>
      </c>
      <c r="M4" s="531">
        <f>kerb!AP32</f>
        <v>0.86206896551724133</v>
      </c>
      <c r="N4" s="529">
        <f>K4-J4</f>
        <v>2.7083333333333317E-3</v>
      </c>
      <c r="O4" s="531">
        <f>kerb!AU32</f>
        <v>0.29314640914640916</v>
      </c>
      <c r="P4" s="165" t="s">
        <v>9801</v>
      </c>
      <c r="Q4" s="534" t="s">
        <v>9801</v>
      </c>
      <c r="R4" s="534" t="s">
        <v>9801</v>
      </c>
      <c r="S4" s="534" t="s">
        <v>9801</v>
      </c>
      <c r="T4" s="534" t="s">
        <v>9801</v>
      </c>
      <c r="U4" s="534" t="s">
        <v>9801</v>
      </c>
      <c r="V4" s="164" t="s">
        <v>9801</v>
      </c>
      <c r="W4" s="534" t="s">
        <v>9801</v>
      </c>
      <c r="X4" s="534" t="s">
        <v>9801</v>
      </c>
      <c r="Y4" s="534" t="s">
        <v>9801</v>
      </c>
      <c r="Z4" s="534" t="s">
        <v>9801</v>
      </c>
      <c r="AA4" s="534" t="s">
        <v>9801</v>
      </c>
      <c r="AB4" s="167" t="s">
        <v>9801</v>
      </c>
      <c r="AC4" s="79" t="s">
        <v>11254</v>
      </c>
      <c r="AD4" s="76" t="s">
        <v>9801</v>
      </c>
      <c r="AE4" s="175" t="s">
        <v>9801</v>
      </c>
      <c r="AG4"/>
      <c r="AH4"/>
      <c r="AI4"/>
      <c r="AJ4"/>
    </row>
    <row r="5" spans="1:83" ht="176" x14ac:dyDescent="0.2">
      <c r="A5" s="47" t="s">
        <v>55</v>
      </c>
      <c r="B5">
        <f>'Kalkulationen Barrieretypen'!J47</f>
        <v>221</v>
      </c>
      <c r="C5" s="37">
        <f t="shared" ref="C5:C14" si="0">IF(B5*0.1&gt;30, B5*0.1, 30)</f>
        <v>30</v>
      </c>
      <c r="D5" s="166">
        <f>stair!Q32</f>
        <v>1.5393518518518519E-3</v>
      </c>
      <c r="E5" s="529">
        <f>stair!AQ32</f>
        <v>9.2592592592592585E-4</v>
      </c>
      <c r="F5" s="531">
        <f>stair!AR32</f>
        <v>0.66666666666666663</v>
      </c>
      <c r="G5" s="531">
        <f>stair!AS32</f>
        <v>0.3</v>
      </c>
      <c r="H5" s="529">
        <f>E5-D5</f>
        <v>-6.1342592592592601E-4</v>
      </c>
      <c r="I5" s="531">
        <f>stair!BB32</f>
        <v>0.55555555555555547</v>
      </c>
      <c r="J5" s="166">
        <f>stair!Q33</f>
        <v>2.9861111111111113E-3</v>
      </c>
      <c r="K5" s="529">
        <f>stair!BK32</f>
        <v>7.4421296296296293E-3</v>
      </c>
      <c r="L5" s="531">
        <f>stair!BL32</f>
        <v>0.73333333333333328</v>
      </c>
      <c r="M5" s="531">
        <f>stair!BM32</f>
        <v>0.40909090909090912</v>
      </c>
      <c r="N5" s="529">
        <f>K5-J5</f>
        <v>4.456018518518518E-3</v>
      </c>
      <c r="O5" s="531">
        <f>stair!BV32</f>
        <v>0.75485475916762457</v>
      </c>
      <c r="P5" s="178" t="s">
        <v>9801</v>
      </c>
      <c r="Q5" s="535" t="s">
        <v>9801</v>
      </c>
      <c r="R5" s="535" t="s">
        <v>9801</v>
      </c>
      <c r="S5" s="535" t="s">
        <v>9801</v>
      </c>
      <c r="T5" s="535" t="s">
        <v>9801</v>
      </c>
      <c r="U5" s="535" t="s">
        <v>9801</v>
      </c>
      <c r="V5" s="536" t="s">
        <v>9801</v>
      </c>
      <c r="W5" s="534" t="s">
        <v>9801</v>
      </c>
      <c r="X5" s="534" t="s">
        <v>9801</v>
      </c>
      <c r="Y5" s="534" t="s">
        <v>9801</v>
      </c>
      <c r="Z5" s="534" t="s">
        <v>9801</v>
      </c>
      <c r="AA5" s="534" t="s">
        <v>9801</v>
      </c>
      <c r="AB5" s="168" t="s">
        <v>11269</v>
      </c>
      <c r="AC5" s="79" t="s">
        <v>11271</v>
      </c>
      <c r="AD5" s="76" t="s">
        <v>9801</v>
      </c>
      <c r="AE5" s="175" t="s">
        <v>9801</v>
      </c>
    </row>
    <row r="6" spans="1:83" ht="64" x14ac:dyDescent="0.2">
      <c r="A6" s="47" t="s">
        <v>417</v>
      </c>
      <c r="B6">
        <f>'Kalkulationen Barrieretypen'!J48</f>
        <v>21</v>
      </c>
      <c r="C6" s="37">
        <v>21</v>
      </c>
      <c r="D6" s="166" t="s">
        <v>9801</v>
      </c>
      <c r="E6" s="534" t="s">
        <v>9801</v>
      </c>
      <c r="F6" s="534" t="s">
        <v>9801</v>
      </c>
      <c r="G6" s="534" t="s">
        <v>9801</v>
      </c>
      <c r="H6" s="534" t="s">
        <v>9801</v>
      </c>
      <c r="I6" s="534" t="s">
        <v>9801</v>
      </c>
      <c r="J6" s="197">
        <f>other!Q24</f>
        <v>6.5972222222222213E-4</v>
      </c>
      <c r="K6" s="529">
        <f>other!BD23</f>
        <v>6.9444444444444444E-5</v>
      </c>
      <c r="L6" s="531">
        <f>other!BE23</f>
        <v>4.7619047619047616E-2</v>
      </c>
      <c r="M6" s="531">
        <f>other!BF23</f>
        <v>1</v>
      </c>
      <c r="N6" s="529">
        <f>K6-J6</f>
        <v>-5.9027777777777768E-4</v>
      </c>
      <c r="O6" s="540">
        <f>other!BM23</f>
        <v>1</v>
      </c>
      <c r="P6" s="164" t="s">
        <v>9801</v>
      </c>
      <c r="Q6" s="534" t="s">
        <v>9801</v>
      </c>
      <c r="R6" s="534" t="s">
        <v>9801</v>
      </c>
      <c r="S6" s="534" t="s">
        <v>9801</v>
      </c>
      <c r="T6" s="534" t="s">
        <v>9801</v>
      </c>
      <c r="U6" s="534" t="s">
        <v>9801</v>
      </c>
      <c r="V6" s="197">
        <f>other!Q23</f>
        <v>0</v>
      </c>
      <c r="W6" s="538">
        <f>other!AN23</f>
        <v>0</v>
      </c>
      <c r="X6" s="540">
        <f>other!AO23</f>
        <v>0</v>
      </c>
      <c r="Y6" s="537" t="s">
        <v>9801</v>
      </c>
      <c r="Z6" s="538" t="s">
        <v>9801</v>
      </c>
      <c r="AA6" s="533" t="s">
        <v>11384</v>
      </c>
      <c r="AB6" s="167" t="s">
        <v>9801</v>
      </c>
      <c r="AC6" s="79" t="s">
        <v>11434</v>
      </c>
      <c r="AD6" s="76" t="s">
        <v>9801</v>
      </c>
      <c r="AE6" s="265" t="s">
        <v>11435</v>
      </c>
    </row>
    <row r="7" spans="1:83" ht="64" x14ac:dyDescent="0.2">
      <c r="A7" s="47" t="s">
        <v>2006</v>
      </c>
      <c r="B7">
        <f>'Kalkulationen Barrieretypen'!J49</f>
        <v>2</v>
      </c>
      <c r="C7" s="37">
        <v>2</v>
      </c>
      <c r="D7" s="197">
        <f>cycle_barrier!Q5</f>
        <v>0</v>
      </c>
      <c r="E7" s="539">
        <v>0</v>
      </c>
      <c r="F7" s="531">
        <v>0</v>
      </c>
      <c r="G7" s="540">
        <v>0</v>
      </c>
      <c r="H7" s="538" t="s">
        <v>9801</v>
      </c>
      <c r="I7" s="534" t="s">
        <v>11384</v>
      </c>
      <c r="J7" s="166">
        <f>cycle_barrier!Q4</f>
        <v>0</v>
      </c>
      <c r="K7" s="539">
        <f>cycle_barrier!AN4</f>
        <v>0</v>
      </c>
      <c r="L7" s="531">
        <f>cycle_barrier!AK4</f>
        <v>0</v>
      </c>
      <c r="M7" s="531">
        <f>cycle_barrier!AL4</f>
        <v>0</v>
      </c>
      <c r="N7" s="539" t="s">
        <v>9801</v>
      </c>
      <c r="O7" s="534" t="s">
        <v>11384</v>
      </c>
      <c r="P7" s="164" t="s">
        <v>9801</v>
      </c>
      <c r="Q7" s="534" t="s">
        <v>9801</v>
      </c>
      <c r="R7" s="534" t="s">
        <v>9801</v>
      </c>
      <c r="S7" s="534" t="s">
        <v>9801</v>
      </c>
      <c r="T7" s="534" t="s">
        <v>9801</v>
      </c>
      <c r="U7" s="534" t="s">
        <v>9801</v>
      </c>
      <c r="V7" s="164" t="s">
        <v>9801</v>
      </c>
      <c r="W7" s="534" t="s">
        <v>9801</v>
      </c>
      <c r="X7" s="534" t="s">
        <v>9801</v>
      </c>
      <c r="Y7" s="534" t="s">
        <v>9801</v>
      </c>
      <c r="Z7" s="534" t="s">
        <v>9801</v>
      </c>
      <c r="AA7" s="534" t="s">
        <v>9801</v>
      </c>
      <c r="AB7" s="167" t="s">
        <v>9801</v>
      </c>
      <c r="AC7" s="79" t="s">
        <v>11230</v>
      </c>
      <c r="AD7" s="76" t="s">
        <v>9801</v>
      </c>
      <c r="AE7" s="175" t="s">
        <v>9801</v>
      </c>
    </row>
    <row r="8" spans="1:83" ht="80" x14ac:dyDescent="0.2">
      <c r="A8" s="47" t="s">
        <v>110</v>
      </c>
      <c r="B8">
        <f>'Kalkulationen Barrieretypen'!J50</f>
        <v>49</v>
      </c>
      <c r="C8" s="37">
        <f t="shared" si="0"/>
        <v>30</v>
      </c>
      <c r="D8" s="166">
        <f>block!Q32</f>
        <v>7.407407407407407E-4</v>
      </c>
      <c r="E8" s="539">
        <f>block!AS32</f>
        <v>1.0416666666666667E-4</v>
      </c>
      <c r="F8" s="531">
        <f>block!AO32</f>
        <v>0.3</v>
      </c>
      <c r="G8" s="531">
        <f>block!AP32</f>
        <v>0.1111111111111111</v>
      </c>
      <c r="H8" s="539">
        <f>E8-D8</f>
        <v>-6.3657407407407402E-4</v>
      </c>
      <c r="I8" s="531">
        <f>block!AX32</f>
        <v>0.89999999999999991</v>
      </c>
      <c r="J8" s="166">
        <f>block!Q33</f>
        <v>4.9537037037037032E-3</v>
      </c>
      <c r="K8" s="539">
        <f>block!BH32</f>
        <v>2.476851851851852E-3</v>
      </c>
      <c r="L8" s="531">
        <f>block!BD32</f>
        <v>0.43333333333333335</v>
      </c>
      <c r="M8" s="531">
        <f>block!BE32</f>
        <v>0.92307692307692313</v>
      </c>
      <c r="N8" s="539">
        <f>K8-J8</f>
        <v>-2.4768518518518512E-3</v>
      </c>
      <c r="O8" s="531">
        <f>block!BM32</f>
        <v>0.96622860910569452</v>
      </c>
      <c r="P8" s="166" t="s">
        <v>9801</v>
      </c>
      <c r="Q8" s="534" t="s">
        <v>9801</v>
      </c>
      <c r="R8" s="534" t="s">
        <v>9801</v>
      </c>
      <c r="S8" s="534" t="s">
        <v>9801</v>
      </c>
      <c r="T8" s="534" t="s">
        <v>9801</v>
      </c>
      <c r="U8" s="534" t="s">
        <v>9801</v>
      </c>
      <c r="V8" s="166">
        <f>block!Q34</f>
        <v>0</v>
      </c>
      <c r="W8" s="529">
        <f>block!BU32</f>
        <v>0</v>
      </c>
      <c r="X8" s="531">
        <f>block!BS32</f>
        <v>0</v>
      </c>
      <c r="Y8" s="529" t="s">
        <v>9801</v>
      </c>
      <c r="Z8" s="529" t="s">
        <v>9801</v>
      </c>
      <c r="AA8" s="533" t="s">
        <v>11384</v>
      </c>
      <c r="AB8" s="167" t="s">
        <v>9801</v>
      </c>
      <c r="AC8" s="79" t="s">
        <v>11309</v>
      </c>
      <c r="AD8" s="76" t="s">
        <v>9801</v>
      </c>
      <c r="AE8" s="175" t="s">
        <v>11297</v>
      </c>
    </row>
    <row r="9" spans="1:83" ht="16" x14ac:dyDescent="0.2">
      <c r="A9" s="47" t="s">
        <v>3158</v>
      </c>
      <c r="B9">
        <f>'Kalkulationen Barrieretypen'!J51</f>
        <v>1</v>
      </c>
      <c r="C9" s="37">
        <v>1</v>
      </c>
      <c r="D9" s="166">
        <f>planter!Q3</f>
        <v>0</v>
      </c>
      <c r="E9" s="539">
        <v>0</v>
      </c>
      <c r="F9" s="531">
        <f>planter!AK3</f>
        <v>0</v>
      </c>
      <c r="G9" s="531">
        <f>planter!AL3</f>
        <v>0</v>
      </c>
      <c r="H9" s="534" t="s">
        <v>9801</v>
      </c>
      <c r="I9" s="534" t="s">
        <v>11384</v>
      </c>
      <c r="J9" s="166">
        <f>planter!Q4</f>
        <v>1.3541666666666667E-3</v>
      </c>
      <c r="K9" s="539">
        <f>planter!AY3</f>
        <v>5.7870370370370378E-4</v>
      </c>
      <c r="L9" s="531">
        <f>planter!AV3</f>
        <v>1</v>
      </c>
      <c r="M9" s="531">
        <f>planter!AW3</f>
        <v>1</v>
      </c>
      <c r="N9" s="539">
        <f>K9-J9</f>
        <v>-7.7546296296296293E-4</v>
      </c>
      <c r="O9" s="531">
        <f>planter!BD3</f>
        <v>0.94339622641509435</v>
      </c>
      <c r="P9" s="166">
        <f>planter!Q5</f>
        <v>1.3541666666666667E-3</v>
      </c>
      <c r="Q9" s="539">
        <f>planter!BJ3</f>
        <v>1.8518518518518518E-4</v>
      </c>
      <c r="R9" s="531">
        <f>planter!BG3</f>
        <v>1</v>
      </c>
      <c r="S9" s="531">
        <f>planter!BH3</f>
        <v>1</v>
      </c>
      <c r="T9" s="539">
        <f>Q9-P9</f>
        <v>-1.1689814814814816E-3</v>
      </c>
      <c r="U9" s="531">
        <f>planter!BO3</f>
        <v>-2.1698113207547172</v>
      </c>
      <c r="V9" s="164" t="s">
        <v>9801</v>
      </c>
      <c r="W9" s="534" t="s">
        <v>9801</v>
      </c>
      <c r="X9" s="534" t="s">
        <v>9801</v>
      </c>
      <c r="Y9" s="534" t="s">
        <v>9801</v>
      </c>
      <c r="Z9" s="534" t="s">
        <v>9801</v>
      </c>
      <c r="AA9" s="534" t="s">
        <v>9801</v>
      </c>
      <c r="AB9" s="167" t="s">
        <v>9801</v>
      </c>
      <c r="AC9" s="79" t="s">
        <v>9801</v>
      </c>
      <c r="AD9" s="76" t="s">
        <v>9801</v>
      </c>
      <c r="AE9" s="175" t="s">
        <v>9801</v>
      </c>
    </row>
    <row r="10" spans="1:83" ht="96" x14ac:dyDescent="0.2">
      <c r="A10" s="47" t="s">
        <v>37</v>
      </c>
      <c r="B10">
        <f>'Kalkulationen Barrieretypen'!J52</f>
        <v>563</v>
      </c>
      <c r="C10" s="37">
        <f>ROUND(IF(B10*0.1&gt;30, B10*0.1, 30),0)</f>
        <v>56</v>
      </c>
      <c r="D10" s="166">
        <f>problematic_way!Q58</f>
        <v>4.3981481481481476E-3</v>
      </c>
      <c r="E10" s="539">
        <f>problematic_way!AT58</f>
        <v>1.759259259259259E-3</v>
      </c>
      <c r="F10" s="531">
        <f>problematic_way!AM58</f>
        <v>1</v>
      </c>
      <c r="G10" s="531">
        <f>problematic_way!AN58</f>
        <v>0.9821428571428571</v>
      </c>
      <c r="H10" s="539">
        <f>E10-D10</f>
        <v>-2.6388888888888885E-3</v>
      </c>
      <c r="I10" s="534" t="s">
        <v>9801</v>
      </c>
      <c r="J10" s="541">
        <f>problematic_way!Q62</f>
        <v>3.0092592592592595E-4</v>
      </c>
      <c r="K10" s="251">
        <f>problematic_way!BP58</f>
        <v>4.2824074074074075E-4</v>
      </c>
      <c r="L10" s="531">
        <f>problematic_way!BD58</f>
        <v>0.8392857142857143</v>
      </c>
      <c r="M10" s="531">
        <v>1</v>
      </c>
      <c r="N10" s="539">
        <f>K10-J10</f>
        <v>1.273148148148148E-4</v>
      </c>
      <c r="O10" s="531" t="s">
        <v>9801</v>
      </c>
      <c r="P10" s="166">
        <f>problematic_way!Q67</f>
        <v>1.0648148148148149E-3</v>
      </c>
      <c r="Q10" s="539">
        <f>problematic_way!CN58</f>
        <v>1.1921296296296298E-3</v>
      </c>
      <c r="R10" s="531">
        <f>problematic_way!CD58</f>
        <v>0.9821428571428571</v>
      </c>
      <c r="S10" s="531">
        <f>problematic_way!CE58</f>
        <v>0.96363636363636362</v>
      </c>
      <c r="T10" s="539">
        <f>Q10-P10</f>
        <v>1.2731481481481491E-4</v>
      </c>
      <c r="U10" s="534" t="s">
        <v>9801</v>
      </c>
      <c r="V10" s="164" t="s">
        <v>9801</v>
      </c>
      <c r="W10" s="534" t="s">
        <v>9801</v>
      </c>
      <c r="X10" s="534" t="s">
        <v>9801</v>
      </c>
      <c r="Y10" s="534" t="s">
        <v>9801</v>
      </c>
      <c r="Z10" s="534" t="s">
        <v>9801</v>
      </c>
      <c r="AA10" s="534" t="s">
        <v>9801</v>
      </c>
      <c r="AB10" s="168" t="s">
        <v>11391</v>
      </c>
      <c r="AC10" s="79" t="s">
        <v>11423</v>
      </c>
      <c r="AD10" s="79" t="s">
        <v>11426</v>
      </c>
      <c r="AE10" s="175" t="s">
        <v>9801</v>
      </c>
    </row>
    <row r="11" spans="1:83" ht="80" x14ac:dyDescent="0.2">
      <c r="A11" s="198" t="s">
        <v>11383</v>
      </c>
      <c r="B11">
        <f>'Kalkulationen Barrieretypen'!J52</f>
        <v>563</v>
      </c>
      <c r="C11" s="37">
        <f>ROUND(IF(B11*0.1&gt;30, B11*0.1, 30),0)</f>
        <v>56</v>
      </c>
      <c r="D11" s="166">
        <f>problematic_way!Q59</f>
        <v>1.4976851851851859E-2</v>
      </c>
      <c r="E11" s="539">
        <f>problematic_way!AT59</f>
        <v>1.2152777777777776E-2</v>
      </c>
      <c r="F11" s="542">
        <f>problematic_way!AO59</f>
        <v>0.9821428571428571</v>
      </c>
      <c r="G11" s="531">
        <v>1</v>
      </c>
      <c r="H11" s="539">
        <f>E11-D11</f>
        <v>-2.824074074074083E-3</v>
      </c>
      <c r="I11" s="531">
        <f>problematic_way!AX59</f>
        <v>0.54545454545454541</v>
      </c>
      <c r="J11" s="541">
        <f>problematic_way!Q63</f>
        <v>1.2002314814814818E-2</v>
      </c>
      <c r="K11" s="251">
        <f>problematic_way!BP59</f>
        <v>1.6493055555555549E-2</v>
      </c>
      <c r="L11" s="531">
        <f>problematic_way!BF59</f>
        <v>0.8392857142857143</v>
      </c>
      <c r="M11" s="531">
        <v>1</v>
      </c>
      <c r="N11" s="539">
        <f t="shared" ref="N11:N13" si="1">K11-J11</f>
        <v>4.4907407407407309E-3</v>
      </c>
      <c r="O11" s="531">
        <f>problematic_way!BT59</f>
        <v>0.55319148936170215</v>
      </c>
      <c r="P11" s="164" t="s">
        <v>9801</v>
      </c>
      <c r="Q11" s="534" t="s">
        <v>9801</v>
      </c>
      <c r="R11" s="534" t="s">
        <v>9801</v>
      </c>
      <c r="S11" s="534" t="s">
        <v>9801</v>
      </c>
      <c r="T11" s="534" t="s">
        <v>9801</v>
      </c>
      <c r="U11" s="534" t="s">
        <v>9801</v>
      </c>
      <c r="V11" s="164" t="s">
        <v>9801</v>
      </c>
      <c r="W11" s="534" t="s">
        <v>9801</v>
      </c>
      <c r="X11" s="534" t="s">
        <v>9801</v>
      </c>
      <c r="Y11" s="534" t="s">
        <v>9801</v>
      </c>
      <c r="Z11" s="534" t="s">
        <v>9801</v>
      </c>
      <c r="AA11" s="534" t="s">
        <v>9801</v>
      </c>
      <c r="AB11" s="168" t="s">
        <v>11418</v>
      </c>
      <c r="AC11" s="79" t="s">
        <v>11420</v>
      </c>
      <c r="AD11" s="76" t="s">
        <v>9801</v>
      </c>
      <c r="AE11" s="175" t="s">
        <v>9801</v>
      </c>
    </row>
    <row r="12" spans="1:83" ht="48" x14ac:dyDescent="0.2">
      <c r="A12" s="198" t="s">
        <v>11392</v>
      </c>
      <c r="B12">
        <f>'Kalkulationen Barrieretypen'!J52</f>
        <v>563</v>
      </c>
      <c r="C12" s="37">
        <f>problematic_way!AC63</f>
        <v>27</v>
      </c>
      <c r="D12" s="166">
        <f>problematic_way!Q60</f>
        <v>4.3981481481481476E-3</v>
      </c>
      <c r="E12" s="539">
        <f>problematic_way!AT60</f>
        <v>1.759259259259259E-3</v>
      </c>
      <c r="F12" s="531">
        <f>problematic_way!AQ60</f>
        <v>0.44444444444444442</v>
      </c>
      <c r="G12" s="531">
        <v>1</v>
      </c>
      <c r="H12" s="539">
        <f>E12-D12</f>
        <v>-2.6388888888888885E-3</v>
      </c>
      <c r="I12" s="531">
        <f>problematic_way!AZ60</f>
        <v>0.48389958899239149</v>
      </c>
      <c r="J12" s="541">
        <f>problematic_way!Q64</f>
        <v>6.400462962962962E-3</v>
      </c>
      <c r="K12" s="251">
        <f>problematic_way!BP60</f>
        <v>6.4236111111111126E-3</v>
      </c>
      <c r="L12" s="531">
        <f>problematic_way!BH60</f>
        <v>0.66666666666666663</v>
      </c>
      <c r="M12" s="531">
        <v>1</v>
      </c>
      <c r="N12" s="539">
        <f t="shared" si="1"/>
        <v>2.314814814815061E-5</v>
      </c>
      <c r="O12" s="531">
        <f>problematic_way!BW60</f>
        <v>0.74881291547958218</v>
      </c>
      <c r="P12" s="166">
        <f>problematic_way!Q68</f>
        <v>9.7569444444444448E-3</v>
      </c>
      <c r="Q12" s="539">
        <f>problematic_way!CN59</f>
        <v>7.4189814814814804E-3</v>
      </c>
      <c r="R12" s="531">
        <f>problematic_way!CF59</f>
        <v>1</v>
      </c>
      <c r="S12" s="531">
        <v>1</v>
      </c>
      <c r="T12" s="539">
        <f>Q12-P12</f>
        <v>-2.3379629629629644E-3</v>
      </c>
      <c r="U12" s="531">
        <f>problematic_way!CS59</f>
        <v>0.78614502781169449</v>
      </c>
      <c r="V12" s="164" t="s">
        <v>9801</v>
      </c>
      <c r="W12" s="534" t="s">
        <v>9801</v>
      </c>
      <c r="X12" s="534" t="s">
        <v>9801</v>
      </c>
      <c r="Y12" s="534" t="s">
        <v>9801</v>
      </c>
      <c r="Z12" s="534" t="s">
        <v>9801</v>
      </c>
      <c r="AA12" s="534" t="s">
        <v>9801</v>
      </c>
      <c r="AB12" s="168" t="s">
        <v>11419</v>
      </c>
      <c r="AC12" s="79" t="s">
        <v>11421</v>
      </c>
      <c r="AD12" s="264" t="s">
        <v>11421</v>
      </c>
      <c r="AE12" s="175" t="s">
        <v>9801</v>
      </c>
    </row>
    <row r="13" spans="1:83" ht="48" x14ac:dyDescent="0.2">
      <c r="A13" s="198" t="s">
        <v>11393</v>
      </c>
      <c r="B13">
        <f>'Kalkulationen Barrieretypen'!J52</f>
        <v>563</v>
      </c>
      <c r="C13" s="37">
        <f>problematic_way!AD63</f>
        <v>30</v>
      </c>
      <c r="D13" s="166" t="s">
        <v>9801</v>
      </c>
      <c r="E13" s="539" t="s">
        <v>9801</v>
      </c>
      <c r="F13" s="531" t="s">
        <v>9801</v>
      </c>
      <c r="G13" s="531" t="s">
        <v>9801</v>
      </c>
      <c r="H13" s="539" t="s">
        <v>9801</v>
      </c>
      <c r="I13" s="531" t="s">
        <v>9801</v>
      </c>
      <c r="J13" s="541">
        <f>problematic_way!Q65</f>
        <v>4.8495370370370376E-3</v>
      </c>
      <c r="K13" s="251">
        <f>problematic_way!BP61</f>
        <v>9.6527777777777775E-3</v>
      </c>
      <c r="L13" s="531">
        <f>problematic_way!BL61</f>
        <v>0.8666666666666667</v>
      </c>
      <c r="M13" s="531">
        <v>1</v>
      </c>
      <c r="N13" s="539">
        <f t="shared" si="1"/>
        <v>4.8032407407407399E-3</v>
      </c>
      <c r="O13" s="531">
        <f>problematic_way!BZ61</f>
        <v>0.59487179487179498</v>
      </c>
      <c r="P13" s="166">
        <f>problematic_way!Q69</f>
        <v>5.7291666666666663E-3</v>
      </c>
      <c r="Q13" s="539">
        <f>problematic_way!CN60</f>
        <v>8.1828703703703699E-3</v>
      </c>
      <c r="R13" s="531">
        <f>problematic_way!CJ60</f>
        <v>0.96666666666666667</v>
      </c>
      <c r="S13" s="531">
        <v>1</v>
      </c>
      <c r="T13" s="539">
        <f>Q13-P13</f>
        <v>2.4537037037037036E-3</v>
      </c>
      <c r="U13" s="531">
        <f>problematic_way!CV60</f>
        <v>0.54999999999999993</v>
      </c>
      <c r="V13" s="164" t="s">
        <v>9801</v>
      </c>
      <c r="W13" s="534" t="s">
        <v>9801</v>
      </c>
      <c r="X13" s="534" t="s">
        <v>9801</v>
      </c>
      <c r="Y13" s="534" t="s">
        <v>9801</v>
      </c>
      <c r="Z13" s="534" t="s">
        <v>9801</v>
      </c>
      <c r="AA13" s="534" t="s">
        <v>9801</v>
      </c>
      <c r="AB13" s="168" t="s">
        <v>9801</v>
      </c>
      <c r="AC13" s="79" t="s">
        <v>11422</v>
      </c>
      <c r="AD13" s="79" t="s">
        <v>11422</v>
      </c>
      <c r="AE13" s="175" t="s">
        <v>9801</v>
      </c>
    </row>
    <row r="14" spans="1:83" ht="96" x14ac:dyDescent="0.2">
      <c r="A14" s="199" t="s">
        <v>125</v>
      </c>
      <c r="B14" s="169">
        <f>'Kalkulationen Barrieretypen'!J53</f>
        <v>128</v>
      </c>
      <c r="C14" s="170">
        <f t="shared" si="0"/>
        <v>30</v>
      </c>
      <c r="D14" s="177">
        <f>cross_drain!Q32</f>
        <v>0</v>
      </c>
      <c r="E14" s="543">
        <f>cross_drain!AQ32</f>
        <v>0</v>
      </c>
      <c r="F14" s="544">
        <f>cross_drain!AN32</f>
        <v>1</v>
      </c>
      <c r="G14" s="544">
        <f>cross_drain!AO32</f>
        <v>0</v>
      </c>
      <c r="H14" s="543" t="s">
        <v>9801</v>
      </c>
      <c r="I14" s="545" t="s">
        <v>11384</v>
      </c>
      <c r="J14" s="177">
        <f>cross_drain!Q33</f>
        <v>7.7314814814814807E-3</v>
      </c>
      <c r="K14" s="543">
        <f>cross_drain!BC32</f>
        <v>5.0462962962962961E-3</v>
      </c>
      <c r="L14" s="544">
        <f>cross_drain!BH34</f>
        <v>0.93333333333333335</v>
      </c>
      <c r="M14" s="544">
        <f>cross_drain!BA32</f>
        <v>1</v>
      </c>
      <c r="N14" s="543">
        <f>K14-J14</f>
        <v>-2.6851851851851846E-3</v>
      </c>
      <c r="O14" s="544">
        <f>cross_drain!BH32</f>
        <v>0.77500000000000002</v>
      </c>
      <c r="P14" s="179" t="s">
        <v>9801</v>
      </c>
      <c r="Q14" s="546" t="s">
        <v>9801</v>
      </c>
      <c r="R14" s="546" t="s">
        <v>9801</v>
      </c>
      <c r="S14" s="546" t="s">
        <v>9801</v>
      </c>
      <c r="T14" s="546" t="s">
        <v>9801</v>
      </c>
      <c r="U14" s="546" t="s">
        <v>9801</v>
      </c>
      <c r="V14" s="179" t="s">
        <v>9801</v>
      </c>
      <c r="W14" s="546" t="s">
        <v>9801</v>
      </c>
      <c r="X14" s="546" t="s">
        <v>9801</v>
      </c>
      <c r="Y14" s="546" t="s">
        <v>9801</v>
      </c>
      <c r="Z14" s="546" t="s">
        <v>9801</v>
      </c>
      <c r="AA14" s="546" t="s">
        <v>9801</v>
      </c>
      <c r="AB14" s="172" t="s">
        <v>11310</v>
      </c>
      <c r="AC14" s="173" t="s">
        <v>9801</v>
      </c>
      <c r="AD14" s="171" t="s">
        <v>9801</v>
      </c>
      <c r="AE14" s="176" t="s">
        <v>9801</v>
      </c>
    </row>
    <row r="15" spans="1:83" ht="16" x14ac:dyDescent="0.2">
      <c r="A15" s="198" t="s">
        <v>11948</v>
      </c>
      <c r="B15">
        <f>SUM(B2:B10)+B14</f>
        <v>1075</v>
      </c>
      <c r="C15">
        <f>SUM(C2:C10)+C14</f>
        <v>208</v>
      </c>
      <c r="F15" s="158">
        <f>AVERAGE(F2:F9, F11:F14)</f>
        <v>0.52147266313932983</v>
      </c>
      <c r="G15" s="158">
        <f>AVERAGE(G2:G9, G11:G14)</f>
        <v>0.26790123456790121</v>
      </c>
      <c r="H15" s="77">
        <f>SUM(H2:H14)</f>
        <v>-9.3518518518518612E-3</v>
      </c>
      <c r="I15" s="158">
        <f t="shared" ref="I15" si="2">AVERAGE(I2:I9, I11:I14)</f>
        <v>0.62122742250062302</v>
      </c>
      <c r="J15" s="158"/>
      <c r="K15" s="158"/>
      <c r="L15" s="158">
        <f t="shared" ref="L15:M15" si="3">AVERAGE(L2:L9, L11:L14)</f>
        <v>0.65168650793650806</v>
      </c>
      <c r="M15" s="158">
        <f t="shared" si="3"/>
        <v>0.84951973314042284</v>
      </c>
      <c r="N15" s="77">
        <f>SUM(N2:N14)</f>
        <v>1.0775462962962954E-2</v>
      </c>
      <c r="O15" s="158">
        <f t="shared" ref="O15" si="4">AVERAGE(O2:O9, O11:O14)</f>
        <v>0.68630509302145704</v>
      </c>
      <c r="P15" s="158"/>
      <c r="Q15" s="158"/>
      <c r="R15" s="158">
        <f t="shared" ref="R15" si="5">AVERAGE(R2:R9, R11:R14)</f>
        <v>0.98888888888888893</v>
      </c>
      <c r="S15" s="158">
        <f t="shared" ref="S15" si="6">AVERAGE(S2:S9, S11:S14)</f>
        <v>1</v>
      </c>
      <c r="T15" s="119">
        <f>SUM(T2:T14)</f>
        <v>-9.2592592592592726E-4</v>
      </c>
      <c r="U15" s="158">
        <f t="shared" ref="U15" si="7">AVERAGE(U2:U9, U11:U14)</f>
        <v>-0.2778887643143409</v>
      </c>
      <c r="V15" s="158"/>
      <c r="W15" s="158"/>
      <c r="X15" s="158">
        <f t="shared" ref="X15" si="8">AVERAGE(X2:X9, X11:X14)</f>
        <v>0</v>
      </c>
      <c r="Z15" s="42">
        <f>SUM(Z2:Z14)</f>
        <v>0</v>
      </c>
    </row>
    <row r="16" spans="1:83" ht="48" x14ac:dyDescent="0.2">
      <c r="A16" t="s">
        <v>9453</v>
      </c>
      <c r="D16" s="76" t="s">
        <v>11072</v>
      </c>
      <c r="F16" s="37" t="s">
        <v>11332</v>
      </c>
      <c r="G16" s="37" t="s">
        <v>11333</v>
      </c>
      <c r="I16" s="159" t="s">
        <v>11334</v>
      </c>
      <c r="L16" s="37" t="s">
        <v>11332</v>
      </c>
      <c r="M16" s="37" t="s">
        <v>11333</v>
      </c>
      <c r="O16" s="159" t="s">
        <v>11334</v>
      </c>
      <c r="P16" s="159"/>
      <c r="R16" s="37" t="s">
        <v>11332</v>
      </c>
      <c r="S16" s="37" t="s">
        <v>11333</v>
      </c>
      <c r="U16" s="159" t="s">
        <v>11334</v>
      </c>
      <c r="X16" s="37" t="s">
        <v>11332</v>
      </c>
      <c r="Y16" s="37" t="s">
        <v>11333</v>
      </c>
      <c r="AA16" s="159" t="s">
        <v>11334</v>
      </c>
    </row>
    <row r="17" spans="1:36" x14ac:dyDescent="0.2">
      <c r="A17" s="48" t="s">
        <v>9454</v>
      </c>
    </row>
    <row r="23" spans="1:36" s="100" customFormat="1" x14ac:dyDescent="0.2">
      <c r="A23" s="100" t="s">
        <v>37</v>
      </c>
      <c r="C23" s="101"/>
      <c r="D23" s="105"/>
      <c r="E23" s="105"/>
      <c r="F23" s="105"/>
      <c r="G23" s="105"/>
      <c r="H23" s="141"/>
      <c r="I23" s="141"/>
      <c r="J23" s="161"/>
      <c r="K23" s="102">
        <f>SUM('Infra3d - E'!T2:T10)</f>
        <v>1.1458333333333334E-2</v>
      </c>
      <c r="L23" s="102"/>
      <c r="M23" s="102"/>
      <c r="N23" s="142">
        <f>IF(D11&gt;K23, D11-K23,K23-D11)</f>
        <v>3.518518518518525E-3</v>
      </c>
      <c r="O23" s="141"/>
      <c r="P23" s="161"/>
      <c r="Q23" s="101"/>
      <c r="R23" s="101"/>
      <c r="S23" s="101"/>
      <c r="T23" s="101"/>
      <c r="U23" s="101"/>
      <c r="V23" s="101"/>
      <c r="AB23" s="101"/>
      <c r="AC23" s="103"/>
      <c r="AD23" s="101"/>
      <c r="AE23" s="101"/>
      <c r="AG23" s="104"/>
      <c r="AH23" s="104"/>
      <c r="AI23" s="104"/>
      <c r="AJ23" s="104"/>
    </row>
    <row r="24" spans="1:36" s="100" customFormat="1" x14ac:dyDescent="0.2">
      <c r="A24" s="105" t="s">
        <v>11073</v>
      </c>
      <c r="C24" s="101"/>
      <c r="D24" s="105"/>
      <c r="E24" s="105"/>
      <c r="F24" s="105"/>
      <c r="G24" s="105"/>
      <c r="H24" s="141"/>
      <c r="I24" s="141"/>
      <c r="J24" s="161"/>
      <c r="K24" s="101"/>
      <c r="L24" s="101"/>
      <c r="M24" s="101"/>
      <c r="N24" s="141"/>
      <c r="O24" s="141"/>
      <c r="P24" s="161"/>
      <c r="Q24" s="101"/>
      <c r="R24" s="101"/>
      <c r="S24" s="101"/>
      <c r="T24" s="101"/>
      <c r="U24" s="101"/>
      <c r="V24" s="101"/>
      <c r="AB24" s="101"/>
      <c r="AC24" s="103"/>
      <c r="AD24" s="101"/>
      <c r="AE24" s="101"/>
      <c r="AG24" s="104"/>
      <c r="AH24" s="104"/>
      <c r="AI24" s="104"/>
      <c r="AJ24" s="104"/>
    </row>
  </sheetData>
  <phoneticPr fontId="10" type="noConversion"/>
  <conditionalFormatting sqref="K4:M4 O4:P4 AF4:BB4">
    <cfRule type="duplicateValues" dxfId="17" priority="2"/>
  </conditionalFormatting>
  <conditionalFormatting sqref="K5:P5 AF5:BB5 AB5:AC5">
    <cfRule type="duplicateValues" dxfId="16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671C-5DF2-F64D-AF34-8DF75E8C159F}">
  <dimension ref="A1:BF6"/>
  <sheetViews>
    <sheetView topLeftCell="AU1" workbookViewId="0">
      <selection activeCell="AT2" sqref="AT2"/>
    </sheetView>
  </sheetViews>
  <sheetFormatPr baseColWidth="10" defaultColWidth="8.83203125" defaultRowHeight="15" x14ac:dyDescent="0.2"/>
  <cols>
    <col min="1" max="7" width="8.83203125" style="95"/>
    <col min="8" max="8" width="16" style="95" customWidth="1"/>
    <col min="9" max="16" width="8.83203125" style="95"/>
    <col min="17" max="17" width="10" style="98" customWidth="1"/>
    <col min="18" max="18" width="8.83203125" style="98"/>
    <col min="19" max="34" width="8.83203125" style="95"/>
    <col min="35" max="35" width="58.1640625" style="95" bestFit="1" customWidth="1"/>
    <col min="36" max="36" width="58.1640625" style="95" customWidth="1"/>
    <col min="37" max="58" width="15.83203125" style="95" customWidth="1"/>
    <col min="59" max="16384" width="8.83203125" style="95"/>
  </cols>
  <sheetData>
    <row r="1" spans="1:58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7" t="s">
        <v>9414</v>
      </c>
      <c r="R1" s="97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29</v>
      </c>
      <c r="AK1" s="124" t="s">
        <v>11076</v>
      </c>
      <c r="AL1" s="125" t="s">
        <v>11236</v>
      </c>
      <c r="AM1" s="125" t="s">
        <v>11082</v>
      </c>
      <c r="AN1" s="125" t="s">
        <v>11316</v>
      </c>
      <c r="AO1" s="125" t="s">
        <v>11327</v>
      </c>
      <c r="AP1" s="125" t="s">
        <v>11237</v>
      </c>
      <c r="AQ1" s="125" t="s">
        <v>11084</v>
      </c>
      <c r="AR1" s="125" t="s">
        <v>11238</v>
      </c>
      <c r="AS1" s="125" t="s">
        <v>11086</v>
      </c>
      <c r="AT1" s="125" t="s">
        <v>9821</v>
      </c>
      <c r="AU1" s="126" t="s">
        <v>11087</v>
      </c>
      <c r="AV1" s="124" t="s">
        <v>11241</v>
      </c>
      <c r="AW1" s="125" t="s">
        <v>11242</v>
      </c>
      <c r="AX1" s="125" t="s">
        <v>11243</v>
      </c>
      <c r="AY1" s="125" t="s">
        <v>11369</v>
      </c>
      <c r="AZ1" s="125" t="s">
        <v>11370</v>
      </c>
      <c r="BA1" s="125" t="s">
        <v>11244</v>
      </c>
      <c r="BB1" s="125" t="s">
        <v>11245</v>
      </c>
      <c r="BC1" s="125" t="s">
        <v>11246</v>
      </c>
      <c r="BD1" s="125" t="s">
        <v>11247</v>
      </c>
      <c r="BE1" s="125" t="s">
        <v>9822</v>
      </c>
      <c r="BF1" s="126" t="s">
        <v>11248</v>
      </c>
    </row>
    <row r="2" spans="1:58" x14ac:dyDescent="0.2">
      <c r="A2" s="95" t="s">
        <v>2377</v>
      </c>
      <c r="B2" s="95">
        <v>735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2378</v>
      </c>
      <c r="I2" s="95" t="s">
        <v>2376</v>
      </c>
      <c r="J2" s="95" t="s">
        <v>2379</v>
      </c>
      <c r="O2" s="95" t="s">
        <v>9785</v>
      </c>
      <c r="P2" s="95" t="s">
        <v>9784</v>
      </c>
      <c r="Q2" s="99">
        <v>4.8611111111111104E-4</v>
      </c>
      <c r="R2" s="99">
        <v>5.3240740740740744E-4</v>
      </c>
      <c r="S2" s="95">
        <v>0</v>
      </c>
      <c r="T2" s="95" t="s">
        <v>2380</v>
      </c>
      <c r="U2" s="95" t="s">
        <v>2381</v>
      </c>
      <c r="V2" s="95" t="s">
        <v>38</v>
      </c>
      <c r="Z2" s="95" t="b">
        <v>0</v>
      </c>
      <c r="AE2" s="95" t="s">
        <v>2025</v>
      </c>
      <c r="AF2" s="95" t="s">
        <v>9522</v>
      </c>
      <c r="AH2" s="95" t="b">
        <v>0</v>
      </c>
      <c r="AI2" s="47" t="s">
        <v>11097</v>
      </c>
      <c r="AJ2" s="47"/>
      <c r="AK2" s="120">
        <v>2.6620370370370372E-4</v>
      </c>
      <c r="AL2" s="107" t="s">
        <v>9801</v>
      </c>
      <c r="AM2" s="121">
        <v>0</v>
      </c>
      <c r="AN2" s="121" t="b">
        <f>IF(AK2&gt;0, TRUE, FALSE)</f>
        <v>1</v>
      </c>
      <c r="AO2" s="121" t="b">
        <f>IF(AM2&gt;0, TRUE, FALSE)</f>
        <v>0</v>
      </c>
      <c r="AP2" s="121">
        <f>AM2+AK2</f>
        <v>2.6620370370370372E-4</v>
      </c>
      <c r="AQ2" s="127">
        <f>AM2-Q2</f>
        <v>-4.8611111111111104E-4</v>
      </c>
      <c r="AR2" s="127">
        <f>AP2-R2</f>
        <v>-2.6620370370370372E-4</v>
      </c>
      <c r="AS2" s="107" t="s">
        <v>9801</v>
      </c>
      <c r="AT2" s="128" t="s">
        <v>9801</v>
      </c>
      <c r="AU2" s="129" t="s">
        <v>9801</v>
      </c>
      <c r="AV2" s="120">
        <v>0</v>
      </c>
      <c r="AW2" s="107" t="s">
        <v>9801</v>
      </c>
      <c r="AX2" s="121">
        <v>0</v>
      </c>
      <c r="AY2" s="121" t="b">
        <f>IF(AV2&gt;0, TRUE, FALSE)</f>
        <v>0</v>
      </c>
      <c r="AZ2" s="121"/>
      <c r="BA2" s="121">
        <f>AV2+AX2</f>
        <v>0</v>
      </c>
      <c r="BB2" s="127">
        <f>AX2-Q2</f>
        <v>-4.8611111111111104E-4</v>
      </c>
      <c r="BC2" s="127">
        <f>BA2-AA2</f>
        <v>0</v>
      </c>
      <c r="BD2" s="107" t="s">
        <v>9801</v>
      </c>
      <c r="BE2" s="128">
        <v>0</v>
      </c>
      <c r="BF2" s="129">
        <v>1</v>
      </c>
    </row>
    <row r="3" spans="1:58" x14ac:dyDescent="0.2">
      <c r="A3" s="95" t="s">
        <v>2382</v>
      </c>
      <c r="B3" s="95">
        <v>736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2383</v>
      </c>
      <c r="I3" s="95" t="s">
        <v>2384</v>
      </c>
      <c r="J3" s="95" t="s">
        <v>2385</v>
      </c>
      <c r="O3" s="95" t="s">
        <v>9783</v>
      </c>
      <c r="P3" s="95" t="s">
        <v>9783</v>
      </c>
      <c r="Q3" s="99">
        <v>2.3148148148148146E-4</v>
      </c>
      <c r="R3" s="99">
        <v>2.0023148148148148E-3</v>
      </c>
      <c r="S3" s="95">
        <v>0</v>
      </c>
      <c r="T3" s="95" t="s">
        <v>2380</v>
      </c>
      <c r="U3" s="95" t="s">
        <v>2381</v>
      </c>
      <c r="V3" s="95" t="s">
        <v>38</v>
      </c>
      <c r="Z3" s="95" t="b">
        <v>0</v>
      </c>
      <c r="AE3" s="95" t="s">
        <v>2025</v>
      </c>
      <c r="AF3" s="95" t="s">
        <v>9522</v>
      </c>
      <c r="AH3" s="95" t="b">
        <v>0</v>
      </c>
      <c r="AI3" s="47" t="s">
        <v>11098</v>
      </c>
      <c r="AJ3" s="47"/>
      <c r="AK3" s="120">
        <v>1.7361111111111112E-4</v>
      </c>
      <c r="AL3" s="107" t="s">
        <v>9801</v>
      </c>
      <c r="AM3" s="121">
        <v>0</v>
      </c>
      <c r="AN3" s="121" t="b">
        <f>IF(AK3&gt;0, TRUE, FALSE)</f>
        <v>1</v>
      </c>
      <c r="AO3" s="121" t="b">
        <f>IF(AM3&gt;0, TRUE, FALSE)</f>
        <v>0</v>
      </c>
      <c r="AP3" s="121">
        <f>AM3+AK3</f>
        <v>1.7361111111111112E-4</v>
      </c>
      <c r="AQ3" s="127">
        <f>QAQ3-Q3</f>
        <v>-2.3148148148148146E-4</v>
      </c>
      <c r="AR3" s="127">
        <f>AP3-R3</f>
        <v>-1.8287037037037037E-3</v>
      </c>
      <c r="AS3" s="107" t="s">
        <v>9801</v>
      </c>
      <c r="AT3" s="128" t="s">
        <v>9801</v>
      </c>
      <c r="AU3" s="129" t="s">
        <v>9801</v>
      </c>
      <c r="AV3" s="120">
        <v>3.9351851851851852E-4</v>
      </c>
      <c r="AW3" s="107">
        <v>111</v>
      </c>
      <c r="AX3" s="121">
        <v>5.4398148148148144E-4</v>
      </c>
      <c r="AY3" s="121" t="b">
        <f>IF(AV3&gt;0, TRUE, FALSE)</f>
        <v>1</v>
      </c>
      <c r="AZ3" s="121" t="b">
        <f>IF(AX3&gt;0, TRUE, FALSE)</f>
        <v>1</v>
      </c>
      <c r="BA3" s="121">
        <f>AV3+AX3</f>
        <v>9.3749999999999997E-4</v>
      </c>
      <c r="BB3" s="127">
        <f>AX3-Q3</f>
        <v>3.1249999999999995E-4</v>
      </c>
      <c r="BC3" s="127">
        <f>BA3-AA3</f>
        <v>9.3749999999999997E-4</v>
      </c>
      <c r="BD3" s="107">
        <f>IF(AW3&gt;X3, AW3-X3, X3-AW3)</f>
        <v>111</v>
      </c>
      <c r="BE3" s="128">
        <v>1</v>
      </c>
      <c r="BF3" s="129">
        <v>0</v>
      </c>
    </row>
    <row r="4" spans="1:58" x14ac:dyDescent="0.2">
      <c r="P4" s="95" t="s">
        <v>11385</v>
      </c>
      <c r="Q4" s="98">
        <f>SUMIFS(Q2:Q3, AN2:AN3, "TRUE", AO2:AO3, "TRUE")</f>
        <v>0</v>
      </c>
      <c r="W4" s="95" t="s">
        <v>9825</v>
      </c>
      <c r="X4" s="95">
        <f>SUM(X2:X3)</f>
        <v>0</v>
      </c>
      <c r="AJ4" s="123" t="s">
        <v>11288</v>
      </c>
      <c r="AK4" s="133">
        <f>SUM(AK2:AK3)</f>
        <v>4.3981481481481486E-4</v>
      </c>
      <c r="AL4" s="109">
        <f>SUMIFS(AL2:AL3,AN2:AN3, "TRUE",AO2:AO3, "TRUE")</f>
        <v>0</v>
      </c>
      <c r="AM4" s="135">
        <f>SUM(AM2:AM3)</f>
        <v>0</v>
      </c>
      <c r="AN4" s="181">
        <f>COUNTIF(AN2:AN3, "TRUE")/COUNTA(AN2:AN3)</f>
        <v>1</v>
      </c>
      <c r="AO4" s="181">
        <f>COUNTIF(AO2:AO3, "TRUE")/COUNTA(AO2:AO3)</f>
        <v>0</v>
      </c>
      <c r="AP4" s="135"/>
      <c r="AQ4" s="136">
        <f>SUMIFS(AQ2:AQ3,AN2:AN3, "TRUE", AO2:AO3, "TRUE")</f>
        <v>0</v>
      </c>
      <c r="AR4" s="136">
        <f>SUMIFS(AR2:AR3,AN2:AN3,"TRUE",AO2:AO3,"TRUE")</f>
        <v>0</v>
      </c>
      <c r="AS4" s="134"/>
      <c r="AT4" s="149" t="e">
        <f>AVERAGEIFS(AT2:AT3,AT2:AT3,"&gt;=0",AT2:AT3,"&lt;=100")</f>
        <v>#DIV/0!</v>
      </c>
      <c r="AU4" s="149" t="e">
        <f>AVERAGEIFS(AU2:AU3,AU2:AU3,"&gt;=0",AU2:AU3,"&lt;=100")</f>
        <v>#DIV/0!</v>
      </c>
      <c r="AV4" s="133">
        <f t="shared" ref="AV4:BC4" si="0">SUM(AV2:AV3)</f>
        <v>3.9351851851851852E-4</v>
      </c>
      <c r="AW4" s="109">
        <f>SUMIFS(AW2:AW3,AY2:AY3, "TRUE",AZ2:AZ3, "TRUE")</f>
        <v>111</v>
      </c>
      <c r="AX4" s="136">
        <f>SUMIFS(AX2:AX3,AY2:AY3, "TRUE", AZ2:AZ3, "TRUE")</f>
        <v>5.4398148148148144E-4</v>
      </c>
      <c r="AY4" s="181">
        <f>COUNTIF(AY2:AY3, "TRUE")/COUNTA(AY2:AY3)</f>
        <v>0.5</v>
      </c>
      <c r="AZ4" s="181">
        <f>COUNTIF(AZ2:AZ3, "TRUE")/COUNTA(AZ2:AZ3)</f>
        <v>1</v>
      </c>
      <c r="BA4" s="135">
        <f t="shared" si="0"/>
        <v>9.3749999999999997E-4</v>
      </c>
      <c r="BB4" s="136">
        <f>SUM(BB2:BB3)</f>
        <v>-1.7361111111111109E-4</v>
      </c>
      <c r="BC4" s="136">
        <f t="shared" si="0"/>
        <v>9.3749999999999997E-4</v>
      </c>
      <c r="BD4" s="134">
        <f>SUM(BD3)</f>
        <v>111</v>
      </c>
      <c r="BE4" s="149">
        <f>AVERAGEIFS(BE2:BE3,BE2:BE3,"&gt;=0",BE2:BE3,"&lt;=100")</f>
        <v>0.5</v>
      </c>
      <c r="BF4" s="149">
        <f>AVERAGEIFS(BF2:BF3,BF2:BF3,"&gt;=0",BF2:BF3,"&lt;=100")</f>
        <v>0.5</v>
      </c>
    </row>
    <row r="5" spans="1:58" x14ac:dyDescent="0.2">
      <c r="P5" s="95" t="s">
        <v>11386</v>
      </c>
      <c r="Q5" s="98">
        <f>SUMIFS(Q2:Q3, AY2:AY3, "TRUE", AZ2:AZ3, "TRUE")</f>
        <v>2.3148148148148146E-4</v>
      </c>
      <c r="AQ5" s="95" t="s">
        <v>11382</v>
      </c>
    </row>
    <row r="6" spans="1:58" x14ac:dyDescent="0.2">
      <c r="Q6" s="99"/>
      <c r="R6" s="9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4FDC3-808A-FC40-85BB-82AC31D921F6}">
  <dimension ref="A1:AX11"/>
  <sheetViews>
    <sheetView workbookViewId="0">
      <selection activeCell="AX15" sqref="AX15"/>
    </sheetView>
  </sheetViews>
  <sheetFormatPr baseColWidth="10" defaultRowHeight="15" x14ac:dyDescent="0.2"/>
  <cols>
    <col min="1" max="1" width="25.1640625" bestFit="1" customWidth="1"/>
    <col min="2" max="2" width="8.6640625" bestFit="1" customWidth="1"/>
    <col min="3" max="3" width="9.33203125" bestFit="1" customWidth="1"/>
    <col min="4" max="4" width="10.5" bestFit="1" customWidth="1"/>
    <col min="5" max="5" width="6.6640625" bestFit="1" customWidth="1"/>
    <col min="6" max="6" width="6.5" bestFit="1" customWidth="1"/>
    <col min="7" max="7" width="8.1640625" bestFit="1" customWidth="1"/>
    <col min="8" max="8" width="27" customWidth="1"/>
    <col min="9" max="9" width="17.1640625" bestFit="1" customWidth="1"/>
    <col min="10" max="10" width="59" bestFit="1" customWidth="1"/>
    <col min="11" max="11" width="9.83203125" bestFit="1" customWidth="1"/>
    <col min="12" max="12" width="6.1640625" bestFit="1" customWidth="1"/>
    <col min="13" max="13" width="13.1640625" bestFit="1" customWidth="1"/>
    <col min="14" max="14" width="9.6640625" bestFit="1" customWidth="1"/>
    <col min="15" max="15" width="9" bestFit="1" customWidth="1"/>
    <col min="16" max="16" width="9.5" bestFit="1" customWidth="1"/>
    <col min="17" max="17" width="12.1640625" bestFit="1" customWidth="1"/>
    <col min="18" max="18" width="20.5" bestFit="1" customWidth="1"/>
    <col min="19" max="19" width="3.6640625" bestFit="1" customWidth="1"/>
    <col min="20" max="20" width="24" bestFit="1" customWidth="1"/>
    <col min="21" max="21" width="16" bestFit="1" customWidth="1"/>
    <col min="22" max="22" width="24.83203125" bestFit="1" customWidth="1"/>
    <col min="23" max="23" width="10.33203125" bestFit="1" customWidth="1"/>
    <col min="24" max="24" width="8.5" bestFit="1" customWidth="1"/>
    <col min="25" max="25" width="7.83203125" bestFit="1" customWidth="1"/>
    <col min="26" max="26" width="14.1640625" bestFit="1" customWidth="1"/>
    <col min="27" max="27" width="6.6640625" bestFit="1" customWidth="1"/>
    <col min="28" max="28" width="5.6640625" bestFit="1" customWidth="1"/>
    <col min="29" max="29" width="14.5" bestFit="1" customWidth="1"/>
    <col min="30" max="30" width="12.33203125" bestFit="1" customWidth="1"/>
    <col min="31" max="31" width="4.5" bestFit="1" customWidth="1"/>
    <col min="32" max="32" width="9.1640625" bestFit="1" customWidth="1"/>
    <col min="33" max="34" width="6.33203125" bestFit="1" customWidth="1"/>
    <col min="35" max="35" width="58.1640625" bestFit="1" customWidth="1"/>
    <col min="36" max="36" width="58" bestFit="1" customWidth="1"/>
    <col min="37" max="37" width="58.1640625" bestFit="1" customWidth="1"/>
    <col min="38" max="39" width="58" bestFit="1" customWidth="1"/>
    <col min="40" max="40" width="20" style="89" customWidth="1"/>
    <col min="41" max="41" width="16.33203125" style="89" customWidth="1"/>
    <col min="42" max="44" width="18.83203125" style="89" customWidth="1"/>
    <col min="45" max="45" width="14.1640625" style="89" bestFit="1" customWidth="1"/>
    <col min="46" max="46" width="24.33203125" style="89" bestFit="1" customWidth="1"/>
    <col min="47" max="47" width="22.6640625" style="89" bestFit="1" customWidth="1"/>
    <col min="48" max="48" width="22" style="89" bestFit="1" customWidth="1"/>
    <col min="49" max="49" width="13.5" style="89" bestFit="1" customWidth="1"/>
    <col min="50" max="50" width="10.83203125" style="89"/>
  </cols>
  <sheetData>
    <row r="1" spans="1:50" s="6" customFormat="1" x14ac:dyDescent="0.2">
      <c r="A1" s="6" t="s">
        <v>0</v>
      </c>
      <c r="B1" s="6" t="s">
        <v>9452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9414</v>
      </c>
      <c r="R1" s="6" t="s">
        <v>9413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9400</v>
      </c>
      <c r="AH1" s="6" t="s">
        <v>9410</v>
      </c>
      <c r="AI1" s="6" t="s">
        <v>29</v>
      </c>
      <c r="AN1" s="82" t="s">
        <v>9803</v>
      </c>
      <c r="AO1" s="83" t="s">
        <v>9806</v>
      </c>
      <c r="AP1" s="83" t="s">
        <v>9798</v>
      </c>
      <c r="AQ1" s="182" t="s">
        <v>11369</v>
      </c>
      <c r="AR1" s="182" t="s">
        <v>11370</v>
      </c>
      <c r="AS1" s="83" t="s">
        <v>9807</v>
      </c>
      <c r="AT1" s="83" t="s">
        <v>9808</v>
      </c>
      <c r="AU1" s="83" t="s">
        <v>9809</v>
      </c>
      <c r="AV1" s="83" t="s">
        <v>9810</v>
      </c>
      <c r="AW1" s="83" t="s">
        <v>9826</v>
      </c>
      <c r="AX1" s="87" t="s">
        <v>9827</v>
      </c>
    </row>
    <row r="2" spans="1:50" ht="16" x14ac:dyDescent="0.25">
      <c r="A2" t="s">
        <v>97</v>
      </c>
      <c r="B2">
        <v>17</v>
      </c>
      <c r="C2" t="b">
        <v>0</v>
      </c>
      <c r="D2" t="b">
        <v>0</v>
      </c>
      <c r="E2" t="b">
        <v>0</v>
      </c>
      <c r="F2" t="b">
        <v>0</v>
      </c>
      <c r="G2" t="s">
        <v>31</v>
      </c>
      <c r="H2" t="s">
        <v>98</v>
      </c>
      <c r="I2" t="s">
        <v>99</v>
      </c>
      <c r="J2" t="s">
        <v>35</v>
      </c>
      <c r="K2" t="s">
        <v>35</v>
      </c>
      <c r="L2" t="s">
        <v>35</v>
      </c>
      <c r="M2" t="s">
        <v>35</v>
      </c>
      <c r="N2" t="s">
        <v>35</v>
      </c>
      <c r="O2" s="42">
        <v>44722.673215590279</v>
      </c>
      <c r="P2" s="42">
        <v>44722.67428175926</v>
      </c>
      <c r="Q2" s="42">
        <v>1.0648148148148147E-3</v>
      </c>
      <c r="R2" s="42">
        <v>8.3912037037037045E-3</v>
      </c>
      <c r="S2">
        <v>0</v>
      </c>
      <c r="T2" t="s">
        <v>100</v>
      </c>
      <c r="U2" t="s">
        <v>101</v>
      </c>
      <c r="V2" t="s">
        <v>38</v>
      </c>
      <c r="W2" t="s">
        <v>35</v>
      </c>
      <c r="X2">
        <v>94</v>
      </c>
      <c r="Y2" t="s">
        <v>35</v>
      </c>
      <c r="Z2" t="b">
        <v>0</v>
      </c>
      <c r="AA2" t="s">
        <v>35</v>
      </c>
      <c r="AB2" t="s">
        <v>35</v>
      </c>
      <c r="AC2" t="s">
        <v>35</v>
      </c>
      <c r="AD2" t="s">
        <v>35</v>
      </c>
      <c r="AE2" t="s">
        <v>39</v>
      </c>
      <c r="AF2" s="42">
        <v>44722.609722222223</v>
      </c>
      <c r="AG2" t="s">
        <v>9408</v>
      </c>
      <c r="AH2" t="b">
        <v>0</v>
      </c>
      <c r="AI2" s="110" t="s">
        <v>9788</v>
      </c>
      <c r="AN2" s="84">
        <v>9.6064814814814808E-4</v>
      </c>
      <c r="AO2" s="85">
        <v>120</v>
      </c>
      <c r="AP2" s="86">
        <v>5.4398148148148144E-4</v>
      </c>
      <c r="AQ2" s="121" t="b">
        <f>IF(AN2&gt;0, TRUE, FALSE)</f>
        <v>1</v>
      </c>
      <c r="AR2" s="121" t="b">
        <f>IF(AP2&gt;0, TRUE, FALSE)</f>
        <v>1</v>
      </c>
      <c r="AS2" s="86">
        <f>AN2+AP2</f>
        <v>1.5046296296296296E-3</v>
      </c>
      <c r="AT2" s="86">
        <f>AP2-Q2</f>
        <v>-5.2083333333333322E-4</v>
      </c>
      <c r="AU2" s="86">
        <f>AS2-R2</f>
        <v>-6.8865740740740745E-3</v>
      </c>
      <c r="AV2" s="85">
        <f>IF(X2&gt;AO2,X2-AO2,AO2-X2)</f>
        <v>26</v>
      </c>
      <c r="AW2" s="145">
        <f>1-ABS(AO2/X2-1)</f>
        <v>0.72340425531914887</v>
      </c>
      <c r="AX2" s="88">
        <f>ABS(AO2/X2-1)</f>
        <v>0.27659574468085113</v>
      </c>
    </row>
    <row r="3" spans="1:50" ht="16" x14ac:dyDescent="0.25">
      <c r="A3" t="s">
        <v>849</v>
      </c>
      <c r="B3">
        <v>254</v>
      </c>
      <c r="C3" t="b">
        <v>0</v>
      </c>
      <c r="D3" t="b">
        <v>0</v>
      </c>
      <c r="E3" t="b">
        <v>0</v>
      </c>
      <c r="F3" t="b">
        <v>0</v>
      </c>
      <c r="G3" t="s">
        <v>31</v>
      </c>
      <c r="H3" t="s">
        <v>850</v>
      </c>
      <c r="I3" t="s">
        <v>851</v>
      </c>
      <c r="J3" t="s">
        <v>852</v>
      </c>
      <c r="K3" t="s">
        <v>35</v>
      </c>
      <c r="L3" t="s">
        <v>35</v>
      </c>
      <c r="M3" t="s">
        <v>35</v>
      </c>
      <c r="N3" t="s">
        <v>35</v>
      </c>
      <c r="O3" s="42">
        <v>44737.501407766205</v>
      </c>
      <c r="P3" s="42">
        <v>44737.503135462961</v>
      </c>
      <c r="Q3" s="42">
        <v>1.7245370370370372E-3</v>
      </c>
      <c r="R3" s="42">
        <v>2.5810185185185185E-3</v>
      </c>
      <c r="S3">
        <v>0</v>
      </c>
      <c r="T3" t="s">
        <v>100</v>
      </c>
      <c r="U3" t="s">
        <v>101</v>
      </c>
      <c r="V3" t="s">
        <v>38</v>
      </c>
      <c r="W3" t="s">
        <v>35</v>
      </c>
      <c r="X3">
        <v>110</v>
      </c>
      <c r="Y3" t="s">
        <v>35</v>
      </c>
      <c r="Z3" t="b">
        <v>0</v>
      </c>
      <c r="AA3" t="s">
        <v>35</v>
      </c>
      <c r="AB3" t="s">
        <v>35</v>
      </c>
      <c r="AC3" t="s">
        <v>35</v>
      </c>
      <c r="AD3" t="s">
        <v>35</v>
      </c>
      <c r="AE3" t="s">
        <v>792</v>
      </c>
      <c r="AF3" s="42">
        <v>44737.463888831022</v>
      </c>
      <c r="AH3" t="b">
        <v>0</v>
      </c>
      <c r="AI3" t="s">
        <v>9789</v>
      </c>
      <c r="AJ3" t="s">
        <v>9790</v>
      </c>
      <c r="AK3" t="s">
        <v>9791</v>
      </c>
      <c r="AL3" t="s">
        <v>9792</v>
      </c>
      <c r="AM3" t="s">
        <v>9793</v>
      </c>
      <c r="AN3" s="84">
        <v>1.6319444444444445E-3</v>
      </c>
      <c r="AO3" s="85">
        <v>87</v>
      </c>
      <c r="AP3" s="86">
        <v>4.6296296296296293E-4</v>
      </c>
      <c r="AQ3" s="121" t="b">
        <f t="shared" ref="AQ3:AQ7" si="0">IF(AN3&gt;0, TRUE, FALSE)</f>
        <v>1</v>
      </c>
      <c r="AR3" s="121" t="b">
        <f t="shared" ref="AR3:AR7" si="1">IF(AP3&gt;0, TRUE, FALSE)</f>
        <v>1</v>
      </c>
      <c r="AS3" s="86">
        <f>AN3+AP3</f>
        <v>2.0949074074074073E-3</v>
      </c>
      <c r="AT3" s="86">
        <f t="shared" ref="AT3:AT7" si="2">AP3-Q3</f>
        <v>-1.2615740740740742E-3</v>
      </c>
      <c r="AU3" s="86">
        <f t="shared" ref="AU3:AU7" si="3">AS3-R3</f>
        <v>-4.8611111111111121E-4</v>
      </c>
      <c r="AV3" s="85">
        <f t="shared" ref="AV3:AV7" si="4">IF(X3&gt;AO3,X3-AO3,AO3-X3)</f>
        <v>23</v>
      </c>
      <c r="AW3" s="145">
        <f>1-ABS(AO3/X3-1)</f>
        <v>0.79090909090909089</v>
      </c>
      <c r="AX3" s="88">
        <f t="shared" ref="AX3:AX7" si="5">ABS(AO3/X3-1)</f>
        <v>0.20909090909090911</v>
      </c>
    </row>
    <row r="4" spans="1:50" ht="16" x14ac:dyDescent="0.25">
      <c r="A4" t="s">
        <v>1077</v>
      </c>
      <c r="B4">
        <v>326</v>
      </c>
      <c r="C4" t="b">
        <v>0</v>
      </c>
      <c r="D4" t="b">
        <v>0</v>
      </c>
      <c r="E4" t="b">
        <v>0</v>
      </c>
      <c r="F4" t="b">
        <v>0</v>
      </c>
      <c r="G4" t="s">
        <v>31</v>
      </c>
      <c r="H4" t="s">
        <v>1078</v>
      </c>
      <c r="I4" t="s">
        <v>1079</v>
      </c>
      <c r="J4" t="s">
        <v>1080</v>
      </c>
      <c r="K4" t="s">
        <v>35</v>
      </c>
      <c r="L4" t="s">
        <v>35</v>
      </c>
      <c r="M4" t="s">
        <v>35</v>
      </c>
      <c r="N4" t="s">
        <v>35</v>
      </c>
      <c r="O4" s="42">
        <v>44740.520946053242</v>
      </c>
      <c r="P4" s="42">
        <v>44740.522066712962</v>
      </c>
      <c r="Q4" s="42">
        <v>1.1226851851851851E-3</v>
      </c>
      <c r="R4" s="42">
        <v>1.25E-3</v>
      </c>
      <c r="S4">
        <v>0</v>
      </c>
      <c r="T4" t="s">
        <v>100</v>
      </c>
      <c r="U4" t="s">
        <v>101</v>
      </c>
      <c r="V4" t="s">
        <v>38</v>
      </c>
      <c r="W4" t="s">
        <v>35</v>
      </c>
      <c r="X4">
        <v>45</v>
      </c>
      <c r="Y4" t="s">
        <v>35</v>
      </c>
      <c r="Z4" t="b">
        <v>0</v>
      </c>
      <c r="AA4" t="s">
        <v>35</v>
      </c>
      <c r="AB4" t="s">
        <v>35</v>
      </c>
      <c r="AC4" t="s">
        <v>35</v>
      </c>
      <c r="AD4" t="s">
        <v>35</v>
      </c>
      <c r="AE4" t="s">
        <v>941</v>
      </c>
      <c r="AF4" s="42">
        <v>44740.448611053238</v>
      </c>
      <c r="AH4" t="b">
        <v>0</v>
      </c>
      <c r="AI4" t="s">
        <v>9794</v>
      </c>
      <c r="AN4" s="84">
        <v>0</v>
      </c>
      <c r="AO4" s="85" t="s">
        <v>9801</v>
      </c>
      <c r="AP4" s="86">
        <v>0</v>
      </c>
      <c r="AQ4" s="121" t="b">
        <f>IF(AN4&gt;0, TRUE, FALSE)</f>
        <v>0</v>
      </c>
      <c r="AR4" s="121"/>
      <c r="AS4" s="86" t="s">
        <v>9801</v>
      </c>
      <c r="AT4" s="86">
        <f t="shared" si="2"/>
        <v>-1.1226851851851851E-3</v>
      </c>
      <c r="AU4" s="86"/>
      <c r="AV4" s="85" t="s">
        <v>9801</v>
      </c>
      <c r="AW4" s="145">
        <v>0</v>
      </c>
      <c r="AX4" s="88">
        <v>1</v>
      </c>
    </row>
    <row r="5" spans="1:50" ht="16" x14ac:dyDescent="0.25">
      <c r="A5" t="s">
        <v>1132</v>
      </c>
      <c r="B5">
        <v>341</v>
      </c>
      <c r="C5" t="b">
        <v>0</v>
      </c>
      <c r="D5" t="b">
        <v>0</v>
      </c>
      <c r="E5" t="b">
        <v>0</v>
      </c>
      <c r="F5" t="b">
        <v>0</v>
      </c>
      <c r="G5" t="s">
        <v>31</v>
      </c>
      <c r="H5" t="s">
        <v>1133</v>
      </c>
      <c r="I5" t="s">
        <v>1134</v>
      </c>
      <c r="J5" t="s">
        <v>35</v>
      </c>
      <c r="K5" t="s">
        <v>35</v>
      </c>
      <c r="L5" t="s">
        <v>35</v>
      </c>
      <c r="M5" t="s">
        <v>35</v>
      </c>
      <c r="N5" t="s">
        <v>35</v>
      </c>
      <c r="O5" s="42">
        <v>44743.612293819446</v>
      </c>
      <c r="P5" s="42">
        <v>44743.612608263888</v>
      </c>
      <c r="Q5" s="42">
        <v>3.1250000000000001E-4</v>
      </c>
      <c r="R5" s="42">
        <v>1.2847222222222223E-3</v>
      </c>
      <c r="S5">
        <v>0</v>
      </c>
      <c r="T5" t="s">
        <v>100</v>
      </c>
      <c r="U5" t="s">
        <v>101</v>
      </c>
      <c r="V5" t="s">
        <v>38</v>
      </c>
      <c r="W5" t="s">
        <v>35</v>
      </c>
      <c r="X5">
        <v>113</v>
      </c>
      <c r="Y5" t="s">
        <v>35</v>
      </c>
      <c r="Z5" t="b">
        <v>0</v>
      </c>
      <c r="AA5" t="s">
        <v>35</v>
      </c>
      <c r="AB5" t="s">
        <v>35</v>
      </c>
      <c r="AC5" t="s">
        <v>35</v>
      </c>
      <c r="AD5" t="s">
        <v>35</v>
      </c>
      <c r="AE5" t="s">
        <v>1117</v>
      </c>
      <c r="AF5" s="42">
        <v>44743.590972164355</v>
      </c>
      <c r="AH5" t="b">
        <v>0</v>
      </c>
      <c r="AI5" t="s">
        <v>9795</v>
      </c>
      <c r="AN5" s="84">
        <v>6.018518518518519E-4</v>
      </c>
      <c r="AO5" s="85">
        <v>152</v>
      </c>
      <c r="AP5" s="86">
        <v>1.5277777777777779E-3</v>
      </c>
      <c r="AQ5" s="121" t="b">
        <f t="shared" si="0"/>
        <v>1</v>
      </c>
      <c r="AR5" s="121" t="b">
        <f t="shared" si="1"/>
        <v>1</v>
      </c>
      <c r="AS5" s="86">
        <f>AN5+AP5</f>
        <v>2.1296296296296298E-3</v>
      </c>
      <c r="AT5" s="86">
        <f t="shared" si="2"/>
        <v>1.2152777777777778E-3</v>
      </c>
      <c r="AU5" s="86">
        <f t="shared" si="3"/>
        <v>8.449074074074075E-4</v>
      </c>
      <c r="AV5" s="85">
        <f t="shared" si="4"/>
        <v>39</v>
      </c>
      <c r="AW5" s="145">
        <f t="shared" ref="AW5:AW7" si="6">1-ABS(AO5/X5-1)</f>
        <v>0.65486725663716805</v>
      </c>
      <c r="AX5" s="88">
        <f t="shared" si="5"/>
        <v>0.34513274336283195</v>
      </c>
    </row>
    <row r="6" spans="1:50" ht="16" x14ac:dyDescent="0.25">
      <c r="A6" t="s">
        <v>1135</v>
      </c>
      <c r="B6">
        <v>342</v>
      </c>
      <c r="C6" t="b">
        <v>0</v>
      </c>
      <c r="D6" t="b">
        <v>0</v>
      </c>
      <c r="E6" t="b">
        <v>0</v>
      </c>
      <c r="F6" t="b">
        <v>0</v>
      </c>
      <c r="G6" t="s">
        <v>31</v>
      </c>
      <c r="H6" t="s">
        <v>1136</v>
      </c>
      <c r="I6" t="s">
        <v>1137</v>
      </c>
      <c r="J6" t="s">
        <v>35</v>
      </c>
      <c r="K6" t="s">
        <v>35</v>
      </c>
      <c r="L6" t="s">
        <v>35</v>
      </c>
      <c r="M6" t="s">
        <v>35</v>
      </c>
      <c r="N6" t="s">
        <v>35</v>
      </c>
      <c r="O6" s="42">
        <v>44743.613095613429</v>
      </c>
      <c r="P6" s="42">
        <v>44743.613250844908</v>
      </c>
      <c r="Q6" s="42">
        <v>1.5046296296296297E-4</v>
      </c>
      <c r="R6" s="42">
        <v>6.4814814814814813E-4</v>
      </c>
      <c r="S6">
        <v>0</v>
      </c>
      <c r="T6" t="s">
        <v>100</v>
      </c>
      <c r="U6" t="s">
        <v>101</v>
      </c>
      <c r="V6" t="s">
        <v>38</v>
      </c>
      <c r="W6" t="s">
        <v>35</v>
      </c>
      <c r="X6">
        <v>113</v>
      </c>
      <c r="Y6" t="s">
        <v>35</v>
      </c>
      <c r="Z6" t="b">
        <v>0</v>
      </c>
      <c r="AA6" t="s">
        <v>35</v>
      </c>
      <c r="AB6" t="s">
        <v>35</v>
      </c>
      <c r="AC6" t="s">
        <v>35</v>
      </c>
      <c r="AD6" t="s">
        <v>35</v>
      </c>
      <c r="AE6" t="s">
        <v>1117</v>
      </c>
      <c r="AF6" s="42">
        <v>44743.590972164355</v>
      </c>
      <c r="AH6" t="b">
        <v>0</v>
      </c>
      <c r="AI6" t="s">
        <v>9796</v>
      </c>
      <c r="AN6" s="84">
        <v>5.5555555555555556E-4</v>
      </c>
      <c r="AO6" s="85">
        <v>313</v>
      </c>
      <c r="AP6" s="86">
        <v>9.2592592592592588E-5</v>
      </c>
      <c r="AQ6" s="121" t="b">
        <f t="shared" si="0"/>
        <v>1</v>
      </c>
      <c r="AR6" s="121" t="b">
        <f t="shared" si="1"/>
        <v>1</v>
      </c>
      <c r="AS6" s="86">
        <f>AN6+AP6</f>
        <v>6.4814814814814813E-4</v>
      </c>
      <c r="AT6" s="86">
        <f t="shared" si="2"/>
        <v>-5.7870370370370386E-5</v>
      </c>
      <c r="AU6" s="86">
        <f t="shared" si="3"/>
        <v>0</v>
      </c>
      <c r="AV6" s="85">
        <f t="shared" si="4"/>
        <v>200</v>
      </c>
      <c r="AW6" s="145">
        <f t="shared" si="6"/>
        <v>-0.76991150442477885</v>
      </c>
      <c r="AX6" s="88">
        <f t="shared" si="5"/>
        <v>1.7699115044247788</v>
      </c>
    </row>
    <row r="7" spans="1:50" ht="16" x14ac:dyDescent="0.25">
      <c r="A7" t="s">
        <v>3584</v>
      </c>
      <c r="B7">
        <v>1114</v>
      </c>
      <c r="C7" t="b">
        <v>0</v>
      </c>
      <c r="D7" t="b">
        <v>0</v>
      </c>
      <c r="E7" t="b">
        <v>0</v>
      </c>
      <c r="F7" t="b">
        <v>0</v>
      </c>
      <c r="G7" t="s">
        <v>31</v>
      </c>
      <c r="H7" t="s">
        <v>3585</v>
      </c>
      <c r="I7" t="s">
        <v>3586</v>
      </c>
      <c r="J7" t="s">
        <v>35</v>
      </c>
      <c r="K7" t="s">
        <v>35</v>
      </c>
      <c r="L7" t="s">
        <v>35</v>
      </c>
      <c r="M7" t="s">
        <v>35</v>
      </c>
      <c r="N7" t="s">
        <v>35</v>
      </c>
      <c r="O7" s="42">
        <v>44769.419076782404</v>
      </c>
      <c r="P7" s="42">
        <v>44769.419198553238</v>
      </c>
      <c r="Q7" s="42">
        <v>1.273148148148148E-4</v>
      </c>
      <c r="R7" s="42">
        <v>4.5138888888888892E-4</v>
      </c>
      <c r="S7">
        <v>0</v>
      </c>
      <c r="T7" t="s">
        <v>100</v>
      </c>
      <c r="U7" t="s">
        <v>101</v>
      </c>
      <c r="V7" t="s">
        <v>38</v>
      </c>
      <c r="W7" t="s">
        <v>35</v>
      </c>
      <c r="X7">
        <v>110</v>
      </c>
      <c r="Y7" t="s">
        <v>35</v>
      </c>
      <c r="Z7" t="b">
        <v>0</v>
      </c>
      <c r="AA7" t="s">
        <v>35</v>
      </c>
      <c r="AB7" t="s">
        <v>35</v>
      </c>
      <c r="AC7" t="s">
        <v>35</v>
      </c>
      <c r="AD7" t="s">
        <v>35</v>
      </c>
      <c r="AE7" t="s">
        <v>2840</v>
      </c>
      <c r="AF7" s="42">
        <v>44769.384722222225</v>
      </c>
      <c r="AH7" t="b">
        <v>0</v>
      </c>
      <c r="AI7" t="s">
        <v>9797</v>
      </c>
      <c r="AN7" s="84">
        <v>8.7962962962962962E-4</v>
      </c>
      <c r="AO7" s="85">
        <v>143</v>
      </c>
      <c r="AP7" s="86">
        <v>1.1342592592592591E-3</v>
      </c>
      <c r="AQ7" s="121" t="b">
        <f t="shared" si="0"/>
        <v>1</v>
      </c>
      <c r="AR7" s="121" t="b">
        <f t="shared" si="1"/>
        <v>1</v>
      </c>
      <c r="AS7" s="86">
        <f>AN7+AP7</f>
        <v>2.0138888888888888E-3</v>
      </c>
      <c r="AT7" s="86">
        <f t="shared" si="2"/>
        <v>1.0069444444444444E-3</v>
      </c>
      <c r="AU7" s="86">
        <f t="shared" si="3"/>
        <v>1.5624999999999999E-3</v>
      </c>
      <c r="AV7" s="85">
        <f t="shared" si="4"/>
        <v>33</v>
      </c>
      <c r="AW7" s="145">
        <f t="shared" si="6"/>
        <v>0.7</v>
      </c>
      <c r="AX7" s="88">
        <f t="shared" si="5"/>
        <v>0.30000000000000004</v>
      </c>
    </row>
    <row r="8" spans="1:50" ht="16" x14ac:dyDescent="0.25">
      <c r="P8" t="s">
        <v>11390</v>
      </c>
      <c r="Q8" s="42">
        <f>SUMIFS(Q2:Q7, AR2:AR7, "TRUE")</f>
        <v>3.3796296296296296E-3</v>
      </c>
      <c r="W8" t="s">
        <v>9825</v>
      </c>
      <c r="X8">
        <f>SUM(X2:X7)</f>
        <v>585</v>
      </c>
      <c r="AM8" s="49" t="s">
        <v>11288</v>
      </c>
      <c r="AN8" s="146">
        <f t="shared" ref="AN8:AV8" si="7">SUM(AN2:AN7)</f>
        <v>4.6296296296296294E-3</v>
      </c>
      <c r="AO8" s="83">
        <f t="shared" si="7"/>
        <v>815</v>
      </c>
      <c r="AP8" s="147">
        <f>SUM(AP2:AP7)</f>
        <v>3.7615740740740734E-3</v>
      </c>
      <c r="AQ8" s="183">
        <f>COUNTIF(AQ2:AQ7, "TRUE")/COUNTA(AQ2:AQ7)</f>
        <v>0.83333333333333337</v>
      </c>
      <c r="AR8" s="183">
        <f>COUNTIF(AR2:AR7, "TRUE")/COUNTA(AR2:AR7)</f>
        <v>1</v>
      </c>
      <c r="AS8" s="147">
        <f t="shared" si="7"/>
        <v>8.3912037037037028E-3</v>
      </c>
      <c r="AT8" s="147">
        <f>SUM(AT2:AT7)</f>
        <v>-7.4074074074074103E-4</v>
      </c>
      <c r="AU8" s="147">
        <f t="shared" si="7"/>
        <v>-4.9652777777777785E-3</v>
      </c>
      <c r="AV8" s="148">
        <f t="shared" si="7"/>
        <v>321</v>
      </c>
      <c r="AW8" s="144">
        <f>AVERAGEIFS(AW2:AW7,AR2:AR7, "TRUE")</f>
        <v>0.41985381968812591</v>
      </c>
      <c r="AX8" s="144">
        <f>AVERAGEIFS(AX2:AX7,AR2:AR7, "TRUE")</f>
        <v>0.58014618031187426</v>
      </c>
    </row>
    <row r="9" spans="1:50" x14ac:dyDescent="0.2">
      <c r="AN9" s="90" t="s">
        <v>9804</v>
      </c>
      <c r="AO9" s="91"/>
      <c r="AP9" s="91" t="s">
        <v>9805</v>
      </c>
      <c r="AQ9" s="91"/>
      <c r="AR9" s="91"/>
      <c r="AS9" s="91"/>
      <c r="AT9" s="91"/>
      <c r="AU9" s="91"/>
      <c r="AV9" s="91"/>
      <c r="AW9" s="91"/>
      <c r="AX9" s="92"/>
    </row>
    <row r="11" spans="1:50" x14ac:dyDescent="0.2">
      <c r="Q11" s="42"/>
      <c r="R11" s="42"/>
    </row>
  </sheetData>
  <hyperlinks>
    <hyperlink ref="AI2" r:id="rId1" xr:uid="{C5FF0157-BE3D-A14C-A670-A960C0479EA3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3667-E292-D641-8A36-393269615D3D}">
  <dimension ref="A1:BH33"/>
  <sheetViews>
    <sheetView topLeftCell="AT5" workbookViewId="0">
      <selection activeCell="BG9" sqref="BG9"/>
    </sheetView>
  </sheetViews>
  <sheetFormatPr baseColWidth="10" defaultColWidth="8.83203125" defaultRowHeight="15" x14ac:dyDescent="0.2"/>
  <cols>
    <col min="1" max="16" width="8.83203125" style="95"/>
    <col min="17" max="17" width="12.1640625" style="95" customWidth="1"/>
    <col min="18" max="18" width="19.33203125" style="95" customWidth="1"/>
    <col min="19" max="34" width="8.83203125" style="95"/>
    <col min="35" max="35" width="58.33203125" style="95" bestFit="1" customWidth="1"/>
    <col min="36" max="36" width="16.1640625" style="95" customWidth="1"/>
    <col min="37" max="48" width="15.83203125" style="95" customWidth="1"/>
    <col min="49" max="49" width="13.83203125" style="95" customWidth="1"/>
    <col min="50" max="50" width="10" style="95" customWidth="1"/>
    <col min="51" max="51" width="11" style="95" customWidth="1"/>
    <col min="52" max="52" width="15.33203125" style="95" customWidth="1"/>
    <col min="53" max="53" width="9.1640625" style="95" customWidth="1"/>
    <col min="54" max="54" width="10.5" style="95" customWidth="1"/>
    <col min="55" max="55" width="13.33203125" style="95" customWidth="1"/>
    <col min="56" max="56" width="13" style="95" customWidth="1"/>
    <col min="57" max="57" width="11.5" style="95" customWidth="1"/>
    <col min="58" max="16384" width="8.83203125" style="95"/>
  </cols>
  <sheetData>
    <row r="1" spans="1:60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29</v>
      </c>
      <c r="AK1" s="124" t="s">
        <v>9803</v>
      </c>
      <c r="AL1" s="125" t="s">
        <v>11250</v>
      </c>
      <c r="AM1" s="125" t="s">
        <v>11251</v>
      </c>
      <c r="AN1" s="125" t="s">
        <v>9798</v>
      </c>
      <c r="AO1" s="182" t="s">
        <v>11369</v>
      </c>
      <c r="AP1" s="182" t="s">
        <v>11370</v>
      </c>
      <c r="AQ1" s="125" t="s">
        <v>9807</v>
      </c>
      <c r="AR1" s="125" t="s">
        <v>9808</v>
      </c>
      <c r="AS1" s="125" t="s">
        <v>9809</v>
      </c>
      <c r="AT1" s="125" t="s">
        <v>9810</v>
      </c>
      <c r="AU1" s="125" t="s">
        <v>9826</v>
      </c>
      <c r="AV1" s="126" t="s">
        <v>9827</v>
      </c>
      <c r="AW1" s="124" t="s">
        <v>11076</v>
      </c>
      <c r="AX1" s="125" t="s">
        <v>11941</v>
      </c>
      <c r="AY1" s="125" t="s">
        <v>11942</v>
      </c>
      <c r="AZ1" s="125" t="s">
        <v>11082</v>
      </c>
      <c r="BA1" s="106" t="s">
        <v>11316</v>
      </c>
      <c r="BB1" s="106" t="s">
        <v>11327</v>
      </c>
      <c r="BC1" s="125" t="s">
        <v>11237</v>
      </c>
      <c r="BD1" s="125" t="s">
        <v>11084</v>
      </c>
      <c r="BE1" s="125" t="s">
        <v>11238</v>
      </c>
      <c r="BF1" s="125" t="s">
        <v>11086</v>
      </c>
      <c r="BG1" s="125" t="s">
        <v>9821</v>
      </c>
      <c r="BH1" s="126" t="s">
        <v>11087</v>
      </c>
    </row>
    <row r="2" spans="1:60" ht="16" x14ac:dyDescent="0.25">
      <c r="A2" s="95" t="s">
        <v>267</v>
      </c>
      <c r="B2" s="95">
        <v>68</v>
      </c>
      <c r="C2" s="95" t="b">
        <v>0</v>
      </c>
      <c r="D2" s="95" t="b">
        <v>0</v>
      </c>
      <c r="E2" s="95" t="b">
        <v>0</v>
      </c>
      <c r="F2" s="95" t="b">
        <v>1</v>
      </c>
      <c r="G2" s="95" t="s">
        <v>31</v>
      </c>
      <c r="H2" s="95" t="s">
        <v>268</v>
      </c>
      <c r="I2" s="95" t="s">
        <v>269</v>
      </c>
      <c r="J2" s="95" t="s">
        <v>270</v>
      </c>
      <c r="L2" s="95">
        <v>11</v>
      </c>
      <c r="O2" s="95" t="s">
        <v>10857</v>
      </c>
      <c r="P2" s="95" t="s">
        <v>10856</v>
      </c>
      <c r="Q2" s="98">
        <v>7.407407407407407E-4</v>
      </c>
      <c r="R2" s="98">
        <v>9.8379629629629642E-4</v>
      </c>
      <c r="S2" s="95">
        <v>0</v>
      </c>
      <c r="T2" s="95" t="s">
        <v>265</v>
      </c>
      <c r="U2" s="95" t="s">
        <v>266</v>
      </c>
      <c r="V2" s="95" t="s">
        <v>38</v>
      </c>
      <c r="Z2" s="95" t="b">
        <v>0</v>
      </c>
      <c r="AE2" s="95" t="s">
        <v>207</v>
      </c>
      <c r="AF2" s="95" t="s">
        <v>9564</v>
      </c>
      <c r="AH2" s="95" t="b">
        <v>0</v>
      </c>
      <c r="AI2" s="47" t="s">
        <v>9856</v>
      </c>
      <c r="AK2" s="84">
        <v>2.199074074074074E-4</v>
      </c>
      <c r="AL2" s="85">
        <v>18</v>
      </c>
      <c r="AM2" s="85" t="s">
        <v>11252</v>
      </c>
      <c r="AN2" s="86">
        <v>4.9768518518518521E-4</v>
      </c>
      <c r="AO2" s="122" t="b">
        <f t="shared" ref="AO2:AO31" si="0">IF(AK2&gt;0, TRUE, FALSE)</f>
        <v>1</v>
      </c>
      <c r="AP2" s="122" t="b">
        <f t="shared" ref="AP2:AP16" si="1">IF(AN2&gt;0, TRUE, FALSE)</f>
        <v>1</v>
      </c>
      <c r="AQ2" s="86">
        <f t="shared" ref="AQ2:AQ31" si="2">AK2+AN2</f>
        <v>7.1759259259259259E-4</v>
      </c>
      <c r="AR2" s="86">
        <f t="shared" ref="AR2:AR31" si="3">AN2-Q2</f>
        <v>-2.4305555555555549E-4</v>
      </c>
      <c r="AS2" s="86">
        <f t="shared" ref="AS2:AS31" si="4">AQ2-R2</f>
        <v>-2.6620370370370383E-4</v>
      </c>
      <c r="AT2" s="85">
        <f>IF(L2&gt;AL2,L2-AL2,AL2-L2)</f>
        <v>7</v>
      </c>
      <c r="AU2" s="145">
        <f>1-ABS(AL2/L2-1)</f>
        <v>0.36363636363636354</v>
      </c>
      <c r="AV2" s="88">
        <f>ABS(AL2/L2-1)</f>
        <v>0.63636363636363646</v>
      </c>
      <c r="AW2" s="120">
        <v>4.8611111111111104E-4</v>
      </c>
      <c r="AX2" s="107" t="s">
        <v>11450</v>
      </c>
      <c r="AY2" s="107" t="s">
        <v>9801</v>
      </c>
      <c r="AZ2" s="121">
        <v>0</v>
      </c>
      <c r="BA2" s="121" t="b">
        <f>IF(AW2&gt;0, TRUE, FALSE)</f>
        <v>1</v>
      </c>
      <c r="BB2" s="121" t="b">
        <f t="shared" ref="BB2:BB31" si="5">IF(AZ2&gt;0, TRUE, FALSE)</f>
        <v>0</v>
      </c>
      <c r="BC2" s="86">
        <f t="shared" ref="BC2:BC31" si="6">AW2+AZ2</f>
        <v>4.8611111111111104E-4</v>
      </c>
      <c r="BD2" s="86">
        <f>AZ2-Q2</f>
        <v>-7.407407407407407E-4</v>
      </c>
      <c r="BE2" s="86">
        <f>BC2-R2</f>
        <v>-4.9768518518518543E-4</v>
      </c>
      <c r="BF2" s="107" t="s">
        <v>9801</v>
      </c>
      <c r="BG2" s="128">
        <v>0</v>
      </c>
      <c r="BH2" s="128">
        <v>1</v>
      </c>
    </row>
    <row r="3" spans="1:60" ht="16" x14ac:dyDescent="0.25">
      <c r="A3" s="95" t="s">
        <v>275</v>
      </c>
      <c r="B3" s="95">
        <v>70</v>
      </c>
      <c r="C3" s="95" t="b">
        <v>0</v>
      </c>
      <c r="D3" s="95" t="b">
        <v>0</v>
      </c>
      <c r="E3" s="95" t="b">
        <v>0</v>
      </c>
      <c r="F3" s="95" t="b">
        <v>1</v>
      </c>
      <c r="G3" s="95" t="s">
        <v>31</v>
      </c>
      <c r="H3" s="95" t="s">
        <v>276</v>
      </c>
      <c r="I3" s="95" t="s">
        <v>277</v>
      </c>
      <c r="J3" s="95" t="s">
        <v>278</v>
      </c>
      <c r="L3" s="95">
        <v>11</v>
      </c>
      <c r="O3" s="95" t="s">
        <v>10912</v>
      </c>
      <c r="P3" s="95" t="s">
        <v>10911</v>
      </c>
      <c r="Q3" s="98">
        <v>3.4722222222222224E-4</v>
      </c>
      <c r="R3" s="98">
        <v>4.7453703703703703E-3</v>
      </c>
      <c r="S3" s="95">
        <v>0</v>
      </c>
      <c r="T3" s="95" t="s">
        <v>265</v>
      </c>
      <c r="U3" s="95" t="s">
        <v>266</v>
      </c>
      <c r="V3" s="95" t="s">
        <v>38</v>
      </c>
      <c r="Z3" s="95" t="b">
        <v>0</v>
      </c>
      <c r="AE3" s="95" t="s">
        <v>207</v>
      </c>
      <c r="AF3" s="95" t="s">
        <v>9564</v>
      </c>
      <c r="AH3" s="95" t="b">
        <v>0</v>
      </c>
      <c r="AI3" s="95" t="s">
        <v>9716</v>
      </c>
      <c r="AK3" s="84">
        <v>4.1666666666666669E-4</v>
      </c>
      <c r="AL3" s="85">
        <v>16</v>
      </c>
      <c r="AM3" s="85" t="s">
        <v>11252</v>
      </c>
      <c r="AN3" s="86">
        <v>6.7129629629629625E-4</v>
      </c>
      <c r="AO3" s="122" t="b">
        <f t="shared" si="0"/>
        <v>1</v>
      </c>
      <c r="AP3" s="122" t="b">
        <f t="shared" si="1"/>
        <v>1</v>
      </c>
      <c r="AQ3" s="86">
        <f t="shared" si="2"/>
        <v>1.0879629629629629E-3</v>
      </c>
      <c r="AR3" s="86">
        <f t="shared" si="3"/>
        <v>3.2407407407407401E-4</v>
      </c>
      <c r="AS3" s="86">
        <f t="shared" si="4"/>
        <v>-3.6574074074074074E-3</v>
      </c>
      <c r="AT3" s="85">
        <f t="shared" ref="AT3:AT31" si="7">IF(L3&gt;AL3,L3-AL3,AL3-L3)</f>
        <v>5</v>
      </c>
      <c r="AU3" s="145">
        <f t="shared" ref="AU3:AU31" si="8">1-ABS(AL3/L3-1)</f>
        <v>0.54545454545454541</v>
      </c>
      <c r="AV3" s="88">
        <f>ABS(AL3/L3-1)</f>
        <v>0.45454545454545459</v>
      </c>
      <c r="AW3" s="120">
        <v>3.2407407407407406E-4</v>
      </c>
      <c r="AX3" s="107" t="s">
        <v>11450</v>
      </c>
      <c r="AY3" s="107" t="s">
        <v>9801</v>
      </c>
      <c r="AZ3" s="121">
        <v>0</v>
      </c>
      <c r="BA3" s="121" t="b">
        <f t="shared" ref="BA3:BA31" si="9">IF(AW3&gt;0, TRUE, FALSE)</f>
        <v>1</v>
      </c>
      <c r="BB3" s="121" t="b">
        <f t="shared" si="5"/>
        <v>0</v>
      </c>
      <c r="BC3" s="86">
        <f t="shared" si="6"/>
        <v>3.2407407407407406E-4</v>
      </c>
      <c r="BD3" s="86">
        <f t="shared" ref="BD3:BD31" si="10">AZ3-Q3</f>
        <v>-3.4722222222222224E-4</v>
      </c>
      <c r="BE3" s="86">
        <f t="shared" ref="BE3:BE31" si="11">BC3-R3</f>
        <v>-4.4212962962962964E-3</v>
      </c>
      <c r="BF3" s="107" t="s">
        <v>9801</v>
      </c>
      <c r="BG3" s="128">
        <v>0</v>
      </c>
      <c r="BH3" s="128">
        <v>1</v>
      </c>
    </row>
    <row r="4" spans="1:60" ht="16" x14ac:dyDescent="0.25">
      <c r="A4" s="95" t="s">
        <v>285</v>
      </c>
      <c r="B4" s="95">
        <v>73</v>
      </c>
      <c r="C4" s="95" t="b">
        <v>0</v>
      </c>
      <c r="D4" s="95" t="b">
        <v>0</v>
      </c>
      <c r="E4" s="95" t="b">
        <v>0</v>
      </c>
      <c r="F4" s="95" t="b">
        <v>1</v>
      </c>
      <c r="G4" s="95" t="s">
        <v>31</v>
      </c>
      <c r="H4" s="95" t="s">
        <v>286</v>
      </c>
      <c r="I4" s="95" t="s">
        <v>287</v>
      </c>
      <c r="J4" s="95" t="s">
        <v>281</v>
      </c>
      <c r="L4" s="95">
        <v>11</v>
      </c>
      <c r="O4" s="95" t="s">
        <v>9715</v>
      </c>
      <c r="P4" s="95" t="s">
        <v>10855</v>
      </c>
      <c r="Q4" s="98">
        <v>3.0092592592592595E-4</v>
      </c>
      <c r="R4" s="98">
        <v>4.0509259259259258E-4</v>
      </c>
      <c r="S4" s="95">
        <v>0</v>
      </c>
      <c r="T4" s="95" t="s">
        <v>265</v>
      </c>
      <c r="U4" s="95" t="s">
        <v>266</v>
      </c>
      <c r="V4" s="95" t="s">
        <v>38</v>
      </c>
      <c r="Z4" s="95" t="b">
        <v>0</v>
      </c>
      <c r="AE4" s="95" t="s">
        <v>207</v>
      </c>
      <c r="AF4" s="95" t="s">
        <v>9564</v>
      </c>
      <c r="AH4" s="95" t="b">
        <v>0</v>
      </c>
      <c r="AI4" s="95" t="s">
        <v>9858</v>
      </c>
      <c r="AK4" s="84">
        <v>1.3888888888888889E-3</v>
      </c>
      <c r="AL4" s="85">
        <v>12</v>
      </c>
      <c r="AM4" s="85" t="s">
        <v>11252</v>
      </c>
      <c r="AN4" s="86">
        <v>2.5462962962962961E-4</v>
      </c>
      <c r="AO4" s="122" t="b">
        <f t="shared" si="0"/>
        <v>1</v>
      </c>
      <c r="AP4" s="122" t="b">
        <f t="shared" si="1"/>
        <v>1</v>
      </c>
      <c r="AQ4" s="86">
        <f t="shared" si="2"/>
        <v>1.6435185185185185E-3</v>
      </c>
      <c r="AR4" s="86">
        <f t="shared" si="3"/>
        <v>-4.6296296296296341E-5</v>
      </c>
      <c r="AS4" s="86">
        <f t="shared" si="4"/>
        <v>1.238425925925926E-3</v>
      </c>
      <c r="AT4" s="85">
        <f t="shared" si="7"/>
        <v>1</v>
      </c>
      <c r="AU4" s="145">
        <f t="shared" si="8"/>
        <v>0.90909090909090917</v>
      </c>
      <c r="AV4" s="88">
        <f>ABS(AL4/L4-1)</f>
        <v>9.0909090909090828E-2</v>
      </c>
      <c r="AW4" s="120">
        <v>0</v>
      </c>
      <c r="AX4" s="107" t="s">
        <v>9801</v>
      </c>
      <c r="AY4" s="107" t="s">
        <v>9801</v>
      </c>
      <c r="AZ4" s="121">
        <v>0</v>
      </c>
      <c r="BA4" s="121" t="b">
        <f t="shared" si="9"/>
        <v>0</v>
      </c>
      <c r="BB4" s="121" t="b">
        <f t="shared" si="5"/>
        <v>0</v>
      </c>
      <c r="BC4" s="86">
        <f t="shared" si="6"/>
        <v>0</v>
      </c>
      <c r="BD4" s="86">
        <f t="shared" si="10"/>
        <v>-3.0092592592592595E-4</v>
      </c>
      <c r="BE4" s="86">
        <f t="shared" si="11"/>
        <v>-4.0509259259259258E-4</v>
      </c>
      <c r="BF4" s="107" t="s">
        <v>9801</v>
      </c>
      <c r="BG4" s="128">
        <v>0</v>
      </c>
      <c r="BH4" s="128">
        <v>1</v>
      </c>
    </row>
    <row r="5" spans="1:60" ht="16" x14ac:dyDescent="0.25">
      <c r="A5" s="95" t="s">
        <v>493</v>
      </c>
      <c r="B5" s="95">
        <v>140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494</v>
      </c>
      <c r="I5" s="95" t="s">
        <v>495</v>
      </c>
      <c r="L5" s="95">
        <v>10</v>
      </c>
      <c r="O5" s="95" t="s">
        <v>10910</v>
      </c>
      <c r="P5" s="95" t="s">
        <v>10909</v>
      </c>
      <c r="Q5" s="98">
        <v>4.9768518518518521E-4</v>
      </c>
      <c r="R5" s="98">
        <v>2.0023148148148148E-3</v>
      </c>
      <c r="S5" s="95">
        <v>0</v>
      </c>
      <c r="T5" s="95" t="s">
        <v>265</v>
      </c>
      <c r="U5" s="95" t="s">
        <v>266</v>
      </c>
      <c r="V5" s="95" t="s">
        <v>38</v>
      </c>
      <c r="Z5" s="95" t="b">
        <v>0</v>
      </c>
      <c r="AE5" s="95" t="s">
        <v>492</v>
      </c>
      <c r="AF5" s="95" t="s">
        <v>9559</v>
      </c>
      <c r="AH5" s="95" t="b">
        <v>0</v>
      </c>
      <c r="AI5" s="95" t="s">
        <v>9712</v>
      </c>
      <c r="AK5" s="84">
        <v>7.8703703703703705E-4</v>
      </c>
      <c r="AL5" s="85">
        <v>27</v>
      </c>
      <c r="AM5" s="85" t="s">
        <v>11253</v>
      </c>
      <c r="AN5" s="86">
        <v>5.3240740740740744E-4</v>
      </c>
      <c r="AO5" s="122" t="b">
        <f t="shared" si="0"/>
        <v>1</v>
      </c>
      <c r="AP5" s="122" t="b">
        <f t="shared" si="1"/>
        <v>1</v>
      </c>
      <c r="AQ5" s="86">
        <f t="shared" si="2"/>
        <v>1.3194444444444445E-3</v>
      </c>
      <c r="AR5" s="86">
        <f t="shared" si="3"/>
        <v>3.4722222222222229E-5</v>
      </c>
      <c r="AS5" s="86">
        <f t="shared" si="4"/>
        <v>-6.8287037037037036E-4</v>
      </c>
      <c r="AT5" s="85">
        <f t="shared" si="7"/>
        <v>17</v>
      </c>
      <c r="AU5" s="145">
        <f t="shared" si="8"/>
        <v>-0.70000000000000018</v>
      </c>
      <c r="AV5" s="88">
        <f>ABS(AL5/L5-1)</f>
        <v>1.7000000000000002</v>
      </c>
      <c r="AW5" s="120">
        <v>3.1250000000000001E-4</v>
      </c>
      <c r="AX5" s="107" t="s">
        <v>11943</v>
      </c>
      <c r="AY5" s="107" t="s">
        <v>9801</v>
      </c>
      <c r="AZ5" s="121">
        <v>0</v>
      </c>
      <c r="BA5" s="121" t="b">
        <f t="shared" si="9"/>
        <v>1</v>
      </c>
      <c r="BB5" s="121" t="b">
        <f t="shared" si="5"/>
        <v>0</v>
      </c>
      <c r="BC5" s="86">
        <f t="shared" si="6"/>
        <v>3.1250000000000001E-4</v>
      </c>
      <c r="BD5" s="86">
        <f t="shared" si="10"/>
        <v>-4.9768518518518521E-4</v>
      </c>
      <c r="BE5" s="86">
        <f t="shared" si="11"/>
        <v>-1.6898148148148148E-3</v>
      </c>
      <c r="BF5" s="107" t="s">
        <v>9801</v>
      </c>
      <c r="BG5" s="128">
        <v>0</v>
      </c>
      <c r="BH5" s="128">
        <v>1</v>
      </c>
    </row>
    <row r="6" spans="1:60" ht="16" x14ac:dyDescent="0.25">
      <c r="A6" s="95" t="s">
        <v>531</v>
      </c>
      <c r="B6" s="95">
        <v>152</v>
      </c>
      <c r="C6" s="95" t="b">
        <v>0</v>
      </c>
      <c r="D6" s="95" t="b">
        <v>0</v>
      </c>
      <c r="E6" s="95" t="b">
        <v>0</v>
      </c>
      <c r="F6" s="95" t="b">
        <v>1</v>
      </c>
      <c r="G6" s="95" t="s">
        <v>31</v>
      </c>
      <c r="H6" s="95" t="s">
        <v>532</v>
      </c>
      <c r="I6" s="95" t="s">
        <v>533</v>
      </c>
      <c r="J6" s="95" t="s">
        <v>281</v>
      </c>
      <c r="L6" s="95">
        <v>11</v>
      </c>
      <c r="O6" s="95" t="s">
        <v>10908</v>
      </c>
      <c r="P6" s="95" t="s">
        <v>10908</v>
      </c>
      <c r="Q6" s="98">
        <v>5.4398148148148144E-4</v>
      </c>
      <c r="R6" s="98">
        <v>9.3750000000000007E-4</v>
      </c>
      <c r="S6" s="95">
        <v>0</v>
      </c>
      <c r="T6" s="95" t="s">
        <v>265</v>
      </c>
      <c r="U6" s="95" t="s">
        <v>266</v>
      </c>
      <c r="V6" s="95" t="s">
        <v>38</v>
      </c>
      <c r="Z6" s="95" t="b">
        <v>0</v>
      </c>
      <c r="AE6" s="95" t="s">
        <v>492</v>
      </c>
      <c r="AF6" s="95" t="s">
        <v>9559</v>
      </c>
      <c r="AH6" s="95" t="b">
        <v>0</v>
      </c>
      <c r="AI6" s="95" t="s">
        <v>9863</v>
      </c>
      <c r="AK6" s="84">
        <v>8.564814814814815E-4</v>
      </c>
      <c r="AL6" s="85">
        <v>11</v>
      </c>
      <c r="AM6" s="85" t="s">
        <v>11252</v>
      </c>
      <c r="AN6" s="86">
        <v>3.4722222222222222E-5</v>
      </c>
      <c r="AO6" s="122" t="b">
        <f t="shared" si="0"/>
        <v>1</v>
      </c>
      <c r="AP6" s="122" t="b">
        <f t="shared" si="1"/>
        <v>1</v>
      </c>
      <c r="AQ6" s="86">
        <f t="shared" si="2"/>
        <v>8.9120370370370373E-4</v>
      </c>
      <c r="AR6" s="86">
        <f t="shared" si="3"/>
        <v>-5.0925925925925921E-4</v>
      </c>
      <c r="AS6" s="86">
        <f t="shared" si="4"/>
        <v>-4.6296296296296341E-5</v>
      </c>
      <c r="AT6" s="85">
        <f t="shared" si="7"/>
        <v>0</v>
      </c>
      <c r="AU6" s="145">
        <f t="shared" si="8"/>
        <v>1</v>
      </c>
      <c r="AV6" s="88">
        <f t="shared" ref="AV6:AV12" si="12">ABS(AL6/L6-1)</f>
        <v>0</v>
      </c>
      <c r="AW6" s="120">
        <v>3.0092592592592595E-4</v>
      </c>
      <c r="AX6" s="107" t="s">
        <v>11943</v>
      </c>
      <c r="AY6" s="107" t="s">
        <v>9801</v>
      </c>
      <c r="AZ6" s="121">
        <v>0</v>
      </c>
      <c r="BA6" s="121" t="b">
        <f t="shared" si="9"/>
        <v>1</v>
      </c>
      <c r="BB6" s="121" t="b">
        <f t="shared" si="5"/>
        <v>0</v>
      </c>
      <c r="BC6" s="86">
        <f t="shared" si="6"/>
        <v>3.0092592592592595E-4</v>
      </c>
      <c r="BD6" s="86">
        <f t="shared" si="10"/>
        <v>-5.4398148148148144E-4</v>
      </c>
      <c r="BE6" s="86">
        <f t="shared" si="11"/>
        <v>-6.3657407407407413E-4</v>
      </c>
      <c r="BF6" s="107" t="s">
        <v>9801</v>
      </c>
      <c r="BG6" s="128">
        <v>0</v>
      </c>
      <c r="BH6" s="128">
        <v>1</v>
      </c>
    </row>
    <row r="7" spans="1:60" ht="16" x14ac:dyDescent="0.25">
      <c r="A7" s="95" t="s">
        <v>537</v>
      </c>
      <c r="B7" s="95">
        <v>154</v>
      </c>
      <c r="C7" s="95" t="b">
        <v>0</v>
      </c>
      <c r="D7" s="95" t="b">
        <v>0</v>
      </c>
      <c r="E7" s="95" t="b">
        <v>0</v>
      </c>
      <c r="F7" s="95" t="b">
        <v>1</v>
      </c>
      <c r="G7" s="95" t="s">
        <v>31</v>
      </c>
      <c r="H7" s="95" t="s">
        <v>538</v>
      </c>
      <c r="I7" s="95" t="s">
        <v>539</v>
      </c>
      <c r="J7" s="95" t="s">
        <v>540</v>
      </c>
      <c r="L7" s="95">
        <v>11</v>
      </c>
      <c r="O7" s="95" t="s">
        <v>10907</v>
      </c>
      <c r="P7" s="95" t="s">
        <v>10906</v>
      </c>
      <c r="Q7" s="98">
        <v>6.134259259259259E-4</v>
      </c>
      <c r="R7" s="98">
        <v>6.3657407407407402E-4</v>
      </c>
      <c r="S7" s="95">
        <v>0</v>
      </c>
      <c r="T7" s="95" t="s">
        <v>265</v>
      </c>
      <c r="U7" s="95" t="s">
        <v>266</v>
      </c>
      <c r="V7" s="95" t="s">
        <v>38</v>
      </c>
      <c r="Z7" s="95" t="b">
        <v>0</v>
      </c>
      <c r="AE7" s="95" t="s">
        <v>492</v>
      </c>
      <c r="AF7" s="95" t="s">
        <v>9559</v>
      </c>
      <c r="AH7" s="95" t="b">
        <v>0</v>
      </c>
      <c r="AI7" s="95" t="s">
        <v>9864</v>
      </c>
      <c r="AK7" s="84">
        <v>8.9120370370370362E-4</v>
      </c>
      <c r="AL7" s="85">
        <v>7</v>
      </c>
      <c r="AM7" s="85" t="s">
        <v>11252</v>
      </c>
      <c r="AN7" s="86">
        <v>1.9675925925925926E-4</v>
      </c>
      <c r="AO7" s="122" t="b">
        <f t="shared" si="0"/>
        <v>1</v>
      </c>
      <c r="AP7" s="122" t="b">
        <f t="shared" si="1"/>
        <v>1</v>
      </c>
      <c r="AQ7" s="86">
        <f t="shared" si="2"/>
        <v>1.0879629629629629E-3</v>
      </c>
      <c r="AR7" s="86">
        <f t="shared" si="3"/>
        <v>-4.1666666666666664E-4</v>
      </c>
      <c r="AS7" s="86">
        <f t="shared" si="4"/>
        <v>4.5138888888888887E-4</v>
      </c>
      <c r="AT7" s="85">
        <f t="shared" si="7"/>
        <v>4</v>
      </c>
      <c r="AU7" s="145">
        <f t="shared" si="8"/>
        <v>0.63636363636363635</v>
      </c>
      <c r="AV7" s="88">
        <f t="shared" si="12"/>
        <v>0.36363636363636365</v>
      </c>
      <c r="AW7" s="120">
        <v>3.0092592592592595E-4</v>
      </c>
      <c r="AX7" s="107" t="s">
        <v>11943</v>
      </c>
      <c r="AY7" s="107" t="s">
        <v>9801</v>
      </c>
      <c r="AZ7" s="121">
        <v>0</v>
      </c>
      <c r="BA7" s="121" t="b">
        <f t="shared" si="9"/>
        <v>1</v>
      </c>
      <c r="BB7" s="121" t="b">
        <f t="shared" si="5"/>
        <v>0</v>
      </c>
      <c r="BC7" s="86">
        <f t="shared" si="6"/>
        <v>3.0092592592592595E-4</v>
      </c>
      <c r="BD7" s="86">
        <f t="shared" si="10"/>
        <v>-6.134259259259259E-4</v>
      </c>
      <c r="BE7" s="86">
        <f t="shared" si="11"/>
        <v>-3.3564814814814807E-4</v>
      </c>
      <c r="BF7" s="107" t="s">
        <v>9801</v>
      </c>
      <c r="BG7" s="128">
        <v>0</v>
      </c>
      <c r="BH7" s="128">
        <v>1</v>
      </c>
    </row>
    <row r="8" spans="1:60" ht="16" x14ac:dyDescent="0.25">
      <c r="A8" s="95" t="s">
        <v>853</v>
      </c>
      <c r="B8" s="95">
        <v>255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854</v>
      </c>
      <c r="I8" s="95" t="s">
        <v>855</v>
      </c>
      <c r="L8" s="95">
        <v>10</v>
      </c>
      <c r="O8" s="95" t="s">
        <v>10905</v>
      </c>
      <c r="P8" s="95" t="s">
        <v>10905</v>
      </c>
      <c r="Q8" s="98">
        <v>4.3981481481481481E-4</v>
      </c>
      <c r="R8" s="98">
        <v>3.7037037037037034E-3</v>
      </c>
      <c r="S8" s="95">
        <v>0</v>
      </c>
      <c r="T8" s="95" t="s">
        <v>265</v>
      </c>
      <c r="U8" s="95" t="s">
        <v>266</v>
      </c>
      <c r="V8" s="95" t="s">
        <v>38</v>
      </c>
      <c r="Z8" s="95" t="b">
        <v>0</v>
      </c>
      <c r="AE8" s="95" t="s">
        <v>792</v>
      </c>
      <c r="AF8" s="95" t="s">
        <v>9552</v>
      </c>
      <c r="AH8" s="95" t="b">
        <v>0</v>
      </c>
      <c r="AI8" s="95" t="s">
        <v>9711</v>
      </c>
      <c r="AK8" s="120">
        <v>9.3750000000000007E-4</v>
      </c>
      <c r="AL8" s="107">
        <v>18</v>
      </c>
      <c r="AM8" s="107" t="s">
        <v>11253</v>
      </c>
      <c r="AN8" s="121">
        <v>5.6712962962962956E-4</v>
      </c>
      <c r="AO8" s="121" t="b">
        <f t="shared" si="0"/>
        <v>1</v>
      </c>
      <c r="AP8" s="121" t="b">
        <f t="shared" si="1"/>
        <v>1</v>
      </c>
      <c r="AQ8" s="86">
        <f t="shared" si="2"/>
        <v>1.5046296296296296E-3</v>
      </c>
      <c r="AR8" s="86">
        <f t="shared" si="3"/>
        <v>1.2731481481481475E-4</v>
      </c>
      <c r="AS8" s="86">
        <f t="shared" si="4"/>
        <v>-2.1990740740740738E-3</v>
      </c>
      <c r="AT8" s="85">
        <f t="shared" si="7"/>
        <v>8</v>
      </c>
      <c r="AU8" s="145">
        <f t="shared" si="8"/>
        <v>0.19999999999999996</v>
      </c>
      <c r="AV8" s="88">
        <f t="shared" si="12"/>
        <v>0.8</v>
      </c>
      <c r="AW8" s="120">
        <v>2.8935185185185189E-4</v>
      </c>
      <c r="AX8" s="107" t="s">
        <v>11450</v>
      </c>
      <c r="AY8" s="107" t="s">
        <v>9801</v>
      </c>
      <c r="AZ8" s="121">
        <v>0</v>
      </c>
      <c r="BA8" s="121" t="b">
        <f t="shared" si="9"/>
        <v>1</v>
      </c>
      <c r="BB8" s="121" t="b">
        <f t="shared" si="5"/>
        <v>0</v>
      </c>
      <c r="BC8" s="86">
        <f t="shared" si="6"/>
        <v>2.8935185185185189E-4</v>
      </c>
      <c r="BD8" s="86">
        <f t="shared" si="10"/>
        <v>-4.3981481481481481E-4</v>
      </c>
      <c r="BE8" s="86">
        <f t="shared" si="11"/>
        <v>-3.4143518518518516E-3</v>
      </c>
      <c r="BF8" s="107" t="s">
        <v>9801</v>
      </c>
      <c r="BG8" s="128">
        <v>0</v>
      </c>
      <c r="BH8" s="128">
        <v>1</v>
      </c>
    </row>
    <row r="9" spans="1:60" ht="16" x14ac:dyDescent="0.25">
      <c r="A9" s="95" t="s">
        <v>859</v>
      </c>
      <c r="B9" s="95">
        <v>257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860</v>
      </c>
      <c r="I9" s="95" t="s">
        <v>861</v>
      </c>
      <c r="L9" s="95">
        <v>10</v>
      </c>
      <c r="O9" s="95" t="s">
        <v>10853</v>
      </c>
      <c r="P9" s="95" t="s">
        <v>10852</v>
      </c>
      <c r="Q9" s="98">
        <v>4.1666666666666669E-4</v>
      </c>
      <c r="R9" s="98">
        <v>5.9027777777777778E-4</v>
      </c>
      <c r="S9" s="95">
        <v>0</v>
      </c>
      <c r="T9" s="95" t="s">
        <v>265</v>
      </c>
      <c r="U9" s="95" t="s">
        <v>266</v>
      </c>
      <c r="V9" s="95" t="s">
        <v>38</v>
      </c>
      <c r="Z9" s="95" t="b">
        <v>0</v>
      </c>
      <c r="AE9" s="95" t="s">
        <v>792</v>
      </c>
      <c r="AF9" s="95" t="s">
        <v>9552</v>
      </c>
      <c r="AH9" s="95" t="b">
        <v>0</v>
      </c>
      <c r="AI9" s="95" t="s">
        <v>9867</v>
      </c>
      <c r="AK9" s="120">
        <v>4.0509259259259258E-4</v>
      </c>
      <c r="AL9" s="107">
        <v>9</v>
      </c>
      <c r="AM9" s="107" t="s">
        <v>11253</v>
      </c>
      <c r="AN9" s="121">
        <v>3.0092592592592595E-4</v>
      </c>
      <c r="AO9" s="121" t="b">
        <f t="shared" si="0"/>
        <v>1</v>
      </c>
      <c r="AP9" s="121" t="b">
        <f t="shared" si="1"/>
        <v>1</v>
      </c>
      <c r="AQ9" s="86">
        <f t="shared" si="2"/>
        <v>7.0601851851851858E-4</v>
      </c>
      <c r="AR9" s="86">
        <f t="shared" si="3"/>
        <v>-1.1574074074074075E-4</v>
      </c>
      <c r="AS9" s="86">
        <f t="shared" si="4"/>
        <v>1.157407407407408E-4</v>
      </c>
      <c r="AT9" s="85">
        <f t="shared" si="7"/>
        <v>1</v>
      </c>
      <c r="AU9" s="145">
        <f t="shared" si="8"/>
        <v>0.9</v>
      </c>
      <c r="AV9" s="88">
        <f t="shared" si="12"/>
        <v>9.9999999999999978E-2</v>
      </c>
      <c r="AW9" s="120">
        <v>1.8518518518518518E-4</v>
      </c>
      <c r="AX9" s="107" t="s">
        <v>11450</v>
      </c>
      <c r="AY9" s="107" t="s">
        <v>9801</v>
      </c>
      <c r="AZ9" s="121">
        <v>0</v>
      </c>
      <c r="BA9" s="121" t="b">
        <f t="shared" si="9"/>
        <v>1</v>
      </c>
      <c r="BB9" s="121" t="b">
        <f t="shared" si="5"/>
        <v>0</v>
      </c>
      <c r="BC9" s="86">
        <f t="shared" si="6"/>
        <v>1.8518518518518518E-4</v>
      </c>
      <c r="BD9" s="86">
        <f t="shared" si="10"/>
        <v>-4.1666666666666669E-4</v>
      </c>
      <c r="BE9" s="86">
        <f t="shared" si="11"/>
        <v>-4.0509259259259264E-4</v>
      </c>
      <c r="BF9" s="107" t="s">
        <v>9801</v>
      </c>
      <c r="BG9" s="128">
        <v>0</v>
      </c>
      <c r="BH9" s="128">
        <v>1</v>
      </c>
    </row>
    <row r="10" spans="1:60" ht="16" x14ac:dyDescent="0.25">
      <c r="A10" s="95" t="s">
        <v>1055</v>
      </c>
      <c r="B10" s="95">
        <v>318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1056</v>
      </c>
      <c r="I10" s="95" t="s">
        <v>1057</v>
      </c>
      <c r="L10" s="95">
        <v>8</v>
      </c>
      <c r="O10" s="95" t="s">
        <v>10904</v>
      </c>
      <c r="P10" s="95" t="s">
        <v>10904</v>
      </c>
      <c r="Q10" s="98">
        <v>2.5462962962962961E-4</v>
      </c>
      <c r="R10" s="98">
        <v>3.1250000000000001E-4</v>
      </c>
      <c r="S10" s="95">
        <v>0</v>
      </c>
      <c r="T10" s="95" t="s">
        <v>265</v>
      </c>
      <c r="U10" s="95" t="s">
        <v>266</v>
      </c>
      <c r="V10" s="95" t="s">
        <v>38</v>
      </c>
      <c r="Z10" s="95" t="b">
        <v>0</v>
      </c>
      <c r="AE10" s="95" t="s">
        <v>941</v>
      </c>
      <c r="AF10" s="95" t="s">
        <v>9550</v>
      </c>
      <c r="AH10" s="95" t="b">
        <v>0</v>
      </c>
      <c r="AI10" s="95" t="s">
        <v>9710</v>
      </c>
      <c r="AK10" s="120">
        <v>3.8194444444444446E-4</v>
      </c>
      <c r="AL10" s="107">
        <v>0</v>
      </c>
      <c r="AM10" s="107" t="s">
        <v>9801</v>
      </c>
      <c r="AN10" s="121">
        <v>0</v>
      </c>
      <c r="AO10" s="121" t="b">
        <f t="shared" si="0"/>
        <v>1</v>
      </c>
      <c r="AP10" s="121" t="b">
        <f t="shared" si="1"/>
        <v>0</v>
      </c>
      <c r="AQ10" s="86">
        <f t="shared" si="2"/>
        <v>3.8194444444444446E-4</v>
      </c>
      <c r="AR10" s="86">
        <f t="shared" si="3"/>
        <v>-2.5462962962962961E-4</v>
      </c>
      <c r="AS10" s="86">
        <f t="shared" si="4"/>
        <v>6.9444444444444458E-5</v>
      </c>
      <c r="AT10" s="85">
        <f t="shared" si="7"/>
        <v>8</v>
      </c>
      <c r="AU10" s="145">
        <f t="shared" si="8"/>
        <v>0</v>
      </c>
      <c r="AV10" s="88">
        <f t="shared" si="12"/>
        <v>1</v>
      </c>
      <c r="AW10" s="120">
        <v>0</v>
      </c>
      <c r="AX10" s="107" t="s">
        <v>9801</v>
      </c>
      <c r="AY10" s="107" t="s">
        <v>9801</v>
      </c>
      <c r="AZ10" s="121">
        <v>0</v>
      </c>
      <c r="BA10" s="121" t="b">
        <f t="shared" si="9"/>
        <v>0</v>
      </c>
      <c r="BB10" s="121" t="b">
        <f t="shared" si="5"/>
        <v>0</v>
      </c>
      <c r="BC10" s="86">
        <f t="shared" si="6"/>
        <v>0</v>
      </c>
      <c r="BD10" s="86">
        <f t="shared" si="10"/>
        <v>-2.5462962962962961E-4</v>
      </c>
      <c r="BE10" s="86">
        <f t="shared" si="11"/>
        <v>-3.1250000000000001E-4</v>
      </c>
      <c r="BF10" s="107" t="s">
        <v>9801</v>
      </c>
      <c r="BG10" s="128">
        <v>0</v>
      </c>
      <c r="BH10" s="128">
        <v>1</v>
      </c>
    </row>
    <row r="11" spans="1:60" ht="16" x14ac:dyDescent="0.25">
      <c r="A11" s="95" t="s">
        <v>1067</v>
      </c>
      <c r="B11" s="95">
        <v>322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1068</v>
      </c>
      <c r="I11" s="95" t="s">
        <v>1066</v>
      </c>
      <c r="L11" s="95">
        <v>8</v>
      </c>
      <c r="O11" s="95" t="s">
        <v>10903</v>
      </c>
      <c r="P11" s="95" t="s">
        <v>10902</v>
      </c>
      <c r="Q11" s="98">
        <v>2.4305555555555552E-4</v>
      </c>
      <c r="R11" s="98">
        <v>3.2407407407407406E-4</v>
      </c>
      <c r="S11" s="95">
        <v>0</v>
      </c>
      <c r="T11" s="95" t="s">
        <v>265</v>
      </c>
      <c r="U11" s="95" t="s">
        <v>266</v>
      </c>
      <c r="V11" s="95" t="s">
        <v>38</v>
      </c>
      <c r="Z11" s="95" t="b">
        <v>0</v>
      </c>
      <c r="AE11" s="95" t="s">
        <v>941</v>
      </c>
      <c r="AF11" s="95" t="s">
        <v>9550</v>
      </c>
      <c r="AH11" s="95" t="b">
        <v>0</v>
      </c>
      <c r="AI11" s="95" t="s">
        <v>9870</v>
      </c>
      <c r="AK11" s="120">
        <v>2.8935185185185189E-4</v>
      </c>
      <c r="AL11" s="107">
        <v>0</v>
      </c>
      <c r="AM11" s="107" t="s">
        <v>9801</v>
      </c>
      <c r="AN11" s="121">
        <v>0</v>
      </c>
      <c r="AO11" s="121" t="b">
        <f t="shared" si="0"/>
        <v>1</v>
      </c>
      <c r="AP11" s="121" t="b">
        <f t="shared" si="1"/>
        <v>0</v>
      </c>
      <c r="AQ11" s="86">
        <f t="shared" si="2"/>
        <v>2.8935185185185189E-4</v>
      </c>
      <c r="AR11" s="86">
        <f t="shared" si="3"/>
        <v>-2.4305555555555552E-4</v>
      </c>
      <c r="AS11" s="86">
        <f t="shared" si="4"/>
        <v>-3.4722222222222175E-5</v>
      </c>
      <c r="AT11" s="85">
        <f t="shared" si="7"/>
        <v>8</v>
      </c>
      <c r="AU11" s="145">
        <f t="shared" si="8"/>
        <v>0</v>
      </c>
      <c r="AV11" s="88">
        <f t="shared" si="12"/>
        <v>1</v>
      </c>
      <c r="AW11" s="120">
        <v>0</v>
      </c>
      <c r="AX11" s="107" t="s">
        <v>9801</v>
      </c>
      <c r="AY11" s="107" t="s">
        <v>9801</v>
      </c>
      <c r="AZ11" s="121">
        <v>0</v>
      </c>
      <c r="BA11" s="121" t="b">
        <f t="shared" si="9"/>
        <v>0</v>
      </c>
      <c r="BB11" s="121" t="b">
        <f t="shared" si="5"/>
        <v>0</v>
      </c>
      <c r="BC11" s="86">
        <f t="shared" si="6"/>
        <v>0</v>
      </c>
      <c r="BD11" s="86">
        <f t="shared" si="10"/>
        <v>-2.4305555555555552E-4</v>
      </c>
      <c r="BE11" s="86">
        <f t="shared" si="11"/>
        <v>-3.2407407407407406E-4</v>
      </c>
      <c r="BF11" s="107" t="s">
        <v>9801</v>
      </c>
      <c r="BG11" s="128">
        <v>0</v>
      </c>
      <c r="BH11" s="128">
        <v>1</v>
      </c>
    </row>
    <row r="12" spans="1:60" ht="16" x14ac:dyDescent="0.25">
      <c r="A12" s="95" t="s">
        <v>1148</v>
      </c>
      <c r="B12" s="95">
        <v>346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1149</v>
      </c>
      <c r="I12" s="95" t="s">
        <v>1150</v>
      </c>
      <c r="L12" s="95">
        <v>5</v>
      </c>
      <c r="O12" s="95" t="s">
        <v>9593</v>
      </c>
      <c r="P12" s="95" t="s">
        <v>10851</v>
      </c>
      <c r="Q12" s="98">
        <v>1.8518518518518518E-4</v>
      </c>
      <c r="R12" s="98">
        <v>7.8703703703703705E-4</v>
      </c>
      <c r="S12" s="95">
        <v>0</v>
      </c>
      <c r="T12" s="95" t="s">
        <v>265</v>
      </c>
      <c r="U12" s="95" t="s">
        <v>266</v>
      </c>
      <c r="V12" s="95" t="s">
        <v>38</v>
      </c>
      <c r="Z12" s="95" t="b">
        <v>0</v>
      </c>
      <c r="AE12" s="95" t="s">
        <v>1117</v>
      </c>
      <c r="AF12" s="95" t="s">
        <v>9541</v>
      </c>
      <c r="AH12" s="95" t="b">
        <v>0</v>
      </c>
      <c r="AI12" s="95" t="s">
        <v>9872</v>
      </c>
      <c r="AK12" s="120">
        <v>5.5555555555555556E-4</v>
      </c>
      <c r="AL12" s="107">
        <v>27</v>
      </c>
      <c r="AM12" s="107" t="s">
        <v>11253</v>
      </c>
      <c r="AN12" s="121">
        <v>2.5462962962962961E-4</v>
      </c>
      <c r="AO12" s="121" t="b">
        <f t="shared" si="0"/>
        <v>1</v>
      </c>
      <c r="AP12" s="121" t="b">
        <f t="shared" si="1"/>
        <v>1</v>
      </c>
      <c r="AQ12" s="86">
        <f t="shared" si="2"/>
        <v>8.1018518518518516E-4</v>
      </c>
      <c r="AR12" s="86">
        <f t="shared" si="3"/>
        <v>6.9444444444444431E-5</v>
      </c>
      <c r="AS12" s="86">
        <f t="shared" si="4"/>
        <v>2.3148148148148117E-5</v>
      </c>
      <c r="AT12" s="85">
        <f t="shared" si="7"/>
        <v>22</v>
      </c>
      <c r="AU12" s="145">
        <f t="shared" si="8"/>
        <v>-3.4000000000000004</v>
      </c>
      <c r="AV12" s="88">
        <f t="shared" si="12"/>
        <v>4.4000000000000004</v>
      </c>
      <c r="AW12" s="120">
        <v>0</v>
      </c>
      <c r="AX12" s="107" t="s">
        <v>9801</v>
      </c>
      <c r="AY12" s="107" t="s">
        <v>9801</v>
      </c>
      <c r="AZ12" s="121">
        <v>0</v>
      </c>
      <c r="BA12" s="121" t="b">
        <f t="shared" si="9"/>
        <v>0</v>
      </c>
      <c r="BB12" s="121" t="b">
        <f t="shared" si="5"/>
        <v>0</v>
      </c>
      <c r="BC12" s="86">
        <f t="shared" si="6"/>
        <v>0</v>
      </c>
      <c r="BD12" s="86">
        <f t="shared" si="10"/>
        <v>-1.8518518518518518E-4</v>
      </c>
      <c r="BE12" s="86">
        <f t="shared" si="11"/>
        <v>-7.8703703703703705E-4</v>
      </c>
      <c r="BF12" s="107" t="s">
        <v>9801</v>
      </c>
      <c r="BG12" s="128">
        <v>0</v>
      </c>
      <c r="BH12" s="128">
        <v>1</v>
      </c>
    </row>
    <row r="13" spans="1:60" ht="16" x14ac:dyDescent="0.25">
      <c r="A13" s="95" t="s">
        <v>1244</v>
      </c>
      <c r="B13" s="95">
        <v>375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31</v>
      </c>
      <c r="H13" s="95" t="s">
        <v>1245</v>
      </c>
      <c r="I13" s="95" t="s">
        <v>1246</v>
      </c>
      <c r="L13" s="95">
        <v>12</v>
      </c>
      <c r="O13" s="95" t="s">
        <v>10901</v>
      </c>
      <c r="P13" s="95" t="s">
        <v>10901</v>
      </c>
      <c r="Q13" s="98">
        <v>2.3148148148148146E-4</v>
      </c>
      <c r="R13" s="98">
        <v>5.3240740740740744E-4</v>
      </c>
      <c r="S13" s="95">
        <v>0</v>
      </c>
      <c r="T13" s="95" t="s">
        <v>265</v>
      </c>
      <c r="U13" s="95" t="s">
        <v>266</v>
      </c>
      <c r="V13" s="95" t="s">
        <v>38</v>
      </c>
      <c r="Z13" s="95" t="b">
        <v>0</v>
      </c>
      <c r="AE13" s="95" t="s">
        <v>1117</v>
      </c>
      <c r="AF13" s="95" t="s">
        <v>9541</v>
      </c>
      <c r="AH13" s="95" t="b">
        <v>0</v>
      </c>
      <c r="AI13" s="95" t="s">
        <v>9873</v>
      </c>
      <c r="AK13" s="120">
        <v>4.3981481481481481E-4</v>
      </c>
      <c r="AL13" s="107">
        <v>9</v>
      </c>
      <c r="AM13" s="107" t="s">
        <v>11253</v>
      </c>
      <c r="AN13" s="121">
        <v>6.5972222222222213E-4</v>
      </c>
      <c r="AO13" s="121" t="b">
        <f t="shared" si="0"/>
        <v>1</v>
      </c>
      <c r="AP13" s="121" t="b">
        <f t="shared" si="1"/>
        <v>1</v>
      </c>
      <c r="AQ13" s="86">
        <f t="shared" si="2"/>
        <v>1.0995370370370369E-3</v>
      </c>
      <c r="AR13" s="86">
        <f t="shared" si="3"/>
        <v>4.2824074074074064E-4</v>
      </c>
      <c r="AS13" s="86">
        <f t="shared" si="4"/>
        <v>5.6712962962962945E-4</v>
      </c>
      <c r="AT13" s="85">
        <f t="shared" si="7"/>
        <v>3</v>
      </c>
      <c r="AU13" s="145">
        <f t="shared" si="8"/>
        <v>0.75</v>
      </c>
      <c r="AV13" s="88">
        <f>ABS(AL13/L13-1)</f>
        <v>0.25</v>
      </c>
      <c r="AW13" s="120">
        <v>0</v>
      </c>
      <c r="AX13" s="107" t="s">
        <v>9801</v>
      </c>
      <c r="AY13" s="107" t="s">
        <v>9801</v>
      </c>
      <c r="AZ13" s="121">
        <v>0</v>
      </c>
      <c r="BA13" s="121" t="b">
        <f t="shared" si="9"/>
        <v>0</v>
      </c>
      <c r="BB13" s="121" t="b">
        <f t="shared" si="5"/>
        <v>0</v>
      </c>
      <c r="BC13" s="86">
        <f t="shared" si="6"/>
        <v>0</v>
      </c>
      <c r="BD13" s="86">
        <f t="shared" si="10"/>
        <v>-2.3148148148148146E-4</v>
      </c>
      <c r="BE13" s="86">
        <f t="shared" si="11"/>
        <v>-5.3240740740740744E-4</v>
      </c>
      <c r="BF13" s="107" t="s">
        <v>9801</v>
      </c>
      <c r="BG13" s="128">
        <v>0</v>
      </c>
      <c r="BH13" s="128">
        <v>1</v>
      </c>
    </row>
    <row r="14" spans="1:60" ht="16" x14ac:dyDescent="0.25">
      <c r="A14" s="95" t="s">
        <v>1538</v>
      </c>
      <c r="B14" s="95">
        <v>468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1539</v>
      </c>
      <c r="I14" s="95" t="s">
        <v>1540</v>
      </c>
      <c r="L14" s="95">
        <v>9</v>
      </c>
      <c r="O14" s="95" t="s">
        <v>10900</v>
      </c>
      <c r="P14" s="95" t="s">
        <v>10899</v>
      </c>
      <c r="Q14" s="98">
        <v>2.4305555555555552E-4</v>
      </c>
      <c r="R14" s="98">
        <v>1.2037037037037038E-3</v>
      </c>
      <c r="S14" s="95">
        <v>0</v>
      </c>
      <c r="T14" s="95" t="s">
        <v>265</v>
      </c>
      <c r="U14" s="95" t="s">
        <v>266</v>
      </c>
      <c r="V14" s="95" t="s">
        <v>38</v>
      </c>
      <c r="Z14" s="95" t="b">
        <v>0</v>
      </c>
      <c r="AE14" s="95" t="s">
        <v>1464</v>
      </c>
      <c r="AF14" s="95" t="s">
        <v>9537</v>
      </c>
      <c r="AH14" s="95" t="b">
        <v>0</v>
      </c>
      <c r="AI14" s="95" t="s">
        <v>9878</v>
      </c>
      <c r="AK14" s="120">
        <v>1.8518518518518518E-4</v>
      </c>
      <c r="AL14" s="107">
        <v>10</v>
      </c>
      <c r="AM14" s="107" t="s">
        <v>11253</v>
      </c>
      <c r="AN14" s="121">
        <v>3.5879629629629635E-4</v>
      </c>
      <c r="AO14" s="121" t="b">
        <f t="shared" si="0"/>
        <v>1</v>
      </c>
      <c r="AP14" s="121" t="b">
        <f t="shared" si="1"/>
        <v>1</v>
      </c>
      <c r="AQ14" s="86">
        <f t="shared" si="2"/>
        <v>5.4398148148148155E-4</v>
      </c>
      <c r="AR14" s="86">
        <f t="shared" si="3"/>
        <v>1.1574074074074083E-4</v>
      </c>
      <c r="AS14" s="86">
        <f t="shared" si="4"/>
        <v>-6.5972222222222224E-4</v>
      </c>
      <c r="AT14" s="85">
        <f t="shared" si="7"/>
        <v>1</v>
      </c>
      <c r="AU14" s="145">
        <f t="shared" si="8"/>
        <v>0.88888888888888884</v>
      </c>
      <c r="AV14" s="88">
        <f>ABS(AL14/L14-1)</f>
        <v>0.11111111111111116</v>
      </c>
      <c r="AW14" s="120">
        <v>1.8518518518518518E-4</v>
      </c>
      <c r="AX14" s="107" t="s">
        <v>11450</v>
      </c>
      <c r="AY14" s="107" t="s">
        <v>9801</v>
      </c>
      <c r="AZ14" s="121">
        <v>0</v>
      </c>
      <c r="BA14" s="121" t="b">
        <f t="shared" si="9"/>
        <v>1</v>
      </c>
      <c r="BB14" s="121" t="b">
        <f t="shared" si="5"/>
        <v>0</v>
      </c>
      <c r="BC14" s="86">
        <f t="shared" si="6"/>
        <v>1.8518518518518518E-4</v>
      </c>
      <c r="BD14" s="86">
        <f t="shared" si="10"/>
        <v>-2.4305555555555552E-4</v>
      </c>
      <c r="BE14" s="86">
        <f t="shared" si="11"/>
        <v>-1.0185185185185186E-3</v>
      </c>
      <c r="BF14" s="107" t="s">
        <v>9801</v>
      </c>
      <c r="BG14" s="128">
        <v>0</v>
      </c>
      <c r="BH14" s="128">
        <v>1</v>
      </c>
    </row>
    <row r="15" spans="1:60" ht="16" x14ac:dyDescent="0.25">
      <c r="A15" s="95" t="s">
        <v>1541</v>
      </c>
      <c r="B15" s="95">
        <v>469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31</v>
      </c>
      <c r="H15" s="95" t="s">
        <v>1542</v>
      </c>
      <c r="I15" s="95" t="s">
        <v>1543</v>
      </c>
      <c r="L15" s="95">
        <v>9</v>
      </c>
      <c r="O15" s="95" t="s">
        <v>10899</v>
      </c>
      <c r="P15" s="95" t="s">
        <v>10899</v>
      </c>
      <c r="Q15" s="98">
        <v>1.9675925925925926E-4</v>
      </c>
      <c r="R15" s="98">
        <v>3.0092592592592595E-4</v>
      </c>
      <c r="S15" s="95">
        <v>0</v>
      </c>
      <c r="T15" s="95" t="s">
        <v>265</v>
      </c>
      <c r="U15" s="95" t="s">
        <v>266</v>
      </c>
      <c r="V15" s="95" t="s">
        <v>38</v>
      </c>
      <c r="Z15" s="95" t="b">
        <v>0</v>
      </c>
      <c r="AE15" s="95" t="s">
        <v>1464</v>
      </c>
      <c r="AF15" s="95" t="s">
        <v>9537</v>
      </c>
      <c r="AH15" s="95" t="b">
        <v>0</v>
      </c>
      <c r="AI15" s="95" t="s">
        <v>9879</v>
      </c>
      <c r="AK15" s="120">
        <v>4.0509259259259258E-4</v>
      </c>
      <c r="AL15" s="107">
        <v>15</v>
      </c>
      <c r="AM15" s="107" t="s">
        <v>11253</v>
      </c>
      <c r="AN15" s="121">
        <v>5.2083333333333333E-4</v>
      </c>
      <c r="AO15" s="121" t="b">
        <f t="shared" si="0"/>
        <v>1</v>
      </c>
      <c r="AP15" s="121" t="b">
        <f t="shared" si="1"/>
        <v>1</v>
      </c>
      <c r="AQ15" s="86">
        <f t="shared" si="2"/>
        <v>9.2592592592592596E-4</v>
      </c>
      <c r="AR15" s="86">
        <f t="shared" si="3"/>
        <v>3.2407407407407406E-4</v>
      </c>
      <c r="AS15" s="86">
        <f t="shared" si="4"/>
        <v>6.2500000000000001E-4</v>
      </c>
      <c r="AT15" s="85">
        <f t="shared" si="7"/>
        <v>6</v>
      </c>
      <c r="AU15" s="145">
        <f t="shared" si="8"/>
        <v>0.33333333333333326</v>
      </c>
      <c r="AV15" s="88">
        <f>ABS(AL15/L15-1)</f>
        <v>0.66666666666666674</v>
      </c>
      <c r="AW15" s="120">
        <v>1.6203703703703703E-4</v>
      </c>
      <c r="AX15" s="107" t="s">
        <v>11450</v>
      </c>
      <c r="AY15" s="107" t="s">
        <v>9801</v>
      </c>
      <c r="AZ15" s="121">
        <v>0</v>
      </c>
      <c r="BA15" s="121" t="b">
        <f t="shared" si="9"/>
        <v>1</v>
      </c>
      <c r="BB15" s="121" t="b">
        <f t="shared" si="5"/>
        <v>0</v>
      </c>
      <c r="BC15" s="86">
        <f t="shared" si="6"/>
        <v>1.6203703703703703E-4</v>
      </c>
      <c r="BD15" s="86">
        <f t="shared" si="10"/>
        <v>-1.9675925925925926E-4</v>
      </c>
      <c r="BE15" s="86">
        <f t="shared" si="11"/>
        <v>-1.3888888888888892E-4</v>
      </c>
      <c r="BF15" s="107" t="s">
        <v>9801</v>
      </c>
      <c r="BG15" s="128">
        <v>0</v>
      </c>
      <c r="BH15" s="128">
        <v>1</v>
      </c>
    </row>
    <row r="16" spans="1:60" ht="16" x14ac:dyDescent="0.25">
      <c r="A16" s="95" t="s">
        <v>1669</v>
      </c>
      <c r="B16" s="95">
        <v>507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1670</v>
      </c>
      <c r="I16" s="95" t="s">
        <v>1671</v>
      </c>
      <c r="L16" s="95">
        <v>7</v>
      </c>
      <c r="O16" s="95" t="s">
        <v>10898</v>
      </c>
      <c r="P16" s="95" t="s">
        <v>10850</v>
      </c>
      <c r="Q16" s="98">
        <v>2.8935185185185189E-4</v>
      </c>
      <c r="R16" s="98">
        <v>1.2268518518518518E-3</v>
      </c>
      <c r="S16" s="95">
        <v>0</v>
      </c>
      <c r="T16" s="95" t="s">
        <v>265</v>
      </c>
      <c r="U16" s="95" t="s">
        <v>266</v>
      </c>
      <c r="V16" s="95" t="s">
        <v>38</v>
      </c>
      <c r="Z16" s="95" t="b">
        <v>0</v>
      </c>
      <c r="AE16" s="95" t="s">
        <v>1464</v>
      </c>
      <c r="AF16" s="95" t="s">
        <v>9537</v>
      </c>
      <c r="AH16" s="95" t="b">
        <v>0</v>
      </c>
      <c r="AI16" s="95" t="s">
        <v>9880</v>
      </c>
      <c r="AK16" s="120">
        <v>8.449074074074075E-4</v>
      </c>
      <c r="AL16" s="107">
        <v>15</v>
      </c>
      <c r="AM16" s="107" t="s">
        <v>11253</v>
      </c>
      <c r="AN16" s="121">
        <v>2.4305555555555552E-4</v>
      </c>
      <c r="AO16" s="121" t="b">
        <f t="shared" si="0"/>
        <v>1</v>
      </c>
      <c r="AP16" s="121" t="b">
        <f t="shared" si="1"/>
        <v>1</v>
      </c>
      <c r="AQ16" s="86">
        <f t="shared" si="2"/>
        <v>1.0879629629629631E-3</v>
      </c>
      <c r="AR16" s="86">
        <f t="shared" si="3"/>
        <v>-4.6296296296296369E-5</v>
      </c>
      <c r="AS16" s="86">
        <f t="shared" si="4"/>
        <v>-1.388888888888887E-4</v>
      </c>
      <c r="AT16" s="85">
        <f t="shared" si="7"/>
        <v>8</v>
      </c>
      <c r="AU16" s="145">
        <f t="shared" si="8"/>
        <v>-0.14285714285714279</v>
      </c>
      <c r="AV16" s="88">
        <f t="shared" ref="AV16:AV17" si="13">ABS(AL16/L16-1)</f>
        <v>1.1428571428571428</v>
      </c>
      <c r="AW16" s="120">
        <v>0</v>
      </c>
      <c r="AX16" s="107" t="s">
        <v>9801</v>
      </c>
      <c r="AY16" s="107" t="s">
        <v>9801</v>
      </c>
      <c r="AZ16" s="121">
        <v>0</v>
      </c>
      <c r="BA16" s="121" t="b">
        <f t="shared" si="9"/>
        <v>0</v>
      </c>
      <c r="BB16" s="121" t="b">
        <f t="shared" si="5"/>
        <v>0</v>
      </c>
      <c r="BC16" s="86">
        <f t="shared" si="6"/>
        <v>0</v>
      </c>
      <c r="BD16" s="86">
        <f t="shared" si="10"/>
        <v>-2.8935185185185189E-4</v>
      </c>
      <c r="BE16" s="86">
        <f t="shared" si="11"/>
        <v>-1.2268518518518518E-3</v>
      </c>
      <c r="BF16" s="107" t="s">
        <v>9801</v>
      </c>
      <c r="BG16" s="128">
        <v>0</v>
      </c>
      <c r="BH16" s="128">
        <v>1</v>
      </c>
    </row>
    <row r="17" spans="1:60" ht="16" x14ac:dyDescent="0.25">
      <c r="A17" s="95" t="s">
        <v>1968</v>
      </c>
      <c r="B17" s="95">
        <v>609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149</v>
      </c>
      <c r="I17" s="95" t="s">
        <v>1969</v>
      </c>
      <c r="L17" s="95">
        <v>6</v>
      </c>
      <c r="O17" s="95" t="s">
        <v>9701</v>
      </c>
      <c r="P17" s="95" t="s">
        <v>9701</v>
      </c>
      <c r="Q17" s="98">
        <v>1.7361111111111112E-4</v>
      </c>
      <c r="R17" s="98">
        <v>4.2824074074074075E-4</v>
      </c>
      <c r="S17" s="95">
        <v>0</v>
      </c>
      <c r="T17" s="95" t="s">
        <v>265</v>
      </c>
      <c r="U17" s="95" t="s">
        <v>266</v>
      </c>
      <c r="V17" s="95" t="s">
        <v>38</v>
      </c>
      <c r="Z17" s="95" t="b">
        <v>0</v>
      </c>
      <c r="AE17" s="95" t="s">
        <v>1945</v>
      </c>
      <c r="AF17" s="95" t="s">
        <v>9530</v>
      </c>
      <c r="AH17" s="95" t="b">
        <v>0</v>
      </c>
      <c r="AI17" s="130" t="s">
        <v>6342</v>
      </c>
      <c r="AK17" s="120">
        <v>0</v>
      </c>
      <c r="AL17" s="107">
        <v>0</v>
      </c>
      <c r="AM17" s="107" t="s">
        <v>9801</v>
      </c>
      <c r="AN17" s="121">
        <v>0</v>
      </c>
      <c r="AO17" s="121" t="b">
        <f t="shared" si="0"/>
        <v>0</v>
      </c>
      <c r="AP17" s="121"/>
      <c r="AQ17" s="86">
        <f t="shared" si="2"/>
        <v>0</v>
      </c>
      <c r="AR17" s="86">
        <f t="shared" si="3"/>
        <v>-1.7361111111111112E-4</v>
      </c>
      <c r="AS17" s="86">
        <f t="shared" si="4"/>
        <v>-4.2824074074074075E-4</v>
      </c>
      <c r="AT17" s="85">
        <f t="shared" si="7"/>
        <v>6</v>
      </c>
      <c r="AU17" s="145">
        <f t="shared" si="8"/>
        <v>0</v>
      </c>
      <c r="AV17" s="88">
        <f t="shared" si="13"/>
        <v>1</v>
      </c>
      <c r="AW17" s="120">
        <v>0</v>
      </c>
      <c r="AX17" s="107" t="s">
        <v>9801</v>
      </c>
      <c r="AY17" s="107" t="s">
        <v>9801</v>
      </c>
      <c r="AZ17" s="121">
        <v>0</v>
      </c>
      <c r="BA17" s="121" t="b">
        <f t="shared" si="9"/>
        <v>0</v>
      </c>
      <c r="BB17" s="121" t="b">
        <f t="shared" si="5"/>
        <v>0</v>
      </c>
      <c r="BC17" s="86">
        <f t="shared" si="6"/>
        <v>0</v>
      </c>
      <c r="BD17" s="86">
        <f t="shared" si="10"/>
        <v>-1.7361111111111112E-4</v>
      </c>
      <c r="BE17" s="86">
        <f t="shared" si="11"/>
        <v>-4.2824074074074075E-4</v>
      </c>
      <c r="BF17" s="107" t="s">
        <v>9801</v>
      </c>
      <c r="BG17" s="128">
        <v>0</v>
      </c>
      <c r="BH17" s="128">
        <v>1</v>
      </c>
    </row>
    <row r="18" spans="1:60" ht="16" x14ac:dyDescent="0.25">
      <c r="A18" s="95" t="s">
        <v>2288</v>
      </c>
      <c r="B18" s="95">
        <v>706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2289</v>
      </c>
      <c r="I18" s="95" t="s">
        <v>2290</v>
      </c>
      <c r="J18" s="95" t="s">
        <v>2035</v>
      </c>
      <c r="L18" s="95">
        <v>7</v>
      </c>
      <c r="O18" s="95" t="s">
        <v>10897</v>
      </c>
      <c r="P18" s="95" t="s">
        <v>10897</v>
      </c>
      <c r="Q18" s="98">
        <v>1.6203703703703703E-4</v>
      </c>
      <c r="R18" s="98">
        <v>4.6296296296296293E-4</v>
      </c>
      <c r="S18" s="95">
        <v>0</v>
      </c>
      <c r="T18" s="95" t="s">
        <v>265</v>
      </c>
      <c r="U18" s="95" t="s">
        <v>266</v>
      </c>
      <c r="V18" s="95" t="s">
        <v>38</v>
      </c>
      <c r="Z18" s="95" t="b">
        <v>0</v>
      </c>
      <c r="AE18" s="95" t="s">
        <v>2025</v>
      </c>
      <c r="AF18" s="95" t="s">
        <v>9522</v>
      </c>
      <c r="AH18" s="95" t="b">
        <v>0</v>
      </c>
      <c r="AI18" s="95" t="s">
        <v>9697</v>
      </c>
      <c r="AK18" s="120">
        <v>5.4398148148148144E-4</v>
      </c>
      <c r="AL18" s="107">
        <v>6</v>
      </c>
      <c r="AM18" s="107" t="s">
        <v>11253</v>
      </c>
      <c r="AN18" s="121">
        <v>3.9351851851851852E-4</v>
      </c>
      <c r="AO18" s="121" t="b">
        <f t="shared" si="0"/>
        <v>1</v>
      </c>
      <c r="AP18" s="121" t="b">
        <f t="shared" ref="AP18:AP31" si="14">IF(AN18&gt;0, TRUE, FALSE)</f>
        <v>1</v>
      </c>
      <c r="AQ18" s="86">
        <f t="shared" si="2"/>
        <v>9.3749999999999997E-4</v>
      </c>
      <c r="AR18" s="86">
        <f t="shared" si="3"/>
        <v>2.3148148148148149E-4</v>
      </c>
      <c r="AS18" s="86">
        <f t="shared" si="4"/>
        <v>4.7453703703703704E-4</v>
      </c>
      <c r="AT18" s="85">
        <f t="shared" si="7"/>
        <v>1</v>
      </c>
      <c r="AU18" s="145">
        <f t="shared" si="8"/>
        <v>0.8571428571428571</v>
      </c>
      <c r="AV18" s="88">
        <f>ABS(AL18/L18-1)</f>
        <v>0.1428571428571429</v>
      </c>
      <c r="AW18" s="120">
        <v>0</v>
      </c>
      <c r="AX18" s="107" t="s">
        <v>9801</v>
      </c>
      <c r="AY18" s="107" t="s">
        <v>9801</v>
      </c>
      <c r="AZ18" s="121">
        <v>0</v>
      </c>
      <c r="BA18" s="121" t="b">
        <f t="shared" si="9"/>
        <v>0</v>
      </c>
      <c r="BB18" s="121" t="b">
        <f t="shared" si="5"/>
        <v>0</v>
      </c>
      <c r="BC18" s="86">
        <f t="shared" si="6"/>
        <v>0</v>
      </c>
      <c r="BD18" s="86">
        <f t="shared" si="10"/>
        <v>-1.6203703703703703E-4</v>
      </c>
      <c r="BE18" s="86">
        <f t="shared" si="11"/>
        <v>-4.6296296296296293E-4</v>
      </c>
      <c r="BF18" s="107" t="s">
        <v>9801</v>
      </c>
      <c r="BG18" s="128">
        <v>0</v>
      </c>
      <c r="BH18" s="128">
        <v>1</v>
      </c>
    </row>
    <row r="19" spans="1:60" ht="16" x14ac:dyDescent="0.25">
      <c r="A19" s="95" t="s">
        <v>2474</v>
      </c>
      <c r="B19" s="95">
        <v>764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2475</v>
      </c>
      <c r="I19" s="95" t="s">
        <v>2476</v>
      </c>
      <c r="L19" s="95">
        <v>5</v>
      </c>
      <c r="O19" s="95" t="s">
        <v>10896</v>
      </c>
      <c r="P19" s="95" t="s">
        <v>10896</v>
      </c>
      <c r="Q19" s="98">
        <v>1.7361111111111112E-4</v>
      </c>
      <c r="R19" s="98">
        <v>3.0092592592592595E-4</v>
      </c>
      <c r="S19" s="95">
        <v>0</v>
      </c>
      <c r="T19" s="95" t="s">
        <v>265</v>
      </c>
      <c r="U19" s="95" t="s">
        <v>266</v>
      </c>
      <c r="V19" s="95" t="s">
        <v>38</v>
      </c>
      <c r="Z19" s="95" t="b">
        <v>0</v>
      </c>
      <c r="AE19" s="95" t="s">
        <v>2406</v>
      </c>
      <c r="AF19" s="95" t="s">
        <v>9521</v>
      </c>
      <c r="AH19" s="95" t="b">
        <v>0</v>
      </c>
      <c r="AI19" s="95" t="s">
        <v>9696</v>
      </c>
      <c r="AK19" s="120">
        <v>3.8194444444444446E-4</v>
      </c>
      <c r="AL19" s="107">
        <v>7</v>
      </c>
      <c r="AM19" s="107" t="s">
        <v>11253</v>
      </c>
      <c r="AN19" s="121">
        <v>6.5972222222222213E-4</v>
      </c>
      <c r="AO19" s="121" t="b">
        <f t="shared" si="0"/>
        <v>1</v>
      </c>
      <c r="AP19" s="121" t="b">
        <f t="shared" si="14"/>
        <v>1</v>
      </c>
      <c r="AQ19" s="86">
        <f t="shared" si="2"/>
        <v>1.0416666666666667E-3</v>
      </c>
      <c r="AR19" s="86">
        <f t="shared" si="3"/>
        <v>4.8611111111111099E-4</v>
      </c>
      <c r="AS19" s="86">
        <f t="shared" si="4"/>
        <v>7.407407407407407E-4</v>
      </c>
      <c r="AT19" s="85">
        <f t="shared" si="7"/>
        <v>2</v>
      </c>
      <c r="AU19" s="145">
        <f t="shared" si="8"/>
        <v>0.60000000000000009</v>
      </c>
      <c r="AV19" s="88">
        <f>ABS(AL19/L19-1)</f>
        <v>0.39999999999999991</v>
      </c>
      <c r="AW19" s="120">
        <v>0</v>
      </c>
      <c r="AX19" s="107" t="s">
        <v>9801</v>
      </c>
      <c r="AY19" s="107" t="s">
        <v>9801</v>
      </c>
      <c r="AZ19" s="121">
        <v>0</v>
      </c>
      <c r="BA19" s="121" t="b">
        <f t="shared" si="9"/>
        <v>0</v>
      </c>
      <c r="BB19" s="121" t="b">
        <f t="shared" si="5"/>
        <v>0</v>
      </c>
      <c r="BC19" s="86">
        <f t="shared" si="6"/>
        <v>0</v>
      </c>
      <c r="BD19" s="86">
        <f t="shared" si="10"/>
        <v>-1.7361111111111112E-4</v>
      </c>
      <c r="BE19" s="86">
        <f t="shared" si="11"/>
        <v>-3.0092592592592595E-4</v>
      </c>
      <c r="BF19" s="107" t="s">
        <v>9801</v>
      </c>
      <c r="BG19" s="128">
        <v>0</v>
      </c>
      <c r="BH19" s="128">
        <v>1</v>
      </c>
    </row>
    <row r="20" spans="1:60" ht="16" x14ac:dyDescent="0.25">
      <c r="A20" s="95" t="s">
        <v>2681</v>
      </c>
      <c r="B20" s="95">
        <v>830</v>
      </c>
      <c r="C20" s="95" t="b">
        <v>0</v>
      </c>
      <c r="D20" s="95" t="b">
        <v>0</v>
      </c>
      <c r="E20" s="95" t="b">
        <v>0</v>
      </c>
      <c r="F20" s="95" t="b">
        <v>1</v>
      </c>
      <c r="G20" s="95" t="s">
        <v>31</v>
      </c>
      <c r="H20" s="95" t="s">
        <v>2682</v>
      </c>
      <c r="I20" s="95" t="s">
        <v>2683</v>
      </c>
      <c r="J20" s="95" t="s">
        <v>2684</v>
      </c>
      <c r="L20" s="95">
        <v>4</v>
      </c>
      <c r="O20" s="95" t="s">
        <v>10895</v>
      </c>
      <c r="P20" s="95" t="s">
        <v>10894</v>
      </c>
      <c r="Q20" s="98">
        <v>5.3240740740740744E-4</v>
      </c>
      <c r="R20" s="98">
        <v>1.8518518518518517E-3</v>
      </c>
      <c r="S20" s="95">
        <v>0</v>
      </c>
      <c r="T20" s="95" t="s">
        <v>265</v>
      </c>
      <c r="U20" s="95" t="s">
        <v>266</v>
      </c>
      <c r="V20" s="95" t="s">
        <v>38</v>
      </c>
      <c r="Z20" s="95" t="b">
        <v>0</v>
      </c>
      <c r="AE20" s="95" t="s">
        <v>2650</v>
      </c>
      <c r="AF20" s="95" t="s">
        <v>9517</v>
      </c>
      <c r="AH20" s="95" t="b">
        <v>0</v>
      </c>
      <c r="AI20" s="95" t="s">
        <v>9695</v>
      </c>
      <c r="AK20" s="120">
        <v>3.4722222222222224E-4</v>
      </c>
      <c r="AL20" s="107">
        <v>11</v>
      </c>
      <c r="AM20" s="107" t="s">
        <v>11252</v>
      </c>
      <c r="AN20" s="121">
        <v>4.1666666666666669E-4</v>
      </c>
      <c r="AO20" s="121" t="b">
        <f t="shared" si="0"/>
        <v>1</v>
      </c>
      <c r="AP20" s="121" t="b">
        <f t="shared" si="14"/>
        <v>1</v>
      </c>
      <c r="AQ20" s="86">
        <f t="shared" si="2"/>
        <v>7.6388888888888893E-4</v>
      </c>
      <c r="AR20" s="86">
        <f t="shared" si="3"/>
        <v>-1.1574074074074075E-4</v>
      </c>
      <c r="AS20" s="86">
        <f t="shared" si="4"/>
        <v>-1.0879629629629629E-3</v>
      </c>
      <c r="AT20" s="85">
        <f t="shared" si="7"/>
        <v>7</v>
      </c>
      <c r="AU20" s="145">
        <f t="shared" si="8"/>
        <v>-0.75</v>
      </c>
      <c r="AV20" s="88">
        <f t="shared" ref="AV20:AV21" si="15">ABS(AL20/L20-1)</f>
        <v>1.75</v>
      </c>
      <c r="AW20" s="120">
        <v>0</v>
      </c>
      <c r="AX20" s="107" t="s">
        <v>9801</v>
      </c>
      <c r="AY20" s="107" t="s">
        <v>9801</v>
      </c>
      <c r="AZ20" s="121">
        <v>0</v>
      </c>
      <c r="BA20" s="121" t="b">
        <f t="shared" si="9"/>
        <v>0</v>
      </c>
      <c r="BB20" s="121" t="b">
        <f t="shared" si="5"/>
        <v>0</v>
      </c>
      <c r="BC20" s="86">
        <f t="shared" si="6"/>
        <v>0</v>
      </c>
      <c r="BD20" s="86">
        <f t="shared" si="10"/>
        <v>-5.3240740740740744E-4</v>
      </c>
      <c r="BE20" s="86">
        <f t="shared" si="11"/>
        <v>-1.8518518518518517E-3</v>
      </c>
      <c r="BF20" s="107" t="s">
        <v>9801</v>
      </c>
      <c r="BG20" s="128">
        <v>0</v>
      </c>
      <c r="BH20" s="128">
        <v>1</v>
      </c>
    </row>
    <row r="21" spans="1:60" ht="16" x14ac:dyDescent="0.25">
      <c r="A21" s="95" t="s">
        <v>2761</v>
      </c>
      <c r="B21" s="95">
        <v>854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2762</v>
      </c>
      <c r="I21" s="95" t="s">
        <v>2763</v>
      </c>
      <c r="L21" s="95">
        <v>6</v>
      </c>
      <c r="O21" s="95" t="s">
        <v>9694</v>
      </c>
      <c r="P21" s="95" t="s">
        <v>9694</v>
      </c>
      <c r="Q21" s="98">
        <v>2.4305555555555552E-4</v>
      </c>
      <c r="R21" s="98">
        <v>1.1342592592592591E-3</v>
      </c>
      <c r="S21" s="95">
        <v>0</v>
      </c>
      <c r="T21" s="95" t="s">
        <v>265</v>
      </c>
      <c r="U21" s="95" t="s">
        <v>266</v>
      </c>
      <c r="V21" s="95" t="s">
        <v>38</v>
      </c>
      <c r="Z21" s="95" t="b">
        <v>0</v>
      </c>
      <c r="AE21" s="95" t="s">
        <v>2650</v>
      </c>
      <c r="AF21" s="95" t="s">
        <v>9517</v>
      </c>
      <c r="AH21" s="95" t="b">
        <v>0</v>
      </c>
      <c r="AI21" s="95" t="s">
        <v>9693</v>
      </c>
      <c r="AK21" s="120">
        <v>1.8518518518518518E-4</v>
      </c>
      <c r="AL21" s="107">
        <v>12</v>
      </c>
      <c r="AM21" s="107" t="s">
        <v>11252</v>
      </c>
      <c r="AN21" s="121">
        <v>4.8611111111111104E-4</v>
      </c>
      <c r="AO21" s="121" t="b">
        <f t="shared" si="0"/>
        <v>1</v>
      </c>
      <c r="AP21" s="121" t="b">
        <f t="shared" si="14"/>
        <v>1</v>
      </c>
      <c r="AQ21" s="86">
        <f t="shared" si="2"/>
        <v>6.7129629629629625E-4</v>
      </c>
      <c r="AR21" s="86">
        <f t="shared" si="3"/>
        <v>2.4305555555555552E-4</v>
      </c>
      <c r="AS21" s="86">
        <f t="shared" si="4"/>
        <v>-4.6296296296296287E-4</v>
      </c>
      <c r="AT21" s="85">
        <f t="shared" si="7"/>
        <v>6</v>
      </c>
      <c r="AU21" s="145">
        <f t="shared" si="8"/>
        <v>0</v>
      </c>
      <c r="AV21" s="88">
        <f t="shared" si="15"/>
        <v>1</v>
      </c>
      <c r="AW21" s="120">
        <v>0</v>
      </c>
      <c r="AX21" s="107" t="s">
        <v>9801</v>
      </c>
      <c r="AY21" s="107" t="s">
        <v>9801</v>
      </c>
      <c r="AZ21" s="121">
        <v>0</v>
      </c>
      <c r="BA21" s="121" t="b">
        <f t="shared" si="9"/>
        <v>0</v>
      </c>
      <c r="BB21" s="121" t="b">
        <f t="shared" si="5"/>
        <v>0</v>
      </c>
      <c r="BC21" s="86">
        <f t="shared" si="6"/>
        <v>0</v>
      </c>
      <c r="BD21" s="86">
        <f t="shared" si="10"/>
        <v>-2.4305555555555552E-4</v>
      </c>
      <c r="BE21" s="86">
        <f t="shared" si="11"/>
        <v>-1.1342592592592591E-3</v>
      </c>
      <c r="BF21" s="107" t="s">
        <v>9801</v>
      </c>
      <c r="BG21" s="128">
        <v>0</v>
      </c>
      <c r="BH21" s="128">
        <v>1</v>
      </c>
    </row>
    <row r="22" spans="1:60" ht="16" x14ac:dyDescent="0.25">
      <c r="A22" s="95" t="s">
        <v>2764</v>
      </c>
      <c r="B22" s="95">
        <v>855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2765</v>
      </c>
      <c r="I22" s="95" t="s">
        <v>2766</v>
      </c>
      <c r="J22" s="95" t="s">
        <v>2767</v>
      </c>
      <c r="L22" s="95">
        <v>7</v>
      </c>
      <c r="O22" s="95" t="s">
        <v>10849</v>
      </c>
      <c r="P22" s="95" t="s">
        <v>10848</v>
      </c>
      <c r="Q22" s="98">
        <v>4.5138888888888892E-4</v>
      </c>
      <c r="R22" s="98">
        <v>1.6319444444444445E-3</v>
      </c>
      <c r="S22" s="95">
        <v>0</v>
      </c>
      <c r="T22" s="95" t="s">
        <v>265</v>
      </c>
      <c r="U22" s="95" t="s">
        <v>266</v>
      </c>
      <c r="V22" s="95" t="s">
        <v>38</v>
      </c>
      <c r="Z22" s="95" t="b">
        <v>0</v>
      </c>
      <c r="AE22" s="95" t="s">
        <v>2650</v>
      </c>
      <c r="AF22" s="95" t="s">
        <v>9517</v>
      </c>
      <c r="AH22" s="95" t="b">
        <v>0</v>
      </c>
      <c r="AI22" s="95" t="s">
        <v>9897</v>
      </c>
      <c r="AK22" s="120">
        <v>1.2847222222222223E-3</v>
      </c>
      <c r="AL22" s="107">
        <v>12</v>
      </c>
      <c r="AM22" s="107" t="s">
        <v>11253</v>
      </c>
      <c r="AN22" s="121">
        <v>3.7037037037037035E-4</v>
      </c>
      <c r="AO22" s="121" t="b">
        <f t="shared" si="0"/>
        <v>1</v>
      </c>
      <c r="AP22" s="121" t="b">
        <f t="shared" si="14"/>
        <v>1</v>
      </c>
      <c r="AQ22" s="86">
        <f t="shared" si="2"/>
        <v>1.6550925925925926E-3</v>
      </c>
      <c r="AR22" s="86">
        <f t="shared" si="3"/>
        <v>-8.101851851851857E-5</v>
      </c>
      <c r="AS22" s="86">
        <f t="shared" si="4"/>
        <v>2.3148148148148008E-5</v>
      </c>
      <c r="AT22" s="85">
        <f t="shared" si="7"/>
        <v>5</v>
      </c>
      <c r="AU22" s="145">
        <f t="shared" si="8"/>
        <v>0.28571428571428581</v>
      </c>
      <c r="AV22" s="88">
        <f t="shared" ref="AV22:AV31" si="16">ABS(AL22/L22-1)</f>
        <v>0.71428571428571419</v>
      </c>
      <c r="AW22" s="120">
        <v>0</v>
      </c>
      <c r="AX22" s="107" t="s">
        <v>9801</v>
      </c>
      <c r="AY22" s="107" t="s">
        <v>9801</v>
      </c>
      <c r="AZ22" s="121">
        <v>0</v>
      </c>
      <c r="BA22" s="121" t="b">
        <f t="shared" si="9"/>
        <v>0</v>
      </c>
      <c r="BB22" s="121" t="b">
        <f t="shared" si="5"/>
        <v>0</v>
      </c>
      <c r="BC22" s="86">
        <f t="shared" si="6"/>
        <v>0</v>
      </c>
      <c r="BD22" s="86">
        <f t="shared" si="10"/>
        <v>-4.5138888888888892E-4</v>
      </c>
      <c r="BE22" s="86">
        <f t="shared" si="11"/>
        <v>-1.6319444444444445E-3</v>
      </c>
      <c r="BF22" s="107" t="s">
        <v>9801</v>
      </c>
      <c r="BG22" s="128">
        <v>0</v>
      </c>
      <c r="BH22" s="128">
        <v>1</v>
      </c>
    </row>
    <row r="23" spans="1:60" ht="16" x14ac:dyDescent="0.25">
      <c r="A23" s="95" t="s">
        <v>2778</v>
      </c>
      <c r="B23" s="95">
        <v>859</v>
      </c>
      <c r="C23" s="95" t="b">
        <v>0</v>
      </c>
      <c r="D23" s="95" t="b">
        <v>0</v>
      </c>
      <c r="E23" s="95" t="b">
        <v>0</v>
      </c>
      <c r="F23" s="95" t="b">
        <v>0</v>
      </c>
      <c r="G23" s="95" t="s">
        <v>31</v>
      </c>
      <c r="H23" s="95" t="s">
        <v>2779</v>
      </c>
      <c r="I23" s="95" t="s">
        <v>2780</v>
      </c>
      <c r="L23" s="95">
        <v>5</v>
      </c>
      <c r="O23" s="95" t="s">
        <v>10893</v>
      </c>
      <c r="P23" s="95" t="s">
        <v>10893</v>
      </c>
      <c r="Q23" s="98">
        <v>2.8935185185185189E-4</v>
      </c>
      <c r="R23" s="98">
        <v>7.407407407407407E-4</v>
      </c>
      <c r="S23" s="95">
        <v>0</v>
      </c>
      <c r="T23" s="95" t="s">
        <v>265</v>
      </c>
      <c r="U23" s="95" t="s">
        <v>266</v>
      </c>
      <c r="V23" s="95" t="s">
        <v>38</v>
      </c>
      <c r="Z23" s="95" t="b">
        <v>0</v>
      </c>
      <c r="AE23" s="95" t="s">
        <v>2650</v>
      </c>
      <c r="AF23" s="95" t="s">
        <v>9517</v>
      </c>
      <c r="AH23" s="95" t="b">
        <v>0</v>
      </c>
      <c r="AI23" s="95" t="s">
        <v>9692</v>
      </c>
      <c r="AK23" s="120">
        <v>1.7013888888888892E-3</v>
      </c>
      <c r="AL23" s="107">
        <v>6</v>
      </c>
      <c r="AM23" s="107" t="s">
        <v>11253</v>
      </c>
      <c r="AN23" s="121">
        <v>8.6805555555555551E-4</v>
      </c>
      <c r="AO23" s="121" t="b">
        <f t="shared" si="0"/>
        <v>1</v>
      </c>
      <c r="AP23" s="121" t="b">
        <f t="shared" si="14"/>
        <v>1</v>
      </c>
      <c r="AQ23" s="86">
        <f t="shared" si="2"/>
        <v>2.5694444444444445E-3</v>
      </c>
      <c r="AR23" s="86">
        <f t="shared" si="3"/>
        <v>5.7870370370370367E-4</v>
      </c>
      <c r="AS23" s="86">
        <f t="shared" si="4"/>
        <v>1.8287037037037039E-3</v>
      </c>
      <c r="AT23" s="85">
        <f t="shared" si="7"/>
        <v>1</v>
      </c>
      <c r="AU23" s="145">
        <f t="shared" si="8"/>
        <v>0.8</v>
      </c>
      <c r="AV23" s="88">
        <f t="shared" si="16"/>
        <v>0.19999999999999996</v>
      </c>
      <c r="AW23" s="120">
        <v>0</v>
      </c>
      <c r="AX23" s="107" t="s">
        <v>9801</v>
      </c>
      <c r="AY23" s="107" t="s">
        <v>9801</v>
      </c>
      <c r="AZ23" s="121">
        <v>0</v>
      </c>
      <c r="BA23" s="121" t="b">
        <f t="shared" si="9"/>
        <v>0</v>
      </c>
      <c r="BB23" s="121" t="b">
        <f t="shared" si="5"/>
        <v>0</v>
      </c>
      <c r="BC23" s="86">
        <f t="shared" si="6"/>
        <v>0</v>
      </c>
      <c r="BD23" s="86">
        <f t="shared" si="10"/>
        <v>-2.8935185185185189E-4</v>
      </c>
      <c r="BE23" s="86">
        <f t="shared" si="11"/>
        <v>-7.407407407407407E-4</v>
      </c>
      <c r="BF23" s="107" t="s">
        <v>9801</v>
      </c>
      <c r="BG23" s="128">
        <v>0</v>
      </c>
      <c r="BH23" s="128">
        <v>1</v>
      </c>
    </row>
    <row r="24" spans="1:60" ht="16" x14ac:dyDescent="0.25">
      <c r="A24" s="95" t="s">
        <v>2841</v>
      </c>
      <c r="B24" s="95">
        <v>879</v>
      </c>
      <c r="C24" s="95" t="b">
        <v>0</v>
      </c>
      <c r="D24" s="95" t="b">
        <v>0</v>
      </c>
      <c r="E24" s="95" t="b">
        <v>0</v>
      </c>
      <c r="F24" s="95" t="b">
        <v>0</v>
      </c>
      <c r="G24" s="95" t="s">
        <v>31</v>
      </c>
      <c r="H24" s="95" t="s">
        <v>2842</v>
      </c>
      <c r="I24" s="95" t="s">
        <v>2843</v>
      </c>
      <c r="L24" s="95">
        <v>16</v>
      </c>
      <c r="O24" s="95" t="s">
        <v>10847</v>
      </c>
      <c r="P24" s="95" t="s">
        <v>10847</v>
      </c>
      <c r="Q24" s="98">
        <v>3.5879629629629635E-4</v>
      </c>
      <c r="R24" s="98">
        <v>1.3773148148148147E-3</v>
      </c>
      <c r="S24" s="95">
        <v>0</v>
      </c>
      <c r="T24" s="95" t="s">
        <v>265</v>
      </c>
      <c r="U24" s="95" t="s">
        <v>266</v>
      </c>
      <c r="V24" s="95" t="s">
        <v>38</v>
      </c>
      <c r="Z24" s="95" t="b">
        <v>0</v>
      </c>
      <c r="AE24" s="95" t="s">
        <v>2840</v>
      </c>
      <c r="AF24" s="95" t="s">
        <v>9508</v>
      </c>
      <c r="AH24" s="95" t="b">
        <v>0</v>
      </c>
      <c r="AI24" s="95" t="s">
        <v>9899</v>
      </c>
      <c r="AK24" s="120">
        <v>1.7245370370370372E-3</v>
      </c>
      <c r="AL24" s="107">
        <v>0</v>
      </c>
      <c r="AM24" s="107" t="s">
        <v>9801</v>
      </c>
      <c r="AN24" s="121">
        <v>0</v>
      </c>
      <c r="AO24" s="121" t="b">
        <f t="shared" si="0"/>
        <v>1</v>
      </c>
      <c r="AP24" s="121" t="b">
        <f t="shared" si="14"/>
        <v>0</v>
      </c>
      <c r="AQ24" s="86">
        <f t="shared" si="2"/>
        <v>1.7245370370370372E-3</v>
      </c>
      <c r="AR24" s="86">
        <f t="shared" si="3"/>
        <v>-3.5879629629629635E-4</v>
      </c>
      <c r="AS24" s="86">
        <f t="shared" si="4"/>
        <v>3.4722222222222251E-4</v>
      </c>
      <c r="AT24" s="85">
        <f t="shared" si="7"/>
        <v>16</v>
      </c>
      <c r="AU24" s="145">
        <f t="shared" si="8"/>
        <v>0</v>
      </c>
      <c r="AV24" s="88">
        <f t="shared" si="16"/>
        <v>1</v>
      </c>
      <c r="AW24" s="120">
        <v>0</v>
      </c>
      <c r="AX24" s="107" t="s">
        <v>9801</v>
      </c>
      <c r="AY24" s="107" t="s">
        <v>9801</v>
      </c>
      <c r="AZ24" s="121">
        <v>0</v>
      </c>
      <c r="BA24" s="121" t="b">
        <f t="shared" si="9"/>
        <v>0</v>
      </c>
      <c r="BB24" s="121" t="b">
        <f t="shared" si="5"/>
        <v>0</v>
      </c>
      <c r="BC24" s="86">
        <f t="shared" si="6"/>
        <v>0</v>
      </c>
      <c r="BD24" s="86">
        <f t="shared" si="10"/>
        <v>-3.5879629629629635E-4</v>
      </c>
      <c r="BE24" s="86">
        <f t="shared" si="11"/>
        <v>-1.3773148148148147E-3</v>
      </c>
      <c r="BF24" s="107" t="s">
        <v>9801</v>
      </c>
      <c r="BG24" s="128">
        <v>0</v>
      </c>
      <c r="BH24" s="128">
        <v>1</v>
      </c>
    </row>
    <row r="25" spans="1:60" ht="16" x14ac:dyDescent="0.25">
      <c r="A25" s="95" t="s">
        <v>3042</v>
      </c>
      <c r="B25" s="95">
        <v>943</v>
      </c>
      <c r="C25" s="95" t="b">
        <v>0</v>
      </c>
      <c r="D25" s="95" t="b">
        <v>0</v>
      </c>
      <c r="E25" s="95" t="b">
        <v>0</v>
      </c>
      <c r="F25" s="95" t="b">
        <v>0</v>
      </c>
      <c r="G25" s="95" t="s">
        <v>31</v>
      </c>
      <c r="H25" s="95" t="s">
        <v>3043</v>
      </c>
      <c r="I25" s="95" t="s">
        <v>3044</v>
      </c>
      <c r="L25" s="95">
        <v>13</v>
      </c>
      <c r="O25" s="95" t="s">
        <v>9691</v>
      </c>
      <c r="P25" s="95" t="s">
        <v>9691</v>
      </c>
      <c r="Q25" s="98">
        <v>1.7361111111111112E-4</v>
      </c>
      <c r="R25" s="98">
        <v>2.0833333333333335E-4</v>
      </c>
      <c r="S25" s="95">
        <v>0</v>
      </c>
      <c r="T25" s="95" t="s">
        <v>265</v>
      </c>
      <c r="U25" s="95" t="s">
        <v>266</v>
      </c>
      <c r="V25" s="95" t="s">
        <v>38</v>
      </c>
      <c r="Z25" s="95" t="b">
        <v>0</v>
      </c>
      <c r="AE25" s="95" t="s">
        <v>2840</v>
      </c>
      <c r="AF25" s="95" t="s">
        <v>9508</v>
      </c>
      <c r="AH25" s="95" t="b">
        <v>0</v>
      </c>
      <c r="AI25" s="95" t="s">
        <v>9690</v>
      </c>
      <c r="AK25" s="120">
        <v>5.2083333333333333E-4</v>
      </c>
      <c r="AL25" s="107">
        <v>8</v>
      </c>
      <c r="AM25" s="107" t="s">
        <v>11253</v>
      </c>
      <c r="AN25" s="121">
        <v>2.4305555555555552E-4</v>
      </c>
      <c r="AO25" s="121" t="b">
        <f t="shared" si="0"/>
        <v>1</v>
      </c>
      <c r="AP25" s="121" t="b">
        <f t="shared" si="14"/>
        <v>1</v>
      </c>
      <c r="AQ25" s="86">
        <f t="shared" si="2"/>
        <v>7.6388888888888882E-4</v>
      </c>
      <c r="AR25" s="86">
        <f t="shared" si="3"/>
        <v>6.9444444444444404E-5</v>
      </c>
      <c r="AS25" s="86">
        <f t="shared" si="4"/>
        <v>5.5555555555555545E-4</v>
      </c>
      <c r="AT25" s="85">
        <f t="shared" si="7"/>
        <v>5</v>
      </c>
      <c r="AU25" s="145">
        <f t="shared" si="8"/>
        <v>0.61538461538461542</v>
      </c>
      <c r="AV25" s="88">
        <f t="shared" si="16"/>
        <v>0.38461538461538458</v>
      </c>
      <c r="AW25" s="120">
        <v>0</v>
      </c>
      <c r="AX25" s="107" t="s">
        <v>9801</v>
      </c>
      <c r="AY25" s="107" t="s">
        <v>9801</v>
      </c>
      <c r="AZ25" s="121">
        <v>0</v>
      </c>
      <c r="BA25" s="121" t="b">
        <f t="shared" si="9"/>
        <v>0</v>
      </c>
      <c r="BB25" s="121" t="b">
        <f t="shared" si="5"/>
        <v>0</v>
      </c>
      <c r="BC25" s="86">
        <f t="shared" si="6"/>
        <v>0</v>
      </c>
      <c r="BD25" s="86">
        <f t="shared" si="10"/>
        <v>-1.7361111111111112E-4</v>
      </c>
      <c r="BE25" s="86">
        <f t="shared" si="11"/>
        <v>-2.0833333333333335E-4</v>
      </c>
      <c r="BF25" s="107" t="s">
        <v>9801</v>
      </c>
      <c r="BG25" s="128">
        <v>0</v>
      </c>
      <c r="BH25" s="128">
        <v>1</v>
      </c>
    </row>
    <row r="26" spans="1:60" ht="16" x14ac:dyDescent="0.25">
      <c r="A26" s="95" t="s">
        <v>3217</v>
      </c>
      <c r="B26" s="95">
        <v>997</v>
      </c>
      <c r="C26" s="95" t="b">
        <v>0</v>
      </c>
      <c r="D26" s="95" t="b">
        <v>0</v>
      </c>
      <c r="E26" s="95" t="b">
        <v>0</v>
      </c>
      <c r="F26" s="95" t="b">
        <v>0</v>
      </c>
      <c r="G26" s="95" t="s">
        <v>31</v>
      </c>
      <c r="H26" s="95" t="s">
        <v>3218</v>
      </c>
      <c r="I26" s="95" t="s">
        <v>3219</v>
      </c>
      <c r="L26" s="95">
        <v>10</v>
      </c>
      <c r="O26" s="95" t="s">
        <v>10892</v>
      </c>
      <c r="P26" s="95" t="s">
        <v>10891</v>
      </c>
      <c r="Q26" s="98">
        <v>3.4722222222222224E-4</v>
      </c>
      <c r="R26" s="98">
        <v>6.3657407407407402E-4</v>
      </c>
      <c r="S26" s="95">
        <v>0</v>
      </c>
      <c r="T26" s="95" t="s">
        <v>265</v>
      </c>
      <c r="U26" s="95" t="s">
        <v>266</v>
      </c>
      <c r="V26" s="95" t="s">
        <v>38</v>
      </c>
      <c r="Z26" s="95" t="b">
        <v>0</v>
      </c>
      <c r="AE26" s="95" t="s">
        <v>2840</v>
      </c>
      <c r="AF26" s="95" t="s">
        <v>9508</v>
      </c>
      <c r="AH26" s="95" t="b">
        <v>0</v>
      </c>
      <c r="AI26" s="95" t="s">
        <v>9688</v>
      </c>
      <c r="AK26" s="120">
        <v>1.25E-3</v>
      </c>
      <c r="AL26" s="107">
        <v>13</v>
      </c>
      <c r="AM26" s="107" t="s">
        <v>11252</v>
      </c>
      <c r="AN26" s="121">
        <v>7.175925925925927E-4</v>
      </c>
      <c r="AO26" s="121" t="b">
        <f t="shared" si="0"/>
        <v>1</v>
      </c>
      <c r="AP26" s="121" t="b">
        <f t="shared" si="14"/>
        <v>1</v>
      </c>
      <c r="AQ26" s="86">
        <f t="shared" si="2"/>
        <v>1.9675925925925928E-3</v>
      </c>
      <c r="AR26" s="86">
        <f t="shared" si="3"/>
        <v>3.7037037037037046E-4</v>
      </c>
      <c r="AS26" s="86">
        <f t="shared" si="4"/>
        <v>1.3310185185185187E-3</v>
      </c>
      <c r="AT26" s="85">
        <f t="shared" si="7"/>
        <v>3</v>
      </c>
      <c r="AU26" s="145">
        <f t="shared" si="8"/>
        <v>0.7</v>
      </c>
      <c r="AV26" s="88">
        <f t="shared" si="16"/>
        <v>0.30000000000000004</v>
      </c>
      <c r="AW26" s="120">
        <v>0</v>
      </c>
      <c r="AX26" s="107" t="s">
        <v>9801</v>
      </c>
      <c r="AY26" s="107" t="s">
        <v>9801</v>
      </c>
      <c r="AZ26" s="121">
        <v>0</v>
      </c>
      <c r="BA26" s="121" t="b">
        <f t="shared" si="9"/>
        <v>0</v>
      </c>
      <c r="BB26" s="121" t="b">
        <f t="shared" si="5"/>
        <v>0</v>
      </c>
      <c r="BC26" s="86">
        <f t="shared" si="6"/>
        <v>0</v>
      </c>
      <c r="BD26" s="86">
        <f t="shared" si="10"/>
        <v>-3.4722222222222224E-4</v>
      </c>
      <c r="BE26" s="86">
        <f t="shared" si="11"/>
        <v>-6.3657407407407402E-4</v>
      </c>
      <c r="BF26" s="107" t="s">
        <v>9801</v>
      </c>
      <c r="BG26" s="128">
        <v>0</v>
      </c>
      <c r="BH26" s="128">
        <v>1</v>
      </c>
    </row>
    <row r="27" spans="1:60" ht="16" x14ac:dyDescent="0.25">
      <c r="A27" s="95" t="s">
        <v>3220</v>
      </c>
      <c r="B27" s="95">
        <v>998</v>
      </c>
      <c r="C27" s="95" t="b">
        <v>0</v>
      </c>
      <c r="D27" s="95" t="b">
        <v>0</v>
      </c>
      <c r="E27" s="95" t="b">
        <v>0</v>
      </c>
      <c r="F27" s="95" t="b">
        <v>0</v>
      </c>
      <c r="G27" s="95" t="s">
        <v>31</v>
      </c>
      <c r="H27" s="95" t="s">
        <v>3221</v>
      </c>
      <c r="I27" s="95" t="s">
        <v>3222</v>
      </c>
      <c r="L27" s="95">
        <v>6</v>
      </c>
      <c r="O27" s="95" t="s">
        <v>10846</v>
      </c>
      <c r="P27" s="95" t="s">
        <v>10846</v>
      </c>
      <c r="Q27" s="98">
        <v>1.9675925925925926E-4</v>
      </c>
      <c r="R27" s="98">
        <v>3.0324074074074073E-3</v>
      </c>
      <c r="S27" s="95">
        <v>0</v>
      </c>
      <c r="T27" s="95" t="s">
        <v>265</v>
      </c>
      <c r="U27" s="95" t="s">
        <v>266</v>
      </c>
      <c r="V27" s="95" t="s">
        <v>38</v>
      </c>
      <c r="Z27" s="95" t="b">
        <v>0</v>
      </c>
      <c r="AE27" s="95" t="s">
        <v>2840</v>
      </c>
      <c r="AF27" s="95" t="s">
        <v>9508</v>
      </c>
      <c r="AH27" s="95" t="b">
        <v>0</v>
      </c>
      <c r="AI27" s="95" t="s">
        <v>9905</v>
      </c>
      <c r="AK27" s="120">
        <v>6.8287037037037025E-4</v>
      </c>
      <c r="AL27" s="107">
        <v>8</v>
      </c>
      <c r="AM27" s="107" t="s">
        <v>11253</v>
      </c>
      <c r="AN27" s="121">
        <v>1.8518518518518518E-4</v>
      </c>
      <c r="AO27" s="121" t="b">
        <f t="shared" si="0"/>
        <v>1</v>
      </c>
      <c r="AP27" s="121" t="b">
        <f t="shared" si="14"/>
        <v>1</v>
      </c>
      <c r="AQ27" s="86">
        <f t="shared" si="2"/>
        <v>8.680555555555554E-4</v>
      </c>
      <c r="AR27" s="86">
        <f t="shared" si="3"/>
        <v>-1.1574074074074085E-5</v>
      </c>
      <c r="AS27" s="86">
        <f t="shared" si="4"/>
        <v>-2.1643518518518518E-3</v>
      </c>
      <c r="AT27" s="85">
        <f t="shared" si="7"/>
        <v>2</v>
      </c>
      <c r="AU27" s="145">
        <f t="shared" si="8"/>
        <v>0.66666666666666674</v>
      </c>
      <c r="AV27" s="88">
        <f t="shared" si="16"/>
        <v>0.33333333333333326</v>
      </c>
      <c r="AW27" s="120">
        <v>0</v>
      </c>
      <c r="AX27" s="107" t="s">
        <v>9801</v>
      </c>
      <c r="AY27" s="107" t="s">
        <v>9801</v>
      </c>
      <c r="AZ27" s="121">
        <v>0</v>
      </c>
      <c r="BA27" s="121" t="b">
        <f t="shared" si="9"/>
        <v>0</v>
      </c>
      <c r="BB27" s="121" t="b">
        <f t="shared" si="5"/>
        <v>0</v>
      </c>
      <c r="BC27" s="86">
        <f t="shared" si="6"/>
        <v>0</v>
      </c>
      <c r="BD27" s="86">
        <f t="shared" si="10"/>
        <v>-1.9675925925925926E-4</v>
      </c>
      <c r="BE27" s="86">
        <f t="shared" si="11"/>
        <v>-3.0324074074074073E-3</v>
      </c>
      <c r="BF27" s="107" t="s">
        <v>9801</v>
      </c>
      <c r="BG27" s="128">
        <v>0</v>
      </c>
      <c r="BH27" s="128">
        <v>1</v>
      </c>
    </row>
    <row r="28" spans="1:60" ht="16" x14ac:dyDescent="0.25">
      <c r="A28" s="95" t="s">
        <v>3236</v>
      </c>
      <c r="B28" s="95">
        <v>1003</v>
      </c>
      <c r="C28" s="95" t="b">
        <v>0</v>
      </c>
      <c r="D28" s="95" t="b">
        <v>0</v>
      </c>
      <c r="E28" s="95" t="b">
        <v>0</v>
      </c>
      <c r="F28" s="95" t="b">
        <v>0</v>
      </c>
      <c r="G28" s="95" t="s">
        <v>31</v>
      </c>
      <c r="H28" s="95" t="s">
        <v>3237</v>
      </c>
      <c r="I28" s="95" t="s">
        <v>3238</v>
      </c>
      <c r="L28" s="95">
        <v>10</v>
      </c>
      <c r="O28" s="95" t="s">
        <v>10890</v>
      </c>
      <c r="P28" s="95" t="s">
        <v>10890</v>
      </c>
      <c r="Q28" s="98">
        <v>2.4305555555555552E-4</v>
      </c>
      <c r="R28" s="98">
        <v>3.4722222222222224E-4</v>
      </c>
      <c r="S28" s="95">
        <v>0</v>
      </c>
      <c r="T28" s="95" t="s">
        <v>265</v>
      </c>
      <c r="U28" s="95" t="s">
        <v>266</v>
      </c>
      <c r="V28" s="95" t="s">
        <v>38</v>
      </c>
      <c r="Z28" s="95" t="b">
        <v>0</v>
      </c>
      <c r="AE28" s="95" t="s">
        <v>2840</v>
      </c>
      <c r="AF28" s="95" t="s">
        <v>9508</v>
      </c>
      <c r="AH28" s="95" t="b">
        <v>0</v>
      </c>
      <c r="AI28" s="95" t="s">
        <v>9687</v>
      </c>
      <c r="AK28" s="120">
        <v>6.4814814814814813E-4</v>
      </c>
      <c r="AL28" s="107">
        <v>20</v>
      </c>
      <c r="AM28" s="107" t="s">
        <v>11253</v>
      </c>
      <c r="AN28" s="121">
        <v>5.3240740740740744E-4</v>
      </c>
      <c r="AO28" s="121" t="b">
        <f t="shared" si="0"/>
        <v>1</v>
      </c>
      <c r="AP28" s="121" t="b">
        <f t="shared" si="14"/>
        <v>1</v>
      </c>
      <c r="AQ28" s="86">
        <f t="shared" si="2"/>
        <v>1.1805555555555556E-3</v>
      </c>
      <c r="AR28" s="86">
        <f t="shared" si="3"/>
        <v>2.8935185185185194E-4</v>
      </c>
      <c r="AS28" s="86">
        <f t="shared" si="4"/>
        <v>8.3333333333333328E-4</v>
      </c>
      <c r="AT28" s="85">
        <f t="shared" si="7"/>
        <v>10</v>
      </c>
      <c r="AU28" s="145">
        <f t="shared" si="8"/>
        <v>0</v>
      </c>
      <c r="AV28" s="88">
        <f t="shared" si="16"/>
        <v>1</v>
      </c>
      <c r="AW28" s="120">
        <v>0</v>
      </c>
      <c r="AX28" s="107" t="s">
        <v>9801</v>
      </c>
      <c r="AY28" s="107" t="s">
        <v>9801</v>
      </c>
      <c r="AZ28" s="121">
        <v>0</v>
      </c>
      <c r="BA28" s="121" t="b">
        <f t="shared" si="9"/>
        <v>0</v>
      </c>
      <c r="BB28" s="121" t="b">
        <f t="shared" si="5"/>
        <v>0</v>
      </c>
      <c r="BC28" s="86">
        <f t="shared" si="6"/>
        <v>0</v>
      </c>
      <c r="BD28" s="86">
        <f t="shared" si="10"/>
        <v>-2.4305555555555552E-4</v>
      </c>
      <c r="BE28" s="86">
        <f t="shared" si="11"/>
        <v>-3.4722222222222224E-4</v>
      </c>
      <c r="BF28" s="107" t="s">
        <v>9801</v>
      </c>
      <c r="BG28" s="128">
        <v>0</v>
      </c>
      <c r="BH28" s="128">
        <v>1</v>
      </c>
    </row>
    <row r="29" spans="1:60" ht="16" x14ac:dyDescent="0.25">
      <c r="A29" s="95" t="s">
        <v>3305</v>
      </c>
      <c r="B29" s="95">
        <v>1026</v>
      </c>
      <c r="C29" s="95" t="b">
        <v>0</v>
      </c>
      <c r="D29" s="95" t="b">
        <v>0</v>
      </c>
      <c r="E29" s="95" t="b">
        <v>0</v>
      </c>
      <c r="F29" s="95" t="b">
        <v>0</v>
      </c>
      <c r="G29" s="95" t="s">
        <v>31</v>
      </c>
      <c r="H29" s="95" t="s">
        <v>3306</v>
      </c>
      <c r="I29" s="95" t="s">
        <v>3307</v>
      </c>
      <c r="L29" s="95">
        <v>7</v>
      </c>
      <c r="O29" s="95" t="s">
        <v>10889</v>
      </c>
      <c r="P29" s="95" t="s">
        <v>10889</v>
      </c>
      <c r="Q29" s="98">
        <v>1.7361111111111112E-4</v>
      </c>
      <c r="R29" s="98">
        <v>1.7361111111111112E-4</v>
      </c>
      <c r="S29" s="95">
        <v>0</v>
      </c>
      <c r="T29" s="95" t="s">
        <v>265</v>
      </c>
      <c r="U29" s="95" t="s">
        <v>266</v>
      </c>
      <c r="V29" s="95" t="s">
        <v>38</v>
      </c>
      <c r="Z29" s="95" t="b">
        <v>0</v>
      </c>
      <c r="AE29" s="95" t="s">
        <v>3248</v>
      </c>
      <c r="AF29" s="95" t="s">
        <v>9506</v>
      </c>
      <c r="AH29" s="95" t="b">
        <v>0</v>
      </c>
      <c r="AI29" s="95" t="s">
        <v>9907</v>
      </c>
      <c r="AK29" s="120">
        <v>7.175925925925927E-4</v>
      </c>
      <c r="AL29" s="107">
        <v>9</v>
      </c>
      <c r="AM29" s="107" t="s">
        <v>11253</v>
      </c>
      <c r="AN29" s="121">
        <v>6.8287037037037025E-4</v>
      </c>
      <c r="AO29" s="121" t="b">
        <f t="shared" si="0"/>
        <v>1</v>
      </c>
      <c r="AP29" s="121" t="b">
        <f t="shared" si="14"/>
        <v>1</v>
      </c>
      <c r="AQ29" s="86">
        <f t="shared" si="2"/>
        <v>1.4004629629629629E-3</v>
      </c>
      <c r="AR29" s="86">
        <f t="shared" si="3"/>
        <v>5.0925925925925911E-4</v>
      </c>
      <c r="AS29" s="86">
        <f t="shared" si="4"/>
        <v>1.2268518518518518E-3</v>
      </c>
      <c r="AT29" s="85">
        <f t="shared" si="7"/>
        <v>2</v>
      </c>
      <c r="AU29" s="145">
        <f t="shared" si="8"/>
        <v>0.71428571428571419</v>
      </c>
      <c r="AV29" s="88">
        <f t="shared" si="16"/>
        <v>0.28571428571428581</v>
      </c>
      <c r="AW29" s="120">
        <v>0</v>
      </c>
      <c r="AX29" s="107" t="s">
        <v>9801</v>
      </c>
      <c r="AY29" s="107" t="s">
        <v>9801</v>
      </c>
      <c r="AZ29" s="121">
        <v>0</v>
      </c>
      <c r="BA29" s="121" t="b">
        <f t="shared" si="9"/>
        <v>0</v>
      </c>
      <c r="BB29" s="121" t="b">
        <f t="shared" si="5"/>
        <v>0</v>
      </c>
      <c r="BC29" s="86">
        <f t="shared" si="6"/>
        <v>0</v>
      </c>
      <c r="BD29" s="86">
        <f t="shared" si="10"/>
        <v>-1.7361111111111112E-4</v>
      </c>
      <c r="BE29" s="86">
        <f t="shared" si="11"/>
        <v>-1.7361111111111112E-4</v>
      </c>
      <c r="BF29" s="107" t="s">
        <v>9801</v>
      </c>
      <c r="BG29" s="128">
        <v>0</v>
      </c>
      <c r="BH29" s="128">
        <v>1</v>
      </c>
    </row>
    <row r="30" spans="1:60" ht="16" x14ac:dyDescent="0.25">
      <c r="A30" s="95" t="s">
        <v>3381</v>
      </c>
      <c r="B30" s="95">
        <v>1051</v>
      </c>
      <c r="C30" s="95" t="b">
        <v>0</v>
      </c>
      <c r="D30" s="95" t="b">
        <v>0</v>
      </c>
      <c r="E30" s="95" t="b">
        <v>0</v>
      </c>
      <c r="F30" s="95" t="b">
        <v>0</v>
      </c>
      <c r="G30" s="95" t="s">
        <v>31</v>
      </c>
      <c r="H30" s="95" t="s">
        <v>3382</v>
      </c>
      <c r="I30" s="95" t="s">
        <v>3383</v>
      </c>
      <c r="L30" s="95">
        <v>9</v>
      </c>
      <c r="O30" s="95" t="s">
        <v>10888</v>
      </c>
      <c r="P30" s="95" t="s">
        <v>10888</v>
      </c>
      <c r="Q30" s="98">
        <v>2.4305555555555552E-4</v>
      </c>
      <c r="R30" s="98">
        <v>4.1666666666666669E-4</v>
      </c>
      <c r="S30" s="95">
        <v>0</v>
      </c>
      <c r="T30" s="95" t="s">
        <v>265</v>
      </c>
      <c r="U30" s="95" t="s">
        <v>266</v>
      </c>
      <c r="V30" s="95" t="s">
        <v>38</v>
      </c>
      <c r="Z30" s="95" t="b">
        <v>0</v>
      </c>
      <c r="AE30" s="95" t="s">
        <v>3248</v>
      </c>
      <c r="AF30" s="95" t="s">
        <v>9506</v>
      </c>
      <c r="AH30" s="95" t="b">
        <v>0</v>
      </c>
      <c r="AI30" s="95" t="s">
        <v>9910</v>
      </c>
      <c r="AK30" s="120">
        <v>5.5555555555555556E-4</v>
      </c>
      <c r="AL30" s="107">
        <v>13</v>
      </c>
      <c r="AM30" s="107" t="s">
        <v>11253</v>
      </c>
      <c r="AN30" s="121">
        <v>3.3564814814814812E-4</v>
      </c>
      <c r="AO30" s="121" t="b">
        <f t="shared" si="0"/>
        <v>1</v>
      </c>
      <c r="AP30" s="121" t="b">
        <f t="shared" si="14"/>
        <v>1</v>
      </c>
      <c r="AQ30" s="86">
        <f t="shared" si="2"/>
        <v>8.9120370370370373E-4</v>
      </c>
      <c r="AR30" s="86">
        <f t="shared" si="3"/>
        <v>9.2592592592592602E-5</v>
      </c>
      <c r="AS30" s="86">
        <f t="shared" si="4"/>
        <v>4.7453703703703704E-4</v>
      </c>
      <c r="AT30" s="85">
        <f t="shared" si="7"/>
        <v>4</v>
      </c>
      <c r="AU30" s="145">
        <f t="shared" si="8"/>
        <v>0.55555555555555558</v>
      </c>
      <c r="AV30" s="88">
        <f t="shared" si="16"/>
        <v>0.44444444444444442</v>
      </c>
      <c r="AW30" s="120">
        <v>0</v>
      </c>
      <c r="AX30" s="107" t="s">
        <v>9801</v>
      </c>
      <c r="AY30" s="107" t="s">
        <v>9801</v>
      </c>
      <c r="AZ30" s="121">
        <v>0</v>
      </c>
      <c r="BA30" s="121" t="b">
        <f t="shared" si="9"/>
        <v>0</v>
      </c>
      <c r="BB30" s="121" t="b">
        <f t="shared" si="5"/>
        <v>0</v>
      </c>
      <c r="BC30" s="86">
        <f t="shared" si="6"/>
        <v>0</v>
      </c>
      <c r="BD30" s="86">
        <f t="shared" si="10"/>
        <v>-2.4305555555555552E-4</v>
      </c>
      <c r="BE30" s="86">
        <f t="shared" si="11"/>
        <v>-4.1666666666666669E-4</v>
      </c>
      <c r="BF30" s="107" t="s">
        <v>9801</v>
      </c>
      <c r="BG30" s="128">
        <v>0</v>
      </c>
      <c r="BH30" s="128">
        <v>1</v>
      </c>
    </row>
    <row r="31" spans="1:60" ht="16" x14ac:dyDescent="0.25">
      <c r="A31" s="95" t="s">
        <v>3448</v>
      </c>
      <c r="B31" s="95">
        <v>1073</v>
      </c>
      <c r="C31" s="95" t="b">
        <v>0</v>
      </c>
      <c r="D31" s="95" t="b">
        <v>0</v>
      </c>
      <c r="E31" s="95" t="b">
        <v>0</v>
      </c>
      <c r="F31" s="95" t="b">
        <v>0</v>
      </c>
      <c r="G31" s="95" t="s">
        <v>31</v>
      </c>
      <c r="H31" s="95" t="s">
        <v>3449</v>
      </c>
      <c r="I31" s="95" t="s">
        <v>3450</v>
      </c>
      <c r="L31" s="95">
        <v>11</v>
      </c>
      <c r="O31" s="95" t="s">
        <v>9681</v>
      </c>
      <c r="P31" s="95" t="s">
        <v>9614</v>
      </c>
      <c r="Q31" s="98">
        <v>1.273148148148148E-4</v>
      </c>
      <c r="R31" s="98">
        <v>3.3564814814814812E-4</v>
      </c>
      <c r="S31" s="95">
        <v>0</v>
      </c>
      <c r="T31" s="95" t="s">
        <v>265</v>
      </c>
      <c r="U31" s="95" t="s">
        <v>266</v>
      </c>
      <c r="V31" s="95" t="s">
        <v>38</v>
      </c>
      <c r="Z31" s="95" t="b">
        <v>0</v>
      </c>
      <c r="AE31" s="95" t="s">
        <v>3248</v>
      </c>
      <c r="AF31" s="95" t="s">
        <v>9506</v>
      </c>
      <c r="AH31" s="95" t="b">
        <v>0</v>
      </c>
      <c r="AI31" s="95" t="s">
        <v>9680</v>
      </c>
      <c r="AK31" s="120">
        <v>4.9768518518518521E-4</v>
      </c>
      <c r="AL31" s="107">
        <v>0</v>
      </c>
      <c r="AM31" s="107" t="s">
        <v>9801</v>
      </c>
      <c r="AN31" s="121">
        <v>0</v>
      </c>
      <c r="AO31" s="121" t="b">
        <f t="shared" si="0"/>
        <v>1</v>
      </c>
      <c r="AP31" s="121" t="b">
        <f t="shared" si="14"/>
        <v>0</v>
      </c>
      <c r="AQ31" s="86">
        <f t="shared" si="2"/>
        <v>4.9768518518518521E-4</v>
      </c>
      <c r="AR31" s="86">
        <f t="shared" si="3"/>
        <v>-1.273148148148148E-4</v>
      </c>
      <c r="AS31" s="86">
        <f t="shared" si="4"/>
        <v>1.6203703703703709E-4</v>
      </c>
      <c r="AT31" s="85">
        <f t="shared" si="7"/>
        <v>11</v>
      </c>
      <c r="AU31" s="145">
        <f t="shared" si="8"/>
        <v>0</v>
      </c>
      <c r="AV31" s="88">
        <f t="shared" si="16"/>
        <v>1</v>
      </c>
      <c r="AW31" s="120">
        <v>0</v>
      </c>
      <c r="AX31" s="107" t="s">
        <v>9801</v>
      </c>
      <c r="AY31" s="107" t="s">
        <v>9801</v>
      </c>
      <c r="AZ31" s="121">
        <v>0</v>
      </c>
      <c r="BA31" s="121" t="b">
        <f t="shared" si="9"/>
        <v>0</v>
      </c>
      <c r="BB31" s="121" t="b">
        <f t="shared" si="5"/>
        <v>0</v>
      </c>
      <c r="BC31" s="86">
        <f t="shared" si="6"/>
        <v>0</v>
      </c>
      <c r="BD31" s="86">
        <f t="shared" si="10"/>
        <v>-1.273148148148148E-4</v>
      </c>
      <c r="BE31" s="86">
        <f t="shared" si="11"/>
        <v>-3.3564814814814812E-4</v>
      </c>
      <c r="BF31" s="107" t="s">
        <v>9801</v>
      </c>
      <c r="BG31" s="128">
        <v>0</v>
      </c>
      <c r="BH31" s="128">
        <v>1</v>
      </c>
    </row>
    <row r="32" spans="1:60" ht="16" x14ac:dyDescent="0.25">
      <c r="K32" s="95" t="s">
        <v>11386</v>
      </c>
      <c r="L32" s="95">
        <f>SUMIFS(L2:L31,AP2:AP31, "TRUE")</f>
        <v>216</v>
      </c>
      <c r="P32" s="95" t="s">
        <v>11386</v>
      </c>
      <c r="Q32" s="99">
        <f>SUMIFS(Q2:Q31, AP2:AP31, "TRUE")</f>
        <v>8.2754629629629636E-3</v>
      </c>
      <c r="AJ32" s="123" t="s">
        <v>11288</v>
      </c>
      <c r="AK32" s="133">
        <f>SUM(AK2:AK31)</f>
        <v>2.0046296296296302E-2</v>
      </c>
      <c r="AL32" s="134">
        <f>SUM(AL2:AL31)</f>
        <v>319</v>
      </c>
      <c r="AM32" s="134"/>
      <c r="AN32" s="135">
        <f>SUM(AN2:AN31)</f>
        <v>1.0983796296296295E-2</v>
      </c>
      <c r="AO32" s="184">
        <f>COUNTIF(AO2:AO31, "TRUE")/COUNTA(AO2:AO31)</f>
        <v>0.96666666666666667</v>
      </c>
      <c r="AP32" s="184">
        <f>COUNTIF(AP2:AP31, "TRUE")/COUNTA(AP2:AP31)</f>
        <v>0.86206896551724133</v>
      </c>
      <c r="AQ32" s="135">
        <f>SUM(AQ2:AQ31)</f>
        <v>3.1030092592592599E-2</v>
      </c>
      <c r="AR32" s="135">
        <f>SUM(AR2:AR31)</f>
        <v>1.5509259259259256E-3</v>
      </c>
      <c r="AS32" s="135">
        <f>SUM(AS2:AS31)</f>
        <v>-7.407407407407419E-4</v>
      </c>
      <c r="AT32" s="134">
        <f>SUM(AT2:AT31)</f>
        <v>180</v>
      </c>
      <c r="AU32" s="150">
        <f>AVERAGEIFS(AU2:AU31,AP2:AP31, "TRUE")</f>
        <v>0.29314640914640916</v>
      </c>
      <c r="AV32" s="150">
        <f>AVERAGEIFS(AV2:AV31,AP2:AP31, "TRUE")</f>
        <v>0.70685359085359067</v>
      </c>
      <c r="AW32" s="133">
        <f>SUM(AW2:AW31)</f>
        <v>2.5462962962962965E-3</v>
      </c>
      <c r="AX32" s="108"/>
      <c r="AY32" s="108"/>
      <c r="AZ32" s="135">
        <f>SUM(AZ2:AZ31)</f>
        <v>0</v>
      </c>
      <c r="BA32" s="181">
        <f>COUNTIF(BA2:BA31, "TRUE")/COUNTA(BA2:BA31)</f>
        <v>0.3</v>
      </c>
      <c r="BB32" s="181">
        <f>COUNTIF(BB2:BB31, "TRUE")/COUNTA(BB2:BB31)</f>
        <v>0</v>
      </c>
      <c r="BC32" s="135">
        <f>SUM(BC2:BC31)</f>
        <v>2.5462962962962965E-3</v>
      </c>
      <c r="BD32" s="135">
        <f>SUM(BD2:BD31)</f>
        <v>-9.432870370370371E-3</v>
      </c>
      <c r="BE32" s="135">
        <f>SUM(BE2:BE31)</f>
        <v>-2.9224537037037028E-2</v>
      </c>
      <c r="BF32" s="108"/>
      <c r="BG32" s="150" t="e">
        <f>AVERAGEIFS(BG2:BG31,BB2:BB31, "TRUE")</f>
        <v>#DIV/0!</v>
      </c>
      <c r="BH32" s="150" t="e">
        <f>AVERAGEIFS(BH2:BH31,BB2:BB31, "TRUE")</f>
        <v>#DIV/0!</v>
      </c>
    </row>
    <row r="33" spans="11:17" x14ac:dyDescent="0.2">
      <c r="K33" s="95" t="s">
        <v>11385</v>
      </c>
      <c r="L33" s="95">
        <f>SUMIFS(L2:L31,BB2:BB31, "TRUE")</f>
        <v>0</v>
      </c>
      <c r="P33" s="95" t="s">
        <v>11385</v>
      </c>
      <c r="Q33" s="99">
        <f>SUMIFS(Q2:Q31, BB2:BB31, "TRUE")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71FF6-A781-B441-8CC7-F809F05BC78C}">
  <dimension ref="A1:BZ33"/>
  <sheetViews>
    <sheetView topLeftCell="AL1" zoomScale="94" workbookViewId="0">
      <selection activeCell="I16" sqref="I16"/>
    </sheetView>
  </sheetViews>
  <sheetFormatPr baseColWidth="10" defaultColWidth="8.83203125" defaultRowHeight="15" x14ac:dyDescent="0.2"/>
  <cols>
    <col min="1" max="16" width="8.83203125" style="95"/>
    <col min="17" max="18" width="8.83203125" style="98"/>
    <col min="19" max="34" width="8.83203125" style="95"/>
    <col min="35" max="36" width="58.33203125" style="95" bestFit="1" customWidth="1"/>
    <col min="37" max="37" width="58" style="95" bestFit="1" customWidth="1"/>
    <col min="38" max="38" width="17.83203125" style="95" customWidth="1"/>
    <col min="39" max="54" width="15.83203125" style="95" customWidth="1"/>
    <col min="55" max="57" width="15.83203125" style="111" customWidth="1"/>
    <col min="58" max="58" width="15.83203125" customWidth="1"/>
    <col min="59" max="74" width="15.83203125" style="95" customWidth="1"/>
    <col min="75" max="77" width="15.83203125" style="111" customWidth="1"/>
    <col min="78" max="78" width="15.83203125" customWidth="1"/>
    <col min="79" max="16384" width="8.83203125" style="95"/>
  </cols>
  <sheetData>
    <row r="1" spans="1:78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7" t="s">
        <v>9414</v>
      </c>
      <c r="R1" s="97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29</v>
      </c>
      <c r="AM1" s="124" t="s">
        <v>11076</v>
      </c>
      <c r="AN1" s="125" t="s">
        <v>11259</v>
      </c>
      <c r="AO1" s="125" t="s">
        <v>11260</v>
      </c>
      <c r="AP1" s="125" t="s">
        <v>11261</v>
      </c>
      <c r="AQ1" s="125" t="s">
        <v>11082</v>
      </c>
      <c r="AR1" s="182" t="s">
        <v>11316</v>
      </c>
      <c r="AS1" s="182" t="s">
        <v>11327</v>
      </c>
      <c r="AT1" s="125" t="s">
        <v>11237</v>
      </c>
      <c r="AU1" s="125" t="s">
        <v>11084</v>
      </c>
      <c r="AV1" s="125" t="s">
        <v>11238</v>
      </c>
      <c r="AW1" s="125" t="s">
        <v>11255</v>
      </c>
      <c r="AX1" s="125" t="s">
        <v>11262</v>
      </c>
      <c r="AY1" s="125" t="s">
        <v>11256</v>
      </c>
      <c r="AZ1" s="125" t="s">
        <v>11263</v>
      </c>
      <c r="BA1" s="125" t="s">
        <v>11267</v>
      </c>
      <c r="BB1" s="125" t="s">
        <v>11258</v>
      </c>
      <c r="BC1" s="125" t="s">
        <v>11257</v>
      </c>
      <c r="BD1" s="125" t="s">
        <v>11265</v>
      </c>
      <c r="BE1" s="125" t="s">
        <v>11268</v>
      </c>
      <c r="BF1" s="132" t="s">
        <v>11264</v>
      </c>
      <c r="BG1" s="124" t="s">
        <v>11241</v>
      </c>
      <c r="BH1" s="125" t="s">
        <v>11272</v>
      </c>
      <c r="BI1" s="125" t="s">
        <v>11273</v>
      </c>
      <c r="BJ1" s="125" t="s">
        <v>11274</v>
      </c>
      <c r="BK1" s="125" t="s">
        <v>11243</v>
      </c>
      <c r="BL1" s="182" t="s">
        <v>11369</v>
      </c>
      <c r="BM1" s="182" t="s">
        <v>11370</v>
      </c>
      <c r="BN1" s="125" t="s">
        <v>11244</v>
      </c>
      <c r="BO1" s="125" t="s">
        <v>11245</v>
      </c>
      <c r="BP1" s="125" t="s">
        <v>11246</v>
      </c>
      <c r="BQ1" s="125" t="s">
        <v>11275</v>
      </c>
      <c r="BR1" s="125" t="s">
        <v>11276</v>
      </c>
      <c r="BS1" s="125" t="s">
        <v>11277</v>
      </c>
      <c r="BT1" s="125" t="s">
        <v>11278</v>
      </c>
      <c r="BU1" s="125" t="s">
        <v>11279</v>
      </c>
      <c r="BV1" s="125" t="s">
        <v>11280</v>
      </c>
      <c r="BW1" s="125" t="s">
        <v>11281</v>
      </c>
      <c r="BX1" s="125" t="s">
        <v>11282</v>
      </c>
      <c r="BY1" s="125" t="s">
        <v>11283</v>
      </c>
      <c r="BZ1" s="132" t="s">
        <v>11284</v>
      </c>
    </row>
    <row r="2" spans="1:78" ht="16" x14ac:dyDescent="0.25">
      <c r="A2" s="95" t="s">
        <v>148</v>
      </c>
      <c r="B2" s="95">
        <v>30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149</v>
      </c>
      <c r="I2" s="95" t="s">
        <v>150</v>
      </c>
      <c r="M2" s="95">
        <v>19</v>
      </c>
      <c r="N2" s="95">
        <v>20</v>
      </c>
      <c r="O2" s="95" t="s">
        <v>10956</v>
      </c>
      <c r="P2" s="95" t="s">
        <v>10956</v>
      </c>
      <c r="Q2" s="98">
        <v>2.6620370370370372E-4</v>
      </c>
      <c r="R2" s="98">
        <v>2.3148148148148151E-3</v>
      </c>
      <c r="S2" s="95">
        <v>0</v>
      </c>
      <c r="T2" s="95" t="s">
        <v>54</v>
      </c>
      <c r="U2" s="95" t="s">
        <v>55</v>
      </c>
      <c r="V2" s="95" t="s">
        <v>38</v>
      </c>
      <c r="Z2" s="95" t="b">
        <v>0</v>
      </c>
      <c r="AE2" s="95" t="s">
        <v>115</v>
      </c>
      <c r="AF2" s="95" t="s">
        <v>9566</v>
      </c>
      <c r="AH2" s="95" t="b">
        <v>0</v>
      </c>
      <c r="AI2" s="20"/>
      <c r="AM2" s="120">
        <v>2.4305555555555552E-4</v>
      </c>
      <c r="AN2" s="107">
        <v>0</v>
      </c>
      <c r="AO2" s="107">
        <v>0</v>
      </c>
      <c r="AP2" s="107" t="s">
        <v>9801</v>
      </c>
      <c r="AQ2" s="121">
        <v>0</v>
      </c>
      <c r="AR2" s="121" t="b">
        <f t="shared" ref="AR2:AR31" si="0">IF(AM2&gt;0, TRUE, FALSE)</f>
        <v>1</v>
      </c>
      <c r="AS2" s="122" t="b">
        <f>IF(AQ2&gt;0, TRUE, FALSE)</f>
        <v>0</v>
      </c>
      <c r="AT2" s="121">
        <f>AQ2+AM2</f>
        <v>2.4305555555555552E-4</v>
      </c>
      <c r="AU2" s="127">
        <f>AQ2-Q2</f>
        <v>-2.6620370370370372E-4</v>
      </c>
      <c r="AV2" s="127">
        <f>AT2-R2</f>
        <v>-2.0717592592592597E-3</v>
      </c>
      <c r="AW2" s="107">
        <f>IF(AN2&gt;M2,AN2-M2,M2-AN2)</f>
        <v>19</v>
      </c>
      <c r="AX2" s="107">
        <f>IF(AO2&gt;N2, AO2-N2, N2-AO2)</f>
        <v>20</v>
      </c>
      <c r="AY2" s="145">
        <f>1-ABS(AN2/M2-1)</f>
        <v>0</v>
      </c>
      <c r="AZ2" s="145">
        <f>1-ABS(AO2/N2-1)</f>
        <v>0</v>
      </c>
      <c r="BA2" s="145">
        <f>IF(AP2=Z2, 100%, 0%)</f>
        <v>0</v>
      </c>
      <c r="BB2" s="138">
        <f>(AY2+AZ2+BA2)/3</f>
        <v>0</v>
      </c>
      <c r="BC2" s="138">
        <f>ABS(AN2/M2-1)</f>
        <v>1</v>
      </c>
      <c r="BD2" s="138">
        <f>ABS(AO2/N2-1)</f>
        <v>1</v>
      </c>
      <c r="BE2" s="138">
        <f>IF(AP2=Z2, 0%, 100%)</f>
        <v>1</v>
      </c>
      <c r="BF2" s="139">
        <f>(BC2+BD2+BE2)/3</f>
        <v>1</v>
      </c>
      <c r="BG2" s="120">
        <v>6.4814814814814813E-4</v>
      </c>
      <c r="BH2" s="107">
        <v>9</v>
      </c>
      <c r="BI2" s="107">
        <v>21</v>
      </c>
      <c r="BJ2" s="107" t="b">
        <v>0</v>
      </c>
      <c r="BK2" s="121">
        <v>2.3495370370370371E-3</v>
      </c>
      <c r="BL2" s="121" t="b">
        <f t="shared" ref="BL2:BL31" si="1">IF(BG2&gt;0, TRUE, FALSE)</f>
        <v>1</v>
      </c>
      <c r="BM2" s="122" t="b">
        <f>IF(BK2&gt;0, TRUE, FALSE)</f>
        <v>1</v>
      </c>
      <c r="BN2" s="121">
        <f>BG2+BK2</f>
        <v>2.9976851851851853E-3</v>
      </c>
      <c r="BO2" s="127">
        <f>BK2-Q2</f>
        <v>2.0833333333333333E-3</v>
      </c>
      <c r="BP2" s="127">
        <f>BN2-R2</f>
        <v>6.8287037037037014E-4</v>
      </c>
      <c r="BQ2" s="107">
        <f>IF(BH2&gt;M2,BH2-M2,M2-BH2)</f>
        <v>10</v>
      </c>
      <c r="BR2" s="107">
        <f>IF(BI2&gt;N2, BI2-N2, N2-BI2)</f>
        <v>1</v>
      </c>
      <c r="BS2" s="145">
        <f>1-ABS(BH2/M2-1)</f>
        <v>0.47368421052631571</v>
      </c>
      <c r="BT2" s="145">
        <f>1-ABS(BI2/N2-1)</f>
        <v>0.95</v>
      </c>
      <c r="BU2" s="145">
        <f>IF(BJ2=Z2, 100%, 0%)</f>
        <v>1</v>
      </c>
      <c r="BV2" s="138">
        <f>(BS2+BT2+BU2)/3</f>
        <v>0.80789473684210522</v>
      </c>
      <c r="BW2" s="138">
        <f>ABS(BH2/M2-1)</f>
        <v>0.52631578947368429</v>
      </c>
      <c r="BX2" s="138">
        <f>ABS(BI2/N2-1)</f>
        <v>5.0000000000000044E-2</v>
      </c>
      <c r="BY2" s="138">
        <f>IF(BJ2=Z2, 0%, 100%)</f>
        <v>0</v>
      </c>
      <c r="BZ2" s="139">
        <f>(BW2+BX2+BY2)/3</f>
        <v>0.19210526315789478</v>
      </c>
    </row>
    <row r="3" spans="1:78" ht="16" x14ac:dyDescent="0.25">
      <c r="A3" s="95" t="s">
        <v>827</v>
      </c>
      <c r="B3" s="95">
        <v>247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828</v>
      </c>
      <c r="I3" s="95" t="s">
        <v>829</v>
      </c>
      <c r="M3" s="95">
        <v>18</v>
      </c>
      <c r="N3" s="95">
        <v>13</v>
      </c>
      <c r="O3" s="95" t="s">
        <v>10955</v>
      </c>
      <c r="P3" s="95" t="s">
        <v>10954</v>
      </c>
      <c r="Q3" s="98">
        <v>4.3981481481481481E-4</v>
      </c>
      <c r="R3" s="98">
        <v>1.7939814814814815E-3</v>
      </c>
      <c r="S3" s="95">
        <v>0</v>
      </c>
      <c r="T3" s="95" t="s">
        <v>54</v>
      </c>
      <c r="U3" s="95" t="s">
        <v>55</v>
      </c>
      <c r="V3" s="95" t="s">
        <v>38</v>
      </c>
      <c r="Z3" s="95" t="b">
        <v>0</v>
      </c>
      <c r="AE3" s="95" t="s">
        <v>792</v>
      </c>
      <c r="AF3" s="95" t="s">
        <v>9552</v>
      </c>
      <c r="AH3" s="95" t="b">
        <v>0</v>
      </c>
      <c r="AI3" s="95" t="s">
        <v>9942</v>
      </c>
      <c r="AM3" s="120">
        <v>1.7361111111111112E-4</v>
      </c>
      <c r="AN3" s="107">
        <v>0</v>
      </c>
      <c r="AO3" s="107">
        <v>0</v>
      </c>
      <c r="AP3" s="107" t="s">
        <v>9801</v>
      </c>
      <c r="AQ3" s="121">
        <v>0</v>
      </c>
      <c r="AR3" s="121" t="b">
        <f t="shared" si="0"/>
        <v>1</v>
      </c>
      <c r="AS3" s="121" t="b">
        <f>IF(AQ3&gt;0, TRUE, FALSE)</f>
        <v>0</v>
      </c>
      <c r="AT3" s="121">
        <f t="shared" ref="AT3:AT31" si="2">AQ3+AM3</f>
        <v>1.7361111111111112E-4</v>
      </c>
      <c r="AU3" s="127">
        <f t="shared" ref="AU3:AU31" si="3">AQ3-Q3</f>
        <v>-4.3981481481481481E-4</v>
      </c>
      <c r="AV3" s="127">
        <f t="shared" ref="AV3:AV31" si="4">AT3-R3</f>
        <v>-1.6203703703703703E-3</v>
      </c>
      <c r="AW3" s="107">
        <f t="shared" ref="AW3:AW31" si="5">IF(AN3&gt;M3,AN3-M3,M3-AN3)</f>
        <v>18</v>
      </c>
      <c r="AX3" s="107">
        <f t="shared" ref="AX3:AX31" si="6">IF(AO3&gt;N3, AO3-N3, N3-AO3)</f>
        <v>13</v>
      </c>
      <c r="AY3" s="145">
        <f t="shared" ref="AY3:AY31" si="7">1-ABS(AN3/M3-1)</f>
        <v>0</v>
      </c>
      <c r="AZ3" s="145">
        <f t="shared" ref="AZ3:AZ31" si="8">1-ABS(AO3/N3-1)</f>
        <v>0</v>
      </c>
      <c r="BA3" s="145">
        <f t="shared" ref="BA3:BA31" si="9">IF(AP3=Z3, 100%, 0%)</f>
        <v>0</v>
      </c>
      <c r="BB3" s="138">
        <f t="shared" ref="BB3:BB31" si="10">(AY3+AZ3+BA3)/3</f>
        <v>0</v>
      </c>
      <c r="BC3" s="138">
        <f t="shared" ref="BC3:BC31" si="11">ABS(AN3/M3-1)</f>
        <v>1</v>
      </c>
      <c r="BD3" s="138">
        <f t="shared" ref="BD3:BD31" si="12">ABS(AO3/N3-1)</f>
        <v>1</v>
      </c>
      <c r="BE3" s="138">
        <f t="shared" ref="BE3:BE31" si="13">IF(AP3=Z3, 0%, 100%)</f>
        <v>1</v>
      </c>
      <c r="BF3" s="139">
        <f t="shared" ref="BF3:BF31" si="14">(BC3+BD3+BE3)/3</f>
        <v>1</v>
      </c>
      <c r="BG3" s="120">
        <v>6.9444444444444447E-4</v>
      </c>
      <c r="BH3" s="107">
        <v>0</v>
      </c>
      <c r="BI3" s="107">
        <v>0</v>
      </c>
      <c r="BJ3" s="107" t="s">
        <v>9801</v>
      </c>
      <c r="BK3" s="121">
        <v>0</v>
      </c>
      <c r="BL3" s="121" t="b">
        <f t="shared" si="1"/>
        <v>1</v>
      </c>
      <c r="BM3" s="121" t="b">
        <f>IF(BK3&gt;0, TRUE, FALSE)</f>
        <v>0</v>
      </c>
      <c r="BN3" s="121">
        <f t="shared" ref="BN3:BN31" si="15">BG3+BK3</f>
        <v>6.9444444444444447E-4</v>
      </c>
      <c r="BO3" s="127">
        <f t="shared" ref="BO3:BO31" si="16">BK3-Q3</f>
        <v>-4.3981481481481481E-4</v>
      </c>
      <c r="BP3" s="127">
        <f t="shared" ref="BP3:BP31" si="17">BN3-R3</f>
        <v>-1.0995370370370369E-3</v>
      </c>
      <c r="BQ3" s="107">
        <f t="shared" ref="BQ3:BQ32" si="18">IF(BH3&gt;M3,BH3-M3,M3-BH3)</f>
        <v>18</v>
      </c>
      <c r="BR3" s="107">
        <f t="shared" ref="BR3:BR32" si="19">IF(BI3&gt;N3, BI3-N3, N3-BI3)</f>
        <v>13</v>
      </c>
      <c r="BS3" s="145">
        <f t="shared" ref="BS3:BS31" si="20">1-ABS(BH3/M3-1)</f>
        <v>0</v>
      </c>
      <c r="BT3" s="145">
        <f t="shared" ref="BT3:BT31" si="21">1-ABS(BI3/N3-1)</f>
        <v>0</v>
      </c>
      <c r="BU3" s="145">
        <f t="shared" ref="BU3:BU31" si="22">IF(BJ3=Z3, 100%, 0%)</f>
        <v>0</v>
      </c>
      <c r="BV3" s="138">
        <f t="shared" ref="BV3:BV31" si="23">(BS3+BT3+BU3)/3</f>
        <v>0</v>
      </c>
      <c r="BW3" s="138">
        <f t="shared" ref="BW3:BW31" si="24">ABS(BH3/M3-1)</f>
        <v>1</v>
      </c>
      <c r="BX3" s="138">
        <f t="shared" ref="BX3:BX31" si="25">ABS(BI3/N3-1)</f>
        <v>1</v>
      </c>
      <c r="BY3" s="138">
        <f t="shared" ref="BY3:BY31" si="26">IF(BJ3=Z3, 0%, 100%)</f>
        <v>1</v>
      </c>
      <c r="BZ3" s="139">
        <f t="shared" ref="BZ3:BZ31" si="27">(BW3+BX3+BY3)/3</f>
        <v>1</v>
      </c>
    </row>
    <row r="4" spans="1:78" ht="16" x14ac:dyDescent="0.25">
      <c r="A4" s="95" t="s">
        <v>1052</v>
      </c>
      <c r="B4" s="95">
        <v>317</v>
      </c>
      <c r="C4" s="95" t="b">
        <v>0</v>
      </c>
      <c r="D4" s="95" t="b">
        <v>0</v>
      </c>
      <c r="E4" s="95" t="b">
        <v>0</v>
      </c>
      <c r="F4" s="95" t="b">
        <v>0</v>
      </c>
      <c r="G4" s="95" t="s">
        <v>31</v>
      </c>
      <c r="H4" s="95" t="s">
        <v>1053</v>
      </c>
      <c r="I4" s="95" t="s">
        <v>1054</v>
      </c>
      <c r="M4" s="95">
        <v>3</v>
      </c>
      <c r="N4" s="95">
        <v>15</v>
      </c>
      <c r="O4" s="95" t="s">
        <v>10861</v>
      </c>
      <c r="P4" s="95" t="s">
        <v>10861</v>
      </c>
      <c r="Q4" s="98">
        <v>2.5462962962962961E-4</v>
      </c>
      <c r="R4" s="98">
        <v>2.3958333333333336E-3</v>
      </c>
      <c r="S4" s="95">
        <v>0</v>
      </c>
      <c r="T4" s="95" t="s">
        <v>54</v>
      </c>
      <c r="U4" s="95" t="s">
        <v>55</v>
      </c>
      <c r="V4" s="95" t="s">
        <v>38</v>
      </c>
      <c r="Z4" s="95" t="b">
        <v>0</v>
      </c>
      <c r="AE4" s="95" t="s">
        <v>941</v>
      </c>
      <c r="AF4" s="95" t="s">
        <v>9550</v>
      </c>
      <c r="AH4" s="95" t="b">
        <v>0</v>
      </c>
      <c r="AI4" s="95" t="s">
        <v>9949</v>
      </c>
      <c r="AL4" s="123"/>
      <c r="AM4" s="120">
        <v>1.9675925925925926E-4</v>
      </c>
      <c r="AN4" s="107">
        <v>3</v>
      </c>
      <c r="AO4" s="107">
        <v>0</v>
      </c>
      <c r="AP4" s="107" t="s">
        <v>9801</v>
      </c>
      <c r="AQ4" s="121">
        <v>1.6203703703703703E-4</v>
      </c>
      <c r="AR4" s="121" t="b">
        <f t="shared" si="0"/>
        <v>1</v>
      </c>
      <c r="AS4" s="121" t="b">
        <f>IF(AQ4&gt;0, TRUE, FALSE)</f>
        <v>1</v>
      </c>
      <c r="AT4" s="121">
        <f t="shared" si="2"/>
        <v>3.5879629629629629E-4</v>
      </c>
      <c r="AU4" s="127">
        <f t="shared" si="3"/>
        <v>-9.2592592592592574E-5</v>
      </c>
      <c r="AV4" s="127">
        <f t="shared" si="4"/>
        <v>-2.0370370370370373E-3</v>
      </c>
      <c r="AW4" s="107">
        <f t="shared" si="5"/>
        <v>0</v>
      </c>
      <c r="AX4" s="107">
        <f t="shared" si="6"/>
        <v>15</v>
      </c>
      <c r="AY4" s="145">
        <f t="shared" si="7"/>
        <v>1</v>
      </c>
      <c r="AZ4" s="145">
        <f t="shared" si="8"/>
        <v>0</v>
      </c>
      <c r="BA4" s="145">
        <f t="shared" si="9"/>
        <v>0</v>
      </c>
      <c r="BB4" s="138">
        <f t="shared" si="10"/>
        <v>0.33333333333333331</v>
      </c>
      <c r="BC4" s="138">
        <f t="shared" si="11"/>
        <v>0</v>
      </c>
      <c r="BD4" s="138">
        <f t="shared" si="12"/>
        <v>1</v>
      </c>
      <c r="BE4" s="138">
        <f t="shared" si="13"/>
        <v>1</v>
      </c>
      <c r="BF4" s="139">
        <f t="shared" si="14"/>
        <v>0.66666666666666663</v>
      </c>
      <c r="BG4" s="120">
        <v>1.8518518518518518E-4</v>
      </c>
      <c r="BH4" s="107">
        <v>0</v>
      </c>
      <c r="BI4" s="107">
        <v>0</v>
      </c>
      <c r="BJ4" s="107" t="s">
        <v>9801</v>
      </c>
      <c r="BK4" s="121">
        <v>0</v>
      </c>
      <c r="BL4" s="121" t="b">
        <f t="shared" si="1"/>
        <v>1</v>
      </c>
      <c r="BM4" s="121" t="b">
        <f>IF(BK4&gt;0, TRUE, FALSE)</f>
        <v>0</v>
      </c>
      <c r="BN4" s="121">
        <f t="shared" si="15"/>
        <v>1.8518518518518518E-4</v>
      </c>
      <c r="BO4" s="127">
        <f t="shared" si="16"/>
        <v>-2.5462962962962961E-4</v>
      </c>
      <c r="BP4" s="127">
        <f t="shared" si="17"/>
        <v>-2.2106481481481482E-3</v>
      </c>
      <c r="BQ4" s="107">
        <f t="shared" si="18"/>
        <v>3</v>
      </c>
      <c r="BR4" s="107">
        <f t="shared" si="19"/>
        <v>15</v>
      </c>
      <c r="BS4" s="145">
        <f t="shared" si="20"/>
        <v>0</v>
      </c>
      <c r="BT4" s="145">
        <f t="shared" si="21"/>
        <v>0</v>
      </c>
      <c r="BU4" s="145">
        <f t="shared" si="22"/>
        <v>0</v>
      </c>
      <c r="BV4" s="138">
        <f t="shared" si="23"/>
        <v>0</v>
      </c>
      <c r="BW4" s="138">
        <f t="shared" si="24"/>
        <v>1</v>
      </c>
      <c r="BX4" s="138">
        <f t="shared" si="25"/>
        <v>1</v>
      </c>
      <c r="BY4" s="138">
        <f t="shared" si="26"/>
        <v>1</v>
      </c>
      <c r="BZ4" s="139">
        <f t="shared" si="27"/>
        <v>1</v>
      </c>
    </row>
    <row r="5" spans="1:78" ht="16" x14ac:dyDescent="0.25">
      <c r="A5" s="95" t="s">
        <v>1166</v>
      </c>
      <c r="B5" s="95">
        <v>352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1167</v>
      </c>
      <c r="I5" s="95" t="s">
        <v>1168</v>
      </c>
      <c r="J5" s="95" t="s">
        <v>1169</v>
      </c>
      <c r="M5" s="95">
        <v>17</v>
      </c>
      <c r="N5" s="95">
        <v>9</v>
      </c>
      <c r="O5" s="95" t="s">
        <v>10953</v>
      </c>
      <c r="P5" s="95" t="s">
        <v>10952</v>
      </c>
      <c r="Q5" s="98">
        <v>5.7870370370370378E-4</v>
      </c>
      <c r="R5" s="98">
        <v>7.291666666666667E-4</v>
      </c>
      <c r="S5" s="95">
        <v>0</v>
      </c>
      <c r="T5" s="95" t="s">
        <v>54</v>
      </c>
      <c r="U5" s="95" t="s">
        <v>55</v>
      </c>
      <c r="V5" s="95" t="s">
        <v>38</v>
      </c>
      <c r="Z5" s="95" t="b">
        <v>1</v>
      </c>
      <c r="AE5" s="95" t="s">
        <v>1117</v>
      </c>
      <c r="AF5" s="95" t="s">
        <v>9541</v>
      </c>
      <c r="AH5" s="95" t="b">
        <v>0</v>
      </c>
      <c r="AI5" s="95" t="s">
        <v>9952</v>
      </c>
      <c r="AM5" s="120">
        <v>0</v>
      </c>
      <c r="AN5" s="107">
        <v>0</v>
      </c>
      <c r="AO5" s="107">
        <v>0</v>
      </c>
      <c r="AP5" s="107" t="s">
        <v>9801</v>
      </c>
      <c r="AQ5" s="121">
        <v>0</v>
      </c>
      <c r="AR5" s="121" t="b">
        <f t="shared" si="0"/>
        <v>0</v>
      </c>
      <c r="AS5" s="121"/>
      <c r="AT5" s="121">
        <f t="shared" si="2"/>
        <v>0</v>
      </c>
      <c r="AU5" s="127">
        <f t="shared" si="3"/>
        <v>-5.7870370370370378E-4</v>
      </c>
      <c r="AV5" s="127">
        <f t="shared" si="4"/>
        <v>-7.291666666666667E-4</v>
      </c>
      <c r="AW5" s="107">
        <f t="shared" si="5"/>
        <v>17</v>
      </c>
      <c r="AX5" s="107">
        <f t="shared" si="6"/>
        <v>9</v>
      </c>
      <c r="AY5" s="145">
        <f t="shared" si="7"/>
        <v>0</v>
      </c>
      <c r="AZ5" s="145">
        <f t="shared" si="8"/>
        <v>0</v>
      </c>
      <c r="BA5" s="145">
        <f t="shared" si="9"/>
        <v>0</v>
      </c>
      <c r="BB5" s="138">
        <f t="shared" si="10"/>
        <v>0</v>
      </c>
      <c r="BC5" s="138">
        <f t="shared" si="11"/>
        <v>1</v>
      </c>
      <c r="BD5" s="138">
        <f t="shared" si="12"/>
        <v>1</v>
      </c>
      <c r="BE5" s="138">
        <f t="shared" si="13"/>
        <v>1</v>
      </c>
      <c r="BF5" s="139">
        <f t="shared" si="14"/>
        <v>1</v>
      </c>
      <c r="BG5" s="120">
        <v>2.0833333333333335E-4</v>
      </c>
      <c r="BH5" s="107">
        <v>17</v>
      </c>
      <c r="BI5" s="107">
        <v>10</v>
      </c>
      <c r="BJ5" s="107" t="b">
        <v>1</v>
      </c>
      <c r="BK5" s="121">
        <v>9.8379629629629642E-4</v>
      </c>
      <c r="BL5" s="121" t="b">
        <f t="shared" si="1"/>
        <v>1</v>
      </c>
      <c r="BM5" s="121" t="b">
        <f>IF(BK5&gt;0, TRUE, FALSE)</f>
        <v>1</v>
      </c>
      <c r="BN5" s="121">
        <f t="shared" si="15"/>
        <v>1.1921296296296298E-3</v>
      </c>
      <c r="BO5" s="127">
        <f t="shared" si="16"/>
        <v>4.0509259259259264E-4</v>
      </c>
      <c r="BP5" s="127">
        <f t="shared" si="17"/>
        <v>4.6296296296296309E-4</v>
      </c>
      <c r="BQ5" s="107">
        <f t="shared" si="18"/>
        <v>0</v>
      </c>
      <c r="BR5" s="107">
        <f t="shared" si="19"/>
        <v>1</v>
      </c>
      <c r="BS5" s="145">
        <f t="shared" si="20"/>
        <v>1</v>
      </c>
      <c r="BT5" s="145">
        <f t="shared" si="21"/>
        <v>0.88888888888888884</v>
      </c>
      <c r="BU5" s="145">
        <f t="shared" si="22"/>
        <v>1</v>
      </c>
      <c r="BV5" s="138">
        <f t="shared" si="23"/>
        <v>0.96296296296296291</v>
      </c>
      <c r="BW5" s="138">
        <f t="shared" si="24"/>
        <v>0</v>
      </c>
      <c r="BX5" s="138">
        <f t="shared" si="25"/>
        <v>0.11111111111111116</v>
      </c>
      <c r="BY5" s="138">
        <f t="shared" si="26"/>
        <v>0</v>
      </c>
      <c r="BZ5" s="139">
        <f t="shared" si="27"/>
        <v>3.7037037037037056E-2</v>
      </c>
    </row>
    <row r="6" spans="1:78" ht="16" x14ac:dyDescent="0.25">
      <c r="A6" s="95" t="s">
        <v>1178</v>
      </c>
      <c r="B6" s="95">
        <v>355</v>
      </c>
      <c r="C6" s="95" t="b">
        <v>0</v>
      </c>
      <c r="D6" s="95" t="b">
        <v>0</v>
      </c>
      <c r="E6" s="95" t="b">
        <v>0</v>
      </c>
      <c r="F6" s="95" t="b">
        <v>0</v>
      </c>
      <c r="G6" s="95" t="s">
        <v>31</v>
      </c>
      <c r="H6" s="95" t="s">
        <v>1179</v>
      </c>
      <c r="I6" s="95" t="s">
        <v>1180</v>
      </c>
      <c r="J6" s="95" t="s">
        <v>1181</v>
      </c>
      <c r="M6" s="95">
        <v>13</v>
      </c>
      <c r="N6" s="95">
        <v>13</v>
      </c>
      <c r="O6" s="95" t="s">
        <v>10951</v>
      </c>
      <c r="P6" s="95" t="s">
        <v>10950</v>
      </c>
      <c r="Q6" s="98">
        <v>7.291666666666667E-4</v>
      </c>
      <c r="R6" s="98">
        <v>1.2268518518518518E-3</v>
      </c>
      <c r="S6" s="95">
        <v>0</v>
      </c>
      <c r="T6" s="95" t="s">
        <v>54</v>
      </c>
      <c r="U6" s="95" t="s">
        <v>55</v>
      </c>
      <c r="V6" s="95" t="s">
        <v>38</v>
      </c>
      <c r="Z6" s="95" t="b">
        <v>1</v>
      </c>
      <c r="AE6" s="95" t="s">
        <v>1117</v>
      </c>
      <c r="AF6" s="95" t="s">
        <v>9541</v>
      </c>
      <c r="AH6" s="95" t="b">
        <v>0</v>
      </c>
      <c r="AI6" s="95" t="s">
        <v>9953</v>
      </c>
      <c r="AM6" s="120">
        <v>1.5046296296296297E-4</v>
      </c>
      <c r="AN6" s="107">
        <v>0</v>
      </c>
      <c r="AO6" s="107">
        <v>0</v>
      </c>
      <c r="AP6" s="107" t="s">
        <v>9801</v>
      </c>
      <c r="AQ6" s="121">
        <v>0</v>
      </c>
      <c r="AR6" s="121" t="b">
        <f t="shared" si="0"/>
        <v>1</v>
      </c>
      <c r="AS6" s="121" t="b">
        <f>IF(AQ6&gt;0, TRUE, FALSE)</f>
        <v>0</v>
      </c>
      <c r="AT6" s="121">
        <f t="shared" si="2"/>
        <v>1.5046296296296297E-4</v>
      </c>
      <c r="AU6" s="127">
        <f t="shared" si="3"/>
        <v>-7.291666666666667E-4</v>
      </c>
      <c r="AV6" s="127">
        <f t="shared" si="4"/>
        <v>-1.0763888888888889E-3</v>
      </c>
      <c r="AW6" s="107">
        <f t="shared" si="5"/>
        <v>13</v>
      </c>
      <c r="AX6" s="107">
        <f t="shared" si="6"/>
        <v>13</v>
      </c>
      <c r="AY6" s="145">
        <f t="shared" si="7"/>
        <v>0</v>
      </c>
      <c r="AZ6" s="145">
        <f t="shared" si="8"/>
        <v>0</v>
      </c>
      <c r="BA6" s="145">
        <f t="shared" si="9"/>
        <v>0</v>
      </c>
      <c r="BB6" s="138">
        <f t="shared" si="10"/>
        <v>0</v>
      </c>
      <c r="BC6" s="138">
        <f t="shared" si="11"/>
        <v>1</v>
      </c>
      <c r="BD6" s="138">
        <f t="shared" si="12"/>
        <v>1</v>
      </c>
      <c r="BE6" s="138">
        <f t="shared" si="13"/>
        <v>1</v>
      </c>
      <c r="BF6" s="139">
        <f t="shared" si="14"/>
        <v>1</v>
      </c>
      <c r="BG6" s="120">
        <v>0</v>
      </c>
      <c r="BH6" s="107">
        <v>0</v>
      </c>
      <c r="BI6" s="107">
        <v>0</v>
      </c>
      <c r="BJ6" s="107" t="s">
        <v>9801</v>
      </c>
      <c r="BK6" s="121">
        <v>0</v>
      </c>
      <c r="BL6" s="121" t="b">
        <f t="shared" si="1"/>
        <v>0</v>
      </c>
      <c r="BM6" s="121"/>
      <c r="BN6" s="121">
        <f t="shared" si="15"/>
        <v>0</v>
      </c>
      <c r="BO6" s="127">
        <f t="shared" si="16"/>
        <v>-7.291666666666667E-4</v>
      </c>
      <c r="BP6" s="127">
        <f t="shared" si="17"/>
        <v>-1.2268518518518518E-3</v>
      </c>
      <c r="BQ6" s="107">
        <f t="shared" si="18"/>
        <v>13</v>
      </c>
      <c r="BR6" s="107">
        <f t="shared" si="19"/>
        <v>13</v>
      </c>
      <c r="BS6" s="145">
        <f t="shared" si="20"/>
        <v>0</v>
      </c>
      <c r="BT6" s="145">
        <f t="shared" si="21"/>
        <v>0</v>
      </c>
      <c r="BU6" s="145">
        <f t="shared" si="22"/>
        <v>0</v>
      </c>
      <c r="BV6" s="138">
        <f t="shared" si="23"/>
        <v>0</v>
      </c>
      <c r="BW6" s="138">
        <f t="shared" si="24"/>
        <v>1</v>
      </c>
      <c r="BX6" s="138">
        <f t="shared" si="25"/>
        <v>1</v>
      </c>
      <c r="BY6" s="138">
        <f t="shared" si="26"/>
        <v>1</v>
      </c>
      <c r="BZ6" s="139">
        <f t="shared" si="27"/>
        <v>1</v>
      </c>
    </row>
    <row r="7" spans="1:78" ht="16" x14ac:dyDescent="0.25">
      <c r="A7" s="95" t="s">
        <v>1253</v>
      </c>
      <c r="B7" s="95">
        <v>378</v>
      </c>
      <c r="C7" s="95" t="b">
        <v>0</v>
      </c>
      <c r="D7" s="95" t="b">
        <v>0</v>
      </c>
      <c r="E7" s="95" t="b">
        <v>0</v>
      </c>
      <c r="F7" s="95" t="b">
        <v>0</v>
      </c>
      <c r="G7" s="95" t="s">
        <v>31</v>
      </c>
      <c r="H7" s="95" t="s">
        <v>1254</v>
      </c>
      <c r="I7" s="95" t="s">
        <v>1255</v>
      </c>
      <c r="M7" s="95">
        <v>21</v>
      </c>
      <c r="N7" s="95">
        <v>18</v>
      </c>
      <c r="O7" s="95" t="s">
        <v>10949</v>
      </c>
      <c r="P7" s="95" t="s">
        <v>10948</v>
      </c>
      <c r="Q7" s="98">
        <v>3.7037037037037035E-4</v>
      </c>
      <c r="R7" s="98">
        <v>9.1435185185185185E-4</v>
      </c>
      <c r="S7" s="95">
        <v>0</v>
      </c>
      <c r="T7" s="95" t="s">
        <v>54</v>
      </c>
      <c r="U7" s="95" t="s">
        <v>55</v>
      </c>
      <c r="V7" s="95" t="s">
        <v>38</v>
      </c>
      <c r="Z7" s="95" t="b">
        <v>0</v>
      </c>
      <c r="AE7" s="95" t="s">
        <v>1117</v>
      </c>
      <c r="AF7" s="95" t="s">
        <v>9541</v>
      </c>
      <c r="AH7" s="95" t="b">
        <v>0</v>
      </c>
      <c r="AI7" s="95" t="s">
        <v>9957</v>
      </c>
      <c r="AM7" s="120">
        <v>3.4722222222222224E-4</v>
      </c>
      <c r="AN7" s="107">
        <v>0</v>
      </c>
      <c r="AO7" s="107">
        <v>0</v>
      </c>
      <c r="AP7" s="107" t="s">
        <v>9801</v>
      </c>
      <c r="AQ7" s="121">
        <v>0</v>
      </c>
      <c r="AR7" s="121" t="b">
        <f t="shared" si="0"/>
        <v>1</v>
      </c>
      <c r="AS7" s="121" t="b">
        <f>IF(AQ7&gt;0, TRUE, FALSE)</f>
        <v>0</v>
      </c>
      <c r="AT7" s="121">
        <f t="shared" si="2"/>
        <v>3.4722222222222224E-4</v>
      </c>
      <c r="AU7" s="127">
        <f t="shared" si="3"/>
        <v>-3.7037037037037035E-4</v>
      </c>
      <c r="AV7" s="127">
        <f t="shared" si="4"/>
        <v>-5.6712962962962967E-4</v>
      </c>
      <c r="AW7" s="107">
        <f t="shared" si="5"/>
        <v>21</v>
      </c>
      <c r="AX7" s="107">
        <f t="shared" si="6"/>
        <v>18</v>
      </c>
      <c r="AY7" s="145">
        <f t="shared" si="7"/>
        <v>0</v>
      </c>
      <c r="AZ7" s="145">
        <f t="shared" si="8"/>
        <v>0</v>
      </c>
      <c r="BA7" s="145">
        <f t="shared" si="9"/>
        <v>0</v>
      </c>
      <c r="BB7" s="138">
        <f t="shared" si="10"/>
        <v>0</v>
      </c>
      <c r="BC7" s="138">
        <f t="shared" si="11"/>
        <v>1</v>
      </c>
      <c r="BD7" s="138">
        <f t="shared" si="12"/>
        <v>1</v>
      </c>
      <c r="BE7" s="138">
        <f t="shared" si="13"/>
        <v>1</v>
      </c>
      <c r="BF7" s="139">
        <f t="shared" si="14"/>
        <v>1</v>
      </c>
      <c r="BG7" s="120">
        <v>0</v>
      </c>
      <c r="BH7" s="107">
        <v>0</v>
      </c>
      <c r="BI7" s="107">
        <v>0</v>
      </c>
      <c r="BJ7" s="107" t="s">
        <v>9801</v>
      </c>
      <c r="BK7" s="121">
        <v>0</v>
      </c>
      <c r="BL7" s="121" t="b">
        <f t="shared" si="1"/>
        <v>0</v>
      </c>
      <c r="BM7" s="121"/>
      <c r="BN7" s="121">
        <f t="shared" si="15"/>
        <v>0</v>
      </c>
      <c r="BO7" s="127">
        <f t="shared" si="16"/>
        <v>-3.7037037037037035E-4</v>
      </c>
      <c r="BP7" s="127">
        <f t="shared" si="17"/>
        <v>-9.1435185185185185E-4</v>
      </c>
      <c r="BQ7" s="107">
        <f t="shared" si="18"/>
        <v>21</v>
      </c>
      <c r="BR7" s="107">
        <f t="shared" si="19"/>
        <v>18</v>
      </c>
      <c r="BS7" s="145">
        <f t="shared" si="20"/>
        <v>0</v>
      </c>
      <c r="BT7" s="145">
        <f t="shared" si="21"/>
        <v>0</v>
      </c>
      <c r="BU7" s="145">
        <f t="shared" si="22"/>
        <v>0</v>
      </c>
      <c r="BV7" s="138">
        <f t="shared" si="23"/>
        <v>0</v>
      </c>
      <c r="BW7" s="138">
        <f t="shared" si="24"/>
        <v>1</v>
      </c>
      <c r="BX7" s="138">
        <f t="shared" si="25"/>
        <v>1</v>
      </c>
      <c r="BY7" s="138">
        <f t="shared" si="26"/>
        <v>1</v>
      </c>
      <c r="BZ7" s="139">
        <f t="shared" si="27"/>
        <v>1</v>
      </c>
    </row>
    <row r="8" spans="1:78" ht="16" x14ac:dyDescent="0.25">
      <c r="A8" s="95" t="s">
        <v>1288</v>
      </c>
      <c r="B8" s="95">
        <v>389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1289</v>
      </c>
      <c r="I8" s="95" t="s">
        <v>1290</v>
      </c>
      <c r="J8" s="95" t="s">
        <v>1291</v>
      </c>
      <c r="M8" s="95">
        <v>3</v>
      </c>
      <c r="N8" s="95">
        <v>14</v>
      </c>
      <c r="O8" s="95" t="s">
        <v>10947</v>
      </c>
      <c r="P8" s="95" t="s">
        <v>10946</v>
      </c>
      <c r="Q8" s="98">
        <v>4.1666666666666669E-4</v>
      </c>
      <c r="R8" s="98">
        <v>6.7129629629629625E-4</v>
      </c>
      <c r="S8" s="95">
        <v>0</v>
      </c>
      <c r="T8" s="95" t="s">
        <v>54</v>
      </c>
      <c r="U8" s="95" t="s">
        <v>55</v>
      </c>
      <c r="V8" s="95" t="s">
        <v>38</v>
      </c>
      <c r="Z8" s="95" t="b">
        <v>1</v>
      </c>
      <c r="AE8" s="95" t="s">
        <v>1117</v>
      </c>
      <c r="AF8" s="95" t="s">
        <v>9541</v>
      </c>
      <c r="AH8" s="95" t="b">
        <v>0</v>
      </c>
      <c r="AI8" s="95" t="s">
        <v>9958</v>
      </c>
      <c r="AM8" s="120">
        <v>0</v>
      </c>
      <c r="AN8" s="107">
        <v>0</v>
      </c>
      <c r="AO8" s="107">
        <v>0</v>
      </c>
      <c r="AP8" s="107" t="s">
        <v>9801</v>
      </c>
      <c r="AQ8" s="121">
        <v>0</v>
      </c>
      <c r="AR8" s="121" t="b">
        <f t="shared" si="0"/>
        <v>0</v>
      </c>
      <c r="AS8" s="121"/>
      <c r="AT8" s="121">
        <f t="shared" si="2"/>
        <v>0</v>
      </c>
      <c r="AU8" s="127">
        <f t="shared" si="3"/>
        <v>-4.1666666666666669E-4</v>
      </c>
      <c r="AV8" s="127">
        <f t="shared" si="4"/>
        <v>-6.7129629629629625E-4</v>
      </c>
      <c r="AW8" s="107">
        <f t="shared" si="5"/>
        <v>3</v>
      </c>
      <c r="AX8" s="107">
        <f t="shared" si="6"/>
        <v>14</v>
      </c>
      <c r="AY8" s="145">
        <f t="shared" si="7"/>
        <v>0</v>
      </c>
      <c r="AZ8" s="145">
        <f t="shared" si="8"/>
        <v>0</v>
      </c>
      <c r="BA8" s="145">
        <f t="shared" si="9"/>
        <v>0</v>
      </c>
      <c r="BB8" s="138">
        <f t="shared" si="10"/>
        <v>0</v>
      </c>
      <c r="BC8" s="138">
        <f t="shared" si="11"/>
        <v>1</v>
      </c>
      <c r="BD8" s="138">
        <f t="shared" si="12"/>
        <v>1</v>
      </c>
      <c r="BE8" s="138">
        <f t="shared" si="13"/>
        <v>1</v>
      </c>
      <c r="BF8" s="139">
        <f t="shared" si="14"/>
        <v>1</v>
      </c>
      <c r="BG8" s="120">
        <v>0</v>
      </c>
      <c r="BH8" s="107">
        <v>0</v>
      </c>
      <c r="BI8" s="107">
        <v>0</v>
      </c>
      <c r="BJ8" s="107" t="s">
        <v>9801</v>
      </c>
      <c r="BK8" s="121">
        <v>0</v>
      </c>
      <c r="BL8" s="121" t="b">
        <f t="shared" si="1"/>
        <v>0</v>
      </c>
      <c r="BM8" s="121"/>
      <c r="BN8" s="121">
        <f t="shared" si="15"/>
        <v>0</v>
      </c>
      <c r="BO8" s="127">
        <f t="shared" si="16"/>
        <v>-4.1666666666666669E-4</v>
      </c>
      <c r="BP8" s="127">
        <f t="shared" si="17"/>
        <v>-6.7129629629629625E-4</v>
      </c>
      <c r="BQ8" s="107">
        <f t="shared" si="18"/>
        <v>3</v>
      </c>
      <c r="BR8" s="107">
        <f t="shared" si="19"/>
        <v>14</v>
      </c>
      <c r="BS8" s="145">
        <f t="shared" si="20"/>
        <v>0</v>
      </c>
      <c r="BT8" s="145">
        <f t="shared" si="21"/>
        <v>0</v>
      </c>
      <c r="BU8" s="145">
        <f t="shared" si="22"/>
        <v>0</v>
      </c>
      <c r="BV8" s="138">
        <f t="shared" si="23"/>
        <v>0</v>
      </c>
      <c r="BW8" s="138">
        <f t="shared" si="24"/>
        <v>1</v>
      </c>
      <c r="BX8" s="138">
        <f t="shared" si="25"/>
        <v>1</v>
      </c>
      <c r="BY8" s="138">
        <f t="shared" si="26"/>
        <v>1</v>
      </c>
      <c r="BZ8" s="139">
        <f t="shared" si="27"/>
        <v>1</v>
      </c>
    </row>
    <row r="9" spans="1:78" ht="16" x14ac:dyDescent="0.25">
      <c r="A9" s="95" t="s">
        <v>1416</v>
      </c>
      <c r="B9" s="95">
        <v>430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1417</v>
      </c>
      <c r="I9" s="95" t="s">
        <v>1418</v>
      </c>
      <c r="M9" s="95">
        <v>5</v>
      </c>
      <c r="N9" s="95">
        <v>16</v>
      </c>
      <c r="O9" s="95" t="s">
        <v>10945</v>
      </c>
      <c r="P9" s="95" t="s">
        <v>10945</v>
      </c>
      <c r="Q9" s="98">
        <v>2.4305555555555552E-4</v>
      </c>
      <c r="R9" s="98">
        <v>1.2384259259259258E-3</v>
      </c>
      <c r="S9" s="95">
        <v>0</v>
      </c>
      <c r="T9" s="95" t="s">
        <v>54</v>
      </c>
      <c r="U9" s="95" t="s">
        <v>55</v>
      </c>
      <c r="V9" s="95" t="s">
        <v>38</v>
      </c>
      <c r="Z9" s="95" t="b">
        <v>0</v>
      </c>
      <c r="AE9" s="95" t="s">
        <v>1117</v>
      </c>
      <c r="AF9" s="95" t="s">
        <v>9541</v>
      </c>
      <c r="AH9" s="95" t="b">
        <v>0</v>
      </c>
      <c r="AI9" s="95" t="s">
        <v>9970</v>
      </c>
      <c r="AM9" s="120">
        <v>2.3148148148148146E-4</v>
      </c>
      <c r="AN9" s="107">
        <v>0</v>
      </c>
      <c r="AO9" s="107">
        <v>0</v>
      </c>
      <c r="AP9" s="107" t="b">
        <v>0</v>
      </c>
      <c r="AQ9" s="121">
        <v>6.9444444444444444E-5</v>
      </c>
      <c r="AR9" s="121" t="b">
        <f t="shared" si="0"/>
        <v>1</v>
      </c>
      <c r="AS9" s="121" t="b">
        <f>IF(AQ9&gt;0, TRUE, FALSE)</f>
        <v>1</v>
      </c>
      <c r="AT9" s="121">
        <f t="shared" si="2"/>
        <v>3.0092592592592589E-4</v>
      </c>
      <c r="AU9" s="127">
        <f t="shared" si="3"/>
        <v>-1.7361111111111109E-4</v>
      </c>
      <c r="AV9" s="127">
        <f t="shared" si="4"/>
        <v>-9.3749999999999997E-4</v>
      </c>
      <c r="AW9" s="107">
        <f t="shared" si="5"/>
        <v>5</v>
      </c>
      <c r="AX9" s="107">
        <f t="shared" si="6"/>
        <v>16</v>
      </c>
      <c r="AY9" s="145">
        <f t="shared" si="7"/>
        <v>0</v>
      </c>
      <c r="AZ9" s="145">
        <f t="shared" si="8"/>
        <v>0</v>
      </c>
      <c r="BA9" s="145">
        <f t="shared" si="9"/>
        <v>1</v>
      </c>
      <c r="BB9" s="138">
        <f t="shared" si="10"/>
        <v>0.33333333333333331</v>
      </c>
      <c r="BC9" s="138">
        <f t="shared" si="11"/>
        <v>1</v>
      </c>
      <c r="BD9" s="138">
        <f t="shared" si="12"/>
        <v>1</v>
      </c>
      <c r="BE9" s="138">
        <f t="shared" si="13"/>
        <v>0</v>
      </c>
      <c r="BF9" s="139">
        <f t="shared" si="14"/>
        <v>0.66666666666666663</v>
      </c>
      <c r="BG9" s="120">
        <v>4.7453703703703704E-4</v>
      </c>
      <c r="BH9" s="107">
        <v>0</v>
      </c>
      <c r="BI9" s="107">
        <v>21</v>
      </c>
      <c r="BJ9" s="107" t="b">
        <v>0</v>
      </c>
      <c r="BK9" s="121">
        <v>3.4722222222222224E-4</v>
      </c>
      <c r="BL9" s="121" t="b">
        <f t="shared" si="1"/>
        <v>1</v>
      </c>
      <c r="BM9" s="121" t="b">
        <f>IF(BK9&gt;0, TRUE, FALSE)</f>
        <v>1</v>
      </c>
      <c r="BN9" s="121">
        <f t="shared" si="15"/>
        <v>8.2175925925925927E-4</v>
      </c>
      <c r="BO9" s="127">
        <f t="shared" si="16"/>
        <v>1.0416666666666671E-4</v>
      </c>
      <c r="BP9" s="127">
        <f t="shared" si="17"/>
        <v>-4.1666666666666653E-4</v>
      </c>
      <c r="BQ9" s="107">
        <f t="shared" si="18"/>
        <v>5</v>
      </c>
      <c r="BR9" s="107">
        <f t="shared" si="19"/>
        <v>5</v>
      </c>
      <c r="BS9" s="145">
        <f t="shared" si="20"/>
        <v>0</v>
      </c>
      <c r="BT9" s="145">
        <f t="shared" si="21"/>
        <v>0.6875</v>
      </c>
      <c r="BU9" s="145">
        <f t="shared" si="22"/>
        <v>1</v>
      </c>
      <c r="BV9" s="138">
        <f t="shared" si="23"/>
        <v>0.5625</v>
      </c>
      <c r="BW9" s="138">
        <f t="shared" si="24"/>
        <v>1</v>
      </c>
      <c r="BX9" s="138">
        <f t="shared" si="25"/>
        <v>0.3125</v>
      </c>
      <c r="BY9" s="138">
        <f t="shared" si="26"/>
        <v>0</v>
      </c>
      <c r="BZ9" s="139">
        <f t="shared" si="27"/>
        <v>0.4375</v>
      </c>
    </row>
    <row r="10" spans="1:78" ht="16" x14ac:dyDescent="0.25">
      <c r="A10" s="95" t="s">
        <v>1525</v>
      </c>
      <c r="B10" s="95">
        <v>464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1526</v>
      </c>
      <c r="I10" s="95" t="s">
        <v>1527</v>
      </c>
      <c r="J10" s="95" t="s">
        <v>1528</v>
      </c>
      <c r="M10" s="95">
        <v>3</v>
      </c>
      <c r="N10" s="95">
        <v>15</v>
      </c>
      <c r="O10" s="95" t="s">
        <v>10944</v>
      </c>
      <c r="P10" s="95" t="s">
        <v>10943</v>
      </c>
      <c r="Q10" s="98">
        <v>2.6620370370370372E-4</v>
      </c>
      <c r="R10" s="98">
        <v>5.4398148148148144E-4</v>
      </c>
      <c r="S10" s="95">
        <v>0</v>
      </c>
      <c r="T10" s="95" t="s">
        <v>54</v>
      </c>
      <c r="U10" s="95" t="s">
        <v>55</v>
      </c>
      <c r="V10" s="95" t="s">
        <v>38</v>
      </c>
      <c r="Z10" s="95" t="b">
        <v>1</v>
      </c>
      <c r="AE10" s="95" t="s">
        <v>1464</v>
      </c>
      <c r="AF10" s="95" t="s">
        <v>9537</v>
      </c>
      <c r="AH10" s="95" t="b">
        <v>0</v>
      </c>
      <c r="AI10" s="95" t="s">
        <v>9975</v>
      </c>
      <c r="AM10" s="120">
        <v>0</v>
      </c>
      <c r="AN10" s="107">
        <v>0</v>
      </c>
      <c r="AO10" s="107">
        <v>0</v>
      </c>
      <c r="AP10" s="107" t="s">
        <v>9801</v>
      </c>
      <c r="AQ10" s="121">
        <v>0</v>
      </c>
      <c r="AR10" s="121" t="b">
        <f t="shared" si="0"/>
        <v>0</v>
      </c>
      <c r="AS10" s="121"/>
      <c r="AT10" s="121">
        <f t="shared" si="2"/>
        <v>0</v>
      </c>
      <c r="AU10" s="127">
        <f t="shared" si="3"/>
        <v>-2.6620370370370372E-4</v>
      </c>
      <c r="AV10" s="127">
        <f t="shared" si="4"/>
        <v>-5.4398148148148144E-4</v>
      </c>
      <c r="AW10" s="107">
        <f t="shared" si="5"/>
        <v>3</v>
      </c>
      <c r="AX10" s="107">
        <f t="shared" si="6"/>
        <v>15</v>
      </c>
      <c r="AY10" s="145">
        <f t="shared" si="7"/>
        <v>0</v>
      </c>
      <c r="AZ10" s="145">
        <f t="shared" si="8"/>
        <v>0</v>
      </c>
      <c r="BA10" s="145">
        <f t="shared" si="9"/>
        <v>0</v>
      </c>
      <c r="BB10" s="138">
        <f t="shared" si="10"/>
        <v>0</v>
      </c>
      <c r="BC10" s="138">
        <f t="shared" si="11"/>
        <v>1</v>
      </c>
      <c r="BD10" s="138">
        <f t="shared" si="12"/>
        <v>1</v>
      </c>
      <c r="BE10" s="138">
        <f t="shared" si="13"/>
        <v>1</v>
      </c>
      <c r="BF10" s="139">
        <f t="shared" si="14"/>
        <v>1</v>
      </c>
      <c r="BG10" s="120">
        <v>4.9768518518518521E-4</v>
      </c>
      <c r="BH10" s="107">
        <v>3</v>
      </c>
      <c r="BI10" s="107">
        <v>12</v>
      </c>
      <c r="BJ10" s="107" t="b">
        <v>1</v>
      </c>
      <c r="BK10" s="121">
        <v>2.3148148148148146E-4</v>
      </c>
      <c r="BL10" s="121" t="b">
        <f t="shared" si="1"/>
        <v>1</v>
      </c>
      <c r="BM10" s="121" t="b">
        <f>IF(BK10&gt;0, TRUE, FALSE)</f>
        <v>1</v>
      </c>
      <c r="BN10" s="121">
        <f t="shared" si="15"/>
        <v>7.291666666666667E-4</v>
      </c>
      <c r="BO10" s="127">
        <f t="shared" si="16"/>
        <v>-3.4722222222222256E-5</v>
      </c>
      <c r="BP10" s="127">
        <f t="shared" si="17"/>
        <v>1.8518518518518526E-4</v>
      </c>
      <c r="BQ10" s="107">
        <f t="shared" si="18"/>
        <v>0</v>
      </c>
      <c r="BR10" s="107">
        <f t="shared" si="19"/>
        <v>3</v>
      </c>
      <c r="BS10" s="145">
        <f t="shared" si="20"/>
        <v>1</v>
      </c>
      <c r="BT10" s="145">
        <f t="shared" si="21"/>
        <v>0.8</v>
      </c>
      <c r="BU10" s="145">
        <f t="shared" si="22"/>
        <v>1</v>
      </c>
      <c r="BV10" s="138">
        <f t="shared" si="23"/>
        <v>0.93333333333333324</v>
      </c>
      <c r="BW10" s="138">
        <f t="shared" si="24"/>
        <v>0</v>
      </c>
      <c r="BX10" s="138">
        <f t="shared" si="25"/>
        <v>0.19999999999999996</v>
      </c>
      <c r="BY10" s="138">
        <f t="shared" si="26"/>
        <v>0</v>
      </c>
      <c r="BZ10" s="139">
        <f t="shared" si="27"/>
        <v>6.6666666666666652E-2</v>
      </c>
    </row>
    <row r="11" spans="1:78" ht="16" x14ac:dyDescent="0.25">
      <c r="A11" s="95" t="s">
        <v>1599</v>
      </c>
      <c r="B11" s="95">
        <v>486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1600</v>
      </c>
      <c r="I11" s="95" t="s">
        <v>1601</v>
      </c>
      <c r="M11" s="95">
        <v>25</v>
      </c>
      <c r="N11" s="95">
        <v>16</v>
      </c>
      <c r="O11" s="95" t="s">
        <v>10942</v>
      </c>
      <c r="P11" s="95" t="s">
        <v>10942</v>
      </c>
      <c r="Q11" s="98">
        <v>2.4305555555555552E-4</v>
      </c>
      <c r="R11" s="98">
        <v>9.6064814814814808E-4</v>
      </c>
      <c r="S11" s="95">
        <v>0</v>
      </c>
      <c r="T11" s="95" t="s">
        <v>54</v>
      </c>
      <c r="U11" s="95" t="s">
        <v>55</v>
      </c>
      <c r="V11" s="95" t="s">
        <v>38</v>
      </c>
      <c r="Z11" s="95" t="b">
        <v>0</v>
      </c>
      <c r="AE11" s="95" t="s">
        <v>1464</v>
      </c>
      <c r="AF11" s="95" t="s">
        <v>9537</v>
      </c>
      <c r="AH11" s="95" t="b">
        <v>0</v>
      </c>
      <c r="AI11" s="95" t="s">
        <v>9590</v>
      </c>
      <c r="AM11" s="120">
        <v>4.7453703703703704E-4</v>
      </c>
      <c r="AN11" s="107">
        <v>0</v>
      </c>
      <c r="AO11" s="107">
        <v>0</v>
      </c>
      <c r="AP11" s="107" t="s">
        <v>9801</v>
      </c>
      <c r="AQ11" s="121">
        <v>0</v>
      </c>
      <c r="AR11" s="121" t="b">
        <f t="shared" si="0"/>
        <v>1</v>
      </c>
      <c r="AS11" s="121" t="b">
        <f>IF(AQ11&gt;0, TRUE, FALSE)</f>
        <v>0</v>
      </c>
      <c r="AT11" s="121">
        <f t="shared" si="2"/>
        <v>4.7453703703703704E-4</v>
      </c>
      <c r="AU11" s="127">
        <f t="shared" si="3"/>
        <v>-2.4305555555555552E-4</v>
      </c>
      <c r="AV11" s="127">
        <f t="shared" si="4"/>
        <v>-4.8611111111111104E-4</v>
      </c>
      <c r="AW11" s="107">
        <f t="shared" si="5"/>
        <v>25</v>
      </c>
      <c r="AX11" s="107">
        <f t="shared" si="6"/>
        <v>16</v>
      </c>
      <c r="AY11" s="145">
        <f t="shared" si="7"/>
        <v>0</v>
      </c>
      <c r="AZ11" s="145">
        <f t="shared" si="8"/>
        <v>0</v>
      </c>
      <c r="BA11" s="145">
        <f t="shared" si="9"/>
        <v>0</v>
      </c>
      <c r="BB11" s="138">
        <f t="shared" si="10"/>
        <v>0</v>
      </c>
      <c r="BC11" s="138">
        <f t="shared" si="11"/>
        <v>1</v>
      </c>
      <c r="BD11" s="138">
        <f t="shared" si="12"/>
        <v>1</v>
      </c>
      <c r="BE11" s="138">
        <f t="shared" si="13"/>
        <v>1</v>
      </c>
      <c r="BF11" s="139">
        <f t="shared" si="14"/>
        <v>1</v>
      </c>
      <c r="BG11" s="120">
        <v>1.9675925925925926E-4</v>
      </c>
      <c r="BH11" s="107">
        <v>0</v>
      </c>
      <c r="BI11" s="107">
        <v>0</v>
      </c>
      <c r="BJ11" s="107" t="s">
        <v>9801</v>
      </c>
      <c r="BK11" s="121">
        <v>0</v>
      </c>
      <c r="BL11" s="121" t="b">
        <f t="shared" si="1"/>
        <v>1</v>
      </c>
      <c r="BM11" s="121" t="b">
        <f>IF(BK11&gt;0, TRUE, FALSE)</f>
        <v>0</v>
      </c>
      <c r="BN11" s="121">
        <f t="shared" si="15"/>
        <v>1.9675925925925926E-4</v>
      </c>
      <c r="BO11" s="127">
        <f t="shared" si="16"/>
        <v>-2.4305555555555552E-4</v>
      </c>
      <c r="BP11" s="127">
        <f t="shared" si="17"/>
        <v>-7.6388888888888882E-4</v>
      </c>
      <c r="BQ11" s="107">
        <f t="shared" si="18"/>
        <v>25</v>
      </c>
      <c r="BR11" s="107">
        <f t="shared" si="19"/>
        <v>16</v>
      </c>
      <c r="BS11" s="145">
        <f t="shared" si="20"/>
        <v>0</v>
      </c>
      <c r="BT11" s="145">
        <f t="shared" si="21"/>
        <v>0</v>
      </c>
      <c r="BU11" s="145">
        <f t="shared" si="22"/>
        <v>0</v>
      </c>
      <c r="BV11" s="138">
        <f t="shared" si="23"/>
        <v>0</v>
      </c>
      <c r="BW11" s="138">
        <f t="shared" si="24"/>
        <v>1</v>
      </c>
      <c r="BX11" s="138">
        <f t="shared" si="25"/>
        <v>1</v>
      </c>
      <c r="BY11" s="138">
        <f t="shared" si="26"/>
        <v>1</v>
      </c>
      <c r="BZ11" s="139">
        <f t="shared" si="27"/>
        <v>1</v>
      </c>
    </row>
    <row r="12" spans="1:78" ht="16" x14ac:dyDescent="0.25">
      <c r="A12" s="95" t="s">
        <v>1602</v>
      </c>
      <c r="B12" s="95">
        <v>487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1603</v>
      </c>
      <c r="I12" s="95" t="s">
        <v>1604</v>
      </c>
      <c r="M12" s="95">
        <v>19</v>
      </c>
      <c r="N12" s="95">
        <v>15</v>
      </c>
      <c r="O12" s="95" t="s">
        <v>10942</v>
      </c>
      <c r="P12" s="95" t="s">
        <v>10941</v>
      </c>
      <c r="Q12" s="98">
        <v>3.8194444444444446E-4</v>
      </c>
      <c r="R12" s="98">
        <v>4.2824074074074075E-4</v>
      </c>
      <c r="S12" s="95">
        <v>0</v>
      </c>
      <c r="T12" s="95" t="s">
        <v>54</v>
      </c>
      <c r="U12" s="95" t="s">
        <v>55</v>
      </c>
      <c r="V12" s="95" t="s">
        <v>38</v>
      </c>
      <c r="Z12" s="95" t="b">
        <v>0</v>
      </c>
      <c r="AE12" s="95" t="s">
        <v>1464</v>
      </c>
      <c r="AF12" s="95" t="s">
        <v>9537</v>
      </c>
      <c r="AH12" s="95" t="b">
        <v>0</v>
      </c>
      <c r="AI12" s="95" t="s">
        <v>9980</v>
      </c>
      <c r="AM12" s="120">
        <v>4.3981481481481481E-4</v>
      </c>
      <c r="AN12" s="107">
        <v>0</v>
      </c>
      <c r="AO12" s="107">
        <v>0</v>
      </c>
      <c r="AP12" s="107" t="s">
        <v>9801</v>
      </c>
      <c r="AQ12" s="121">
        <v>0</v>
      </c>
      <c r="AR12" s="121" t="b">
        <f t="shared" si="0"/>
        <v>1</v>
      </c>
      <c r="AS12" s="121" t="b">
        <f>IF(AQ12&gt;0, TRUE, FALSE)</f>
        <v>0</v>
      </c>
      <c r="AT12" s="121">
        <f t="shared" si="2"/>
        <v>4.3981481481481481E-4</v>
      </c>
      <c r="AU12" s="127">
        <f t="shared" si="3"/>
        <v>-3.8194444444444446E-4</v>
      </c>
      <c r="AV12" s="127">
        <f t="shared" si="4"/>
        <v>1.1574074074074058E-5</v>
      </c>
      <c r="AW12" s="107">
        <f t="shared" si="5"/>
        <v>19</v>
      </c>
      <c r="AX12" s="107">
        <f t="shared" si="6"/>
        <v>15</v>
      </c>
      <c r="AY12" s="145">
        <f t="shared" si="7"/>
        <v>0</v>
      </c>
      <c r="AZ12" s="145">
        <f t="shared" si="8"/>
        <v>0</v>
      </c>
      <c r="BA12" s="145">
        <f t="shared" si="9"/>
        <v>0</v>
      </c>
      <c r="BB12" s="138">
        <f t="shared" si="10"/>
        <v>0</v>
      </c>
      <c r="BC12" s="138">
        <f t="shared" si="11"/>
        <v>1</v>
      </c>
      <c r="BD12" s="138">
        <f t="shared" si="12"/>
        <v>1</v>
      </c>
      <c r="BE12" s="138">
        <f t="shared" si="13"/>
        <v>1</v>
      </c>
      <c r="BF12" s="139">
        <f t="shared" si="14"/>
        <v>1</v>
      </c>
      <c r="BG12" s="120">
        <v>9.2592592592592588E-5</v>
      </c>
      <c r="BH12" s="107">
        <v>0</v>
      </c>
      <c r="BI12" s="107">
        <v>0</v>
      </c>
      <c r="BJ12" s="107" t="s">
        <v>9801</v>
      </c>
      <c r="BK12" s="121">
        <v>0</v>
      </c>
      <c r="BL12" s="121" t="b">
        <f t="shared" si="1"/>
        <v>1</v>
      </c>
      <c r="BM12" s="121" t="b">
        <f>IF(BK12&gt;0, TRUE, FALSE)</f>
        <v>0</v>
      </c>
      <c r="BN12" s="121">
        <f t="shared" si="15"/>
        <v>9.2592592592592588E-5</v>
      </c>
      <c r="BO12" s="127">
        <f t="shared" si="16"/>
        <v>-3.8194444444444446E-4</v>
      </c>
      <c r="BP12" s="127">
        <f t="shared" si="17"/>
        <v>-3.3564814814814818E-4</v>
      </c>
      <c r="BQ12" s="107">
        <f t="shared" si="18"/>
        <v>19</v>
      </c>
      <c r="BR12" s="107">
        <f t="shared" si="19"/>
        <v>15</v>
      </c>
      <c r="BS12" s="145">
        <f t="shared" si="20"/>
        <v>0</v>
      </c>
      <c r="BT12" s="145">
        <f t="shared" si="21"/>
        <v>0</v>
      </c>
      <c r="BU12" s="145">
        <f t="shared" si="22"/>
        <v>0</v>
      </c>
      <c r="BV12" s="138">
        <f t="shared" si="23"/>
        <v>0</v>
      </c>
      <c r="BW12" s="138">
        <f t="shared" si="24"/>
        <v>1</v>
      </c>
      <c r="BX12" s="138">
        <f t="shared" si="25"/>
        <v>1</v>
      </c>
      <c r="BY12" s="138">
        <f t="shared" si="26"/>
        <v>1</v>
      </c>
      <c r="BZ12" s="139">
        <f t="shared" si="27"/>
        <v>1</v>
      </c>
    </row>
    <row r="13" spans="1:78" ht="16" x14ac:dyDescent="0.25">
      <c r="A13" s="95" t="s">
        <v>1659</v>
      </c>
      <c r="B13" s="95">
        <v>504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31</v>
      </c>
      <c r="H13" s="95" t="s">
        <v>1660</v>
      </c>
      <c r="I13" s="95" t="s">
        <v>1661</v>
      </c>
      <c r="M13" s="95">
        <v>23</v>
      </c>
      <c r="N13" s="95">
        <v>15</v>
      </c>
      <c r="O13" s="95" t="s">
        <v>10859</v>
      </c>
      <c r="P13" s="95" t="s">
        <v>10859</v>
      </c>
      <c r="Q13" s="98">
        <v>4.5138888888888892E-4</v>
      </c>
      <c r="R13" s="98">
        <v>9.2592592592592585E-4</v>
      </c>
      <c r="S13" s="95">
        <v>0</v>
      </c>
      <c r="T13" s="95" t="s">
        <v>54</v>
      </c>
      <c r="U13" s="95" t="s">
        <v>55</v>
      </c>
      <c r="V13" s="95" t="s">
        <v>38</v>
      </c>
      <c r="Z13" s="95" t="b">
        <v>0</v>
      </c>
      <c r="AE13" s="95" t="s">
        <v>1464</v>
      </c>
      <c r="AF13" s="95" t="s">
        <v>9537</v>
      </c>
      <c r="AH13" s="95" t="b">
        <v>0</v>
      </c>
      <c r="AI13" s="95" t="s">
        <v>9983</v>
      </c>
      <c r="AM13" s="120">
        <v>0</v>
      </c>
      <c r="AN13" s="107">
        <v>0</v>
      </c>
      <c r="AO13" s="107">
        <v>0</v>
      </c>
      <c r="AP13" s="107" t="s">
        <v>9801</v>
      </c>
      <c r="AQ13" s="121">
        <v>0</v>
      </c>
      <c r="AR13" s="121" t="b">
        <f t="shared" si="0"/>
        <v>0</v>
      </c>
      <c r="AS13" s="121"/>
      <c r="AT13" s="121">
        <f t="shared" si="2"/>
        <v>0</v>
      </c>
      <c r="AU13" s="127">
        <f t="shared" si="3"/>
        <v>-4.5138888888888892E-4</v>
      </c>
      <c r="AV13" s="127">
        <f t="shared" si="4"/>
        <v>-9.2592592592592585E-4</v>
      </c>
      <c r="AW13" s="107">
        <f t="shared" si="5"/>
        <v>23</v>
      </c>
      <c r="AX13" s="107">
        <f t="shared" si="6"/>
        <v>15</v>
      </c>
      <c r="AY13" s="145">
        <f t="shared" si="7"/>
        <v>0</v>
      </c>
      <c r="AZ13" s="145">
        <f t="shared" si="8"/>
        <v>0</v>
      </c>
      <c r="BA13" s="145">
        <f t="shared" si="9"/>
        <v>0</v>
      </c>
      <c r="BB13" s="138">
        <f t="shared" si="10"/>
        <v>0</v>
      </c>
      <c r="BC13" s="138">
        <f t="shared" si="11"/>
        <v>1</v>
      </c>
      <c r="BD13" s="138">
        <f t="shared" si="12"/>
        <v>1</v>
      </c>
      <c r="BE13" s="138">
        <f t="shared" si="13"/>
        <v>1</v>
      </c>
      <c r="BF13" s="139">
        <f t="shared" si="14"/>
        <v>1</v>
      </c>
      <c r="BG13" s="120">
        <v>4.5138888888888892E-4</v>
      </c>
      <c r="BH13" s="107">
        <v>0</v>
      </c>
      <c r="BI13" s="107">
        <v>0</v>
      </c>
      <c r="BJ13" s="107" t="s">
        <v>9801</v>
      </c>
      <c r="BK13" s="121">
        <v>0</v>
      </c>
      <c r="BL13" s="121" t="b">
        <f t="shared" si="1"/>
        <v>1</v>
      </c>
      <c r="BM13" s="121" t="b">
        <f>IF(BK13&gt;0, TRUE, FALSE)</f>
        <v>0</v>
      </c>
      <c r="BN13" s="121">
        <f t="shared" si="15"/>
        <v>4.5138888888888892E-4</v>
      </c>
      <c r="BO13" s="127">
        <f t="shared" si="16"/>
        <v>-4.5138888888888892E-4</v>
      </c>
      <c r="BP13" s="127">
        <f t="shared" si="17"/>
        <v>-4.7453703703703693E-4</v>
      </c>
      <c r="BQ13" s="107">
        <f t="shared" si="18"/>
        <v>23</v>
      </c>
      <c r="BR13" s="107">
        <f t="shared" si="19"/>
        <v>15</v>
      </c>
      <c r="BS13" s="145">
        <f t="shared" si="20"/>
        <v>0</v>
      </c>
      <c r="BT13" s="145">
        <f t="shared" si="21"/>
        <v>0</v>
      </c>
      <c r="BU13" s="145">
        <f t="shared" si="22"/>
        <v>0</v>
      </c>
      <c r="BV13" s="138">
        <f t="shared" si="23"/>
        <v>0</v>
      </c>
      <c r="BW13" s="138">
        <f t="shared" si="24"/>
        <v>1</v>
      </c>
      <c r="BX13" s="138">
        <f t="shared" si="25"/>
        <v>1</v>
      </c>
      <c r="BY13" s="138">
        <f t="shared" si="26"/>
        <v>1</v>
      </c>
      <c r="BZ13" s="139">
        <f t="shared" si="27"/>
        <v>1</v>
      </c>
    </row>
    <row r="14" spans="1:78" ht="16" x14ac:dyDescent="0.25">
      <c r="A14" s="95" t="s">
        <v>1684</v>
      </c>
      <c r="B14" s="95">
        <v>512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1685</v>
      </c>
      <c r="I14" s="95" t="s">
        <v>1686</v>
      </c>
      <c r="M14" s="95">
        <v>2</v>
      </c>
      <c r="N14" s="95">
        <v>15</v>
      </c>
      <c r="O14" s="95" t="s">
        <v>10940</v>
      </c>
      <c r="P14" s="95" t="s">
        <v>10939</v>
      </c>
      <c r="Q14" s="98">
        <v>3.4722222222222224E-4</v>
      </c>
      <c r="R14" s="98">
        <v>1.1805555555555556E-3</v>
      </c>
      <c r="S14" s="95">
        <v>0</v>
      </c>
      <c r="T14" s="95" t="s">
        <v>54</v>
      </c>
      <c r="U14" s="95" t="s">
        <v>55</v>
      </c>
      <c r="V14" s="95" t="s">
        <v>38</v>
      </c>
      <c r="Z14" s="95" t="b">
        <v>0</v>
      </c>
      <c r="AE14" s="95" t="s">
        <v>1464</v>
      </c>
      <c r="AF14" s="95" t="s">
        <v>9537</v>
      </c>
      <c r="AH14" s="95" t="b">
        <v>0</v>
      </c>
      <c r="AI14" s="95" t="s">
        <v>9985</v>
      </c>
      <c r="AM14" s="120">
        <v>0</v>
      </c>
      <c r="AN14" s="107">
        <v>0</v>
      </c>
      <c r="AO14" s="107">
        <v>0</v>
      </c>
      <c r="AP14" s="107" t="s">
        <v>9801</v>
      </c>
      <c r="AQ14" s="121">
        <v>0</v>
      </c>
      <c r="AR14" s="121" t="b">
        <f t="shared" si="0"/>
        <v>0</v>
      </c>
      <c r="AS14" s="121"/>
      <c r="AT14" s="121">
        <f t="shared" si="2"/>
        <v>0</v>
      </c>
      <c r="AU14" s="127">
        <f t="shared" si="3"/>
        <v>-3.4722222222222224E-4</v>
      </c>
      <c r="AV14" s="127">
        <f t="shared" si="4"/>
        <v>-1.1805555555555556E-3</v>
      </c>
      <c r="AW14" s="107">
        <f t="shared" si="5"/>
        <v>2</v>
      </c>
      <c r="AX14" s="107">
        <f t="shared" si="6"/>
        <v>15</v>
      </c>
      <c r="AY14" s="145">
        <f t="shared" si="7"/>
        <v>0</v>
      </c>
      <c r="AZ14" s="145">
        <f t="shared" si="8"/>
        <v>0</v>
      </c>
      <c r="BA14" s="145">
        <f t="shared" si="9"/>
        <v>0</v>
      </c>
      <c r="BB14" s="138">
        <f t="shared" si="10"/>
        <v>0</v>
      </c>
      <c r="BC14" s="138">
        <f t="shared" si="11"/>
        <v>1</v>
      </c>
      <c r="BD14" s="138">
        <f t="shared" si="12"/>
        <v>1</v>
      </c>
      <c r="BE14" s="138">
        <f t="shared" si="13"/>
        <v>1</v>
      </c>
      <c r="BF14" s="139">
        <f t="shared" si="14"/>
        <v>1</v>
      </c>
      <c r="BG14" s="120">
        <v>0</v>
      </c>
      <c r="BH14" s="107">
        <v>0</v>
      </c>
      <c r="BI14" s="107">
        <v>0</v>
      </c>
      <c r="BJ14" s="107" t="s">
        <v>9801</v>
      </c>
      <c r="BK14" s="121">
        <v>0</v>
      </c>
      <c r="BL14" s="121" t="b">
        <f t="shared" si="1"/>
        <v>0</v>
      </c>
      <c r="BM14" s="121"/>
      <c r="BN14" s="121">
        <f t="shared" si="15"/>
        <v>0</v>
      </c>
      <c r="BO14" s="127">
        <f t="shared" si="16"/>
        <v>-3.4722222222222224E-4</v>
      </c>
      <c r="BP14" s="127">
        <f t="shared" si="17"/>
        <v>-1.1805555555555556E-3</v>
      </c>
      <c r="BQ14" s="107">
        <f t="shared" si="18"/>
        <v>2</v>
      </c>
      <c r="BR14" s="107">
        <f t="shared" si="19"/>
        <v>15</v>
      </c>
      <c r="BS14" s="145">
        <f t="shared" si="20"/>
        <v>0</v>
      </c>
      <c r="BT14" s="145">
        <f t="shared" si="21"/>
        <v>0</v>
      </c>
      <c r="BU14" s="145">
        <f t="shared" si="22"/>
        <v>0</v>
      </c>
      <c r="BV14" s="138">
        <f t="shared" si="23"/>
        <v>0</v>
      </c>
      <c r="BW14" s="138">
        <f t="shared" si="24"/>
        <v>1</v>
      </c>
      <c r="BX14" s="138">
        <f t="shared" si="25"/>
        <v>1</v>
      </c>
      <c r="BY14" s="138">
        <f t="shared" si="26"/>
        <v>1</v>
      </c>
      <c r="BZ14" s="139">
        <f t="shared" si="27"/>
        <v>1</v>
      </c>
    </row>
    <row r="15" spans="1:78" ht="16" x14ac:dyDescent="0.25">
      <c r="A15" s="95" t="s">
        <v>1698</v>
      </c>
      <c r="B15" s="95">
        <v>517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31</v>
      </c>
      <c r="H15" s="95" t="s">
        <v>1699</v>
      </c>
      <c r="I15" s="95" t="s">
        <v>1700</v>
      </c>
      <c r="J15" s="95" t="s">
        <v>1701</v>
      </c>
      <c r="O15" s="95" t="s">
        <v>10938</v>
      </c>
      <c r="P15" s="95" t="s">
        <v>10937</v>
      </c>
      <c r="Q15" s="98">
        <v>2.6620370370370372E-4</v>
      </c>
      <c r="R15" s="98">
        <v>5.3240740740740744E-4</v>
      </c>
      <c r="S15" s="95">
        <v>0</v>
      </c>
      <c r="T15" s="95" t="s">
        <v>54</v>
      </c>
      <c r="U15" s="95" t="s">
        <v>55</v>
      </c>
      <c r="V15" s="95" t="s">
        <v>38</v>
      </c>
      <c r="Z15" s="95" t="b">
        <v>0</v>
      </c>
      <c r="AE15" s="95" t="s">
        <v>1464</v>
      </c>
      <c r="AF15" s="95" t="s">
        <v>9537</v>
      </c>
      <c r="AH15" s="95" t="b">
        <v>0</v>
      </c>
      <c r="AI15" s="95" t="s">
        <v>9987</v>
      </c>
      <c r="AM15" s="120">
        <v>5.4398148148148144E-4</v>
      </c>
      <c r="AN15" s="107">
        <v>0</v>
      </c>
      <c r="AO15" s="107">
        <v>0</v>
      </c>
      <c r="AP15" s="107" t="s">
        <v>9801</v>
      </c>
      <c r="AQ15" s="121">
        <v>0</v>
      </c>
      <c r="AR15" s="121" t="b">
        <f t="shared" si="0"/>
        <v>1</v>
      </c>
      <c r="AS15" s="121" t="b">
        <f t="shared" ref="AS15:AS20" si="28">IF(AQ15&gt;0, TRUE, FALSE)</f>
        <v>0</v>
      </c>
      <c r="AT15" s="121">
        <f t="shared" si="2"/>
        <v>5.4398148148148144E-4</v>
      </c>
      <c r="AU15" s="127">
        <f t="shared" si="3"/>
        <v>-2.6620370370370372E-4</v>
      </c>
      <c r="AV15" s="127">
        <f t="shared" si="4"/>
        <v>1.1574074074074004E-5</v>
      </c>
      <c r="AW15" s="107">
        <f t="shared" si="5"/>
        <v>0</v>
      </c>
      <c r="AX15" s="107">
        <f t="shared" si="6"/>
        <v>0</v>
      </c>
      <c r="AY15" s="145" t="e">
        <f t="shared" si="7"/>
        <v>#DIV/0!</v>
      </c>
      <c r="AZ15" s="145" t="e">
        <f t="shared" si="8"/>
        <v>#DIV/0!</v>
      </c>
      <c r="BA15" s="145">
        <f t="shared" si="9"/>
        <v>0</v>
      </c>
      <c r="BB15" s="138">
        <v>0</v>
      </c>
      <c r="BC15" s="138" t="e">
        <f t="shared" si="11"/>
        <v>#DIV/0!</v>
      </c>
      <c r="BD15" s="138" t="e">
        <f t="shared" si="12"/>
        <v>#DIV/0!</v>
      </c>
      <c r="BE15" s="138">
        <f t="shared" si="13"/>
        <v>1</v>
      </c>
      <c r="BF15" s="139">
        <v>1</v>
      </c>
      <c r="BG15" s="120">
        <v>0</v>
      </c>
      <c r="BH15" s="107">
        <v>0</v>
      </c>
      <c r="BI15" s="107">
        <v>0</v>
      </c>
      <c r="BJ15" s="107" t="s">
        <v>9801</v>
      </c>
      <c r="BK15" s="121">
        <v>0</v>
      </c>
      <c r="BL15" s="121" t="b">
        <f t="shared" si="1"/>
        <v>0</v>
      </c>
      <c r="BM15" s="121"/>
      <c r="BN15" s="121">
        <f t="shared" si="15"/>
        <v>0</v>
      </c>
      <c r="BO15" s="127">
        <f t="shared" si="16"/>
        <v>-2.6620370370370372E-4</v>
      </c>
      <c r="BP15" s="127">
        <f t="shared" si="17"/>
        <v>-5.3240740740740744E-4</v>
      </c>
      <c r="BQ15" s="107">
        <f t="shared" si="18"/>
        <v>0</v>
      </c>
      <c r="BR15" s="107">
        <f t="shared" si="19"/>
        <v>0</v>
      </c>
      <c r="BS15" s="145" t="e">
        <f t="shared" si="20"/>
        <v>#DIV/0!</v>
      </c>
      <c r="BT15" s="145" t="e">
        <f t="shared" si="21"/>
        <v>#DIV/0!</v>
      </c>
      <c r="BU15" s="145">
        <f t="shared" si="22"/>
        <v>0</v>
      </c>
      <c r="BV15" s="138">
        <v>0</v>
      </c>
      <c r="BW15" s="138" t="e">
        <f t="shared" si="24"/>
        <v>#DIV/0!</v>
      </c>
      <c r="BX15" s="138" t="e">
        <f t="shared" si="25"/>
        <v>#DIV/0!</v>
      </c>
      <c r="BY15" s="138">
        <f t="shared" si="26"/>
        <v>1</v>
      </c>
      <c r="BZ15" s="139">
        <v>1</v>
      </c>
    </row>
    <row r="16" spans="1:78" ht="16" x14ac:dyDescent="0.25">
      <c r="A16" s="95" t="s">
        <v>1769</v>
      </c>
      <c r="B16" s="95">
        <v>539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1770</v>
      </c>
      <c r="I16" s="95" t="s">
        <v>1771</v>
      </c>
      <c r="M16" s="95">
        <v>5</v>
      </c>
      <c r="N16" s="95">
        <v>15</v>
      </c>
      <c r="O16" s="95" t="s">
        <v>10936</v>
      </c>
      <c r="P16" s="95" t="s">
        <v>10936</v>
      </c>
      <c r="Q16" s="98">
        <v>1.7361111111111112E-4</v>
      </c>
      <c r="R16" s="98">
        <v>4.6296296296296293E-4</v>
      </c>
      <c r="S16" s="95">
        <v>0</v>
      </c>
      <c r="T16" s="95" t="s">
        <v>54</v>
      </c>
      <c r="U16" s="95" t="s">
        <v>55</v>
      </c>
      <c r="V16" s="95" t="s">
        <v>38</v>
      </c>
      <c r="Z16" s="95" t="b">
        <v>0</v>
      </c>
      <c r="AE16" s="95" t="s">
        <v>941</v>
      </c>
      <c r="AF16" s="95" t="s">
        <v>9534</v>
      </c>
      <c r="AH16" s="95" t="b">
        <v>0</v>
      </c>
      <c r="AI16" s="95" t="s">
        <v>10004</v>
      </c>
      <c r="AM16" s="120">
        <v>1.7361111111111112E-4</v>
      </c>
      <c r="AN16" s="107">
        <v>5</v>
      </c>
      <c r="AO16" s="107">
        <v>0</v>
      </c>
      <c r="AP16" s="107" t="b">
        <v>0</v>
      </c>
      <c r="AQ16" s="121">
        <v>1.8518518518518518E-4</v>
      </c>
      <c r="AR16" s="121" t="b">
        <f t="shared" si="0"/>
        <v>1</v>
      </c>
      <c r="AS16" s="121" t="b">
        <f t="shared" si="28"/>
        <v>1</v>
      </c>
      <c r="AT16" s="121">
        <f t="shared" si="2"/>
        <v>3.5879629629629629E-4</v>
      </c>
      <c r="AU16" s="127">
        <f t="shared" si="3"/>
        <v>1.1574074074074058E-5</v>
      </c>
      <c r="AV16" s="127">
        <f t="shared" si="4"/>
        <v>-1.0416666666666663E-4</v>
      </c>
      <c r="AW16" s="107">
        <f t="shared" si="5"/>
        <v>0</v>
      </c>
      <c r="AX16" s="107">
        <f t="shared" si="6"/>
        <v>15</v>
      </c>
      <c r="AY16" s="145">
        <f t="shared" si="7"/>
        <v>1</v>
      </c>
      <c r="AZ16" s="145">
        <f t="shared" si="8"/>
        <v>0</v>
      </c>
      <c r="BA16" s="145">
        <f t="shared" si="9"/>
        <v>1</v>
      </c>
      <c r="BB16" s="138">
        <f t="shared" si="10"/>
        <v>0.66666666666666663</v>
      </c>
      <c r="BC16" s="138">
        <f t="shared" si="11"/>
        <v>0</v>
      </c>
      <c r="BD16" s="138">
        <f t="shared" si="12"/>
        <v>1</v>
      </c>
      <c r="BE16" s="138">
        <f t="shared" si="13"/>
        <v>0</v>
      </c>
      <c r="BF16" s="139">
        <f t="shared" si="14"/>
        <v>0.33333333333333331</v>
      </c>
      <c r="BG16" s="120">
        <v>3.7037037037037035E-4</v>
      </c>
      <c r="BH16" s="107">
        <v>5</v>
      </c>
      <c r="BI16" s="107">
        <v>19</v>
      </c>
      <c r="BJ16" s="121" t="b">
        <v>0</v>
      </c>
      <c r="BK16" s="121">
        <v>7.6388888888888893E-4</v>
      </c>
      <c r="BL16" s="121" t="b">
        <f t="shared" si="1"/>
        <v>1</v>
      </c>
      <c r="BM16" s="121" t="b">
        <f t="shared" ref="BM16:BM22" si="29">IF(BK16&gt;0, TRUE, FALSE)</f>
        <v>1</v>
      </c>
      <c r="BN16" s="121">
        <f t="shared" si="15"/>
        <v>1.1342592592592593E-3</v>
      </c>
      <c r="BO16" s="127">
        <f t="shared" si="16"/>
        <v>5.9027777777777778E-4</v>
      </c>
      <c r="BP16" s="127">
        <f t="shared" si="17"/>
        <v>6.7129629629629635E-4</v>
      </c>
      <c r="BQ16" s="107">
        <f t="shared" si="18"/>
        <v>0</v>
      </c>
      <c r="BR16" s="107">
        <f t="shared" si="19"/>
        <v>4</v>
      </c>
      <c r="BS16" s="145">
        <f t="shared" si="20"/>
        <v>1</v>
      </c>
      <c r="BT16" s="145">
        <f t="shared" si="21"/>
        <v>0.73333333333333339</v>
      </c>
      <c r="BU16" s="145">
        <f t="shared" si="22"/>
        <v>1</v>
      </c>
      <c r="BV16" s="138">
        <f t="shared" si="23"/>
        <v>0.91111111111111109</v>
      </c>
      <c r="BW16" s="138">
        <f t="shared" si="24"/>
        <v>0</v>
      </c>
      <c r="BX16" s="138">
        <f t="shared" si="25"/>
        <v>0.26666666666666661</v>
      </c>
      <c r="BY16" s="138">
        <f t="shared" si="26"/>
        <v>0</v>
      </c>
      <c r="BZ16" s="139">
        <f t="shared" si="27"/>
        <v>8.8888888888888865E-2</v>
      </c>
    </row>
    <row r="17" spans="1:78" ht="16" x14ac:dyDescent="0.25">
      <c r="A17" s="95" t="s">
        <v>1885</v>
      </c>
      <c r="B17" s="95">
        <v>580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1886</v>
      </c>
      <c r="I17" s="95" t="s">
        <v>1887</v>
      </c>
      <c r="M17" s="95">
        <v>29</v>
      </c>
      <c r="N17" s="95">
        <v>16</v>
      </c>
      <c r="O17" s="95" t="s">
        <v>10935</v>
      </c>
      <c r="P17" s="95" t="s">
        <v>10934</v>
      </c>
      <c r="Q17" s="98">
        <v>1.6203703703703703E-4</v>
      </c>
      <c r="R17" s="98">
        <v>1.1458333333333333E-3</v>
      </c>
      <c r="S17" s="95">
        <v>0</v>
      </c>
      <c r="T17" s="95" t="s">
        <v>54</v>
      </c>
      <c r="U17" s="95" t="s">
        <v>55</v>
      </c>
      <c r="V17" s="95" t="s">
        <v>38</v>
      </c>
      <c r="Z17" s="95" t="b">
        <v>0</v>
      </c>
      <c r="AE17" s="95" t="s">
        <v>1826</v>
      </c>
      <c r="AF17" s="95" t="s">
        <v>9532</v>
      </c>
      <c r="AH17" s="95" t="b">
        <v>0</v>
      </c>
      <c r="AI17" s="95" t="s">
        <v>10011</v>
      </c>
      <c r="AM17" s="120">
        <v>1.9675925925925926E-4</v>
      </c>
      <c r="AN17" s="107">
        <v>0</v>
      </c>
      <c r="AO17" s="107">
        <v>0</v>
      </c>
      <c r="AP17" s="107" t="s">
        <v>9801</v>
      </c>
      <c r="AQ17" s="121">
        <v>0</v>
      </c>
      <c r="AR17" s="121" t="b">
        <f t="shared" si="0"/>
        <v>1</v>
      </c>
      <c r="AS17" s="121" t="b">
        <f t="shared" si="28"/>
        <v>0</v>
      </c>
      <c r="AT17" s="121">
        <f t="shared" si="2"/>
        <v>1.9675925925925926E-4</v>
      </c>
      <c r="AU17" s="127">
        <f t="shared" si="3"/>
        <v>-1.6203703703703703E-4</v>
      </c>
      <c r="AV17" s="127">
        <f t="shared" si="4"/>
        <v>-9.4907407407407408E-4</v>
      </c>
      <c r="AW17" s="107">
        <f t="shared" si="5"/>
        <v>29</v>
      </c>
      <c r="AX17" s="107">
        <f t="shared" si="6"/>
        <v>16</v>
      </c>
      <c r="AY17" s="145">
        <f t="shared" si="7"/>
        <v>0</v>
      </c>
      <c r="AZ17" s="145">
        <f t="shared" si="8"/>
        <v>0</v>
      </c>
      <c r="BA17" s="145">
        <f t="shared" si="9"/>
        <v>0</v>
      </c>
      <c r="BB17" s="138">
        <f t="shared" si="10"/>
        <v>0</v>
      </c>
      <c r="BC17" s="138">
        <f t="shared" si="11"/>
        <v>1</v>
      </c>
      <c r="BD17" s="138">
        <f t="shared" si="12"/>
        <v>1</v>
      </c>
      <c r="BE17" s="138">
        <f t="shared" si="13"/>
        <v>1</v>
      </c>
      <c r="BF17" s="139">
        <f t="shared" si="14"/>
        <v>1</v>
      </c>
      <c r="BG17" s="120">
        <v>7.0601851851851847E-4</v>
      </c>
      <c r="BH17" s="107">
        <v>0</v>
      </c>
      <c r="BI17" s="107">
        <v>0</v>
      </c>
      <c r="BJ17" s="107" t="s">
        <v>9801</v>
      </c>
      <c r="BK17" s="121">
        <v>0</v>
      </c>
      <c r="BL17" s="121" t="b">
        <f t="shared" si="1"/>
        <v>1</v>
      </c>
      <c r="BM17" s="121" t="b">
        <f t="shared" si="29"/>
        <v>0</v>
      </c>
      <c r="BN17" s="121">
        <f t="shared" si="15"/>
        <v>7.0601851851851847E-4</v>
      </c>
      <c r="BO17" s="127">
        <f t="shared" si="16"/>
        <v>-1.6203703703703703E-4</v>
      </c>
      <c r="BP17" s="127">
        <f t="shared" si="17"/>
        <v>-4.3981481481481486E-4</v>
      </c>
      <c r="BQ17" s="107">
        <f t="shared" si="18"/>
        <v>29</v>
      </c>
      <c r="BR17" s="107">
        <f t="shared" si="19"/>
        <v>16</v>
      </c>
      <c r="BS17" s="145">
        <f t="shared" si="20"/>
        <v>0</v>
      </c>
      <c r="BT17" s="145">
        <f t="shared" si="21"/>
        <v>0</v>
      </c>
      <c r="BU17" s="145">
        <f t="shared" si="22"/>
        <v>0</v>
      </c>
      <c r="BV17" s="138">
        <f t="shared" si="23"/>
        <v>0</v>
      </c>
      <c r="BW17" s="138">
        <f t="shared" si="24"/>
        <v>1</v>
      </c>
      <c r="BX17" s="138">
        <f t="shared" si="25"/>
        <v>1</v>
      </c>
      <c r="BY17" s="138">
        <f t="shared" si="26"/>
        <v>1</v>
      </c>
      <c r="BZ17" s="139">
        <f t="shared" si="27"/>
        <v>1</v>
      </c>
    </row>
    <row r="18" spans="1:78" ht="16" x14ac:dyDescent="0.25">
      <c r="A18" s="95" t="s">
        <v>1963</v>
      </c>
      <c r="B18" s="95">
        <v>607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149</v>
      </c>
      <c r="I18" s="95" t="s">
        <v>1964</v>
      </c>
      <c r="M18" s="95">
        <v>5</v>
      </c>
      <c r="N18" s="95">
        <v>15</v>
      </c>
      <c r="O18" s="95" t="s">
        <v>10933</v>
      </c>
      <c r="P18" s="95" t="s">
        <v>10933</v>
      </c>
      <c r="Q18" s="98">
        <v>2.199074074074074E-4</v>
      </c>
      <c r="R18" s="98">
        <v>2.8935185185185189E-4</v>
      </c>
      <c r="S18" s="95">
        <v>0</v>
      </c>
      <c r="T18" s="95" t="s">
        <v>54</v>
      </c>
      <c r="U18" s="95" t="s">
        <v>55</v>
      </c>
      <c r="V18" s="95" t="s">
        <v>38</v>
      </c>
      <c r="Z18" s="95" t="b">
        <v>0</v>
      </c>
      <c r="AE18" s="95" t="s">
        <v>1945</v>
      </c>
      <c r="AF18" s="95" t="s">
        <v>9530</v>
      </c>
      <c r="AH18" s="95" t="b">
        <v>0</v>
      </c>
      <c r="AI18" s="20" t="s">
        <v>6346</v>
      </c>
      <c r="AM18" s="120">
        <v>1.9675925925925926E-4</v>
      </c>
      <c r="AN18" s="107">
        <v>0</v>
      </c>
      <c r="AO18" s="107">
        <v>0</v>
      </c>
      <c r="AP18" s="107" t="s">
        <v>9801</v>
      </c>
      <c r="AQ18" s="121">
        <v>0</v>
      </c>
      <c r="AR18" s="121" t="b">
        <f t="shared" si="0"/>
        <v>1</v>
      </c>
      <c r="AS18" s="121" t="b">
        <f t="shared" si="28"/>
        <v>0</v>
      </c>
      <c r="AT18" s="121">
        <f t="shared" si="2"/>
        <v>1.9675925925925926E-4</v>
      </c>
      <c r="AU18" s="127">
        <f t="shared" si="3"/>
        <v>-2.199074074074074E-4</v>
      </c>
      <c r="AV18" s="127">
        <f t="shared" si="4"/>
        <v>-9.2592592592592629E-5</v>
      </c>
      <c r="AW18" s="107">
        <f t="shared" si="5"/>
        <v>5</v>
      </c>
      <c r="AX18" s="107">
        <f t="shared" si="6"/>
        <v>15</v>
      </c>
      <c r="AY18" s="145">
        <f t="shared" si="7"/>
        <v>0</v>
      </c>
      <c r="AZ18" s="145">
        <f t="shared" si="8"/>
        <v>0</v>
      </c>
      <c r="BA18" s="145">
        <f t="shared" si="9"/>
        <v>0</v>
      </c>
      <c r="BB18" s="138">
        <f t="shared" si="10"/>
        <v>0</v>
      </c>
      <c r="BC18" s="138">
        <f t="shared" si="11"/>
        <v>1</v>
      </c>
      <c r="BD18" s="138">
        <f t="shared" si="12"/>
        <v>1</v>
      </c>
      <c r="BE18" s="138">
        <f t="shared" si="13"/>
        <v>1</v>
      </c>
      <c r="BF18" s="139">
        <f t="shared" si="14"/>
        <v>1</v>
      </c>
      <c r="BG18" s="120">
        <v>4.6296296296296293E-4</v>
      </c>
      <c r="BH18" s="107">
        <v>5</v>
      </c>
      <c r="BI18" s="107">
        <v>5</v>
      </c>
      <c r="BJ18" s="107" t="b">
        <v>0</v>
      </c>
      <c r="BK18" s="121">
        <v>7.0601851851851847E-4</v>
      </c>
      <c r="BL18" s="121" t="b">
        <f t="shared" si="1"/>
        <v>1</v>
      </c>
      <c r="BM18" s="121" t="b">
        <f t="shared" si="29"/>
        <v>1</v>
      </c>
      <c r="BN18" s="121">
        <f t="shared" si="15"/>
        <v>1.1689814814814813E-3</v>
      </c>
      <c r="BO18" s="127">
        <f t="shared" si="16"/>
        <v>4.861111111111111E-4</v>
      </c>
      <c r="BP18" s="127">
        <f t="shared" si="17"/>
        <v>8.7962962962962951E-4</v>
      </c>
      <c r="BQ18" s="107">
        <f t="shared" si="18"/>
        <v>0</v>
      </c>
      <c r="BR18" s="107">
        <f t="shared" si="19"/>
        <v>10</v>
      </c>
      <c r="BS18" s="145">
        <f t="shared" si="20"/>
        <v>1</v>
      </c>
      <c r="BT18" s="145">
        <f t="shared" si="21"/>
        <v>0.33333333333333326</v>
      </c>
      <c r="BU18" s="145">
        <f t="shared" si="22"/>
        <v>1</v>
      </c>
      <c r="BV18" s="138">
        <f t="shared" si="23"/>
        <v>0.77777777777777768</v>
      </c>
      <c r="BW18" s="138">
        <f t="shared" si="24"/>
        <v>0</v>
      </c>
      <c r="BX18" s="138">
        <f t="shared" si="25"/>
        <v>0.66666666666666674</v>
      </c>
      <c r="BY18" s="138">
        <f t="shared" si="26"/>
        <v>0</v>
      </c>
      <c r="BZ18" s="139">
        <f t="shared" si="27"/>
        <v>0.22222222222222224</v>
      </c>
    </row>
    <row r="19" spans="1:78" ht="16" x14ac:dyDescent="0.25">
      <c r="A19" s="95" t="s">
        <v>2096</v>
      </c>
      <c r="B19" s="95">
        <v>647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2097</v>
      </c>
      <c r="I19" s="95" t="s">
        <v>2098</v>
      </c>
      <c r="M19" s="95">
        <v>38</v>
      </c>
      <c r="N19" s="95">
        <v>16</v>
      </c>
      <c r="O19" s="95" t="s">
        <v>10932</v>
      </c>
      <c r="P19" s="95" t="s">
        <v>10931</v>
      </c>
      <c r="Q19" s="98">
        <v>5.2083333333333333E-4</v>
      </c>
      <c r="R19" s="98">
        <v>5.9027777777777778E-4</v>
      </c>
      <c r="S19" s="95">
        <v>0</v>
      </c>
      <c r="T19" s="95" t="s">
        <v>54</v>
      </c>
      <c r="U19" s="95" t="s">
        <v>55</v>
      </c>
      <c r="V19" s="95" t="s">
        <v>38</v>
      </c>
      <c r="Z19" s="95" t="b">
        <v>0</v>
      </c>
      <c r="AE19" s="95" t="s">
        <v>2025</v>
      </c>
      <c r="AF19" s="95" t="s">
        <v>9522</v>
      </c>
      <c r="AH19" s="95" t="b">
        <v>0</v>
      </c>
      <c r="AI19" s="95" t="s">
        <v>9586</v>
      </c>
      <c r="AM19" s="120">
        <v>3.2407407407407406E-4</v>
      </c>
      <c r="AN19" s="107">
        <v>0</v>
      </c>
      <c r="AO19" s="107">
        <v>0</v>
      </c>
      <c r="AP19" s="107" t="s">
        <v>9801</v>
      </c>
      <c r="AQ19" s="121">
        <v>0</v>
      </c>
      <c r="AR19" s="121" t="b">
        <f t="shared" si="0"/>
        <v>1</v>
      </c>
      <c r="AS19" s="121" t="b">
        <f t="shared" si="28"/>
        <v>0</v>
      </c>
      <c r="AT19" s="121">
        <f t="shared" si="2"/>
        <v>3.2407407407407406E-4</v>
      </c>
      <c r="AU19" s="127">
        <f t="shared" si="3"/>
        <v>-5.2083333333333333E-4</v>
      </c>
      <c r="AV19" s="127">
        <f t="shared" si="4"/>
        <v>-2.6620370370370372E-4</v>
      </c>
      <c r="AW19" s="107">
        <f t="shared" si="5"/>
        <v>38</v>
      </c>
      <c r="AX19" s="107">
        <f t="shared" si="6"/>
        <v>16</v>
      </c>
      <c r="AY19" s="145">
        <f t="shared" si="7"/>
        <v>0</v>
      </c>
      <c r="AZ19" s="145">
        <f t="shared" si="8"/>
        <v>0</v>
      </c>
      <c r="BA19" s="145">
        <f t="shared" si="9"/>
        <v>0</v>
      </c>
      <c r="BB19" s="138">
        <f t="shared" si="10"/>
        <v>0</v>
      </c>
      <c r="BC19" s="138">
        <f t="shared" si="11"/>
        <v>1</v>
      </c>
      <c r="BD19" s="138">
        <f t="shared" si="12"/>
        <v>1</v>
      </c>
      <c r="BE19" s="138">
        <f t="shared" si="13"/>
        <v>1</v>
      </c>
      <c r="BF19" s="139">
        <f t="shared" si="14"/>
        <v>1</v>
      </c>
      <c r="BG19" s="120">
        <v>4.7453703703703704E-4</v>
      </c>
      <c r="BH19" s="107">
        <v>26</v>
      </c>
      <c r="BI19" s="107">
        <v>22</v>
      </c>
      <c r="BJ19" s="107" t="b">
        <v>0</v>
      </c>
      <c r="BK19" s="121">
        <v>7.6388888888888893E-4</v>
      </c>
      <c r="BL19" s="121" t="b">
        <f t="shared" si="1"/>
        <v>1</v>
      </c>
      <c r="BM19" s="121" t="b">
        <f t="shared" si="29"/>
        <v>1</v>
      </c>
      <c r="BN19" s="121">
        <f t="shared" si="15"/>
        <v>1.238425925925926E-3</v>
      </c>
      <c r="BO19" s="127">
        <f t="shared" si="16"/>
        <v>2.430555555555556E-4</v>
      </c>
      <c r="BP19" s="127">
        <f t="shared" si="17"/>
        <v>6.4814814814814824E-4</v>
      </c>
      <c r="BQ19" s="107">
        <f t="shared" si="18"/>
        <v>12</v>
      </c>
      <c r="BR19" s="107">
        <f t="shared" si="19"/>
        <v>6</v>
      </c>
      <c r="BS19" s="145">
        <f t="shared" si="20"/>
        <v>0.68421052631578949</v>
      </c>
      <c r="BT19" s="145">
        <f t="shared" si="21"/>
        <v>0.625</v>
      </c>
      <c r="BU19" s="145">
        <f t="shared" si="22"/>
        <v>1</v>
      </c>
      <c r="BV19" s="138">
        <f t="shared" si="23"/>
        <v>0.76973684210526316</v>
      </c>
      <c r="BW19" s="138">
        <f t="shared" si="24"/>
        <v>0.31578947368421051</v>
      </c>
      <c r="BX19" s="138">
        <f t="shared" si="25"/>
        <v>0.375</v>
      </c>
      <c r="BY19" s="138">
        <f t="shared" si="26"/>
        <v>0</v>
      </c>
      <c r="BZ19" s="139">
        <f t="shared" si="27"/>
        <v>0.23026315789473684</v>
      </c>
    </row>
    <row r="20" spans="1:78" ht="16" x14ac:dyDescent="0.25">
      <c r="A20" s="95" t="s">
        <v>2175</v>
      </c>
      <c r="B20" s="95">
        <v>671</v>
      </c>
      <c r="C20" s="95" t="b">
        <v>0</v>
      </c>
      <c r="D20" s="95" t="b">
        <v>0</v>
      </c>
      <c r="E20" s="95" t="b">
        <v>0</v>
      </c>
      <c r="F20" s="95" t="b">
        <v>0</v>
      </c>
      <c r="G20" s="95" t="s">
        <v>31</v>
      </c>
      <c r="H20" s="95" t="s">
        <v>2176</v>
      </c>
      <c r="I20" s="95" t="s">
        <v>2177</v>
      </c>
      <c r="M20" s="95">
        <v>7</v>
      </c>
      <c r="N20" s="95">
        <v>17</v>
      </c>
      <c r="O20" s="95" t="s">
        <v>10930</v>
      </c>
      <c r="P20" s="95" t="s">
        <v>10929</v>
      </c>
      <c r="Q20" s="98">
        <v>3.5879629629629635E-4</v>
      </c>
      <c r="R20" s="98">
        <v>4.5138888888888892E-4</v>
      </c>
      <c r="S20" s="95">
        <v>0</v>
      </c>
      <c r="T20" s="95" t="s">
        <v>54</v>
      </c>
      <c r="U20" s="95" t="s">
        <v>55</v>
      </c>
      <c r="V20" s="95" t="s">
        <v>38</v>
      </c>
      <c r="Z20" s="95" t="b">
        <v>0</v>
      </c>
      <c r="AE20" s="95" t="s">
        <v>2025</v>
      </c>
      <c r="AF20" s="95" t="s">
        <v>9522</v>
      </c>
      <c r="AH20" s="95" t="b">
        <v>0</v>
      </c>
      <c r="AI20" s="95" t="s">
        <v>10034</v>
      </c>
      <c r="AJ20" s="95" t="s">
        <v>10035</v>
      </c>
      <c r="AK20" s="95" t="s">
        <v>10036</v>
      </c>
      <c r="AM20" s="120">
        <v>1.8518518518518518E-4</v>
      </c>
      <c r="AN20" s="107">
        <v>0</v>
      </c>
      <c r="AO20" s="107">
        <v>0</v>
      </c>
      <c r="AP20" s="107" t="s">
        <v>9801</v>
      </c>
      <c r="AQ20" s="121">
        <v>0</v>
      </c>
      <c r="AR20" s="121" t="b">
        <f t="shared" si="0"/>
        <v>1</v>
      </c>
      <c r="AS20" s="121" t="b">
        <f t="shared" si="28"/>
        <v>0</v>
      </c>
      <c r="AT20" s="121">
        <f t="shared" si="2"/>
        <v>1.8518518518518518E-4</v>
      </c>
      <c r="AU20" s="127">
        <f t="shared" si="3"/>
        <v>-3.5879629629629635E-4</v>
      </c>
      <c r="AV20" s="127">
        <f t="shared" si="4"/>
        <v>-2.6620370370370372E-4</v>
      </c>
      <c r="AW20" s="107">
        <f t="shared" si="5"/>
        <v>7</v>
      </c>
      <c r="AX20" s="107">
        <f t="shared" si="6"/>
        <v>17</v>
      </c>
      <c r="AY20" s="145">
        <f t="shared" si="7"/>
        <v>0</v>
      </c>
      <c r="AZ20" s="145">
        <f t="shared" si="8"/>
        <v>0</v>
      </c>
      <c r="BA20" s="145">
        <f t="shared" si="9"/>
        <v>0</v>
      </c>
      <c r="BB20" s="138">
        <f t="shared" si="10"/>
        <v>0</v>
      </c>
      <c r="BC20" s="138">
        <f t="shared" si="11"/>
        <v>1</v>
      </c>
      <c r="BD20" s="138">
        <f t="shared" si="12"/>
        <v>1</v>
      </c>
      <c r="BE20" s="138">
        <f t="shared" si="13"/>
        <v>1</v>
      </c>
      <c r="BF20" s="139">
        <f t="shared" si="14"/>
        <v>1</v>
      </c>
      <c r="BG20" s="120">
        <v>5.2083333333333333E-4</v>
      </c>
      <c r="BH20" s="107">
        <v>0</v>
      </c>
      <c r="BI20" s="107">
        <v>0</v>
      </c>
      <c r="BJ20" s="107" t="s">
        <v>9801</v>
      </c>
      <c r="BK20" s="121">
        <v>0</v>
      </c>
      <c r="BL20" s="121" t="b">
        <f t="shared" si="1"/>
        <v>1</v>
      </c>
      <c r="BM20" s="121" t="b">
        <f t="shared" si="29"/>
        <v>0</v>
      </c>
      <c r="BN20" s="121">
        <f t="shared" si="15"/>
        <v>5.2083333333333333E-4</v>
      </c>
      <c r="BO20" s="127">
        <f t="shared" si="16"/>
        <v>-3.5879629629629635E-4</v>
      </c>
      <c r="BP20" s="127">
        <f t="shared" si="17"/>
        <v>6.9444444444444404E-5</v>
      </c>
      <c r="BQ20" s="107">
        <f t="shared" si="18"/>
        <v>7</v>
      </c>
      <c r="BR20" s="107">
        <f t="shared" si="19"/>
        <v>17</v>
      </c>
      <c r="BS20" s="145">
        <f t="shared" si="20"/>
        <v>0</v>
      </c>
      <c r="BT20" s="145">
        <f t="shared" si="21"/>
        <v>0</v>
      </c>
      <c r="BU20" s="145">
        <f t="shared" si="22"/>
        <v>0</v>
      </c>
      <c r="BV20" s="138">
        <f t="shared" si="23"/>
        <v>0</v>
      </c>
      <c r="BW20" s="138">
        <f t="shared" si="24"/>
        <v>1</v>
      </c>
      <c r="BX20" s="138">
        <f t="shared" si="25"/>
        <v>1</v>
      </c>
      <c r="BY20" s="138">
        <f t="shared" si="26"/>
        <v>1</v>
      </c>
      <c r="BZ20" s="139">
        <f t="shared" si="27"/>
        <v>1</v>
      </c>
    </row>
    <row r="21" spans="1:78" ht="16" x14ac:dyDescent="0.25">
      <c r="A21" s="95" t="s">
        <v>2257</v>
      </c>
      <c r="B21" s="95">
        <v>697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2258</v>
      </c>
      <c r="I21" s="95" t="s">
        <v>2259</v>
      </c>
      <c r="J21" s="95" t="s">
        <v>2260</v>
      </c>
      <c r="M21" s="95">
        <v>5</v>
      </c>
      <c r="N21" s="95">
        <v>6</v>
      </c>
      <c r="O21" s="95" t="s">
        <v>10928</v>
      </c>
      <c r="P21" s="95" t="s">
        <v>10928</v>
      </c>
      <c r="Q21" s="98">
        <v>4.5138888888888892E-4</v>
      </c>
      <c r="R21" s="98">
        <v>1.5624999999999999E-3</v>
      </c>
      <c r="S21" s="95">
        <v>0</v>
      </c>
      <c r="T21" s="95" t="s">
        <v>54</v>
      </c>
      <c r="U21" s="95" t="s">
        <v>55</v>
      </c>
      <c r="V21" s="95" t="s">
        <v>38</v>
      </c>
      <c r="Z21" s="95" t="b">
        <v>1</v>
      </c>
      <c r="AE21" s="95" t="s">
        <v>2025</v>
      </c>
      <c r="AF21" s="95" t="s">
        <v>9522</v>
      </c>
      <c r="AH21" s="95" t="b">
        <v>0</v>
      </c>
      <c r="AI21" s="95" t="s">
        <v>10043</v>
      </c>
      <c r="AM21" s="120">
        <v>0</v>
      </c>
      <c r="AN21" s="107">
        <v>0</v>
      </c>
      <c r="AO21" s="107">
        <v>0</v>
      </c>
      <c r="AP21" s="107" t="s">
        <v>9801</v>
      </c>
      <c r="AQ21" s="121">
        <v>0</v>
      </c>
      <c r="AR21" s="121" t="b">
        <f t="shared" si="0"/>
        <v>0</v>
      </c>
      <c r="AS21" s="121"/>
      <c r="AT21" s="121">
        <f t="shared" si="2"/>
        <v>0</v>
      </c>
      <c r="AU21" s="127">
        <f t="shared" si="3"/>
        <v>-4.5138888888888892E-4</v>
      </c>
      <c r="AV21" s="127">
        <f t="shared" si="4"/>
        <v>-1.5624999999999999E-3</v>
      </c>
      <c r="AW21" s="107">
        <f t="shared" si="5"/>
        <v>5</v>
      </c>
      <c r="AX21" s="107">
        <f t="shared" si="6"/>
        <v>6</v>
      </c>
      <c r="AY21" s="145">
        <f t="shared" si="7"/>
        <v>0</v>
      </c>
      <c r="AZ21" s="145">
        <f t="shared" si="8"/>
        <v>0</v>
      </c>
      <c r="BA21" s="145">
        <f t="shared" si="9"/>
        <v>0</v>
      </c>
      <c r="BB21" s="138">
        <f t="shared" si="10"/>
        <v>0</v>
      </c>
      <c r="BC21" s="138">
        <f t="shared" si="11"/>
        <v>1</v>
      </c>
      <c r="BD21" s="138">
        <f t="shared" si="12"/>
        <v>1</v>
      </c>
      <c r="BE21" s="138">
        <f t="shared" si="13"/>
        <v>1</v>
      </c>
      <c r="BF21" s="139">
        <f t="shared" si="14"/>
        <v>1</v>
      </c>
      <c r="BG21" s="120">
        <v>5.3240740740740744E-4</v>
      </c>
      <c r="BH21" s="107">
        <v>5</v>
      </c>
      <c r="BI21" s="107">
        <v>20</v>
      </c>
      <c r="BJ21" s="107" t="b">
        <v>1</v>
      </c>
      <c r="BK21" s="121">
        <v>5.5555555555555556E-4</v>
      </c>
      <c r="BL21" s="121" t="b">
        <f t="shared" si="1"/>
        <v>1</v>
      </c>
      <c r="BM21" s="121" t="b">
        <f t="shared" si="29"/>
        <v>1</v>
      </c>
      <c r="BN21" s="121">
        <f t="shared" si="15"/>
        <v>1.0879629629629629E-3</v>
      </c>
      <c r="BO21" s="127">
        <f t="shared" si="16"/>
        <v>1.0416666666666663E-4</v>
      </c>
      <c r="BP21" s="127">
        <f t="shared" si="17"/>
        <v>-4.7453703703703698E-4</v>
      </c>
      <c r="BQ21" s="107">
        <f t="shared" si="18"/>
        <v>0</v>
      </c>
      <c r="BR21" s="107">
        <f t="shared" si="19"/>
        <v>14</v>
      </c>
      <c r="BS21" s="145">
        <f t="shared" si="20"/>
        <v>1</v>
      </c>
      <c r="BT21" s="145">
        <f t="shared" si="21"/>
        <v>-1.3333333333333335</v>
      </c>
      <c r="BU21" s="145">
        <f t="shared" si="22"/>
        <v>1</v>
      </c>
      <c r="BV21" s="138">
        <f t="shared" si="23"/>
        <v>0.22222222222222218</v>
      </c>
      <c r="BW21" s="138">
        <f t="shared" si="24"/>
        <v>0</v>
      </c>
      <c r="BX21" s="138">
        <f t="shared" si="25"/>
        <v>2.3333333333333335</v>
      </c>
      <c r="BY21" s="138">
        <f t="shared" si="26"/>
        <v>0</v>
      </c>
      <c r="BZ21" s="139">
        <f t="shared" si="27"/>
        <v>0.77777777777777779</v>
      </c>
    </row>
    <row r="22" spans="1:78" ht="16" x14ac:dyDescent="0.25">
      <c r="A22" s="95" t="s">
        <v>2297</v>
      </c>
      <c r="B22" s="95">
        <v>709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2298</v>
      </c>
      <c r="I22" s="95" t="s">
        <v>2299</v>
      </c>
      <c r="M22" s="95">
        <v>22</v>
      </c>
      <c r="N22" s="95">
        <v>12</v>
      </c>
      <c r="O22" s="95" t="s">
        <v>10927</v>
      </c>
      <c r="P22" s="95" t="s">
        <v>10926</v>
      </c>
      <c r="Q22" s="98">
        <v>7.7546296296296304E-4</v>
      </c>
      <c r="R22" s="98">
        <v>1.2152777777777778E-3</v>
      </c>
      <c r="S22" s="95">
        <v>0</v>
      </c>
      <c r="T22" s="95" t="s">
        <v>54</v>
      </c>
      <c r="U22" s="95" t="s">
        <v>55</v>
      </c>
      <c r="V22" s="95" t="s">
        <v>38</v>
      </c>
      <c r="Z22" s="95" t="b">
        <v>0</v>
      </c>
      <c r="AE22" s="95" t="s">
        <v>2025</v>
      </c>
      <c r="AF22" s="95" t="s">
        <v>9522</v>
      </c>
      <c r="AH22" s="95" t="b">
        <v>0</v>
      </c>
      <c r="AI22" s="95" t="s">
        <v>10049</v>
      </c>
      <c r="AM22" s="120">
        <v>3.4722222222222224E-4</v>
      </c>
      <c r="AN22" s="107">
        <v>0</v>
      </c>
      <c r="AO22" s="107">
        <v>0</v>
      </c>
      <c r="AP22" s="107" t="s">
        <v>9801</v>
      </c>
      <c r="AQ22" s="121">
        <v>0</v>
      </c>
      <c r="AR22" s="121" t="b">
        <f t="shared" si="0"/>
        <v>1</v>
      </c>
      <c r="AS22" s="121" t="b">
        <f>IF(AQ22&gt;0, TRUE, FALSE)</f>
        <v>0</v>
      </c>
      <c r="AT22" s="121">
        <f t="shared" si="2"/>
        <v>3.4722222222222224E-4</v>
      </c>
      <c r="AU22" s="127">
        <f t="shared" si="3"/>
        <v>-7.7546296296296304E-4</v>
      </c>
      <c r="AV22" s="127">
        <f t="shared" si="4"/>
        <v>-8.6805555555555551E-4</v>
      </c>
      <c r="AW22" s="107">
        <f t="shared" si="5"/>
        <v>22</v>
      </c>
      <c r="AX22" s="107">
        <f t="shared" si="6"/>
        <v>12</v>
      </c>
      <c r="AY22" s="145">
        <f t="shared" si="7"/>
        <v>0</v>
      </c>
      <c r="AZ22" s="145">
        <f t="shared" si="8"/>
        <v>0</v>
      </c>
      <c r="BA22" s="145">
        <f t="shared" si="9"/>
        <v>0</v>
      </c>
      <c r="BB22" s="138">
        <f t="shared" si="10"/>
        <v>0</v>
      </c>
      <c r="BC22" s="138">
        <f t="shared" si="11"/>
        <v>1</v>
      </c>
      <c r="BD22" s="138">
        <f t="shared" si="12"/>
        <v>1</v>
      </c>
      <c r="BE22" s="138">
        <f t="shared" si="13"/>
        <v>1</v>
      </c>
      <c r="BF22" s="139">
        <f t="shared" si="14"/>
        <v>1</v>
      </c>
      <c r="BG22" s="120">
        <v>5.5555555555555556E-4</v>
      </c>
      <c r="BH22" s="107">
        <v>0</v>
      </c>
      <c r="BI22" s="107">
        <v>0</v>
      </c>
      <c r="BJ22" s="107" t="s">
        <v>9801</v>
      </c>
      <c r="BK22" s="121">
        <v>0</v>
      </c>
      <c r="BL22" s="121" t="b">
        <f t="shared" si="1"/>
        <v>1</v>
      </c>
      <c r="BM22" s="121" t="b">
        <f t="shared" si="29"/>
        <v>0</v>
      </c>
      <c r="BN22" s="121">
        <f t="shared" si="15"/>
        <v>5.5555555555555556E-4</v>
      </c>
      <c r="BO22" s="127">
        <f t="shared" si="16"/>
        <v>-7.7546296296296304E-4</v>
      </c>
      <c r="BP22" s="127">
        <f t="shared" si="17"/>
        <v>-6.5972222222222224E-4</v>
      </c>
      <c r="BQ22" s="107">
        <f t="shared" si="18"/>
        <v>22</v>
      </c>
      <c r="BR22" s="107">
        <f t="shared" si="19"/>
        <v>12</v>
      </c>
      <c r="BS22" s="145">
        <f t="shared" si="20"/>
        <v>0</v>
      </c>
      <c r="BT22" s="145">
        <f t="shared" si="21"/>
        <v>0</v>
      </c>
      <c r="BU22" s="145">
        <f t="shared" si="22"/>
        <v>0</v>
      </c>
      <c r="BV22" s="138">
        <f t="shared" si="23"/>
        <v>0</v>
      </c>
      <c r="BW22" s="138">
        <f t="shared" si="24"/>
        <v>1</v>
      </c>
      <c r="BX22" s="138">
        <f t="shared" si="25"/>
        <v>1</v>
      </c>
      <c r="BY22" s="138">
        <f t="shared" si="26"/>
        <v>1</v>
      </c>
      <c r="BZ22" s="139">
        <f t="shared" si="27"/>
        <v>1</v>
      </c>
    </row>
    <row r="23" spans="1:78" ht="16" x14ac:dyDescent="0.25">
      <c r="A23" s="95" t="s">
        <v>2313</v>
      </c>
      <c r="B23" s="95">
        <v>714</v>
      </c>
      <c r="C23" s="95" t="b">
        <v>0</v>
      </c>
      <c r="D23" s="95" t="b">
        <v>0</v>
      </c>
      <c r="E23" s="95" t="b">
        <v>0</v>
      </c>
      <c r="F23" s="95" t="b">
        <v>0</v>
      </c>
      <c r="G23" s="95" t="s">
        <v>31</v>
      </c>
      <c r="H23" s="95" t="s">
        <v>2314</v>
      </c>
      <c r="I23" s="95" t="s">
        <v>2315</v>
      </c>
      <c r="M23" s="95">
        <v>14</v>
      </c>
      <c r="N23" s="95">
        <v>17</v>
      </c>
      <c r="O23" s="95" t="s">
        <v>10925</v>
      </c>
      <c r="P23" s="95" t="s">
        <v>10924</v>
      </c>
      <c r="Q23" s="98">
        <v>3.0092592592592595E-4</v>
      </c>
      <c r="R23" s="98">
        <v>3.4722222222222224E-4</v>
      </c>
      <c r="S23" s="95">
        <v>0</v>
      </c>
      <c r="T23" s="95" t="s">
        <v>54</v>
      </c>
      <c r="U23" s="95" t="s">
        <v>55</v>
      </c>
      <c r="V23" s="95" t="s">
        <v>38</v>
      </c>
      <c r="Z23" s="95" t="b">
        <v>0</v>
      </c>
      <c r="AE23" s="95" t="s">
        <v>2025</v>
      </c>
      <c r="AF23" s="95" t="s">
        <v>9522</v>
      </c>
      <c r="AH23" s="95" t="b">
        <v>0</v>
      </c>
      <c r="AI23" s="95" t="s">
        <v>10054</v>
      </c>
      <c r="AM23" s="120">
        <v>4.3981481481481481E-4</v>
      </c>
      <c r="AN23" s="107">
        <v>0</v>
      </c>
      <c r="AO23" s="107">
        <v>0</v>
      </c>
      <c r="AP23" s="107" t="s">
        <v>9801</v>
      </c>
      <c r="AQ23" s="121">
        <v>0</v>
      </c>
      <c r="AR23" s="121" t="b">
        <f t="shared" si="0"/>
        <v>1</v>
      </c>
      <c r="AS23" s="121" t="b">
        <f>IF(AQ23&gt;0, TRUE, FALSE)</f>
        <v>0</v>
      </c>
      <c r="AT23" s="121">
        <f t="shared" si="2"/>
        <v>4.3981481481481481E-4</v>
      </c>
      <c r="AU23" s="127">
        <f t="shared" si="3"/>
        <v>-3.0092592592592595E-4</v>
      </c>
      <c r="AV23" s="127">
        <f t="shared" si="4"/>
        <v>9.2592592592592574E-5</v>
      </c>
      <c r="AW23" s="107">
        <f t="shared" si="5"/>
        <v>14</v>
      </c>
      <c r="AX23" s="107">
        <f t="shared" si="6"/>
        <v>17</v>
      </c>
      <c r="AY23" s="145">
        <f t="shared" si="7"/>
        <v>0</v>
      </c>
      <c r="AZ23" s="145">
        <f t="shared" si="8"/>
        <v>0</v>
      </c>
      <c r="BA23" s="145">
        <f t="shared" si="9"/>
        <v>0</v>
      </c>
      <c r="BB23" s="138">
        <f t="shared" si="10"/>
        <v>0</v>
      </c>
      <c r="BC23" s="138">
        <f t="shared" si="11"/>
        <v>1</v>
      </c>
      <c r="BD23" s="138">
        <f t="shared" si="12"/>
        <v>1</v>
      </c>
      <c r="BE23" s="138">
        <f t="shared" si="13"/>
        <v>1</v>
      </c>
      <c r="BF23" s="139">
        <f t="shared" si="14"/>
        <v>1</v>
      </c>
      <c r="BG23" s="120">
        <v>0</v>
      </c>
      <c r="BH23" s="107">
        <v>0</v>
      </c>
      <c r="BI23" s="107">
        <v>0</v>
      </c>
      <c r="BJ23" s="107" t="s">
        <v>9801</v>
      </c>
      <c r="BK23" s="121">
        <v>0</v>
      </c>
      <c r="BL23" s="121" t="b">
        <f t="shared" si="1"/>
        <v>0</v>
      </c>
      <c r="BM23" s="121"/>
      <c r="BN23" s="121">
        <f t="shared" si="15"/>
        <v>0</v>
      </c>
      <c r="BO23" s="127">
        <f t="shared" si="16"/>
        <v>-3.0092592592592595E-4</v>
      </c>
      <c r="BP23" s="127">
        <f t="shared" si="17"/>
        <v>-3.4722222222222224E-4</v>
      </c>
      <c r="BQ23" s="107">
        <f t="shared" si="18"/>
        <v>14</v>
      </c>
      <c r="BR23" s="107">
        <f t="shared" si="19"/>
        <v>17</v>
      </c>
      <c r="BS23" s="145">
        <f t="shared" si="20"/>
        <v>0</v>
      </c>
      <c r="BT23" s="145">
        <f t="shared" si="21"/>
        <v>0</v>
      </c>
      <c r="BU23" s="145">
        <f t="shared" si="22"/>
        <v>0</v>
      </c>
      <c r="BV23" s="138">
        <f t="shared" si="23"/>
        <v>0</v>
      </c>
      <c r="BW23" s="138">
        <f t="shared" si="24"/>
        <v>1</v>
      </c>
      <c r="BX23" s="138">
        <f t="shared" si="25"/>
        <v>1</v>
      </c>
      <c r="BY23" s="138">
        <f t="shared" si="26"/>
        <v>1</v>
      </c>
      <c r="BZ23" s="139">
        <f t="shared" si="27"/>
        <v>1</v>
      </c>
    </row>
    <row r="24" spans="1:78" ht="16" x14ac:dyDescent="0.25">
      <c r="A24" s="95" t="s">
        <v>2320</v>
      </c>
      <c r="B24" s="95">
        <v>716</v>
      </c>
      <c r="C24" s="95" t="b">
        <v>0</v>
      </c>
      <c r="D24" s="95" t="b">
        <v>0</v>
      </c>
      <c r="E24" s="95" t="b">
        <v>0</v>
      </c>
      <c r="F24" s="95" t="b">
        <v>0</v>
      </c>
      <c r="G24" s="95" t="s">
        <v>31</v>
      </c>
      <c r="H24" s="95" t="s">
        <v>2321</v>
      </c>
      <c r="I24" s="95" t="s">
        <v>2322</v>
      </c>
      <c r="M24" s="95">
        <v>6</v>
      </c>
      <c r="N24" s="95">
        <v>13</v>
      </c>
      <c r="O24" s="95" t="s">
        <v>10923</v>
      </c>
      <c r="P24" s="95" t="s">
        <v>10923</v>
      </c>
      <c r="Q24" s="98">
        <v>2.6620370370370372E-4</v>
      </c>
      <c r="R24" s="98">
        <v>3.2407407407407406E-4</v>
      </c>
      <c r="S24" s="95">
        <v>0</v>
      </c>
      <c r="T24" s="95" t="s">
        <v>54</v>
      </c>
      <c r="U24" s="95" t="s">
        <v>55</v>
      </c>
      <c r="V24" s="95" t="s">
        <v>38</v>
      </c>
      <c r="Z24" s="95" t="b">
        <v>0</v>
      </c>
      <c r="AE24" s="95" t="s">
        <v>2025</v>
      </c>
      <c r="AF24" s="95" t="s">
        <v>9522</v>
      </c>
      <c r="AH24" s="95" t="b">
        <v>0</v>
      </c>
      <c r="AI24" s="95" t="s">
        <v>10055</v>
      </c>
      <c r="AM24" s="120">
        <v>1.5046296296296297E-4</v>
      </c>
      <c r="AN24" s="107">
        <v>6</v>
      </c>
      <c r="AO24" s="107">
        <v>0</v>
      </c>
      <c r="AP24" s="107" t="b">
        <v>0</v>
      </c>
      <c r="AQ24" s="121">
        <v>2.199074074074074E-4</v>
      </c>
      <c r="AR24" s="121" t="b">
        <f t="shared" si="0"/>
        <v>1</v>
      </c>
      <c r="AS24" s="121" t="b">
        <f>IF(AQ24&gt;0, TRUE, FALSE)</f>
        <v>1</v>
      </c>
      <c r="AT24" s="121">
        <f t="shared" si="2"/>
        <v>3.7037037037037041E-4</v>
      </c>
      <c r="AU24" s="127">
        <f t="shared" si="3"/>
        <v>-4.6296296296296314E-5</v>
      </c>
      <c r="AV24" s="127">
        <f t="shared" si="4"/>
        <v>4.6296296296296341E-5</v>
      </c>
      <c r="AW24" s="107">
        <f t="shared" si="5"/>
        <v>0</v>
      </c>
      <c r="AX24" s="107">
        <f t="shared" si="6"/>
        <v>13</v>
      </c>
      <c r="AY24" s="145">
        <f t="shared" si="7"/>
        <v>1</v>
      </c>
      <c r="AZ24" s="145">
        <f t="shared" si="8"/>
        <v>0</v>
      </c>
      <c r="BA24" s="145">
        <f t="shared" si="9"/>
        <v>1</v>
      </c>
      <c r="BB24" s="138">
        <f t="shared" si="10"/>
        <v>0.66666666666666663</v>
      </c>
      <c r="BC24" s="138">
        <f t="shared" si="11"/>
        <v>0</v>
      </c>
      <c r="BD24" s="138">
        <f t="shared" si="12"/>
        <v>1</v>
      </c>
      <c r="BE24" s="138">
        <f t="shared" si="13"/>
        <v>0</v>
      </c>
      <c r="BF24" s="139">
        <f t="shared" si="14"/>
        <v>0.33333333333333331</v>
      </c>
      <c r="BG24" s="120">
        <v>6.134259259259259E-4</v>
      </c>
      <c r="BH24" s="107">
        <v>6</v>
      </c>
      <c r="BI24" s="107">
        <v>7</v>
      </c>
      <c r="BJ24" s="107" t="b">
        <v>0</v>
      </c>
      <c r="BK24" s="121">
        <v>7.407407407407407E-4</v>
      </c>
      <c r="BL24" s="121" t="b">
        <f t="shared" si="1"/>
        <v>1</v>
      </c>
      <c r="BM24" s="121" t="b">
        <f>IF(BK24&gt;0, TRUE, FALSE)</f>
        <v>1</v>
      </c>
      <c r="BN24" s="121">
        <f t="shared" si="15"/>
        <v>1.3541666666666667E-3</v>
      </c>
      <c r="BO24" s="127">
        <f t="shared" si="16"/>
        <v>4.7453703703703698E-4</v>
      </c>
      <c r="BP24" s="127">
        <f t="shared" si="17"/>
        <v>1.0300925925925926E-3</v>
      </c>
      <c r="BQ24" s="107">
        <f t="shared" si="18"/>
        <v>0</v>
      </c>
      <c r="BR24" s="107">
        <f t="shared" si="19"/>
        <v>6</v>
      </c>
      <c r="BS24" s="145">
        <f t="shared" si="20"/>
        <v>1</v>
      </c>
      <c r="BT24" s="145">
        <f t="shared" si="21"/>
        <v>0.53846153846153844</v>
      </c>
      <c r="BU24" s="145">
        <f t="shared" si="22"/>
        <v>1</v>
      </c>
      <c r="BV24" s="138">
        <f t="shared" si="23"/>
        <v>0.84615384615384615</v>
      </c>
      <c r="BW24" s="138">
        <f t="shared" si="24"/>
        <v>0</v>
      </c>
      <c r="BX24" s="138">
        <f t="shared" si="25"/>
        <v>0.46153846153846156</v>
      </c>
      <c r="BY24" s="138">
        <f t="shared" si="26"/>
        <v>0</v>
      </c>
      <c r="BZ24" s="139">
        <f t="shared" si="27"/>
        <v>0.15384615384615385</v>
      </c>
    </row>
    <row r="25" spans="1:78" ht="16" x14ac:dyDescent="0.25">
      <c r="A25" s="95" t="s">
        <v>2420</v>
      </c>
      <c r="B25" s="95">
        <v>747</v>
      </c>
      <c r="C25" s="95" t="b">
        <v>0</v>
      </c>
      <c r="D25" s="95" t="b">
        <v>0</v>
      </c>
      <c r="E25" s="95" t="b">
        <v>0</v>
      </c>
      <c r="F25" s="95" t="b">
        <v>0</v>
      </c>
      <c r="G25" s="95" t="s">
        <v>31</v>
      </c>
      <c r="H25" s="95" t="s">
        <v>2421</v>
      </c>
      <c r="I25" s="95" t="s">
        <v>2422</v>
      </c>
      <c r="J25" s="95" t="s">
        <v>2423</v>
      </c>
      <c r="M25" s="95">
        <v>5</v>
      </c>
      <c r="N25" s="95">
        <v>14</v>
      </c>
      <c r="O25" s="95" t="s">
        <v>10922</v>
      </c>
      <c r="P25" s="95" t="s">
        <v>10921</v>
      </c>
      <c r="Q25" s="98">
        <v>5.3240740740740744E-4</v>
      </c>
      <c r="R25" s="98">
        <v>1.0300925925925926E-3</v>
      </c>
      <c r="S25" s="95">
        <v>0</v>
      </c>
      <c r="T25" s="95" t="s">
        <v>54</v>
      </c>
      <c r="U25" s="95" t="s">
        <v>55</v>
      </c>
      <c r="V25" s="95" t="s">
        <v>38</v>
      </c>
      <c r="Z25" s="95" t="b">
        <v>1</v>
      </c>
      <c r="AE25" s="95" t="s">
        <v>2406</v>
      </c>
      <c r="AF25" s="95" t="s">
        <v>9521</v>
      </c>
      <c r="AH25" s="95" t="b">
        <v>0</v>
      </c>
      <c r="AI25" s="95" t="s">
        <v>10058</v>
      </c>
      <c r="AM25" s="120">
        <v>0</v>
      </c>
      <c r="AN25" s="107">
        <v>0</v>
      </c>
      <c r="AO25" s="107">
        <v>0</v>
      </c>
      <c r="AP25" s="107" t="s">
        <v>9801</v>
      </c>
      <c r="AQ25" s="121">
        <v>0</v>
      </c>
      <c r="AR25" s="121" t="b">
        <f t="shared" si="0"/>
        <v>0</v>
      </c>
      <c r="AS25" s="121"/>
      <c r="AT25" s="121">
        <f t="shared" si="2"/>
        <v>0</v>
      </c>
      <c r="AU25" s="127">
        <f t="shared" si="3"/>
        <v>-5.3240740740740744E-4</v>
      </c>
      <c r="AV25" s="127">
        <f t="shared" si="4"/>
        <v>-1.0300925925925926E-3</v>
      </c>
      <c r="AW25" s="107">
        <f t="shared" si="5"/>
        <v>5</v>
      </c>
      <c r="AX25" s="107">
        <f t="shared" si="6"/>
        <v>14</v>
      </c>
      <c r="AY25" s="145">
        <f t="shared" si="7"/>
        <v>0</v>
      </c>
      <c r="AZ25" s="145">
        <f t="shared" si="8"/>
        <v>0</v>
      </c>
      <c r="BA25" s="145">
        <f t="shared" si="9"/>
        <v>0</v>
      </c>
      <c r="BB25" s="138">
        <f t="shared" si="10"/>
        <v>0</v>
      </c>
      <c r="BC25" s="138">
        <f t="shared" si="11"/>
        <v>1</v>
      </c>
      <c r="BD25" s="138">
        <f t="shared" si="12"/>
        <v>1</v>
      </c>
      <c r="BE25" s="138">
        <f t="shared" si="13"/>
        <v>1</v>
      </c>
      <c r="BF25" s="139">
        <f t="shared" si="14"/>
        <v>1</v>
      </c>
      <c r="BG25" s="120">
        <v>0</v>
      </c>
      <c r="BH25" s="107">
        <v>0</v>
      </c>
      <c r="BI25" s="107">
        <v>0</v>
      </c>
      <c r="BJ25" s="107" t="s">
        <v>9801</v>
      </c>
      <c r="BK25" s="121">
        <v>0</v>
      </c>
      <c r="BL25" s="121" t="b">
        <f t="shared" si="1"/>
        <v>0</v>
      </c>
      <c r="BM25" s="121"/>
      <c r="BN25" s="121">
        <f t="shared" si="15"/>
        <v>0</v>
      </c>
      <c r="BO25" s="127">
        <f t="shared" si="16"/>
        <v>-5.3240740740740744E-4</v>
      </c>
      <c r="BP25" s="127">
        <f t="shared" si="17"/>
        <v>-1.0300925925925926E-3</v>
      </c>
      <c r="BQ25" s="107">
        <f t="shared" si="18"/>
        <v>5</v>
      </c>
      <c r="BR25" s="107">
        <f t="shared" si="19"/>
        <v>14</v>
      </c>
      <c r="BS25" s="145">
        <f t="shared" si="20"/>
        <v>0</v>
      </c>
      <c r="BT25" s="145">
        <f t="shared" si="21"/>
        <v>0</v>
      </c>
      <c r="BU25" s="145">
        <f t="shared" si="22"/>
        <v>0</v>
      </c>
      <c r="BV25" s="138">
        <f t="shared" si="23"/>
        <v>0</v>
      </c>
      <c r="BW25" s="138">
        <f t="shared" si="24"/>
        <v>1</v>
      </c>
      <c r="BX25" s="138">
        <f t="shared" si="25"/>
        <v>1</v>
      </c>
      <c r="BY25" s="138">
        <f t="shared" si="26"/>
        <v>1</v>
      </c>
      <c r="BZ25" s="139">
        <f t="shared" si="27"/>
        <v>1</v>
      </c>
    </row>
    <row r="26" spans="1:78" ht="16" x14ac:dyDescent="0.25">
      <c r="A26" s="95" t="s">
        <v>2555</v>
      </c>
      <c r="B26" s="95">
        <v>790</v>
      </c>
      <c r="C26" s="95" t="b">
        <v>0</v>
      </c>
      <c r="D26" s="95" t="b">
        <v>0</v>
      </c>
      <c r="E26" s="95" t="b">
        <v>0</v>
      </c>
      <c r="F26" s="95" t="b">
        <v>0</v>
      </c>
      <c r="G26" s="95" t="s">
        <v>31</v>
      </c>
      <c r="H26" s="95" t="s">
        <v>2556</v>
      </c>
      <c r="I26" s="95" t="s">
        <v>2557</v>
      </c>
      <c r="M26" s="95">
        <v>7</v>
      </c>
      <c r="N26" s="95">
        <v>14</v>
      </c>
      <c r="O26" s="95" t="s">
        <v>10920</v>
      </c>
      <c r="P26" s="95" t="s">
        <v>10920</v>
      </c>
      <c r="Q26" s="98">
        <v>1.3888888888888889E-4</v>
      </c>
      <c r="R26" s="98">
        <v>1.7361111111111112E-4</v>
      </c>
      <c r="S26" s="95">
        <v>0</v>
      </c>
      <c r="T26" s="95" t="s">
        <v>54</v>
      </c>
      <c r="U26" s="95" t="s">
        <v>55</v>
      </c>
      <c r="V26" s="95" t="s">
        <v>38</v>
      </c>
      <c r="Z26" s="95" t="b">
        <v>0</v>
      </c>
      <c r="AE26" s="95" t="s">
        <v>2406</v>
      </c>
      <c r="AF26" s="95" t="s">
        <v>9521</v>
      </c>
      <c r="AH26" s="95" t="b">
        <v>0</v>
      </c>
      <c r="AI26" s="95" t="s">
        <v>10069</v>
      </c>
      <c r="AM26" s="120">
        <v>1.8518518518518518E-4</v>
      </c>
      <c r="AN26" s="107">
        <v>7</v>
      </c>
      <c r="AO26" s="107">
        <v>0</v>
      </c>
      <c r="AP26" s="107" t="b">
        <v>0</v>
      </c>
      <c r="AQ26" s="121">
        <v>1.1574074074074073E-4</v>
      </c>
      <c r="AR26" s="121" t="b">
        <f t="shared" si="0"/>
        <v>1</v>
      </c>
      <c r="AS26" s="121" t="b">
        <f>IF(AQ26&gt;0, TRUE, FALSE)</f>
        <v>1</v>
      </c>
      <c r="AT26" s="121">
        <f t="shared" si="2"/>
        <v>3.0092592592592589E-4</v>
      </c>
      <c r="AU26" s="127">
        <f t="shared" si="3"/>
        <v>-2.3148148148148157E-5</v>
      </c>
      <c r="AV26" s="127">
        <f t="shared" si="4"/>
        <v>1.2731481481481478E-4</v>
      </c>
      <c r="AW26" s="107">
        <f t="shared" si="5"/>
        <v>0</v>
      </c>
      <c r="AX26" s="107">
        <f t="shared" si="6"/>
        <v>14</v>
      </c>
      <c r="AY26" s="145">
        <f t="shared" si="7"/>
        <v>1</v>
      </c>
      <c r="AZ26" s="145">
        <f t="shared" si="8"/>
        <v>0</v>
      </c>
      <c r="BA26" s="145">
        <f t="shared" si="9"/>
        <v>1</v>
      </c>
      <c r="BB26" s="138">
        <f t="shared" si="10"/>
        <v>0.66666666666666663</v>
      </c>
      <c r="BC26" s="138">
        <f t="shared" si="11"/>
        <v>0</v>
      </c>
      <c r="BD26" s="138">
        <f t="shared" si="12"/>
        <v>1</v>
      </c>
      <c r="BE26" s="138">
        <f t="shared" si="13"/>
        <v>0</v>
      </c>
      <c r="BF26" s="139">
        <f t="shared" si="14"/>
        <v>0.33333333333333331</v>
      </c>
      <c r="BG26" s="120">
        <v>6.5972222222222213E-4</v>
      </c>
      <c r="BH26" s="107">
        <v>0</v>
      </c>
      <c r="BI26" s="107">
        <v>0</v>
      </c>
      <c r="BJ26" s="107" t="s">
        <v>9801</v>
      </c>
      <c r="BK26" s="121">
        <v>0</v>
      </c>
      <c r="BL26" s="121" t="b">
        <f t="shared" si="1"/>
        <v>1</v>
      </c>
      <c r="BM26" s="121" t="b">
        <f>IF(BK26&gt;0, TRUE, FALSE)</f>
        <v>0</v>
      </c>
      <c r="BN26" s="121">
        <f t="shared" si="15"/>
        <v>6.5972222222222213E-4</v>
      </c>
      <c r="BO26" s="127">
        <f t="shared" si="16"/>
        <v>-1.3888888888888889E-4</v>
      </c>
      <c r="BP26" s="127">
        <f t="shared" si="17"/>
        <v>4.8611111111111099E-4</v>
      </c>
      <c r="BQ26" s="107">
        <f t="shared" si="18"/>
        <v>7</v>
      </c>
      <c r="BR26" s="107">
        <f t="shared" si="19"/>
        <v>14</v>
      </c>
      <c r="BS26" s="145">
        <f t="shared" si="20"/>
        <v>0</v>
      </c>
      <c r="BT26" s="145">
        <f t="shared" si="21"/>
        <v>0</v>
      </c>
      <c r="BU26" s="145">
        <f t="shared" si="22"/>
        <v>0</v>
      </c>
      <c r="BV26" s="138">
        <f t="shared" si="23"/>
        <v>0</v>
      </c>
      <c r="BW26" s="138">
        <f t="shared" si="24"/>
        <v>1</v>
      </c>
      <c r="BX26" s="138">
        <f t="shared" si="25"/>
        <v>1</v>
      </c>
      <c r="BY26" s="138">
        <f t="shared" si="26"/>
        <v>1</v>
      </c>
      <c r="BZ26" s="139">
        <f t="shared" si="27"/>
        <v>1</v>
      </c>
    </row>
    <row r="27" spans="1:78" ht="16" x14ac:dyDescent="0.25">
      <c r="A27" s="95" t="s">
        <v>2565</v>
      </c>
      <c r="B27" s="95">
        <v>793</v>
      </c>
      <c r="C27" s="95" t="b">
        <v>0</v>
      </c>
      <c r="D27" s="95" t="b">
        <v>0</v>
      </c>
      <c r="E27" s="95" t="b">
        <v>0</v>
      </c>
      <c r="F27" s="95" t="b">
        <v>0</v>
      </c>
      <c r="G27" s="95" t="s">
        <v>31</v>
      </c>
      <c r="H27" s="95" t="s">
        <v>2566</v>
      </c>
      <c r="I27" s="95" t="s">
        <v>2567</v>
      </c>
      <c r="M27" s="95">
        <v>14</v>
      </c>
      <c r="N27" s="95">
        <v>15</v>
      </c>
      <c r="O27" s="95" t="s">
        <v>10919</v>
      </c>
      <c r="P27" s="95" t="s">
        <v>10918</v>
      </c>
      <c r="Q27" s="98">
        <v>4.6296296296296293E-4</v>
      </c>
      <c r="R27" s="98">
        <v>1.4583333333333334E-3</v>
      </c>
      <c r="S27" s="95">
        <v>0</v>
      </c>
      <c r="T27" s="95" t="s">
        <v>54</v>
      </c>
      <c r="U27" s="95" t="s">
        <v>55</v>
      </c>
      <c r="V27" s="95" t="s">
        <v>38</v>
      </c>
      <c r="Z27" s="95" t="b">
        <v>0</v>
      </c>
      <c r="AE27" s="95" t="s">
        <v>2406</v>
      </c>
      <c r="AF27" s="95" t="s">
        <v>9521</v>
      </c>
      <c r="AH27" s="95" t="b">
        <v>0</v>
      </c>
      <c r="AI27" s="95" t="s">
        <v>10072</v>
      </c>
      <c r="AM27" s="120">
        <v>3.9351851851851852E-4</v>
      </c>
      <c r="AN27" s="107">
        <v>14</v>
      </c>
      <c r="AO27" s="107">
        <v>0</v>
      </c>
      <c r="AP27" s="107" t="b">
        <v>0</v>
      </c>
      <c r="AQ27" s="121">
        <v>1.7361111111111112E-4</v>
      </c>
      <c r="AR27" s="121" t="b">
        <f t="shared" si="0"/>
        <v>1</v>
      </c>
      <c r="AS27" s="121" t="b">
        <f>IF(AQ27&gt;0, TRUE, FALSE)</f>
        <v>1</v>
      </c>
      <c r="AT27" s="121">
        <f t="shared" si="2"/>
        <v>5.6712962962962967E-4</v>
      </c>
      <c r="AU27" s="127">
        <f t="shared" si="3"/>
        <v>-2.8935185185185184E-4</v>
      </c>
      <c r="AV27" s="127">
        <f t="shared" si="4"/>
        <v>-8.9120370370370373E-4</v>
      </c>
      <c r="AW27" s="107">
        <f t="shared" si="5"/>
        <v>0</v>
      </c>
      <c r="AX27" s="107">
        <f t="shared" si="6"/>
        <v>15</v>
      </c>
      <c r="AY27" s="145">
        <f t="shared" si="7"/>
        <v>1</v>
      </c>
      <c r="AZ27" s="145">
        <f t="shared" si="8"/>
        <v>0</v>
      </c>
      <c r="BA27" s="145">
        <f t="shared" si="9"/>
        <v>1</v>
      </c>
      <c r="BB27" s="138">
        <f t="shared" si="10"/>
        <v>0.66666666666666663</v>
      </c>
      <c r="BC27" s="138">
        <f t="shared" si="11"/>
        <v>0</v>
      </c>
      <c r="BD27" s="138">
        <f t="shared" si="12"/>
        <v>1</v>
      </c>
      <c r="BE27" s="138">
        <f t="shared" si="13"/>
        <v>0</v>
      </c>
      <c r="BF27" s="139">
        <f t="shared" si="14"/>
        <v>0.33333333333333331</v>
      </c>
      <c r="BG27" s="120">
        <v>5.9027777777777778E-4</v>
      </c>
      <c r="BH27" s="107">
        <v>0</v>
      </c>
      <c r="BI27" s="107">
        <v>0</v>
      </c>
      <c r="BJ27" s="107" t="s">
        <v>9801</v>
      </c>
      <c r="BK27" s="121">
        <v>0</v>
      </c>
      <c r="BL27" s="121" t="b">
        <f t="shared" si="1"/>
        <v>1</v>
      </c>
      <c r="BM27" s="121" t="b">
        <f>IF(BK27&gt;0, TRUE, FALSE)</f>
        <v>0</v>
      </c>
      <c r="BN27" s="121">
        <f t="shared" si="15"/>
        <v>5.9027777777777778E-4</v>
      </c>
      <c r="BO27" s="127">
        <f t="shared" si="16"/>
        <v>-4.6296296296296293E-4</v>
      </c>
      <c r="BP27" s="127">
        <f t="shared" si="17"/>
        <v>-8.6805555555555562E-4</v>
      </c>
      <c r="BQ27" s="107">
        <f t="shared" si="18"/>
        <v>14</v>
      </c>
      <c r="BR27" s="107">
        <f t="shared" si="19"/>
        <v>15</v>
      </c>
      <c r="BS27" s="145">
        <f t="shared" si="20"/>
        <v>0</v>
      </c>
      <c r="BT27" s="145">
        <f t="shared" si="21"/>
        <v>0</v>
      </c>
      <c r="BU27" s="145">
        <f t="shared" si="22"/>
        <v>0</v>
      </c>
      <c r="BV27" s="138">
        <f t="shared" si="23"/>
        <v>0</v>
      </c>
      <c r="BW27" s="138">
        <f t="shared" si="24"/>
        <v>1</v>
      </c>
      <c r="BX27" s="138">
        <f t="shared" si="25"/>
        <v>1</v>
      </c>
      <c r="BY27" s="138">
        <f t="shared" si="26"/>
        <v>1</v>
      </c>
      <c r="BZ27" s="139">
        <f t="shared" si="27"/>
        <v>1</v>
      </c>
    </row>
    <row r="28" spans="1:78" ht="16" x14ac:dyDescent="0.25">
      <c r="A28" s="95" t="s">
        <v>2921</v>
      </c>
      <c r="B28" s="95">
        <v>904</v>
      </c>
      <c r="C28" s="95" t="b">
        <v>0</v>
      </c>
      <c r="D28" s="95" t="b">
        <v>0</v>
      </c>
      <c r="E28" s="95" t="b">
        <v>0</v>
      </c>
      <c r="F28" s="95" t="b">
        <v>0</v>
      </c>
      <c r="G28" s="95" t="s">
        <v>31</v>
      </c>
      <c r="H28" s="95" t="s">
        <v>2922</v>
      </c>
      <c r="I28" s="95" t="s">
        <v>2923</v>
      </c>
      <c r="M28" s="95">
        <v>14</v>
      </c>
      <c r="N28" s="95">
        <v>15</v>
      </c>
      <c r="O28" s="95" t="s">
        <v>10917</v>
      </c>
      <c r="P28" s="95" t="s">
        <v>10916</v>
      </c>
      <c r="Q28" s="98">
        <v>2.3148148148148146E-4</v>
      </c>
      <c r="R28" s="98">
        <v>2.0717592592592593E-3</v>
      </c>
      <c r="S28" s="95">
        <v>0</v>
      </c>
      <c r="T28" s="95" t="s">
        <v>54</v>
      </c>
      <c r="U28" s="95" t="s">
        <v>55</v>
      </c>
      <c r="V28" s="95" t="s">
        <v>38</v>
      </c>
      <c r="Z28" s="95" t="b">
        <v>0</v>
      </c>
      <c r="AE28" s="95" t="s">
        <v>2840</v>
      </c>
      <c r="AF28" s="95" t="s">
        <v>9508</v>
      </c>
      <c r="AH28" s="95" t="b">
        <v>0</v>
      </c>
      <c r="AI28" s="95" t="s">
        <v>10097</v>
      </c>
      <c r="AM28" s="120">
        <v>0</v>
      </c>
      <c r="AN28" s="107">
        <v>0</v>
      </c>
      <c r="AO28" s="107">
        <v>0</v>
      </c>
      <c r="AP28" s="107" t="s">
        <v>9801</v>
      </c>
      <c r="AQ28" s="121">
        <v>0</v>
      </c>
      <c r="AR28" s="121" t="b">
        <f t="shared" si="0"/>
        <v>0</v>
      </c>
      <c r="AS28" s="121"/>
      <c r="AT28" s="121">
        <f t="shared" si="2"/>
        <v>0</v>
      </c>
      <c r="AU28" s="127">
        <f t="shared" si="3"/>
        <v>-2.3148148148148146E-4</v>
      </c>
      <c r="AV28" s="127">
        <f t="shared" si="4"/>
        <v>-2.0717592592592593E-3</v>
      </c>
      <c r="AW28" s="107">
        <f t="shared" si="5"/>
        <v>14</v>
      </c>
      <c r="AX28" s="107">
        <f t="shared" si="6"/>
        <v>15</v>
      </c>
      <c r="AY28" s="145">
        <f t="shared" si="7"/>
        <v>0</v>
      </c>
      <c r="AZ28" s="145">
        <f t="shared" si="8"/>
        <v>0</v>
      </c>
      <c r="BA28" s="145">
        <f t="shared" si="9"/>
        <v>0</v>
      </c>
      <c r="BB28" s="138">
        <f t="shared" si="10"/>
        <v>0</v>
      </c>
      <c r="BC28" s="138">
        <f t="shared" si="11"/>
        <v>1</v>
      </c>
      <c r="BD28" s="138">
        <f t="shared" si="12"/>
        <v>1</v>
      </c>
      <c r="BE28" s="138">
        <f t="shared" si="13"/>
        <v>1</v>
      </c>
      <c r="BF28" s="139">
        <f t="shared" si="14"/>
        <v>1</v>
      </c>
      <c r="BG28" s="120">
        <v>3.9351851851851852E-4</v>
      </c>
      <c r="BH28" s="107">
        <v>0</v>
      </c>
      <c r="BI28" s="107">
        <v>0</v>
      </c>
      <c r="BJ28" s="107" t="s">
        <v>9801</v>
      </c>
      <c r="BK28" s="121">
        <v>0</v>
      </c>
      <c r="BL28" s="121" t="b">
        <f t="shared" si="1"/>
        <v>1</v>
      </c>
      <c r="BM28" s="121" t="b">
        <f>IF(BK28&gt;0, TRUE, FALSE)</f>
        <v>0</v>
      </c>
      <c r="BN28" s="121">
        <f t="shared" si="15"/>
        <v>3.9351851851851852E-4</v>
      </c>
      <c r="BO28" s="127">
        <f t="shared" si="16"/>
        <v>-2.3148148148148146E-4</v>
      </c>
      <c r="BP28" s="127">
        <f t="shared" si="17"/>
        <v>-1.6782407407407408E-3</v>
      </c>
      <c r="BQ28" s="107">
        <f t="shared" si="18"/>
        <v>14</v>
      </c>
      <c r="BR28" s="107">
        <f t="shared" si="19"/>
        <v>15</v>
      </c>
      <c r="BS28" s="145">
        <f t="shared" si="20"/>
        <v>0</v>
      </c>
      <c r="BT28" s="145">
        <f t="shared" si="21"/>
        <v>0</v>
      </c>
      <c r="BU28" s="145">
        <f t="shared" si="22"/>
        <v>0</v>
      </c>
      <c r="BV28" s="138">
        <f t="shared" si="23"/>
        <v>0</v>
      </c>
      <c r="BW28" s="138">
        <f t="shared" si="24"/>
        <v>1</v>
      </c>
      <c r="BX28" s="138">
        <f t="shared" si="25"/>
        <v>1</v>
      </c>
      <c r="BY28" s="138">
        <f t="shared" si="26"/>
        <v>1</v>
      </c>
      <c r="BZ28" s="139">
        <f t="shared" si="27"/>
        <v>1</v>
      </c>
    </row>
    <row r="29" spans="1:78" ht="16" x14ac:dyDescent="0.25">
      <c r="A29" s="95" t="s">
        <v>3249</v>
      </c>
      <c r="B29" s="95">
        <v>1007</v>
      </c>
      <c r="C29" s="95" t="b">
        <v>0</v>
      </c>
      <c r="D29" s="95" t="b">
        <v>0</v>
      </c>
      <c r="E29" s="95" t="b">
        <v>0</v>
      </c>
      <c r="F29" s="95" t="b">
        <v>0</v>
      </c>
      <c r="G29" s="95" t="s">
        <v>31</v>
      </c>
      <c r="H29" s="95" t="s">
        <v>3250</v>
      </c>
      <c r="I29" s="95" t="s">
        <v>3251</v>
      </c>
      <c r="J29" s="95" t="s">
        <v>3252</v>
      </c>
      <c r="O29" s="95" t="s">
        <v>10915</v>
      </c>
      <c r="P29" s="95" t="s">
        <v>10915</v>
      </c>
      <c r="Q29" s="98">
        <v>4.1666666666666669E-4</v>
      </c>
      <c r="R29" s="98">
        <v>7.407407407407407E-4</v>
      </c>
      <c r="S29" s="95">
        <v>0</v>
      </c>
      <c r="T29" s="95" t="s">
        <v>54</v>
      </c>
      <c r="U29" s="95" t="s">
        <v>55</v>
      </c>
      <c r="V29" s="95" t="s">
        <v>38</v>
      </c>
      <c r="Z29" s="95" t="b">
        <v>0</v>
      </c>
      <c r="AE29" s="95" t="s">
        <v>3248</v>
      </c>
      <c r="AF29" s="95" t="s">
        <v>9506</v>
      </c>
      <c r="AH29" s="95" t="b">
        <v>0</v>
      </c>
      <c r="AI29" s="95" t="s">
        <v>10111</v>
      </c>
      <c r="AM29" s="120">
        <v>0</v>
      </c>
      <c r="AN29" s="107">
        <v>0</v>
      </c>
      <c r="AO29" s="107">
        <v>0</v>
      </c>
      <c r="AP29" s="107" t="s">
        <v>9801</v>
      </c>
      <c r="AQ29" s="121">
        <v>0</v>
      </c>
      <c r="AR29" s="121" t="b">
        <f t="shared" si="0"/>
        <v>0</v>
      </c>
      <c r="AS29" s="121"/>
      <c r="AT29" s="121">
        <f t="shared" si="2"/>
        <v>0</v>
      </c>
      <c r="AU29" s="127">
        <f t="shared" si="3"/>
        <v>-4.1666666666666669E-4</v>
      </c>
      <c r="AV29" s="127">
        <f t="shared" si="4"/>
        <v>-7.407407407407407E-4</v>
      </c>
      <c r="AW29" s="107">
        <f t="shared" si="5"/>
        <v>0</v>
      </c>
      <c r="AX29" s="107">
        <f t="shared" si="6"/>
        <v>0</v>
      </c>
      <c r="AY29" s="145" t="e">
        <f t="shared" si="7"/>
        <v>#DIV/0!</v>
      </c>
      <c r="AZ29" s="145" t="e">
        <f t="shared" si="8"/>
        <v>#DIV/0!</v>
      </c>
      <c r="BA29" s="145">
        <f t="shared" si="9"/>
        <v>0</v>
      </c>
      <c r="BB29" s="138">
        <v>0</v>
      </c>
      <c r="BC29" s="138" t="e">
        <f t="shared" si="11"/>
        <v>#DIV/0!</v>
      </c>
      <c r="BD29" s="138" t="e">
        <f t="shared" si="12"/>
        <v>#DIV/0!</v>
      </c>
      <c r="BE29" s="138">
        <f t="shared" si="13"/>
        <v>1</v>
      </c>
      <c r="BF29" s="139">
        <v>1</v>
      </c>
      <c r="BG29" s="120">
        <v>4.7453703703703704E-4</v>
      </c>
      <c r="BH29" s="107">
        <v>0</v>
      </c>
      <c r="BI29" s="107">
        <v>0</v>
      </c>
      <c r="BJ29" s="107" t="s">
        <v>9801</v>
      </c>
      <c r="BK29" s="121">
        <v>0</v>
      </c>
      <c r="BL29" s="121" t="b">
        <f t="shared" si="1"/>
        <v>1</v>
      </c>
      <c r="BM29" s="121" t="b">
        <f>IF(BK29&gt;0, TRUE, FALSE)</f>
        <v>0</v>
      </c>
      <c r="BN29" s="121">
        <f t="shared" si="15"/>
        <v>4.7453703703703704E-4</v>
      </c>
      <c r="BO29" s="127">
        <f t="shared" si="16"/>
        <v>-4.1666666666666669E-4</v>
      </c>
      <c r="BP29" s="127">
        <f t="shared" si="17"/>
        <v>-2.6620370370370367E-4</v>
      </c>
      <c r="BQ29" s="107">
        <f t="shared" si="18"/>
        <v>0</v>
      </c>
      <c r="BR29" s="107">
        <f t="shared" si="19"/>
        <v>0</v>
      </c>
      <c r="BS29" s="145" t="e">
        <f t="shared" si="20"/>
        <v>#DIV/0!</v>
      </c>
      <c r="BT29" s="145" t="e">
        <f t="shared" si="21"/>
        <v>#DIV/0!</v>
      </c>
      <c r="BU29" s="145">
        <f t="shared" si="22"/>
        <v>0</v>
      </c>
      <c r="BV29" s="138">
        <v>0</v>
      </c>
      <c r="BW29" s="138" t="e">
        <f t="shared" si="24"/>
        <v>#DIV/0!</v>
      </c>
      <c r="BX29" s="138" t="e">
        <f t="shared" si="25"/>
        <v>#DIV/0!</v>
      </c>
      <c r="BY29" s="138">
        <f t="shared" si="26"/>
        <v>1</v>
      </c>
      <c r="BZ29" s="139">
        <v>1</v>
      </c>
    </row>
    <row r="30" spans="1:78" ht="16" x14ac:dyDescent="0.25">
      <c r="A30" s="95" t="s">
        <v>3397</v>
      </c>
      <c r="B30" s="95">
        <v>1056</v>
      </c>
      <c r="C30" s="95" t="b">
        <v>0</v>
      </c>
      <c r="D30" s="95" t="b">
        <v>0</v>
      </c>
      <c r="E30" s="95" t="b">
        <v>0</v>
      </c>
      <c r="F30" s="95" t="b">
        <v>0</v>
      </c>
      <c r="G30" s="95" t="s">
        <v>31</v>
      </c>
      <c r="H30" s="95" t="s">
        <v>3398</v>
      </c>
      <c r="I30" s="95" t="s">
        <v>3399</v>
      </c>
      <c r="J30" s="95" t="s">
        <v>1711</v>
      </c>
      <c r="O30" s="95" t="s">
        <v>9685</v>
      </c>
      <c r="P30" s="95" t="s">
        <v>10914</v>
      </c>
      <c r="Q30" s="98">
        <v>2.199074074074074E-4</v>
      </c>
      <c r="R30" s="98">
        <v>2.6620370370370372E-4</v>
      </c>
      <c r="S30" s="95">
        <v>0</v>
      </c>
      <c r="T30" s="95" t="s">
        <v>54</v>
      </c>
      <c r="U30" s="95" t="s">
        <v>55</v>
      </c>
      <c r="V30" s="95" t="s">
        <v>38</v>
      </c>
      <c r="Z30" s="95" t="b">
        <v>0</v>
      </c>
      <c r="AE30" s="95" t="s">
        <v>3248</v>
      </c>
      <c r="AF30" s="95" t="s">
        <v>9506</v>
      </c>
      <c r="AH30" s="95" t="b">
        <v>0</v>
      </c>
      <c r="AI30" s="95" t="s">
        <v>10123</v>
      </c>
      <c r="AM30" s="120">
        <v>0</v>
      </c>
      <c r="AN30" s="107">
        <v>0</v>
      </c>
      <c r="AO30" s="107">
        <v>0</v>
      </c>
      <c r="AP30" s="107" t="s">
        <v>9801</v>
      </c>
      <c r="AQ30" s="121">
        <v>0</v>
      </c>
      <c r="AR30" s="121" t="b">
        <f t="shared" si="0"/>
        <v>0</v>
      </c>
      <c r="AS30" s="121"/>
      <c r="AT30" s="121">
        <f t="shared" si="2"/>
        <v>0</v>
      </c>
      <c r="AU30" s="127">
        <f t="shared" si="3"/>
        <v>-2.199074074074074E-4</v>
      </c>
      <c r="AV30" s="127">
        <f t="shared" si="4"/>
        <v>-2.6620370370370372E-4</v>
      </c>
      <c r="AW30" s="107">
        <f t="shared" si="5"/>
        <v>0</v>
      </c>
      <c r="AX30" s="107">
        <f t="shared" si="6"/>
        <v>0</v>
      </c>
      <c r="AY30" s="145" t="e">
        <f t="shared" si="7"/>
        <v>#DIV/0!</v>
      </c>
      <c r="AZ30" s="145" t="e">
        <f t="shared" si="8"/>
        <v>#DIV/0!</v>
      </c>
      <c r="BA30" s="145">
        <f t="shared" si="9"/>
        <v>0</v>
      </c>
      <c r="BB30" s="138">
        <v>0</v>
      </c>
      <c r="BC30" s="138" t="e">
        <f t="shared" si="11"/>
        <v>#DIV/0!</v>
      </c>
      <c r="BD30" s="138" t="e">
        <f t="shared" si="12"/>
        <v>#DIV/0!</v>
      </c>
      <c r="BE30" s="138">
        <f t="shared" si="13"/>
        <v>1</v>
      </c>
      <c r="BF30" s="139">
        <v>1</v>
      </c>
      <c r="BG30" s="120">
        <v>0</v>
      </c>
      <c r="BH30" s="107">
        <v>0</v>
      </c>
      <c r="BI30" s="107">
        <v>0</v>
      </c>
      <c r="BJ30" s="107" t="s">
        <v>9801</v>
      </c>
      <c r="BK30" s="121">
        <v>0</v>
      </c>
      <c r="BL30" s="121" t="b">
        <f t="shared" si="1"/>
        <v>0</v>
      </c>
      <c r="BM30" s="121"/>
      <c r="BN30" s="121">
        <f t="shared" si="15"/>
        <v>0</v>
      </c>
      <c r="BO30" s="127">
        <f t="shared" si="16"/>
        <v>-2.199074074074074E-4</v>
      </c>
      <c r="BP30" s="127">
        <f t="shared" si="17"/>
        <v>-2.6620370370370372E-4</v>
      </c>
      <c r="BQ30" s="107">
        <f t="shared" si="18"/>
        <v>0</v>
      </c>
      <c r="BR30" s="107">
        <f t="shared" si="19"/>
        <v>0</v>
      </c>
      <c r="BS30" s="145" t="e">
        <f t="shared" si="20"/>
        <v>#DIV/0!</v>
      </c>
      <c r="BT30" s="145" t="e">
        <f t="shared" si="21"/>
        <v>#DIV/0!</v>
      </c>
      <c r="BU30" s="145">
        <f t="shared" si="22"/>
        <v>0</v>
      </c>
      <c r="BV30" s="138">
        <v>0</v>
      </c>
      <c r="BW30" s="138" t="e">
        <f t="shared" si="24"/>
        <v>#DIV/0!</v>
      </c>
      <c r="BX30" s="138" t="e">
        <f t="shared" si="25"/>
        <v>#DIV/0!</v>
      </c>
      <c r="BY30" s="138">
        <f t="shared" si="26"/>
        <v>1</v>
      </c>
      <c r="BZ30" s="139">
        <v>1</v>
      </c>
    </row>
    <row r="31" spans="1:78" ht="16" x14ac:dyDescent="0.25">
      <c r="A31" s="95" t="s">
        <v>3735</v>
      </c>
      <c r="B31" s="95">
        <v>1162</v>
      </c>
      <c r="C31" s="95" t="b">
        <v>0</v>
      </c>
      <c r="D31" s="95" t="b">
        <v>0</v>
      </c>
      <c r="E31" s="95" t="b">
        <v>0</v>
      </c>
      <c r="F31" s="95" t="b">
        <v>0</v>
      </c>
      <c r="G31" s="95" t="s">
        <v>31</v>
      </c>
      <c r="H31" s="95" t="s">
        <v>3736</v>
      </c>
      <c r="I31" s="95" t="s">
        <v>3737</v>
      </c>
      <c r="M31" s="95">
        <v>3</v>
      </c>
      <c r="N31" s="95">
        <v>15</v>
      </c>
      <c r="O31" s="95" t="s">
        <v>10858</v>
      </c>
      <c r="P31" s="95" t="s">
        <v>10913</v>
      </c>
      <c r="Q31" s="98">
        <v>9.0277777777777784E-4</v>
      </c>
      <c r="R31" s="98">
        <v>1.2268518518518518E-3</v>
      </c>
      <c r="S31" s="95">
        <v>0</v>
      </c>
      <c r="T31" s="95" t="s">
        <v>54</v>
      </c>
      <c r="U31" s="95" t="s">
        <v>55</v>
      </c>
      <c r="V31" s="95" t="s">
        <v>38</v>
      </c>
      <c r="Z31" s="95" t="b">
        <v>0</v>
      </c>
      <c r="AE31" s="95" t="s">
        <v>2840</v>
      </c>
      <c r="AF31" s="95" t="s">
        <v>9492</v>
      </c>
      <c r="AH31" s="95" t="b">
        <v>0</v>
      </c>
      <c r="AI31" s="95" t="s">
        <v>10131</v>
      </c>
      <c r="AM31" s="120">
        <v>4.5138888888888892E-4</v>
      </c>
      <c r="AN31" s="107">
        <v>0</v>
      </c>
      <c r="AO31" s="107">
        <v>0</v>
      </c>
      <c r="AP31" s="107" t="s">
        <v>9801</v>
      </c>
      <c r="AQ31" s="121">
        <v>0</v>
      </c>
      <c r="AR31" s="121" t="b">
        <f t="shared" si="0"/>
        <v>1</v>
      </c>
      <c r="AS31" s="121" t="b">
        <f>IF(AQ31&gt;0, TRUE, FALSE)</f>
        <v>0</v>
      </c>
      <c r="AT31" s="121">
        <f t="shared" si="2"/>
        <v>4.5138888888888892E-4</v>
      </c>
      <c r="AU31" s="127">
        <f t="shared" si="3"/>
        <v>-9.0277777777777784E-4</v>
      </c>
      <c r="AV31" s="127">
        <f t="shared" si="4"/>
        <v>-7.7546296296296282E-4</v>
      </c>
      <c r="AW31" s="107">
        <f t="shared" si="5"/>
        <v>3</v>
      </c>
      <c r="AX31" s="107">
        <f t="shared" si="6"/>
        <v>15</v>
      </c>
      <c r="AY31" s="145">
        <f t="shared" si="7"/>
        <v>0</v>
      </c>
      <c r="AZ31" s="145">
        <f t="shared" si="8"/>
        <v>0</v>
      </c>
      <c r="BA31" s="145">
        <f t="shared" si="9"/>
        <v>0</v>
      </c>
      <c r="BB31" s="138">
        <f t="shared" si="10"/>
        <v>0</v>
      </c>
      <c r="BC31" s="138">
        <f t="shared" si="11"/>
        <v>1</v>
      </c>
      <c r="BD31" s="138">
        <f t="shared" si="12"/>
        <v>1</v>
      </c>
      <c r="BE31" s="138">
        <f t="shared" si="13"/>
        <v>1</v>
      </c>
      <c r="BF31" s="139">
        <f t="shared" si="14"/>
        <v>1</v>
      </c>
      <c r="BG31" s="120">
        <v>4.2824074074074075E-4</v>
      </c>
      <c r="BH31" s="107">
        <v>0</v>
      </c>
      <c r="BI31" s="107">
        <v>0</v>
      </c>
      <c r="BJ31" s="107" t="s">
        <v>9801</v>
      </c>
      <c r="BK31" s="121">
        <v>0</v>
      </c>
      <c r="BL31" s="121" t="b">
        <f t="shared" si="1"/>
        <v>1</v>
      </c>
      <c r="BM31" s="121" t="b">
        <f>IF(BK31&gt;0, TRUE, FALSE)</f>
        <v>0</v>
      </c>
      <c r="BN31" s="121">
        <f t="shared" si="15"/>
        <v>4.2824074074074075E-4</v>
      </c>
      <c r="BO31" s="127">
        <f t="shared" si="16"/>
        <v>-9.0277777777777784E-4</v>
      </c>
      <c r="BP31" s="127">
        <f t="shared" si="17"/>
        <v>-7.9861111111111105E-4</v>
      </c>
      <c r="BQ31" s="107">
        <f t="shared" si="18"/>
        <v>3</v>
      </c>
      <c r="BR31" s="107">
        <f t="shared" si="19"/>
        <v>15</v>
      </c>
      <c r="BS31" s="145">
        <f t="shared" si="20"/>
        <v>0</v>
      </c>
      <c r="BT31" s="145">
        <f t="shared" si="21"/>
        <v>0</v>
      </c>
      <c r="BU31" s="145">
        <f t="shared" si="22"/>
        <v>0</v>
      </c>
      <c r="BV31" s="138">
        <f t="shared" si="23"/>
        <v>0</v>
      </c>
      <c r="BW31" s="138">
        <f t="shared" si="24"/>
        <v>1</v>
      </c>
      <c r="BX31" s="138">
        <f t="shared" si="25"/>
        <v>1</v>
      </c>
      <c r="BY31" s="138">
        <f t="shared" si="26"/>
        <v>1</v>
      </c>
      <c r="BZ31" s="139">
        <f t="shared" si="27"/>
        <v>1</v>
      </c>
    </row>
    <row r="32" spans="1:78" ht="16" x14ac:dyDescent="0.25">
      <c r="L32" s="131" t="s">
        <v>9825</v>
      </c>
      <c r="M32" s="95">
        <f>SUM(M2:M31)</f>
        <v>345</v>
      </c>
      <c r="N32" s="95">
        <f>SUM(N2:N31)</f>
        <v>394</v>
      </c>
      <c r="P32" s="95" t="s">
        <v>11385</v>
      </c>
      <c r="Q32" s="98">
        <f>SUMIFS(Q2:Q31, AS2:AS31, "TRUE")</f>
        <v>1.5393518518518519E-3</v>
      </c>
      <c r="AL32" s="123" t="s">
        <v>11288</v>
      </c>
      <c r="AM32" s="133">
        <f>SUM(AM2:AM31)</f>
        <v>5.844907407407408E-3</v>
      </c>
      <c r="AN32" s="134">
        <f>SUM(AN2:AN31)</f>
        <v>35</v>
      </c>
      <c r="AO32" s="134">
        <f>SUM(AO2:AO31)</f>
        <v>0</v>
      </c>
      <c r="AP32" s="134"/>
      <c r="AQ32" s="135">
        <f>SUM(AQ2:AQ31)</f>
        <v>9.2592592592592585E-4</v>
      </c>
      <c r="AR32" s="184">
        <f>COUNTIF(AR2:AR31, "TRUE")/COUNTA(AR2:AR31)</f>
        <v>0.66666666666666663</v>
      </c>
      <c r="AS32" s="184">
        <f>COUNTIF(AS2:AS31, "TRUE")/COUNTA(AS2:AS31)</f>
        <v>0.3</v>
      </c>
      <c r="AT32" s="136">
        <f t="shared" ref="AT32:AX32" si="30">SUM(AT2:AT31)</f>
        <v>6.7708333333333327E-3</v>
      </c>
      <c r="AU32" s="136">
        <f t="shared" si="30"/>
        <v>-1.0462962962962964E-2</v>
      </c>
      <c r="AV32" s="136">
        <f t="shared" si="30"/>
        <v>-2.2442129629629631E-2</v>
      </c>
      <c r="AW32" s="137">
        <f t="shared" si="30"/>
        <v>310</v>
      </c>
      <c r="AX32" s="137">
        <f t="shared" si="30"/>
        <v>394</v>
      </c>
      <c r="AY32" s="150"/>
      <c r="AZ32" s="150"/>
      <c r="BA32" s="150"/>
      <c r="BB32" s="150">
        <f>AVERAGEIFS(BB2:BB31,AS2:AS31, "TRUE")</f>
        <v>0.55555555555555547</v>
      </c>
      <c r="BC32" s="150"/>
      <c r="BD32" s="150"/>
      <c r="BE32" s="150"/>
      <c r="BF32" s="150">
        <f>AVERAGEIFS(BF2:BF31,BF2:BF31,"&gt;=0",BF2:BF31,"&lt;=100")</f>
        <v>0.88888888888888873</v>
      </c>
      <c r="BG32" s="133">
        <f t="shared" ref="BG32:BP32" si="31">SUM(BG2:BG31)</f>
        <v>1.0231481481481484E-2</v>
      </c>
      <c r="BH32" s="134">
        <f t="shared" si="31"/>
        <v>76</v>
      </c>
      <c r="BI32" s="134">
        <f t="shared" si="31"/>
        <v>137</v>
      </c>
      <c r="BJ32" s="134">
        <f t="shared" si="31"/>
        <v>0</v>
      </c>
      <c r="BK32" s="135">
        <f t="shared" si="31"/>
        <v>7.4421296296296293E-3</v>
      </c>
      <c r="BL32" s="184">
        <f>COUNTIF(BL2:BL31, "TRUE")/COUNTA(BL2:BL31)</f>
        <v>0.73333333333333328</v>
      </c>
      <c r="BM32" s="184">
        <f>COUNTIF(BM2:BM31, "TRUE")/COUNTA(BM2:BM31)</f>
        <v>0.40909090909090912</v>
      </c>
      <c r="BN32" s="143">
        <f t="shared" si="31"/>
        <v>1.7673611111111109E-2</v>
      </c>
      <c r="BO32" s="136">
        <f t="shared" si="31"/>
        <v>-3.9467592592592592E-3</v>
      </c>
      <c r="BP32" s="136">
        <f t="shared" si="31"/>
        <v>-1.1539351851851853E-2</v>
      </c>
      <c r="BQ32" s="134">
        <f t="shared" si="18"/>
        <v>269</v>
      </c>
      <c r="BR32" s="134">
        <f t="shared" si="19"/>
        <v>257</v>
      </c>
      <c r="BS32" s="150"/>
      <c r="BT32" s="150"/>
      <c r="BU32" s="150"/>
      <c r="BV32" s="150">
        <f>AVERAGEIFS(BV2:BV31,BM2:BM31, "TRUE")</f>
        <v>0.75485475916762457</v>
      </c>
      <c r="BW32" s="150"/>
      <c r="BX32" s="150"/>
      <c r="BY32" s="150"/>
      <c r="BZ32" s="150">
        <f>AVERAGEIFS(BZ2:BZ31,BM2:BM31, "TRUE")</f>
        <v>0.24514524083237532</v>
      </c>
    </row>
    <row r="33" spans="16:17" x14ac:dyDescent="0.2">
      <c r="P33" s="95" t="s">
        <v>11386</v>
      </c>
      <c r="Q33" s="98">
        <f>SUMIFS(Q2:Q31, BM2:BM31, "TRUE")</f>
        <v>2.9861111111111113E-3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FC317-2828-E442-8CD0-8D3DDD8E5C2F}">
  <dimension ref="A1:BP24"/>
  <sheetViews>
    <sheetView topLeftCell="AZ1" workbookViewId="0">
      <selection activeCell="BL19" sqref="BL19"/>
    </sheetView>
  </sheetViews>
  <sheetFormatPr baseColWidth="10" defaultColWidth="8.83203125" defaultRowHeight="15" x14ac:dyDescent="0.2"/>
  <cols>
    <col min="1" max="34" width="8.83203125" style="95"/>
    <col min="35" max="35" width="58.33203125" style="95" bestFit="1" customWidth="1"/>
    <col min="36" max="36" width="4.6640625" style="95" bestFit="1" customWidth="1"/>
    <col min="37" max="52" width="15.83203125" style="95" customWidth="1"/>
    <col min="53" max="16384" width="8.83203125" style="95"/>
  </cols>
  <sheetData>
    <row r="1" spans="1:68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29</v>
      </c>
      <c r="AK1" s="124" t="s">
        <v>11089</v>
      </c>
      <c r="AL1" s="125" t="s">
        <v>11090</v>
      </c>
      <c r="AM1" s="125" t="s">
        <v>11285</v>
      </c>
      <c r="AN1" s="125" t="s">
        <v>11091</v>
      </c>
      <c r="AO1" s="106" t="s">
        <v>11336</v>
      </c>
      <c r="AP1" s="106" t="s">
        <v>11337</v>
      </c>
      <c r="AQ1" s="125" t="s">
        <v>11286</v>
      </c>
      <c r="AR1" s="125" t="s">
        <v>11093</v>
      </c>
      <c r="AS1" s="125" t="s">
        <v>11287</v>
      </c>
      <c r="AT1" s="125" t="s">
        <v>11289</v>
      </c>
      <c r="AU1" s="125" t="s">
        <v>11290</v>
      </c>
      <c r="AV1" s="125" t="s">
        <v>11291</v>
      </c>
      <c r="AW1" s="125" t="s">
        <v>11295</v>
      </c>
      <c r="AX1" s="125" t="s">
        <v>11292</v>
      </c>
      <c r="AY1" s="126" t="s">
        <v>11293</v>
      </c>
      <c r="AZ1" s="125" t="s">
        <v>11294</v>
      </c>
      <c r="BA1" s="124" t="s">
        <v>11241</v>
      </c>
      <c r="BB1" s="125" t="s">
        <v>11427</v>
      </c>
      <c r="BC1" s="125" t="s">
        <v>11428</v>
      </c>
      <c r="BD1" s="125" t="s">
        <v>11243</v>
      </c>
      <c r="BE1" s="106" t="s">
        <v>11369</v>
      </c>
      <c r="BF1" s="106" t="s">
        <v>11370</v>
      </c>
      <c r="BG1" s="125" t="s">
        <v>11244</v>
      </c>
      <c r="BH1" s="125" t="s">
        <v>11245</v>
      </c>
      <c r="BI1" s="125" t="s">
        <v>11246</v>
      </c>
      <c r="BJ1" s="125" t="s">
        <v>11429</v>
      </c>
      <c r="BK1" s="125" t="s">
        <v>11430</v>
      </c>
      <c r="BL1" s="125" t="s">
        <v>11431</v>
      </c>
      <c r="BM1" s="125" t="s">
        <v>11280</v>
      </c>
      <c r="BN1" s="125" t="s">
        <v>11432</v>
      </c>
      <c r="BO1" s="125" t="s">
        <v>11433</v>
      </c>
      <c r="BP1" s="126" t="s">
        <v>11284</v>
      </c>
    </row>
    <row r="2" spans="1:68" x14ac:dyDescent="0.2">
      <c r="A2" s="95" t="s">
        <v>412</v>
      </c>
      <c r="B2" s="95">
        <v>115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413</v>
      </c>
      <c r="I2" s="95" t="s">
        <v>414</v>
      </c>
      <c r="J2" s="95" t="s">
        <v>415</v>
      </c>
      <c r="O2" s="95" t="s">
        <v>9779</v>
      </c>
      <c r="P2" s="95" t="s">
        <v>9778</v>
      </c>
      <c r="Q2" s="98">
        <v>4.1666666666666669E-4</v>
      </c>
      <c r="R2" s="98">
        <v>6.5972222222222213E-4</v>
      </c>
      <c r="S2" s="95">
        <v>0</v>
      </c>
      <c r="T2" s="95" t="s">
        <v>416</v>
      </c>
      <c r="U2" s="95" t="s">
        <v>417</v>
      </c>
      <c r="V2" s="95" t="s">
        <v>38</v>
      </c>
      <c r="X2" s="95">
        <v>0</v>
      </c>
      <c r="Y2" s="152">
        <v>43829</v>
      </c>
      <c r="Z2" s="95" t="b">
        <v>0</v>
      </c>
      <c r="AE2" s="95" t="s">
        <v>207</v>
      </c>
      <c r="AF2" s="95" t="s">
        <v>9561</v>
      </c>
      <c r="AH2" s="95" t="b">
        <v>0</v>
      </c>
      <c r="AI2" s="95" t="s">
        <v>9777</v>
      </c>
      <c r="AK2" s="120">
        <v>0</v>
      </c>
      <c r="AL2" s="107" t="s">
        <v>9801</v>
      </c>
      <c r="AM2" s="107" t="s">
        <v>9801</v>
      </c>
      <c r="AN2" s="121">
        <v>0</v>
      </c>
      <c r="AO2" s="121" t="b">
        <f t="shared" ref="AO2:AO22" si="0">IF(AK2&gt;0, TRUE, FALSE)</f>
        <v>0</v>
      </c>
      <c r="AP2" s="121"/>
      <c r="AQ2" s="121">
        <f>AN2+AK2</f>
        <v>0</v>
      </c>
      <c r="AR2" s="121">
        <f>AN2-Q2</f>
        <v>-4.1666666666666669E-4</v>
      </c>
      <c r="AS2" s="121">
        <f>AQ2-R2</f>
        <v>-6.5972222222222213E-4</v>
      </c>
      <c r="AT2" s="107" t="e">
        <f>ABS(AL2-X2)</f>
        <v>#VALUE!</v>
      </c>
      <c r="AU2" s="189" t="e">
        <f>1-ABS(AL2/X2-1)</f>
        <v>#VALUE!</v>
      </c>
      <c r="AV2" s="128">
        <f>IF(AM2=Y2, 100%, 0%)</f>
        <v>0</v>
      </c>
      <c r="AW2" s="128">
        <v>0</v>
      </c>
      <c r="AX2" s="138" t="e">
        <f>ABS(AL2/X2-1)</f>
        <v>#VALUE!</v>
      </c>
      <c r="AY2" s="128">
        <f>IF(AM2&lt;&gt;Y2,100%,0%)</f>
        <v>1</v>
      </c>
      <c r="AZ2" s="128">
        <v>1</v>
      </c>
      <c r="BA2" s="120">
        <v>0</v>
      </c>
      <c r="BB2" s="107" t="s">
        <v>9801</v>
      </c>
      <c r="BC2" s="107" t="s">
        <v>9801</v>
      </c>
      <c r="BD2" s="121">
        <v>0</v>
      </c>
      <c r="BE2" s="121" t="b">
        <f>IF(BA2&gt;0, TRUE, FALSE)</f>
        <v>0</v>
      </c>
      <c r="BF2" s="121"/>
      <c r="BG2" s="121">
        <f>BD2+BA2</f>
        <v>0</v>
      </c>
      <c r="BH2" s="121">
        <f>BD2-Q2</f>
        <v>-4.1666666666666669E-4</v>
      </c>
      <c r="BI2" s="121">
        <f>BG2-R2</f>
        <v>-6.5972222222222213E-4</v>
      </c>
      <c r="BJ2" s="107" t="e">
        <f t="shared" ref="BJ2:BJ13" si="1">ABS(BB2-X2)</f>
        <v>#VALUE!</v>
      </c>
      <c r="BK2" s="189" t="e">
        <f t="shared" ref="BK2:BK13" si="2">1-ABS(BB2/X2-1)</f>
        <v>#VALUE!</v>
      </c>
      <c r="BL2" s="128">
        <f>IF(BC2=Y2, 100%, 0%)</f>
        <v>0</v>
      </c>
      <c r="BM2" s="128">
        <v>0</v>
      </c>
      <c r="BN2" s="138" t="e">
        <f>ABS(BB2/X2-1)</f>
        <v>#VALUE!</v>
      </c>
      <c r="BO2" s="138" t="e">
        <f>ABS(BC2/Y2-1)</f>
        <v>#VALUE!</v>
      </c>
      <c r="BP2" s="129">
        <v>0</v>
      </c>
    </row>
    <row r="3" spans="1:68" x14ac:dyDescent="0.2">
      <c r="A3" s="95" t="s">
        <v>426</v>
      </c>
      <c r="B3" s="95">
        <v>119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427</v>
      </c>
      <c r="I3" s="95" t="s">
        <v>428</v>
      </c>
      <c r="J3" s="95" t="s">
        <v>415</v>
      </c>
      <c r="O3" s="95" t="s">
        <v>9776</v>
      </c>
      <c r="P3" s="95" t="s">
        <v>9776</v>
      </c>
      <c r="Q3" s="98">
        <v>4.0509259259259258E-4</v>
      </c>
      <c r="R3" s="98">
        <v>4.7453703703703704E-4</v>
      </c>
      <c r="S3" s="95">
        <v>0</v>
      </c>
      <c r="T3" s="95" t="s">
        <v>416</v>
      </c>
      <c r="U3" s="95" t="s">
        <v>417</v>
      </c>
      <c r="V3" s="95" t="s">
        <v>38</v>
      </c>
      <c r="X3" s="95">
        <v>0</v>
      </c>
      <c r="Y3" s="152"/>
      <c r="Z3" s="95" t="b">
        <v>0</v>
      </c>
      <c r="AE3" s="95" t="s">
        <v>207</v>
      </c>
      <c r="AF3" s="95" t="s">
        <v>9561</v>
      </c>
      <c r="AH3" s="95" t="b">
        <v>0</v>
      </c>
      <c r="AI3" s="95" t="s">
        <v>9775</v>
      </c>
      <c r="AK3" s="120">
        <v>0</v>
      </c>
      <c r="AL3" s="107" t="s">
        <v>11296</v>
      </c>
      <c r="AM3" s="107" t="s">
        <v>11296</v>
      </c>
      <c r="AN3" s="121">
        <v>0</v>
      </c>
      <c r="AO3" s="121" t="b">
        <f t="shared" si="0"/>
        <v>0</v>
      </c>
      <c r="AP3" s="121"/>
      <c r="AQ3" s="121">
        <f t="shared" ref="AQ3:AQ22" si="3">AN3+AK3</f>
        <v>0</v>
      </c>
      <c r="AR3" s="121">
        <f t="shared" ref="AR3:AR22" si="4">AN3-Q3</f>
        <v>-4.0509259259259258E-4</v>
      </c>
      <c r="AS3" s="121">
        <f t="shared" ref="AS3:AS22" si="5">AQ3-R3</f>
        <v>-4.7453703703703704E-4</v>
      </c>
      <c r="AT3" s="107" t="e">
        <f t="shared" ref="AT3:AT23" si="6">ABS(AL3-X3)</f>
        <v>#VALUE!</v>
      </c>
      <c r="AU3" s="189" t="e">
        <f t="shared" ref="AU3:AU22" si="7">1-ABS(AL3/X3-1)</f>
        <v>#VALUE!</v>
      </c>
      <c r="AV3" s="128">
        <f t="shared" ref="AV3:AV22" si="8">IF(AM3=Y3, 100%, 0%)</f>
        <v>0</v>
      </c>
      <c r="AW3" s="128">
        <v>0</v>
      </c>
      <c r="AX3" s="138" t="e">
        <f t="shared" ref="AX3:AX22" si="9">ABS(AL3/X3-1)</f>
        <v>#VALUE!</v>
      </c>
      <c r="AY3" s="128">
        <f t="shared" ref="AY3:AY22" si="10">IF(AM3&lt;&gt;Y3,100%,0%)</f>
        <v>1</v>
      </c>
      <c r="AZ3" s="128">
        <v>1</v>
      </c>
      <c r="BA3" s="120">
        <v>0</v>
      </c>
      <c r="BB3" s="107" t="s">
        <v>9801</v>
      </c>
      <c r="BC3" s="107" t="s">
        <v>9801</v>
      </c>
      <c r="BD3" s="121">
        <v>0</v>
      </c>
      <c r="BE3" s="121" t="b">
        <f t="shared" ref="BE3:BE22" si="11">IF(BA3&gt;0, TRUE, FALSE)</f>
        <v>0</v>
      </c>
      <c r="BF3" s="107"/>
      <c r="BG3" s="121">
        <f t="shared" ref="BG3:BG22" si="12">BD3+BA3</f>
        <v>0</v>
      </c>
      <c r="BH3" s="121">
        <f t="shared" ref="BH3:BH22" si="13">BD3-Q3</f>
        <v>-4.0509259259259258E-4</v>
      </c>
      <c r="BI3" s="121">
        <f t="shared" ref="BI3:BI22" si="14">BG3-R3</f>
        <v>-4.7453703703703704E-4</v>
      </c>
      <c r="BJ3" s="107" t="e">
        <f t="shared" si="1"/>
        <v>#VALUE!</v>
      </c>
      <c r="BK3" s="189" t="e">
        <f t="shared" si="2"/>
        <v>#VALUE!</v>
      </c>
      <c r="BL3" s="128">
        <f t="shared" ref="BL3:BL22" si="15">IF(BC3=Y3, 100%, 0%)</f>
        <v>0</v>
      </c>
      <c r="BM3" s="128">
        <v>0</v>
      </c>
      <c r="BN3" s="138" t="e">
        <f t="shared" ref="BN3:BN22" si="16">ABS(BB3/X3-1)</f>
        <v>#VALUE!</v>
      </c>
      <c r="BO3" s="138" t="e">
        <f t="shared" ref="BO3:BO22" si="17">ABS(BC3/Y3-1)</f>
        <v>#VALUE!</v>
      </c>
      <c r="BP3" s="129">
        <v>0</v>
      </c>
    </row>
    <row r="4" spans="1:68" x14ac:dyDescent="0.2">
      <c r="A4" s="95" t="s">
        <v>435</v>
      </c>
      <c r="B4" s="95">
        <v>122</v>
      </c>
      <c r="C4" s="95" t="b">
        <v>0</v>
      </c>
      <c r="D4" s="95" t="b">
        <v>0</v>
      </c>
      <c r="E4" s="95" t="b">
        <v>0</v>
      </c>
      <c r="F4" s="95" t="b">
        <v>0</v>
      </c>
      <c r="G4" s="95" t="s">
        <v>31</v>
      </c>
      <c r="H4" s="95" t="s">
        <v>436</v>
      </c>
      <c r="I4" s="95" t="s">
        <v>437</v>
      </c>
      <c r="J4" s="95" t="s">
        <v>415</v>
      </c>
      <c r="O4" s="95" t="s">
        <v>9774</v>
      </c>
      <c r="P4" s="95" t="s">
        <v>9773</v>
      </c>
      <c r="Q4" s="98">
        <v>4.3981481481481481E-4</v>
      </c>
      <c r="R4" s="98">
        <v>7.5231481481481471E-4</v>
      </c>
      <c r="S4" s="95">
        <v>0</v>
      </c>
      <c r="T4" s="95" t="s">
        <v>416</v>
      </c>
      <c r="U4" s="95" t="s">
        <v>417</v>
      </c>
      <c r="V4" s="95" t="s">
        <v>38</v>
      </c>
      <c r="X4" s="95">
        <v>0</v>
      </c>
      <c r="Y4" s="152">
        <v>43821</v>
      </c>
      <c r="Z4" s="95" t="b">
        <v>0</v>
      </c>
      <c r="AE4" s="95" t="s">
        <v>207</v>
      </c>
      <c r="AF4" s="95" t="s">
        <v>9561</v>
      </c>
      <c r="AH4" s="95" t="b">
        <v>0</v>
      </c>
      <c r="AI4" s="95" t="s">
        <v>9772</v>
      </c>
      <c r="AK4" s="120">
        <v>0</v>
      </c>
      <c r="AL4" s="107" t="s">
        <v>9801</v>
      </c>
      <c r="AM4" s="107" t="s">
        <v>9801</v>
      </c>
      <c r="AN4" s="121">
        <v>0</v>
      </c>
      <c r="AO4" s="121" t="b">
        <f t="shared" si="0"/>
        <v>0</v>
      </c>
      <c r="AP4" s="121"/>
      <c r="AQ4" s="121">
        <f t="shared" si="3"/>
        <v>0</v>
      </c>
      <c r="AR4" s="121">
        <f t="shared" si="4"/>
        <v>-4.3981481481481481E-4</v>
      </c>
      <c r="AS4" s="121">
        <f t="shared" si="5"/>
        <v>-7.5231481481481471E-4</v>
      </c>
      <c r="AT4" s="107" t="e">
        <f t="shared" si="6"/>
        <v>#VALUE!</v>
      </c>
      <c r="AU4" s="189" t="e">
        <f t="shared" si="7"/>
        <v>#VALUE!</v>
      </c>
      <c r="AV4" s="128">
        <f t="shared" si="8"/>
        <v>0</v>
      </c>
      <c r="AW4" s="128">
        <v>0</v>
      </c>
      <c r="AX4" s="138" t="e">
        <f t="shared" si="9"/>
        <v>#VALUE!</v>
      </c>
      <c r="AY4" s="128">
        <f t="shared" si="10"/>
        <v>1</v>
      </c>
      <c r="AZ4" s="128">
        <v>1</v>
      </c>
      <c r="BA4" s="120">
        <v>0</v>
      </c>
      <c r="BB4" s="107" t="s">
        <v>9801</v>
      </c>
      <c r="BC4" s="107" t="s">
        <v>9801</v>
      </c>
      <c r="BD4" s="121">
        <v>0</v>
      </c>
      <c r="BE4" s="121" t="b">
        <f t="shared" si="11"/>
        <v>0</v>
      </c>
      <c r="BF4" s="107"/>
      <c r="BG4" s="121">
        <f t="shared" si="12"/>
        <v>0</v>
      </c>
      <c r="BH4" s="121">
        <f t="shared" si="13"/>
        <v>-4.3981481481481481E-4</v>
      </c>
      <c r="BI4" s="121">
        <f t="shared" si="14"/>
        <v>-7.5231481481481471E-4</v>
      </c>
      <c r="BJ4" s="107" t="e">
        <f t="shared" si="1"/>
        <v>#VALUE!</v>
      </c>
      <c r="BK4" s="189" t="e">
        <f t="shared" si="2"/>
        <v>#VALUE!</v>
      </c>
      <c r="BL4" s="128">
        <f t="shared" si="15"/>
        <v>0</v>
      </c>
      <c r="BM4" s="128">
        <v>0</v>
      </c>
      <c r="BN4" s="138" t="e">
        <f t="shared" si="16"/>
        <v>#VALUE!</v>
      </c>
      <c r="BO4" s="138" t="e">
        <f t="shared" si="17"/>
        <v>#VALUE!</v>
      </c>
      <c r="BP4" s="129">
        <v>0</v>
      </c>
    </row>
    <row r="5" spans="1:68" x14ac:dyDescent="0.2">
      <c r="A5" s="95" t="s">
        <v>446</v>
      </c>
      <c r="B5" s="95">
        <v>125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447</v>
      </c>
      <c r="I5" s="95" t="s">
        <v>448</v>
      </c>
      <c r="J5" s="95" t="s">
        <v>415</v>
      </c>
      <c r="O5" s="95" t="s">
        <v>9771</v>
      </c>
      <c r="P5" s="95" t="s">
        <v>9771</v>
      </c>
      <c r="Q5" s="98">
        <v>3.8194444444444446E-4</v>
      </c>
      <c r="R5" s="98">
        <v>3.7962962962962963E-3</v>
      </c>
      <c r="S5" s="95">
        <v>0</v>
      </c>
      <c r="T5" s="95" t="s">
        <v>416</v>
      </c>
      <c r="U5" s="95" t="s">
        <v>417</v>
      </c>
      <c r="V5" s="95" t="s">
        <v>38</v>
      </c>
      <c r="X5" s="95">
        <v>0</v>
      </c>
      <c r="Y5" s="152">
        <v>43821</v>
      </c>
      <c r="Z5" s="95" t="b">
        <v>0</v>
      </c>
      <c r="AE5" s="95" t="s">
        <v>207</v>
      </c>
      <c r="AF5" s="95" t="s">
        <v>9561</v>
      </c>
      <c r="AH5" s="95" t="b">
        <v>0</v>
      </c>
      <c r="AI5" s="95" t="s">
        <v>9770</v>
      </c>
      <c r="AK5" s="120">
        <v>0</v>
      </c>
      <c r="AL5" s="107" t="s">
        <v>11296</v>
      </c>
      <c r="AM5" s="107" t="s">
        <v>11296</v>
      </c>
      <c r="AN5" s="121">
        <v>0</v>
      </c>
      <c r="AO5" s="121" t="b">
        <f t="shared" si="0"/>
        <v>0</v>
      </c>
      <c r="AP5" s="121"/>
      <c r="AQ5" s="121">
        <f t="shared" si="3"/>
        <v>0</v>
      </c>
      <c r="AR5" s="121">
        <f t="shared" si="4"/>
        <v>-3.8194444444444446E-4</v>
      </c>
      <c r="AS5" s="121">
        <f t="shared" si="5"/>
        <v>-3.7962962962962963E-3</v>
      </c>
      <c r="AT5" s="107" t="e">
        <f t="shared" si="6"/>
        <v>#VALUE!</v>
      </c>
      <c r="AU5" s="189" t="e">
        <f t="shared" si="7"/>
        <v>#VALUE!</v>
      </c>
      <c r="AV5" s="128">
        <f t="shared" si="8"/>
        <v>0</v>
      </c>
      <c r="AW5" s="128">
        <v>0</v>
      </c>
      <c r="AX5" s="138" t="e">
        <f t="shared" si="9"/>
        <v>#VALUE!</v>
      </c>
      <c r="AY5" s="128">
        <f t="shared" si="10"/>
        <v>1</v>
      </c>
      <c r="AZ5" s="128">
        <v>1</v>
      </c>
      <c r="BA5" s="120">
        <v>0</v>
      </c>
      <c r="BB5" s="107" t="s">
        <v>9801</v>
      </c>
      <c r="BC5" s="107" t="s">
        <v>9801</v>
      </c>
      <c r="BD5" s="121">
        <v>0</v>
      </c>
      <c r="BE5" s="121" t="b">
        <f t="shared" si="11"/>
        <v>0</v>
      </c>
      <c r="BF5" s="107"/>
      <c r="BG5" s="121">
        <f t="shared" si="12"/>
        <v>0</v>
      </c>
      <c r="BH5" s="121">
        <f t="shared" si="13"/>
        <v>-3.8194444444444446E-4</v>
      </c>
      <c r="BI5" s="121">
        <f t="shared" si="14"/>
        <v>-3.7962962962962963E-3</v>
      </c>
      <c r="BJ5" s="107" t="e">
        <f t="shared" si="1"/>
        <v>#VALUE!</v>
      </c>
      <c r="BK5" s="189" t="e">
        <f t="shared" si="2"/>
        <v>#VALUE!</v>
      </c>
      <c r="BL5" s="128">
        <f t="shared" si="15"/>
        <v>0</v>
      </c>
      <c r="BM5" s="128">
        <v>0</v>
      </c>
      <c r="BN5" s="138" t="e">
        <f t="shared" si="16"/>
        <v>#VALUE!</v>
      </c>
      <c r="BO5" s="138" t="e">
        <f t="shared" si="17"/>
        <v>#VALUE!</v>
      </c>
      <c r="BP5" s="129">
        <v>0</v>
      </c>
    </row>
    <row r="6" spans="1:68" x14ac:dyDescent="0.2">
      <c r="A6" s="95" t="s">
        <v>464</v>
      </c>
      <c r="B6" s="95">
        <v>131</v>
      </c>
      <c r="C6" s="95" t="b">
        <v>0</v>
      </c>
      <c r="D6" s="95" t="b">
        <v>0</v>
      </c>
      <c r="E6" s="95" t="b">
        <v>0</v>
      </c>
      <c r="F6" s="95" t="b">
        <v>0</v>
      </c>
      <c r="G6" s="95" t="s">
        <v>31</v>
      </c>
      <c r="H6" s="95" t="s">
        <v>465</v>
      </c>
      <c r="I6" s="95" t="s">
        <v>466</v>
      </c>
      <c r="J6" s="95" t="s">
        <v>442</v>
      </c>
      <c r="O6" s="95" t="s">
        <v>9769</v>
      </c>
      <c r="P6" s="95" t="s">
        <v>9768</v>
      </c>
      <c r="Q6" s="98">
        <v>5.6712962962962956E-4</v>
      </c>
      <c r="R6" s="98">
        <v>4.8263888888888887E-3</v>
      </c>
      <c r="S6" s="95">
        <v>0</v>
      </c>
      <c r="T6" s="95" t="s">
        <v>416</v>
      </c>
      <c r="U6" s="95" t="s">
        <v>417</v>
      </c>
      <c r="V6" s="95" t="s">
        <v>38</v>
      </c>
      <c r="X6" s="95">
        <v>55</v>
      </c>
      <c r="Y6" s="152">
        <v>43821</v>
      </c>
      <c r="Z6" s="95" t="b">
        <v>0</v>
      </c>
      <c r="AE6" s="95" t="s">
        <v>207</v>
      </c>
      <c r="AF6" s="95" t="s">
        <v>9561</v>
      </c>
      <c r="AH6" s="95" t="b">
        <v>0</v>
      </c>
      <c r="AI6" s="95" t="s">
        <v>9767</v>
      </c>
      <c r="AK6" s="120">
        <v>0</v>
      </c>
      <c r="AL6" s="107" t="s">
        <v>9801</v>
      </c>
      <c r="AM6" s="107" t="s">
        <v>9801</v>
      </c>
      <c r="AN6" s="121">
        <v>0</v>
      </c>
      <c r="AO6" s="121" t="b">
        <f t="shared" si="0"/>
        <v>0</v>
      </c>
      <c r="AP6" s="121"/>
      <c r="AQ6" s="121">
        <f t="shared" si="3"/>
        <v>0</v>
      </c>
      <c r="AR6" s="121">
        <f t="shared" si="4"/>
        <v>-5.6712962962962956E-4</v>
      </c>
      <c r="AS6" s="121">
        <f t="shared" si="5"/>
        <v>-4.8263888888888887E-3</v>
      </c>
      <c r="AT6" s="107" t="e">
        <f t="shared" si="6"/>
        <v>#VALUE!</v>
      </c>
      <c r="AU6" s="189" t="e">
        <f t="shared" si="7"/>
        <v>#VALUE!</v>
      </c>
      <c r="AV6" s="128">
        <f t="shared" si="8"/>
        <v>0</v>
      </c>
      <c r="AW6" s="128">
        <v>0</v>
      </c>
      <c r="AX6" s="138" t="e">
        <f t="shared" si="9"/>
        <v>#VALUE!</v>
      </c>
      <c r="AY6" s="128">
        <f t="shared" si="10"/>
        <v>1</v>
      </c>
      <c r="AZ6" s="128">
        <v>1</v>
      </c>
      <c r="BA6" s="120">
        <v>0</v>
      </c>
      <c r="BB6" s="107" t="s">
        <v>9801</v>
      </c>
      <c r="BC6" s="107" t="s">
        <v>9801</v>
      </c>
      <c r="BD6" s="121">
        <v>0</v>
      </c>
      <c r="BE6" s="121" t="b">
        <f t="shared" si="11"/>
        <v>0</v>
      </c>
      <c r="BF6" s="107"/>
      <c r="BG6" s="121">
        <f t="shared" si="12"/>
        <v>0</v>
      </c>
      <c r="BH6" s="121">
        <f t="shared" si="13"/>
        <v>-5.6712962962962956E-4</v>
      </c>
      <c r="BI6" s="121">
        <f t="shared" si="14"/>
        <v>-4.8263888888888887E-3</v>
      </c>
      <c r="BJ6" s="107" t="e">
        <f t="shared" si="1"/>
        <v>#VALUE!</v>
      </c>
      <c r="BK6" s="189" t="e">
        <f t="shared" si="2"/>
        <v>#VALUE!</v>
      </c>
      <c r="BL6" s="128">
        <f t="shared" si="15"/>
        <v>0</v>
      </c>
      <c r="BM6" s="128">
        <v>0</v>
      </c>
      <c r="BN6" s="138" t="e">
        <f t="shared" si="16"/>
        <v>#VALUE!</v>
      </c>
      <c r="BO6" s="138" t="e">
        <f t="shared" si="17"/>
        <v>#VALUE!</v>
      </c>
      <c r="BP6" s="129">
        <v>0</v>
      </c>
    </row>
    <row r="7" spans="1:68" x14ac:dyDescent="0.2">
      <c r="A7" s="95" t="s">
        <v>571</v>
      </c>
      <c r="B7" s="95">
        <v>165</v>
      </c>
      <c r="C7" s="95" t="b">
        <v>0</v>
      </c>
      <c r="D7" s="95" t="b">
        <v>0</v>
      </c>
      <c r="E7" s="95" t="b">
        <v>0</v>
      </c>
      <c r="F7" s="95" t="b">
        <v>0</v>
      </c>
      <c r="G7" s="95" t="s">
        <v>31</v>
      </c>
      <c r="H7" s="95" t="s">
        <v>572</v>
      </c>
      <c r="I7" s="95" t="s">
        <v>573</v>
      </c>
      <c r="J7" s="95" t="s">
        <v>563</v>
      </c>
      <c r="O7" s="95" t="s">
        <v>9763</v>
      </c>
      <c r="P7" s="95" t="s">
        <v>9762</v>
      </c>
      <c r="Q7" s="98">
        <v>4.7453703703703704E-4</v>
      </c>
      <c r="R7" s="98">
        <v>7.407407407407407E-4</v>
      </c>
      <c r="S7" s="95">
        <v>0</v>
      </c>
      <c r="T7" s="95" t="s">
        <v>416</v>
      </c>
      <c r="U7" s="95" t="s">
        <v>417</v>
      </c>
      <c r="V7" s="95" t="s">
        <v>38</v>
      </c>
      <c r="X7" s="95">
        <v>96</v>
      </c>
      <c r="Y7" s="152">
        <v>43822</v>
      </c>
      <c r="Z7" s="95" t="b">
        <v>0</v>
      </c>
      <c r="AE7" s="95" t="s">
        <v>492</v>
      </c>
      <c r="AF7" s="95" t="s">
        <v>9559</v>
      </c>
      <c r="AH7" s="95" t="b">
        <v>0</v>
      </c>
      <c r="AI7" s="95" t="s">
        <v>9761</v>
      </c>
      <c r="AK7" s="120">
        <v>0</v>
      </c>
      <c r="AL7" s="107" t="s">
        <v>9801</v>
      </c>
      <c r="AM7" s="194" t="s">
        <v>9801</v>
      </c>
      <c r="AN7" s="121">
        <v>0</v>
      </c>
      <c r="AO7" s="121" t="b">
        <f t="shared" si="0"/>
        <v>0</v>
      </c>
      <c r="AP7" s="121"/>
      <c r="AQ7" s="121">
        <f t="shared" si="3"/>
        <v>0</v>
      </c>
      <c r="AR7" s="121">
        <f t="shared" si="4"/>
        <v>-4.7453703703703704E-4</v>
      </c>
      <c r="AS7" s="121">
        <f t="shared" si="5"/>
        <v>-7.407407407407407E-4</v>
      </c>
      <c r="AT7" s="107" t="e">
        <f t="shared" si="6"/>
        <v>#VALUE!</v>
      </c>
      <c r="AU7" s="189" t="e">
        <f t="shared" si="7"/>
        <v>#VALUE!</v>
      </c>
      <c r="AV7" s="128">
        <f t="shared" si="8"/>
        <v>0</v>
      </c>
      <c r="AW7" s="128">
        <v>0</v>
      </c>
      <c r="AX7" s="138" t="e">
        <f t="shared" si="9"/>
        <v>#VALUE!</v>
      </c>
      <c r="AY7" s="128">
        <f t="shared" si="10"/>
        <v>1</v>
      </c>
      <c r="AZ7" s="128">
        <v>1</v>
      </c>
      <c r="BA7" s="120">
        <v>0</v>
      </c>
      <c r="BB7" s="107" t="s">
        <v>9801</v>
      </c>
      <c r="BC7" s="107" t="s">
        <v>9801</v>
      </c>
      <c r="BD7" s="121">
        <v>0</v>
      </c>
      <c r="BE7" s="121" t="b">
        <f t="shared" si="11"/>
        <v>0</v>
      </c>
      <c r="BF7" s="107"/>
      <c r="BG7" s="121">
        <f t="shared" si="12"/>
        <v>0</v>
      </c>
      <c r="BH7" s="121">
        <f t="shared" si="13"/>
        <v>-4.7453703703703704E-4</v>
      </c>
      <c r="BI7" s="121">
        <f t="shared" si="14"/>
        <v>-7.407407407407407E-4</v>
      </c>
      <c r="BJ7" s="107" t="e">
        <f t="shared" si="1"/>
        <v>#VALUE!</v>
      </c>
      <c r="BK7" s="189" t="e">
        <f t="shared" si="2"/>
        <v>#VALUE!</v>
      </c>
      <c r="BL7" s="128">
        <f t="shared" si="15"/>
        <v>0</v>
      </c>
      <c r="BM7" s="128">
        <v>0</v>
      </c>
      <c r="BN7" s="138" t="e">
        <f t="shared" si="16"/>
        <v>#VALUE!</v>
      </c>
      <c r="BO7" s="138" t="e">
        <f t="shared" si="17"/>
        <v>#VALUE!</v>
      </c>
      <c r="BP7" s="129">
        <v>0</v>
      </c>
    </row>
    <row r="8" spans="1:68" x14ac:dyDescent="0.2">
      <c r="A8" s="95" t="s">
        <v>1558</v>
      </c>
      <c r="B8" s="95">
        <v>474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1559</v>
      </c>
      <c r="I8" s="95" t="s">
        <v>1560</v>
      </c>
      <c r="J8" s="95" t="s">
        <v>1561</v>
      </c>
      <c r="O8" s="95" t="s">
        <v>9756</v>
      </c>
      <c r="P8" s="95" t="s">
        <v>9755</v>
      </c>
      <c r="Q8" s="98">
        <v>3.1250000000000001E-4</v>
      </c>
      <c r="R8" s="98">
        <v>9.9537037037037042E-4</v>
      </c>
      <c r="S8" s="95">
        <v>0</v>
      </c>
      <c r="T8" s="95" t="s">
        <v>416</v>
      </c>
      <c r="U8" s="95" t="s">
        <v>417</v>
      </c>
      <c r="V8" s="95" t="s">
        <v>38</v>
      </c>
      <c r="X8" s="95">
        <v>0</v>
      </c>
      <c r="Y8" s="152">
        <v>43803</v>
      </c>
      <c r="Z8" s="95" t="b">
        <v>0</v>
      </c>
      <c r="AE8" s="95" t="s">
        <v>1464</v>
      </c>
      <c r="AF8" s="95" t="s">
        <v>9537</v>
      </c>
      <c r="AH8" s="95" t="b">
        <v>0</v>
      </c>
      <c r="AI8" s="95" t="s">
        <v>9754</v>
      </c>
      <c r="AK8" s="120">
        <v>0</v>
      </c>
      <c r="AL8" s="107" t="s">
        <v>9801</v>
      </c>
      <c r="AM8" s="107" t="s">
        <v>9801</v>
      </c>
      <c r="AN8" s="121">
        <v>0</v>
      </c>
      <c r="AO8" s="121" t="b">
        <f t="shared" si="0"/>
        <v>0</v>
      </c>
      <c r="AP8" s="121"/>
      <c r="AQ8" s="121">
        <f t="shared" si="3"/>
        <v>0</v>
      </c>
      <c r="AR8" s="121">
        <f t="shared" si="4"/>
        <v>-3.1250000000000001E-4</v>
      </c>
      <c r="AS8" s="121">
        <f t="shared" si="5"/>
        <v>-9.9537037037037042E-4</v>
      </c>
      <c r="AT8" s="107" t="e">
        <f t="shared" si="6"/>
        <v>#VALUE!</v>
      </c>
      <c r="AU8" s="189" t="e">
        <f t="shared" si="7"/>
        <v>#VALUE!</v>
      </c>
      <c r="AV8" s="128">
        <f t="shared" si="8"/>
        <v>0</v>
      </c>
      <c r="AW8" s="128">
        <v>0</v>
      </c>
      <c r="AX8" s="138" t="e">
        <f t="shared" si="9"/>
        <v>#VALUE!</v>
      </c>
      <c r="AY8" s="128">
        <f t="shared" si="10"/>
        <v>1</v>
      </c>
      <c r="AZ8" s="128">
        <v>1</v>
      </c>
      <c r="BA8" s="120">
        <v>0</v>
      </c>
      <c r="BB8" s="107" t="s">
        <v>9801</v>
      </c>
      <c r="BC8" s="107" t="s">
        <v>9801</v>
      </c>
      <c r="BD8" s="121">
        <v>0</v>
      </c>
      <c r="BE8" s="121" t="b">
        <f t="shared" si="11"/>
        <v>0</v>
      </c>
      <c r="BF8" s="107"/>
      <c r="BG8" s="121">
        <f t="shared" si="12"/>
        <v>0</v>
      </c>
      <c r="BH8" s="121">
        <f t="shared" si="13"/>
        <v>-3.1250000000000001E-4</v>
      </c>
      <c r="BI8" s="121">
        <f t="shared" si="14"/>
        <v>-9.9537037037037042E-4</v>
      </c>
      <c r="BJ8" s="107" t="e">
        <f t="shared" si="1"/>
        <v>#VALUE!</v>
      </c>
      <c r="BK8" s="189" t="e">
        <f t="shared" si="2"/>
        <v>#VALUE!</v>
      </c>
      <c r="BL8" s="128">
        <f t="shared" si="15"/>
        <v>0</v>
      </c>
      <c r="BM8" s="128">
        <v>0</v>
      </c>
      <c r="BN8" s="138" t="e">
        <f t="shared" si="16"/>
        <v>#VALUE!</v>
      </c>
      <c r="BO8" s="138" t="e">
        <f t="shared" si="17"/>
        <v>#VALUE!</v>
      </c>
      <c r="BP8" s="129">
        <v>0</v>
      </c>
    </row>
    <row r="9" spans="1:68" x14ac:dyDescent="0.2">
      <c r="A9" s="95" t="s">
        <v>1578</v>
      </c>
      <c r="B9" s="95">
        <v>480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1579</v>
      </c>
      <c r="I9" s="95" t="s">
        <v>1580</v>
      </c>
      <c r="J9" s="95" t="s">
        <v>1124</v>
      </c>
      <c r="O9" s="95" t="s">
        <v>9753</v>
      </c>
      <c r="P9" s="95" t="s">
        <v>9752</v>
      </c>
      <c r="Q9" s="98">
        <v>2.7777777777777778E-4</v>
      </c>
      <c r="R9" s="98">
        <v>5.0925925925925921E-4</v>
      </c>
      <c r="S9" s="95">
        <v>0</v>
      </c>
      <c r="T9" s="95" t="s">
        <v>416</v>
      </c>
      <c r="U9" s="95" t="s">
        <v>417</v>
      </c>
      <c r="V9" s="95" t="s">
        <v>38</v>
      </c>
      <c r="X9" s="95">
        <v>0</v>
      </c>
      <c r="Y9" s="152">
        <v>43803</v>
      </c>
      <c r="Z9" s="95" t="b">
        <v>0</v>
      </c>
      <c r="AE9" s="95" t="s">
        <v>1464</v>
      </c>
      <c r="AF9" s="95" t="s">
        <v>9537</v>
      </c>
      <c r="AH9" s="95" t="b">
        <v>0</v>
      </c>
      <c r="AI9" s="95" t="s">
        <v>9751</v>
      </c>
      <c r="AK9" s="120">
        <v>0</v>
      </c>
      <c r="AL9" s="107" t="s">
        <v>9801</v>
      </c>
      <c r="AM9" s="107" t="s">
        <v>9801</v>
      </c>
      <c r="AN9" s="121">
        <v>0</v>
      </c>
      <c r="AO9" s="121" t="b">
        <f t="shared" si="0"/>
        <v>0</v>
      </c>
      <c r="AP9" s="121"/>
      <c r="AQ9" s="121">
        <f t="shared" si="3"/>
        <v>0</v>
      </c>
      <c r="AR9" s="121">
        <f t="shared" si="4"/>
        <v>-2.7777777777777778E-4</v>
      </c>
      <c r="AS9" s="121">
        <f t="shared" si="5"/>
        <v>-5.0925925925925921E-4</v>
      </c>
      <c r="AT9" s="107" t="e">
        <f t="shared" si="6"/>
        <v>#VALUE!</v>
      </c>
      <c r="AU9" s="189" t="e">
        <f t="shared" si="7"/>
        <v>#VALUE!</v>
      </c>
      <c r="AV9" s="128">
        <f t="shared" si="8"/>
        <v>0</v>
      </c>
      <c r="AW9" s="128">
        <v>0</v>
      </c>
      <c r="AX9" s="138" t="e">
        <f t="shared" si="9"/>
        <v>#VALUE!</v>
      </c>
      <c r="AY9" s="128">
        <f t="shared" si="10"/>
        <v>1</v>
      </c>
      <c r="AZ9" s="128">
        <v>1</v>
      </c>
      <c r="BA9" s="120">
        <v>0</v>
      </c>
      <c r="BB9" s="107" t="s">
        <v>9801</v>
      </c>
      <c r="BC9" s="107" t="s">
        <v>9801</v>
      </c>
      <c r="BD9" s="121">
        <v>0</v>
      </c>
      <c r="BE9" s="121" t="b">
        <f t="shared" si="11"/>
        <v>0</v>
      </c>
      <c r="BF9" s="107"/>
      <c r="BG9" s="121">
        <f t="shared" si="12"/>
        <v>0</v>
      </c>
      <c r="BH9" s="121">
        <f t="shared" si="13"/>
        <v>-2.7777777777777778E-4</v>
      </c>
      <c r="BI9" s="121">
        <f t="shared" si="14"/>
        <v>-5.0925925925925921E-4</v>
      </c>
      <c r="BJ9" s="107" t="e">
        <f t="shared" si="1"/>
        <v>#VALUE!</v>
      </c>
      <c r="BK9" s="189" t="e">
        <f t="shared" si="2"/>
        <v>#VALUE!</v>
      </c>
      <c r="BL9" s="128">
        <f t="shared" si="15"/>
        <v>0</v>
      </c>
      <c r="BM9" s="128">
        <v>0</v>
      </c>
      <c r="BN9" s="138" t="e">
        <f t="shared" si="16"/>
        <v>#VALUE!</v>
      </c>
      <c r="BO9" s="138" t="e">
        <f t="shared" si="17"/>
        <v>#VALUE!</v>
      </c>
      <c r="BP9" s="129">
        <v>0</v>
      </c>
    </row>
    <row r="10" spans="1:68" x14ac:dyDescent="0.2">
      <c r="A10" s="95" t="s">
        <v>1677</v>
      </c>
      <c r="B10" s="95">
        <v>510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1678</v>
      </c>
      <c r="I10" s="95" t="s">
        <v>1679</v>
      </c>
      <c r="J10" s="95" t="s">
        <v>1680</v>
      </c>
      <c r="O10" s="95" t="s">
        <v>9750</v>
      </c>
      <c r="P10" s="95" t="s">
        <v>9749</v>
      </c>
      <c r="Q10" s="98">
        <v>5.3240740740740744E-4</v>
      </c>
      <c r="R10" s="98">
        <v>7.6388888888888893E-4</v>
      </c>
      <c r="S10" s="95">
        <v>0</v>
      </c>
      <c r="T10" s="95" t="s">
        <v>416</v>
      </c>
      <c r="U10" s="95" t="s">
        <v>417</v>
      </c>
      <c r="V10" s="95" t="s">
        <v>38</v>
      </c>
      <c r="X10" s="95">
        <v>0</v>
      </c>
      <c r="Y10" s="152">
        <v>43803</v>
      </c>
      <c r="Z10" s="95" t="b">
        <v>0</v>
      </c>
      <c r="AE10" s="95" t="s">
        <v>1464</v>
      </c>
      <c r="AF10" s="95" t="s">
        <v>9537</v>
      </c>
      <c r="AH10" s="95" t="b">
        <v>0</v>
      </c>
      <c r="AI10" s="95" t="s">
        <v>9748</v>
      </c>
      <c r="AK10" s="120">
        <v>0</v>
      </c>
      <c r="AL10" s="107" t="s">
        <v>9801</v>
      </c>
      <c r="AM10" s="107" t="s">
        <v>9801</v>
      </c>
      <c r="AN10" s="121">
        <v>0</v>
      </c>
      <c r="AO10" s="121" t="b">
        <f t="shared" si="0"/>
        <v>0</v>
      </c>
      <c r="AP10" s="121"/>
      <c r="AQ10" s="121">
        <f t="shared" si="3"/>
        <v>0</v>
      </c>
      <c r="AR10" s="121">
        <f t="shared" si="4"/>
        <v>-5.3240740740740744E-4</v>
      </c>
      <c r="AS10" s="121">
        <f t="shared" si="5"/>
        <v>-7.6388888888888893E-4</v>
      </c>
      <c r="AT10" s="107" t="e">
        <f t="shared" si="6"/>
        <v>#VALUE!</v>
      </c>
      <c r="AU10" s="189" t="e">
        <f t="shared" si="7"/>
        <v>#VALUE!</v>
      </c>
      <c r="AV10" s="128">
        <f t="shared" si="8"/>
        <v>0</v>
      </c>
      <c r="AW10" s="128">
        <v>0</v>
      </c>
      <c r="AX10" s="138" t="e">
        <f t="shared" si="9"/>
        <v>#VALUE!</v>
      </c>
      <c r="AY10" s="128">
        <f t="shared" si="10"/>
        <v>1</v>
      </c>
      <c r="AZ10" s="128">
        <v>1</v>
      </c>
      <c r="BA10" s="120">
        <v>0</v>
      </c>
      <c r="BB10" s="107" t="s">
        <v>9801</v>
      </c>
      <c r="BC10" s="107" t="s">
        <v>9801</v>
      </c>
      <c r="BD10" s="121">
        <v>0</v>
      </c>
      <c r="BE10" s="121" t="b">
        <f t="shared" si="11"/>
        <v>0</v>
      </c>
      <c r="BF10" s="107"/>
      <c r="BG10" s="121">
        <f t="shared" si="12"/>
        <v>0</v>
      </c>
      <c r="BH10" s="121">
        <f t="shared" si="13"/>
        <v>-5.3240740740740744E-4</v>
      </c>
      <c r="BI10" s="121">
        <f t="shared" si="14"/>
        <v>-7.6388888888888893E-4</v>
      </c>
      <c r="BJ10" s="107" t="e">
        <f t="shared" si="1"/>
        <v>#VALUE!</v>
      </c>
      <c r="BK10" s="189" t="e">
        <f t="shared" si="2"/>
        <v>#VALUE!</v>
      </c>
      <c r="BL10" s="128">
        <f t="shared" si="15"/>
        <v>0</v>
      </c>
      <c r="BM10" s="128">
        <v>0</v>
      </c>
      <c r="BN10" s="138" t="e">
        <f t="shared" si="16"/>
        <v>#VALUE!</v>
      </c>
      <c r="BO10" s="138" t="e">
        <f t="shared" si="17"/>
        <v>#VALUE!</v>
      </c>
      <c r="BP10" s="129">
        <v>0</v>
      </c>
    </row>
    <row r="11" spans="1:68" x14ac:dyDescent="0.2">
      <c r="A11" s="95" t="s">
        <v>1820</v>
      </c>
      <c r="B11" s="95">
        <v>556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1821</v>
      </c>
      <c r="I11" s="95" t="s">
        <v>1822</v>
      </c>
      <c r="J11" s="95" t="s">
        <v>119</v>
      </c>
      <c r="O11" s="95" t="s">
        <v>9747</v>
      </c>
      <c r="P11" s="95" t="s">
        <v>9747</v>
      </c>
      <c r="Q11" s="98">
        <v>3.5879629629629635E-4</v>
      </c>
      <c r="R11" s="98">
        <v>1.1574074074074073E-3</v>
      </c>
      <c r="S11" s="95">
        <v>0</v>
      </c>
      <c r="T11" s="95" t="s">
        <v>416</v>
      </c>
      <c r="U11" s="95" t="s">
        <v>417</v>
      </c>
      <c r="V11" s="95" t="s">
        <v>38</v>
      </c>
      <c r="X11" s="95">
        <v>0</v>
      </c>
      <c r="Y11" s="152">
        <v>43651</v>
      </c>
      <c r="Z11" s="95" t="b">
        <v>0</v>
      </c>
      <c r="AE11" s="95" t="s">
        <v>941</v>
      </c>
      <c r="AF11" s="95" t="s">
        <v>9534</v>
      </c>
      <c r="AH11" s="95" t="b">
        <v>0</v>
      </c>
      <c r="AI11" s="95" t="s">
        <v>9746</v>
      </c>
      <c r="AK11" s="120">
        <v>0</v>
      </c>
      <c r="AL11" s="107" t="s">
        <v>9801</v>
      </c>
      <c r="AM11" s="107" t="s">
        <v>9801</v>
      </c>
      <c r="AN11" s="121">
        <v>0</v>
      </c>
      <c r="AO11" s="121" t="b">
        <f t="shared" si="0"/>
        <v>0</v>
      </c>
      <c r="AP11" s="121"/>
      <c r="AQ11" s="121">
        <f t="shared" si="3"/>
        <v>0</v>
      </c>
      <c r="AR11" s="121">
        <f t="shared" si="4"/>
        <v>-3.5879629629629635E-4</v>
      </c>
      <c r="AS11" s="121">
        <f t="shared" si="5"/>
        <v>-1.1574074074074073E-3</v>
      </c>
      <c r="AT11" s="107" t="e">
        <f t="shared" si="6"/>
        <v>#VALUE!</v>
      </c>
      <c r="AU11" s="189" t="e">
        <f t="shared" si="7"/>
        <v>#VALUE!</v>
      </c>
      <c r="AV11" s="128">
        <f t="shared" si="8"/>
        <v>0</v>
      </c>
      <c r="AW11" s="128">
        <v>0</v>
      </c>
      <c r="AX11" s="138" t="e">
        <f t="shared" si="9"/>
        <v>#VALUE!</v>
      </c>
      <c r="AY11" s="128">
        <f t="shared" si="10"/>
        <v>1</v>
      </c>
      <c r="AZ11" s="128">
        <v>1</v>
      </c>
      <c r="BA11" s="120">
        <v>0</v>
      </c>
      <c r="BB11" s="107" t="s">
        <v>9801</v>
      </c>
      <c r="BC11" s="107" t="s">
        <v>9801</v>
      </c>
      <c r="BD11" s="121">
        <v>0</v>
      </c>
      <c r="BE11" s="121" t="b">
        <f t="shared" si="11"/>
        <v>0</v>
      </c>
      <c r="BF11" s="107"/>
      <c r="BG11" s="121">
        <f t="shared" si="12"/>
        <v>0</v>
      </c>
      <c r="BH11" s="121">
        <f t="shared" si="13"/>
        <v>-3.5879629629629635E-4</v>
      </c>
      <c r="BI11" s="121">
        <f t="shared" si="14"/>
        <v>-1.1574074074074073E-3</v>
      </c>
      <c r="BJ11" s="107" t="e">
        <f t="shared" si="1"/>
        <v>#VALUE!</v>
      </c>
      <c r="BK11" s="189" t="e">
        <f t="shared" si="2"/>
        <v>#VALUE!</v>
      </c>
      <c r="BL11" s="128">
        <f t="shared" si="15"/>
        <v>0</v>
      </c>
      <c r="BM11" s="128">
        <v>0</v>
      </c>
      <c r="BN11" s="138" t="e">
        <f t="shared" si="16"/>
        <v>#VALUE!</v>
      </c>
      <c r="BO11" s="138" t="e">
        <f t="shared" si="17"/>
        <v>#VALUE!</v>
      </c>
      <c r="BP11" s="129">
        <v>0</v>
      </c>
    </row>
    <row r="12" spans="1:68" x14ac:dyDescent="0.2">
      <c r="A12" s="95" t="s">
        <v>1876</v>
      </c>
      <c r="B12" s="95">
        <v>577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1877</v>
      </c>
      <c r="I12" s="95" t="s">
        <v>1878</v>
      </c>
      <c r="J12" s="95" t="s">
        <v>119</v>
      </c>
      <c r="O12" s="95" t="s">
        <v>9745</v>
      </c>
      <c r="P12" s="95" t="s">
        <v>9744</v>
      </c>
      <c r="Q12" s="98">
        <v>3.4722222222222224E-4</v>
      </c>
      <c r="R12" s="98">
        <v>2.6388888888888885E-3</v>
      </c>
      <c r="S12" s="95">
        <v>0</v>
      </c>
      <c r="T12" s="95" t="s">
        <v>416</v>
      </c>
      <c r="U12" s="95" t="s">
        <v>417</v>
      </c>
      <c r="V12" s="95" t="s">
        <v>38</v>
      </c>
      <c r="X12" s="95">
        <v>0</v>
      </c>
      <c r="Y12" s="152">
        <v>43651</v>
      </c>
      <c r="Z12" s="95" t="b">
        <v>0</v>
      </c>
      <c r="AE12" s="95" t="s">
        <v>1826</v>
      </c>
      <c r="AF12" s="95" t="s">
        <v>9532</v>
      </c>
      <c r="AH12" s="95" t="b">
        <v>0</v>
      </c>
      <c r="AI12" s="95" t="s">
        <v>9743</v>
      </c>
      <c r="AK12" s="120">
        <v>0</v>
      </c>
      <c r="AL12" s="107" t="s">
        <v>9801</v>
      </c>
      <c r="AM12" s="107" t="s">
        <v>9801</v>
      </c>
      <c r="AN12" s="121">
        <v>0</v>
      </c>
      <c r="AO12" s="121" t="b">
        <f t="shared" si="0"/>
        <v>0</v>
      </c>
      <c r="AP12" s="121"/>
      <c r="AQ12" s="121">
        <f t="shared" si="3"/>
        <v>0</v>
      </c>
      <c r="AR12" s="121">
        <f t="shared" si="4"/>
        <v>-3.4722222222222224E-4</v>
      </c>
      <c r="AS12" s="121">
        <f t="shared" si="5"/>
        <v>-2.6388888888888885E-3</v>
      </c>
      <c r="AT12" s="107" t="e">
        <f t="shared" si="6"/>
        <v>#VALUE!</v>
      </c>
      <c r="AU12" s="189" t="e">
        <f t="shared" si="7"/>
        <v>#VALUE!</v>
      </c>
      <c r="AV12" s="128">
        <f t="shared" si="8"/>
        <v>0</v>
      </c>
      <c r="AW12" s="128">
        <v>0</v>
      </c>
      <c r="AX12" s="138" t="e">
        <f t="shared" si="9"/>
        <v>#VALUE!</v>
      </c>
      <c r="AY12" s="128">
        <f t="shared" si="10"/>
        <v>1</v>
      </c>
      <c r="AZ12" s="128">
        <v>1</v>
      </c>
      <c r="BA12" s="120">
        <v>0</v>
      </c>
      <c r="BB12" s="107" t="s">
        <v>9801</v>
      </c>
      <c r="BC12" s="107" t="s">
        <v>9801</v>
      </c>
      <c r="BD12" s="121">
        <v>0</v>
      </c>
      <c r="BE12" s="121" t="b">
        <f t="shared" si="11"/>
        <v>0</v>
      </c>
      <c r="BF12" s="107"/>
      <c r="BG12" s="121">
        <f t="shared" si="12"/>
        <v>0</v>
      </c>
      <c r="BH12" s="121">
        <f t="shared" si="13"/>
        <v>-3.4722222222222224E-4</v>
      </c>
      <c r="BI12" s="121">
        <f t="shared" si="14"/>
        <v>-2.6388888888888885E-3</v>
      </c>
      <c r="BJ12" s="107" t="e">
        <f t="shared" si="1"/>
        <v>#VALUE!</v>
      </c>
      <c r="BK12" s="189" t="e">
        <f t="shared" si="2"/>
        <v>#VALUE!</v>
      </c>
      <c r="BL12" s="128">
        <f t="shared" si="15"/>
        <v>0</v>
      </c>
      <c r="BM12" s="128">
        <v>0</v>
      </c>
      <c r="BN12" s="138" t="e">
        <f t="shared" si="16"/>
        <v>#VALUE!</v>
      </c>
      <c r="BO12" s="138" t="e">
        <f t="shared" si="17"/>
        <v>#VALUE!</v>
      </c>
      <c r="BP12" s="129">
        <v>0</v>
      </c>
    </row>
    <row r="13" spans="1:68" x14ac:dyDescent="0.2">
      <c r="A13" s="95" t="s">
        <v>1995</v>
      </c>
      <c r="B13" s="95">
        <v>619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31</v>
      </c>
      <c r="H13" s="95" t="s">
        <v>149</v>
      </c>
      <c r="I13" s="95" t="s">
        <v>1996</v>
      </c>
      <c r="J13" s="95" t="s">
        <v>1997</v>
      </c>
      <c r="O13" s="95" t="s">
        <v>9742</v>
      </c>
      <c r="P13" s="95" t="s">
        <v>9741</v>
      </c>
      <c r="Q13" s="98">
        <v>5.4398148148148144E-4</v>
      </c>
      <c r="R13" s="98">
        <v>1.8865740740740742E-3</v>
      </c>
      <c r="S13" s="95">
        <v>0</v>
      </c>
      <c r="T13" s="95" t="s">
        <v>416</v>
      </c>
      <c r="U13" s="95" t="s">
        <v>417</v>
      </c>
      <c r="V13" s="95" t="s">
        <v>38</v>
      </c>
      <c r="X13" s="95">
        <v>0</v>
      </c>
      <c r="Y13" s="153">
        <v>43651</v>
      </c>
      <c r="Z13" s="95" t="b">
        <v>0</v>
      </c>
      <c r="AE13" s="95" t="s">
        <v>1945</v>
      </c>
      <c r="AF13" s="95" t="s">
        <v>9530</v>
      </c>
      <c r="AH13" s="95" t="b">
        <v>0</v>
      </c>
      <c r="AK13" s="120">
        <v>0</v>
      </c>
      <c r="AL13" s="107" t="s">
        <v>9801</v>
      </c>
      <c r="AM13" s="107" t="s">
        <v>9801</v>
      </c>
      <c r="AN13" s="121">
        <v>0</v>
      </c>
      <c r="AO13" s="121" t="b">
        <f t="shared" si="0"/>
        <v>0</v>
      </c>
      <c r="AP13" s="121"/>
      <c r="AQ13" s="121">
        <f t="shared" si="3"/>
        <v>0</v>
      </c>
      <c r="AR13" s="121">
        <f t="shared" si="4"/>
        <v>-5.4398148148148144E-4</v>
      </c>
      <c r="AS13" s="121">
        <f t="shared" si="5"/>
        <v>-1.8865740740740742E-3</v>
      </c>
      <c r="AT13" s="107" t="e">
        <f t="shared" si="6"/>
        <v>#VALUE!</v>
      </c>
      <c r="AU13" s="189" t="e">
        <f t="shared" si="7"/>
        <v>#VALUE!</v>
      </c>
      <c r="AV13" s="128">
        <f t="shared" si="8"/>
        <v>0</v>
      </c>
      <c r="AW13" s="128">
        <v>0</v>
      </c>
      <c r="AX13" s="138" t="e">
        <f t="shared" si="9"/>
        <v>#VALUE!</v>
      </c>
      <c r="AY13" s="128">
        <f t="shared" si="10"/>
        <v>1</v>
      </c>
      <c r="AZ13" s="128">
        <v>1</v>
      </c>
      <c r="BA13" s="120">
        <v>0</v>
      </c>
      <c r="BB13" s="107" t="s">
        <v>9801</v>
      </c>
      <c r="BC13" s="107" t="s">
        <v>9801</v>
      </c>
      <c r="BD13" s="121">
        <v>0</v>
      </c>
      <c r="BE13" s="121" t="b">
        <f t="shared" si="11"/>
        <v>0</v>
      </c>
      <c r="BF13" s="107"/>
      <c r="BG13" s="121">
        <f t="shared" si="12"/>
        <v>0</v>
      </c>
      <c r="BH13" s="121">
        <f t="shared" si="13"/>
        <v>-5.4398148148148144E-4</v>
      </c>
      <c r="BI13" s="121">
        <f t="shared" si="14"/>
        <v>-1.8865740740740742E-3</v>
      </c>
      <c r="BJ13" s="107" t="e">
        <f t="shared" si="1"/>
        <v>#VALUE!</v>
      </c>
      <c r="BK13" s="189" t="e">
        <f t="shared" si="2"/>
        <v>#VALUE!</v>
      </c>
      <c r="BL13" s="128">
        <f t="shared" si="15"/>
        <v>0</v>
      </c>
      <c r="BM13" s="128">
        <v>0</v>
      </c>
      <c r="BN13" s="138" t="e">
        <f t="shared" si="16"/>
        <v>#VALUE!</v>
      </c>
      <c r="BO13" s="138" t="e">
        <f t="shared" si="17"/>
        <v>#VALUE!</v>
      </c>
      <c r="BP13" s="129">
        <v>0</v>
      </c>
    </row>
    <row r="14" spans="1:68" x14ac:dyDescent="0.2">
      <c r="A14" s="95" t="s">
        <v>2728</v>
      </c>
      <c r="B14" s="95">
        <v>844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2729</v>
      </c>
      <c r="I14" s="95" t="s">
        <v>2730</v>
      </c>
      <c r="J14" s="95" t="s">
        <v>2731</v>
      </c>
      <c r="O14" s="95" t="s">
        <v>9740</v>
      </c>
      <c r="P14" s="95" t="s">
        <v>9739</v>
      </c>
      <c r="Q14" s="98">
        <v>6.5972222222222213E-4</v>
      </c>
      <c r="R14" s="98">
        <v>7.291666666666667E-4</v>
      </c>
      <c r="S14" s="95">
        <v>0</v>
      </c>
      <c r="T14" s="95" t="s">
        <v>416</v>
      </c>
      <c r="U14" s="95" t="s">
        <v>417</v>
      </c>
      <c r="V14" s="95" t="s">
        <v>38</v>
      </c>
      <c r="X14" s="95">
        <v>0</v>
      </c>
      <c r="Y14" s="152"/>
      <c r="Z14" s="95" t="b">
        <v>0</v>
      </c>
      <c r="AE14" s="95" t="s">
        <v>2650</v>
      </c>
      <c r="AF14" s="95" t="s">
        <v>9517</v>
      </c>
      <c r="AH14" s="95" t="b">
        <v>0</v>
      </c>
      <c r="AI14" s="95" t="s">
        <v>9738</v>
      </c>
      <c r="AK14" s="120">
        <v>0</v>
      </c>
      <c r="AL14" s="107" t="s">
        <v>9801</v>
      </c>
      <c r="AM14" s="107" t="s">
        <v>9801</v>
      </c>
      <c r="AN14" s="121">
        <v>0</v>
      </c>
      <c r="AO14" s="121" t="b">
        <f t="shared" si="0"/>
        <v>0</v>
      </c>
      <c r="AP14" s="121"/>
      <c r="AQ14" s="121">
        <f t="shared" si="3"/>
        <v>0</v>
      </c>
      <c r="AR14" s="121">
        <f t="shared" si="4"/>
        <v>-6.5972222222222213E-4</v>
      </c>
      <c r="AS14" s="121">
        <f t="shared" si="5"/>
        <v>-7.291666666666667E-4</v>
      </c>
      <c r="AT14" s="107" t="e">
        <f t="shared" si="6"/>
        <v>#VALUE!</v>
      </c>
      <c r="AU14" s="189" t="e">
        <f t="shared" si="7"/>
        <v>#VALUE!</v>
      </c>
      <c r="AV14" s="128">
        <f>IF(AM14=Y14, 100%, 0%)</f>
        <v>0</v>
      </c>
      <c r="AW14" s="128">
        <v>0</v>
      </c>
      <c r="AX14" s="138" t="e">
        <f t="shared" si="9"/>
        <v>#VALUE!</v>
      </c>
      <c r="AY14" s="128">
        <f t="shared" si="10"/>
        <v>1</v>
      </c>
      <c r="AZ14" s="128">
        <v>1</v>
      </c>
      <c r="BA14" s="120">
        <v>1.7592592592592592E-3</v>
      </c>
      <c r="BB14" s="107">
        <v>0</v>
      </c>
      <c r="BC14" s="107"/>
      <c r="BD14" s="121">
        <v>6.9444444444444444E-5</v>
      </c>
      <c r="BE14" s="121" t="b">
        <f t="shared" si="11"/>
        <v>1</v>
      </c>
      <c r="BF14" s="121" t="b">
        <f>IF(BD14&gt;0, TRUE, FALSE)</f>
        <v>1</v>
      </c>
      <c r="BG14" s="121">
        <f t="shared" si="12"/>
        <v>1.8287037037037037E-3</v>
      </c>
      <c r="BH14" s="121">
        <f t="shared" si="13"/>
        <v>-5.9027777777777768E-4</v>
      </c>
      <c r="BI14" s="121">
        <f t="shared" si="14"/>
        <v>1.0995370370370369E-3</v>
      </c>
      <c r="BJ14" s="107">
        <f>ABS(BB14-X14)</f>
        <v>0</v>
      </c>
      <c r="BK14" s="189">
        <v>1</v>
      </c>
      <c r="BL14" s="128">
        <f t="shared" si="15"/>
        <v>1</v>
      </c>
      <c r="BM14" s="128">
        <f>AVERAGE(BK14:BL14)</f>
        <v>1</v>
      </c>
      <c r="BN14" s="138" t="e">
        <f t="shared" si="16"/>
        <v>#DIV/0!</v>
      </c>
      <c r="BO14" s="138" t="e">
        <f t="shared" si="17"/>
        <v>#DIV/0!</v>
      </c>
      <c r="BP14" s="129">
        <v>0</v>
      </c>
    </row>
    <row r="15" spans="1:68" x14ac:dyDescent="0.2">
      <c r="A15" s="95" t="s">
        <v>2948</v>
      </c>
      <c r="B15" s="95">
        <v>913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31</v>
      </c>
      <c r="H15" s="95" t="s">
        <v>2949</v>
      </c>
      <c r="I15" s="95" t="s">
        <v>2950</v>
      </c>
      <c r="J15" s="95" t="s">
        <v>2951</v>
      </c>
      <c r="O15" s="95" t="s">
        <v>9737</v>
      </c>
      <c r="P15" s="95" t="s">
        <v>9735</v>
      </c>
      <c r="Q15" s="98">
        <v>6.5972222222222213E-4</v>
      </c>
      <c r="R15" s="98">
        <v>1.3773148148148147E-3</v>
      </c>
      <c r="S15" s="95">
        <v>0</v>
      </c>
      <c r="T15" s="95" t="s">
        <v>416</v>
      </c>
      <c r="U15" s="95" t="s">
        <v>417</v>
      </c>
      <c r="V15" s="95" t="s">
        <v>38</v>
      </c>
      <c r="X15" s="95">
        <v>120</v>
      </c>
      <c r="Y15" s="152">
        <v>43818</v>
      </c>
      <c r="Z15" s="95" t="b">
        <v>0</v>
      </c>
      <c r="AE15" s="95" t="s">
        <v>2840</v>
      </c>
      <c r="AF15" s="95" t="s">
        <v>9508</v>
      </c>
      <c r="AH15" s="95" t="b">
        <v>0</v>
      </c>
      <c r="AI15" s="95" t="s">
        <v>9736</v>
      </c>
      <c r="AK15" s="120">
        <v>0</v>
      </c>
      <c r="AL15" s="107" t="s">
        <v>9801</v>
      </c>
      <c r="AM15" s="107" t="s">
        <v>9801</v>
      </c>
      <c r="AN15" s="121">
        <v>0</v>
      </c>
      <c r="AO15" s="121" t="b">
        <f t="shared" si="0"/>
        <v>0</v>
      </c>
      <c r="AP15" s="121"/>
      <c r="AQ15" s="121">
        <f t="shared" si="3"/>
        <v>0</v>
      </c>
      <c r="AR15" s="121">
        <f t="shared" si="4"/>
        <v>-6.5972222222222213E-4</v>
      </c>
      <c r="AS15" s="121">
        <f t="shared" si="5"/>
        <v>-1.3773148148148147E-3</v>
      </c>
      <c r="AT15" s="107" t="e">
        <f t="shared" si="6"/>
        <v>#VALUE!</v>
      </c>
      <c r="AU15" s="189" t="e">
        <f t="shared" si="7"/>
        <v>#VALUE!</v>
      </c>
      <c r="AV15" s="128">
        <f t="shared" si="8"/>
        <v>0</v>
      </c>
      <c r="AW15" s="128">
        <v>0</v>
      </c>
      <c r="AX15" s="138" t="e">
        <f t="shared" si="9"/>
        <v>#VALUE!</v>
      </c>
      <c r="AY15" s="128">
        <f t="shared" si="10"/>
        <v>1</v>
      </c>
      <c r="AZ15" s="128">
        <v>1</v>
      </c>
      <c r="BA15" s="120">
        <v>0</v>
      </c>
      <c r="BB15" s="107" t="s">
        <v>9801</v>
      </c>
      <c r="BC15" s="107" t="s">
        <v>9801</v>
      </c>
      <c r="BD15" s="121">
        <v>0</v>
      </c>
      <c r="BE15" s="121" t="b">
        <f t="shared" si="11"/>
        <v>0</v>
      </c>
      <c r="BF15" s="107"/>
      <c r="BG15" s="121">
        <f t="shared" si="12"/>
        <v>0</v>
      </c>
      <c r="BH15" s="121">
        <f t="shared" si="13"/>
        <v>-6.5972222222222213E-4</v>
      </c>
      <c r="BI15" s="121">
        <f t="shared" si="14"/>
        <v>-1.3773148148148147E-3</v>
      </c>
      <c r="BJ15" s="107" t="e">
        <f t="shared" ref="BJ15:BJ22" si="18">ABS(BB15-X15)</f>
        <v>#VALUE!</v>
      </c>
      <c r="BK15" s="189" t="e">
        <f t="shared" ref="BK15:BK22" si="19">1-ABS(BB15/X15-1)</f>
        <v>#VALUE!</v>
      </c>
      <c r="BL15" s="128">
        <f t="shared" si="15"/>
        <v>0</v>
      </c>
      <c r="BM15" s="128">
        <v>0</v>
      </c>
      <c r="BN15" s="138" t="e">
        <f t="shared" si="16"/>
        <v>#VALUE!</v>
      </c>
      <c r="BO15" s="138" t="e">
        <f t="shared" si="17"/>
        <v>#VALUE!</v>
      </c>
      <c r="BP15" s="129">
        <v>0</v>
      </c>
    </row>
    <row r="16" spans="1:68" x14ac:dyDescent="0.2">
      <c r="A16" s="95" t="s">
        <v>2953</v>
      </c>
      <c r="B16" s="95">
        <v>914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2954</v>
      </c>
      <c r="I16" s="95" t="s">
        <v>2955</v>
      </c>
      <c r="J16" s="95" t="s">
        <v>2951</v>
      </c>
      <c r="O16" s="95" t="s">
        <v>9735</v>
      </c>
      <c r="P16" s="95" t="s">
        <v>9734</v>
      </c>
      <c r="Q16" s="98">
        <v>2.199074074074074E-4</v>
      </c>
      <c r="R16" s="98">
        <v>6.8287037037037025E-4</v>
      </c>
      <c r="S16" s="95">
        <v>0</v>
      </c>
      <c r="T16" s="95" t="s">
        <v>416</v>
      </c>
      <c r="U16" s="95" t="s">
        <v>417</v>
      </c>
      <c r="V16" s="95" t="s">
        <v>38</v>
      </c>
      <c r="X16" s="95">
        <v>120</v>
      </c>
      <c r="Y16" s="152"/>
      <c r="Z16" s="95" t="b">
        <v>0</v>
      </c>
      <c r="AE16" s="95" t="s">
        <v>2840</v>
      </c>
      <c r="AF16" s="95" t="s">
        <v>9508</v>
      </c>
      <c r="AH16" s="95" t="b">
        <v>0</v>
      </c>
      <c r="AI16" s="95" t="s">
        <v>9733</v>
      </c>
      <c r="AK16" s="120">
        <v>0</v>
      </c>
      <c r="AL16" s="107" t="s">
        <v>9801</v>
      </c>
      <c r="AM16" s="107" t="s">
        <v>9801</v>
      </c>
      <c r="AN16" s="121">
        <v>0</v>
      </c>
      <c r="AO16" s="121" t="b">
        <f t="shared" si="0"/>
        <v>0</v>
      </c>
      <c r="AP16" s="121"/>
      <c r="AQ16" s="121">
        <f t="shared" si="3"/>
        <v>0</v>
      </c>
      <c r="AR16" s="121">
        <f t="shared" si="4"/>
        <v>-2.199074074074074E-4</v>
      </c>
      <c r="AS16" s="121">
        <f t="shared" si="5"/>
        <v>-6.8287037037037025E-4</v>
      </c>
      <c r="AT16" s="107" t="e">
        <f t="shared" si="6"/>
        <v>#VALUE!</v>
      </c>
      <c r="AU16" s="189" t="e">
        <f t="shared" si="7"/>
        <v>#VALUE!</v>
      </c>
      <c r="AV16" s="128">
        <f t="shared" si="8"/>
        <v>0</v>
      </c>
      <c r="AW16" s="128">
        <v>0</v>
      </c>
      <c r="AX16" s="138" t="e">
        <f t="shared" si="9"/>
        <v>#VALUE!</v>
      </c>
      <c r="AY16" s="128">
        <f t="shared" si="10"/>
        <v>1</v>
      </c>
      <c r="AZ16" s="128">
        <v>1</v>
      </c>
      <c r="BA16" s="120">
        <v>0</v>
      </c>
      <c r="BB16" s="107" t="s">
        <v>9801</v>
      </c>
      <c r="BC16" s="107" t="s">
        <v>9801</v>
      </c>
      <c r="BD16" s="121">
        <v>0</v>
      </c>
      <c r="BE16" s="121" t="b">
        <f t="shared" si="11"/>
        <v>0</v>
      </c>
      <c r="BF16" s="107"/>
      <c r="BG16" s="121">
        <f t="shared" si="12"/>
        <v>0</v>
      </c>
      <c r="BH16" s="121">
        <f t="shared" si="13"/>
        <v>-2.199074074074074E-4</v>
      </c>
      <c r="BI16" s="121">
        <f t="shared" si="14"/>
        <v>-6.8287037037037025E-4</v>
      </c>
      <c r="BJ16" s="107" t="e">
        <f t="shared" si="18"/>
        <v>#VALUE!</v>
      </c>
      <c r="BK16" s="189" t="e">
        <f t="shared" si="19"/>
        <v>#VALUE!</v>
      </c>
      <c r="BL16" s="128">
        <f t="shared" si="15"/>
        <v>0</v>
      </c>
      <c r="BM16" s="128">
        <v>0</v>
      </c>
      <c r="BN16" s="138" t="e">
        <f t="shared" si="16"/>
        <v>#VALUE!</v>
      </c>
      <c r="BO16" s="138" t="e">
        <f t="shared" si="17"/>
        <v>#VALUE!</v>
      </c>
      <c r="BP16" s="129">
        <v>0</v>
      </c>
    </row>
    <row r="17" spans="1:68" x14ac:dyDescent="0.2">
      <c r="A17" s="95" t="s">
        <v>3277</v>
      </c>
      <c r="B17" s="95">
        <v>1016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3278</v>
      </c>
      <c r="I17" s="95" t="s">
        <v>3279</v>
      </c>
      <c r="J17" s="95" t="s">
        <v>1124</v>
      </c>
      <c r="O17" s="95" t="s">
        <v>9732</v>
      </c>
      <c r="P17" s="95" t="s">
        <v>9731</v>
      </c>
      <c r="Q17" s="98">
        <v>3.8194444444444446E-4</v>
      </c>
      <c r="R17" s="98">
        <v>1.1111111111111111E-3</v>
      </c>
      <c r="S17" s="95">
        <v>0</v>
      </c>
      <c r="T17" s="95" t="s">
        <v>416</v>
      </c>
      <c r="U17" s="95" t="s">
        <v>417</v>
      </c>
      <c r="V17" s="95" t="s">
        <v>38</v>
      </c>
      <c r="X17" s="95">
        <v>0</v>
      </c>
      <c r="Y17" s="152">
        <v>43372</v>
      </c>
      <c r="Z17" s="95" t="b">
        <v>0</v>
      </c>
      <c r="AE17" s="95" t="s">
        <v>3248</v>
      </c>
      <c r="AF17" s="95" t="s">
        <v>9506</v>
      </c>
      <c r="AH17" s="95" t="b">
        <v>0</v>
      </c>
      <c r="AI17" s="95" t="s">
        <v>9730</v>
      </c>
      <c r="AK17" s="120">
        <v>0</v>
      </c>
      <c r="AL17" s="107" t="s">
        <v>9801</v>
      </c>
      <c r="AM17" s="107" t="s">
        <v>9801</v>
      </c>
      <c r="AN17" s="121">
        <v>0</v>
      </c>
      <c r="AO17" s="121" t="b">
        <f t="shared" si="0"/>
        <v>0</v>
      </c>
      <c r="AP17" s="121"/>
      <c r="AQ17" s="121">
        <f t="shared" si="3"/>
        <v>0</v>
      </c>
      <c r="AR17" s="121">
        <f t="shared" si="4"/>
        <v>-3.8194444444444446E-4</v>
      </c>
      <c r="AS17" s="121">
        <f t="shared" si="5"/>
        <v>-1.1111111111111111E-3</v>
      </c>
      <c r="AT17" s="107" t="e">
        <f t="shared" si="6"/>
        <v>#VALUE!</v>
      </c>
      <c r="AU17" s="189" t="e">
        <f t="shared" si="7"/>
        <v>#VALUE!</v>
      </c>
      <c r="AV17" s="128">
        <f t="shared" si="8"/>
        <v>0</v>
      </c>
      <c r="AW17" s="128">
        <v>0</v>
      </c>
      <c r="AX17" s="138" t="e">
        <f t="shared" si="9"/>
        <v>#VALUE!</v>
      </c>
      <c r="AY17" s="128">
        <f t="shared" si="10"/>
        <v>1</v>
      </c>
      <c r="AZ17" s="128">
        <v>1</v>
      </c>
      <c r="BA17" s="120">
        <v>0</v>
      </c>
      <c r="BB17" s="107" t="s">
        <v>9801</v>
      </c>
      <c r="BC17" s="107" t="s">
        <v>9801</v>
      </c>
      <c r="BD17" s="121">
        <v>0</v>
      </c>
      <c r="BE17" s="121" t="b">
        <f t="shared" si="11"/>
        <v>0</v>
      </c>
      <c r="BF17" s="107"/>
      <c r="BG17" s="121">
        <f t="shared" si="12"/>
        <v>0</v>
      </c>
      <c r="BH17" s="121">
        <f t="shared" si="13"/>
        <v>-3.8194444444444446E-4</v>
      </c>
      <c r="BI17" s="121">
        <f t="shared" si="14"/>
        <v>-1.1111111111111111E-3</v>
      </c>
      <c r="BJ17" s="107" t="e">
        <f t="shared" si="18"/>
        <v>#VALUE!</v>
      </c>
      <c r="BK17" s="189" t="e">
        <f t="shared" si="19"/>
        <v>#VALUE!</v>
      </c>
      <c r="BL17" s="128">
        <f t="shared" si="15"/>
        <v>0</v>
      </c>
      <c r="BM17" s="128">
        <v>0</v>
      </c>
      <c r="BN17" s="138" t="e">
        <f t="shared" si="16"/>
        <v>#VALUE!</v>
      </c>
      <c r="BO17" s="138" t="e">
        <f t="shared" si="17"/>
        <v>#VALUE!</v>
      </c>
      <c r="BP17" s="129">
        <v>0</v>
      </c>
    </row>
    <row r="18" spans="1:68" x14ac:dyDescent="0.2">
      <c r="A18" s="95" t="s">
        <v>3358</v>
      </c>
      <c r="B18" s="95">
        <v>1044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3359</v>
      </c>
      <c r="I18" s="95" t="s">
        <v>3360</v>
      </c>
      <c r="J18" s="95" t="s">
        <v>3361</v>
      </c>
      <c r="O18" s="95" t="s">
        <v>9729</v>
      </c>
      <c r="P18" s="95" t="s">
        <v>9728</v>
      </c>
      <c r="Q18" s="98">
        <v>3.0092592592592595E-4</v>
      </c>
      <c r="R18" s="98">
        <v>1.8865740740740742E-3</v>
      </c>
      <c r="S18" s="95">
        <v>0</v>
      </c>
      <c r="T18" s="95" t="s">
        <v>416</v>
      </c>
      <c r="U18" s="95" t="s">
        <v>417</v>
      </c>
      <c r="V18" s="95" t="s">
        <v>38</v>
      </c>
      <c r="X18" s="95">
        <v>0</v>
      </c>
      <c r="Y18" s="152">
        <v>43455</v>
      </c>
      <c r="Z18" s="95" t="b">
        <v>0</v>
      </c>
      <c r="AE18" s="95" t="s">
        <v>3248</v>
      </c>
      <c r="AF18" s="95" t="s">
        <v>9506</v>
      </c>
      <c r="AH18" s="95" t="b">
        <v>0</v>
      </c>
      <c r="AI18" s="95" t="s">
        <v>9727</v>
      </c>
      <c r="AK18" s="120">
        <v>0</v>
      </c>
      <c r="AL18" s="107" t="s">
        <v>9801</v>
      </c>
      <c r="AM18" s="107" t="s">
        <v>9801</v>
      </c>
      <c r="AN18" s="121">
        <v>0</v>
      </c>
      <c r="AO18" s="121" t="b">
        <f t="shared" si="0"/>
        <v>0</v>
      </c>
      <c r="AP18" s="121"/>
      <c r="AQ18" s="121">
        <f t="shared" si="3"/>
        <v>0</v>
      </c>
      <c r="AR18" s="121">
        <f t="shared" si="4"/>
        <v>-3.0092592592592595E-4</v>
      </c>
      <c r="AS18" s="121">
        <f t="shared" si="5"/>
        <v>-1.8865740740740742E-3</v>
      </c>
      <c r="AT18" s="107" t="e">
        <f t="shared" si="6"/>
        <v>#VALUE!</v>
      </c>
      <c r="AU18" s="189" t="e">
        <f t="shared" si="7"/>
        <v>#VALUE!</v>
      </c>
      <c r="AV18" s="128">
        <f t="shared" si="8"/>
        <v>0</v>
      </c>
      <c r="AW18" s="128">
        <v>0</v>
      </c>
      <c r="AX18" s="138" t="e">
        <f t="shared" si="9"/>
        <v>#VALUE!</v>
      </c>
      <c r="AY18" s="128">
        <f t="shared" si="10"/>
        <v>1</v>
      </c>
      <c r="AZ18" s="128">
        <v>1</v>
      </c>
      <c r="BA18" s="120">
        <v>0</v>
      </c>
      <c r="BB18" s="107" t="s">
        <v>9801</v>
      </c>
      <c r="BC18" s="107" t="s">
        <v>9801</v>
      </c>
      <c r="BD18" s="121">
        <v>0</v>
      </c>
      <c r="BE18" s="121" t="b">
        <f t="shared" si="11"/>
        <v>0</v>
      </c>
      <c r="BF18" s="107"/>
      <c r="BG18" s="121">
        <f t="shared" si="12"/>
        <v>0</v>
      </c>
      <c r="BH18" s="121">
        <f t="shared" si="13"/>
        <v>-3.0092592592592595E-4</v>
      </c>
      <c r="BI18" s="121">
        <f t="shared" si="14"/>
        <v>-1.8865740740740742E-3</v>
      </c>
      <c r="BJ18" s="107" t="e">
        <f t="shared" si="18"/>
        <v>#VALUE!</v>
      </c>
      <c r="BK18" s="189" t="e">
        <f t="shared" si="19"/>
        <v>#VALUE!</v>
      </c>
      <c r="BL18" s="128">
        <f t="shared" si="15"/>
        <v>0</v>
      </c>
      <c r="BM18" s="128">
        <v>0</v>
      </c>
      <c r="BN18" s="138" t="e">
        <f t="shared" si="16"/>
        <v>#VALUE!</v>
      </c>
      <c r="BO18" s="138" t="e">
        <f t="shared" si="17"/>
        <v>#VALUE!</v>
      </c>
      <c r="BP18" s="129">
        <v>0</v>
      </c>
    </row>
    <row r="19" spans="1:68" x14ac:dyDescent="0.2">
      <c r="A19" s="95" t="s">
        <v>3384</v>
      </c>
      <c r="B19" s="95">
        <v>1052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3385</v>
      </c>
      <c r="I19" s="95" t="s">
        <v>3386</v>
      </c>
      <c r="J19" s="95" t="s">
        <v>1124</v>
      </c>
      <c r="O19" s="95" t="s">
        <v>9726</v>
      </c>
      <c r="P19" s="95" t="s">
        <v>9726</v>
      </c>
      <c r="Q19" s="98">
        <v>2.7777777777777778E-4</v>
      </c>
      <c r="R19" s="98">
        <v>2.6388888888888885E-3</v>
      </c>
      <c r="S19" s="95">
        <v>0</v>
      </c>
      <c r="T19" s="95" t="s">
        <v>416</v>
      </c>
      <c r="U19" s="95" t="s">
        <v>417</v>
      </c>
      <c r="V19" s="95" t="s">
        <v>38</v>
      </c>
      <c r="X19" s="95">
        <v>0</v>
      </c>
      <c r="Y19" s="152">
        <v>43820</v>
      </c>
      <c r="Z19" s="95" t="b">
        <v>0</v>
      </c>
      <c r="AE19" s="95" t="s">
        <v>3248</v>
      </c>
      <c r="AF19" s="95" t="s">
        <v>9506</v>
      </c>
      <c r="AH19" s="95" t="b">
        <v>0</v>
      </c>
      <c r="AI19" s="95" t="s">
        <v>9725</v>
      </c>
      <c r="AK19" s="120">
        <v>0</v>
      </c>
      <c r="AL19" s="107" t="s">
        <v>9801</v>
      </c>
      <c r="AM19" s="107" t="s">
        <v>9801</v>
      </c>
      <c r="AN19" s="121">
        <v>0</v>
      </c>
      <c r="AO19" s="121" t="b">
        <f t="shared" si="0"/>
        <v>0</v>
      </c>
      <c r="AP19" s="121"/>
      <c r="AQ19" s="121">
        <f t="shared" si="3"/>
        <v>0</v>
      </c>
      <c r="AR19" s="121">
        <f t="shared" si="4"/>
        <v>-2.7777777777777778E-4</v>
      </c>
      <c r="AS19" s="121">
        <f t="shared" si="5"/>
        <v>-2.6388888888888885E-3</v>
      </c>
      <c r="AT19" s="107" t="e">
        <f t="shared" si="6"/>
        <v>#VALUE!</v>
      </c>
      <c r="AU19" s="189" t="e">
        <f t="shared" si="7"/>
        <v>#VALUE!</v>
      </c>
      <c r="AV19" s="128">
        <f t="shared" si="8"/>
        <v>0</v>
      </c>
      <c r="AW19" s="128">
        <v>0</v>
      </c>
      <c r="AX19" s="138" t="e">
        <f t="shared" si="9"/>
        <v>#VALUE!</v>
      </c>
      <c r="AY19" s="128">
        <f t="shared" si="10"/>
        <v>1</v>
      </c>
      <c r="AZ19" s="128">
        <v>1</v>
      </c>
      <c r="BA19" s="120">
        <v>0</v>
      </c>
      <c r="BB19" s="107" t="s">
        <v>9801</v>
      </c>
      <c r="BC19" s="107" t="s">
        <v>9801</v>
      </c>
      <c r="BD19" s="121">
        <v>0</v>
      </c>
      <c r="BE19" s="121" t="b">
        <f t="shared" si="11"/>
        <v>0</v>
      </c>
      <c r="BF19" s="107"/>
      <c r="BG19" s="121">
        <f t="shared" si="12"/>
        <v>0</v>
      </c>
      <c r="BH19" s="121">
        <f t="shared" si="13"/>
        <v>-2.7777777777777778E-4</v>
      </c>
      <c r="BI19" s="121">
        <f t="shared" si="14"/>
        <v>-2.6388888888888885E-3</v>
      </c>
      <c r="BJ19" s="107" t="e">
        <f t="shared" si="18"/>
        <v>#VALUE!</v>
      </c>
      <c r="BK19" s="189" t="e">
        <f t="shared" si="19"/>
        <v>#VALUE!</v>
      </c>
      <c r="BL19" s="128">
        <f t="shared" si="15"/>
        <v>0</v>
      </c>
      <c r="BM19" s="128">
        <v>0</v>
      </c>
      <c r="BN19" s="138" t="e">
        <f t="shared" si="16"/>
        <v>#VALUE!</v>
      </c>
      <c r="BO19" s="138" t="e">
        <f t="shared" si="17"/>
        <v>#VALUE!</v>
      </c>
      <c r="BP19" s="129">
        <v>0</v>
      </c>
    </row>
    <row r="20" spans="1:68" x14ac:dyDescent="0.2">
      <c r="A20" s="95" t="s">
        <v>3427</v>
      </c>
      <c r="B20" s="95">
        <v>1066</v>
      </c>
      <c r="C20" s="95" t="b">
        <v>0</v>
      </c>
      <c r="D20" s="95" t="b">
        <v>0</v>
      </c>
      <c r="E20" s="95" t="b">
        <v>0</v>
      </c>
      <c r="F20" s="95" t="b">
        <v>0</v>
      </c>
      <c r="G20" s="95" t="s">
        <v>31</v>
      </c>
      <c r="H20" s="95" t="s">
        <v>3428</v>
      </c>
      <c r="I20" s="95" t="s">
        <v>3429</v>
      </c>
      <c r="J20" s="95" t="s">
        <v>1124</v>
      </c>
      <c r="O20" s="95" t="s">
        <v>9724</v>
      </c>
      <c r="P20" s="95" t="s">
        <v>9723</v>
      </c>
      <c r="Q20" s="98">
        <v>3.2407407407407406E-4</v>
      </c>
      <c r="R20" s="98">
        <v>4.2824074074074075E-4</v>
      </c>
      <c r="S20" s="95">
        <v>0</v>
      </c>
      <c r="T20" s="95" t="s">
        <v>416</v>
      </c>
      <c r="U20" s="95" t="s">
        <v>417</v>
      </c>
      <c r="V20" s="95" t="s">
        <v>38</v>
      </c>
      <c r="X20" s="95">
        <v>0</v>
      </c>
      <c r="Y20" s="152">
        <v>43820</v>
      </c>
      <c r="Z20" s="95" t="b">
        <v>0</v>
      </c>
      <c r="AE20" s="95" t="s">
        <v>3248</v>
      </c>
      <c r="AF20" s="95" t="s">
        <v>9506</v>
      </c>
      <c r="AH20" s="95" t="b">
        <v>0</v>
      </c>
      <c r="AI20" s="95" t="s">
        <v>9722</v>
      </c>
      <c r="AK20" s="120">
        <v>0</v>
      </c>
      <c r="AL20" s="107" t="s">
        <v>9801</v>
      </c>
      <c r="AM20" s="107" t="s">
        <v>9801</v>
      </c>
      <c r="AN20" s="121">
        <v>0</v>
      </c>
      <c r="AO20" s="121" t="b">
        <f t="shared" si="0"/>
        <v>0</v>
      </c>
      <c r="AP20" s="121"/>
      <c r="AQ20" s="121">
        <f t="shared" si="3"/>
        <v>0</v>
      </c>
      <c r="AR20" s="121">
        <f t="shared" si="4"/>
        <v>-3.2407407407407406E-4</v>
      </c>
      <c r="AS20" s="121">
        <f t="shared" si="5"/>
        <v>-4.2824074074074075E-4</v>
      </c>
      <c r="AT20" s="107" t="e">
        <f t="shared" si="6"/>
        <v>#VALUE!</v>
      </c>
      <c r="AU20" s="189" t="e">
        <f t="shared" si="7"/>
        <v>#VALUE!</v>
      </c>
      <c r="AV20" s="128">
        <f t="shared" si="8"/>
        <v>0</v>
      </c>
      <c r="AW20" s="128">
        <v>0</v>
      </c>
      <c r="AX20" s="138" t="e">
        <f t="shared" si="9"/>
        <v>#VALUE!</v>
      </c>
      <c r="AY20" s="128">
        <f t="shared" si="10"/>
        <v>1</v>
      </c>
      <c r="AZ20" s="128">
        <v>1</v>
      </c>
      <c r="BA20" s="120">
        <v>0</v>
      </c>
      <c r="BB20" s="107" t="s">
        <v>9801</v>
      </c>
      <c r="BC20" s="107" t="s">
        <v>9801</v>
      </c>
      <c r="BD20" s="121">
        <v>0</v>
      </c>
      <c r="BE20" s="121" t="b">
        <f t="shared" si="11"/>
        <v>0</v>
      </c>
      <c r="BF20" s="107"/>
      <c r="BG20" s="121">
        <f t="shared" si="12"/>
        <v>0</v>
      </c>
      <c r="BH20" s="121">
        <f t="shared" si="13"/>
        <v>-3.2407407407407406E-4</v>
      </c>
      <c r="BI20" s="121">
        <f t="shared" si="14"/>
        <v>-4.2824074074074075E-4</v>
      </c>
      <c r="BJ20" s="107" t="e">
        <f t="shared" si="18"/>
        <v>#VALUE!</v>
      </c>
      <c r="BK20" s="189" t="e">
        <f t="shared" si="19"/>
        <v>#VALUE!</v>
      </c>
      <c r="BL20" s="128">
        <f t="shared" si="15"/>
        <v>0</v>
      </c>
      <c r="BM20" s="128">
        <v>0</v>
      </c>
      <c r="BN20" s="138" t="e">
        <f t="shared" si="16"/>
        <v>#VALUE!</v>
      </c>
      <c r="BO20" s="138" t="e">
        <f t="shared" si="17"/>
        <v>#VALUE!</v>
      </c>
      <c r="BP20" s="129">
        <v>0</v>
      </c>
    </row>
    <row r="21" spans="1:68" x14ac:dyDescent="0.2">
      <c r="A21" s="95" t="s">
        <v>3474</v>
      </c>
      <c r="B21" s="95">
        <v>1080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3475</v>
      </c>
      <c r="I21" s="95" t="s">
        <v>3476</v>
      </c>
      <c r="J21" s="95" t="s">
        <v>1124</v>
      </c>
      <c r="O21" s="95" t="s">
        <v>9721</v>
      </c>
      <c r="P21" s="95" t="s">
        <v>9720</v>
      </c>
      <c r="Q21" s="98">
        <v>3.8194444444444446E-4</v>
      </c>
      <c r="R21" s="98">
        <v>3.472222222222222E-3</v>
      </c>
      <c r="S21" s="95">
        <v>0</v>
      </c>
      <c r="T21" s="95" t="s">
        <v>416</v>
      </c>
      <c r="U21" s="95" t="s">
        <v>417</v>
      </c>
      <c r="V21" s="95" t="s">
        <v>38</v>
      </c>
      <c r="X21" s="95">
        <v>0</v>
      </c>
      <c r="Y21" s="152">
        <v>43820</v>
      </c>
      <c r="Z21" s="95" t="b">
        <v>0</v>
      </c>
      <c r="AE21" s="95" t="s">
        <v>3248</v>
      </c>
      <c r="AF21" s="95" t="s">
        <v>9506</v>
      </c>
      <c r="AH21" s="95" t="b">
        <v>0</v>
      </c>
      <c r="AI21" s="95" t="s">
        <v>9719</v>
      </c>
      <c r="AK21" s="120">
        <v>0</v>
      </c>
      <c r="AL21" s="107" t="s">
        <v>9801</v>
      </c>
      <c r="AM21" s="107" t="s">
        <v>9801</v>
      </c>
      <c r="AN21" s="121">
        <v>0</v>
      </c>
      <c r="AO21" s="121" t="b">
        <f t="shared" si="0"/>
        <v>0</v>
      </c>
      <c r="AP21" s="121"/>
      <c r="AQ21" s="121">
        <f t="shared" si="3"/>
        <v>0</v>
      </c>
      <c r="AR21" s="121">
        <f t="shared" si="4"/>
        <v>-3.8194444444444446E-4</v>
      </c>
      <c r="AS21" s="121">
        <f t="shared" si="5"/>
        <v>-3.472222222222222E-3</v>
      </c>
      <c r="AT21" s="107" t="e">
        <f t="shared" si="6"/>
        <v>#VALUE!</v>
      </c>
      <c r="AU21" s="189" t="e">
        <f t="shared" si="7"/>
        <v>#VALUE!</v>
      </c>
      <c r="AV21" s="128">
        <f t="shared" si="8"/>
        <v>0</v>
      </c>
      <c r="AW21" s="128">
        <v>0</v>
      </c>
      <c r="AX21" s="138" t="e">
        <f t="shared" si="9"/>
        <v>#VALUE!</v>
      </c>
      <c r="AY21" s="128">
        <f t="shared" si="10"/>
        <v>1</v>
      </c>
      <c r="AZ21" s="128">
        <v>1</v>
      </c>
      <c r="BA21" s="120">
        <v>0</v>
      </c>
      <c r="BB21" s="107" t="s">
        <v>9801</v>
      </c>
      <c r="BC21" s="107" t="s">
        <v>9801</v>
      </c>
      <c r="BD21" s="121">
        <v>0</v>
      </c>
      <c r="BE21" s="121" t="b">
        <f t="shared" si="11"/>
        <v>0</v>
      </c>
      <c r="BF21" s="107"/>
      <c r="BG21" s="121">
        <f t="shared" si="12"/>
        <v>0</v>
      </c>
      <c r="BH21" s="121">
        <f t="shared" si="13"/>
        <v>-3.8194444444444446E-4</v>
      </c>
      <c r="BI21" s="121">
        <f t="shared" si="14"/>
        <v>-3.472222222222222E-3</v>
      </c>
      <c r="BJ21" s="107" t="e">
        <f t="shared" si="18"/>
        <v>#VALUE!</v>
      </c>
      <c r="BK21" s="189" t="e">
        <f t="shared" si="19"/>
        <v>#VALUE!</v>
      </c>
      <c r="BL21" s="128">
        <f t="shared" si="15"/>
        <v>0</v>
      </c>
      <c r="BM21" s="128">
        <v>0</v>
      </c>
      <c r="BN21" s="138" t="e">
        <f t="shared" si="16"/>
        <v>#VALUE!</v>
      </c>
      <c r="BO21" s="138" t="e">
        <f t="shared" si="17"/>
        <v>#VALUE!</v>
      </c>
      <c r="BP21" s="129">
        <v>0</v>
      </c>
    </row>
    <row r="22" spans="1:68" x14ac:dyDescent="0.2">
      <c r="A22" s="95" t="s">
        <v>3600</v>
      </c>
      <c r="B22" s="95">
        <v>1119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3601</v>
      </c>
      <c r="I22" s="95" t="s">
        <v>3602</v>
      </c>
      <c r="J22" s="95" t="s">
        <v>3603</v>
      </c>
      <c r="O22" s="95" t="s">
        <v>9718</v>
      </c>
      <c r="P22" s="95" t="s">
        <v>9718</v>
      </c>
      <c r="Q22" s="98">
        <v>4.8611111111111104E-4</v>
      </c>
      <c r="R22" s="98">
        <v>1.0532407407407407E-3</v>
      </c>
      <c r="S22" s="95">
        <v>0</v>
      </c>
      <c r="T22" s="95" t="s">
        <v>416</v>
      </c>
      <c r="U22" s="95" t="s">
        <v>417</v>
      </c>
      <c r="V22" s="95" t="s">
        <v>38</v>
      </c>
      <c r="X22" s="95">
        <v>0</v>
      </c>
      <c r="Y22" s="152">
        <v>43460</v>
      </c>
      <c r="Z22" s="95" t="b">
        <v>0</v>
      </c>
      <c r="AE22" s="95" t="s">
        <v>2840</v>
      </c>
      <c r="AF22" s="95" t="s">
        <v>9492</v>
      </c>
      <c r="AH22" s="95" t="b">
        <v>0</v>
      </c>
      <c r="AI22" s="95" t="s">
        <v>9717</v>
      </c>
      <c r="AK22" s="120">
        <v>0</v>
      </c>
      <c r="AL22" s="107" t="s">
        <v>9801</v>
      </c>
      <c r="AM22" s="107" t="s">
        <v>9801</v>
      </c>
      <c r="AN22" s="121">
        <v>0</v>
      </c>
      <c r="AO22" s="121" t="b">
        <f t="shared" si="0"/>
        <v>0</v>
      </c>
      <c r="AP22" s="121"/>
      <c r="AQ22" s="121">
        <f t="shared" si="3"/>
        <v>0</v>
      </c>
      <c r="AR22" s="121">
        <f t="shared" si="4"/>
        <v>-4.8611111111111104E-4</v>
      </c>
      <c r="AS22" s="121">
        <f t="shared" si="5"/>
        <v>-1.0532407407407407E-3</v>
      </c>
      <c r="AT22" s="107" t="e">
        <f t="shared" si="6"/>
        <v>#VALUE!</v>
      </c>
      <c r="AU22" s="189" t="e">
        <f t="shared" si="7"/>
        <v>#VALUE!</v>
      </c>
      <c r="AV22" s="128">
        <f t="shared" si="8"/>
        <v>0</v>
      </c>
      <c r="AW22" s="128">
        <v>0</v>
      </c>
      <c r="AX22" s="138" t="e">
        <f t="shared" si="9"/>
        <v>#VALUE!</v>
      </c>
      <c r="AY22" s="128">
        <f t="shared" si="10"/>
        <v>1</v>
      </c>
      <c r="AZ22" s="128">
        <v>1</v>
      </c>
      <c r="BA22" s="120">
        <v>0</v>
      </c>
      <c r="BB22" s="107" t="s">
        <v>9801</v>
      </c>
      <c r="BC22" s="107" t="s">
        <v>9801</v>
      </c>
      <c r="BD22" s="121">
        <v>0</v>
      </c>
      <c r="BE22" s="121" t="b">
        <f t="shared" si="11"/>
        <v>0</v>
      </c>
      <c r="BF22" s="107"/>
      <c r="BG22" s="121">
        <f t="shared" si="12"/>
        <v>0</v>
      </c>
      <c r="BH22" s="121">
        <f t="shared" si="13"/>
        <v>-4.8611111111111104E-4</v>
      </c>
      <c r="BI22" s="121">
        <f t="shared" si="14"/>
        <v>-1.0532407407407407E-3</v>
      </c>
      <c r="BJ22" s="107" t="e">
        <f t="shared" si="18"/>
        <v>#VALUE!</v>
      </c>
      <c r="BK22" s="189" t="e">
        <f t="shared" si="19"/>
        <v>#VALUE!</v>
      </c>
      <c r="BL22" s="128">
        <f t="shared" si="15"/>
        <v>0</v>
      </c>
      <c r="BM22" s="128">
        <v>0</v>
      </c>
      <c r="BN22" s="138" t="e">
        <f t="shared" si="16"/>
        <v>#VALUE!</v>
      </c>
      <c r="BO22" s="138" t="e">
        <f t="shared" si="17"/>
        <v>#VALUE!</v>
      </c>
      <c r="BP22" s="129">
        <v>0</v>
      </c>
    </row>
    <row r="23" spans="1:68" x14ac:dyDescent="0.2">
      <c r="P23" s="95" t="s">
        <v>417</v>
      </c>
      <c r="Q23" s="99">
        <f>SUMIFS(Q2:Q22, AP2:AP22, "TRUE")</f>
        <v>0</v>
      </c>
      <c r="X23" s="95">
        <f>SUM(X2:X22)</f>
        <v>391</v>
      </c>
      <c r="AJ23" s="123" t="s">
        <v>11288</v>
      </c>
      <c r="AK23" s="195">
        <f>SUM(AK2:AK22)</f>
        <v>0</v>
      </c>
      <c r="AL23" s="108">
        <f>SUM(AL2:AL22)</f>
        <v>0</v>
      </c>
      <c r="AM23" s="108"/>
      <c r="AN23" s="196">
        <f>SUM(AN2:AN22)</f>
        <v>0</v>
      </c>
      <c r="AO23" s="181">
        <f>COUNTIF(AO2:AO22, "TRUE")/COUNTA(AO2:AO22)</f>
        <v>0</v>
      </c>
      <c r="AP23" s="181" t="e">
        <f>COUNTIF(AP2:AP22, "TRUE")/COUNTA(AP2:AP22)</f>
        <v>#DIV/0!</v>
      </c>
      <c r="AQ23" s="185">
        <f>SUM(AQ2:AQ22)</f>
        <v>0</v>
      </c>
      <c r="AR23" s="185">
        <f>SUM(AR2:AR22)</f>
        <v>-8.7499999999999991E-3</v>
      </c>
      <c r="AS23" s="185">
        <f>SUM(AS2:AS22)</f>
        <v>-3.2581018518518523E-2</v>
      </c>
      <c r="AT23" s="108">
        <f t="shared" si="6"/>
        <v>391</v>
      </c>
      <c r="AU23" s="188"/>
      <c r="AV23" s="188"/>
      <c r="AW23" s="157" t="e">
        <f>AVERAGEIFS(AW2:AW22, AP2:AP22, "TRUE")</f>
        <v>#DIV/0!</v>
      </c>
      <c r="AX23" s="188"/>
      <c r="AY23" s="188"/>
      <c r="AZ23" s="157">
        <f>AVERAGE(AZ2:AZ22)</f>
        <v>1</v>
      </c>
      <c r="BA23" s="527"/>
      <c r="BB23" s="108"/>
      <c r="BC23" s="108"/>
      <c r="BD23" s="185">
        <f>SUM(BD2:BD22)</f>
        <v>6.9444444444444444E-5</v>
      </c>
      <c r="BE23" s="181">
        <f>COUNTIF(BE2:BE22, "TRUE")/COUNTA(BE2:BE22)</f>
        <v>4.7619047619047616E-2</v>
      </c>
      <c r="BF23" s="181">
        <f>COUNTIF(BF2:BF22, "TRUE")/COUNTA(BF2:BF22)</f>
        <v>1</v>
      </c>
      <c r="BG23" s="108"/>
      <c r="BH23" s="108"/>
      <c r="BI23" s="108"/>
      <c r="BJ23" s="108"/>
      <c r="BK23" s="108"/>
      <c r="BL23" s="108"/>
      <c r="BM23" s="157">
        <f>AVERAGEIFS(BM2:BM22, BF2:BF22, "TRUE")</f>
        <v>1</v>
      </c>
      <c r="BN23" s="108"/>
      <c r="BO23" s="108"/>
      <c r="BP23" s="528"/>
    </row>
    <row r="24" spans="1:68" x14ac:dyDescent="0.2">
      <c r="P24" s="95" t="s">
        <v>11386</v>
      </c>
      <c r="Q24" s="99">
        <f>SUMIFS(Q2:Q22, BF2:BF22, "TRUE")</f>
        <v>6.5972222222222213E-4</v>
      </c>
    </row>
  </sheetData>
  <phoneticPr fontId="1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B867-3D6A-2243-B3BF-D90A8E54AA28}">
  <dimension ref="A1:BL6"/>
  <sheetViews>
    <sheetView topLeftCell="AQ1" zoomScale="111" workbookViewId="0">
      <pane ySplit="1" topLeftCell="A2" activePane="bottomLeft" state="frozen"/>
      <selection activeCell="E1" sqref="E1"/>
      <selection pane="bottomLeft" activeCell="Q6" sqref="Q6"/>
    </sheetView>
  </sheetViews>
  <sheetFormatPr baseColWidth="10" defaultColWidth="8.83203125" defaultRowHeight="15" x14ac:dyDescent="0.2"/>
  <cols>
    <col min="1" max="8" width="8.83203125" style="95"/>
    <col min="9" max="9" width="17.1640625" style="95" bestFit="1" customWidth="1"/>
    <col min="10" max="10" width="43.5" style="95" bestFit="1" customWidth="1"/>
    <col min="11" max="16" width="8.83203125" style="95"/>
    <col min="17" max="17" width="12.1640625" style="95" bestFit="1" customWidth="1"/>
    <col min="18" max="18" width="20.5" style="95" bestFit="1" customWidth="1"/>
    <col min="19" max="20" width="8.83203125" style="95"/>
    <col min="21" max="21" width="16" style="95" bestFit="1" customWidth="1"/>
    <col min="22" max="23" width="8.83203125" style="95"/>
    <col min="24" max="24" width="8.5" style="95" bestFit="1" customWidth="1"/>
    <col min="25" max="25" width="8.83203125" style="95"/>
    <col min="26" max="26" width="14" style="95" customWidth="1"/>
    <col min="27" max="31" width="8.83203125" style="95"/>
    <col min="32" max="32" width="13" style="95" bestFit="1" customWidth="1"/>
    <col min="33" max="33" width="10" style="95" customWidth="1"/>
    <col min="34" max="34" width="8.83203125" style="95"/>
    <col min="35" max="35" width="19.33203125" style="95" bestFit="1" customWidth="1"/>
    <col min="36" max="36" width="13.83203125" style="95" bestFit="1" customWidth="1"/>
    <col min="37" max="37" width="16.6640625" style="95" customWidth="1"/>
    <col min="38" max="38" width="20.6640625" style="95" customWidth="1"/>
    <col min="39" max="39" width="14.1640625" style="95" bestFit="1" customWidth="1"/>
    <col min="40" max="40" width="15.83203125" style="95" bestFit="1" customWidth="1"/>
    <col min="41" max="41" width="14.33203125" style="95" bestFit="1" customWidth="1"/>
    <col min="42" max="42" width="24.33203125" style="95" bestFit="1" customWidth="1"/>
    <col min="43" max="43" width="22.83203125" style="95" bestFit="1" customWidth="1"/>
    <col min="44" max="44" width="22" style="95" bestFit="1" customWidth="1"/>
    <col min="45" max="45" width="13.5" style="95" bestFit="1" customWidth="1"/>
    <col min="46" max="46" width="10.83203125" style="95" bestFit="1" customWidth="1"/>
    <col min="47" max="47" width="25.1640625" style="95" bestFit="1" customWidth="1"/>
    <col min="48" max="48" width="14.1640625" style="95" bestFit="1" customWidth="1"/>
    <col min="49" max="49" width="15.83203125" style="95" bestFit="1" customWidth="1"/>
    <col min="50" max="50" width="14.33203125" style="95" bestFit="1" customWidth="1"/>
    <col min="51" max="51" width="24.33203125" style="95" bestFit="1" customWidth="1"/>
    <col min="52" max="52" width="22.83203125" style="95" bestFit="1" customWidth="1"/>
    <col min="53" max="53" width="22" style="95" bestFit="1" customWidth="1"/>
    <col min="54" max="54" width="13.5" style="95" bestFit="1" customWidth="1"/>
    <col min="55" max="55" width="10.83203125" style="95" bestFit="1" customWidth="1"/>
    <col min="56" max="56" width="18.33203125" style="112" bestFit="1" customWidth="1"/>
    <col min="57" max="57" width="18.83203125" style="112" bestFit="1" customWidth="1"/>
    <col min="58" max="58" width="20.33203125" style="112" bestFit="1" customWidth="1"/>
    <col min="59" max="59" width="19" style="112" bestFit="1" customWidth="1"/>
    <col min="60" max="60" width="28.6640625" style="112" bestFit="1" customWidth="1"/>
    <col min="61" max="61" width="27.33203125" style="112" bestFit="1" customWidth="1"/>
    <col min="62" max="62" width="26.33203125" style="112" bestFit="1" customWidth="1"/>
    <col min="63" max="63" width="18.33203125" style="112" bestFit="1" customWidth="1"/>
    <col min="64" max="64" width="15.33203125" style="112" bestFit="1" customWidth="1"/>
    <col min="65" max="16384" width="8.83203125" style="95"/>
  </cols>
  <sheetData>
    <row r="1" spans="1:64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11229</v>
      </c>
      <c r="AJ1" s="204" t="s">
        <v>9803</v>
      </c>
      <c r="AK1" s="204" t="s">
        <v>11317</v>
      </c>
      <c r="AL1" s="204" t="s">
        <v>11319</v>
      </c>
      <c r="AM1" s="204" t="s">
        <v>9806</v>
      </c>
      <c r="AN1" s="204" t="s">
        <v>9798</v>
      </c>
      <c r="AO1" s="204" t="s">
        <v>11074</v>
      </c>
      <c r="AP1" s="204" t="s">
        <v>9808</v>
      </c>
      <c r="AQ1" s="204" t="s">
        <v>11075</v>
      </c>
      <c r="AR1" s="204" t="s">
        <v>9810</v>
      </c>
      <c r="AS1" s="204" t="s">
        <v>9826</v>
      </c>
      <c r="AT1" s="204" t="s">
        <v>9827</v>
      </c>
      <c r="AU1" s="233" t="s">
        <v>9812</v>
      </c>
      <c r="BD1" s="113"/>
      <c r="BE1" s="113"/>
      <c r="BF1" s="113"/>
      <c r="BG1" s="113"/>
      <c r="BH1" s="113"/>
      <c r="BI1" s="113"/>
      <c r="BJ1" s="113"/>
      <c r="BK1" s="113"/>
      <c r="BL1" s="113"/>
    </row>
    <row r="2" spans="1:64" ht="16" x14ac:dyDescent="0.2">
      <c r="A2" s="95" t="s">
        <v>2001</v>
      </c>
      <c r="B2" s="95">
        <v>621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2002</v>
      </c>
      <c r="I2" s="95" t="s">
        <v>2003</v>
      </c>
      <c r="J2" s="95" t="s">
        <v>2004</v>
      </c>
      <c r="O2" s="95" t="s">
        <v>9782</v>
      </c>
      <c r="P2" s="95" t="s">
        <v>9781</v>
      </c>
      <c r="Q2" s="99">
        <v>9.2592592592592585E-4</v>
      </c>
      <c r="R2" s="98">
        <v>1.7708333333333332E-3</v>
      </c>
      <c r="S2" s="95">
        <v>0</v>
      </c>
      <c r="T2" s="95" t="s">
        <v>2005</v>
      </c>
      <c r="U2" s="95" t="s">
        <v>2006</v>
      </c>
      <c r="V2" s="95" t="s">
        <v>38</v>
      </c>
      <c r="X2" s="95">
        <v>20</v>
      </c>
      <c r="Z2" s="95" t="b">
        <v>0</v>
      </c>
      <c r="AE2" s="95" t="s">
        <v>1945</v>
      </c>
      <c r="AF2" s="95" t="s">
        <v>9530</v>
      </c>
      <c r="AH2" s="95" t="b">
        <v>0</v>
      </c>
      <c r="AI2" s="117" t="s">
        <v>11102</v>
      </c>
      <c r="AJ2" s="214">
        <v>1.8981481481481482E-3</v>
      </c>
      <c r="AK2" s="215" t="b">
        <v>0</v>
      </c>
      <c r="AL2" s="215" t="s">
        <v>9801</v>
      </c>
      <c r="AM2" s="215">
        <v>265</v>
      </c>
      <c r="AN2" s="214">
        <v>2.3148148148148146E-4</v>
      </c>
      <c r="AO2" s="214">
        <f>AJ2+AN2</f>
        <v>2.1296296296296298E-3</v>
      </c>
      <c r="AP2" s="215" t="s">
        <v>9801</v>
      </c>
      <c r="AQ2" s="215" t="s">
        <v>9801</v>
      </c>
      <c r="AR2" s="215" t="s">
        <v>9801</v>
      </c>
      <c r="AS2" s="215" t="s">
        <v>9801</v>
      </c>
      <c r="AT2" s="215" t="s">
        <v>9801</v>
      </c>
      <c r="AU2" s="215" t="s">
        <v>11231</v>
      </c>
    </row>
    <row r="3" spans="1:64" ht="16" x14ac:dyDescent="0.2">
      <c r="A3" s="95" t="s">
        <v>2007</v>
      </c>
      <c r="B3" s="95">
        <v>622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2008</v>
      </c>
      <c r="I3" s="95" t="s">
        <v>2009</v>
      </c>
      <c r="J3" s="95" t="s">
        <v>2010</v>
      </c>
      <c r="O3" s="95" t="s">
        <v>9781</v>
      </c>
      <c r="P3" s="95" t="s">
        <v>9780</v>
      </c>
      <c r="Q3" s="99">
        <v>9.2592592592592585E-4</v>
      </c>
      <c r="R3" s="98">
        <v>9.6064814814814808E-4</v>
      </c>
      <c r="S3" s="95">
        <v>0</v>
      </c>
      <c r="T3" s="95" t="s">
        <v>2005</v>
      </c>
      <c r="U3" s="95" t="s">
        <v>2006</v>
      </c>
      <c r="V3" s="95" t="s">
        <v>38</v>
      </c>
      <c r="X3" s="95">
        <v>120</v>
      </c>
      <c r="Z3" s="95" t="b">
        <v>0</v>
      </c>
      <c r="AE3" s="95" t="s">
        <v>1945</v>
      </c>
      <c r="AF3" s="95" t="s">
        <v>9530</v>
      </c>
      <c r="AG3" s="95" t="s">
        <v>9442</v>
      </c>
      <c r="AH3" s="95" t="b">
        <v>0</v>
      </c>
      <c r="AI3" s="117" t="s">
        <v>11103</v>
      </c>
      <c r="AJ3" s="214">
        <v>1.0532407407407407E-3</v>
      </c>
      <c r="AK3" s="215" t="b">
        <v>0</v>
      </c>
      <c r="AL3" s="215" t="s">
        <v>9801</v>
      </c>
      <c r="AM3" s="215">
        <v>268</v>
      </c>
      <c r="AN3" s="214">
        <v>3.1250000000000001E-4</v>
      </c>
      <c r="AO3" s="214">
        <f>AJ3+AM3</f>
        <v>268.00105324074076</v>
      </c>
      <c r="AP3" s="215" t="s">
        <v>9801</v>
      </c>
      <c r="AQ3" s="215" t="s">
        <v>9801</v>
      </c>
      <c r="AR3" s="215" t="s">
        <v>9801</v>
      </c>
      <c r="AS3" s="215" t="s">
        <v>9801</v>
      </c>
      <c r="AT3" s="215" t="s">
        <v>9801</v>
      </c>
      <c r="AU3" s="215" t="s">
        <v>11232</v>
      </c>
    </row>
    <row r="4" spans="1:64" x14ac:dyDescent="0.2">
      <c r="Q4" s="98">
        <f>SUMIFS(Q2:Q3,AK2:AK3, "TRUE")</f>
        <v>0</v>
      </c>
      <c r="R4" s="95" t="s">
        <v>11321</v>
      </c>
      <c r="X4" s="95">
        <f>SUMIFS(X2:X3, AK2:AK3, "TRUE")</f>
        <v>0</v>
      </c>
      <c r="Y4" s="95" t="s">
        <v>11329</v>
      </c>
      <c r="AJ4" s="214"/>
      <c r="AK4" s="219">
        <f>COUNTIF(AK2:AK3,"TRUE")/ROWS(AK2:AK3)</f>
        <v>0</v>
      </c>
      <c r="AL4" s="219">
        <f>COUNTIF(AL2:AL3,"TRUE")/COUNTA(AL2:AL3)</f>
        <v>0</v>
      </c>
      <c r="AM4" s="215">
        <f>SUM(AM2:AM3)</f>
        <v>533</v>
      </c>
      <c r="AN4" s="214">
        <f>SUMIFS(AN2:AN3, AK2:AK3, "TRUE")</f>
        <v>0</v>
      </c>
      <c r="AO4" s="214"/>
      <c r="AP4" s="215"/>
      <c r="AQ4" s="215"/>
      <c r="AR4" s="215"/>
      <c r="AS4" s="215" t="s">
        <v>9801</v>
      </c>
      <c r="AT4" s="215" t="s">
        <v>9801</v>
      </c>
      <c r="AU4" s="215"/>
    </row>
    <row r="5" spans="1:64" x14ac:dyDescent="0.2">
      <c r="Q5" s="98">
        <v>0</v>
      </c>
      <c r="R5" s="95" t="s">
        <v>9427</v>
      </c>
    </row>
    <row r="6" spans="1:64" x14ac:dyDescent="0.2">
      <c r="AR6" s="123" t="s">
        <v>11377</v>
      </c>
      <c r="AS6" s="151">
        <f>COUNTIF(AS2:AS3,"&lt;&gt;-")/ROWS(AS2:AS3)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ADD8-A859-8045-8555-BED4D811ECE0}">
  <dimension ref="A1:CB35"/>
  <sheetViews>
    <sheetView topLeftCell="AS1" workbookViewId="0">
      <pane ySplit="1" topLeftCell="A2" activePane="bottomLeft" state="frozen"/>
      <selection pane="bottomLeft" activeCell="AX2" sqref="AX2"/>
    </sheetView>
  </sheetViews>
  <sheetFormatPr baseColWidth="10" defaultColWidth="8.83203125" defaultRowHeight="15" x14ac:dyDescent="0.2"/>
  <cols>
    <col min="1" max="2" width="8.83203125" style="95"/>
    <col min="3" max="8" width="8.83203125" style="95" customWidth="1"/>
    <col min="9" max="9" width="17.1640625" style="95" customWidth="1"/>
    <col min="10" max="10" width="38.1640625" style="95" customWidth="1"/>
    <col min="11" max="16" width="8.83203125" style="95" customWidth="1"/>
    <col min="17" max="17" width="12.1640625" style="95" customWidth="1"/>
    <col min="18" max="18" width="20.5" style="95" customWidth="1"/>
    <col min="19" max="20" width="8.83203125" style="95" customWidth="1"/>
    <col min="21" max="21" width="16" style="95" customWidth="1"/>
    <col min="22" max="22" width="24.83203125" style="95" customWidth="1"/>
    <col min="23" max="23" width="10.33203125" style="95" customWidth="1"/>
    <col min="24" max="24" width="8.5" style="95" customWidth="1"/>
    <col min="25" max="25" width="8.1640625" style="111" bestFit="1" customWidth="1"/>
    <col min="26" max="31" width="8.83203125" style="95"/>
    <col min="32" max="32" width="13" style="95" bestFit="1" customWidth="1"/>
    <col min="33" max="34" width="8.83203125" style="95"/>
    <col min="35" max="35" width="19.5" style="95" bestFit="1" customWidth="1"/>
    <col min="36" max="36" width="19.33203125" style="95" bestFit="1" customWidth="1"/>
    <col min="37" max="37" width="18.1640625" style="95" bestFit="1" customWidth="1"/>
    <col min="38" max="38" width="18.83203125" style="95" bestFit="1" customWidth="1"/>
    <col min="39" max="39" width="18.5" style="95" bestFit="1" customWidth="1"/>
    <col min="40" max="40" width="11.83203125" style="95" bestFit="1" customWidth="1"/>
    <col min="41" max="41" width="14.83203125" style="95" bestFit="1" customWidth="1"/>
    <col min="42" max="42" width="19.5" style="95" bestFit="1" customWidth="1"/>
    <col min="43" max="43" width="12.1640625" style="95" bestFit="1" customWidth="1"/>
    <col min="44" max="44" width="11.5" style="95" bestFit="1" customWidth="1"/>
    <col min="45" max="45" width="15.5" style="95" bestFit="1" customWidth="1"/>
    <col min="46" max="46" width="12.33203125" style="95" bestFit="1" customWidth="1"/>
    <col min="47" max="47" width="22.33203125" style="95" bestFit="1" customWidth="1"/>
    <col min="48" max="48" width="20.6640625" style="95" bestFit="1" customWidth="1"/>
    <col min="49" max="49" width="20.5" style="95" bestFit="1" customWidth="1"/>
    <col min="50" max="50" width="19.1640625" style="95" bestFit="1" customWidth="1"/>
    <col min="51" max="51" width="16.5" style="95" bestFit="1" customWidth="1"/>
    <col min="52" max="52" width="18.6640625" style="95" bestFit="1" customWidth="1"/>
    <col min="53" max="53" width="15.33203125" style="95" bestFit="1" customWidth="1"/>
    <col min="54" max="54" width="24.33203125" style="95" bestFit="1" customWidth="1"/>
    <col min="55" max="55" width="13.83203125" style="95" customWidth="1"/>
    <col min="56" max="56" width="12.5" style="95" customWidth="1"/>
    <col min="57" max="57" width="16.6640625" style="95" customWidth="1"/>
    <col min="58" max="59" width="14.1640625" style="95" customWidth="1"/>
    <col min="60" max="60" width="15.83203125" style="95" customWidth="1"/>
    <col min="61" max="61" width="14.33203125" style="95" customWidth="1"/>
    <col min="62" max="62" width="24.33203125" style="95" customWidth="1"/>
    <col min="63" max="63" width="22.83203125" style="95" customWidth="1"/>
    <col min="64" max="64" width="22.6640625" style="95" customWidth="1"/>
    <col min="65" max="65" width="21.1640625" style="95" customWidth="1"/>
    <col min="66" max="67" width="18.5" style="95" customWidth="1"/>
    <col min="68" max="68" width="17.5" style="95" customWidth="1"/>
    <col min="69" max="69" width="30.33203125" style="95" customWidth="1"/>
    <col min="70" max="70" width="12.6640625" style="95" bestFit="1" customWidth="1"/>
    <col min="71" max="71" width="11.6640625" style="95" customWidth="1"/>
    <col min="72" max="72" width="13" style="95" bestFit="1" customWidth="1"/>
    <col min="73" max="73" width="14.6640625" style="95" bestFit="1" customWidth="1"/>
    <col min="74" max="74" width="13.1640625" style="95" bestFit="1" customWidth="1"/>
    <col min="75" max="75" width="23.1640625" style="95" bestFit="1" customWidth="1"/>
    <col min="76" max="76" width="21.6640625" style="95" bestFit="1" customWidth="1"/>
    <col min="77" max="77" width="20.6640625" style="95" bestFit="1" customWidth="1"/>
    <col min="78" max="78" width="12.33203125" style="95" bestFit="1" customWidth="1"/>
    <col min="79" max="79" width="12.33203125" style="95" customWidth="1"/>
    <col min="80" max="80" width="13.83203125" style="95" customWidth="1"/>
    <col min="81" max="16384" width="8.83203125" style="95"/>
  </cols>
  <sheetData>
    <row r="1" spans="1:80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154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11229</v>
      </c>
      <c r="AN1" s="200" t="s">
        <v>11076</v>
      </c>
      <c r="AO1" s="200" t="s">
        <v>11933</v>
      </c>
      <c r="AP1" s="200" t="s">
        <v>11327</v>
      </c>
      <c r="AQ1" s="200" t="s">
        <v>11934</v>
      </c>
      <c r="AR1" s="200" t="s">
        <v>11935</v>
      </c>
      <c r="AS1" s="200" t="s">
        <v>11082</v>
      </c>
      <c r="AT1" s="200" t="s">
        <v>11083</v>
      </c>
      <c r="AU1" s="200" t="s">
        <v>11084</v>
      </c>
      <c r="AV1" s="200" t="s">
        <v>11085</v>
      </c>
      <c r="AW1" s="200" t="s">
        <v>11936</v>
      </c>
      <c r="AX1" s="200" t="s">
        <v>11937</v>
      </c>
      <c r="AY1" s="200" t="s">
        <v>11938</v>
      </c>
      <c r="AZ1" s="200" t="s">
        <v>11939</v>
      </c>
      <c r="BA1" s="200" t="s">
        <v>11940</v>
      </c>
      <c r="BB1" s="200" t="s">
        <v>9811</v>
      </c>
      <c r="BC1" s="204" t="s">
        <v>9803</v>
      </c>
      <c r="BD1" s="204" t="s">
        <v>11311</v>
      </c>
      <c r="BE1" s="204" t="s">
        <v>11312</v>
      </c>
      <c r="BF1" s="204" t="s">
        <v>9806</v>
      </c>
      <c r="BG1" s="204" t="s">
        <v>11302</v>
      </c>
      <c r="BH1" s="204" t="s">
        <v>9798</v>
      </c>
      <c r="BI1" s="204" t="s">
        <v>11074</v>
      </c>
      <c r="BJ1" s="204" t="s">
        <v>9808</v>
      </c>
      <c r="BK1" s="204" t="s">
        <v>11075</v>
      </c>
      <c r="BL1" s="204" t="s">
        <v>11298</v>
      </c>
      <c r="BM1" s="204" t="s">
        <v>11299</v>
      </c>
      <c r="BN1" s="204" t="s">
        <v>11300</v>
      </c>
      <c r="BO1" s="204" t="s">
        <v>11303</v>
      </c>
      <c r="BP1" s="204" t="s">
        <v>11301</v>
      </c>
      <c r="BQ1" s="204" t="s">
        <v>9812</v>
      </c>
      <c r="BR1" s="228" t="s">
        <v>11089</v>
      </c>
      <c r="BS1" s="228" t="s">
        <v>11311</v>
      </c>
      <c r="BT1" s="228" t="s">
        <v>11090</v>
      </c>
      <c r="BU1" s="228" t="s">
        <v>11091</v>
      </c>
      <c r="BV1" s="228" t="s">
        <v>11092</v>
      </c>
      <c r="BW1" s="228" t="s">
        <v>11093</v>
      </c>
      <c r="BX1" s="228" t="s">
        <v>11094</v>
      </c>
      <c r="BY1" s="228" t="s">
        <v>11095</v>
      </c>
      <c r="BZ1" s="228" t="s">
        <v>9824</v>
      </c>
      <c r="CA1" s="228" t="s">
        <v>11096</v>
      </c>
      <c r="CB1" s="228" t="s">
        <v>9814</v>
      </c>
    </row>
    <row r="2" spans="1:80" x14ac:dyDescent="0.2">
      <c r="A2" s="95" t="s">
        <v>105</v>
      </c>
      <c r="B2" s="95">
        <v>19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106</v>
      </c>
      <c r="I2" s="95" t="s">
        <v>107</v>
      </c>
      <c r="J2" s="95" t="s">
        <v>108</v>
      </c>
      <c r="O2" s="95" t="s">
        <v>10975</v>
      </c>
      <c r="P2" s="95" t="s">
        <v>10974</v>
      </c>
      <c r="Q2" s="98">
        <v>7.407407407407407E-4</v>
      </c>
      <c r="R2" s="98">
        <v>7.0254629629629634E-3</v>
      </c>
      <c r="S2" s="95">
        <v>0</v>
      </c>
      <c r="T2" s="95" t="s">
        <v>109</v>
      </c>
      <c r="U2" s="95" t="s">
        <v>110</v>
      </c>
      <c r="V2" s="95" t="s">
        <v>38</v>
      </c>
      <c r="X2" s="95">
        <v>100</v>
      </c>
      <c r="Z2" s="95" t="b">
        <v>0</v>
      </c>
      <c r="AE2" s="95" t="s">
        <v>39</v>
      </c>
      <c r="AF2" s="95" t="s">
        <v>9568</v>
      </c>
      <c r="AH2" s="95" t="b">
        <v>0</v>
      </c>
      <c r="AI2" s="95" t="s">
        <v>11104</v>
      </c>
      <c r="AN2" s="207">
        <v>6.4814814814814813E-4</v>
      </c>
      <c r="AO2" s="207" t="b">
        <v>1</v>
      </c>
      <c r="AP2" s="207" t="b">
        <v>1</v>
      </c>
      <c r="AQ2" s="208">
        <v>110</v>
      </c>
      <c r="AR2" s="208" t="s">
        <v>9801</v>
      </c>
      <c r="AS2" s="207">
        <v>1.0416666666666667E-4</v>
      </c>
      <c r="AT2" s="207">
        <f>AN2+AS2</f>
        <v>7.5231481481481482E-4</v>
      </c>
      <c r="AU2" s="207">
        <f>AS2-Q2</f>
        <v>-6.3657407407407402E-4</v>
      </c>
      <c r="AV2" s="207">
        <f>AT2-R2</f>
        <v>-6.2731481481481484E-3</v>
      </c>
      <c r="AW2" s="208">
        <f>AQ2-X2</f>
        <v>10</v>
      </c>
      <c r="AX2" s="516">
        <f>1-AY2</f>
        <v>0.89999999999999991</v>
      </c>
      <c r="AY2" s="507">
        <f>ABS(AQ2/X2-1)</f>
        <v>0.10000000000000009</v>
      </c>
      <c r="AZ2" s="213" t="s">
        <v>9801</v>
      </c>
      <c r="BA2" s="213" t="s">
        <v>9801</v>
      </c>
      <c r="BB2" s="213"/>
      <c r="BC2" s="214">
        <v>7.407407407407407E-4</v>
      </c>
      <c r="BD2" s="214" t="b">
        <v>1</v>
      </c>
      <c r="BE2" s="214" t="b">
        <v>1</v>
      </c>
      <c r="BF2" s="215">
        <v>109</v>
      </c>
      <c r="BG2" s="215"/>
      <c r="BH2" s="214">
        <v>1.8518518518518518E-4</v>
      </c>
      <c r="BI2" s="214">
        <f>BC2+BH2</f>
        <v>9.2592592592592585E-4</v>
      </c>
      <c r="BJ2" s="214">
        <f>BH2-Q2</f>
        <v>-5.5555555555555556E-4</v>
      </c>
      <c r="BK2" s="214">
        <f>BI2-R2</f>
        <v>-6.0995370370370379E-3</v>
      </c>
      <c r="BL2" s="215">
        <f>BF2-X2</f>
        <v>9</v>
      </c>
      <c r="BM2" s="226">
        <f>IF(BN2&lt;&gt;"-", 1-BN2, "-")</f>
        <v>0.90999999999999992</v>
      </c>
      <c r="BN2" s="219">
        <f>ABS(BF2/X2-1)</f>
        <v>9.000000000000008E-2</v>
      </c>
      <c r="BO2" s="219"/>
      <c r="BP2" s="219"/>
      <c r="BQ2" s="219"/>
      <c r="BR2" s="229">
        <v>2.4305555555555552E-4</v>
      </c>
      <c r="BS2" s="229" t="s">
        <v>9801</v>
      </c>
      <c r="BT2" s="230" t="s">
        <v>9801</v>
      </c>
      <c r="BU2" s="229">
        <v>0</v>
      </c>
      <c r="BV2" s="229">
        <f>BR2+BU2</f>
        <v>2.4305555555555552E-4</v>
      </c>
      <c r="BW2" s="229">
        <f t="shared" ref="BW2:BW31" si="0">BU2-Q2</f>
        <v>-7.407407407407407E-4</v>
      </c>
      <c r="BX2" s="229">
        <f t="shared" ref="BX2:BX31" si="1">BV2-R2</f>
        <v>-6.782407407407408E-3</v>
      </c>
      <c r="BY2" s="230" t="s">
        <v>9801</v>
      </c>
      <c r="BZ2" s="230" t="s">
        <v>9801</v>
      </c>
      <c r="CA2" s="230" t="s">
        <v>9801</v>
      </c>
      <c r="CB2" s="230" t="s">
        <v>11307</v>
      </c>
    </row>
    <row r="3" spans="1:80" x14ac:dyDescent="0.2">
      <c r="A3" s="95" t="s">
        <v>111</v>
      </c>
      <c r="B3" s="95">
        <v>20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112</v>
      </c>
      <c r="I3" s="95" t="s">
        <v>113</v>
      </c>
      <c r="J3" s="95" t="s">
        <v>114</v>
      </c>
      <c r="O3" s="95" t="s">
        <v>10973</v>
      </c>
      <c r="P3" s="95" t="s">
        <v>10973</v>
      </c>
      <c r="Q3" s="98">
        <v>2.199074074074074E-4</v>
      </c>
      <c r="R3" s="98">
        <v>6.7476851851851856E-3</v>
      </c>
      <c r="S3" s="95">
        <v>0</v>
      </c>
      <c r="T3" s="95" t="s">
        <v>109</v>
      </c>
      <c r="U3" s="95" t="s">
        <v>110</v>
      </c>
      <c r="V3" s="95" t="s">
        <v>38</v>
      </c>
      <c r="X3" s="95">
        <v>0</v>
      </c>
      <c r="Z3" s="95" t="b">
        <v>0</v>
      </c>
      <c r="AE3" s="95" t="s">
        <v>115</v>
      </c>
      <c r="AF3" s="95" t="s">
        <v>9566</v>
      </c>
      <c r="AG3" s="95" t="s">
        <v>9412</v>
      </c>
      <c r="AH3" s="95" t="b">
        <v>0</v>
      </c>
      <c r="AI3" s="95" t="s">
        <v>11105</v>
      </c>
      <c r="AN3" s="207">
        <v>2.6620370370370372E-4</v>
      </c>
      <c r="AO3" s="207" t="b">
        <v>0</v>
      </c>
      <c r="AP3" s="207"/>
      <c r="AQ3" s="208" t="s">
        <v>9801</v>
      </c>
      <c r="AR3" s="208" t="s">
        <v>9801</v>
      </c>
      <c r="AS3" s="207"/>
      <c r="AT3" s="207">
        <f t="shared" ref="AT3:AT31" si="2">AN3+AS3</f>
        <v>2.6620370370370372E-4</v>
      </c>
      <c r="AU3" s="207">
        <f t="shared" ref="AU3:AU31" si="3">AS3-Q3</f>
        <v>-2.199074074074074E-4</v>
      </c>
      <c r="AV3" s="207">
        <f t="shared" ref="AV3:AV31" si="4">AT3-R3</f>
        <v>-6.4814814814814822E-3</v>
      </c>
      <c r="AW3" s="208" t="s">
        <v>9801</v>
      </c>
      <c r="AX3" s="517" t="s">
        <v>9801</v>
      </c>
      <c r="AY3" s="213" t="s">
        <v>9801</v>
      </c>
      <c r="AZ3" s="213" t="s">
        <v>9801</v>
      </c>
      <c r="BA3" s="213" t="s">
        <v>9801</v>
      </c>
      <c r="BB3" s="213"/>
      <c r="BC3" s="214">
        <v>7.6388888888888893E-4</v>
      </c>
      <c r="BD3" s="214" t="b">
        <v>1</v>
      </c>
      <c r="BE3" s="214" t="b">
        <v>1</v>
      </c>
      <c r="BF3" s="215">
        <v>0</v>
      </c>
      <c r="BG3" s="215"/>
      <c r="BH3" s="214">
        <v>1.3888888888888889E-4</v>
      </c>
      <c r="BI3" s="214">
        <f>BC3+BH3</f>
        <v>9.0277777777777784E-4</v>
      </c>
      <c r="BJ3" s="214">
        <f t="shared" ref="BJ3:BJ31" si="5">BH3-Q3</f>
        <v>-8.1018518518518516E-5</v>
      </c>
      <c r="BK3" s="214">
        <f t="shared" ref="BK3:BK31" si="6">BI3-R3</f>
        <v>-5.844907407407408E-3</v>
      </c>
      <c r="BL3" s="215">
        <f>BF3-X3</f>
        <v>0</v>
      </c>
      <c r="BM3" s="226">
        <f t="shared" ref="BM3:BM31" si="7">IF(BN3&lt;&gt;"-", 1-BN3, "-")</f>
        <v>1</v>
      </c>
      <c r="BN3" s="219">
        <v>0</v>
      </c>
      <c r="BO3" s="219"/>
      <c r="BP3" s="219"/>
      <c r="BQ3" s="219"/>
      <c r="BR3" s="229">
        <v>6.9444444444444444E-5</v>
      </c>
      <c r="BS3" s="229" t="s">
        <v>9801</v>
      </c>
      <c r="BT3" s="230" t="s">
        <v>9801</v>
      </c>
      <c r="BU3" s="229">
        <v>0</v>
      </c>
      <c r="BV3" s="229">
        <f t="shared" ref="BV3:BV31" si="8">BR3+BU3</f>
        <v>6.9444444444444444E-5</v>
      </c>
      <c r="BW3" s="229">
        <f t="shared" si="0"/>
        <v>-2.199074074074074E-4</v>
      </c>
      <c r="BX3" s="229">
        <f t="shared" si="1"/>
        <v>-6.6782407407407415E-3</v>
      </c>
      <c r="BY3" s="230" t="s">
        <v>9801</v>
      </c>
      <c r="BZ3" s="230" t="s">
        <v>9801</v>
      </c>
      <c r="CA3" s="230" t="s">
        <v>9801</v>
      </c>
      <c r="CB3" s="230" t="s">
        <v>11307</v>
      </c>
    </row>
    <row r="4" spans="1:80" x14ac:dyDescent="0.2">
      <c r="A4" s="95" t="s">
        <v>116</v>
      </c>
      <c r="B4" s="95">
        <v>21</v>
      </c>
      <c r="C4" s="95" t="b">
        <v>0</v>
      </c>
      <c r="D4" s="95" t="b">
        <v>0</v>
      </c>
      <c r="E4" s="95" t="b">
        <v>0</v>
      </c>
      <c r="F4" s="95" t="b">
        <v>0</v>
      </c>
      <c r="G4" s="95" t="s">
        <v>31</v>
      </c>
      <c r="H4" s="95" t="s">
        <v>117</v>
      </c>
      <c r="I4" s="95" t="s">
        <v>118</v>
      </c>
      <c r="J4" s="95" t="s">
        <v>119</v>
      </c>
      <c r="O4" s="95" t="s">
        <v>10871</v>
      </c>
      <c r="P4" s="95" t="s">
        <v>10870</v>
      </c>
      <c r="Q4" s="98">
        <v>4.7453703703703704E-4</v>
      </c>
      <c r="R4" s="98">
        <v>1.9328703703703704E-3</v>
      </c>
      <c r="S4" s="95">
        <v>0</v>
      </c>
      <c r="T4" s="95" t="s">
        <v>109</v>
      </c>
      <c r="U4" s="95" t="s">
        <v>110</v>
      </c>
      <c r="V4" s="95" t="s">
        <v>38</v>
      </c>
      <c r="X4" s="95">
        <v>0</v>
      </c>
      <c r="Z4" s="95" t="b">
        <v>0</v>
      </c>
      <c r="AE4" s="95" t="s">
        <v>115</v>
      </c>
      <c r="AF4" s="95" t="s">
        <v>9566</v>
      </c>
      <c r="AH4" s="95" t="b">
        <v>0</v>
      </c>
      <c r="AI4" s="95" t="s">
        <v>11106</v>
      </c>
      <c r="AN4" s="207">
        <v>2.3148148148148146E-4</v>
      </c>
      <c r="AO4" s="207" t="b">
        <v>0</v>
      </c>
      <c r="AP4" s="207"/>
      <c r="AQ4" s="208" t="s">
        <v>9801</v>
      </c>
      <c r="AR4" s="208" t="s">
        <v>9801</v>
      </c>
      <c r="AS4" s="207"/>
      <c r="AT4" s="207">
        <f t="shared" si="2"/>
        <v>2.3148148148148146E-4</v>
      </c>
      <c r="AU4" s="207">
        <f t="shared" si="3"/>
        <v>-4.7453703703703704E-4</v>
      </c>
      <c r="AV4" s="207">
        <f t="shared" si="4"/>
        <v>-1.701388888888889E-3</v>
      </c>
      <c r="AW4" s="208" t="s">
        <v>9801</v>
      </c>
      <c r="AX4" s="517" t="s">
        <v>9801</v>
      </c>
      <c r="AY4" s="213" t="s">
        <v>9801</v>
      </c>
      <c r="AZ4" s="213" t="s">
        <v>9801</v>
      </c>
      <c r="BA4" s="213" t="s">
        <v>9801</v>
      </c>
      <c r="BB4" s="213"/>
      <c r="BC4" s="214">
        <v>1.2384259259259258E-3</v>
      </c>
      <c r="BD4" s="214" t="b">
        <v>0</v>
      </c>
      <c r="BE4" s="214"/>
      <c r="BF4" s="215" t="s">
        <v>9801</v>
      </c>
      <c r="BG4" s="215"/>
      <c r="BH4" s="214">
        <v>0</v>
      </c>
      <c r="BI4" s="214">
        <f t="shared" ref="BI4:BI31" si="9">BC4+BH4</f>
        <v>1.2384259259259258E-3</v>
      </c>
      <c r="BJ4" s="214">
        <f t="shared" si="5"/>
        <v>-4.7453703703703704E-4</v>
      </c>
      <c r="BK4" s="214">
        <f t="shared" si="6"/>
        <v>-6.9444444444444458E-4</v>
      </c>
      <c r="BL4" s="215" t="s">
        <v>9801</v>
      </c>
      <c r="BM4" s="226" t="str">
        <f t="shared" si="7"/>
        <v>-</v>
      </c>
      <c r="BN4" s="219" t="s">
        <v>9801</v>
      </c>
      <c r="BO4" s="219"/>
      <c r="BP4" s="219"/>
      <c r="BQ4" s="219" t="s">
        <v>11270</v>
      </c>
      <c r="BR4" s="229">
        <v>2.3148148148148146E-4</v>
      </c>
      <c r="BS4" s="229" t="b">
        <v>0</v>
      </c>
      <c r="BT4" s="230" t="s">
        <v>9801</v>
      </c>
      <c r="BU4" s="229">
        <v>0</v>
      </c>
      <c r="BV4" s="229">
        <f t="shared" si="8"/>
        <v>2.3148148148148146E-4</v>
      </c>
      <c r="BW4" s="229">
        <f t="shared" si="0"/>
        <v>-4.7453703703703704E-4</v>
      </c>
      <c r="BX4" s="229">
        <f t="shared" si="1"/>
        <v>-1.701388888888889E-3</v>
      </c>
      <c r="BY4" s="230" t="s">
        <v>9801</v>
      </c>
      <c r="BZ4" s="230" t="s">
        <v>9801</v>
      </c>
      <c r="CA4" s="230" t="s">
        <v>9801</v>
      </c>
      <c r="CB4" s="230" t="s">
        <v>11308</v>
      </c>
    </row>
    <row r="5" spans="1:80" x14ac:dyDescent="0.2">
      <c r="A5" s="95" t="s">
        <v>175</v>
      </c>
      <c r="B5" s="95">
        <v>38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176</v>
      </c>
      <c r="I5" s="95" t="s">
        <v>177</v>
      </c>
      <c r="J5" s="95" t="s">
        <v>119</v>
      </c>
      <c r="O5" s="95" t="s">
        <v>9646</v>
      </c>
      <c r="P5" s="95" t="s">
        <v>9646</v>
      </c>
      <c r="Q5" s="98">
        <v>2.8935185185185189E-4</v>
      </c>
      <c r="R5" s="98">
        <v>1.0347222222222223E-2</v>
      </c>
      <c r="S5" s="95">
        <v>0</v>
      </c>
      <c r="T5" s="95" t="s">
        <v>109</v>
      </c>
      <c r="U5" s="95" t="s">
        <v>110</v>
      </c>
      <c r="V5" s="95" t="s">
        <v>38</v>
      </c>
      <c r="X5" s="95">
        <v>0</v>
      </c>
      <c r="Z5" s="95" t="b">
        <v>0</v>
      </c>
      <c r="AE5" s="95" t="s">
        <v>115</v>
      </c>
      <c r="AF5" s="95" t="s">
        <v>9566</v>
      </c>
      <c r="AG5" s="95" t="s">
        <v>9408</v>
      </c>
      <c r="AH5" s="95" t="b">
        <v>0</v>
      </c>
      <c r="AI5" s="95" t="s">
        <v>11107</v>
      </c>
      <c r="AN5" s="207">
        <v>1.8518518518518518E-4</v>
      </c>
      <c r="AO5" s="207" t="b">
        <v>1</v>
      </c>
      <c r="AP5" s="207" t="b">
        <v>0</v>
      </c>
      <c r="AQ5" s="208" t="s">
        <v>9801</v>
      </c>
      <c r="AR5" s="208" t="s">
        <v>9801</v>
      </c>
      <c r="AS5" s="207">
        <v>5.7870370370370366E-5</v>
      </c>
      <c r="AT5" s="207">
        <f t="shared" si="2"/>
        <v>2.4305555555555555E-4</v>
      </c>
      <c r="AU5" s="207">
        <f t="shared" si="3"/>
        <v>-2.3148148148148152E-4</v>
      </c>
      <c r="AV5" s="207">
        <f t="shared" si="4"/>
        <v>-1.0104166666666668E-2</v>
      </c>
      <c r="AW5" s="208" t="s">
        <v>9801</v>
      </c>
      <c r="AX5" s="517" t="s">
        <v>9801</v>
      </c>
      <c r="AY5" s="213" t="s">
        <v>9801</v>
      </c>
      <c r="AZ5" s="213" t="s">
        <v>9801</v>
      </c>
      <c r="BA5" s="213" t="s">
        <v>9801</v>
      </c>
      <c r="BB5" s="213"/>
      <c r="BC5" s="214">
        <v>7.291666666666667E-4</v>
      </c>
      <c r="BD5" s="214" t="b">
        <v>0</v>
      </c>
      <c r="BE5" s="214"/>
      <c r="BF5" s="215" t="s">
        <v>9801</v>
      </c>
      <c r="BG5" s="215"/>
      <c r="BH5" s="214">
        <v>0</v>
      </c>
      <c r="BI5" s="214">
        <f t="shared" si="9"/>
        <v>7.291666666666667E-4</v>
      </c>
      <c r="BJ5" s="214">
        <f t="shared" si="5"/>
        <v>-2.8935185185185189E-4</v>
      </c>
      <c r="BK5" s="214">
        <f t="shared" si="6"/>
        <v>-9.6180555555555568E-3</v>
      </c>
      <c r="BL5" s="215" t="s">
        <v>9801</v>
      </c>
      <c r="BM5" s="226" t="str">
        <f t="shared" si="7"/>
        <v>-</v>
      </c>
      <c r="BN5" s="219" t="s">
        <v>9801</v>
      </c>
      <c r="BO5" s="219"/>
      <c r="BP5" s="219"/>
      <c r="BQ5" s="219" t="s">
        <v>11270</v>
      </c>
      <c r="BR5" s="229">
        <v>2.199074074074074E-4</v>
      </c>
      <c r="BS5" s="229" t="b">
        <v>0</v>
      </c>
      <c r="BT5" s="230" t="s">
        <v>9801</v>
      </c>
      <c r="BU5" s="229">
        <v>0</v>
      </c>
      <c r="BV5" s="229">
        <f t="shared" si="8"/>
        <v>2.199074074074074E-4</v>
      </c>
      <c r="BW5" s="229">
        <f t="shared" si="0"/>
        <v>-2.8935185185185189E-4</v>
      </c>
      <c r="BX5" s="229">
        <f t="shared" si="1"/>
        <v>-1.0127314814814815E-2</v>
      </c>
      <c r="BY5" s="230" t="s">
        <v>9801</v>
      </c>
      <c r="BZ5" s="230" t="s">
        <v>9801</v>
      </c>
      <c r="CA5" s="230" t="s">
        <v>9801</v>
      </c>
      <c r="CB5" s="230" t="s">
        <v>11308</v>
      </c>
    </row>
    <row r="6" spans="1:80" x14ac:dyDescent="0.2">
      <c r="A6" s="95" t="s">
        <v>197</v>
      </c>
      <c r="B6" s="95">
        <v>45</v>
      </c>
      <c r="C6" s="95" t="b">
        <v>0</v>
      </c>
      <c r="D6" s="95" t="b">
        <v>0</v>
      </c>
      <c r="E6" s="95" t="b">
        <v>0</v>
      </c>
      <c r="F6" s="95" t="b">
        <v>0</v>
      </c>
      <c r="G6" s="95" t="s">
        <v>31</v>
      </c>
      <c r="H6" s="95" t="s">
        <v>198</v>
      </c>
      <c r="I6" s="95" t="s">
        <v>199</v>
      </c>
      <c r="J6" s="95" t="s">
        <v>119</v>
      </c>
      <c r="O6" s="95" t="s">
        <v>10972</v>
      </c>
      <c r="P6" s="95" t="s">
        <v>10972</v>
      </c>
      <c r="Q6" s="98">
        <v>2.4305555555555552E-4</v>
      </c>
      <c r="R6" s="98">
        <v>9.0972222222222218E-3</v>
      </c>
      <c r="S6" s="95">
        <v>0</v>
      </c>
      <c r="T6" s="95" t="s">
        <v>109</v>
      </c>
      <c r="U6" s="95" t="s">
        <v>110</v>
      </c>
      <c r="V6" s="95" t="s">
        <v>38</v>
      </c>
      <c r="X6" s="95">
        <v>0</v>
      </c>
      <c r="Z6" s="95" t="b">
        <v>0</v>
      </c>
      <c r="AE6" s="95" t="s">
        <v>115</v>
      </c>
      <c r="AF6" s="95" t="s">
        <v>9566</v>
      </c>
      <c r="AG6" s="95" t="s">
        <v>9408</v>
      </c>
      <c r="AH6" s="95" t="b">
        <v>0</v>
      </c>
      <c r="AI6" s="118" t="s">
        <v>11109</v>
      </c>
      <c r="AN6" s="207">
        <v>2.6620370370370372E-4</v>
      </c>
      <c r="AO6" s="207" t="b">
        <v>1</v>
      </c>
      <c r="AP6" s="207" t="b">
        <v>0</v>
      </c>
      <c r="AQ6" s="208" t="s">
        <v>9801</v>
      </c>
      <c r="AR6" s="208" t="s">
        <v>9801</v>
      </c>
      <c r="AS6" s="207">
        <v>9.2592592592592588E-5</v>
      </c>
      <c r="AT6" s="207">
        <f t="shared" si="2"/>
        <v>3.5879629629629629E-4</v>
      </c>
      <c r="AU6" s="207">
        <f t="shared" si="3"/>
        <v>-1.5046296296296292E-4</v>
      </c>
      <c r="AV6" s="207">
        <f t="shared" si="4"/>
        <v>-8.7384259259259255E-3</v>
      </c>
      <c r="AW6" s="208" t="s">
        <v>9801</v>
      </c>
      <c r="AX6" s="517" t="s">
        <v>9801</v>
      </c>
      <c r="AY6" s="213" t="s">
        <v>9801</v>
      </c>
      <c r="AZ6" s="213" t="s">
        <v>9801</v>
      </c>
      <c r="BA6" s="213" t="s">
        <v>9801</v>
      </c>
      <c r="BB6" s="213"/>
      <c r="BC6" s="214">
        <v>8.2175925925925917E-4</v>
      </c>
      <c r="BD6" s="214" t="b">
        <v>0</v>
      </c>
      <c r="BE6" s="214"/>
      <c r="BF6" s="215" t="s">
        <v>9801</v>
      </c>
      <c r="BG6" s="215"/>
      <c r="BH6" s="214">
        <v>0</v>
      </c>
      <c r="BI6" s="214">
        <f t="shared" si="9"/>
        <v>8.2175925925925917E-4</v>
      </c>
      <c r="BJ6" s="214">
        <f t="shared" si="5"/>
        <v>-2.4305555555555552E-4</v>
      </c>
      <c r="BK6" s="214">
        <f t="shared" si="6"/>
        <v>-8.2754629629629619E-3</v>
      </c>
      <c r="BL6" s="215" t="s">
        <v>9801</v>
      </c>
      <c r="BM6" s="226" t="str">
        <f t="shared" si="7"/>
        <v>-</v>
      </c>
      <c r="BN6" s="219" t="s">
        <v>9801</v>
      </c>
      <c r="BO6" s="219"/>
      <c r="BP6" s="219"/>
      <c r="BQ6" s="219" t="s">
        <v>11270</v>
      </c>
      <c r="BR6" s="229">
        <v>2.199074074074074E-4</v>
      </c>
      <c r="BS6" s="229" t="b">
        <v>0</v>
      </c>
      <c r="BT6" s="230" t="s">
        <v>9801</v>
      </c>
      <c r="BU6" s="229">
        <v>0</v>
      </c>
      <c r="BV6" s="229">
        <f t="shared" si="8"/>
        <v>2.199074074074074E-4</v>
      </c>
      <c r="BW6" s="229">
        <f t="shared" si="0"/>
        <v>-2.4305555555555552E-4</v>
      </c>
      <c r="BX6" s="229">
        <f t="shared" si="1"/>
        <v>-8.8773148148148136E-3</v>
      </c>
      <c r="BY6" s="230" t="s">
        <v>9801</v>
      </c>
      <c r="BZ6" s="230" t="s">
        <v>9801</v>
      </c>
      <c r="CA6" s="230" t="s">
        <v>9801</v>
      </c>
      <c r="CB6" s="230" t="s">
        <v>11308</v>
      </c>
    </row>
    <row r="7" spans="1:80" x14ac:dyDescent="0.2">
      <c r="A7" s="95" t="s">
        <v>439</v>
      </c>
      <c r="B7" s="95">
        <v>123</v>
      </c>
      <c r="C7" s="95" t="b">
        <v>0</v>
      </c>
      <c r="D7" s="95" t="b">
        <v>0</v>
      </c>
      <c r="E7" s="95" t="b">
        <v>0</v>
      </c>
      <c r="F7" s="95" t="b">
        <v>0</v>
      </c>
      <c r="G7" s="95" t="s">
        <v>31</v>
      </c>
      <c r="H7" s="95" t="s">
        <v>440</v>
      </c>
      <c r="I7" s="95" t="s">
        <v>441</v>
      </c>
      <c r="J7" s="95" t="s">
        <v>442</v>
      </c>
      <c r="O7" s="95" t="s">
        <v>9773</v>
      </c>
      <c r="P7" s="95" t="s">
        <v>10869</v>
      </c>
      <c r="Q7" s="98">
        <v>3.8194444444444446E-4</v>
      </c>
      <c r="R7" s="98">
        <v>6.9444444444444447E-4</v>
      </c>
      <c r="S7" s="95">
        <v>0</v>
      </c>
      <c r="T7" s="95" t="s">
        <v>109</v>
      </c>
      <c r="U7" s="95" t="s">
        <v>110</v>
      </c>
      <c r="V7" s="95" t="s">
        <v>38</v>
      </c>
      <c r="X7" s="95">
        <v>100</v>
      </c>
      <c r="Y7" s="155">
        <v>43821</v>
      </c>
      <c r="Z7" s="95" t="b">
        <v>0</v>
      </c>
      <c r="AE7" s="95" t="s">
        <v>207</v>
      </c>
      <c r="AF7" s="95" t="s">
        <v>9561</v>
      </c>
      <c r="AH7" s="95" t="b">
        <v>0</v>
      </c>
      <c r="AI7" s="95" t="s">
        <v>11110</v>
      </c>
      <c r="AN7" s="207">
        <v>6.4814814814814813E-4</v>
      </c>
      <c r="AO7" s="207" t="b">
        <v>0</v>
      </c>
      <c r="AP7" s="207"/>
      <c r="AQ7" s="208" t="s">
        <v>9801</v>
      </c>
      <c r="AR7" s="208" t="s">
        <v>9801</v>
      </c>
      <c r="AS7" s="207"/>
      <c r="AT7" s="207">
        <f t="shared" si="2"/>
        <v>6.4814814814814813E-4</v>
      </c>
      <c r="AU7" s="207">
        <f t="shared" si="3"/>
        <v>-3.8194444444444446E-4</v>
      </c>
      <c r="AV7" s="207">
        <f t="shared" si="4"/>
        <v>-4.6296296296296341E-5</v>
      </c>
      <c r="AW7" s="208" t="s">
        <v>9801</v>
      </c>
      <c r="AX7" s="517" t="s">
        <v>9801</v>
      </c>
      <c r="AY7" s="213" t="s">
        <v>9801</v>
      </c>
      <c r="AZ7" s="213" t="s">
        <v>9801</v>
      </c>
      <c r="BA7" s="213" t="s">
        <v>9801</v>
      </c>
      <c r="BB7" s="213"/>
      <c r="BC7" s="214">
        <v>1.1111111111111111E-3</v>
      </c>
      <c r="BD7" s="214" t="b">
        <v>0</v>
      </c>
      <c r="BE7" s="214"/>
      <c r="BF7" s="215" t="s">
        <v>9801</v>
      </c>
      <c r="BG7" s="215" t="s">
        <v>9801</v>
      </c>
      <c r="BH7" s="214">
        <v>0</v>
      </c>
      <c r="BI7" s="214">
        <f t="shared" si="9"/>
        <v>1.1111111111111111E-3</v>
      </c>
      <c r="BJ7" s="214">
        <f t="shared" si="5"/>
        <v>-3.8194444444444446E-4</v>
      </c>
      <c r="BK7" s="214">
        <f t="shared" si="6"/>
        <v>4.1666666666666664E-4</v>
      </c>
      <c r="BL7" s="215" t="s">
        <v>9801</v>
      </c>
      <c r="BM7" s="226" t="str">
        <f t="shared" si="7"/>
        <v>-</v>
      </c>
      <c r="BN7" s="219" t="s">
        <v>9801</v>
      </c>
      <c r="BO7" s="219" t="s">
        <v>9801</v>
      </c>
      <c r="BP7" s="219" t="s">
        <v>9801</v>
      </c>
      <c r="BQ7" s="219" t="s">
        <v>11270</v>
      </c>
      <c r="BR7" s="229">
        <v>1.8518518518518518E-4</v>
      </c>
      <c r="BS7" s="229" t="b">
        <v>0</v>
      </c>
      <c r="BT7" s="230" t="s">
        <v>9801</v>
      </c>
      <c r="BU7" s="229">
        <v>0</v>
      </c>
      <c r="BV7" s="229">
        <f t="shared" si="8"/>
        <v>1.8518518518518518E-4</v>
      </c>
      <c r="BW7" s="229">
        <f t="shared" si="0"/>
        <v>-3.8194444444444446E-4</v>
      </c>
      <c r="BX7" s="229">
        <f t="shared" si="1"/>
        <v>-5.0925925925925932E-4</v>
      </c>
      <c r="BY7" s="230" t="s">
        <v>9801</v>
      </c>
      <c r="BZ7" s="230" t="s">
        <v>9801</v>
      </c>
      <c r="CA7" s="230" t="s">
        <v>9801</v>
      </c>
      <c r="CB7" s="230" t="s">
        <v>11308</v>
      </c>
    </row>
    <row r="8" spans="1:80" x14ac:dyDescent="0.2">
      <c r="A8" s="95" t="s">
        <v>472</v>
      </c>
      <c r="B8" s="95">
        <v>134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473</v>
      </c>
      <c r="I8" s="95" t="s">
        <v>474</v>
      </c>
      <c r="J8" s="95" t="s">
        <v>475</v>
      </c>
      <c r="O8" s="95" t="s">
        <v>10971</v>
      </c>
      <c r="P8" s="95" t="s">
        <v>10970</v>
      </c>
      <c r="Q8" s="98">
        <v>7.6388888888888893E-4</v>
      </c>
      <c r="R8" s="98">
        <v>1.25E-3</v>
      </c>
      <c r="S8" s="95">
        <v>0</v>
      </c>
      <c r="T8" s="95" t="s">
        <v>109</v>
      </c>
      <c r="U8" s="95" t="s">
        <v>110</v>
      </c>
      <c r="V8" s="95" t="s">
        <v>38</v>
      </c>
      <c r="X8" s="95">
        <v>80</v>
      </c>
      <c r="Y8" s="155">
        <v>43821</v>
      </c>
      <c r="Z8" s="95" t="b">
        <v>0</v>
      </c>
      <c r="AE8" s="95" t="s">
        <v>207</v>
      </c>
      <c r="AF8" s="95" t="s">
        <v>9561</v>
      </c>
      <c r="AH8" s="95" t="b">
        <v>0</v>
      </c>
      <c r="AI8" s="95" t="s">
        <v>11111</v>
      </c>
      <c r="AN8" s="207">
        <v>2.7777777777777778E-4</v>
      </c>
      <c r="AO8" s="207" t="b">
        <v>0</v>
      </c>
      <c r="AP8" s="207"/>
      <c r="AQ8" s="208" t="s">
        <v>9801</v>
      </c>
      <c r="AR8" s="208" t="s">
        <v>9801</v>
      </c>
      <c r="AS8" s="207"/>
      <c r="AT8" s="207">
        <f t="shared" si="2"/>
        <v>2.7777777777777778E-4</v>
      </c>
      <c r="AU8" s="207">
        <f t="shared" si="3"/>
        <v>-7.6388888888888893E-4</v>
      </c>
      <c r="AV8" s="207">
        <f t="shared" si="4"/>
        <v>-9.7222222222222219E-4</v>
      </c>
      <c r="AW8" s="208" t="s">
        <v>9801</v>
      </c>
      <c r="AX8" s="517" t="s">
        <v>9801</v>
      </c>
      <c r="AY8" s="213" t="s">
        <v>9801</v>
      </c>
      <c r="AZ8" s="213" t="s">
        <v>9801</v>
      </c>
      <c r="BA8" s="213" t="s">
        <v>9801</v>
      </c>
      <c r="BB8" s="213"/>
      <c r="BC8" s="214">
        <v>4.8611111111111104E-4</v>
      </c>
      <c r="BD8" s="214" t="b">
        <v>0</v>
      </c>
      <c r="BE8" s="214"/>
      <c r="BF8" s="215" t="s">
        <v>9801</v>
      </c>
      <c r="BG8" s="215" t="s">
        <v>9801</v>
      </c>
      <c r="BH8" s="214">
        <v>0</v>
      </c>
      <c r="BI8" s="214">
        <f t="shared" si="9"/>
        <v>4.8611111111111104E-4</v>
      </c>
      <c r="BJ8" s="214">
        <f t="shared" si="5"/>
        <v>-7.6388888888888893E-4</v>
      </c>
      <c r="BK8" s="214">
        <f t="shared" si="6"/>
        <v>-7.6388888888888904E-4</v>
      </c>
      <c r="BL8" s="215" t="s">
        <v>9801</v>
      </c>
      <c r="BM8" s="226" t="str">
        <f t="shared" si="7"/>
        <v>-</v>
      </c>
      <c r="BN8" s="219" t="s">
        <v>9801</v>
      </c>
      <c r="BO8" s="219" t="s">
        <v>9801</v>
      </c>
      <c r="BP8" s="219" t="s">
        <v>9801</v>
      </c>
      <c r="BQ8" s="219" t="s">
        <v>11270</v>
      </c>
      <c r="BR8" s="229">
        <v>2.6620370370370372E-4</v>
      </c>
      <c r="BS8" s="229" t="s">
        <v>9801</v>
      </c>
      <c r="BT8" s="230" t="s">
        <v>9801</v>
      </c>
      <c r="BU8" s="229">
        <v>0</v>
      </c>
      <c r="BV8" s="229">
        <f t="shared" si="8"/>
        <v>2.6620370370370372E-4</v>
      </c>
      <c r="BW8" s="229">
        <f t="shared" si="0"/>
        <v>-7.6388888888888893E-4</v>
      </c>
      <c r="BX8" s="229">
        <f t="shared" si="1"/>
        <v>-9.8379629629629642E-4</v>
      </c>
      <c r="BY8" s="230" t="s">
        <v>9801</v>
      </c>
      <c r="BZ8" s="230" t="s">
        <v>9801</v>
      </c>
      <c r="CA8" s="230" t="s">
        <v>9801</v>
      </c>
      <c r="CB8" s="230" t="s">
        <v>11307</v>
      </c>
    </row>
    <row r="9" spans="1:80" x14ac:dyDescent="0.2">
      <c r="A9" s="95" t="s">
        <v>476</v>
      </c>
      <c r="B9" s="95">
        <v>135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477</v>
      </c>
      <c r="I9" s="95" t="s">
        <v>478</v>
      </c>
      <c r="J9" s="95" t="s">
        <v>479</v>
      </c>
      <c r="O9" s="95" t="s">
        <v>10868</v>
      </c>
      <c r="P9" s="95" t="s">
        <v>10867</v>
      </c>
      <c r="Q9" s="98">
        <v>7.175925925925927E-4</v>
      </c>
      <c r="R9" s="98">
        <v>1.3773148148148147E-3</v>
      </c>
      <c r="S9" s="95">
        <v>0</v>
      </c>
      <c r="T9" s="95" t="s">
        <v>109</v>
      </c>
      <c r="U9" s="95" t="s">
        <v>110</v>
      </c>
      <c r="V9" s="95" t="s">
        <v>38</v>
      </c>
      <c r="X9" s="95">
        <v>90</v>
      </c>
      <c r="Y9" s="155">
        <v>43821</v>
      </c>
      <c r="Z9" s="95" t="b">
        <v>0</v>
      </c>
      <c r="AE9" s="95" t="s">
        <v>207</v>
      </c>
      <c r="AF9" s="95" t="s">
        <v>9561</v>
      </c>
      <c r="AH9" s="95" t="b">
        <v>0</v>
      </c>
      <c r="AI9" s="95" t="s">
        <v>11112</v>
      </c>
      <c r="AN9" s="207">
        <v>2.7777777777777778E-4</v>
      </c>
      <c r="AO9" s="207" t="b">
        <v>0</v>
      </c>
      <c r="AP9" s="207"/>
      <c r="AQ9" s="208" t="s">
        <v>9801</v>
      </c>
      <c r="AR9" s="208" t="s">
        <v>9801</v>
      </c>
      <c r="AS9" s="207"/>
      <c r="AT9" s="207">
        <f t="shared" si="2"/>
        <v>2.7777777777777778E-4</v>
      </c>
      <c r="AU9" s="207">
        <f t="shared" si="3"/>
        <v>-7.175925925925927E-4</v>
      </c>
      <c r="AV9" s="207">
        <f t="shared" si="4"/>
        <v>-1.0995370370370369E-3</v>
      </c>
      <c r="AW9" s="208" t="s">
        <v>9801</v>
      </c>
      <c r="AX9" s="517" t="s">
        <v>9801</v>
      </c>
      <c r="AY9" s="213" t="s">
        <v>9801</v>
      </c>
      <c r="AZ9" s="213" t="s">
        <v>9801</v>
      </c>
      <c r="BA9" s="213" t="s">
        <v>9801</v>
      </c>
      <c r="BB9" s="213"/>
      <c r="BC9" s="214">
        <v>5.7870370370370378E-4</v>
      </c>
      <c r="BD9" s="214" t="b">
        <v>0</v>
      </c>
      <c r="BE9" s="214"/>
      <c r="BF9" s="215" t="s">
        <v>9801</v>
      </c>
      <c r="BG9" s="215" t="s">
        <v>9801</v>
      </c>
      <c r="BH9" s="214">
        <v>0</v>
      </c>
      <c r="BI9" s="214">
        <f t="shared" si="9"/>
        <v>5.7870370370370378E-4</v>
      </c>
      <c r="BJ9" s="214">
        <f t="shared" si="5"/>
        <v>-7.175925925925927E-4</v>
      </c>
      <c r="BK9" s="214">
        <f t="shared" si="6"/>
        <v>-7.9861111111111094E-4</v>
      </c>
      <c r="BL9" s="215" t="s">
        <v>9801</v>
      </c>
      <c r="BM9" s="226" t="str">
        <f t="shared" si="7"/>
        <v>-</v>
      </c>
      <c r="BN9" s="219" t="s">
        <v>9801</v>
      </c>
      <c r="BO9" s="219" t="s">
        <v>9801</v>
      </c>
      <c r="BP9" s="219" t="s">
        <v>9801</v>
      </c>
      <c r="BQ9" s="219" t="s">
        <v>11270</v>
      </c>
      <c r="BR9" s="229">
        <v>1.273148148148148E-4</v>
      </c>
      <c r="BS9" s="229" t="s">
        <v>9801</v>
      </c>
      <c r="BT9" s="230" t="s">
        <v>9801</v>
      </c>
      <c r="BU9" s="229">
        <v>0</v>
      </c>
      <c r="BV9" s="229">
        <f t="shared" si="8"/>
        <v>1.273148148148148E-4</v>
      </c>
      <c r="BW9" s="229">
        <f t="shared" si="0"/>
        <v>-7.175925925925927E-4</v>
      </c>
      <c r="BX9" s="229">
        <f t="shared" si="1"/>
        <v>-1.2499999999999998E-3</v>
      </c>
      <c r="BY9" s="230" t="s">
        <v>9801</v>
      </c>
      <c r="BZ9" s="230" t="s">
        <v>9801</v>
      </c>
      <c r="CA9" s="230" t="s">
        <v>9801</v>
      </c>
      <c r="CB9" s="230" t="s">
        <v>11307</v>
      </c>
    </row>
    <row r="10" spans="1:80" x14ac:dyDescent="0.2">
      <c r="A10" s="95" t="s">
        <v>523</v>
      </c>
      <c r="B10" s="95">
        <v>150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524</v>
      </c>
      <c r="I10" s="95" t="s">
        <v>525</v>
      </c>
      <c r="J10" s="95" t="s">
        <v>526</v>
      </c>
      <c r="O10" s="95" t="s">
        <v>10866</v>
      </c>
      <c r="P10" s="95" t="s">
        <v>9643</v>
      </c>
      <c r="Q10" s="98">
        <v>3.2407407407407406E-4</v>
      </c>
      <c r="R10" s="98">
        <v>1.2152777777777778E-3</v>
      </c>
      <c r="S10" s="95">
        <v>0</v>
      </c>
      <c r="T10" s="95" t="s">
        <v>109</v>
      </c>
      <c r="U10" s="95" t="s">
        <v>110</v>
      </c>
      <c r="V10" s="95" t="s">
        <v>38</v>
      </c>
      <c r="X10" s="95">
        <v>115</v>
      </c>
      <c r="Z10" s="95" t="b">
        <v>0</v>
      </c>
      <c r="AE10" s="95" t="s">
        <v>492</v>
      </c>
      <c r="AF10" s="95" t="s">
        <v>9559</v>
      </c>
      <c r="AH10" s="95" t="b">
        <v>0</v>
      </c>
      <c r="AI10" s="95" t="s">
        <v>11113</v>
      </c>
      <c r="AN10" s="207">
        <v>1.8518518518518517E-3</v>
      </c>
      <c r="AO10" s="207" t="b">
        <v>0</v>
      </c>
      <c r="AP10" s="207"/>
      <c r="AQ10" s="208" t="s">
        <v>9801</v>
      </c>
      <c r="AR10" s="208" t="s">
        <v>9801</v>
      </c>
      <c r="AS10" s="207"/>
      <c r="AT10" s="207">
        <f t="shared" si="2"/>
        <v>1.8518518518518517E-3</v>
      </c>
      <c r="AU10" s="207">
        <f t="shared" si="3"/>
        <v>-3.2407407407407406E-4</v>
      </c>
      <c r="AV10" s="207">
        <f t="shared" si="4"/>
        <v>6.3657407407407391E-4</v>
      </c>
      <c r="AW10" s="208" t="s">
        <v>9801</v>
      </c>
      <c r="AX10" s="517" t="s">
        <v>9801</v>
      </c>
      <c r="AY10" s="213" t="s">
        <v>9801</v>
      </c>
      <c r="AZ10" s="213" t="s">
        <v>9801</v>
      </c>
      <c r="BA10" s="213" t="s">
        <v>9801</v>
      </c>
      <c r="BB10" s="213"/>
      <c r="BC10" s="214">
        <v>1.1458333333333333E-3</v>
      </c>
      <c r="BD10" s="214" t="b">
        <v>1</v>
      </c>
      <c r="BE10" s="214" t="b">
        <v>1</v>
      </c>
      <c r="BF10" s="215">
        <v>116</v>
      </c>
      <c r="BG10" s="215"/>
      <c r="BH10" s="214">
        <v>1.3888888888888889E-4</v>
      </c>
      <c r="BI10" s="214">
        <f t="shared" si="9"/>
        <v>1.2847222222222223E-3</v>
      </c>
      <c r="BJ10" s="214">
        <f t="shared" si="5"/>
        <v>-1.8518518518518518E-4</v>
      </c>
      <c r="BK10" s="214">
        <f t="shared" si="6"/>
        <v>6.9444444444444458E-5</v>
      </c>
      <c r="BL10" s="215">
        <f>BF10-X10</f>
        <v>1</v>
      </c>
      <c r="BM10" s="226">
        <f t="shared" si="7"/>
        <v>0.99130434782608701</v>
      </c>
      <c r="BN10" s="219">
        <f>ABS(BF10/X10-1)</f>
        <v>8.6956521739129933E-3</v>
      </c>
      <c r="BO10" s="219"/>
      <c r="BP10" s="219"/>
      <c r="BQ10" s="219"/>
      <c r="BR10" s="229">
        <v>1.273148148148148E-4</v>
      </c>
      <c r="BS10" s="229" t="s">
        <v>9801</v>
      </c>
      <c r="BT10" s="230" t="s">
        <v>9801</v>
      </c>
      <c r="BU10" s="229">
        <v>0</v>
      </c>
      <c r="BV10" s="229">
        <f t="shared" si="8"/>
        <v>1.273148148148148E-4</v>
      </c>
      <c r="BW10" s="229">
        <f t="shared" si="0"/>
        <v>-3.2407407407407406E-4</v>
      </c>
      <c r="BX10" s="229">
        <f t="shared" si="1"/>
        <v>-1.0879629629629629E-3</v>
      </c>
      <c r="BY10" s="230" t="s">
        <v>9801</v>
      </c>
      <c r="BZ10" s="230" t="s">
        <v>9801</v>
      </c>
      <c r="CA10" s="230" t="s">
        <v>9801</v>
      </c>
      <c r="CB10" s="230" t="s">
        <v>11307</v>
      </c>
    </row>
    <row r="11" spans="1:80" x14ac:dyDescent="0.2">
      <c r="A11" s="95" t="s">
        <v>527</v>
      </c>
      <c r="B11" s="95">
        <v>151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528</v>
      </c>
      <c r="I11" s="95" t="s">
        <v>529</v>
      </c>
      <c r="J11" s="95" t="s">
        <v>530</v>
      </c>
      <c r="O11" s="95" t="s">
        <v>9643</v>
      </c>
      <c r="P11" s="95" t="s">
        <v>9642</v>
      </c>
      <c r="Q11" s="98">
        <v>4.8611111111111104E-4</v>
      </c>
      <c r="R11" s="98">
        <v>8.3333333333333339E-4</v>
      </c>
      <c r="S11" s="95">
        <v>0</v>
      </c>
      <c r="T11" s="95" t="s">
        <v>109</v>
      </c>
      <c r="U11" s="95" t="s">
        <v>110</v>
      </c>
      <c r="V11" s="95" t="s">
        <v>38</v>
      </c>
      <c r="X11" s="95">
        <v>85</v>
      </c>
      <c r="Z11" s="95" t="b">
        <v>0</v>
      </c>
      <c r="AE11" s="95" t="s">
        <v>492</v>
      </c>
      <c r="AF11" s="95" t="s">
        <v>9559</v>
      </c>
      <c r="AH11" s="95" t="b">
        <v>0</v>
      </c>
      <c r="AI11" s="95" t="s">
        <v>11114</v>
      </c>
      <c r="AN11" s="207">
        <v>2.6620370370370372E-4</v>
      </c>
      <c r="AO11" s="207" t="b">
        <v>1</v>
      </c>
      <c r="AP11" s="207" t="b">
        <v>0</v>
      </c>
      <c r="AQ11" s="208" t="s">
        <v>9801</v>
      </c>
      <c r="AR11" s="208" t="s">
        <v>9801</v>
      </c>
      <c r="AS11" s="207">
        <v>3.4722222222222222E-5</v>
      </c>
      <c r="AT11" s="207">
        <f t="shared" si="2"/>
        <v>3.0092592592592595E-4</v>
      </c>
      <c r="AU11" s="207">
        <f t="shared" si="3"/>
        <v>-4.5138888888888881E-4</v>
      </c>
      <c r="AV11" s="207">
        <f t="shared" si="4"/>
        <v>-5.3240740740740744E-4</v>
      </c>
      <c r="AW11" s="208" t="s">
        <v>9801</v>
      </c>
      <c r="AX11" s="517" t="s">
        <v>9801</v>
      </c>
      <c r="AY11" s="213" t="s">
        <v>9801</v>
      </c>
      <c r="AZ11" s="213" t="s">
        <v>9801</v>
      </c>
      <c r="BA11" s="213" t="s">
        <v>9801</v>
      </c>
      <c r="BB11" s="213"/>
      <c r="BC11" s="214">
        <v>3.8194444444444446E-4</v>
      </c>
      <c r="BD11" s="214" t="b">
        <v>1</v>
      </c>
      <c r="BE11" s="214" t="b">
        <v>1</v>
      </c>
      <c r="BF11" s="215">
        <v>98</v>
      </c>
      <c r="BG11" s="215"/>
      <c r="BH11" s="214">
        <v>1.9675925925925926E-4</v>
      </c>
      <c r="BI11" s="214">
        <f t="shared" si="9"/>
        <v>5.7870370370370367E-4</v>
      </c>
      <c r="BJ11" s="214">
        <f t="shared" si="5"/>
        <v>-2.8935185185185178E-4</v>
      </c>
      <c r="BK11" s="214">
        <f t="shared" si="6"/>
        <v>-2.5462962962962972E-4</v>
      </c>
      <c r="BL11" s="215">
        <f>BF11-X11</f>
        <v>13</v>
      </c>
      <c r="BM11" s="226">
        <f t="shared" si="7"/>
        <v>0.84705882352941186</v>
      </c>
      <c r="BN11" s="219">
        <f>ABS(BF11/X11-1)</f>
        <v>0.15294117647058814</v>
      </c>
      <c r="BO11" s="219"/>
      <c r="BP11" s="219"/>
      <c r="BQ11" s="219"/>
      <c r="BR11" s="229">
        <v>1.0416666666666667E-4</v>
      </c>
      <c r="BS11" s="229" t="s">
        <v>9801</v>
      </c>
      <c r="BT11" s="230" t="s">
        <v>9801</v>
      </c>
      <c r="BU11" s="229">
        <v>0</v>
      </c>
      <c r="BV11" s="229">
        <f t="shared" si="8"/>
        <v>1.0416666666666667E-4</v>
      </c>
      <c r="BW11" s="229">
        <f t="shared" si="0"/>
        <v>-4.8611111111111104E-4</v>
      </c>
      <c r="BX11" s="229">
        <f t="shared" si="1"/>
        <v>-7.291666666666667E-4</v>
      </c>
      <c r="BY11" s="230" t="s">
        <v>9801</v>
      </c>
      <c r="BZ11" s="230" t="s">
        <v>9801</v>
      </c>
      <c r="CA11" s="230" t="s">
        <v>9801</v>
      </c>
      <c r="CB11" s="230" t="s">
        <v>11307</v>
      </c>
    </row>
    <row r="12" spans="1:80" x14ac:dyDescent="0.2">
      <c r="A12" s="95" t="s">
        <v>555</v>
      </c>
      <c r="B12" s="95">
        <v>160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149</v>
      </c>
      <c r="I12" s="95" t="s">
        <v>556</v>
      </c>
      <c r="J12" s="95" t="s">
        <v>557</v>
      </c>
      <c r="O12" s="95" t="s">
        <v>10875</v>
      </c>
      <c r="P12" s="95" t="s">
        <v>10875</v>
      </c>
      <c r="Q12" s="98">
        <v>4.7453703703703704E-4</v>
      </c>
      <c r="R12" s="98">
        <v>3.3449074074074071E-3</v>
      </c>
      <c r="S12" s="95">
        <v>0</v>
      </c>
      <c r="T12" s="95" t="s">
        <v>109</v>
      </c>
      <c r="U12" s="95" t="s">
        <v>110</v>
      </c>
      <c r="V12" s="95" t="s">
        <v>38</v>
      </c>
      <c r="X12" s="95">
        <v>89</v>
      </c>
      <c r="Z12" s="95" t="b">
        <v>0</v>
      </c>
      <c r="AE12" s="95" t="s">
        <v>492</v>
      </c>
      <c r="AF12" s="95" t="s">
        <v>9559</v>
      </c>
      <c r="AH12" s="95" t="b">
        <v>0</v>
      </c>
      <c r="AI12" s="95" t="s">
        <v>11115</v>
      </c>
      <c r="AN12" s="207">
        <v>3.4722222222222224E-4</v>
      </c>
      <c r="AO12" s="207" t="b">
        <v>0</v>
      </c>
      <c r="AP12" s="207"/>
      <c r="AQ12" s="208" t="s">
        <v>9801</v>
      </c>
      <c r="AR12" s="208" t="s">
        <v>9801</v>
      </c>
      <c r="AS12" s="207"/>
      <c r="AT12" s="207">
        <f t="shared" si="2"/>
        <v>3.4722222222222224E-4</v>
      </c>
      <c r="AU12" s="207">
        <f t="shared" si="3"/>
        <v>-4.7453703703703704E-4</v>
      </c>
      <c r="AV12" s="207">
        <f t="shared" si="4"/>
        <v>-2.9976851851851848E-3</v>
      </c>
      <c r="AW12" s="208" t="s">
        <v>9801</v>
      </c>
      <c r="AX12" s="517" t="s">
        <v>9801</v>
      </c>
      <c r="AY12" s="213" t="s">
        <v>9801</v>
      </c>
      <c r="AZ12" s="213" t="s">
        <v>9801</v>
      </c>
      <c r="BA12" s="213" t="s">
        <v>9801</v>
      </c>
      <c r="BB12" s="213"/>
      <c r="BC12" s="214">
        <v>7.175925925925927E-4</v>
      </c>
      <c r="BD12" s="214" t="b">
        <v>0</v>
      </c>
      <c r="BE12" s="214"/>
      <c r="BF12" s="215" t="s">
        <v>9801</v>
      </c>
      <c r="BG12" s="215"/>
      <c r="BH12" s="214">
        <v>0</v>
      </c>
      <c r="BI12" s="214">
        <f t="shared" si="9"/>
        <v>7.175925925925927E-4</v>
      </c>
      <c r="BJ12" s="214">
        <f t="shared" si="5"/>
        <v>-4.7453703703703704E-4</v>
      </c>
      <c r="BK12" s="214">
        <f t="shared" si="6"/>
        <v>-2.6273148148148145E-3</v>
      </c>
      <c r="BL12" s="215" t="s">
        <v>9801</v>
      </c>
      <c r="BM12" s="226" t="str">
        <f t="shared" si="7"/>
        <v>-</v>
      </c>
      <c r="BN12" s="219" t="s">
        <v>9801</v>
      </c>
      <c r="BO12" s="219"/>
      <c r="BP12" s="219"/>
      <c r="BQ12" s="219" t="s">
        <v>11270</v>
      </c>
      <c r="BR12" s="229">
        <v>2.3148148148148146E-4</v>
      </c>
      <c r="BS12" s="229" t="s">
        <v>9801</v>
      </c>
      <c r="BT12" s="230" t="s">
        <v>9801</v>
      </c>
      <c r="BU12" s="229">
        <v>0</v>
      </c>
      <c r="BV12" s="229">
        <f t="shared" si="8"/>
        <v>2.3148148148148146E-4</v>
      </c>
      <c r="BW12" s="229">
        <f t="shared" si="0"/>
        <v>-4.7453703703703704E-4</v>
      </c>
      <c r="BX12" s="229">
        <f t="shared" si="1"/>
        <v>-3.1134259259259257E-3</v>
      </c>
      <c r="BY12" s="230" t="s">
        <v>9801</v>
      </c>
      <c r="BZ12" s="230" t="s">
        <v>9801</v>
      </c>
      <c r="CA12" s="230" t="s">
        <v>9801</v>
      </c>
      <c r="CB12" s="230" t="s">
        <v>11307</v>
      </c>
    </row>
    <row r="13" spans="1:80" x14ac:dyDescent="0.2">
      <c r="A13" s="95" t="s">
        <v>976</v>
      </c>
      <c r="B13" s="95">
        <v>294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121</v>
      </c>
      <c r="H13" s="95" t="s">
        <v>977</v>
      </c>
      <c r="I13" s="95" t="s">
        <v>978</v>
      </c>
      <c r="J13" s="95" t="s">
        <v>119</v>
      </c>
      <c r="O13" s="95" t="s">
        <v>10969</v>
      </c>
      <c r="P13" s="95" t="s">
        <v>10969</v>
      </c>
      <c r="Q13" s="98">
        <v>5.6712962962962956E-4</v>
      </c>
      <c r="R13" s="98">
        <v>6.134259259259259E-4</v>
      </c>
      <c r="S13" s="95">
        <v>0</v>
      </c>
      <c r="T13" s="95" t="s">
        <v>109</v>
      </c>
      <c r="U13" s="95" t="s">
        <v>110</v>
      </c>
      <c r="V13" s="95" t="s">
        <v>38</v>
      </c>
      <c r="X13" s="95">
        <v>0</v>
      </c>
      <c r="Y13" s="155">
        <v>43643</v>
      </c>
      <c r="Z13" s="95" t="b">
        <v>0</v>
      </c>
      <c r="AE13" s="95" t="s">
        <v>941</v>
      </c>
      <c r="AF13" s="95" t="s">
        <v>9550</v>
      </c>
      <c r="AH13" s="95" t="b">
        <v>0</v>
      </c>
      <c r="AI13" s="95" t="s">
        <v>11116</v>
      </c>
      <c r="AN13" s="207">
        <v>2.3148148148148146E-4</v>
      </c>
      <c r="AO13" s="207" t="b">
        <v>1</v>
      </c>
      <c r="AP13" s="207" t="b">
        <v>0</v>
      </c>
      <c r="AQ13" s="208" t="s">
        <v>9801</v>
      </c>
      <c r="AR13" s="208" t="s">
        <v>9801</v>
      </c>
      <c r="AS13" s="207">
        <v>3.4722222222222222E-5</v>
      </c>
      <c r="AT13" s="207">
        <f t="shared" si="2"/>
        <v>2.6620370370370367E-4</v>
      </c>
      <c r="AU13" s="207">
        <f t="shared" si="3"/>
        <v>-5.3240740740740733E-4</v>
      </c>
      <c r="AV13" s="207">
        <f t="shared" si="4"/>
        <v>-3.4722222222222224E-4</v>
      </c>
      <c r="AW13" s="208" t="s">
        <v>9801</v>
      </c>
      <c r="AX13" s="517" t="s">
        <v>9801</v>
      </c>
      <c r="AY13" s="213" t="s">
        <v>9801</v>
      </c>
      <c r="AZ13" s="213" t="s">
        <v>9801</v>
      </c>
      <c r="BA13" s="213" t="s">
        <v>9801</v>
      </c>
      <c r="BB13" s="213"/>
      <c r="BC13" s="214">
        <v>1.0300925925925926E-3</v>
      </c>
      <c r="BD13" s="214" t="b">
        <v>0</v>
      </c>
      <c r="BE13" s="214"/>
      <c r="BF13" s="215" t="s">
        <v>9801</v>
      </c>
      <c r="BG13" s="215" t="s">
        <v>9801</v>
      </c>
      <c r="BH13" s="214">
        <v>2.6620370370370372E-4</v>
      </c>
      <c r="BI13" s="214">
        <f t="shared" si="9"/>
        <v>1.2962962962962963E-3</v>
      </c>
      <c r="BJ13" s="214">
        <f t="shared" si="5"/>
        <v>-3.0092592592592584E-4</v>
      </c>
      <c r="BK13" s="214">
        <f t="shared" si="6"/>
        <v>6.8287037037037036E-4</v>
      </c>
      <c r="BL13" s="215" t="s">
        <v>9801</v>
      </c>
      <c r="BM13" s="226" t="str">
        <f t="shared" si="7"/>
        <v>-</v>
      </c>
      <c r="BN13" s="219" t="s">
        <v>9801</v>
      </c>
      <c r="BO13" s="219" t="s">
        <v>9801</v>
      </c>
      <c r="BP13" s="219" t="s">
        <v>9801</v>
      </c>
      <c r="BQ13" s="219" t="s">
        <v>11270</v>
      </c>
      <c r="BR13" s="229">
        <v>1.9675925925925926E-4</v>
      </c>
      <c r="BS13" s="229" t="b">
        <v>0</v>
      </c>
      <c r="BT13" s="230" t="s">
        <v>9801</v>
      </c>
      <c r="BU13" s="229">
        <v>0</v>
      </c>
      <c r="BV13" s="229">
        <f t="shared" si="8"/>
        <v>1.9675925925925926E-4</v>
      </c>
      <c r="BW13" s="229">
        <f t="shared" si="0"/>
        <v>-5.6712962962962956E-4</v>
      </c>
      <c r="BX13" s="229">
        <f t="shared" si="1"/>
        <v>-4.1666666666666664E-4</v>
      </c>
      <c r="BY13" s="230" t="s">
        <v>9801</v>
      </c>
      <c r="BZ13" s="230" t="s">
        <v>9801</v>
      </c>
      <c r="CA13" s="230" t="s">
        <v>9801</v>
      </c>
      <c r="CB13" s="230" t="s">
        <v>11308</v>
      </c>
    </row>
    <row r="14" spans="1:80" x14ac:dyDescent="0.2">
      <c r="A14" s="95" t="s">
        <v>983</v>
      </c>
      <c r="B14" s="95">
        <v>296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984</v>
      </c>
      <c r="I14" s="95" t="s">
        <v>985</v>
      </c>
      <c r="O14" s="95" t="s">
        <v>10968</v>
      </c>
      <c r="P14" s="95" t="s">
        <v>10968</v>
      </c>
      <c r="Q14" s="98">
        <v>2.8935185185185189E-4</v>
      </c>
      <c r="R14" s="98">
        <v>5.0462962962962961E-3</v>
      </c>
      <c r="S14" s="95">
        <v>0</v>
      </c>
      <c r="T14" s="95" t="s">
        <v>109</v>
      </c>
      <c r="U14" s="95" t="s">
        <v>110</v>
      </c>
      <c r="V14" s="95" t="s">
        <v>38</v>
      </c>
      <c r="X14" s="95">
        <v>0</v>
      </c>
      <c r="Y14" s="155">
        <v>43643</v>
      </c>
      <c r="Z14" s="95" t="b">
        <v>0</v>
      </c>
      <c r="AE14" s="95" t="s">
        <v>941</v>
      </c>
      <c r="AF14" s="95" t="s">
        <v>9550</v>
      </c>
      <c r="AH14" s="95" t="b">
        <v>0</v>
      </c>
      <c r="AI14" s="95" t="s">
        <v>11117</v>
      </c>
      <c r="AN14" s="207">
        <v>1.0300925925925926E-3</v>
      </c>
      <c r="AO14" s="207" t="b">
        <v>0</v>
      </c>
      <c r="AP14" s="207"/>
      <c r="AQ14" s="208" t="s">
        <v>9801</v>
      </c>
      <c r="AR14" s="208" t="s">
        <v>9801</v>
      </c>
      <c r="AS14" s="207"/>
      <c r="AT14" s="207">
        <f t="shared" si="2"/>
        <v>1.0300925925925926E-3</v>
      </c>
      <c r="AU14" s="207">
        <f t="shared" si="3"/>
        <v>-2.8935185185185189E-4</v>
      </c>
      <c r="AV14" s="207">
        <f t="shared" si="4"/>
        <v>-4.0162037037037033E-3</v>
      </c>
      <c r="AW14" s="208" t="s">
        <v>9801</v>
      </c>
      <c r="AX14" s="517" t="s">
        <v>9801</v>
      </c>
      <c r="AY14" s="213" t="s">
        <v>9801</v>
      </c>
      <c r="AZ14" s="213" t="s">
        <v>9801</v>
      </c>
      <c r="BA14" s="213" t="s">
        <v>9801</v>
      </c>
      <c r="BB14" s="213"/>
      <c r="BC14" s="214">
        <v>8.6805555555555551E-4</v>
      </c>
      <c r="BD14" s="214" t="b">
        <v>0</v>
      </c>
      <c r="BE14" s="214"/>
      <c r="BF14" s="215" t="s">
        <v>9801</v>
      </c>
      <c r="BG14" s="215" t="s">
        <v>9801</v>
      </c>
      <c r="BH14" s="214">
        <v>0</v>
      </c>
      <c r="BI14" s="214">
        <f t="shared" si="9"/>
        <v>8.6805555555555551E-4</v>
      </c>
      <c r="BJ14" s="214">
        <f t="shared" si="5"/>
        <v>-2.8935185185185189E-4</v>
      </c>
      <c r="BK14" s="214">
        <f t="shared" si="6"/>
        <v>-4.178240740740741E-3</v>
      </c>
      <c r="BL14" s="215" t="s">
        <v>9801</v>
      </c>
      <c r="BM14" s="226" t="str">
        <f t="shared" si="7"/>
        <v>-</v>
      </c>
      <c r="BN14" s="219" t="s">
        <v>9801</v>
      </c>
      <c r="BO14" s="219" t="s">
        <v>9801</v>
      </c>
      <c r="BP14" s="219" t="s">
        <v>9801</v>
      </c>
      <c r="BQ14" s="219" t="s">
        <v>11270</v>
      </c>
      <c r="BR14" s="229">
        <v>4.0509259259259258E-4</v>
      </c>
      <c r="BS14" s="229" t="b">
        <v>0</v>
      </c>
      <c r="BT14" s="230" t="s">
        <v>9801</v>
      </c>
      <c r="BU14" s="229">
        <v>0</v>
      </c>
      <c r="BV14" s="229">
        <f t="shared" si="8"/>
        <v>4.0509259259259258E-4</v>
      </c>
      <c r="BW14" s="229">
        <f t="shared" si="0"/>
        <v>-2.8935185185185189E-4</v>
      </c>
      <c r="BX14" s="229">
        <f t="shared" si="1"/>
        <v>-4.6412037037037038E-3</v>
      </c>
      <c r="BY14" s="230" t="s">
        <v>9801</v>
      </c>
      <c r="BZ14" s="230" t="s">
        <v>9801</v>
      </c>
      <c r="CA14" s="230" t="s">
        <v>9801</v>
      </c>
      <c r="CB14" s="230" t="s">
        <v>11308</v>
      </c>
    </row>
    <row r="15" spans="1:80" x14ac:dyDescent="0.2">
      <c r="A15" s="95" t="s">
        <v>1035</v>
      </c>
      <c r="B15" s="95">
        <v>311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31</v>
      </c>
      <c r="H15" s="95" t="s">
        <v>1036</v>
      </c>
      <c r="I15" s="95" t="s">
        <v>1037</v>
      </c>
      <c r="J15" s="95" t="s">
        <v>1038</v>
      </c>
      <c r="O15" s="95" t="s">
        <v>10967</v>
      </c>
      <c r="P15" s="95" t="s">
        <v>10966</v>
      </c>
      <c r="Q15" s="98">
        <v>9.3750000000000007E-4</v>
      </c>
      <c r="R15" s="98">
        <v>2.5462962962962961E-3</v>
      </c>
      <c r="S15" s="95">
        <v>0</v>
      </c>
      <c r="T15" s="95" t="s">
        <v>109</v>
      </c>
      <c r="U15" s="95" t="s">
        <v>110</v>
      </c>
      <c r="V15" s="95" t="s">
        <v>38</v>
      </c>
      <c r="X15" s="95">
        <v>0</v>
      </c>
      <c r="Y15" s="155">
        <v>43643</v>
      </c>
      <c r="Z15" s="95" t="b">
        <v>0</v>
      </c>
      <c r="AE15" s="95" t="s">
        <v>941</v>
      </c>
      <c r="AF15" s="95" t="s">
        <v>9550</v>
      </c>
      <c r="AH15" s="95" t="b">
        <v>0</v>
      </c>
      <c r="AI15" s="95" t="s">
        <v>11118</v>
      </c>
      <c r="AJ15" s="95" t="s">
        <v>11120</v>
      </c>
      <c r="AK15" s="95" t="s">
        <v>11121</v>
      </c>
      <c r="AL15" s="95" t="s">
        <v>11122</v>
      </c>
      <c r="AM15" s="95" t="s">
        <v>11123</v>
      </c>
      <c r="AN15" s="207">
        <v>8.7962962962962962E-4</v>
      </c>
      <c r="AO15" s="207" t="b">
        <v>0</v>
      </c>
      <c r="AP15" s="207"/>
      <c r="AQ15" s="208" t="s">
        <v>9801</v>
      </c>
      <c r="AR15" s="208" t="s">
        <v>9801</v>
      </c>
      <c r="AS15" s="207"/>
      <c r="AT15" s="207">
        <f>AN15+AS15</f>
        <v>8.7962962962962962E-4</v>
      </c>
      <c r="AU15" s="207">
        <f t="shared" si="3"/>
        <v>-9.3750000000000007E-4</v>
      </c>
      <c r="AV15" s="207">
        <f t="shared" si="4"/>
        <v>-1.6666666666666666E-3</v>
      </c>
      <c r="AW15" s="208" t="s">
        <v>9801</v>
      </c>
      <c r="AX15" s="517" t="s">
        <v>9801</v>
      </c>
      <c r="AY15" s="213" t="s">
        <v>9801</v>
      </c>
      <c r="AZ15" s="213" t="s">
        <v>9801</v>
      </c>
      <c r="BA15" s="213" t="s">
        <v>9801</v>
      </c>
      <c r="BB15" s="213"/>
      <c r="BC15" s="214">
        <v>2.5000000000000001E-3</v>
      </c>
      <c r="BD15" s="214" t="b">
        <v>0</v>
      </c>
      <c r="BE15" s="214"/>
      <c r="BF15" s="215" t="s">
        <v>9801</v>
      </c>
      <c r="BG15" s="215" t="s">
        <v>9801</v>
      </c>
      <c r="BH15" s="214">
        <v>0</v>
      </c>
      <c r="BI15" s="214">
        <f t="shared" si="9"/>
        <v>2.5000000000000001E-3</v>
      </c>
      <c r="BJ15" s="214">
        <f t="shared" si="5"/>
        <v>-9.3750000000000007E-4</v>
      </c>
      <c r="BK15" s="214">
        <f t="shared" si="6"/>
        <v>-4.6296296296296016E-5</v>
      </c>
      <c r="BL15" s="215" t="s">
        <v>9801</v>
      </c>
      <c r="BM15" s="226" t="str">
        <f t="shared" si="7"/>
        <v>-</v>
      </c>
      <c r="BN15" s="219" t="s">
        <v>9801</v>
      </c>
      <c r="BO15" s="219" t="s">
        <v>9801</v>
      </c>
      <c r="BP15" s="219" t="s">
        <v>9801</v>
      </c>
      <c r="BQ15" s="219" t="s">
        <v>11270</v>
      </c>
      <c r="BR15" s="229">
        <v>2.0833333333333335E-4</v>
      </c>
      <c r="BS15" s="229" t="b">
        <v>0</v>
      </c>
      <c r="BT15" s="230" t="s">
        <v>9801</v>
      </c>
      <c r="BU15" s="229">
        <v>0</v>
      </c>
      <c r="BV15" s="229">
        <f t="shared" si="8"/>
        <v>2.0833333333333335E-4</v>
      </c>
      <c r="BW15" s="229">
        <f t="shared" si="0"/>
        <v>-9.3750000000000007E-4</v>
      </c>
      <c r="BX15" s="229">
        <f t="shared" si="1"/>
        <v>-2.3379629629629627E-3</v>
      </c>
      <c r="BY15" s="230" t="s">
        <v>9801</v>
      </c>
      <c r="BZ15" s="230" t="s">
        <v>9801</v>
      </c>
      <c r="CA15" s="230" t="s">
        <v>9801</v>
      </c>
      <c r="CB15" s="230" t="s">
        <v>11308</v>
      </c>
    </row>
    <row r="16" spans="1:80" x14ac:dyDescent="0.2">
      <c r="A16" s="95" t="s">
        <v>1039</v>
      </c>
      <c r="B16" s="95">
        <v>312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1040</v>
      </c>
      <c r="I16" s="95" t="s">
        <v>1041</v>
      </c>
      <c r="J16" s="95" t="s">
        <v>1038</v>
      </c>
      <c r="O16" s="95" t="s">
        <v>10865</v>
      </c>
      <c r="P16" s="95" t="s">
        <v>10864</v>
      </c>
      <c r="Q16" s="98">
        <v>4.3981481481481481E-4</v>
      </c>
      <c r="R16" s="98">
        <v>1.1458333333333333E-3</v>
      </c>
      <c r="S16" s="95">
        <v>0</v>
      </c>
      <c r="T16" s="95" t="s">
        <v>109</v>
      </c>
      <c r="U16" s="95" t="s">
        <v>110</v>
      </c>
      <c r="V16" s="95" t="s">
        <v>38</v>
      </c>
      <c r="X16" s="95">
        <v>0</v>
      </c>
      <c r="Y16" s="155">
        <v>43643</v>
      </c>
      <c r="Z16" s="95" t="b">
        <v>0</v>
      </c>
      <c r="AE16" s="95" t="s">
        <v>941</v>
      </c>
      <c r="AF16" s="95" t="s">
        <v>9550</v>
      </c>
      <c r="AH16" s="95" t="b">
        <v>0</v>
      </c>
      <c r="AI16" s="95" t="s">
        <v>11119</v>
      </c>
      <c r="AN16" s="207">
        <v>2.4305555555555552E-4</v>
      </c>
      <c r="AO16" s="207" t="b">
        <v>0</v>
      </c>
      <c r="AP16" s="207"/>
      <c r="AQ16" s="208" t="s">
        <v>9801</v>
      </c>
      <c r="AR16" s="208" t="s">
        <v>9801</v>
      </c>
      <c r="AS16" s="207"/>
      <c r="AT16" s="207">
        <f t="shared" si="2"/>
        <v>2.4305555555555552E-4</v>
      </c>
      <c r="AU16" s="207">
        <f t="shared" si="3"/>
        <v>-4.3981481481481481E-4</v>
      </c>
      <c r="AV16" s="207">
        <f t="shared" si="4"/>
        <v>-9.0277777777777784E-4</v>
      </c>
      <c r="AW16" s="208" t="s">
        <v>9801</v>
      </c>
      <c r="AX16" s="517" t="s">
        <v>9801</v>
      </c>
      <c r="AY16" s="213" t="s">
        <v>9801</v>
      </c>
      <c r="AZ16" s="213" t="s">
        <v>9801</v>
      </c>
      <c r="BA16" s="213" t="s">
        <v>9801</v>
      </c>
      <c r="BB16" s="213"/>
      <c r="BC16" s="214">
        <v>5.2083333333333333E-4</v>
      </c>
      <c r="BD16" s="214" t="b">
        <v>0</v>
      </c>
      <c r="BE16" s="214"/>
      <c r="BF16" s="215" t="s">
        <v>9801</v>
      </c>
      <c r="BG16" s="215" t="s">
        <v>9801</v>
      </c>
      <c r="BH16" s="214">
        <v>0</v>
      </c>
      <c r="BI16" s="214">
        <f t="shared" si="9"/>
        <v>5.2083333333333333E-4</v>
      </c>
      <c r="BJ16" s="214">
        <f t="shared" si="5"/>
        <v>-4.3981481481481481E-4</v>
      </c>
      <c r="BK16" s="214">
        <f t="shared" si="6"/>
        <v>-6.2500000000000001E-4</v>
      </c>
      <c r="BL16" s="215" t="s">
        <v>9801</v>
      </c>
      <c r="BM16" s="226" t="str">
        <f t="shared" si="7"/>
        <v>-</v>
      </c>
      <c r="BN16" s="219" t="s">
        <v>9801</v>
      </c>
      <c r="BO16" s="219" t="s">
        <v>9801</v>
      </c>
      <c r="BP16" s="219" t="s">
        <v>9801</v>
      </c>
      <c r="BQ16" s="219" t="s">
        <v>11270</v>
      </c>
      <c r="BR16" s="229">
        <v>1.6203703703703703E-4</v>
      </c>
      <c r="BS16" s="229" t="b">
        <v>0</v>
      </c>
      <c r="BT16" s="230" t="s">
        <v>9801</v>
      </c>
      <c r="BU16" s="229">
        <v>0</v>
      </c>
      <c r="BV16" s="229">
        <f t="shared" si="8"/>
        <v>1.6203703703703703E-4</v>
      </c>
      <c r="BW16" s="229">
        <f t="shared" si="0"/>
        <v>-4.3981481481481481E-4</v>
      </c>
      <c r="BX16" s="229">
        <f t="shared" si="1"/>
        <v>-9.8379629629629642E-4</v>
      </c>
      <c r="BY16" s="230" t="s">
        <v>9801</v>
      </c>
      <c r="BZ16" s="230" t="s">
        <v>9801</v>
      </c>
      <c r="CA16" s="230" t="s">
        <v>9801</v>
      </c>
      <c r="CB16" s="230" t="s">
        <v>11308</v>
      </c>
    </row>
    <row r="17" spans="1:80" x14ac:dyDescent="0.2">
      <c r="A17" s="95" t="s">
        <v>1075</v>
      </c>
      <c r="B17" s="95">
        <v>325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149</v>
      </c>
      <c r="I17" s="95" t="s">
        <v>1076</v>
      </c>
      <c r="J17" s="95" t="s">
        <v>114</v>
      </c>
      <c r="O17" s="95" t="s">
        <v>9634</v>
      </c>
      <c r="P17" s="95" t="s">
        <v>9634</v>
      </c>
      <c r="Q17" s="98">
        <v>3.2407407407407406E-4</v>
      </c>
      <c r="R17" s="98">
        <v>5.6712962962962956E-4</v>
      </c>
      <c r="S17" s="95">
        <v>0</v>
      </c>
      <c r="T17" s="95" t="s">
        <v>109</v>
      </c>
      <c r="U17" s="95" t="s">
        <v>110</v>
      </c>
      <c r="V17" s="95" t="s">
        <v>38</v>
      </c>
      <c r="X17" s="95">
        <v>0</v>
      </c>
      <c r="Y17" s="156">
        <v>43643</v>
      </c>
      <c r="Z17" s="95" t="b">
        <v>0</v>
      </c>
      <c r="AE17" s="95" t="s">
        <v>941</v>
      </c>
      <c r="AF17" s="95" t="s">
        <v>9550</v>
      </c>
      <c r="AH17" s="95" t="b">
        <v>0</v>
      </c>
      <c r="AN17" s="207">
        <v>4.3981481481481481E-4</v>
      </c>
      <c r="AO17" s="207" t="b">
        <v>0</v>
      </c>
      <c r="AP17" s="207"/>
      <c r="AQ17" s="208" t="s">
        <v>9801</v>
      </c>
      <c r="AR17" s="208" t="s">
        <v>9801</v>
      </c>
      <c r="AS17" s="207"/>
      <c r="AT17" s="207">
        <f t="shared" si="2"/>
        <v>4.3981481481481481E-4</v>
      </c>
      <c r="AU17" s="207">
        <f>AS17-Q17</f>
        <v>-3.2407407407407406E-4</v>
      </c>
      <c r="AV17" s="207">
        <f t="shared" si="4"/>
        <v>-1.2731481481481475E-4</v>
      </c>
      <c r="AW17" s="208" t="s">
        <v>9801</v>
      </c>
      <c r="AX17" s="517" t="s">
        <v>9801</v>
      </c>
      <c r="AY17" s="213" t="s">
        <v>9801</v>
      </c>
      <c r="AZ17" s="213" t="s">
        <v>9801</v>
      </c>
      <c r="BA17" s="213" t="s">
        <v>9801</v>
      </c>
      <c r="BB17" s="213"/>
      <c r="BC17" s="214">
        <v>6.5972222222222213E-4</v>
      </c>
      <c r="BD17" s="214" t="b">
        <v>1</v>
      </c>
      <c r="BE17" s="214" t="b">
        <v>1</v>
      </c>
      <c r="BF17" s="215">
        <v>0</v>
      </c>
      <c r="BG17" s="215" t="s">
        <v>9801</v>
      </c>
      <c r="BH17" s="214">
        <v>8.1018518518518516E-5</v>
      </c>
      <c r="BI17" s="214">
        <f t="shared" si="9"/>
        <v>7.407407407407406E-4</v>
      </c>
      <c r="BJ17" s="214">
        <f t="shared" si="5"/>
        <v>-2.4305555555555555E-4</v>
      </c>
      <c r="BK17" s="214">
        <f t="shared" si="6"/>
        <v>1.7361111111111104E-4</v>
      </c>
      <c r="BL17" s="215">
        <f>BF17-X17</f>
        <v>0</v>
      </c>
      <c r="BM17" s="226">
        <f>IF(BN17&lt;&gt;"-", 1-BN17, "-")</f>
        <v>1</v>
      </c>
      <c r="BN17" s="219">
        <v>0</v>
      </c>
      <c r="BO17" s="219" t="s">
        <v>9801</v>
      </c>
      <c r="BP17" s="219" t="s">
        <v>9801</v>
      </c>
      <c r="BQ17" s="219"/>
      <c r="BR17" s="229">
        <v>3.4722222222222222E-5</v>
      </c>
      <c r="BS17" s="229" t="s">
        <v>9801</v>
      </c>
      <c r="BT17" s="230" t="s">
        <v>9801</v>
      </c>
      <c r="BU17" s="229">
        <v>0</v>
      </c>
      <c r="BV17" s="229">
        <f t="shared" si="8"/>
        <v>3.4722222222222222E-5</v>
      </c>
      <c r="BW17" s="229">
        <f t="shared" si="0"/>
        <v>-3.2407407407407406E-4</v>
      </c>
      <c r="BX17" s="229">
        <f t="shared" si="1"/>
        <v>-5.3240740740740733E-4</v>
      </c>
      <c r="BY17" s="230" t="s">
        <v>9801</v>
      </c>
      <c r="BZ17" s="230" t="s">
        <v>9801</v>
      </c>
      <c r="CA17" s="230" t="s">
        <v>9801</v>
      </c>
      <c r="CB17" s="230" t="s">
        <v>11307</v>
      </c>
    </row>
    <row r="18" spans="1:80" x14ac:dyDescent="0.2">
      <c r="A18" s="95" t="s">
        <v>1096</v>
      </c>
      <c r="B18" s="95">
        <v>331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1097</v>
      </c>
      <c r="I18" s="95" t="s">
        <v>1098</v>
      </c>
      <c r="J18" s="95" t="s">
        <v>1099</v>
      </c>
      <c r="O18" s="95" t="s">
        <v>10965</v>
      </c>
      <c r="P18" s="95" t="s">
        <v>10964</v>
      </c>
      <c r="Q18" s="98">
        <v>5.6712962962962956E-4</v>
      </c>
      <c r="R18" s="98">
        <v>8.1018518518518516E-4</v>
      </c>
      <c r="S18" s="95">
        <v>0</v>
      </c>
      <c r="T18" s="95" t="s">
        <v>109</v>
      </c>
      <c r="U18" s="95" t="s">
        <v>110</v>
      </c>
      <c r="V18" s="95" t="s">
        <v>38</v>
      </c>
      <c r="X18" s="95">
        <v>0</v>
      </c>
      <c r="Y18" s="155">
        <v>43643</v>
      </c>
      <c r="Z18" s="95" t="b">
        <v>0</v>
      </c>
      <c r="AE18" s="95" t="s">
        <v>941</v>
      </c>
      <c r="AF18" s="95" t="s">
        <v>9550</v>
      </c>
      <c r="AH18" s="95" t="b">
        <v>0</v>
      </c>
      <c r="AI18" s="95" t="s">
        <v>11124</v>
      </c>
      <c r="AN18" s="207">
        <v>5.2083333333333333E-4</v>
      </c>
      <c r="AO18" s="207" t="b">
        <v>0</v>
      </c>
      <c r="AP18" s="207"/>
      <c r="AQ18" s="208" t="s">
        <v>9801</v>
      </c>
      <c r="AR18" s="208" t="s">
        <v>9801</v>
      </c>
      <c r="AS18" s="207"/>
      <c r="AT18" s="207">
        <f t="shared" si="2"/>
        <v>5.2083333333333333E-4</v>
      </c>
      <c r="AU18" s="207">
        <f t="shared" si="3"/>
        <v>-5.6712962962962956E-4</v>
      </c>
      <c r="AV18" s="207">
        <f t="shared" si="4"/>
        <v>-2.8935185185185184E-4</v>
      </c>
      <c r="AW18" s="208" t="s">
        <v>9801</v>
      </c>
      <c r="AX18" s="517" t="s">
        <v>9801</v>
      </c>
      <c r="AY18" s="213" t="s">
        <v>9801</v>
      </c>
      <c r="AZ18" s="213" t="s">
        <v>9801</v>
      </c>
      <c r="BA18" s="213" t="s">
        <v>9801</v>
      </c>
      <c r="BB18" s="213"/>
      <c r="BC18" s="214">
        <v>4.1666666666666669E-4</v>
      </c>
      <c r="BD18" s="214" t="b">
        <v>0</v>
      </c>
      <c r="BE18" s="214"/>
      <c r="BF18" s="215" t="s">
        <v>9801</v>
      </c>
      <c r="BG18" s="215" t="s">
        <v>9801</v>
      </c>
      <c r="BH18" s="214">
        <v>0</v>
      </c>
      <c r="BI18" s="214">
        <f t="shared" si="9"/>
        <v>4.1666666666666669E-4</v>
      </c>
      <c r="BJ18" s="214">
        <f t="shared" si="5"/>
        <v>-5.6712962962962956E-4</v>
      </c>
      <c r="BK18" s="214">
        <f t="shared" si="6"/>
        <v>-3.9351851851851847E-4</v>
      </c>
      <c r="BL18" s="215" t="s">
        <v>9801</v>
      </c>
      <c r="BM18" s="226" t="str">
        <f t="shared" si="7"/>
        <v>-</v>
      </c>
      <c r="BN18" s="219" t="s">
        <v>9801</v>
      </c>
      <c r="BO18" s="219" t="s">
        <v>9801</v>
      </c>
      <c r="BP18" s="219" t="s">
        <v>9801</v>
      </c>
      <c r="BQ18" s="219" t="s">
        <v>11270</v>
      </c>
      <c r="BR18" s="229">
        <v>4.0509259259259258E-4</v>
      </c>
      <c r="BS18" s="229" t="b">
        <v>0</v>
      </c>
      <c r="BT18" s="230" t="s">
        <v>9801</v>
      </c>
      <c r="BU18" s="229">
        <v>0</v>
      </c>
      <c r="BV18" s="229">
        <f t="shared" si="8"/>
        <v>4.0509259259259258E-4</v>
      </c>
      <c r="BW18" s="229">
        <f t="shared" si="0"/>
        <v>-5.6712962962962956E-4</v>
      </c>
      <c r="BX18" s="229">
        <f t="shared" si="1"/>
        <v>-4.0509259259259258E-4</v>
      </c>
      <c r="BY18" s="230" t="s">
        <v>9801</v>
      </c>
      <c r="BZ18" s="230" t="s">
        <v>9801</v>
      </c>
      <c r="CA18" s="230" t="s">
        <v>9801</v>
      </c>
      <c r="CB18" s="230" t="s">
        <v>11308</v>
      </c>
    </row>
    <row r="19" spans="1:80" x14ac:dyDescent="0.2">
      <c r="A19" s="95" t="s">
        <v>1465</v>
      </c>
      <c r="B19" s="95">
        <v>445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1466</v>
      </c>
      <c r="I19" s="95" t="s">
        <v>1467</v>
      </c>
      <c r="J19" s="95" t="s">
        <v>1468</v>
      </c>
      <c r="O19" s="95" t="s">
        <v>10963</v>
      </c>
      <c r="P19" s="95" t="s">
        <v>10962</v>
      </c>
      <c r="Q19" s="98">
        <v>2.7777777777777778E-4</v>
      </c>
      <c r="R19" s="98">
        <v>7.8703703703703705E-4</v>
      </c>
      <c r="S19" s="95">
        <v>0</v>
      </c>
      <c r="T19" s="95" t="s">
        <v>109</v>
      </c>
      <c r="U19" s="95" t="s">
        <v>110</v>
      </c>
      <c r="V19" s="95" t="s">
        <v>38</v>
      </c>
      <c r="X19" s="95">
        <v>115</v>
      </c>
      <c r="Z19" s="95" t="b">
        <v>0</v>
      </c>
      <c r="AE19" s="95" t="s">
        <v>1464</v>
      </c>
      <c r="AF19" s="95" t="s">
        <v>9537</v>
      </c>
      <c r="AH19" s="95" t="b">
        <v>0</v>
      </c>
      <c r="AI19" s="95" t="s">
        <v>11125</v>
      </c>
      <c r="AN19" s="207">
        <v>7.175925925925927E-4</v>
      </c>
      <c r="AO19" s="207" t="b">
        <v>1</v>
      </c>
      <c r="AP19" s="207" t="b">
        <v>0</v>
      </c>
      <c r="AQ19" s="208" t="s">
        <v>9801</v>
      </c>
      <c r="AR19" s="208" t="s">
        <v>9801</v>
      </c>
      <c r="AS19" s="207">
        <v>5.7870370370370366E-5</v>
      </c>
      <c r="AT19" s="207">
        <f t="shared" si="2"/>
        <v>7.7546296296296304E-4</v>
      </c>
      <c r="AU19" s="207">
        <f t="shared" si="3"/>
        <v>-2.199074074074074E-4</v>
      </c>
      <c r="AV19" s="207">
        <f t="shared" si="4"/>
        <v>-1.1574074074074004E-5</v>
      </c>
      <c r="AW19" s="208" t="s">
        <v>9801</v>
      </c>
      <c r="AX19" s="517" t="s">
        <v>9801</v>
      </c>
      <c r="AY19" s="213" t="s">
        <v>9801</v>
      </c>
      <c r="AZ19" s="213" t="s">
        <v>9801</v>
      </c>
      <c r="BA19" s="213" t="s">
        <v>9801</v>
      </c>
      <c r="BB19" s="213" t="s">
        <v>11945</v>
      </c>
      <c r="BC19" s="214">
        <v>1.1342592592592591E-3</v>
      </c>
      <c r="BD19" s="214" t="b">
        <v>1</v>
      </c>
      <c r="BE19" s="214" t="b">
        <v>1</v>
      </c>
      <c r="BF19" s="215">
        <v>116</v>
      </c>
      <c r="BG19" s="215"/>
      <c r="BH19" s="214">
        <v>2.199074074074074E-4</v>
      </c>
      <c r="BI19" s="214">
        <f t="shared" si="9"/>
        <v>1.3541666666666665E-3</v>
      </c>
      <c r="BJ19" s="214">
        <f t="shared" si="5"/>
        <v>-5.7870370370370373E-5</v>
      </c>
      <c r="BK19" s="214">
        <f t="shared" si="6"/>
        <v>5.6712962962962945E-4</v>
      </c>
      <c r="BL19" s="215">
        <f>BF19-X19</f>
        <v>1</v>
      </c>
      <c r="BM19" s="226">
        <f t="shared" si="7"/>
        <v>0.99130434782608701</v>
      </c>
      <c r="BN19" s="219">
        <f>ABS(BF19/X19-1)</f>
        <v>8.6956521739129933E-3</v>
      </c>
      <c r="BO19" s="219"/>
      <c r="BP19" s="219"/>
      <c r="BQ19" s="219"/>
      <c r="BR19" s="229">
        <v>1.273148148148148E-4</v>
      </c>
      <c r="BS19" s="229" t="s">
        <v>9801</v>
      </c>
      <c r="BT19" s="230" t="s">
        <v>9801</v>
      </c>
      <c r="BU19" s="229">
        <v>0</v>
      </c>
      <c r="BV19" s="229">
        <f t="shared" si="8"/>
        <v>1.273148148148148E-4</v>
      </c>
      <c r="BW19" s="229">
        <f t="shared" si="0"/>
        <v>-2.7777777777777778E-4</v>
      </c>
      <c r="BX19" s="229">
        <f t="shared" si="1"/>
        <v>-6.5972222222222224E-4</v>
      </c>
      <c r="BY19" s="230" t="s">
        <v>9801</v>
      </c>
      <c r="BZ19" s="230" t="s">
        <v>9801</v>
      </c>
      <c r="CA19" s="230" t="s">
        <v>9801</v>
      </c>
      <c r="CB19" s="230" t="s">
        <v>11307</v>
      </c>
    </row>
    <row r="20" spans="1:80" x14ac:dyDescent="0.2">
      <c r="A20" s="95" t="s">
        <v>1479</v>
      </c>
      <c r="B20" s="95">
        <v>449</v>
      </c>
      <c r="C20" s="95" t="b">
        <v>0</v>
      </c>
      <c r="D20" s="95" t="b">
        <v>0</v>
      </c>
      <c r="E20" s="95" t="b">
        <v>0</v>
      </c>
      <c r="F20" s="95" t="b">
        <v>0</v>
      </c>
      <c r="G20" s="95" t="s">
        <v>31</v>
      </c>
      <c r="H20" s="95" t="s">
        <v>1480</v>
      </c>
      <c r="I20" s="95" t="s">
        <v>1481</v>
      </c>
      <c r="J20" s="95" t="s">
        <v>1475</v>
      </c>
      <c r="O20" s="95" t="s">
        <v>9626</v>
      </c>
      <c r="P20" s="95" t="s">
        <v>9626</v>
      </c>
      <c r="Q20" s="98">
        <v>1.7361111111111112E-4</v>
      </c>
      <c r="R20" s="98">
        <v>5.0925925925925921E-4</v>
      </c>
      <c r="S20" s="95">
        <v>0</v>
      </c>
      <c r="T20" s="95" t="s">
        <v>109</v>
      </c>
      <c r="U20" s="95" t="s">
        <v>110</v>
      </c>
      <c r="V20" s="95" t="s">
        <v>38</v>
      </c>
      <c r="X20" s="95">
        <v>102</v>
      </c>
      <c r="Z20" s="95" t="b">
        <v>0</v>
      </c>
      <c r="AE20" s="95" t="s">
        <v>1464</v>
      </c>
      <c r="AF20" s="95" t="s">
        <v>9537</v>
      </c>
      <c r="AH20" s="95" t="b">
        <v>0</v>
      </c>
      <c r="AI20" s="95" t="s">
        <v>11126</v>
      </c>
      <c r="AN20" s="207">
        <v>4.8611111111111104E-4</v>
      </c>
      <c r="AO20" s="207" t="b">
        <v>1</v>
      </c>
      <c r="AP20" s="207" t="b">
        <v>0</v>
      </c>
      <c r="AQ20" s="208" t="s">
        <v>9801</v>
      </c>
      <c r="AR20" s="208" t="s">
        <v>9801</v>
      </c>
      <c r="AS20" s="207">
        <v>8.1018518518518516E-5</v>
      </c>
      <c r="AT20" s="207">
        <f t="shared" si="2"/>
        <v>5.6712962962962956E-4</v>
      </c>
      <c r="AU20" s="207">
        <f t="shared" si="3"/>
        <v>-9.2592592592592602E-5</v>
      </c>
      <c r="AV20" s="207">
        <f t="shared" si="4"/>
        <v>5.7870370370370345E-5</v>
      </c>
      <c r="AW20" s="208" t="s">
        <v>9801</v>
      </c>
      <c r="AX20" s="517" t="s">
        <v>9801</v>
      </c>
      <c r="AY20" s="213" t="s">
        <v>9801</v>
      </c>
      <c r="AZ20" s="213" t="s">
        <v>9801</v>
      </c>
      <c r="BA20" s="213" t="s">
        <v>9801</v>
      </c>
      <c r="BB20" s="213" t="s">
        <v>11945</v>
      </c>
      <c r="BC20" s="214">
        <v>8.7962962962962962E-4</v>
      </c>
      <c r="BD20" s="214" t="b">
        <v>1</v>
      </c>
      <c r="BE20" s="214" t="b">
        <v>1</v>
      </c>
      <c r="BF20" s="215">
        <v>103</v>
      </c>
      <c r="BG20" s="215"/>
      <c r="BH20" s="214">
        <v>1.7361111111111112E-4</v>
      </c>
      <c r="BI20" s="214">
        <f t="shared" si="9"/>
        <v>1.0532407407407407E-3</v>
      </c>
      <c r="BJ20" s="214">
        <f t="shared" si="5"/>
        <v>0</v>
      </c>
      <c r="BK20" s="214">
        <f t="shared" si="6"/>
        <v>5.4398148148148144E-4</v>
      </c>
      <c r="BL20" s="215">
        <f>BF20-X20</f>
        <v>1</v>
      </c>
      <c r="BM20" s="226">
        <f t="shared" si="7"/>
        <v>0.99019607843137258</v>
      </c>
      <c r="BN20" s="219">
        <f>ABS(BF20/X20-1)</f>
        <v>9.8039215686274161E-3</v>
      </c>
      <c r="BO20" s="219"/>
      <c r="BP20" s="219"/>
      <c r="BQ20" s="219"/>
      <c r="BR20" s="229">
        <v>1.273148148148148E-4</v>
      </c>
      <c r="BS20" s="229" t="s">
        <v>9801</v>
      </c>
      <c r="BT20" s="230" t="s">
        <v>9801</v>
      </c>
      <c r="BU20" s="229">
        <v>0</v>
      </c>
      <c r="BV20" s="229">
        <f t="shared" si="8"/>
        <v>1.273148148148148E-4</v>
      </c>
      <c r="BW20" s="229">
        <f t="shared" si="0"/>
        <v>-1.7361111111111112E-4</v>
      </c>
      <c r="BX20" s="229">
        <f t="shared" si="1"/>
        <v>-3.8194444444444441E-4</v>
      </c>
      <c r="BY20" s="230" t="s">
        <v>9801</v>
      </c>
      <c r="BZ20" s="230" t="s">
        <v>9801</v>
      </c>
      <c r="CA20" s="230" t="s">
        <v>9801</v>
      </c>
      <c r="CB20" s="230" t="s">
        <v>11307</v>
      </c>
    </row>
    <row r="21" spans="1:80" x14ac:dyDescent="0.2">
      <c r="A21" s="95" t="s">
        <v>2208</v>
      </c>
      <c r="B21" s="95">
        <v>682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2209</v>
      </c>
      <c r="I21" s="95" t="s">
        <v>2210</v>
      </c>
      <c r="O21" s="95" t="s">
        <v>10961</v>
      </c>
      <c r="P21" s="95" t="s">
        <v>10961</v>
      </c>
      <c r="Q21" s="98">
        <v>1.3888888888888889E-4</v>
      </c>
      <c r="R21" s="98">
        <v>4.8611111111111104E-4</v>
      </c>
      <c r="S21" s="95">
        <v>0</v>
      </c>
      <c r="T21" s="95" t="s">
        <v>109</v>
      </c>
      <c r="U21" s="95" t="s">
        <v>110</v>
      </c>
      <c r="V21" s="95" t="s">
        <v>38</v>
      </c>
      <c r="X21" s="95">
        <v>110</v>
      </c>
      <c r="Z21" s="95" t="b">
        <v>0</v>
      </c>
      <c r="AE21" s="95" t="s">
        <v>2025</v>
      </c>
      <c r="AF21" s="95" t="s">
        <v>9522</v>
      </c>
      <c r="AH21" s="95" t="b">
        <v>0</v>
      </c>
      <c r="AI21" s="95" t="s">
        <v>11127</v>
      </c>
      <c r="AN21" s="207">
        <v>6.7129629629629625E-4</v>
      </c>
      <c r="AO21" s="207" t="b">
        <v>0</v>
      </c>
      <c r="AP21" s="207"/>
      <c r="AQ21" s="208" t="s">
        <v>9801</v>
      </c>
      <c r="AR21" s="208" t="s">
        <v>9801</v>
      </c>
      <c r="AS21" s="207"/>
      <c r="AT21" s="207">
        <f t="shared" si="2"/>
        <v>6.7129629629629625E-4</v>
      </c>
      <c r="AU21" s="207">
        <f t="shared" si="3"/>
        <v>-1.3888888888888889E-4</v>
      </c>
      <c r="AV21" s="207">
        <f>AT21-R21</f>
        <v>1.851851851851852E-4</v>
      </c>
      <c r="AW21" s="208" t="s">
        <v>9801</v>
      </c>
      <c r="AX21" s="517" t="s">
        <v>9801</v>
      </c>
      <c r="AY21" s="213" t="s">
        <v>9801</v>
      </c>
      <c r="AZ21" s="213" t="s">
        <v>9801</v>
      </c>
      <c r="BA21" s="213" t="s">
        <v>9801</v>
      </c>
      <c r="BB21" s="213"/>
      <c r="BC21" s="214">
        <v>1.4120370370370369E-3</v>
      </c>
      <c r="BD21" s="214" t="b">
        <v>1</v>
      </c>
      <c r="BE21" s="214" t="b">
        <v>0</v>
      </c>
      <c r="BF21" s="215" t="s">
        <v>9801</v>
      </c>
      <c r="BG21" s="215"/>
      <c r="BH21" s="214">
        <v>7.7546296296296304E-4</v>
      </c>
      <c r="BI21" s="214">
        <f t="shared" si="9"/>
        <v>2.1875000000000002E-3</v>
      </c>
      <c r="BJ21" s="214">
        <f t="shared" si="5"/>
        <v>6.3657407407407413E-4</v>
      </c>
      <c r="BK21" s="214">
        <f t="shared" si="6"/>
        <v>1.7013888888888892E-3</v>
      </c>
      <c r="BL21" s="215" t="s">
        <v>9801</v>
      </c>
      <c r="BM21" s="226" t="str">
        <f t="shared" si="7"/>
        <v>-</v>
      </c>
      <c r="BN21" s="219" t="s">
        <v>9801</v>
      </c>
      <c r="BO21" s="219"/>
      <c r="BP21" s="219"/>
      <c r="BQ21" s="219" t="s">
        <v>11306</v>
      </c>
      <c r="BR21" s="229">
        <v>1.5046296296296297E-4</v>
      </c>
      <c r="BS21" s="229" t="s">
        <v>9801</v>
      </c>
      <c r="BT21" s="230" t="s">
        <v>9801</v>
      </c>
      <c r="BU21" s="229">
        <v>0</v>
      </c>
      <c r="BV21" s="229">
        <f t="shared" si="8"/>
        <v>1.5046296296296297E-4</v>
      </c>
      <c r="BW21" s="229">
        <f t="shared" si="0"/>
        <v>-1.3888888888888889E-4</v>
      </c>
      <c r="BX21" s="229">
        <f t="shared" si="1"/>
        <v>-3.3564814814814807E-4</v>
      </c>
      <c r="BY21" s="230" t="s">
        <v>9801</v>
      </c>
      <c r="BZ21" s="230" t="s">
        <v>9801</v>
      </c>
      <c r="CA21" s="230" t="s">
        <v>9801</v>
      </c>
      <c r="CB21" s="230" t="s">
        <v>11307</v>
      </c>
    </row>
    <row r="22" spans="1:80" x14ac:dyDescent="0.2">
      <c r="A22" s="95" t="s">
        <v>2392</v>
      </c>
      <c r="B22" s="95">
        <v>739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2393</v>
      </c>
      <c r="I22" s="95" t="s">
        <v>2394</v>
      </c>
      <c r="J22" s="95" t="s">
        <v>2395</v>
      </c>
      <c r="O22" s="95" t="s">
        <v>9623</v>
      </c>
      <c r="P22" s="95" t="s">
        <v>9622</v>
      </c>
      <c r="Q22" s="98">
        <v>3.8194444444444446E-4</v>
      </c>
      <c r="R22" s="98">
        <v>2.2337962962962967E-3</v>
      </c>
      <c r="S22" s="95">
        <v>0</v>
      </c>
      <c r="T22" s="95" t="s">
        <v>109</v>
      </c>
      <c r="U22" s="95" t="s">
        <v>110</v>
      </c>
      <c r="V22" s="95" t="s">
        <v>38</v>
      </c>
      <c r="X22" s="95">
        <v>104</v>
      </c>
      <c r="Z22" s="95" t="b">
        <v>0</v>
      </c>
      <c r="AE22" s="95" t="s">
        <v>2025</v>
      </c>
      <c r="AF22" s="95" t="s">
        <v>9522</v>
      </c>
      <c r="AH22" s="95" t="b">
        <v>0</v>
      </c>
      <c r="AI22" s="95" t="s">
        <v>11128</v>
      </c>
      <c r="AN22" s="207">
        <v>4.9768518518518521E-4</v>
      </c>
      <c r="AO22" s="207" t="b">
        <v>0</v>
      </c>
      <c r="AP22" s="207"/>
      <c r="AQ22" s="208" t="s">
        <v>9801</v>
      </c>
      <c r="AR22" s="208" t="s">
        <v>9801</v>
      </c>
      <c r="AS22" s="207"/>
      <c r="AT22" s="207">
        <f t="shared" si="2"/>
        <v>4.9768518518518521E-4</v>
      </c>
      <c r="AU22" s="207">
        <f t="shared" si="3"/>
        <v>-3.8194444444444446E-4</v>
      </c>
      <c r="AV22" s="207">
        <f t="shared" si="4"/>
        <v>-1.7361111111111114E-3</v>
      </c>
      <c r="AW22" s="208" t="s">
        <v>9801</v>
      </c>
      <c r="AX22" s="517" t="s">
        <v>9801</v>
      </c>
      <c r="AY22" s="213" t="s">
        <v>9801</v>
      </c>
      <c r="AZ22" s="213" t="s">
        <v>9801</v>
      </c>
      <c r="BA22" s="213" t="s">
        <v>9801</v>
      </c>
      <c r="BB22" s="213"/>
      <c r="BC22" s="214">
        <v>6.7129629629629625E-4</v>
      </c>
      <c r="BD22" s="214" t="b">
        <v>0</v>
      </c>
      <c r="BE22" s="214"/>
      <c r="BF22" s="215" t="s">
        <v>9801</v>
      </c>
      <c r="BG22" s="215"/>
      <c r="BH22" s="214">
        <v>0</v>
      </c>
      <c r="BI22" s="214">
        <f t="shared" si="9"/>
        <v>6.7129629629629625E-4</v>
      </c>
      <c r="BJ22" s="214">
        <f t="shared" si="5"/>
        <v>-3.8194444444444446E-4</v>
      </c>
      <c r="BK22" s="214">
        <f t="shared" si="6"/>
        <v>-1.5625000000000005E-3</v>
      </c>
      <c r="BL22" s="215" t="s">
        <v>9801</v>
      </c>
      <c r="BM22" s="226" t="str">
        <f t="shared" si="7"/>
        <v>-</v>
      </c>
      <c r="BN22" s="219" t="s">
        <v>9801</v>
      </c>
      <c r="BO22" s="219"/>
      <c r="BP22" s="219"/>
      <c r="BQ22" s="219" t="s">
        <v>11304</v>
      </c>
      <c r="BR22" s="229">
        <v>9.2592592592592588E-5</v>
      </c>
      <c r="BS22" s="229" t="s">
        <v>9801</v>
      </c>
      <c r="BT22" s="230" t="s">
        <v>9801</v>
      </c>
      <c r="BU22" s="229">
        <v>0</v>
      </c>
      <c r="BV22" s="229">
        <f t="shared" si="8"/>
        <v>9.2592592592592588E-5</v>
      </c>
      <c r="BW22" s="229">
        <f t="shared" si="0"/>
        <v>-3.8194444444444446E-4</v>
      </c>
      <c r="BX22" s="229">
        <f t="shared" si="1"/>
        <v>-2.1412037037037042E-3</v>
      </c>
      <c r="BY22" s="230" t="s">
        <v>9801</v>
      </c>
      <c r="BZ22" s="230" t="s">
        <v>9801</v>
      </c>
      <c r="CA22" s="230" t="s">
        <v>9801</v>
      </c>
      <c r="CB22" s="230" t="s">
        <v>11307</v>
      </c>
    </row>
    <row r="23" spans="1:80" x14ac:dyDescent="0.2">
      <c r="A23" s="95" t="s">
        <v>2715</v>
      </c>
      <c r="B23" s="95">
        <v>840</v>
      </c>
      <c r="C23" s="95" t="b">
        <v>0</v>
      </c>
      <c r="D23" s="95" t="b">
        <v>0</v>
      </c>
      <c r="E23" s="95" t="b">
        <v>0</v>
      </c>
      <c r="F23" s="95" t="b">
        <v>0</v>
      </c>
      <c r="G23" s="95" t="s">
        <v>31</v>
      </c>
      <c r="H23" s="95" t="s">
        <v>2716</v>
      </c>
      <c r="I23" s="95" t="s">
        <v>2717</v>
      </c>
      <c r="J23" s="95" t="s">
        <v>2718</v>
      </c>
      <c r="O23" s="95" t="s">
        <v>9519</v>
      </c>
      <c r="P23" s="95" t="s">
        <v>9616</v>
      </c>
      <c r="Q23" s="98">
        <v>5.4398148148148144E-4</v>
      </c>
      <c r="R23" s="98">
        <v>6.5972222222222213E-4</v>
      </c>
      <c r="S23" s="95">
        <v>0</v>
      </c>
      <c r="T23" s="95" t="s">
        <v>109</v>
      </c>
      <c r="U23" s="95" t="s">
        <v>110</v>
      </c>
      <c r="V23" s="95" t="s">
        <v>38</v>
      </c>
      <c r="Y23" s="155">
        <v>43403</v>
      </c>
      <c r="Z23" s="95" t="b">
        <v>0</v>
      </c>
      <c r="AE23" s="95" t="s">
        <v>2650</v>
      </c>
      <c r="AF23" s="95" t="s">
        <v>9517</v>
      </c>
      <c r="AH23" s="95" t="b">
        <v>0</v>
      </c>
      <c r="AI23" s="95" t="s">
        <v>11129</v>
      </c>
      <c r="AN23" s="207">
        <v>3.9351851851851852E-4</v>
      </c>
      <c r="AO23" s="207" t="b">
        <v>0</v>
      </c>
      <c r="AP23" s="207"/>
      <c r="AQ23" s="208" t="s">
        <v>9801</v>
      </c>
      <c r="AR23" s="208" t="s">
        <v>9801</v>
      </c>
      <c r="AS23" s="207"/>
      <c r="AT23" s="207">
        <f t="shared" si="2"/>
        <v>3.9351851851851852E-4</v>
      </c>
      <c r="AU23" s="207">
        <f t="shared" si="3"/>
        <v>-5.4398148148148144E-4</v>
      </c>
      <c r="AV23" s="207">
        <f t="shared" si="4"/>
        <v>-2.6620370370370361E-4</v>
      </c>
      <c r="AW23" s="208" t="s">
        <v>9801</v>
      </c>
      <c r="AX23" s="517" t="s">
        <v>9801</v>
      </c>
      <c r="AY23" s="213" t="s">
        <v>9801</v>
      </c>
      <c r="AZ23" s="213" t="s">
        <v>9801</v>
      </c>
      <c r="BA23" s="213" t="s">
        <v>9801</v>
      </c>
      <c r="BB23" s="213"/>
      <c r="BC23" s="214">
        <v>8.7962962962962962E-4</v>
      </c>
      <c r="BD23" s="214" t="b">
        <v>0</v>
      </c>
      <c r="BE23" s="214"/>
      <c r="BF23" s="215" t="s">
        <v>9801</v>
      </c>
      <c r="BG23" s="215" t="s">
        <v>9801</v>
      </c>
      <c r="BH23" s="214">
        <v>5.7870370370370378E-4</v>
      </c>
      <c r="BI23" s="214">
        <f t="shared" si="9"/>
        <v>1.4583333333333334E-3</v>
      </c>
      <c r="BJ23" s="214">
        <f t="shared" si="5"/>
        <v>3.4722222222222337E-5</v>
      </c>
      <c r="BK23" s="214">
        <f t="shared" si="6"/>
        <v>7.9861111111111127E-4</v>
      </c>
      <c r="BL23" s="215" t="s">
        <v>9801</v>
      </c>
      <c r="BM23" s="226" t="str">
        <f t="shared" si="7"/>
        <v>-</v>
      </c>
      <c r="BN23" s="219" t="s">
        <v>9801</v>
      </c>
      <c r="BO23" s="219" t="s">
        <v>9801</v>
      </c>
      <c r="BP23" s="219" t="s">
        <v>9801</v>
      </c>
      <c r="BQ23" s="219" t="s">
        <v>11305</v>
      </c>
      <c r="BR23" s="229">
        <v>1.3888888888888889E-4</v>
      </c>
      <c r="BS23" s="229" t="s">
        <v>9801</v>
      </c>
      <c r="BT23" s="230" t="s">
        <v>9801</v>
      </c>
      <c r="BU23" s="229">
        <v>0</v>
      </c>
      <c r="BV23" s="229">
        <f t="shared" si="8"/>
        <v>1.3888888888888889E-4</v>
      </c>
      <c r="BW23" s="229">
        <f t="shared" si="0"/>
        <v>-5.4398148148148144E-4</v>
      </c>
      <c r="BX23" s="229">
        <f t="shared" si="1"/>
        <v>-5.2083333333333322E-4</v>
      </c>
      <c r="BY23" s="230" t="s">
        <v>9801</v>
      </c>
      <c r="BZ23" s="230" t="s">
        <v>9801</v>
      </c>
      <c r="CA23" s="230" t="s">
        <v>9801</v>
      </c>
      <c r="CB23" s="230" t="s">
        <v>11307</v>
      </c>
    </row>
    <row r="24" spans="1:80" x14ac:dyDescent="0.2">
      <c r="A24" s="95" t="s">
        <v>2904</v>
      </c>
      <c r="B24" s="95">
        <v>899</v>
      </c>
      <c r="C24" s="95" t="b">
        <v>0</v>
      </c>
      <c r="D24" s="95" t="b">
        <v>0</v>
      </c>
      <c r="E24" s="95" t="b">
        <v>0</v>
      </c>
      <c r="F24" s="95" t="b">
        <v>0</v>
      </c>
      <c r="G24" s="95" t="s">
        <v>31</v>
      </c>
      <c r="H24" s="95" t="s">
        <v>2905</v>
      </c>
      <c r="I24" s="95" t="s">
        <v>2906</v>
      </c>
      <c r="J24" s="95" t="s">
        <v>2907</v>
      </c>
      <c r="O24" s="95" t="s">
        <v>10960</v>
      </c>
      <c r="P24" s="95" t="s">
        <v>10959</v>
      </c>
      <c r="Q24" s="98">
        <v>9.3750000000000007E-4</v>
      </c>
      <c r="R24" s="98">
        <v>1.8287037037037037E-3</v>
      </c>
      <c r="S24" s="95">
        <v>0</v>
      </c>
      <c r="T24" s="95" t="s">
        <v>109</v>
      </c>
      <c r="U24" s="95" t="s">
        <v>110</v>
      </c>
      <c r="V24" s="95" t="s">
        <v>38</v>
      </c>
      <c r="X24" s="95">
        <v>96</v>
      </c>
      <c r="Z24" s="95" t="b">
        <v>0</v>
      </c>
      <c r="AE24" s="95" t="s">
        <v>2840</v>
      </c>
      <c r="AF24" s="95" t="s">
        <v>9508</v>
      </c>
      <c r="AH24" s="95" t="b">
        <v>0</v>
      </c>
      <c r="AI24" s="95" t="s">
        <v>11130</v>
      </c>
      <c r="AN24" s="207">
        <v>3.1250000000000001E-4</v>
      </c>
      <c r="AO24" s="207" t="b">
        <v>0</v>
      </c>
      <c r="AP24" s="207"/>
      <c r="AQ24" s="208" t="s">
        <v>9801</v>
      </c>
      <c r="AR24" s="208" t="s">
        <v>9801</v>
      </c>
      <c r="AS24" s="207"/>
      <c r="AT24" s="207">
        <f t="shared" si="2"/>
        <v>3.1250000000000001E-4</v>
      </c>
      <c r="AU24" s="207">
        <f t="shared" si="3"/>
        <v>-9.3750000000000007E-4</v>
      </c>
      <c r="AV24" s="207">
        <f t="shared" si="4"/>
        <v>-1.5162037037037036E-3</v>
      </c>
      <c r="AW24" s="208" t="s">
        <v>9801</v>
      </c>
      <c r="AX24" s="517" t="s">
        <v>9801</v>
      </c>
      <c r="AY24" s="213" t="s">
        <v>9801</v>
      </c>
      <c r="AZ24" s="213" t="s">
        <v>9801</v>
      </c>
      <c r="BA24" s="213" t="s">
        <v>9801</v>
      </c>
      <c r="BB24" s="213"/>
      <c r="BC24" s="214">
        <v>8.7962962962962962E-4</v>
      </c>
      <c r="BD24" s="214" t="b">
        <v>1</v>
      </c>
      <c r="BE24" s="214" t="b">
        <v>1</v>
      </c>
      <c r="BF24" s="215">
        <v>94</v>
      </c>
      <c r="BG24" s="215"/>
      <c r="BH24" s="214">
        <v>5.0925925925925921E-4</v>
      </c>
      <c r="BI24" s="214">
        <f t="shared" si="9"/>
        <v>1.3888888888888887E-3</v>
      </c>
      <c r="BJ24" s="214">
        <f t="shared" si="5"/>
        <v>-4.2824074074074086E-4</v>
      </c>
      <c r="BK24" s="214">
        <f t="shared" si="6"/>
        <v>-4.3981481481481497E-4</v>
      </c>
      <c r="BL24" s="215">
        <f>BF24-X24</f>
        <v>-2</v>
      </c>
      <c r="BM24" s="226">
        <f t="shared" si="7"/>
        <v>0.97916666666666663</v>
      </c>
      <c r="BN24" s="219">
        <f>ABS(BF24/X24-1)</f>
        <v>2.083333333333337E-2</v>
      </c>
      <c r="BO24" s="219"/>
      <c r="BP24" s="219"/>
      <c r="BQ24" s="219"/>
      <c r="BR24" s="229">
        <v>1.0416666666666667E-4</v>
      </c>
      <c r="BS24" s="229" t="s">
        <v>9801</v>
      </c>
      <c r="BT24" s="230" t="s">
        <v>9801</v>
      </c>
      <c r="BU24" s="229">
        <v>0</v>
      </c>
      <c r="BV24" s="229">
        <f t="shared" si="8"/>
        <v>1.0416666666666667E-4</v>
      </c>
      <c r="BW24" s="229">
        <f t="shared" si="0"/>
        <v>-9.3750000000000007E-4</v>
      </c>
      <c r="BX24" s="229">
        <f t="shared" si="1"/>
        <v>-1.724537037037037E-3</v>
      </c>
      <c r="BY24" s="230" t="s">
        <v>9801</v>
      </c>
      <c r="BZ24" s="230" t="s">
        <v>9801</v>
      </c>
      <c r="CA24" s="230" t="s">
        <v>9801</v>
      </c>
      <c r="CB24" s="230" t="s">
        <v>11307</v>
      </c>
    </row>
    <row r="25" spans="1:80" x14ac:dyDescent="0.2">
      <c r="A25" s="95" t="s">
        <v>3509</v>
      </c>
      <c r="B25" s="95">
        <v>1092</v>
      </c>
      <c r="C25" s="95" t="b">
        <v>0</v>
      </c>
      <c r="D25" s="95" t="b">
        <v>0</v>
      </c>
      <c r="E25" s="95" t="b">
        <v>0</v>
      </c>
      <c r="F25" s="95" t="b">
        <v>0</v>
      </c>
      <c r="G25" s="95" t="s">
        <v>31</v>
      </c>
      <c r="H25" s="95" t="s">
        <v>3510</v>
      </c>
      <c r="I25" s="95" t="s">
        <v>3511</v>
      </c>
      <c r="J25" s="95" t="s">
        <v>3512</v>
      </c>
      <c r="O25" s="95" t="s">
        <v>9611</v>
      </c>
      <c r="P25" s="95" t="s">
        <v>9610</v>
      </c>
      <c r="Q25" s="98">
        <v>6.2500000000000001E-4</v>
      </c>
      <c r="R25" s="98">
        <v>1.2152777777777778E-3</v>
      </c>
      <c r="S25" s="95">
        <v>0</v>
      </c>
      <c r="T25" s="95" t="s">
        <v>109</v>
      </c>
      <c r="U25" s="95" t="s">
        <v>110</v>
      </c>
      <c r="V25" s="95" t="s">
        <v>38</v>
      </c>
      <c r="X25" s="95">
        <v>101</v>
      </c>
      <c r="Z25" s="95" t="b">
        <v>0</v>
      </c>
      <c r="AE25" s="95" t="s">
        <v>2840</v>
      </c>
      <c r="AF25" s="95" t="s">
        <v>9492</v>
      </c>
      <c r="AH25" s="95" t="b">
        <v>0</v>
      </c>
      <c r="AI25" s="95" t="s">
        <v>11131</v>
      </c>
      <c r="AN25" s="207">
        <v>3.7037037037037035E-4</v>
      </c>
      <c r="AO25" s="207" t="b">
        <v>0</v>
      </c>
      <c r="AP25" s="207"/>
      <c r="AQ25" s="208" t="s">
        <v>9801</v>
      </c>
      <c r="AR25" s="208" t="s">
        <v>9801</v>
      </c>
      <c r="AS25" s="207"/>
      <c r="AT25" s="207">
        <f t="shared" si="2"/>
        <v>3.7037037037037035E-4</v>
      </c>
      <c r="AU25" s="207">
        <f t="shared" si="3"/>
        <v>-6.2500000000000001E-4</v>
      </c>
      <c r="AV25" s="207">
        <f t="shared" si="4"/>
        <v>-8.449074074074075E-4</v>
      </c>
      <c r="AW25" s="208" t="s">
        <v>9801</v>
      </c>
      <c r="AX25" s="517" t="s">
        <v>9801</v>
      </c>
      <c r="AY25" s="213" t="s">
        <v>9801</v>
      </c>
      <c r="AZ25" s="213" t="s">
        <v>9801</v>
      </c>
      <c r="BA25" s="213" t="s">
        <v>9801</v>
      </c>
      <c r="BB25" s="213"/>
      <c r="BC25" s="214">
        <v>6.134259259259259E-4</v>
      </c>
      <c r="BD25" s="214" t="b">
        <v>1</v>
      </c>
      <c r="BE25" s="214" t="b">
        <v>1</v>
      </c>
      <c r="BF25" s="215">
        <v>100</v>
      </c>
      <c r="BG25" s="215"/>
      <c r="BH25" s="214">
        <v>1.7361111111111112E-4</v>
      </c>
      <c r="BI25" s="214">
        <f t="shared" si="9"/>
        <v>7.8703703703703705E-4</v>
      </c>
      <c r="BJ25" s="214">
        <f t="shared" si="5"/>
        <v>-4.5138888888888887E-4</v>
      </c>
      <c r="BK25" s="214">
        <f t="shared" si="6"/>
        <v>-4.2824074074074075E-4</v>
      </c>
      <c r="BL25" s="215">
        <f>BF25-X25</f>
        <v>-1</v>
      </c>
      <c r="BM25" s="226">
        <f t="shared" si="7"/>
        <v>0.99009900990099009</v>
      </c>
      <c r="BN25" s="219">
        <f>ABS(BF25/X25-1)</f>
        <v>9.9009900990099098E-3</v>
      </c>
      <c r="BO25" s="219"/>
      <c r="BP25" s="219"/>
      <c r="BQ25" s="219"/>
      <c r="BR25" s="229">
        <v>1.0416666666666667E-4</v>
      </c>
      <c r="BS25" s="229" t="s">
        <v>9801</v>
      </c>
      <c r="BT25" s="230" t="s">
        <v>9801</v>
      </c>
      <c r="BU25" s="229">
        <v>0</v>
      </c>
      <c r="BV25" s="229">
        <f t="shared" si="8"/>
        <v>1.0416666666666667E-4</v>
      </c>
      <c r="BW25" s="229">
        <f t="shared" si="0"/>
        <v>-6.2500000000000001E-4</v>
      </c>
      <c r="BX25" s="229">
        <f t="shared" si="1"/>
        <v>-1.1111111111111111E-3</v>
      </c>
      <c r="BY25" s="230" t="s">
        <v>9801</v>
      </c>
      <c r="BZ25" s="230" t="s">
        <v>9801</v>
      </c>
      <c r="CA25" s="230" t="s">
        <v>9801</v>
      </c>
      <c r="CB25" s="230" t="s">
        <v>11307</v>
      </c>
    </row>
    <row r="26" spans="1:80" x14ac:dyDescent="0.2">
      <c r="A26" s="95" t="s">
        <v>3570</v>
      </c>
      <c r="B26" s="95">
        <v>1110</v>
      </c>
      <c r="C26" s="95" t="b">
        <v>0</v>
      </c>
      <c r="D26" s="95" t="b">
        <v>0</v>
      </c>
      <c r="E26" s="95" t="b">
        <v>0</v>
      </c>
      <c r="F26" s="95" t="b">
        <v>0</v>
      </c>
      <c r="G26" s="95" t="s">
        <v>31</v>
      </c>
      <c r="H26" s="95" t="s">
        <v>3571</v>
      </c>
      <c r="I26" s="95" t="s">
        <v>3572</v>
      </c>
      <c r="J26" s="95" t="s">
        <v>3573</v>
      </c>
      <c r="O26" s="95" t="s">
        <v>10863</v>
      </c>
      <c r="P26" s="95" t="s">
        <v>10863</v>
      </c>
      <c r="Q26" s="98">
        <v>3.4722222222222224E-4</v>
      </c>
      <c r="R26" s="98">
        <v>4.1666666666666669E-4</v>
      </c>
      <c r="S26" s="95">
        <v>0</v>
      </c>
      <c r="T26" s="95" t="s">
        <v>109</v>
      </c>
      <c r="U26" s="95" t="s">
        <v>110</v>
      </c>
      <c r="V26" s="95" t="s">
        <v>38</v>
      </c>
      <c r="X26" s="95">
        <v>0</v>
      </c>
      <c r="Z26" s="95" t="b">
        <v>0</v>
      </c>
      <c r="AE26" s="95" t="s">
        <v>2840</v>
      </c>
      <c r="AF26" s="95" t="s">
        <v>9492</v>
      </c>
      <c r="AH26" s="95" t="b">
        <v>0</v>
      </c>
      <c r="AI26" s="95" t="s">
        <v>11132</v>
      </c>
      <c r="AN26" s="207">
        <v>1.7361111111111112E-4</v>
      </c>
      <c r="AO26" s="207" t="b">
        <v>1</v>
      </c>
      <c r="AP26" s="207" t="b">
        <v>0</v>
      </c>
      <c r="AQ26" s="208" t="s">
        <v>9801</v>
      </c>
      <c r="AR26" s="208" t="s">
        <v>9801</v>
      </c>
      <c r="AS26" s="207"/>
      <c r="AT26" s="207">
        <f t="shared" si="2"/>
        <v>1.7361111111111112E-4</v>
      </c>
      <c r="AU26" s="207">
        <f t="shared" si="3"/>
        <v>-3.4722222222222224E-4</v>
      </c>
      <c r="AV26" s="207">
        <f t="shared" si="4"/>
        <v>-2.4305555555555558E-4</v>
      </c>
      <c r="AW26" s="208" t="s">
        <v>9801</v>
      </c>
      <c r="AX26" s="517" t="s">
        <v>9801</v>
      </c>
      <c r="AY26" s="213" t="s">
        <v>9801</v>
      </c>
      <c r="AZ26" s="213" t="s">
        <v>9801</v>
      </c>
      <c r="BA26" s="213" t="s">
        <v>9801</v>
      </c>
      <c r="BB26" s="213" t="s">
        <v>11944</v>
      </c>
      <c r="BC26" s="214">
        <v>7.291666666666667E-4</v>
      </c>
      <c r="BD26" s="214" t="b">
        <v>1</v>
      </c>
      <c r="BE26" s="214" t="b">
        <v>1</v>
      </c>
      <c r="BF26" s="215">
        <v>0</v>
      </c>
      <c r="BG26" s="215"/>
      <c r="BH26" s="214">
        <v>2.3148148148148147E-5</v>
      </c>
      <c r="BI26" s="214">
        <f t="shared" si="9"/>
        <v>7.5231481481481482E-4</v>
      </c>
      <c r="BJ26" s="214">
        <f t="shared" si="5"/>
        <v>-3.2407407407407406E-4</v>
      </c>
      <c r="BK26" s="214">
        <f t="shared" si="6"/>
        <v>3.3564814814814812E-4</v>
      </c>
      <c r="BL26" s="215">
        <f>BF26-X26</f>
        <v>0</v>
      </c>
      <c r="BM26" s="226">
        <f t="shared" si="7"/>
        <v>1</v>
      </c>
      <c r="BN26" s="219">
        <v>0</v>
      </c>
      <c r="BO26" s="219"/>
      <c r="BP26" s="219"/>
      <c r="BQ26" s="219"/>
      <c r="BR26" s="229">
        <v>1.0416666666666667E-4</v>
      </c>
      <c r="BS26" s="229" t="s">
        <v>9801</v>
      </c>
      <c r="BT26" s="230" t="s">
        <v>9801</v>
      </c>
      <c r="BU26" s="229">
        <v>0</v>
      </c>
      <c r="BV26" s="229">
        <f t="shared" si="8"/>
        <v>1.0416666666666667E-4</v>
      </c>
      <c r="BW26" s="229">
        <f t="shared" si="0"/>
        <v>-3.4722222222222224E-4</v>
      </c>
      <c r="BX26" s="229">
        <f t="shared" si="1"/>
        <v>-3.1250000000000001E-4</v>
      </c>
      <c r="BY26" s="230" t="s">
        <v>9801</v>
      </c>
      <c r="BZ26" s="230" t="s">
        <v>9801</v>
      </c>
      <c r="CA26" s="230" t="s">
        <v>9801</v>
      </c>
      <c r="CB26" s="230" t="s">
        <v>11307</v>
      </c>
    </row>
    <row r="27" spans="1:80" x14ac:dyDescent="0.2">
      <c r="A27" s="95" t="s">
        <v>3635</v>
      </c>
      <c r="B27" s="95">
        <v>1130</v>
      </c>
      <c r="C27" s="95" t="b">
        <v>0</v>
      </c>
      <c r="D27" s="95" t="b">
        <v>0</v>
      </c>
      <c r="E27" s="95" t="b">
        <v>0</v>
      </c>
      <c r="F27" s="95" t="b">
        <v>0</v>
      </c>
      <c r="G27" s="95" t="s">
        <v>31</v>
      </c>
      <c r="H27" s="95" t="s">
        <v>3636</v>
      </c>
      <c r="I27" s="95" t="s">
        <v>3637</v>
      </c>
      <c r="O27" s="95" t="s">
        <v>9606</v>
      </c>
      <c r="P27" s="95" t="s">
        <v>9606</v>
      </c>
      <c r="Q27" s="98">
        <v>1.3888888888888889E-4</v>
      </c>
      <c r="R27" s="98">
        <v>8.564814814814815E-4</v>
      </c>
      <c r="S27" s="95">
        <v>0</v>
      </c>
      <c r="T27" s="95" t="s">
        <v>109</v>
      </c>
      <c r="U27" s="95" t="s">
        <v>110</v>
      </c>
      <c r="V27" s="95" t="s">
        <v>38</v>
      </c>
      <c r="X27" s="95">
        <v>95</v>
      </c>
      <c r="Z27" s="95" t="b">
        <v>0</v>
      </c>
      <c r="AE27" s="95" t="s">
        <v>2840</v>
      </c>
      <c r="AF27" s="95" t="s">
        <v>9492</v>
      </c>
      <c r="AH27" s="95" t="b">
        <v>0</v>
      </c>
      <c r="AI27" s="95" t="s">
        <v>11133</v>
      </c>
      <c r="AN27" s="207">
        <v>4.9768518518518521E-4</v>
      </c>
      <c r="AO27" s="207" t="b">
        <v>0</v>
      </c>
      <c r="AP27" s="207"/>
      <c r="AQ27" s="208" t="s">
        <v>9801</v>
      </c>
      <c r="AR27" s="208" t="s">
        <v>9801</v>
      </c>
      <c r="AS27" s="207"/>
      <c r="AT27" s="207">
        <f>AN27+AS27</f>
        <v>4.9768518518518521E-4</v>
      </c>
      <c r="AU27" s="207">
        <f t="shared" si="3"/>
        <v>-1.3888888888888889E-4</v>
      </c>
      <c r="AV27" s="207">
        <f t="shared" si="4"/>
        <v>-3.5879629629629629E-4</v>
      </c>
      <c r="AW27" s="208" t="s">
        <v>9801</v>
      </c>
      <c r="AX27" s="517" t="s">
        <v>9801</v>
      </c>
      <c r="AY27" s="213" t="s">
        <v>9801</v>
      </c>
      <c r="AZ27" s="213" t="s">
        <v>9801</v>
      </c>
      <c r="BA27" s="213" t="s">
        <v>9801</v>
      </c>
      <c r="BB27" s="213"/>
      <c r="BC27" s="214">
        <v>3.5763888888888894E-3</v>
      </c>
      <c r="BD27" s="214" t="b">
        <v>0</v>
      </c>
      <c r="BE27" s="214"/>
      <c r="BF27" s="215" t="s">
        <v>9801</v>
      </c>
      <c r="BG27" s="215"/>
      <c r="BH27" s="214">
        <v>0</v>
      </c>
      <c r="BI27" s="214">
        <f t="shared" si="9"/>
        <v>3.5763888888888894E-3</v>
      </c>
      <c r="BJ27" s="214">
        <f t="shared" si="5"/>
        <v>-1.3888888888888889E-4</v>
      </c>
      <c r="BK27" s="214">
        <f>BI27-R27</f>
        <v>2.7199074074074079E-3</v>
      </c>
      <c r="BL27" s="215" t="s">
        <v>9801</v>
      </c>
      <c r="BM27" s="226" t="str">
        <f t="shared" si="7"/>
        <v>-</v>
      </c>
      <c r="BN27" s="219" t="s">
        <v>9801</v>
      </c>
      <c r="BO27" s="219"/>
      <c r="BP27" s="219"/>
      <c r="BQ27" s="219" t="s">
        <v>11306</v>
      </c>
      <c r="BR27" s="229">
        <v>1.1574074074074073E-4</v>
      </c>
      <c r="BS27" s="229" t="s">
        <v>9801</v>
      </c>
      <c r="BT27" s="230" t="s">
        <v>9801</v>
      </c>
      <c r="BU27" s="229">
        <v>0</v>
      </c>
      <c r="BV27" s="229">
        <f t="shared" si="8"/>
        <v>1.1574074074074073E-4</v>
      </c>
      <c r="BW27" s="229">
        <f t="shared" si="0"/>
        <v>-1.3888888888888889E-4</v>
      </c>
      <c r="BX27" s="229">
        <f t="shared" si="1"/>
        <v>-7.4074074074074081E-4</v>
      </c>
      <c r="BY27" s="230" t="s">
        <v>9801</v>
      </c>
      <c r="BZ27" s="230" t="s">
        <v>9801</v>
      </c>
      <c r="CA27" s="230" t="s">
        <v>9801</v>
      </c>
      <c r="CB27" s="230" t="s">
        <v>11307</v>
      </c>
    </row>
    <row r="28" spans="1:80" x14ac:dyDescent="0.2">
      <c r="A28" s="95" t="s">
        <v>3664</v>
      </c>
      <c r="B28" s="95">
        <v>1139</v>
      </c>
      <c r="C28" s="95" t="b">
        <v>0</v>
      </c>
      <c r="D28" s="95" t="b">
        <v>0</v>
      </c>
      <c r="E28" s="95" t="b">
        <v>0</v>
      </c>
      <c r="F28" s="95" t="b">
        <v>0</v>
      </c>
      <c r="G28" s="95" t="s">
        <v>31</v>
      </c>
      <c r="H28" s="95" t="s">
        <v>3665</v>
      </c>
      <c r="I28" s="95" t="s">
        <v>3666</v>
      </c>
      <c r="J28" s="95" t="s">
        <v>3667</v>
      </c>
      <c r="O28" s="95" t="s">
        <v>10958</v>
      </c>
      <c r="P28" s="95" t="s">
        <v>10957</v>
      </c>
      <c r="Q28" s="98">
        <v>5.7870370370370378E-4</v>
      </c>
      <c r="R28" s="98">
        <v>6.2500000000000001E-4</v>
      </c>
      <c r="S28" s="95">
        <v>0</v>
      </c>
      <c r="T28" s="95" t="s">
        <v>109</v>
      </c>
      <c r="U28" s="95" t="s">
        <v>110</v>
      </c>
      <c r="V28" s="95" t="s">
        <v>38</v>
      </c>
      <c r="X28" s="95">
        <v>65</v>
      </c>
      <c r="Z28" s="95" t="b">
        <v>0</v>
      </c>
      <c r="AE28" s="95" t="s">
        <v>2840</v>
      </c>
      <c r="AF28" s="95" t="s">
        <v>9492</v>
      </c>
      <c r="AH28" s="95" t="b">
        <v>0</v>
      </c>
      <c r="AI28" s="95" t="s">
        <v>11134</v>
      </c>
      <c r="AN28" s="207">
        <v>2.5462962962962961E-4</v>
      </c>
      <c r="AO28" s="207" t="b">
        <v>0</v>
      </c>
      <c r="AP28" s="207"/>
      <c r="AQ28" s="208" t="s">
        <v>9801</v>
      </c>
      <c r="AR28" s="208" t="s">
        <v>9801</v>
      </c>
      <c r="AS28" s="207"/>
      <c r="AT28" s="207">
        <f t="shared" si="2"/>
        <v>2.5462962962962961E-4</v>
      </c>
      <c r="AU28" s="207">
        <f t="shared" si="3"/>
        <v>-5.7870370370370378E-4</v>
      </c>
      <c r="AV28" s="207">
        <f t="shared" si="4"/>
        <v>-3.7037037037037041E-4</v>
      </c>
      <c r="AW28" s="208" t="s">
        <v>9801</v>
      </c>
      <c r="AX28" s="517" t="s">
        <v>9801</v>
      </c>
      <c r="AY28" s="213" t="s">
        <v>9801</v>
      </c>
      <c r="AZ28" s="213" t="s">
        <v>9801</v>
      </c>
      <c r="BA28" s="213" t="s">
        <v>9801</v>
      </c>
      <c r="BB28" s="213"/>
      <c r="BC28" s="214">
        <v>3.8194444444444446E-4</v>
      </c>
      <c r="BD28" s="214" t="b">
        <v>0</v>
      </c>
      <c r="BE28" s="214"/>
      <c r="BF28" s="215" t="s">
        <v>9801</v>
      </c>
      <c r="BG28" s="215"/>
      <c r="BH28" s="214">
        <v>0</v>
      </c>
      <c r="BI28" s="214">
        <f t="shared" si="9"/>
        <v>3.8194444444444446E-4</v>
      </c>
      <c r="BJ28" s="214">
        <f t="shared" si="5"/>
        <v>-5.7870370370370378E-4</v>
      </c>
      <c r="BK28" s="214">
        <f t="shared" si="6"/>
        <v>-2.4305555555555555E-4</v>
      </c>
      <c r="BL28" s="215" t="s">
        <v>9801</v>
      </c>
      <c r="BM28" s="226" t="str">
        <f t="shared" si="7"/>
        <v>-</v>
      </c>
      <c r="BN28" s="219" t="s">
        <v>9801</v>
      </c>
      <c r="BO28" s="219"/>
      <c r="BP28" s="219"/>
      <c r="BQ28" s="219" t="s">
        <v>11306</v>
      </c>
      <c r="BR28" s="229">
        <v>1.0416666666666667E-4</v>
      </c>
      <c r="BS28" s="229" t="s">
        <v>9801</v>
      </c>
      <c r="BT28" s="230" t="s">
        <v>9801</v>
      </c>
      <c r="BU28" s="229">
        <v>0</v>
      </c>
      <c r="BV28" s="229">
        <f t="shared" si="8"/>
        <v>1.0416666666666667E-4</v>
      </c>
      <c r="BW28" s="229">
        <f t="shared" si="0"/>
        <v>-5.7870370370370378E-4</v>
      </c>
      <c r="BX28" s="229">
        <f t="shared" si="1"/>
        <v>-5.2083333333333333E-4</v>
      </c>
      <c r="BY28" s="230" t="s">
        <v>9801</v>
      </c>
      <c r="BZ28" s="230" t="s">
        <v>9801</v>
      </c>
      <c r="CA28" s="230" t="s">
        <v>9801</v>
      </c>
      <c r="CB28" s="230" t="s">
        <v>11307</v>
      </c>
    </row>
    <row r="29" spans="1:80" x14ac:dyDescent="0.2">
      <c r="A29" s="95" t="s">
        <v>3717</v>
      </c>
      <c r="B29" s="95">
        <v>1156</v>
      </c>
      <c r="C29" s="95" t="b">
        <v>0</v>
      </c>
      <c r="D29" s="95" t="b">
        <v>0</v>
      </c>
      <c r="E29" s="95" t="b">
        <v>0</v>
      </c>
      <c r="F29" s="95" t="b">
        <v>0</v>
      </c>
      <c r="G29" s="95" t="s">
        <v>31</v>
      </c>
      <c r="H29" s="95" t="s">
        <v>3718</v>
      </c>
      <c r="I29" s="95" t="s">
        <v>3719</v>
      </c>
      <c r="O29" s="95" t="s">
        <v>10862</v>
      </c>
      <c r="P29" s="95" t="s">
        <v>10862</v>
      </c>
      <c r="Q29" s="98">
        <v>3.3564814814814812E-4</v>
      </c>
      <c r="R29" s="98">
        <v>7.6388888888888893E-4</v>
      </c>
      <c r="S29" s="95">
        <v>0</v>
      </c>
      <c r="T29" s="95" t="s">
        <v>109</v>
      </c>
      <c r="U29" s="95" t="s">
        <v>110</v>
      </c>
      <c r="V29" s="95" t="s">
        <v>38</v>
      </c>
      <c r="X29" s="95">
        <v>96</v>
      </c>
      <c r="Z29" s="95" t="b">
        <v>0</v>
      </c>
      <c r="AE29" s="95" t="s">
        <v>2840</v>
      </c>
      <c r="AF29" s="95" t="s">
        <v>9492</v>
      </c>
      <c r="AH29" s="95" t="b">
        <v>0</v>
      </c>
      <c r="AI29" s="95" t="s">
        <v>11135</v>
      </c>
      <c r="AN29" s="207">
        <v>4.0509259259259258E-4</v>
      </c>
      <c r="AO29" s="207" t="b">
        <v>1</v>
      </c>
      <c r="AP29" s="207" t="b">
        <v>0</v>
      </c>
      <c r="AQ29" s="208" t="s">
        <v>9801</v>
      </c>
      <c r="AR29" s="208" t="s">
        <v>9801</v>
      </c>
      <c r="AS29" s="207">
        <v>2.3148148148148147E-5</v>
      </c>
      <c r="AT29" s="207">
        <f t="shared" si="2"/>
        <v>4.2824074074074075E-4</v>
      </c>
      <c r="AU29" s="207">
        <f t="shared" si="3"/>
        <v>-3.1249999999999995E-4</v>
      </c>
      <c r="AV29" s="207">
        <f t="shared" si="4"/>
        <v>-3.3564814814814818E-4</v>
      </c>
      <c r="AW29" s="208" t="s">
        <v>9801</v>
      </c>
      <c r="AX29" s="517" t="s">
        <v>9801</v>
      </c>
      <c r="AY29" s="213" t="s">
        <v>9801</v>
      </c>
      <c r="AZ29" s="213" t="s">
        <v>9801</v>
      </c>
      <c r="BA29" s="213" t="s">
        <v>9801</v>
      </c>
      <c r="BB29" s="213" t="s">
        <v>11946</v>
      </c>
      <c r="BC29" s="214">
        <v>3.3564814814814812E-4</v>
      </c>
      <c r="BD29" s="214" t="b">
        <v>1</v>
      </c>
      <c r="BE29" s="214" t="b">
        <v>1</v>
      </c>
      <c r="BF29" s="215">
        <v>104</v>
      </c>
      <c r="BG29" s="215"/>
      <c r="BH29" s="214">
        <v>1.273148148148148E-4</v>
      </c>
      <c r="BI29" s="214">
        <f t="shared" si="9"/>
        <v>4.6296296296296293E-4</v>
      </c>
      <c r="BJ29" s="214">
        <f t="shared" si="5"/>
        <v>-2.0833333333333332E-4</v>
      </c>
      <c r="BK29" s="214">
        <f t="shared" si="6"/>
        <v>-3.00925925925926E-4</v>
      </c>
      <c r="BL29" s="215">
        <f>BF29-X29</f>
        <v>8</v>
      </c>
      <c r="BM29" s="226">
        <f t="shared" si="7"/>
        <v>0.91666666666666674</v>
      </c>
      <c r="BN29" s="219">
        <f>ABS(BF29/X29-1)</f>
        <v>8.3333333333333259E-2</v>
      </c>
      <c r="BO29" s="219"/>
      <c r="BP29" s="219"/>
      <c r="BQ29" s="219"/>
      <c r="BR29" s="229">
        <v>9.2592592592592588E-5</v>
      </c>
      <c r="BS29" s="229" t="s">
        <v>9801</v>
      </c>
      <c r="BT29" s="230" t="s">
        <v>9801</v>
      </c>
      <c r="BU29" s="229">
        <v>0</v>
      </c>
      <c r="BV29" s="229">
        <f t="shared" si="8"/>
        <v>9.2592592592592588E-5</v>
      </c>
      <c r="BW29" s="229">
        <f t="shared" si="0"/>
        <v>-3.3564814814814812E-4</v>
      </c>
      <c r="BX29" s="229">
        <f t="shared" si="1"/>
        <v>-6.7129629629629635E-4</v>
      </c>
      <c r="BY29" s="230" t="s">
        <v>9801</v>
      </c>
      <c r="BZ29" s="230" t="s">
        <v>9801</v>
      </c>
      <c r="CA29" s="230" t="s">
        <v>9801</v>
      </c>
      <c r="CB29" s="230" t="s">
        <v>11307</v>
      </c>
    </row>
    <row r="30" spans="1:80" x14ac:dyDescent="0.2">
      <c r="A30" s="95" t="s">
        <v>3744</v>
      </c>
      <c r="B30" s="95">
        <v>1165</v>
      </c>
      <c r="C30" s="95" t="b">
        <v>0</v>
      </c>
      <c r="D30" s="95" t="b">
        <v>0</v>
      </c>
      <c r="E30" s="95" t="b">
        <v>0</v>
      </c>
      <c r="F30" s="95" t="b">
        <v>0</v>
      </c>
      <c r="G30" s="95" t="s">
        <v>31</v>
      </c>
      <c r="H30" s="95" t="s">
        <v>3745</v>
      </c>
      <c r="I30" s="95" t="s">
        <v>3746</v>
      </c>
      <c r="O30" s="95" t="s">
        <v>9603</v>
      </c>
      <c r="P30" s="95" t="s">
        <v>9603</v>
      </c>
      <c r="Q30" s="98">
        <v>1.6203703703703703E-4</v>
      </c>
      <c r="R30" s="98">
        <v>8.9120370370370362E-4</v>
      </c>
      <c r="S30" s="95">
        <v>0</v>
      </c>
      <c r="T30" s="95" t="s">
        <v>109</v>
      </c>
      <c r="U30" s="95" t="s">
        <v>110</v>
      </c>
      <c r="V30" s="95" t="s">
        <v>38</v>
      </c>
      <c r="X30" s="95">
        <v>95</v>
      </c>
      <c r="Z30" s="95" t="b">
        <v>0</v>
      </c>
      <c r="AE30" s="95" t="s">
        <v>2840</v>
      </c>
      <c r="AF30" s="95" t="s">
        <v>9492</v>
      </c>
      <c r="AH30" s="95" t="b">
        <v>0</v>
      </c>
      <c r="AI30" s="95" t="s">
        <v>11136</v>
      </c>
      <c r="AN30" s="207">
        <v>4.3981481481481481E-4</v>
      </c>
      <c r="AO30" s="207" t="b">
        <v>0</v>
      </c>
      <c r="AP30" s="207"/>
      <c r="AQ30" s="208" t="s">
        <v>9801</v>
      </c>
      <c r="AR30" s="208" t="s">
        <v>9801</v>
      </c>
      <c r="AS30" s="207"/>
      <c r="AT30" s="207">
        <f t="shared" si="2"/>
        <v>4.3981481481481481E-4</v>
      </c>
      <c r="AU30" s="207">
        <f>AS30-Q30</f>
        <v>-1.6203703703703703E-4</v>
      </c>
      <c r="AV30" s="207">
        <f t="shared" si="4"/>
        <v>-4.5138888888888881E-4</v>
      </c>
      <c r="AW30" s="208" t="s">
        <v>9801</v>
      </c>
      <c r="AX30" s="517" t="s">
        <v>9801</v>
      </c>
      <c r="AY30" s="213" t="s">
        <v>9801</v>
      </c>
      <c r="AZ30" s="213" t="s">
        <v>9801</v>
      </c>
      <c r="BA30" s="213" t="s">
        <v>9801</v>
      </c>
      <c r="BB30" s="213"/>
      <c r="BC30" s="214">
        <v>8.3333333333333339E-4</v>
      </c>
      <c r="BD30" s="214" t="b">
        <v>1</v>
      </c>
      <c r="BE30" s="214" t="b">
        <v>1</v>
      </c>
      <c r="BF30" s="215">
        <v>97</v>
      </c>
      <c r="BG30" s="215"/>
      <c r="BH30" s="214">
        <v>5.0925925925925921E-4</v>
      </c>
      <c r="BI30" s="214">
        <f>BC30+BH30</f>
        <v>1.3425925925925927E-3</v>
      </c>
      <c r="BJ30" s="214">
        <f t="shared" si="5"/>
        <v>3.4722222222222218E-4</v>
      </c>
      <c r="BK30" s="214">
        <f t="shared" si="6"/>
        <v>4.5138888888888909E-4</v>
      </c>
      <c r="BL30" s="215">
        <f>BF30-X30</f>
        <v>2</v>
      </c>
      <c r="BM30" s="226">
        <f t="shared" si="7"/>
        <v>0.97894736842105257</v>
      </c>
      <c r="BN30" s="219">
        <f>ABS(BF30/X30-1)</f>
        <v>2.1052631578947434E-2</v>
      </c>
      <c r="BO30" s="219"/>
      <c r="BP30" s="219"/>
      <c r="BQ30" s="219"/>
      <c r="BR30" s="229">
        <v>1.0416666666666667E-4</v>
      </c>
      <c r="BS30" s="229" t="s">
        <v>9801</v>
      </c>
      <c r="BT30" s="230" t="s">
        <v>9801</v>
      </c>
      <c r="BU30" s="229">
        <v>0</v>
      </c>
      <c r="BV30" s="229">
        <f t="shared" si="8"/>
        <v>1.0416666666666667E-4</v>
      </c>
      <c r="BW30" s="229">
        <f t="shared" si="0"/>
        <v>-1.6203703703703703E-4</v>
      </c>
      <c r="BX30" s="229">
        <f t="shared" si="1"/>
        <v>-7.8703703703703694E-4</v>
      </c>
      <c r="BY30" s="230" t="s">
        <v>9801</v>
      </c>
      <c r="BZ30" s="230" t="s">
        <v>9801</v>
      </c>
      <c r="CA30" s="230" t="s">
        <v>9801</v>
      </c>
      <c r="CB30" s="230" t="s">
        <v>11307</v>
      </c>
    </row>
    <row r="31" spans="1:80" x14ac:dyDescent="0.2">
      <c r="A31" s="95" t="s">
        <v>3750</v>
      </c>
      <c r="B31" s="95">
        <v>1167</v>
      </c>
      <c r="C31" s="95" t="b">
        <v>0</v>
      </c>
      <c r="D31" s="95" t="b">
        <v>0</v>
      </c>
      <c r="E31" s="95" t="b">
        <v>0</v>
      </c>
      <c r="F31" s="95" t="b">
        <v>0</v>
      </c>
      <c r="G31" s="95" t="s">
        <v>31</v>
      </c>
      <c r="H31" s="95" t="s">
        <v>3751</v>
      </c>
      <c r="I31" s="95" t="s">
        <v>3752</v>
      </c>
      <c r="J31" s="95" t="s">
        <v>3753</v>
      </c>
      <c r="O31" s="95" t="s">
        <v>9601</v>
      </c>
      <c r="P31" s="95" t="s">
        <v>9601</v>
      </c>
      <c r="Q31" s="98">
        <v>3.7037037037037035E-4</v>
      </c>
      <c r="R31" s="98">
        <v>1.0532407407407407E-3</v>
      </c>
      <c r="S31" s="95">
        <v>0</v>
      </c>
      <c r="T31" s="95" t="s">
        <v>109</v>
      </c>
      <c r="U31" s="95" t="s">
        <v>110</v>
      </c>
      <c r="V31" s="95" t="s">
        <v>38</v>
      </c>
      <c r="X31" s="95">
        <v>75</v>
      </c>
      <c r="Y31" s="155">
        <v>43399</v>
      </c>
      <c r="Z31" s="95" t="b">
        <v>0</v>
      </c>
      <c r="AE31" s="95" t="s">
        <v>2840</v>
      </c>
      <c r="AF31" s="95" t="s">
        <v>9492</v>
      </c>
      <c r="AH31" s="95" t="b">
        <v>0</v>
      </c>
      <c r="AI31" s="95" t="s">
        <v>11137</v>
      </c>
      <c r="AN31" s="207">
        <v>2.199074074074074E-4</v>
      </c>
      <c r="AO31" s="207" t="b">
        <v>0</v>
      </c>
      <c r="AP31" s="207"/>
      <c r="AQ31" s="208" t="s">
        <v>9801</v>
      </c>
      <c r="AR31" s="208" t="s">
        <v>9801</v>
      </c>
      <c r="AS31" s="207"/>
      <c r="AT31" s="207">
        <f t="shared" si="2"/>
        <v>2.199074074074074E-4</v>
      </c>
      <c r="AU31" s="207">
        <f t="shared" si="3"/>
        <v>-3.7037037037037035E-4</v>
      </c>
      <c r="AV31" s="207">
        <f t="shared" si="4"/>
        <v>-8.3333333333333328E-4</v>
      </c>
      <c r="AW31" s="208" t="s">
        <v>9801</v>
      </c>
      <c r="AX31" s="517" t="s">
        <v>9801</v>
      </c>
      <c r="AY31" s="213" t="s">
        <v>9801</v>
      </c>
      <c r="AZ31" s="213" t="s">
        <v>9801</v>
      </c>
      <c r="BA31" s="213" t="s">
        <v>9801</v>
      </c>
      <c r="BB31" s="213"/>
      <c r="BC31" s="214">
        <v>4.1666666666666669E-4</v>
      </c>
      <c r="BD31" s="214" t="b">
        <v>0</v>
      </c>
      <c r="BE31" s="214"/>
      <c r="BF31" s="215" t="s">
        <v>9801</v>
      </c>
      <c r="BG31" s="215" t="s">
        <v>9801</v>
      </c>
      <c r="BH31" s="214">
        <v>0</v>
      </c>
      <c r="BI31" s="214">
        <f t="shared" si="9"/>
        <v>4.1666666666666669E-4</v>
      </c>
      <c r="BJ31" s="214">
        <f t="shared" si="5"/>
        <v>-3.7037037037037035E-4</v>
      </c>
      <c r="BK31" s="214">
        <f t="shared" si="6"/>
        <v>-6.3657407407407391E-4</v>
      </c>
      <c r="BL31" s="215" t="s">
        <v>9801</v>
      </c>
      <c r="BM31" s="226" t="str">
        <f t="shared" si="7"/>
        <v>-</v>
      </c>
      <c r="BN31" s="219" t="s">
        <v>9801</v>
      </c>
      <c r="BO31" s="219" t="s">
        <v>9801</v>
      </c>
      <c r="BP31" s="219" t="s">
        <v>9801</v>
      </c>
      <c r="BQ31" s="219" t="s">
        <v>11304</v>
      </c>
      <c r="BR31" s="229">
        <v>1.0416666666666667E-4</v>
      </c>
      <c r="BS31" s="229" t="s">
        <v>9801</v>
      </c>
      <c r="BT31" s="230" t="s">
        <v>9801</v>
      </c>
      <c r="BU31" s="229">
        <v>0</v>
      </c>
      <c r="BV31" s="229">
        <f t="shared" si="8"/>
        <v>1.0416666666666667E-4</v>
      </c>
      <c r="BW31" s="229">
        <f t="shared" si="0"/>
        <v>-3.7037037037037035E-4</v>
      </c>
      <c r="BX31" s="229">
        <f t="shared" si="1"/>
        <v>-9.4907407407407397E-4</v>
      </c>
      <c r="BY31" s="230" t="s">
        <v>9801</v>
      </c>
      <c r="BZ31" s="230" t="s">
        <v>9801</v>
      </c>
      <c r="CA31" s="230" t="s">
        <v>9801</v>
      </c>
      <c r="CB31" s="230" t="s">
        <v>11307</v>
      </c>
    </row>
    <row r="32" spans="1:80" x14ac:dyDescent="0.2">
      <c r="Q32" s="98">
        <f>SUMIFS(Q2:Q31, AP2:AP31, "TRUE")</f>
        <v>7.407407407407407E-4</v>
      </c>
      <c r="R32" s="95" t="s">
        <v>11389</v>
      </c>
      <c r="X32" s="95">
        <f>SUMIFS(X2:X31, BD2:BD31, "TRUE", BE2:BE31, "TRUE")</f>
        <v>905</v>
      </c>
      <c r="Y32" s="95" t="s">
        <v>11321</v>
      </c>
      <c r="AN32" s="208"/>
      <c r="AO32" s="213">
        <f>COUNTIF(AO2:AO31,"TRUE")/ROWS(AO2:AO31)</f>
        <v>0.3</v>
      </c>
      <c r="AP32" s="213">
        <f>COUNTIF(AP2:AP31, "TRUE")/COUNTA(AP2:AP31)</f>
        <v>0.1111111111111111</v>
      </c>
      <c r="AQ32" s="508"/>
      <c r="AR32" s="208"/>
      <c r="AS32" s="207">
        <f>SUMIFS(AS2:AS31, AX2:AX31, "&lt;&gt;-")</f>
        <v>1.0416666666666667E-4</v>
      </c>
      <c r="AT32" s="208"/>
      <c r="AU32" s="207"/>
      <c r="AV32" s="208"/>
      <c r="AW32" s="208"/>
      <c r="AX32" s="507">
        <f>AX2</f>
        <v>0.89999999999999991</v>
      </c>
      <c r="AY32" s="213"/>
      <c r="AZ32" s="208"/>
      <c r="BA32" s="208"/>
      <c r="BB32" s="208"/>
      <c r="BC32" s="215"/>
      <c r="BD32" s="219">
        <f>COUNTIF(BD2:BD31,"TRUE")/ROWS(BD2:BD31)</f>
        <v>0.43333333333333335</v>
      </c>
      <c r="BE32" s="219">
        <f>COUNTIF(BE2:BE31,"TRUE")/COUNTA(BE2:BE31)</f>
        <v>0.92307692307692313</v>
      </c>
      <c r="BF32" s="216">
        <f>SUMIFS(BF2:BF31, BD2:BD31, "TRUE", BE2:BE31, "TRUE")</f>
        <v>937</v>
      </c>
      <c r="BG32" s="215"/>
      <c r="BH32" s="214">
        <f>SUMIFS(BH2:BH31, BM2:BM31, "&lt;&gt;-")</f>
        <v>2.476851851851852E-3</v>
      </c>
      <c r="BI32" s="215"/>
      <c r="BJ32" s="214"/>
      <c r="BK32" s="215"/>
      <c r="BL32" s="215"/>
      <c r="BM32" s="226">
        <f>IF(BN32&lt;&gt;"-", 1-BN32, "-")</f>
        <v>0.96622860910569452</v>
      </c>
      <c r="BN32" s="219">
        <f>AVERAGEIFS(BN2:BN31, BN2:BN31, "&lt;&gt;-")</f>
        <v>3.3771390894305468E-2</v>
      </c>
      <c r="BO32" s="215"/>
      <c r="BP32" s="215"/>
      <c r="BQ32" s="215"/>
      <c r="BR32" s="230"/>
      <c r="BS32" s="231">
        <f>COUNTIF(BS2:BS31,"TRUE")/ROWS(BS2:BS31)</f>
        <v>0</v>
      </c>
      <c r="BT32" s="230"/>
      <c r="BU32" s="229">
        <f>SUMIF(BS2:BS31, "TRUE", BU2:BU31)</f>
        <v>0</v>
      </c>
      <c r="BV32" s="230"/>
      <c r="BW32" s="230"/>
      <c r="BX32" s="230"/>
      <c r="BY32" s="230"/>
      <c r="BZ32" s="232">
        <v>0</v>
      </c>
      <c r="CA32" s="230"/>
      <c r="CB32" s="230"/>
    </row>
    <row r="33" spans="17:78" x14ac:dyDescent="0.2">
      <c r="Q33" s="98">
        <f>SUMIFS(Q2:Q31, BD2:BD31, "TRUE", BE2:BE31, "TRUE")</f>
        <v>4.9537037037037032E-3</v>
      </c>
      <c r="R33" s="95" t="s">
        <v>11321</v>
      </c>
      <c r="AO33" s="123"/>
      <c r="AP33" s="123"/>
      <c r="BD33" s="123" t="s">
        <v>11313</v>
      </c>
      <c r="BE33" s="123" t="s">
        <v>11315</v>
      </c>
      <c r="BH33" s="95" t="s">
        <v>11314</v>
      </c>
      <c r="BM33" s="95" t="s">
        <v>11320</v>
      </c>
    </row>
    <row r="34" spans="17:78" x14ac:dyDescent="0.2">
      <c r="Q34" s="98">
        <f>SUMIFS(Q2:Q31, BS2:BS31, "TRUE")</f>
        <v>0</v>
      </c>
      <c r="R34" s="95" t="s">
        <v>11322</v>
      </c>
    </row>
    <row r="35" spans="17:78" x14ac:dyDescent="0.2">
      <c r="AW35" s="123"/>
      <c r="AX35" s="191"/>
      <c r="AY35" s="123"/>
      <c r="AZ35" s="191"/>
      <c r="BL35" s="123" t="s">
        <v>11377</v>
      </c>
      <c r="BM35" s="191">
        <f>COUNTIF(BM2:BM31,"&lt;&gt;-")/ROWS(BM2:BM31)</f>
        <v>0.4</v>
      </c>
      <c r="BN35" s="123" t="s">
        <v>11377</v>
      </c>
      <c r="BO35" s="191">
        <f>COUNTIFS(BO2:BO31,"&lt;&gt;-", BO2:BO31, "&lt;&gt;")/ROWS(BM2:BM31)</f>
        <v>0</v>
      </c>
      <c r="BY35" s="95" t="s">
        <v>11377</v>
      </c>
      <c r="BZ35" s="192">
        <f>COUNTIF(BZ2:BZ31,"&lt;&gt;-")/ROWS(BZ2:BZ31)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152A-B88C-CC43-AE82-FC487FA42A57}">
  <dimension ref="A1:BP5"/>
  <sheetViews>
    <sheetView topLeftCell="BL1" workbookViewId="0">
      <selection activeCell="BJ4" sqref="BJ4"/>
    </sheetView>
  </sheetViews>
  <sheetFormatPr baseColWidth="10" defaultColWidth="8.83203125" defaultRowHeight="15" x14ac:dyDescent="0.2"/>
  <cols>
    <col min="1" max="8" width="8.83203125" style="95"/>
    <col min="9" max="9" width="17.1640625" style="95" bestFit="1" customWidth="1"/>
    <col min="10" max="10" width="16.6640625" style="95" bestFit="1" customWidth="1"/>
    <col min="11" max="16" width="8.83203125" style="95"/>
    <col min="17" max="17" width="12.1640625" style="95" bestFit="1" customWidth="1"/>
    <col min="18" max="18" width="20.5" style="95" bestFit="1" customWidth="1"/>
    <col min="19" max="20" width="8.83203125" style="95"/>
    <col min="21" max="21" width="16" style="95" bestFit="1" customWidth="1"/>
    <col min="22" max="23" width="8.83203125" style="95"/>
    <col min="24" max="24" width="8.5" style="95" bestFit="1" customWidth="1"/>
    <col min="25" max="34" width="8.83203125" style="95"/>
    <col min="35" max="35" width="18.6640625" style="95" bestFit="1" customWidth="1"/>
    <col min="36" max="36" width="11.83203125" style="95" bestFit="1" customWidth="1"/>
    <col min="37" max="37" width="15" style="95" bestFit="1" customWidth="1"/>
    <col min="38" max="38" width="19.5" style="95" bestFit="1" customWidth="1"/>
    <col min="39" max="39" width="12.1640625" style="95" bestFit="1" customWidth="1"/>
    <col min="40" max="40" width="13.83203125" style="95" bestFit="1" customWidth="1"/>
    <col min="41" max="41" width="12.33203125" style="95" bestFit="1" customWidth="1"/>
    <col min="42" max="42" width="22.33203125" style="95" bestFit="1" customWidth="1"/>
    <col min="43" max="43" width="20.6640625" style="95" bestFit="1" customWidth="1"/>
    <col min="44" max="44" width="19.83203125" style="95" bestFit="1" customWidth="1"/>
    <col min="45" max="45" width="11.5" style="95" bestFit="1" customWidth="1"/>
    <col min="46" max="46" width="8.83203125" style="95" bestFit="1" customWidth="1"/>
    <col min="47" max="47" width="13.83203125" style="112" bestFit="1" customWidth="1"/>
    <col min="48" max="48" width="17.1640625" style="112" bestFit="1" customWidth="1"/>
    <col min="49" max="49" width="21.6640625" style="112" bestFit="1" customWidth="1"/>
    <col min="50" max="50" width="14.1640625" style="112" bestFit="1" customWidth="1"/>
    <col min="51" max="51" width="15.83203125" style="112" bestFit="1" customWidth="1"/>
    <col min="52" max="52" width="14.33203125" style="112" bestFit="1" customWidth="1"/>
    <col min="53" max="53" width="24.33203125" style="112" bestFit="1" customWidth="1"/>
    <col min="54" max="54" width="22.83203125" style="112" bestFit="1" customWidth="1"/>
    <col min="55" max="55" width="22" style="112" bestFit="1" customWidth="1"/>
    <col min="56" max="56" width="13.5" style="95" bestFit="1" customWidth="1"/>
    <col min="57" max="57" width="10.83203125" style="95" bestFit="1" customWidth="1"/>
    <col min="58" max="58" width="18.33203125" style="95" bestFit="1" customWidth="1"/>
    <col min="59" max="59" width="21.83203125" style="95" bestFit="1" customWidth="1"/>
    <col min="60" max="60" width="26.1640625" style="95" bestFit="1" customWidth="1"/>
    <col min="61" max="61" width="18.83203125" style="95" bestFit="1" customWidth="1"/>
    <col min="62" max="62" width="20.33203125" style="95" bestFit="1" customWidth="1"/>
    <col min="63" max="63" width="19" style="95" bestFit="1" customWidth="1"/>
    <col min="64" max="64" width="28.6640625" style="95" bestFit="1" customWidth="1"/>
    <col min="65" max="65" width="27.33203125" style="95" bestFit="1" customWidth="1"/>
    <col min="66" max="66" width="26.33203125" style="95" bestFit="1" customWidth="1"/>
    <col min="67" max="67" width="18.33203125" style="95" bestFit="1" customWidth="1"/>
    <col min="68" max="68" width="15.33203125" style="95" bestFit="1" customWidth="1"/>
    <col min="69" max="16384" width="8.83203125" style="95"/>
  </cols>
  <sheetData>
    <row r="1" spans="1:68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11229</v>
      </c>
      <c r="AJ1" s="509" t="s">
        <v>11076</v>
      </c>
      <c r="AK1" s="510" t="s">
        <v>11316</v>
      </c>
      <c r="AL1" s="510" t="s">
        <v>11327</v>
      </c>
      <c r="AM1" s="510" t="s">
        <v>11934</v>
      </c>
      <c r="AN1" s="510" t="s">
        <v>11082</v>
      </c>
      <c r="AO1" s="510" t="s">
        <v>11083</v>
      </c>
      <c r="AP1" s="510" t="s">
        <v>11084</v>
      </c>
      <c r="AQ1" s="510" t="s">
        <v>11085</v>
      </c>
      <c r="AR1" s="510" t="s">
        <v>11086</v>
      </c>
      <c r="AS1" s="510" t="s">
        <v>9821</v>
      </c>
      <c r="AT1" s="510" t="s">
        <v>11087</v>
      </c>
      <c r="AU1" s="204" t="s">
        <v>9803</v>
      </c>
      <c r="AV1" s="204" t="s">
        <v>11317</v>
      </c>
      <c r="AW1" s="204" t="s">
        <v>11319</v>
      </c>
      <c r="AX1" s="204" t="s">
        <v>9806</v>
      </c>
      <c r="AY1" s="204" t="s">
        <v>9798</v>
      </c>
      <c r="AZ1" s="204" t="s">
        <v>11074</v>
      </c>
      <c r="BA1" s="204" t="s">
        <v>9808</v>
      </c>
      <c r="BB1" s="204" t="s">
        <v>11075</v>
      </c>
      <c r="BC1" s="204" t="s">
        <v>9810</v>
      </c>
      <c r="BD1" s="204" t="s">
        <v>9826</v>
      </c>
      <c r="BE1" s="498" t="s">
        <v>9827</v>
      </c>
      <c r="BF1" s="500" t="s">
        <v>11077</v>
      </c>
      <c r="BG1" s="501" t="s">
        <v>11330</v>
      </c>
      <c r="BH1" s="501" t="s">
        <v>11331</v>
      </c>
      <c r="BI1" s="501" t="s">
        <v>11930</v>
      </c>
      <c r="BJ1" s="501" t="s">
        <v>11078</v>
      </c>
      <c r="BK1" s="501" t="s">
        <v>11079</v>
      </c>
      <c r="BL1" s="501" t="s">
        <v>11080</v>
      </c>
      <c r="BM1" s="501" t="s">
        <v>11081</v>
      </c>
      <c r="BN1" s="501" t="s">
        <v>11931</v>
      </c>
      <c r="BO1" s="501" t="s">
        <v>9823</v>
      </c>
      <c r="BP1" s="501" t="s">
        <v>11932</v>
      </c>
    </row>
    <row r="2" spans="1:68" ht="16" x14ac:dyDescent="0.2">
      <c r="A2" s="95" t="s">
        <v>3153</v>
      </c>
      <c r="B2" s="95">
        <v>978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3154</v>
      </c>
      <c r="I2" s="95" t="s">
        <v>3155</v>
      </c>
      <c r="J2" s="95" t="s">
        <v>3156</v>
      </c>
      <c r="O2" s="95" t="s">
        <v>9787</v>
      </c>
      <c r="P2" s="95" t="s">
        <v>9786</v>
      </c>
      <c r="Q2" s="98">
        <v>1.3541666666666667E-3</v>
      </c>
      <c r="R2" s="98">
        <v>2.4537037037037036E-3</v>
      </c>
      <c r="S2" s="95">
        <v>0</v>
      </c>
      <c r="T2" s="95" t="s">
        <v>3157</v>
      </c>
      <c r="U2" s="95" t="s">
        <v>3158</v>
      </c>
      <c r="V2" s="95" t="s">
        <v>38</v>
      </c>
      <c r="X2" s="95">
        <v>106</v>
      </c>
      <c r="Z2" s="95" t="b">
        <v>0</v>
      </c>
      <c r="AE2" s="95" t="s">
        <v>2840</v>
      </c>
      <c r="AF2" s="95" t="s">
        <v>9508</v>
      </c>
      <c r="AH2" s="95" t="b">
        <v>0</v>
      </c>
      <c r="AI2" s="117" t="s">
        <v>11108</v>
      </c>
      <c r="AJ2" s="511">
        <v>5.5555555555555556E-4</v>
      </c>
      <c r="AK2" s="512" t="b">
        <v>0</v>
      </c>
      <c r="AL2" s="512"/>
      <c r="AM2" s="512"/>
      <c r="AN2" s="511"/>
      <c r="AO2" s="511"/>
      <c r="AP2" s="511"/>
      <c r="AQ2" s="511"/>
      <c r="AR2" s="512"/>
      <c r="AS2" s="513"/>
      <c r="AT2" s="514"/>
      <c r="AU2" s="214">
        <v>6.2500000000000001E-4</v>
      </c>
      <c r="AV2" s="214" t="b">
        <v>1</v>
      </c>
      <c r="AW2" s="214" t="b">
        <v>1</v>
      </c>
      <c r="AX2" s="215">
        <v>100</v>
      </c>
      <c r="AY2" s="214">
        <v>5.7870370370370378E-4</v>
      </c>
      <c r="AZ2" s="214">
        <f>AU2+AY2</f>
        <v>1.2037037037037038E-3</v>
      </c>
      <c r="BA2" s="214">
        <f>AY2-Q2</f>
        <v>-7.7546296296296293E-4</v>
      </c>
      <c r="BB2" s="214">
        <f>ABS(R2-AZ2)</f>
        <v>1.2499999999999998E-3</v>
      </c>
      <c r="BC2" s="215">
        <f>X2-AX2</f>
        <v>6</v>
      </c>
      <c r="BD2" s="226">
        <f>IF(BE2&lt;&gt;"-", 1-BE2, "-")</f>
        <v>0.94339622641509435</v>
      </c>
      <c r="BE2" s="499">
        <f>ABS(AX2/X2-1)</f>
        <v>5.6603773584905648E-2</v>
      </c>
      <c r="BF2" s="502">
        <v>1.0185185185185186E-3</v>
      </c>
      <c r="BG2" s="503" t="b">
        <v>1</v>
      </c>
      <c r="BH2" s="503" t="b">
        <v>1</v>
      </c>
      <c r="BI2" s="503">
        <v>442</v>
      </c>
      <c r="BJ2" s="502">
        <v>1.8518518518518518E-4</v>
      </c>
      <c r="BK2" s="502">
        <f>BF2+BJ2</f>
        <v>1.2037037037037038E-3</v>
      </c>
      <c r="BL2" s="502">
        <f>BJ2-Q2</f>
        <v>-1.1689814814814816E-3</v>
      </c>
      <c r="BM2" s="502">
        <f>BK2-R2</f>
        <v>-1.2499999999999998E-3</v>
      </c>
      <c r="BN2" s="503">
        <f>BI2-X2</f>
        <v>336</v>
      </c>
      <c r="BO2" s="504">
        <f>1-BP2</f>
        <v>-2.1698113207547172</v>
      </c>
      <c r="BP2" s="505">
        <f>ABS(BI2/X2-1)</f>
        <v>3.1698113207547172</v>
      </c>
    </row>
    <row r="3" spans="1:68" s="111" customFormat="1" x14ac:dyDescent="0.2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520">
        <v>0</v>
      </c>
      <c r="R3" s="111" t="s">
        <v>11389</v>
      </c>
      <c r="S3" s="95"/>
      <c r="T3" s="95"/>
      <c r="U3" s="95"/>
      <c r="V3" s="95"/>
      <c r="W3" s="95"/>
      <c r="X3" s="95">
        <v>106</v>
      </c>
      <c r="Y3" s="95" t="s">
        <v>11329</v>
      </c>
      <c r="Z3" s="95"/>
      <c r="AA3" s="95"/>
      <c r="AB3" s="95"/>
      <c r="AC3" s="95"/>
      <c r="AD3" s="95"/>
      <c r="AE3" s="95"/>
      <c r="AF3" s="95"/>
      <c r="AG3" s="95"/>
      <c r="AH3" s="95"/>
      <c r="AI3" s="95"/>
      <c r="AJ3" s="515"/>
      <c r="AK3" s="518">
        <v>0</v>
      </c>
      <c r="AL3" s="515"/>
      <c r="AM3" s="515"/>
      <c r="AN3" s="515"/>
      <c r="AO3" s="515"/>
      <c r="AP3" s="515"/>
      <c r="AQ3" s="515"/>
      <c r="AR3" s="515"/>
      <c r="AS3" s="515"/>
      <c r="AT3" s="515"/>
      <c r="AU3" s="214"/>
      <c r="AV3" s="227">
        <f>COUNTIF(AV2,"TRUE")/ROWS(AV2)</f>
        <v>1</v>
      </c>
      <c r="AW3" s="219">
        <f>COUNTIF(AW2,"TRUE")/COUNTA(AW2)</f>
        <v>1</v>
      </c>
      <c r="AX3" s="215">
        <f>SUMIFS(AX2, AV2, "TRUE", AW2, "TRUE")</f>
        <v>100</v>
      </c>
      <c r="AY3" s="214">
        <f>SUMIFS(AY2, AV2, "TRUE", AW2, "TRUE")</f>
        <v>5.7870370370370378E-4</v>
      </c>
      <c r="AZ3" s="214"/>
      <c r="BA3" s="214"/>
      <c r="BB3" s="214"/>
      <c r="BC3" s="215"/>
      <c r="BD3" s="226">
        <f>AVERAGEIFS(BD2, BD2, "&lt;&gt;-")</f>
        <v>0.94339622641509435</v>
      </c>
      <c r="BE3" s="499">
        <f>ABS(AX3/X3-1)</f>
        <v>5.6603773584905648E-2</v>
      </c>
      <c r="BF3" s="506"/>
      <c r="BG3" s="519">
        <v>1</v>
      </c>
      <c r="BH3" s="519">
        <v>1</v>
      </c>
      <c r="BI3" s="506"/>
      <c r="BJ3" s="521">
        <f>BJ2</f>
        <v>1.8518518518518518E-4</v>
      </c>
      <c r="BK3" s="506"/>
      <c r="BL3" s="506"/>
      <c r="BM3" s="506"/>
      <c r="BN3" s="506"/>
      <c r="BO3" s="519">
        <f>BO2</f>
        <v>-2.1698113207547172</v>
      </c>
      <c r="BP3" s="506"/>
    </row>
    <row r="4" spans="1:68" s="112" customFormat="1" x14ac:dyDescent="0.2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8">
        <f>SUMIFS(Q2, AV2, "TRUE", AW2, "TRUE")</f>
        <v>1.3541666666666667E-3</v>
      </c>
      <c r="R4" s="95" t="s">
        <v>11321</v>
      </c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</row>
    <row r="5" spans="1:68" x14ac:dyDescent="0.2">
      <c r="Q5" s="98">
        <v>1.3541666666666667E-3</v>
      </c>
      <c r="R5" s="95" t="s">
        <v>11947</v>
      </c>
      <c r="AR5" s="123"/>
      <c r="AS5" s="19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9F85-4F10-394E-B04B-7B803681C5BF}">
  <dimension ref="A1:CX69"/>
  <sheetViews>
    <sheetView zoomScale="110" zoomScaleNormal="110" workbookViewId="0">
      <pane ySplit="1" topLeftCell="A2" activePane="bottomLeft" state="frozen"/>
      <selection activeCell="AB1" sqref="AB1"/>
      <selection pane="bottomLeft" activeCell="I8" sqref="I8"/>
    </sheetView>
  </sheetViews>
  <sheetFormatPr baseColWidth="10" defaultColWidth="8.83203125" defaultRowHeight="15" x14ac:dyDescent="0.2"/>
  <cols>
    <col min="1" max="8" width="8.83203125" style="95"/>
    <col min="9" max="9" width="17.1640625" style="95" bestFit="1" customWidth="1"/>
    <col min="10" max="10" width="28.6640625" style="95" bestFit="1" customWidth="1"/>
    <col min="11" max="16" width="8.83203125" style="95" customWidth="1"/>
    <col min="17" max="17" width="12.1640625" style="95" customWidth="1"/>
    <col min="18" max="18" width="20.5" style="95" customWidth="1"/>
    <col min="19" max="20" width="8.83203125" style="95" customWidth="1"/>
    <col min="21" max="21" width="16" style="95" customWidth="1"/>
    <col min="22" max="28" width="8.83203125" style="95" customWidth="1"/>
    <col min="29" max="29" width="14.5" style="95" bestFit="1" customWidth="1"/>
    <col min="30" max="30" width="12.33203125" style="95" bestFit="1" customWidth="1"/>
    <col min="31" max="34" width="8.83203125" style="95"/>
    <col min="35" max="35" width="19.5" style="95" bestFit="1" customWidth="1"/>
    <col min="36" max="36" width="18.83203125" style="95" bestFit="1" customWidth="1"/>
    <col min="37" max="37" width="19.5" style="95" bestFit="1" customWidth="1"/>
    <col min="38" max="38" width="11.83203125" style="95" customWidth="1"/>
    <col min="39" max="39" width="15" style="95" customWidth="1"/>
    <col min="40" max="40" width="19.5" style="95" customWidth="1"/>
    <col min="41" max="41" width="15.1640625" style="95" customWidth="1"/>
    <col min="42" max="42" width="11.83203125" style="123" customWidth="1"/>
    <col min="43" max="43" width="15.1640625" style="123" customWidth="1"/>
    <col min="44" max="44" width="10.33203125" style="123" customWidth="1"/>
    <col min="45" max="45" width="14.83203125" style="187" customWidth="1"/>
    <col min="46" max="46" width="13.83203125" style="95" customWidth="1"/>
    <col min="47" max="47" width="12.33203125" style="95" customWidth="1"/>
    <col min="48" max="48" width="22.33203125" style="95" customWidth="1"/>
    <col min="49" max="49" width="20.6640625" style="95" customWidth="1"/>
    <col min="50" max="50" width="17.5" style="190" customWidth="1"/>
    <col min="51" max="51" width="14.1640625" style="111" customWidth="1"/>
    <col min="52" max="52" width="22.5" style="190" customWidth="1"/>
    <col min="53" max="53" width="19.1640625" style="111" customWidth="1"/>
    <col min="54" max="54" width="12.33203125" style="111" customWidth="1"/>
    <col min="55" max="55" width="13.83203125" style="95" customWidth="1"/>
    <col min="56" max="56" width="17.1640625" style="95" customWidth="1"/>
    <col min="57" max="57" width="21.6640625" style="95" customWidth="1"/>
    <col min="58" max="58" width="17.33203125" style="95" customWidth="1"/>
    <col min="59" max="59" width="13.83203125" style="95" customWidth="1"/>
    <col min="60" max="60" width="22.33203125" style="95" customWidth="1"/>
    <col min="61" max="62" width="22.83203125" style="180" customWidth="1"/>
    <col min="63" max="63" width="17.33203125" style="245" customWidth="1"/>
    <col min="64" max="64" width="20" style="245" customWidth="1"/>
    <col min="65" max="66" width="20.33203125" style="95" customWidth="1"/>
    <col min="67" max="67" width="15" style="95" customWidth="1"/>
    <col min="68" max="68" width="15.83203125" style="95" customWidth="1"/>
    <col min="69" max="69" width="14.33203125" style="95" customWidth="1"/>
    <col min="70" max="70" width="24.33203125" style="95" customWidth="1"/>
    <col min="71" max="71" width="22.83203125" style="95" customWidth="1"/>
    <col min="72" max="72" width="19.5" style="192" customWidth="1"/>
    <col min="73" max="73" width="16.33203125" style="95" customWidth="1"/>
    <col min="74" max="74" width="25.6640625" style="95" customWidth="1"/>
    <col min="75" max="75" width="24.5" style="192" customWidth="1"/>
    <col min="76" max="76" width="21.1640625" style="192" customWidth="1"/>
    <col min="77" max="77" width="23.5" style="95" customWidth="1"/>
    <col min="78" max="78" width="22.33203125" style="192" customWidth="1"/>
    <col min="79" max="79" width="19" style="95" customWidth="1"/>
    <col min="80" max="80" width="26.83203125" style="192" customWidth="1"/>
    <col min="81" max="81" width="18.33203125" style="257" customWidth="1"/>
    <col min="82" max="82" width="21.83203125" style="180" customWidth="1"/>
    <col min="83" max="84" width="26.1640625" style="180" customWidth="1"/>
    <col min="85" max="86" width="22.83203125" style="180" customWidth="1"/>
    <col min="87" max="88" width="22" style="180" customWidth="1"/>
    <col min="89" max="90" width="22.83203125" style="180" customWidth="1"/>
    <col min="91" max="91" width="19.6640625" style="180" customWidth="1"/>
    <col min="92" max="92" width="20.33203125" style="257" customWidth="1"/>
    <col min="93" max="93" width="19" style="257" customWidth="1"/>
    <col min="94" max="94" width="28.6640625" style="180" customWidth="1"/>
    <col min="95" max="95" width="27.33203125" style="180" customWidth="1"/>
    <col min="96" max="96" width="30" style="180" customWidth="1"/>
    <col min="97" max="97" width="29" style="180" customWidth="1"/>
    <col min="98" max="98" width="25.83203125" style="180" customWidth="1"/>
    <col min="99" max="99" width="28" style="180" customWidth="1"/>
    <col min="100" max="100" width="26.83203125" style="260" customWidth="1"/>
    <col min="101" max="101" width="23.6640625" style="260" customWidth="1"/>
    <col min="102" max="102" width="29.33203125" style="180" bestFit="1" customWidth="1"/>
    <col min="103" max="16384" width="8.83203125" style="180"/>
  </cols>
  <sheetData>
    <row r="1" spans="1:102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11229</v>
      </c>
      <c r="AL1" s="200" t="s">
        <v>11076</v>
      </c>
      <c r="AM1" s="200" t="s">
        <v>11316</v>
      </c>
      <c r="AN1" s="200" t="s">
        <v>11327</v>
      </c>
      <c r="AO1" s="200" t="s">
        <v>11404</v>
      </c>
      <c r="AP1" s="201" t="s">
        <v>11357</v>
      </c>
      <c r="AQ1" s="201" t="s">
        <v>11405</v>
      </c>
      <c r="AR1" s="201" t="s">
        <v>11371</v>
      </c>
      <c r="AS1" s="202" t="s">
        <v>11340</v>
      </c>
      <c r="AT1" s="200" t="s">
        <v>11082</v>
      </c>
      <c r="AU1" s="200" t="s">
        <v>11083</v>
      </c>
      <c r="AV1" s="200" t="s">
        <v>11084</v>
      </c>
      <c r="AW1" s="200" t="s">
        <v>11085</v>
      </c>
      <c r="AX1" s="203" t="s">
        <v>11358</v>
      </c>
      <c r="AY1" s="200" t="s">
        <v>11359</v>
      </c>
      <c r="AZ1" s="203" t="s">
        <v>11338</v>
      </c>
      <c r="BA1" s="200" t="s">
        <v>11339</v>
      </c>
      <c r="BB1" s="200" t="s">
        <v>9811</v>
      </c>
      <c r="BC1" s="204" t="s">
        <v>9803</v>
      </c>
      <c r="BD1" s="204" t="s">
        <v>11317</v>
      </c>
      <c r="BE1" s="204" t="s">
        <v>11319</v>
      </c>
      <c r="BF1" s="204" t="s">
        <v>11406</v>
      </c>
      <c r="BG1" s="204" t="s">
        <v>11360</v>
      </c>
      <c r="BH1" s="240" t="s">
        <v>11407</v>
      </c>
      <c r="BI1" s="240" t="s">
        <v>11373</v>
      </c>
      <c r="BJ1" s="240" t="s">
        <v>11372</v>
      </c>
      <c r="BK1" s="241" t="s">
        <v>11341</v>
      </c>
      <c r="BL1" s="205" t="s">
        <v>11408</v>
      </c>
      <c r="BM1" s="204" t="s">
        <v>11375</v>
      </c>
      <c r="BN1" s="204" t="s">
        <v>11374</v>
      </c>
      <c r="BO1" s="204" t="s">
        <v>11342</v>
      </c>
      <c r="BP1" s="204" t="s">
        <v>9798</v>
      </c>
      <c r="BQ1" s="204" t="s">
        <v>11074</v>
      </c>
      <c r="BR1" s="204" t="s">
        <v>9808</v>
      </c>
      <c r="BS1" s="204" t="s">
        <v>11075</v>
      </c>
      <c r="BT1" s="206" t="s">
        <v>11361</v>
      </c>
      <c r="BU1" s="204" t="s">
        <v>11362</v>
      </c>
      <c r="BV1" s="204" t="s">
        <v>11343</v>
      </c>
      <c r="BW1" s="206" t="s">
        <v>11344</v>
      </c>
      <c r="BX1" s="206" t="s">
        <v>11345</v>
      </c>
      <c r="BY1" s="204" t="s">
        <v>11346</v>
      </c>
      <c r="BZ1" s="206" t="s">
        <v>11347</v>
      </c>
      <c r="CA1" s="204" t="s">
        <v>11348</v>
      </c>
      <c r="CB1" s="206" t="s">
        <v>9812</v>
      </c>
      <c r="CC1" s="256" t="s">
        <v>11077</v>
      </c>
      <c r="CD1" s="228" t="s">
        <v>11330</v>
      </c>
      <c r="CE1" s="228" t="s">
        <v>11331</v>
      </c>
      <c r="CF1" s="240" t="s">
        <v>11409</v>
      </c>
      <c r="CG1" s="254" t="s">
        <v>11413</v>
      </c>
      <c r="CH1" s="254" t="s">
        <v>11414</v>
      </c>
      <c r="CI1" s="240" t="s">
        <v>11349</v>
      </c>
      <c r="CJ1" s="228" t="s">
        <v>11410</v>
      </c>
      <c r="CK1" s="234" t="s">
        <v>11411</v>
      </c>
      <c r="CL1" s="234" t="s">
        <v>11412</v>
      </c>
      <c r="CM1" s="228" t="s">
        <v>11350</v>
      </c>
      <c r="CN1" s="256" t="s">
        <v>11078</v>
      </c>
      <c r="CO1" s="256" t="s">
        <v>11079</v>
      </c>
      <c r="CP1" s="228" t="s">
        <v>11080</v>
      </c>
      <c r="CQ1" s="228" t="s">
        <v>11081</v>
      </c>
      <c r="CR1" s="228" t="s">
        <v>11351</v>
      </c>
      <c r="CS1" s="258" t="s">
        <v>11352</v>
      </c>
      <c r="CT1" s="258" t="s">
        <v>11353</v>
      </c>
      <c r="CU1" s="228" t="s">
        <v>11354</v>
      </c>
      <c r="CV1" s="258" t="s">
        <v>11355</v>
      </c>
      <c r="CW1" s="261" t="s">
        <v>11356</v>
      </c>
      <c r="CX1" s="263" t="s">
        <v>9813</v>
      </c>
    </row>
    <row r="2" spans="1:102" s="95" customFormat="1" x14ac:dyDescent="0.2">
      <c r="A2" s="95" t="s">
        <v>64</v>
      </c>
      <c r="B2" s="95">
        <v>8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31</v>
      </c>
      <c r="H2" s="95" t="s">
        <v>65</v>
      </c>
      <c r="I2" s="95" t="s">
        <v>66</v>
      </c>
      <c r="J2" s="95" t="s">
        <v>67</v>
      </c>
      <c r="O2" s="95" t="s">
        <v>11044</v>
      </c>
      <c r="P2" s="95" t="s">
        <v>11043</v>
      </c>
      <c r="Q2" s="98">
        <v>3.7037037037037035E-4</v>
      </c>
      <c r="R2" s="98">
        <v>2.1180555555555553E-3</v>
      </c>
      <c r="S2" s="95">
        <v>0</v>
      </c>
      <c r="T2" s="95" t="s">
        <v>36</v>
      </c>
      <c r="U2" s="95" t="s">
        <v>37</v>
      </c>
      <c r="V2" s="95" t="s">
        <v>38</v>
      </c>
      <c r="Z2" s="95" t="b">
        <v>0</v>
      </c>
      <c r="AD2" s="95">
        <v>3</v>
      </c>
      <c r="AE2" s="95" t="s">
        <v>39</v>
      </c>
      <c r="AF2" s="95" t="s">
        <v>9568</v>
      </c>
      <c r="AH2" s="95" t="b">
        <v>0</v>
      </c>
      <c r="AI2" s="95" t="s">
        <v>11170</v>
      </c>
      <c r="AL2" s="207">
        <v>8.1018518518518516E-5</v>
      </c>
      <c r="AM2" s="208" t="b">
        <v>1</v>
      </c>
      <c r="AN2" s="208" t="b">
        <v>1</v>
      </c>
      <c r="AO2" s="252" t="b">
        <f>IF(AP2&lt;&gt;"-", TRUE, FALSE)</f>
        <v>1</v>
      </c>
      <c r="AP2" s="209" t="s">
        <v>11366</v>
      </c>
      <c r="AQ2" s="210" t="str" cm="1">
        <f t="array" ref="AQ2">_xlfn.IFS(AND(AC2&lt;&gt;"", AR2&lt;&gt;"-"), TRUE, AND(AC2&lt;&gt;"", AR2="-"), FALSE, AC2="", "-")</f>
        <v>-</v>
      </c>
      <c r="AR2" s="210" t="s">
        <v>9801</v>
      </c>
      <c r="AS2" s="211" t="str">
        <f>IF(AR2 &lt;&gt; "-", DEGREES(ATAN(AR2)), "-")</f>
        <v>-</v>
      </c>
      <c r="AT2" s="207">
        <v>1.9675925925925926E-4</v>
      </c>
      <c r="AU2" s="207">
        <f>AL2+AT2</f>
        <v>2.7777777777777778E-4</v>
      </c>
      <c r="AV2" s="207">
        <f>AT2-Q2</f>
        <v>-1.7361111111111109E-4</v>
      </c>
      <c r="AW2" s="207">
        <f>AU2-R2</f>
        <v>-1.8402777777777775E-3</v>
      </c>
      <c r="AX2" s="212" cm="1">
        <f t="array" ref="AX2">_xlfn.IFS(AP2="-", "-", AND(AP2="asphalt",AA2=""),100%, AND(AP2&lt;&gt;"asphalt",AA2=""), 0%)</f>
        <v>1</v>
      </c>
      <c r="AY2" s="213">
        <f>IF(AX2&lt;&gt;"-", 1-AX2, "-")</f>
        <v>0</v>
      </c>
      <c r="AZ2" s="212" t="str">
        <f t="shared" ref="AZ2:AZ3" si="0">IF(BA2&lt;&gt;"-", 1-BA2, "-")</f>
        <v>-</v>
      </c>
      <c r="BA2" s="212" t="str" cm="1">
        <f t="array" ref="BA2">_xlfn.IFS(OR(AC2="", AS2="-"), "-", AND(AC2&lt;&gt;"", OR(AS2&lt;&gt;"-", AS2&lt;&gt;0)), ABS(AS2/AC2-1))</f>
        <v>-</v>
      </c>
      <c r="BB2" s="208"/>
      <c r="BC2" s="214">
        <v>3.3564814814814812E-4</v>
      </c>
      <c r="BD2" s="215" t="b">
        <v>1</v>
      </c>
      <c r="BE2" s="215" t="b">
        <v>1</v>
      </c>
      <c r="BF2" s="215" t="b">
        <f>IF(BG2&lt;&gt;"-", TRUE, FALSE)</f>
        <v>1</v>
      </c>
      <c r="BG2" s="215"/>
      <c r="BH2" s="243" t="str" cm="1">
        <f t="array" ref="BH2">_xlfn.IFS(AND(AC2&lt;&gt;"", BK2&lt;&gt;"-"), TRUE, AND(AC2&lt;&gt;"", BK2="-"), FALSE, AC2="", "-")</f>
        <v>-</v>
      </c>
      <c r="BI2" s="243" t="s">
        <v>9801</v>
      </c>
      <c r="BJ2" s="242" t="s">
        <v>9801</v>
      </c>
      <c r="BK2" s="244" t="str">
        <f>IF(AND(BJ2&lt;&gt;"-",BI2&lt;&gt;"-"), ROUND(DEGREES(ATAN(BJ2/BI2)*100%), 0), "-")</f>
        <v>-</v>
      </c>
      <c r="BL2" s="217" t="b" cm="1">
        <f t="array" ref="BL2">_xlfn.IFS(AND(AD2&lt;&gt;"", BO2&lt;&gt;"-"), TRUE, AND(AD2&lt;&gt;"", BO2="-"), FALSE, AD2="", "-")</f>
        <v>1</v>
      </c>
      <c r="BM2" s="215">
        <v>1.89</v>
      </c>
      <c r="BN2" s="216">
        <v>0.05</v>
      </c>
      <c r="BO2" s="217">
        <f>IF(AND(BN2&lt;&gt;"-",BM2&lt;&gt;"-"), ROUND(DEGREES(ATAN(BN2/BM2)*100%), 0), "-")</f>
        <v>2</v>
      </c>
      <c r="BP2" s="214">
        <v>3.5879629629629635E-4</v>
      </c>
      <c r="BQ2" s="214">
        <f t="shared" ref="BQ2:BQ33" si="1">BC2+BP2</f>
        <v>6.9444444444444447E-4</v>
      </c>
      <c r="BR2" s="214">
        <f t="shared" ref="BR2:BR33" si="2">BP2-Q2</f>
        <v>-1.1574074074074004E-5</v>
      </c>
      <c r="BS2" s="214">
        <f t="shared" ref="BS2:BS33" si="3">BQ2-R2</f>
        <v>-1.4236111111111107E-3</v>
      </c>
      <c r="BT2" s="218">
        <f>IF(AND(BG2="",AA2=""),100%, "TBD")</f>
        <v>1</v>
      </c>
      <c r="BU2" s="219">
        <f>1-BT2</f>
        <v>0</v>
      </c>
      <c r="BV2" s="217" t="str">
        <f t="shared" ref="BV2:BV33" si="4">IF(AND(AC2&lt;&gt;"",BK2&lt;&gt;"-"), BK2-AC2, "-")</f>
        <v>-</v>
      </c>
      <c r="BW2" s="218" t="str">
        <f>IF(BX2&lt;&gt;"-", 1-BX2, "-")</f>
        <v>-</v>
      </c>
      <c r="BX2" s="218" t="str">
        <f t="shared" ref="BX2:BX33" si="5">IF(AND(BK2&lt;&gt;"-",AC2&lt;&gt;""), ABS(BK2/AC2-1), "-")</f>
        <v>-</v>
      </c>
      <c r="BY2" s="217">
        <f t="shared" ref="BY2:BY33" si="6">IF(AND(AD2&lt;&gt;"",BO2&lt;&gt;"-"), BO2-AD2, "-")</f>
        <v>-1</v>
      </c>
      <c r="BZ2" s="218">
        <f t="shared" ref="BZ2:BZ33" si="7">IF(CA2&lt;&gt;"-", 1-CA2, "-")</f>
        <v>0.66666666666666663</v>
      </c>
      <c r="CA2" s="218">
        <f t="shared" ref="CA2:CA33" si="8">IF(AND(BO2&lt;&gt;"-",AD2&lt;&gt;""), ABS(BO2/AD2-1), "-")</f>
        <v>0.33333333333333337</v>
      </c>
      <c r="CB2" s="218"/>
      <c r="CC2" s="229">
        <v>8.6805555555555551E-4</v>
      </c>
      <c r="CD2" s="230" t="b">
        <v>1</v>
      </c>
      <c r="CE2" s="230" t="b">
        <v>1</v>
      </c>
      <c r="CF2" s="243" t="str" cm="1">
        <f t="array" ref="CF2">_xlfn.IFS(AND(AC2&lt;&gt;"", CI2&lt;&gt;"-"), TRUE, AND(AC2&lt;&gt;"", CI2="-"), FALSE, AC2="", "-")</f>
        <v>-</v>
      </c>
      <c r="CG2" s="243" t="s">
        <v>9801</v>
      </c>
      <c r="CH2" s="242" t="s">
        <v>9801</v>
      </c>
      <c r="CI2" s="244" t="str">
        <f>IF(AND(CH2&lt;&gt;"-",CG2&lt;&gt;"-"), ROUND(DEGREES(ATAN(CH2/CG2)*100%), 0), "-")</f>
        <v>-</v>
      </c>
      <c r="CJ2" s="236" t="b" cm="1">
        <f t="array" ref="CJ2">_xlfn.IFS(AND(AD2&lt;&gt;"", CM2&lt;&gt;"-"), TRUE, AND(AD2&lt;&gt;"", CM2="-"), FALSE, AD2="", "-")</f>
        <v>1</v>
      </c>
      <c r="CK2" s="230">
        <v>2.06</v>
      </c>
      <c r="CL2" s="235">
        <v>0.19</v>
      </c>
      <c r="CM2" s="255">
        <f>IF(AND(CL2&lt;&gt;"-",CK2&lt;&gt;"-"), ROUND(DEGREES(ATAN(CL2/CK2)*100%), 0), "-")</f>
        <v>5</v>
      </c>
      <c r="CN2" s="229">
        <v>3.4722222222222224E-4</v>
      </c>
      <c r="CO2" s="229">
        <f>CC2+CN2</f>
        <v>1.2152777777777778E-3</v>
      </c>
      <c r="CP2" s="229">
        <f>CN2-Q2</f>
        <v>-2.3148148148148117E-5</v>
      </c>
      <c r="CQ2" s="229">
        <f>CO2-R2</f>
        <v>-9.0277777777777752E-4</v>
      </c>
      <c r="CR2" s="230" t="str">
        <f>IF(AND(AC2&lt;&gt;"",CI2&lt;&gt;"-"), CI2-AC2, "-")</f>
        <v>-</v>
      </c>
      <c r="CS2" s="259" t="str">
        <f>IF(CT2&lt;&gt;"-", 1-CT2, "-")</f>
        <v>-</v>
      </c>
      <c r="CT2" s="259" t="str">
        <f>IF(AND(CI2&lt;&gt;"-",AC2&lt;&gt;""), ABS(CI2/AC2-1), "-")</f>
        <v>-</v>
      </c>
      <c r="CU2" s="230">
        <f>IF(AND(AD2&lt;&gt;"",CM2&lt;&gt;"-"), CM2-AD2, "-")</f>
        <v>2</v>
      </c>
      <c r="CV2" s="259">
        <f>IF(CW2&lt;&gt;"-", 1-CW2, "-")</f>
        <v>0.33333333333333326</v>
      </c>
      <c r="CW2" s="262">
        <f>IF(AND(CM2&lt;&gt;"-",AD2&lt;&gt;""), ABS(CM2/AD2-1), "-")</f>
        <v>0.66666666666666674</v>
      </c>
      <c r="CX2" s="230"/>
    </row>
    <row r="3" spans="1:102" s="95" customFormat="1" x14ac:dyDescent="0.2">
      <c r="A3" s="95" t="s">
        <v>452</v>
      </c>
      <c r="B3" s="95">
        <v>127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31</v>
      </c>
      <c r="H3" s="95" t="s">
        <v>453</v>
      </c>
      <c r="I3" s="95" t="s">
        <v>454</v>
      </c>
      <c r="O3" s="95" t="s">
        <v>11042</v>
      </c>
      <c r="P3" s="95" t="s">
        <v>11042</v>
      </c>
      <c r="Q3" s="98">
        <v>1.3888888888888889E-4</v>
      </c>
      <c r="R3" s="98">
        <v>6.3657407407407402E-4</v>
      </c>
      <c r="S3" s="95">
        <v>0</v>
      </c>
      <c r="T3" s="95" t="s">
        <v>36</v>
      </c>
      <c r="U3" s="95" t="s">
        <v>37</v>
      </c>
      <c r="V3" s="95" t="s">
        <v>38</v>
      </c>
      <c r="Z3" s="95" t="b">
        <v>0</v>
      </c>
      <c r="AD3" s="95">
        <v>3</v>
      </c>
      <c r="AE3" s="95" t="s">
        <v>207</v>
      </c>
      <c r="AF3" s="95" t="s">
        <v>9561</v>
      </c>
      <c r="AH3" s="95" t="b">
        <v>0</v>
      </c>
      <c r="AI3" s="95" t="s">
        <v>11171</v>
      </c>
      <c r="AL3" s="207">
        <v>1.273148148148148E-4</v>
      </c>
      <c r="AM3" s="208" t="b">
        <v>1</v>
      </c>
      <c r="AN3" s="208" t="b">
        <v>1</v>
      </c>
      <c r="AO3" s="252" t="b">
        <f t="shared" ref="AO3:AO57" si="9">IF(AP3&lt;&gt;"-", TRUE, FALSE)</f>
        <v>1</v>
      </c>
      <c r="AP3" s="209" t="s">
        <v>11366</v>
      </c>
      <c r="AQ3" s="210" t="str" cm="1">
        <f t="array" ref="AQ3">_xlfn.IFS(AND(AC3&lt;&gt;"", AR3&lt;&gt;"-"), TRUE, AND(AC3&lt;&gt;"", AR3="-"), FALSE, AC3="", "-")</f>
        <v>-</v>
      </c>
      <c r="AR3" s="220">
        <v>0</v>
      </c>
      <c r="AS3" s="221">
        <f t="shared" ref="AS3:AS57" si="10">IF(AR3 &lt;&gt; "-", DEGREES(ATAN(AR3)), "-")</f>
        <v>0</v>
      </c>
      <c r="AT3" s="207">
        <v>2.8935185185185189E-4</v>
      </c>
      <c r="AU3" s="207">
        <f t="shared" ref="AU3:AU57" si="11">AL3+AT3</f>
        <v>4.1666666666666669E-4</v>
      </c>
      <c r="AV3" s="207">
        <f t="shared" ref="AV3:AV57" si="12">AT3-Q3</f>
        <v>1.50462962962963E-4</v>
      </c>
      <c r="AW3" s="207">
        <f t="shared" ref="AW3:AW57" si="13">AU3-R3</f>
        <v>-2.1990740740740732E-4</v>
      </c>
      <c r="AX3" s="212" cm="1">
        <f t="array" ref="AX3">_xlfn.IFS(AP3="-", "-", AND(AP3="asphalt",AA3=""),100%, AND(AP3&lt;&gt;"asphalt",AA3=""), 0%)</f>
        <v>1</v>
      </c>
      <c r="AY3" s="213">
        <f>IF(AX3&lt;&gt;"-", 1-AX3, "-")</f>
        <v>0</v>
      </c>
      <c r="AZ3" s="212" t="str">
        <f t="shared" si="0"/>
        <v>-</v>
      </c>
      <c r="BA3" s="212" t="str" cm="1">
        <f t="array" ref="BA3">_xlfn.IFS(OR(AC3="", AS3="-"), "-", AND(AC3&lt;&gt;"", OR(AS3&lt;&gt;"-", AS3&lt;&gt;0)), ABS(AS3/AC3-1))</f>
        <v>-</v>
      </c>
      <c r="BB3" s="208"/>
      <c r="BC3" s="214">
        <v>1.1342592592592591E-3</v>
      </c>
      <c r="BD3" s="215" t="b">
        <v>1</v>
      </c>
      <c r="BE3" s="215" t="b">
        <v>1</v>
      </c>
      <c r="BF3" s="215" t="b">
        <f t="shared" ref="BF3:BF57" si="14">IF(BG3&lt;&gt;"-", TRUE, FALSE)</f>
        <v>1</v>
      </c>
      <c r="BG3" s="215"/>
      <c r="BH3" s="243" t="str" cm="1">
        <f t="array" ref="BH3">_xlfn.IFS(AND(AC3&lt;&gt;"", BK3&lt;&gt;"-"), TRUE, AND(AC3&lt;&gt;"", BK3="-"), FALSE, AC3="", "-")</f>
        <v>-</v>
      </c>
      <c r="BI3" s="243" t="s">
        <v>9801</v>
      </c>
      <c r="BJ3" s="243" t="s">
        <v>9801</v>
      </c>
      <c r="BK3" s="244" t="str">
        <f>IF(AND(BJ3&lt;&gt;"-",BI3&lt;&gt;"-"), ROUND(DEGREES(ATAN(BJ3/BI3)*100%), 0), "-")</f>
        <v>-</v>
      </c>
      <c r="BL3" s="217" t="b" cm="1">
        <f t="array" ref="BL3">_xlfn.IFS(AND(AD3&lt;&gt;"", BO3&lt;&gt;"-"), TRUE, AND(AD3&lt;&gt;"", BO3="-"), FALSE, AD3="", "-")</f>
        <v>1</v>
      </c>
      <c r="BM3" s="215">
        <v>4.0199999999999996</v>
      </c>
      <c r="BN3" s="215">
        <v>0.27</v>
      </c>
      <c r="BO3" s="217">
        <f t="shared" ref="BO3:BO57" si="15">IF(AND(BN3&lt;&gt;"-",BM3&lt;&gt;"-"), ROUND(DEGREES(ATAN(BN3/BM3)*100%), 0), "-")</f>
        <v>4</v>
      </c>
      <c r="BP3" s="214">
        <v>4.5138888888888892E-4</v>
      </c>
      <c r="BQ3" s="214">
        <f t="shared" si="1"/>
        <v>1.5856481481481481E-3</v>
      </c>
      <c r="BR3" s="214">
        <f t="shared" si="2"/>
        <v>3.1250000000000006E-4</v>
      </c>
      <c r="BS3" s="214">
        <f t="shared" si="3"/>
        <v>9.4907407407407408E-4</v>
      </c>
      <c r="BT3" s="218">
        <f>IF(AND(BG3="",AA3=""),100%, "TBD")</f>
        <v>1</v>
      </c>
      <c r="BU3" s="219">
        <f t="shared" ref="BU3:BU57" si="16">1-BT3</f>
        <v>0</v>
      </c>
      <c r="BV3" s="217" t="str">
        <f t="shared" si="4"/>
        <v>-</v>
      </c>
      <c r="BW3" s="218" t="str">
        <f t="shared" ref="BW3:BW57" si="17">IF(BX3&lt;&gt;"-", 1-BX3, "-")</f>
        <v>-</v>
      </c>
      <c r="BX3" s="218" t="str">
        <f t="shared" si="5"/>
        <v>-</v>
      </c>
      <c r="BY3" s="217">
        <f t="shared" si="6"/>
        <v>1</v>
      </c>
      <c r="BZ3" s="218">
        <f t="shared" si="7"/>
        <v>0.66666666666666674</v>
      </c>
      <c r="CA3" s="218">
        <f t="shared" si="8"/>
        <v>0.33333333333333326</v>
      </c>
      <c r="CB3" s="218"/>
      <c r="CC3" s="229">
        <v>5.9027777777777778E-4</v>
      </c>
      <c r="CD3" s="230" t="b">
        <v>1</v>
      </c>
      <c r="CE3" s="230" t="b">
        <v>1</v>
      </c>
      <c r="CF3" s="243" t="str" cm="1">
        <f t="array" ref="CF3">_xlfn.IFS(AND(AC3&lt;&gt;"", CI3&lt;&gt;"-"), TRUE, AND(AC3&lt;&gt;"", CI3="-"), FALSE, AC3="", "-")</f>
        <v>-</v>
      </c>
      <c r="CG3" s="243" t="s">
        <v>9801</v>
      </c>
      <c r="CH3" s="243" t="s">
        <v>9801</v>
      </c>
      <c r="CI3" s="244" t="str">
        <f t="shared" ref="CI3:CI57" si="18">IF(AND(CH3&lt;&gt;"-",CG3&lt;&gt;"-"), ROUND(DEGREES(ATAN(CH3/CG3)*100%), 0), "-")</f>
        <v>-</v>
      </c>
      <c r="CJ3" s="236" t="b" cm="1">
        <f t="array" ref="CJ3">_xlfn.IFS(AND(AD3&lt;&gt;"", CM3&lt;&gt;"-"), TRUE, AND(AD3&lt;&gt;"", CM3="-"), FALSE, AD3="", "-")</f>
        <v>1</v>
      </c>
      <c r="CK3" s="230">
        <v>3.66</v>
      </c>
      <c r="CL3" s="230">
        <v>0.23</v>
      </c>
      <c r="CM3" s="255">
        <f t="shared" ref="CM3:CM57" si="19">IF(AND(CL3&lt;&gt;"-",CK3&lt;&gt;"-"), ROUND(DEGREES(ATAN(CL3/CK3)*100%), 0), "-")</f>
        <v>4</v>
      </c>
      <c r="CN3" s="229">
        <v>2.5462962962962961E-4</v>
      </c>
      <c r="CO3" s="229">
        <f t="shared" ref="CO3:CO57" si="20">CC3+CN3</f>
        <v>8.4490740740740739E-4</v>
      </c>
      <c r="CP3" s="229">
        <f t="shared" ref="CP3:CP57" si="21">CN3-Q3</f>
        <v>1.1574074074074072E-4</v>
      </c>
      <c r="CQ3" s="229">
        <f t="shared" ref="CQ3:CQ57" si="22">CO3-R3</f>
        <v>2.0833333333333337E-4</v>
      </c>
      <c r="CR3" s="230" t="str">
        <f t="shared" ref="CR3:CR57" si="23">IF(AND(AC3&lt;&gt;"",CI3&lt;&gt;"-"), CI3-AC3, "-")</f>
        <v>-</v>
      </c>
      <c r="CS3" s="259" t="str">
        <f t="shared" ref="CS3:CS57" si="24">IF(CT3&lt;&gt;"-", 1-CT3, "-")</f>
        <v>-</v>
      </c>
      <c r="CT3" s="259" t="str">
        <f t="shared" ref="CT3:CT57" si="25">IF(AND(CI3&lt;&gt;"-",AC3&lt;&gt;""), ABS(CI3/AC3-1), "-")</f>
        <v>-</v>
      </c>
      <c r="CU3" s="230">
        <f t="shared" ref="CU3:CU57" si="26">IF(AND(AD3&lt;&gt;"",CM3&lt;&gt;"-"), CM3-AD3, "-")</f>
        <v>1</v>
      </c>
      <c r="CV3" s="259">
        <f t="shared" ref="CV3:CV57" si="27">IF(CW3&lt;&gt;"-", 1-CW3, "-")</f>
        <v>0.66666666666666674</v>
      </c>
      <c r="CW3" s="262">
        <f t="shared" ref="CW3:CW57" si="28">IF(AND(CM3&lt;&gt;"-",AD3&lt;&gt;""), ABS(CM3/AD3-1), "-")</f>
        <v>0.33333333333333326</v>
      </c>
      <c r="CX3" s="230"/>
    </row>
    <row r="4" spans="1:102" s="95" customFormat="1" x14ac:dyDescent="0.2">
      <c r="A4" s="95" t="s">
        <v>461</v>
      </c>
      <c r="B4" s="95">
        <v>130</v>
      </c>
      <c r="C4" s="95" t="b">
        <v>0</v>
      </c>
      <c r="D4" s="95" t="b">
        <v>0</v>
      </c>
      <c r="E4" s="95" t="b">
        <v>0</v>
      </c>
      <c r="F4" s="95" t="b">
        <v>0</v>
      </c>
      <c r="G4" s="95" t="s">
        <v>31</v>
      </c>
      <c r="H4" s="95" t="s">
        <v>462</v>
      </c>
      <c r="I4" s="95" t="s">
        <v>463</v>
      </c>
      <c r="O4" s="95" t="s">
        <v>11041</v>
      </c>
      <c r="P4" s="95" t="s">
        <v>11040</v>
      </c>
      <c r="Q4" s="98">
        <v>3.1250000000000001E-4</v>
      </c>
      <c r="R4" s="98">
        <v>1.3773148148148147E-3</v>
      </c>
      <c r="S4" s="95">
        <v>0</v>
      </c>
      <c r="T4" s="95" t="s">
        <v>36</v>
      </c>
      <c r="U4" s="95" t="s">
        <v>37</v>
      </c>
      <c r="V4" s="95" t="s">
        <v>38</v>
      </c>
      <c r="Z4" s="95" t="b">
        <v>0</v>
      </c>
      <c r="AC4" s="95">
        <v>13</v>
      </c>
      <c r="AE4" s="95" t="s">
        <v>207</v>
      </c>
      <c r="AF4" s="95" t="s">
        <v>9561</v>
      </c>
      <c r="AH4" s="95" t="b">
        <v>0</v>
      </c>
      <c r="AI4" s="95" t="s">
        <v>11172</v>
      </c>
      <c r="AL4" s="207">
        <v>1.6203703703703703E-4</v>
      </c>
      <c r="AM4" s="208" t="b">
        <v>1</v>
      </c>
      <c r="AN4" s="208" t="b">
        <v>1</v>
      </c>
      <c r="AO4" s="252" t="b">
        <f t="shared" si="9"/>
        <v>1</v>
      </c>
      <c r="AP4" s="209" t="s">
        <v>11367</v>
      </c>
      <c r="AQ4" s="252" t="b" cm="1">
        <f t="array" ref="AQ4">_xlfn.IFS(AND(AC4&lt;&gt;"", AR4&lt;&gt;"-"), TRUE, AND(AC4&lt;&gt;"", AR4="-"), FALSE, AC4="", "-")</f>
        <v>1</v>
      </c>
      <c r="AR4" s="220">
        <v>0.1</v>
      </c>
      <c r="AS4" s="221">
        <f t="shared" si="10"/>
        <v>5.710593137499643</v>
      </c>
      <c r="AT4" s="207">
        <v>1.0416666666666667E-4</v>
      </c>
      <c r="AU4" s="207">
        <f t="shared" si="11"/>
        <v>2.6620370370370372E-4</v>
      </c>
      <c r="AV4" s="207">
        <f t="shared" si="12"/>
        <v>-2.0833333333333332E-4</v>
      </c>
      <c r="AW4" s="207">
        <f t="shared" si="13"/>
        <v>-1.1111111111111109E-3</v>
      </c>
      <c r="AX4" s="212" cm="1">
        <f t="array" ref="AX4">_xlfn.IFS(AP4="-", "-", AND(AP4="asphalt",AA4=""),100%, AND(AP4&lt;&gt;"asphalt",AA4=""), 0%)</f>
        <v>0</v>
      </c>
      <c r="AY4" s="213">
        <f t="shared" ref="AY4:AY18" si="29">IF(AX4&lt;&gt;"-", 1-AX4, "-")</f>
        <v>1</v>
      </c>
      <c r="AZ4" s="212">
        <f>IF(BA4&lt;&gt;"-", 1-BA4, "-")</f>
        <v>0.43927639519228023</v>
      </c>
      <c r="BA4" s="212" cm="1">
        <f t="array" ref="BA4">_xlfn.IFS(OR(AC4="", AS4="-"), "-", AND(AC4&lt;&gt;"", OR(AS4&lt;&gt;"-", AS4&lt;&gt;0)), ABS(AS4/AC4-1))</f>
        <v>0.56072360480771977</v>
      </c>
      <c r="BB4" s="208"/>
      <c r="BC4" s="214">
        <v>5.0925925925925921E-4</v>
      </c>
      <c r="BD4" s="215" t="b">
        <v>1</v>
      </c>
      <c r="BE4" s="215" t="b">
        <v>1</v>
      </c>
      <c r="BF4" s="215" t="b">
        <f t="shared" si="14"/>
        <v>1</v>
      </c>
      <c r="BG4" s="215"/>
      <c r="BH4" s="243" t="b" cm="1">
        <f t="array" ref="BH4">_xlfn.IFS(AND(AC4&lt;&gt;"", BK4&lt;&gt;"-"), TRUE, AND(AC4&lt;&gt;"", BK4="-"), FALSE, AC4="", "-")</f>
        <v>1</v>
      </c>
      <c r="BI4" s="243">
        <v>7.84</v>
      </c>
      <c r="BJ4" s="243">
        <v>1.85</v>
      </c>
      <c r="BK4" s="244">
        <f>IF(AND(BJ4&lt;&gt;"-",BI4&lt;&gt;"-"), ROUND(DEGREES(ATAN(BJ4/BI4)*100%), 0), "-")</f>
        <v>13</v>
      </c>
      <c r="BL4" s="217" t="str" cm="1">
        <f t="array" ref="BL4">_xlfn.IFS(AND(AD4&lt;&gt;"", BO4&lt;&gt;"-"), TRUE, AND(AD4&lt;&gt;"", BO4="-"), FALSE, AD4="", "-")</f>
        <v>-</v>
      </c>
      <c r="BM4" s="215" t="s">
        <v>9801</v>
      </c>
      <c r="BN4" s="215" t="s">
        <v>9801</v>
      </c>
      <c r="BO4" s="217" t="str">
        <f t="shared" si="15"/>
        <v>-</v>
      </c>
      <c r="BP4" s="214">
        <v>2.8935185185185189E-4</v>
      </c>
      <c r="BQ4" s="214">
        <f t="shared" si="1"/>
        <v>7.9861111111111105E-4</v>
      </c>
      <c r="BR4" s="214">
        <f t="shared" si="2"/>
        <v>-2.3148148148148117E-5</v>
      </c>
      <c r="BS4" s="214">
        <f t="shared" si="3"/>
        <v>-5.7870370370370367E-4</v>
      </c>
      <c r="BT4" s="218">
        <f>IF(AND(BG4="",AA4=""),100%, "TBD")</f>
        <v>1</v>
      </c>
      <c r="BU4" s="219">
        <f t="shared" si="16"/>
        <v>0</v>
      </c>
      <c r="BV4" s="217">
        <f t="shared" si="4"/>
        <v>0</v>
      </c>
      <c r="BW4" s="218">
        <f t="shared" si="17"/>
        <v>1</v>
      </c>
      <c r="BX4" s="218">
        <f t="shared" si="5"/>
        <v>0</v>
      </c>
      <c r="BY4" s="217" t="str">
        <f t="shared" si="6"/>
        <v>-</v>
      </c>
      <c r="BZ4" s="218" t="str">
        <f t="shared" si="7"/>
        <v>-</v>
      </c>
      <c r="CA4" s="218" t="str">
        <f t="shared" si="8"/>
        <v>-</v>
      </c>
      <c r="CB4" s="218"/>
      <c r="CC4" s="229">
        <v>4.6296296296296293E-4</v>
      </c>
      <c r="CD4" s="230" t="b">
        <v>1</v>
      </c>
      <c r="CE4" s="230" t="b">
        <v>1</v>
      </c>
      <c r="CF4" s="243" t="b" cm="1">
        <f t="array" ref="CF4">_xlfn.IFS(AND(AC4&lt;&gt;"", CI4&lt;&gt;"-"), TRUE, AND(AC4&lt;&gt;"", CI4="-"), FALSE, AC4="", "-")</f>
        <v>1</v>
      </c>
      <c r="CG4" s="243">
        <v>10.39</v>
      </c>
      <c r="CH4" s="243">
        <v>2.16</v>
      </c>
      <c r="CI4" s="244">
        <f t="shared" si="18"/>
        <v>12</v>
      </c>
      <c r="CJ4" s="236" t="str" cm="1">
        <f t="array" ref="CJ4">_xlfn.IFS(AND(AD4&lt;&gt;"", CM4&lt;&gt;"-"), TRUE, AND(AD4&lt;&gt;"", CM4="-"), FALSE, AD4="", "-")</f>
        <v>-</v>
      </c>
      <c r="CK4" s="230" t="s">
        <v>9801</v>
      </c>
      <c r="CL4" s="230" t="s">
        <v>9801</v>
      </c>
      <c r="CM4" s="255" t="str">
        <f t="shared" si="19"/>
        <v>-</v>
      </c>
      <c r="CN4" s="229">
        <v>3.0092592592592595E-4</v>
      </c>
      <c r="CO4" s="229">
        <f t="shared" si="20"/>
        <v>7.6388888888888882E-4</v>
      </c>
      <c r="CP4" s="229">
        <f t="shared" si="21"/>
        <v>-1.1574074074074058E-5</v>
      </c>
      <c r="CQ4" s="229">
        <f t="shared" si="22"/>
        <v>-6.134259259259259E-4</v>
      </c>
      <c r="CR4" s="230">
        <f t="shared" si="23"/>
        <v>-1</v>
      </c>
      <c r="CS4" s="259">
        <f t="shared" si="24"/>
        <v>0.92307692307692313</v>
      </c>
      <c r="CT4" s="259">
        <f t="shared" si="25"/>
        <v>7.6923076923076872E-2</v>
      </c>
      <c r="CU4" s="230" t="str">
        <f t="shared" si="26"/>
        <v>-</v>
      </c>
      <c r="CV4" s="259" t="str">
        <f t="shared" si="27"/>
        <v>-</v>
      </c>
      <c r="CW4" s="262" t="str">
        <f t="shared" si="28"/>
        <v>-</v>
      </c>
      <c r="CX4" s="230"/>
    </row>
    <row r="5" spans="1:102" s="95" customFormat="1" x14ac:dyDescent="0.2">
      <c r="A5" s="95" t="s">
        <v>592</v>
      </c>
      <c r="B5" s="95">
        <v>172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593</v>
      </c>
      <c r="I5" s="95" t="s">
        <v>594</v>
      </c>
      <c r="O5" s="95" t="s">
        <v>11039</v>
      </c>
      <c r="P5" s="95" t="s">
        <v>11038</v>
      </c>
      <c r="Q5" s="98">
        <v>1.3888888888888889E-4</v>
      </c>
      <c r="R5" s="98">
        <v>1.3888888888888889E-3</v>
      </c>
      <c r="S5" s="95">
        <v>0</v>
      </c>
      <c r="T5" s="95" t="s">
        <v>36</v>
      </c>
      <c r="U5" s="95" t="s">
        <v>37</v>
      </c>
      <c r="V5" s="95" t="s">
        <v>38</v>
      </c>
      <c r="Z5" s="95" t="b">
        <v>0</v>
      </c>
      <c r="AD5" s="95">
        <v>2</v>
      </c>
      <c r="AE5" s="95" t="s">
        <v>492</v>
      </c>
      <c r="AF5" s="95" t="s">
        <v>9559</v>
      </c>
      <c r="AH5" s="95" t="b">
        <v>0</v>
      </c>
      <c r="AI5" s="95" t="s">
        <v>11173</v>
      </c>
      <c r="AL5" s="207">
        <v>1.3888888888888889E-4</v>
      </c>
      <c r="AM5" s="208" t="b">
        <v>1</v>
      </c>
      <c r="AN5" s="208" t="b">
        <v>1</v>
      </c>
      <c r="AO5" s="252" t="b">
        <f t="shared" si="9"/>
        <v>1</v>
      </c>
      <c r="AP5" s="209" t="s">
        <v>11366</v>
      </c>
      <c r="AQ5" s="210" t="str" cm="1">
        <f t="array" ref="AQ5">_xlfn.IFS(AND(AC5&lt;&gt;"", AR5&lt;&gt;"-"), TRUE, AND(AC5&lt;&gt;"", AR5="-"), FALSE, AC5="", "-")</f>
        <v>-</v>
      </c>
      <c r="AR5" s="220">
        <v>0.04</v>
      </c>
      <c r="AS5" s="221">
        <f t="shared" si="10"/>
        <v>2.2906100426385296</v>
      </c>
      <c r="AT5" s="207">
        <v>2.3148148148148146E-4</v>
      </c>
      <c r="AU5" s="207">
        <f t="shared" si="11"/>
        <v>3.7037037037037035E-4</v>
      </c>
      <c r="AV5" s="207">
        <f t="shared" si="12"/>
        <v>9.2592592592592574E-5</v>
      </c>
      <c r="AW5" s="207">
        <f t="shared" si="13"/>
        <v>-1.0185185185185186E-3</v>
      </c>
      <c r="AX5" s="212" cm="1">
        <f t="array" ref="AX5">_xlfn.IFS(AP5="-", "-", AND(AP5="asphalt",AA5=""),100%, AND(AP5&lt;&gt;"asphalt",AA5=""), 0%)</f>
        <v>1</v>
      </c>
      <c r="AY5" s="213">
        <f t="shared" si="29"/>
        <v>0</v>
      </c>
      <c r="AZ5" s="212" t="str">
        <f t="shared" ref="AZ5:AZ60" si="30">IF(BA5&lt;&gt;"-", 1-BA5, "-")</f>
        <v>-</v>
      </c>
      <c r="BA5" s="212" t="str" cm="1">
        <f t="array" ref="BA5">_xlfn.IFS(OR(AC5="", AS5="-"), "-", AND(AC5&lt;&gt;"", OR(AS5&lt;&gt;"-", AS5&lt;&gt;0)), ABS(AS5/AC5-1))</f>
        <v>-</v>
      </c>
      <c r="BB5" s="208"/>
      <c r="BC5" s="214">
        <v>6.2500000000000001E-4</v>
      </c>
      <c r="BD5" s="215" t="b">
        <v>1</v>
      </c>
      <c r="BE5" s="215" t="b">
        <v>1</v>
      </c>
      <c r="BF5" s="215" t="b">
        <f t="shared" si="14"/>
        <v>1</v>
      </c>
      <c r="BG5" s="215" t="s">
        <v>3516</v>
      </c>
      <c r="BH5" s="243" t="str" cm="1">
        <f t="array" ref="BH5">_xlfn.IFS(AND(AC5&lt;&gt;"", BK5&lt;&gt;"-"), TRUE, AND(AC5&lt;&gt;"", BK5="-"), FALSE, AC5="", "-")</f>
        <v>-</v>
      </c>
      <c r="BI5" s="243" t="s">
        <v>9801</v>
      </c>
      <c r="BJ5" s="243" t="s">
        <v>9801</v>
      </c>
      <c r="BK5" s="244" t="str">
        <f t="shared" ref="BK5:BK57" si="31">IF(AND(BJ5&lt;&gt;"-",BI5&lt;&gt;"-"), ROUND(DEGREES(ATAN(BJ5/BI5)*100%), 0), "-")</f>
        <v>-</v>
      </c>
      <c r="BL5" s="217" t="b" cm="1">
        <f t="array" ref="BL5">_xlfn.IFS(AND(AD5&lt;&gt;"", BO5&lt;&gt;"-"), TRUE, AND(AD5&lt;&gt;"", BO5="-"), FALSE, AD5="", "-")</f>
        <v>1</v>
      </c>
      <c r="BM5" s="215">
        <v>1.76</v>
      </c>
      <c r="BN5" s="215">
        <v>0.16</v>
      </c>
      <c r="BO5" s="217">
        <f t="shared" si="15"/>
        <v>5</v>
      </c>
      <c r="BP5" s="214">
        <v>3.3564814814814812E-4</v>
      </c>
      <c r="BQ5" s="214">
        <f t="shared" si="1"/>
        <v>9.6064814814814819E-4</v>
      </c>
      <c r="BR5" s="214">
        <f t="shared" si="2"/>
        <v>1.9675925925925923E-4</v>
      </c>
      <c r="BS5" s="214">
        <f t="shared" si="3"/>
        <v>-4.2824074074074075E-4</v>
      </c>
      <c r="BT5" s="218">
        <v>0</v>
      </c>
      <c r="BU5" s="219">
        <f t="shared" si="16"/>
        <v>1</v>
      </c>
      <c r="BV5" s="217" t="str">
        <f t="shared" si="4"/>
        <v>-</v>
      </c>
      <c r="BW5" s="218" t="str">
        <f t="shared" si="17"/>
        <v>-</v>
      </c>
      <c r="BX5" s="218" t="str">
        <f t="shared" si="5"/>
        <v>-</v>
      </c>
      <c r="BY5" s="217">
        <f t="shared" si="6"/>
        <v>3</v>
      </c>
      <c r="BZ5" s="246">
        <f t="shared" si="7"/>
        <v>-0.5</v>
      </c>
      <c r="CA5" s="246">
        <f t="shared" si="8"/>
        <v>1.5</v>
      </c>
      <c r="CB5" s="246"/>
      <c r="CC5" s="229">
        <v>6.2500000000000001E-4</v>
      </c>
      <c r="CD5" s="230" t="b">
        <v>1</v>
      </c>
      <c r="CE5" s="230" t="b">
        <v>1</v>
      </c>
      <c r="CF5" s="243" t="str" cm="1">
        <f t="array" ref="CF5">_xlfn.IFS(AND(AC5&lt;&gt;"", CI5&lt;&gt;"-"), TRUE, AND(AC5&lt;&gt;"", CI5="-"), FALSE, AC5="", "-")</f>
        <v>-</v>
      </c>
      <c r="CG5" s="243" t="s">
        <v>9801</v>
      </c>
      <c r="CH5" s="243" t="s">
        <v>9801</v>
      </c>
      <c r="CI5" s="244" t="str">
        <f t="shared" si="18"/>
        <v>-</v>
      </c>
      <c r="CJ5" s="236" t="b" cm="1">
        <f t="array" ref="CJ5">_xlfn.IFS(AND(AD5&lt;&gt;"", CM5&lt;&gt;"-"), TRUE, AND(AD5&lt;&gt;"", CM5="-"), FALSE, AD5="", "-")</f>
        <v>1</v>
      </c>
      <c r="CK5" s="230">
        <v>1.78</v>
      </c>
      <c r="CL5" s="230">
        <v>0.1</v>
      </c>
      <c r="CM5" s="255">
        <f t="shared" si="19"/>
        <v>3</v>
      </c>
      <c r="CN5" s="229">
        <v>2.0833333333333335E-4</v>
      </c>
      <c r="CO5" s="229">
        <f t="shared" si="20"/>
        <v>8.3333333333333339E-4</v>
      </c>
      <c r="CP5" s="229">
        <f t="shared" si="21"/>
        <v>6.9444444444444458E-5</v>
      </c>
      <c r="CQ5" s="229">
        <f t="shared" si="22"/>
        <v>-5.5555555555555556E-4</v>
      </c>
      <c r="CR5" s="230" t="str">
        <f t="shared" si="23"/>
        <v>-</v>
      </c>
      <c r="CS5" s="259" t="str">
        <f t="shared" si="24"/>
        <v>-</v>
      </c>
      <c r="CT5" s="259" t="str">
        <f t="shared" si="25"/>
        <v>-</v>
      </c>
      <c r="CU5" s="230">
        <f t="shared" si="26"/>
        <v>1</v>
      </c>
      <c r="CV5" s="259">
        <f t="shared" si="27"/>
        <v>0.5</v>
      </c>
      <c r="CW5" s="262">
        <f t="shared" si="28"/>
        <v>0.5</v>
      </c>
      <c r="CX5" s="230"/>
    </row>
    <row r="6" spans="1:102" s="95" customFormat="1" x14ac:dyDescent="0.2">
      <c r="A6" s="95" t="s">
        <v>753</v>
      </c>
      <c r="B6" s="95">
        <v>223</v>
      </c>
      <c r="C6" s="95" t="b">
        <v>0</v>
      </c>
      <c r="D6" s="95" t="b">
        <v>0</v>
      </c>
      <c r="E6" s="95" t="b">
        <v>0</v>
      </c>
      <c r="F6" s="95" t="b">
        <v>0</v>
      </c>
      <c r="G6" s="95" t="s">
        <v>31</v>
      </c>
      <c r="H6" s="95" t="s">
        <v>754</v>
      </c>
      <c r="I6" s="95" t="s">
        <v>755</v>
      </c>
      <c r="J6" s="95" t="s">
        <v>736</v>
      </c>
      <c r="O6" s="95" t="s">
        <v>11037</v>
      </c>
      <c r="P6" s="95" t="s">
        <v>11036</v>
      </c>
      <c r="Q6" s="98">
        <v>5.9027777777777778E-4</v>
      </c>
      <c r="R6" s="98">
        <v>1.7476851851851852E-3</v>
      </c>
      <c r="S6" s="95">
        <v>0</v>
      </c>
      <c r="T6" s="95" t="s">
        <v>36</v>
      </c>
      <c r="U6" s="95" t="s">
        <v>37</v>
      </c>
      <c r="V6" s="95" t="s">
        <v>38</v>
      </c>
      <c r="Z6" s="95" t="b">
        <v>0</v>
      </c>
      <c r="AC6" s="95">
        <v>4</v>
      </c>
      <c r="AE6" s="95" t="s">
        <v>688</v>
      </c>
      <c r="AF6" s="95" t="s">
        <v>9555</v>
      </c>
      <c r="AH6" s="95" t="b">
        <v>0</v>
      </c>
      <c r="AI6" s="95" t="s">
        <v>11174</v>
      </c>
      <c r="AL6" s="207">
        <v>1.273148148148148E-4</v>
      </c>
      <c r="AM6" s="208" t="b">
        <v>1</v>
      </c>
      <c r="AN6" s="208" t="b">
        <v>1</v>
      </c>
      <c r="AO6" s="252" t="b">
        <f t="shared" si="9"/>
        <v>1</v>
      </c>
      <c r="AP6" s="209" t="s">
        <v>11366</v>
      </c>
      <c r="AQ6" s="253" t="b" cm="1">
        <f t="array" ref="AQ6">_xlfn.IFS(AND(AC6&lt;&gt;"", AR6&lt;&gt;"-"), TRUE, AND(AC6&lt;&gt;"", AR6="-"), FALSE, AC6="", "-")</f>
        <v>1</v>
      </c>
      <c r="AR6" s="220">
        <v>0.04</v>
      </c>
      <c r="AS6" s="221">
        <f t="shared" si="10"/>
        <v>2.2906100426385296</v>
      </c>
      <c r="AT6" s="207">
        <v>1.7361111111111112E-4</v>
      </c>
      <c r="AU6" s="207">
        <f t="shared" si="11"/>
        <v>3.0092592592592595E-4</v>
      </c>
      <c r="AV6" s="207">
        <f t="shared" si="12"/>
        <v>-4.1666666666666664E-4</v>
      </c>
      <c r="AW6" s="207">
        <f t="shared" si="13"/>
        <v>-1.4467592592592592E-3</v>
      </c>
      <c r="AX6" s="212" cm="1">
        <f t="array" ref="AX6">_xlfn.IFS(AP6="-", "-", AND(AP6="asphalt",AA6=""),100%, AND(AP6&lt;&gt;"asphalt",AA6=""), 0%)</f>
        <v>1</v>
      </c>
      <c r="AY6" s="213">
        <f t="shared" si="29"/>
        <v>0</v>
      </c>
      <c r="AZ6" s="212">
        <f t="shared" si="30"/>
        <v>0.57265251065963241</v>
      </c>
      <c r="BA6" s="212" cm="1">
        <f t="array" ref="BA6">_xlfn.IFS(OR(AC6="", AS6="-"), "-", AND(AC6&lt;&gt;"", OR(AS6&lt;&gt;"-", AS6&lt;&gt;0)), ABS(AS6/AC6-1))</f>
        <v>0.42734748934036759</v>
      </c>
      <c r="BB6" s="208"/>
      <c r="BC6" s="214">
        <v>6.2500000000000001E-4</v>
      </c>
      <c r="BD6" s="215" t="b">
        <v>1</v>
      </c>
      <c r="BE6" s="215" t="b">
        <v>1</v>
      </c>
      <c r="BF6" s="215" t="b">
        <f t="shared" si="14"/>
        <v>1</v>
      </c>
      <c r="BG6" s="215"/>
      <c r="BH6" s="243" t="b" cm="1">
        <f t="array" ref="BH6">_xlfn.IFS(AND(AC6&lt;&gt;"", BK6&lt;&gt;"-"), TRUE, AND(AC6&lt;&gt;"", BK6="-"), FALSE, AC6="", "-")</f>
        <v>1</v>
      </c>
      <c r="BI6" s="243">
        <v>3.49</v>
      </c>
      <c r="BJ6" s="243">
        <v>0.3</v>
      </c>
      <c r="BK6" s="244">
        <f t="shared" si="31"/>
        <v>5</v>
      </c>
      <c r="BL6" s="217" t="str" cm="1">
        <f t="array" ref="BL6">_xlfn.IFS(AND(AD6&lt;&gt;"", BO6&lt;&gt;"-"), TRUE, AND(AD6&lt;&gt;"", BO6="-"), FALSE, AD6="", "-")</f>
        <v>-</v>
      </c>
      <c r="BM6" s="215" t="s">
        <v>9801</v>
      </c>
      <c r="BN6" s="215" t="s">
        <v>9801</v>
      </c>
      <c r="BO6" s="217" t="str">
        <f t="shared" si="15"/>
        <v>-</v>
      </c>
      <c r="BP6" s="214">
        <v>2.7777777777777778E-4</v>
      </c>
      <c r="BQ6" s="214">
        <f t="shared" si="1"/>
        <v>9.0277777777777774E-4</v>
      </c>
      <c r="BR6" s="214">
        <f t="shared" si="2"/>
        <v>-3.1250000000000001E-4</v>
      </c>
      <c r="BS6" s="214">
        <f t="shared" si="3"/>
        <v>-8.449074074074075E-4</v>
      </c>
      <c r="BT6" s="218">
        <f>IF(AND(BG6="",AA6=""),100%, "TBD")</f>
        <v>1</v>
      </c>
      <c r="BU6" s="219">
        <f t="shared" si="16"/>
        <v>0</v>
      </c>
      <c r="BV6" s="217">
        <f t="shared" si="4"/>
        <v>1</v>
      </c>
      <c r="BW6" s="218">
        <f t="shared" si="17"/>
        <v>0.75</v>
      </c>
      <c r="BX6" s="218">
        <f t="shared" si="5"/>
        <v>0.25</v>
      </c>
      <c r="BY6" s="217" t="str">
        <f t="shared" si="6"/>
        <v>-</v>
      </c>
      <c r="BZ6" s="218" t="str">
        <f t="shared" si="7"/>
        <v>-</v>
      </c>
      <c r="CA6" s="218" t="str">
        <f t="shared" si="8"/>
        <v>-</v>
      </c>
      <c r="CB6" s="218"/>
      <c r="CC6" s="229">
        <v>4.9768518518518521E-4</v>
      </c>
      <c r="CD6" s="230" t="b">
        <v>1</v>
      </c>
      <c r="CE6" s="230" t="b">
        <v>1</v>
      </c>
      <c r="CF6" s="243" t="b" cm="1">
        <f t="array" ref="CF6">_xlfn.IFS(AND(AC6&lt;&gt;"", CI6&lt;&gt;"-"), TRUE, AND(AC6&lt;&gt;"", CI6="-"), FALSE, AC6="", "-")</f>
        <v>1</v>
      </c>
      <c r="CG6" s="243">
        <v>14.85</v>
      </c>
      <c r="CH6" s="243">
        <v>1.23</v>
      </c>
      <c r="CI6" s="244">
        <f t="shared" si="18"/>
        <v>5</v>
      </c>
      <c r="CJ6" s="236" t="str" cm="1">
        <f t="array" ref="CJ6">_xlfn.IFS(AND(AD6&lt;&gt;"", CM6&lt;&gt;"-"), TRUE, AND(AD6&lt;&gt;"", CM6="-"), FALSE, AD6="", "-")</f>
        <v>-</v>
      </c>
      <c r="CK6" s="230" t="s">
        <v>9801</v>
      </c>
      <c r="CL6" s="230" t="s">
        <v>9801</v>
      </c>
      <c r="CM6" s="255" t="str">
        <f t="shared" si="19"/>
        <v>-</v>
      </c>
      <c r="CN6" s="229">
        <v>2.8935185185185189E-4</v>
      </c>
      <c r="CO6" s="229">
        <f t="shared" si="20"/>
        <v>7.8703703703703705E-4</v>
      </c>
      <c r="CP6" s="229">
        <f t="shared" si="21"/>
        <v>-3.0092592592592589E-4</v>
      </c>
      <c r="CQ6" s="229">
        <f t="shared" si="22"/>
        <v>-9.6064814814814819E-4</v>
      </c>
      <c r="CR6" s="230">
        <f t="shared" si="23"/>
        <v>1</v>
      </c>
      <c r="CS6" s="259">
        <f t="shared" si="24"/>
        <v>0.75</v>
      </c>
      <c r="CT6" s="259">
        <f t="shared" si="25"/>
        <v>0.25</v>
      </c>
      <c r="CU6" s="230" t="str">
        <f t="shared" si="26"/>
        <v>-</v>
      </c>
      <c r="CV6" s="259" t="str">
        <f t="shared" si="27"/>
        <v>-</v>
      </c>
      <c r="CW6" s="262" t="str">
        <f t="shared" si="28"/>
        <v>-</v>
      </c>
      <c r="CX6" s="230"/>
    </row>
    <row r="7" spans="1:102" s="95" customFormat="1" x14ac:dyDescent="0.2">
      <c r="A7" s="95" t="s">
        <v>986</v>
      </c>
      <c r="B7" s="95">
        <v>297</v>
      </c>
      <c r="C7" s="95" t="b">
        <v>0</v>
      </c>
      <c r="D7" s="95" t="b">
        <v>0</v>
      </c>
      <c r="E7" s="95" t="b">
        <v>0</v>
      </c>
      <c r="F7" s="95" t="b">
        <v>0</v>
      </c>
      <c r="G7" s="95" t="s">
        <v>31</v>
      </c>
      <c r="H7" s="95" t="s">
        <v>987</v>
      </c>
      <c r="I7" s="95" t="s">
        <v>988</v>
      </c>
      <c r="O7" s="95" t="s">
        <v>11035</v>
      </c>
      <c r="P7" s="95" t="s">
        <v>11035</v>
      </c>
      <c r="Q7" s="98">
        <v>2.3148148148148146E-4</v>
      </c>
      <c r="R7" s="98">
        <v>1.7245370370370372E-3</v>
      </c>
      <c r="S7" s="95">
        <v>0</v>
      </c>
      <c r="T7" s="95" t="s">
        <v>36</v>
      </c>
      <c r="U7" s="95" t="s">
        <v>37</v>
      </c>
      <c r="V7" s="95" t="s">
        <v>38</v>
      </c>
      <c r="Z7" s="95" t="b">
        <v>0</v>
      </c>
      <c r="AD7" s="95">
        <v>2</v>
      </c>
      <c r="AE7" s="95" t="s">
        <v>941</v>
      </c>
      <c r="AF7" s="95" t="s">
        <v>9550</v>
      </c>
      <c r="AH7" s="95" t="b">
        <v>0</v>
      </c>
      <c r="AI7" s="95" t="s">
        <v>11175</v>
      </c>
      <c r="AL7" s="207">
        <v>1.5046296296296297E-4</v>
      </c>
      <c r="AM7" s="208" t="b">
        <v>1</v>
      </c>
      <c r="AN7" s="208" t="b">
        <v>1</v>
      </c>
      <c r="AO7" s="252" t="b">
        <f t="shared" si="9"/>
        <v>1</v>
      </c>
      <c r="AP7" s="209" t="s">
        <v>11366</v>
      </c>
      <c r="AQ7" s="210" t="str" cm="1">
        <f t="array" ref="AQ7">_xlfn.IFS(AND(AC7&lt;&gt;"", AR7&lt;&gt;"-"), TRUE, AND(AC7&lt;&gt;"", AR7="-"), FALSE, AC7="", "-")</f>
        <v>-</v>
      </c>
      <c r="AR7" s="210" t="s">
        <v>9801</v>
      </c>
      <c r="AS7" s="211" t="str">
        <f t="shared" si="10"/>
        <v>-</v>
      </c>
      <c r="AT7" s="207">
        <v>5.5555555555555556E-4</v>
      </c>
      <c r="AU7" s="207">
        <f t="shared" si="11"/>
        <v>7.0601851851851858E-4</v>
      </c>
      <c r="AV7" s="207">
        <f t="shared" si="12"/>
        <v>3.2407407407407406E-4</v>
      </c>
      <c r="AW7" s="207">
        <f t="shared" si="13"/>
        <v>-1.0185185185185186E-3</v>
      </c>
      <c r="AX7" s="212" cm="1">
        <f t="array" ref="AX7">_xlfn.IFS(AP7="-", "-", AND(AP7="asphalt",AA7=""),100%, AND(AP7&lt;&gt;"asphalt",AA7=""), 0%)</f>
        <v>1</v>
      </c>
      <c r="AY7" s="213">
        <f t="shared" si="29"/>
        <v>0</v>
      </c>
      <c r="AZ7" s="212" t="str">
        <f t="shared" si="30"/>
        <v>-</v>
      </c>
      <c r="BA7" s="212" t="str" cm="1">
        <f t="array" ref="BA7">_xlfn.IFS(OR(AC7="", AS7="-"), "-", AND(AC7&lt;&gt;"", OR(AS7&lt;&gt;"-", AS7&lt;&gt;0)), ABS(AS7/AC7-1))</f>
        <v>-</v>
      </c>
      <c r="BB7" s="208" t="s">
        <v>11368</v>
      </c>
      <c r="BC7" s="214">
        <v>6.3657407407407402E-4</v>
      </c>
      <c r="BD7" s="215" t="b">
        <v>1</v>
      </c>
      <c r="BE7" s="215" t="b">
        <v>1</v>
      </c>
      <c r="BF7" s="215" t="b">
        <f t="shared" si="14"/>
        <v>1</v>
      </c>
      <c r="BG7" s="215"/>
      <c r="BH7" s="243" t="str" cm="1">
        <f t="array" ref="BH7">_xlfn.IFS(AND(AC7&lt;&gt;"", BK7&lt;&gt;"-"), TRUE, AND(AC7&lt;&gt;"", BK7="-"), FALSE, AC7="", "-")</f>
        <v>-</v>
      </c>
      <c r="BI7" s="243" t="s">
        <v>9801</v>
      </c>
      <c r="BJ7" s="243" t="s">
        <v>9801</v>
      </c>
      <c r="BK7" s="244" t="str">
        <f t="shared" si="31"/>
        <v>-</v>
      </c>
      <c r="BL7" s="217" t="b" cm="1">
        <f t="array" ref="BL7">_xlfn.IFS(AND(AD7&lt;&gt;"", BO7&lt;&gt;"-"), TRUE, AND(AD7&lt;&gt;"", BO7="-"), FALSE, AD7="", "-")</f>
        <v>1</v>
      </c>
      <c r="BM7" s="215">
        <v>4.8600000000000003</v>
      </c>
      <c r="BN7" s="215">
        <v>0.14000000000000001</v>
      </c>
      <c r="BO7" s="217">
        <f t="shared" si="15"/>
        <v>2</v>
      </c>
      <c r="BP7" s="214">
        <v>3.9351851851851852E-4</v>
      </c>
      <c r="BQ7" s="214">
        <f t="shared" si="1"/>
        <v>1.0300925925925924E-3</v>
      </c>
      <c r="BR7" s="214">
        <f t="shared" si="2"/>
        <v>1.6203703703703706E-4</v>
      </c>
      <c r="BS7" s="214">
        <f t="shared" si="3"/>
        <v>-6.944444444444448E-4</v>
      </c>
      <c r="BT7" s="218">
        <f>IF(AND(BG7="",AA7=""),100%, "TBD")</f>
        <v>1</v>
      </c>
      <c r="BU7" s="219">
        <f t="shared" si="16"/>
        <v>0</v>
      </c>
      <c r="BV7" s="217" t="str">
        <f t="shared" si="4"/>
        <v>-</v>
      </c>
      <c r="BW7" s="218" t="str">
        <f t="shared" si="17"/>
        <v>-</v>
      </c>
      <c r="BX7" s="218" t="str">
        <f t="shared" si="5"/>
        <v>-</v>
      </c>
      <c r="BY7" s="217">
        <f t="shared" si="6"/>
        <v>0</v>
      </c>
      <c r="BZ7" s="218">
        <f t="shared" si="7"/>
        <v>1</v>
      </c>
      <c r="CA7" s="218">
        <f t="shared" si="8"/>
        <v>0</v>
      </c>
      <c r="CB7" s="218"/>
      <c r="CC7" s="229">
        <v>6.3657407407407402E-4</v>
      </c>
      <c r="CD7" s="230" t="b">
        <v>1</v>
      </c>
      <c r="CE7" s="230" t="b">
        <v>1</v>
      </c>
      <c r="CF7" s="243" t="str" cm="1">
        <f t="array" ref="CF7">_xlfn.IFS(AND(AC7&lt;&gt;"", CI7&lt;&gt;"-"), TRUE, AND(AC7&lt;&gt;"", CI7="-"), FALSE, AC7="", "-")</f>
        <v>-</v>
      </c>
      <c r="CG7" s="243" t="s">
        <v>9801</v>
      </c>
      <c r="CH7" s="243" t="s">
        <v>9801</v>
      </c>
      <c r="CI7" s="244" t="str">
        <f t="shared" si="18"/>
        <v>-</v>
      </c>
      <c r="CJ7" s="236" t="b" cm="1">
        <f t="array" ref="CJ7">_xlfn.IFS(AND(AD7&lt;&gt;"", CM7&lt;&gt;"-"), TRUE, AND(AD7&lt;&gt;"", CM7="-"), FALSE, AD7="", "-")</f>
        <v>1</v>
      </c>
      <c r="CK7" s="230">
        <v>6.27</v>
      </c>
      <c r="CL7" s="230">
        <v>0.04</v>
      </c>
      <c r="CM7" s="255">
        <f t="shared" si="19"/>
        <v>0</v>
      </c>
      <c r="CN7" s="229">
        <v>3.9351851851851852E-4</v>
      </c>
      <c r="CO7" s="229">
        <f t="shared" si="20"/>
        <v>1.0300925925925924E-3</v>
      </c>
      <c r="CP7" s="229">
        <f t="shared" si="21"/>
        <v>1.6203703703703706E-4</v>
      </c>
      <c r="CQ7" s="229">
        <f t="shared" si="22"/>
        <v>-6.944444444444448E-4</v>
      </c>
      <c r="CR7" s="230" t="str">
        <f t="shared" si="23"/>
        <v>-</v>
      </c>
      <c r="CS7" s="259" t="str">
        <f t="shared" si="24"/>
        <v>-</v>
      </c>
      <c r="CT7" s="259" t="str">
        <f t="shared" si="25"/>
        <v>-</v>
      </c>
      <c r="CU7" s="230">
        <f t="shared" si="26"/>
        <v>-2</v>
      </c>
      <c r="CV7" s="259">
        <f t="shared" si="27"/>
        <v>0</v>
      </c>
      <c r="CW7" s="262">
        <f t="shared" si="28"/>
        <v>1</v>
      </c>
      <c r="CX7" s="230"/>
    </row>
    <row r="8" spans="1:102" s="95" customFormat="1" x14ac:dyDescent="0.2">
      <c r="A8" s="95" t="s">
        <v>992</v>
      </c>
      <c r="B8" s="95">
        <v>299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993</v>
      </c>
      <c r="I8" s="95" t="s">
        <v>994</v>
      </c>
      <c r="O8" s="95" t="s">
        <v>11034</v>
      </c>
      <c r="P8" s="95" t="s">
        <v>11034</v>
      </c>
      <c r="Q8" s="98">
        <v>1.3888888888888889E-4</v>
      </c>
      <c r="R8" s="98">
        <v>1.0300925925925926E-3</v>
      </c>
      <c r="S8" s="95">
        <v>0</v>
      </c>
      <c r="T8" s="95" t="s">
        <v>36</v>
      </c>
      <c r="U8" s="95" t="s">
        <v>37</v>
      </c>
      <c r="V8" s="95" t="s">
        <v>38</v>
      </c>
      <c r="Z8" s="95" t="b">
        <v>0</v>
      </c>
      <c r="AD8" s="95">
        <v>2</v>
      </c>
      <c r="AE8" s="95" t="s">
        <v>941</v>
      </c>
      <c r="AF8" s="95" t="s">
        <v>9550</v>
      </c>
      <c r="AH8" s="95" t="b">
        <v>0</v>
      </c>
      <c r="AI8" s="95" t="s">
        <v>11176</v>
      </c>
      <c r="AL8" s="207">
        <v>1.273148148148148E-4</v>
      </c>
      <c r="AM8" s="208" t="b">
        <v>1</v>
      </c>
      <c r="AN8" s="208" t="b">
        <v>1</v>
      </c>
      <c r="AO8" s="252" t="b">
        <f t="shared" si="9"/>
        <v>1</v>
      </c>
      <c r="AP8" s="209" t="s">
        <v>11366</v>
      </c>
      <c r="AQ8" s="210" t="str" cm="1">
        <f t="array" ref="AQ8">_xlfn.IFS(AND(AC8&lt;&gt;"", AR8&lt;&gt;"-"), TRUE, AND(AC8&lt;&gt;"", AR8="-"), FALSE, AC8="", "-")</f>
        <v>-</v>
      </c>
      <c r="AR8" s="210" t="s">
        <v>9801</v>
      </c>
      <c r="AS8" s="211" t="str">
        <f t="shared" si="10"/>
        <v>-</v>
      </c>
      <c r="AT8" s="207">
        <v>3.4722222222222224E-4</v>
      </c>
      <c r="AU8" s="207">
        <f t="shared" si="11"/>
        <v>4.7453703703703704E-4</v>
      </c>
      <c r="AV8" s="207">
        <f t="shared" si="12"/>
        <v>2.0833333333333335E-4</v>
      </c>
      <c r="AW8" s="207">
        <f t="shared" si="13"/>
        <v>-5.5555555555555566E-4</v>
      </c>
      <c r="AX8" s="212" cm="1">
        <f t="array" ref="AX8">_xlfn.IFS(AP8="-", "-", AND(AP8="asphalt",AA8=""),100%, AND(AP8&lt;&gt;"asphalt",AA8=""), 0%)</f>
        <v>1</v>
      </c>
      <c r="AY8" s="213">
        <f t="shared" si="29"/>
        <v>0</v>
      </c>
      <c r="AZ8" s="212" t="str">
        <f t="shared" si="30"/>
        <v>-</v>
      </c>
      <c r="BA8" s="212" t="str" cm="1">
        <f t="array" ref="BA8">_xlfn.IFS(OR(AC8="", AS8="-"), "-", AND(AC8&lt;&gt;"", OR(AS8&lt;&gt;"-", AS8&lt;&gt;0)), ABS(AS8/AC8-1))</f>
        <v>-</v>
      </c>
      <c r="BB8" s="208"/>
      <c r="BC8" s="214">
        <v>2.8935185185185189E-4</v>
      </c>
      <c r="BD8" s="215" t="b">
        <v>1</v>
      </c>
      <c r="BE8" s="215" t="b">
        <v>1</v>
      </c>
      <c r="BF8" s="215" t="b">
        <f t="shared" si="14"/>
        <v>1</v>
      </c>
      <c r="BG8" s="215"/>
      <c r="BH8" s="243" t="str" cm="1">
        <f t="array" ref="BH8">_xlfn.IFS(AND(AC8&lt;&gt;"", BK8&lt;&gt;"-"), TRUE, AND(AC8&lt;&gt;"", BK8="-"), FALSE, AC8="", "-")</f>
        <v>-</v>
      </c>
      <c r="BI8" s="243" t="s">
        <v>9801</v>
      </c>
      <c r="BJ8" s="243" t="s">
        <v>9801</v>
      </c>
      <c r="BK8" s="244" t="str">
        <f t="shared" si="31"/>
        <v>-</v>
      </c>
      <c r="BL8" s="217" t="b" cm="1">
        <f t="array" ref="BL8">_xlfn.IFS(AND(AD8&lt;&gt;"", BO8&lt;&gt;"-"), TRUE, AND(AD8&lt;&gt;"", BO8="-"), FALSE, AD8="", "-")</f>
        <v>1</v>
      </c>
      <c r="BM8" s="215">
        <v>4.57</v>
      </c>
      <c r="BN8" s="215">
        <v>0.15</v>
      </c>
      <c r="BO8" s="217">
        <f t="shared" si="15"/>
        <v>2</v>
      </c>
      <c r="BP8" s="214">
        <v>2.5462962962962961E-4</v>
      </c>
      <c r="BQ8" s="214">
        <f t="shared" si="1"/>
        <v>5.4398148148148144E-4</v>
      </c>
      <c r="BR8" s="214">
        <f t="shared" si="2"/>
        <v>1.1574074074074072E-4</v>
      </c>
      <c r="BS8" s="214">
        <f t="shared" si="3"/>
        <v>-4.8611111111111121E-4</v>
      </c>
      <c r="BT8" s="218">
        <f>IF(AND(BG8="",AA8=""),100%, "TBD")</f>
        <v>1</v>
      </c>
      <c r="BU8" s="219">
        <f t="shared" si="16"/>
        <v>0</v>
      </c>
      <c r="BV8" s="217" t="str">
        <f t="shared" si="4"/>
        <v>-</v>
      </c>
      <c r="BW8" s="218" t="str">
        <f t="shared" si="17"/>
        <v>-</v>
      </c>
      <c r="BX8" s="218" t="str">
        <f t="shared" si="5"/>
        <v>-</v>
      </c>
      <c r="BY8" s="217">
        <f t="shared" si="6"/>
        <v>0</v>
      </c>
      <c r="BZ8" s="218">
        <f t="shared" si="7"/>
        <v>1</v>
      </c>
      <c r="CA8" s="218">
        <f t="shared" si="8"/>
        <v>0</v>
      </c>
      <c r="CB8" s="218"/>
      <c r="CC8" s="229">
        <v>6.8287037037037025E-4</v>
      </c>
      <c r="CD8" s="230" t="b">
        <v>1</v>
      </c>
      <c r="CE8" s="230" t="b">
        <v>1</v>
      </c>
      <c r="CF8" s="243" t="str" cm="1">
        <f t="array" ref="CF8">_xlfn.IFS(AND(AC8&lt;&gt;"", CI8&lt;&gt;"-"), TRUE, AND(AC8&lt;&gt;"", CI8="-"), FALSE, AC8="", "-")</f>
        <v>-</v>
      </c>
      <c r="CG8" s="243" t="s">
        <v>9801</v>
      </c>
      <c r="CH8" s="243" t="s">
        <v>9801</v>
      </c>
      <c r="CI8" s="244" t="str">
        <f t="shared" si="18"/>
        <v>-</v>
      </c>
      <c r="CJ8" s="236" t="b" cm="1">
        <f t="array" ref="CJ8">_xlfn.IFS(AND(AD8&lt;&gt;"", CM8&lt;&gt;"-"), TRUE, AND(AD8&lt;&gt;"", CM8="-"), FALSE, AD8="", "-")</f>
        <v>1</v>
      </c>
      <c r="CK8" s="230">
        <v>7.43</v>
      </c>
      <c r="CL8" s="230">
        <v>0.31</v>
      </c>
      <c r="CM8" s="255">
        <f t="shared" si="19"/>
        <v>2</v>
      </c>
      <c r="CN8" s="229">
        <v>2.3148148148148146E-4</v>
      </c>
      <c r="CO8" s="229">
        <f t="shared" si="20"/>
        <v>9.1435185185185174E-4</v>
      </c>
      <c r="CP8" s="229">
        <f t="shared" si="21"/>
        <v>9.2592592592592574E-5</v>
      </c>
      <c r="CQ8" s="229">
        <f t="shared" si="22"/>
        <v>-1.1574074074074091E-4</v>
      </c>
      <c r="CR8" s="230" t="str">
        <f t="shared" si="23"/>
        <v>-</v>
      </c>
      <c r="CS8" s="259" t="str">
        <f t="shared" si="24"/>
        <v>-</v>
      </c>
      <c r="CT8" s="259" t="str">
        <f t="shared" si="25"/>
        <v>-</v>
      </c>
      <c r="CU8" s="230">
        <f t="shared" si="26"/>
        <v>0</v>
      </c>
      <c r="CV8" s="259">
        <f t="shared" si="27"/>
        <v>1</v>
      </c>
      <c r="CW8" s="262">
        <f t="shared" si="28"/>
        <v>0</v>
      </c>
      <c r="CX8" s="230"/>
    </row>
    <row r="9" spans="1:102" s="95" customFormat="1" x14ac:dyDescent="0.2">
      <c r="A9" s="95" t="s">
        <v>1049</v>
      </c>
      <c r="B9" s="95">
        <v>316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1050</v>
      </c>
      <c r="I9" s="95" t="s">
        <v>1051</v>
      </c>
      <c r="O9" s="95" t="s">
        <v>11033</v>
      </c>
      <c r="P9" s="95" t="s">
        <v>11033</v>
      </c>
      <c r="Q9" s="98">
        <v>1.6203703703703703E-4</v>
      </c>
      <c r="R9" s="98">
        <v>1.5624999999999999E-3</v>
      </c>
      <c r="S9" s="95">
        <v>0</v>
      </c>
      <c r="T9" s="95" t="s">
        <v>36</v>
      </c>
      <c r="U9" s="95" t="s">
        <v>37</v>
      </c>
      <c r="V9" s="95" t="s">
        <v>38</v>
      </c>
      <c r="Z9" s="95" t="b">
        <v>0</v>
      </c>
      <c r="AD9" s="95">
        <v>4</v>
      </c>
      <c r="AE9" s="95" t="s">
        <v>941</v>
      </c>
      <c r="AF9" s="95" t="s">
        <v>9550</v>
      </c>
      <c r="AH9" s="95" t="b">
        <v>0</v>
      </c>
      <c r="AI9" s="95" t="s">
        <v>11177</v>
      </c>
      <c r="AL9" s="207">
        <v>1.7361111111111112E-4</v>
      </c>
      <c r="AM9" s="208" t="b">
        <v>1</v>
      </c>
      <c r="AN9" s="208" t="b">
        <v>0</v>
      </c>
      <c r="AO9" s="252" t="b">
        <f t="shared" si="9"/>
        <v>0</v>
      </c>
      <c r="AP9" s="210" t="s">
        <v>9801</v>
      </c>
      <c r="AQ9" s="210" t="str" cm="1">
        <f t="array" ref="AQ9">_xlfn.IFS(AND(AC9&lt;&gt;"", AR9&lt;&gt;"-"), TRUE, AND(AC9&lt;&gt;"", AR9="-"), FALSE, AC9="", "-")</f>
        <v>-</v>
      </c>
      <c r="AR9" s="210" t="s">
        <v>9801</v>
      </c>
      <c r="AS9" s="211" t="str">
        <f t="shared" si="10"/>
        <v>-</v>
      </c>
      <c r="AT9" s="207">
        <v>2.8935185185185189E-4</v>
      </c>
      <c r="AU9" s="207">
        <f t="shared" si="11"/>
        <v>4.6296296296296298E-4</v>
      </c>
      <c r="AV9" s="207">
        <f t="shared" si="12"/>
        <v>1.2731481481481486E-4</v>
      </c>
      <c r="AW9" s="207">
        <f t="shared" si="13"/>
        <v>-1.0995370370370369E-3</v>
      </c>
      <c r="AX9" s="212" t="str" cm="1">
        <f t="array" ref="AX9">_xlfn.IFS(AP9="-", "-", AND(AP9="asphalt",AA9=""),100%, AND(AP9&lt;&gt;"asphalt",AA9=""), 0%)</f>
        <v>-</v>
      </c>
      <c r="AY9" s="213" t="str">
        <f t="shared" si="29"/>
        <v>-</v>
      </c>
      <c r="AZ9" s="212" t="str">
        <f t="shared" si="30"/>
        <v>-</v>
      </c>
      <c r="BA9" s="212" t="str" cm="1">
        <f t="array" ref="BA9">_xlfn.IFS(OR(AC9="", AS9="-"), "-", AND(AC9&lt;&gt;"", OR(AS9&lt;&gt;"-", AS9&lt;&gt;0)), ABS(AS9/AC9-1))</f>
        <v>-</v>
      </c>
      <c r="BB9" s="208"/>
      <c r="BC9" s="214">
        <v>3.5879629629629635E-4</v>
      </c>
      <c r="BD9" s="215" t="b">
        <v>1</v>
      </c>
      <c r="BE9" s="215" t="b">
        <v>1</v>
      </c>
      <c r="BF9" s="215" t="b">
        <f t="shared" si="14"/>
        <v>1</v>
      </c>
      <c r="BG9" s="215"/>
      <c r="BH9" s="243" t="str" cm="1">
        <f t="array" ref="BH9">_xlfn.IFS(AND(AC9&lt;&gt;"", BK9&lt;&gt;"-"), TRUE, AND(AC9&lt;&gt;"", BK9="-"), FALSE, AC9="", "-")</f>
        <v>-</v>
      </c>
      <c r="BI9" s="243" t="s">
        <v>9801</v>
      </c>
      <c r="BJ9" s="243" t="s">
        <v>9801</v>
      </c>
      <c r="BK9" s="244" t="str">
        <f t="shared" si="31"/>
        <v>-</v>
      </c>
      <c r="BL9" s="217" t="b" cm="1">
        <f t="array" ref="BL9">_xlfn.IFS(AND(AD9&lt;&gt;"", BO9&lt;&gt;"-"), TRUE, AND(AD9&lt;&gt;"", BO9="-"), FALSE, AD9="", "-")</f>
        <v>1</v>
      </c>
      <c r="BM9" s="215">
        <v>1.82</v>
      </c>
      <c r="BN9" s="215">
        <v>0.26</v>
      </c>
      <c r="BO9" s="217">
        <f t="shared" si="15"/>
        <v>8</v>
      </c>
      <c r="BP9" s="214">
        <v>6.2500000000000001E-4</v>
      </c>
      <c r="BQ9" s="214">
        <f t="shared" si="1"/>
        <v>9.8379629629629642E-4</v>
      </c>
      <c r="BR9" s="214">
        <f t="shared" si="2"/>
        <v>4.6296296296296298E-4</v>
      </c>
      <c r="BS9" s="214">
        <f t="shared" si="3"/>
        <v>-5.7870370370370345E-4</v>
      </c>
      <c r="BT9" s="218">
        <f>IF(AND(BG9="",AA9=""),100%, "TBD")</f>
        <v>1</v>
      </c>
      <c r="BU9" s="219">
        <f t="shared" si="16"/>
        <v>0</v>
      </c>
      <c r="BV9" s="217" t="str">
        <f t="shared" si="4"/>
        <v>-</v>
      </c>
      <c r="BW9" s="218" t="str">
        <f t="shared" si="17"/>
        <v>-</v>
      </c>
      <c r="BX9" s="218" t="str">
        <f t="shared" si="5"/>
        <v>-</v>
      </c>
      <c r="BY9" s="217">
        <f t="shared" si="6"/>
        <v>4</v>
      </c>
      <c r="BZ9" s="218">
        <f t="shared" si="7"/>
        <v>0</v>
      </c>
      <c r="CA9" s="218">
        <f t="shared" si="8"/>
        <v>1</v>
      </c>
      <c r="CB9" s="218"/>
      <c r="CC9" s="229">
        <v>4.9768518518518521E-4</v>
      </c>
      <c r="CD9" s="230" t="b">
        <v>1</v>
      </c>
      <c r="CE9" s="230" t="b">
        <v>1</v>
      </c>
      <c r="CF9" s="243" t="str" cm="1">
        <f t="array" ref="CF9">_xlfn.IFS(AND(AC9&lt;&gt;"", CI9&lt;&gt;"-"), TRUE, AND(AC9&lt;&gt;"", CI9="-"), FALSE, AC9="", "-")</f>
        <v>-</v>
      </c>
      <c r="CG9" s="243" t="s">
        <v>9801</v>
      </c>
      <c r="CH9" s="243" t="s">
        <v>9801</v>
      </c>
      <c r="CI9" s="244" t="str">
        <f t="shared" si="18"/>
        <v>-</v>
      </c>
      <c r="CJ9" s="236" t="b" cm="1">
        <f t="array" ref="CJ9">_xlfn.IFS(AND(AD9&lt;&gt;"", CM9&lt;&gt;"-"), TRUE, AND(AD9&lt;&gt;"", CM9="-"), FALSE, AD9="", "-")</f>
        <v>1</v>
      </c>
      <c r="CK9" s="230">
        <v>2.39</v>
      </c>
      <c r="CL9" s="230">
        <v>0.16</v>
      </c>
      <c r="CM9" s="255">
        <f t="shared" si="19"/>
        <v>4</v>
      </c>
      <c r="CN9" s="229">
        <v>1.9675925925925926E-4</v>
      </c>
      <c r="CO9" s="229">
        <f t="shared" si="20"/>
        <v>6.9444444444444447E-4</v>
      </c>
      <c r="CP9" s="229">
        <f t="shared" si="21"/>
        <v>3.4722222222222229E-5</v>
      </c>
      <c r="CQ9" s="229">
        <f t="shared" si="22"/>
        <v>-8.680555555555554E-4</v>
      </c>
      <c r="CR9" s="230" t="str">
        <f t="shared" si="23"/>
        <v>-</v>
      </c>
      <c r="CS9" s="259" t="str">
        <f t="shared" si="24"/>
        <v>-</v>
      </c>
      <c r="CT9" s="259" t="str">
        <f t="shared" si="25"/>
        <v>-</v>
      </c>
      <c r="CU9" s="230">
        <f t="shared" si="26"/>
        <v>0</v>
      </c>
      <c r="CV9" s="259">
        <f t="shared" si="27"/>
        <v>1</v>
      </c>
      <c r="CW9" s="262">
        <f t="shared" si="28"/>
        <v>0</v>
      </c>
      <c r="CX9" s="230"/>
    </row>
    <row r="10" spans="1:102" s="95" customFormat="1" x14ac:dyDescent="0.2">
      <c r="A10" s="95" t="s">
        <v>1182</v>
      </c>
      <c r="B10" s="95">
        <v>356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1183</v>
      </c>
      <c r="I10" s="95" t="s">
        <v>1184</v>
      </c>
      <c r="J10" s="95" t="s">
        <v>1185</v>
      </c>
      <c r="O10" s="95" t="s">
        <v>10950</v>
      </c>
      <c r="P10" s="95" t="s">
        <v>10950</v>
      </c>
      <c r="Q10" s="98">
        <v>2.4305555555555552E-4</v>
      </c>
      <c r="R10" s="98">
        <v>2.8935185185185189E-4</v>
      </c>
      <c r="S10" s="95">
        <v>0</v>
      </c>
      <c r="T10" s="95" t="s">
        <v>36</v>
      </c>
      <c r="U10" s="95" t="s">
        <v>37</v>
      </c>
      <c r="V10" s="95" t="s">
        <v>38</v>
      </c>
      <c r="Z10" s="95" t="b">
        <v>0</v>
      </c>
      <c r="AC10" s="95">
        <v>13</v>
      </c>
      <c r="AE10" s="95" t="s">
        <v>1117</v>
      </c>
      <c r="AF10" s="95" t="s">
        <v>9541</v>
      </c>
      <c r="AH10" s="95" t="b">
        <v>0</v>
      </c>
      <c r="AI10" s="95" t="s">
        <v>11178</v>
      </c>
      <c r="AL10" s="207">
        <v>9.2592592592592588E-5</v>
      </c>
      <c r="AM10" s="208" t="b">
        <v>1</v>
      </c>
      <c r="AN10" s="208" t="b">
        <v>1</v>
      </c>
      <c r="AO10" s="252" t="b">
        <f t="shared" si="9"/>
        <v>1</v>
      </c>
      <c r="AP10" s="209" t="s">
        <v>11367</v>
      </c>
      <c r="AQ10" s="253" t="b" cm="1">
        <f t="array" ref="AQ10">_xlfn.IFS(AND(AC10&lt;&gt;"", AR10&lt;&gt;"-"), TRUE, AND(AC10&lt;&gt;"", AR10="-"), FALSE, AC10="", "-")</f>
        <v>1</v>
      </c>
      <c r="AR10" s="222">
        <v>0.02</v>
      </c>
      <c r="AS10" s="221">
        <f t="shared" si="10"/>
        <v>1.1457628381751035</v>
      </c>
      <c r="AT10" s="207">
        <v>1.1574074074074073E-4</v>
      </c>
      <c r="AU10" s="207">
        <f t="shared" si="11"/>
        <v>2.0833333333333332E-4</v>
      </c>
      <c r="AV10" s="207">
        <f t="shared" si="12"/>
        <v>-1.273148148148148E-4</v>
      </c>
      <c r="AW10" s="207">
        <f t="shared" si="13"/>
        <v>-8.101851851851857E-5</v>
      </c>
      <c r="AX10" s="212" cm="1">
        <f t="array" ref="AX10">_xlfn.IFS(AP10="-", "-", AND(AP10="asphalt",AA10=""),100%, AND(AP10&lt;&gt;"asphalt",AA10=""), 0%)</f>
        <v>0</v>
      </c>
      <c r="AY10" s="213">
        <f t="shared" si="29"/>
        <v>1</v>
      </c>
      <c r="AZ10" s="212">
        <f t="shared" si="30"/>
        <v>8.8135602936546431E-2</v>
      </c>
      <c r="BA10" s="212" cm="1">
        <f t="array" ref="BA10">_xlfn.IFS(OR(AC10="", AS10="-"), "-", AND(AC10&lt;&gt;"", OR(AS10&lt;&gt;"-", AS10&lt;&gt;0)), ABS(AS10/AC10-1))</f>
        <v>0.91186439706345357</v>
      </c>
      <c r="BB10" s="208"/>
      <c r="BC10" s="214">
        <v>7.6388888888888893E-4</v>
      </c>
      <c r="BD10" s="215" t="b">
        <v>1</v>
      </c>
      <c r="BE10" s="215" t="b">
        <v>1</v>
      </c>
      <c r="BF10" s="215" t="b">
        <f t="shared" si="14"/>
        <v>1</v>
      </c>
      <c r="BG10" s="215" t="s">
        <v>3516</v>
      </c>
      <c r="BH10" s="243" t="b" cm="1">
        <f t="array" ref="BH10">_xlfn.IFS(AND(AC10&lt;&gt;"", BK10&lt;&gt;"-"), TRUE, AND(AC10&lt;&gt;"", BK10="-"), FALSE, AC10="", "-")</f>
        <v>1</v>
      </c>
      <c r="BI10" s="243">
        <v>6.26</v>
      </c>
      <c r="BJ10" s="243">
        <v>1.29</v>
      </c>
      <c r="BK10" s="244">
        <f t="shared" si="31"/>
        <v>12</v>
      </c>
      <c r="BL10" s="217" t="str" cm="1">
        <f t="array" ref="BL10">_xlfn.IFS(AND(AD10&lt;&gt;"", BO10&lt;&gt;"-"), TRUE, AND(AD10&lt;&gt;"", BO10="-"), FALSE, AD10="", "-")</f>
        <v>-</v>
      </c>
      <c r="BM10" s="215" t="s">
        <v>9801</v>
      </c>
      <c r="BN10" s="215" t="s">
        <v>9801</v>
      </c>
      <c r="BO10" s="217" t="str">
        <f t="shared" si="15"/>
        <v>-</v>
      </c>
      <c r="BP10" s="214">
        <v>3.8194444444444446E-4</v>
      </c>
      <c r="BQ10" s="214">
        <f t="shared" si="1"/>
        <v>1.1458333333333333E-3</v>
      </c>
      <c r="BR10" s="214">
        <f t="shared" si="2"/>
        <v>1.3888888888888894E-4</v>
      </c>
      <c r="BS10" s="214">
        <f t="shared" si="3"/>
        <v>8.564814814814815E-4</v>
      </c>
      <c r="BT10" s="218">
        <v>0</v>
      </c>
      <c r="BU10" s="219">
        <f t="shared" si="16"/>
        <v>1</v>
      </c>
      <c r="BV10" s="217">
        <f t="shared" si="4"/>
        <v>-1</v>
      </c>
      <c r="BW10" s="218">
        <f t="shared" si="17"/>
        <v>0.92307692307692313</v>
      </c>
      <c r="BX10" s="218">
        <f t="shared" si="5"/>
        <v>7.6923076923076872E-2</v>
      </c>
      <c r="BY10" s="217" t="str">
        <f t="shared" si="6"/>
        <v>-</v>
      </c>
      <c r="BZ10" s="218" t="str">
        <f t="shared" si="7"/>
        <v>-</v>
      </c>
      <c r="CA10" s="218" t="str">
        <f t="shared" si="8"/>
        <v>-</v>
      </c>
      <c r="CB10" s="218"/>
      <c r="CC10" s="229">
        <v>1.1689814814814816E-3</v>
      </c>
      <c r="CD10" s="230" t="b">
        <v>1</v>
      </c>
      <c r="CE10" s="230" t="b">
        <v>1</v>
      </c>
      <c r="CF10" s="243" t="b" cm="1">
        <f t="array" ref="CF10">_xlfn.IFS(AND(AC10&lt;&gt;"", CI10&lt;&gt;"-"), TRUE, AND(AC10&lt;&gt;"", CI10="-"), FALSE, AC10="", "-")</f>
        <v>1</v>
      </c>
      <c r="CG10" s="243">
        <v>7.37</v>
      </c>
      <c r="CH10" s="243">
        <v>1.52</v>
      </c>
      <c r="CI10" s="244">
        <f t="shared" si="18"/>
        <v>12</v>
      </c>
      <c r="CJ10" s="236" t="str" cm="1">
        <f t="array" ref="CJ10">_xlfn.IFS(AND(AD10&lt;&gt;"", CM10&lt;&gt;"-"), TRUE, AND(AD10&lt;&gt;"", CM10="-"), FALSE, AD10="", "-")</f>
        <v>-</v>
      </c>
      <c r="CK10" s="230" t="s">
        <v>9801</v>
      </c>
      <c r="CL10" s="230" t="s">
        <v>9801</v>
      </c>
      <c r="CM10" s="255" t="str">
        <f t="shared" si="19"/>
        <v>-</v>
      </c>
      <c r="CN10" s="229">
        <v>2.0833333333333335E-4</v>
      </c>
      <c r="CO10" s="229">
        <f t="shared" si="20"/>
        <v>1.3773148148148149E-3</v>
      </c>
      <c r="CP10" s="229">
        <f t="shared" si="21"/>
        <v>-3.4722222222222175E-5</v>
      </c>
      <c r="CQ10" s="229">
        <f t="shared" si="22"/>
        <v>1.0879629629629631E-3</v>
      </c>
      <c r="CR10" s="230">
        <f t="shared" si="23"/>
        <v>-1</v>
      </c>
      <c r="CS10" s="259">
        <f t="shared" si="24"/>
        <v>0.92307692307692313</v>
      </c>
      <c r="CT10" s="259">
        <f t="shared" si="25"/>
        <v>7.6923076923076872E-2</v>
      </c>
      <c r="CU10" s="230" t="str">
        <f t="shared" si="26"/>
        <v>-</v>
      </c>
      <c r="CV10" s="259" t="str">
        <f t="shared" si="27"/>
        <v>-</v>
      </c>
      <c r="CW10" s="262" t="str">
        <f t="shared" si="28"/>
        <v>-</v>
      </c>
      <c r="CX10" s="230"/>
    </row>
    <row r="11" spans="1:102" s="95" customFormat="1" x14ac:dyDescent="0.2">
      <c r="A11" s="95" t="s">
        <v>1228</v>
      </c>
      <c r="B11" s="95">
        <v>370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1229</v>
      </c>
      <c r="I11" s="95" t="s">
        <v>1230</v>
      </c>
      <c r="J11" s="95" t="s">
        <v>1231</v>
      </c>
      <c r="O11" s="95" t="s">
        <v>11032</v>
      </c>
      <c r="P11" s="95" t="s">
        <v>11032</v>
      </c>
      <c r="Q11" s="98">
        <v>4.2824074074074075E-4</v>
      </c>
      <c r="R11" s="98">
        <v>2.0138888888888888E-3</v>
      </c>
      <c r="S11" s="95">
        <v>0</v>
      </c>
      <c r="T11" s="95" t="s">
        <v>36</v>
      </c>
      <c r="U11" s="95" t="s">
        <v>37</v>
      </c>
      <c r="V11" s="95" t="s">
        <v>38</v>
      </c>
      <c r="Z11" s="95" t="b">
        <v>0</v>
      </c>
      <c r="AC11" s="95">
        <v>8</v>
      </c>
      <c r="AE11" s="95" t="s">
        <v>1117</v>
      </c>
      <c r="AF11" s="95" t="s">
        <v>9541</v>
      </c>
      <c r="AH11" s="95" t="b">
        <v>0</v>
      </c>
      <c r="AI11" s="95" t="s">
        <v>11179</v>
      </c>
      <c r="AL11" s="207">
        <v>1.0416666666666667E-4</v>
      </c>
      <c r="AM11" s="208" t="b">
        <v>1</v>
      </c>
      <c r="AN11" s="208" t="b">
        <v>1</v>
      </c>
      <c r="AO11" s="252" t="b">
        <f t="shared" si="9"/>
        <v>1</v>
      </c>
      <c r="AP11" s="209" t="s">
        <v>11376</v>
      </c>
      <c r="AQ11" s="253" t="b" cm="1">
        <f t="array" ref="AQ11">_xlfn.IFS(AND(AC11&lt;&gt;"", AR11&lt;&gt;"-"), TRUE, AND(AC11&lt;&gt;"", AR11="-"), FALSE, AC11="", "-")</f>
        <v>1</v>
      </c>
      <c r="AR11" s="222">
        <v>0.05</v>
      </c>
      <c r="AS11" s="221">
        <f t="shared" si="10"/>
        <v>2.8624052261117479</v>
      </c>
      <c r="AT11" s="207">
        <v>9.2592592592592588E-5</v>
      </c>
      <c r="AU11" s="207">
        <f t="shared" si="11"/>
        <v>1.9675925925925926E-4</v>
      </c>
      <c r="AV11" s="207">
        <f t="shared" si="12"/>
        <v>-3.3564814814814818E-4</v>
      </c>
      <c r="AW11" s="207">
        <f t="shared" si="13"/>
        <v>-1.8171296296296295E-3</v>
      </c>
      <c r="AX11" s="212" cm="1">
        <f t="array" ref="AX11">_xlfn.IFS(AP11="-", "-", AND(AP11="asphalt",AA11=""),100%, AND(AP11&lt;&gt;"asphalt",AA11=""), 0%)</f>
        <v>0</v>
      </c>
      <c r="AY11" s="213">
        <f t="shared" si="29"/>
        <v>1</v>
      </c>
      <c r="AZ11" s="212">
        <f t="shared" si="30"/>
        <v>0.35780065326396848</v>
      </c>
      <c r="BA11" s="212" cm="1">
        <f t="array" ref="BA11">_xlfn.IFS(OR(AC11="", AS11="-"), "-", AND(AC11&lt;&gt;"", OR(AS11&lt;&gt;"-", AS11&lt;&gt;0)), ABS(AS11/AC11-1))</f>
        <v>0.64219934673603152</v>
      </c>
      <c r="BB11" s="208"/>
      <c r="BC11" s="214">
        <v>6.2500000000000001E-4</v>
      </c>
      <c r="BD11" s="215" t="b">
        <v>0</v>
      </c>
      <c r="BE11" s="215" t="s">
        <v>9801</v>
      </c>
      <c r="BF11" s="215" t="b">
        <f t="shared" si="14"/>
        <v>0</v>
      </c>
      <c r="BG11" s="215" t="s">
        <v>9801</v>
      </c>
      <c r="BH11" s="243" t="b" cm="1">
        <f t="array" ref="BH11">_xlfn.IFS(AND(AC11&lt;&gt;"", BK11&lt;&gt;"-"), TRUE, AND(AC11&lt;&gt;"", BK11="-"), FALSE, AC11="", "-")</f>
        <v>0</v>
      </c>
      <c r="BI11" s="243" t="s">
        <v>9801</v>
      </c>
      <c r="BJ11" s="243" t="s">
        <v>9801</v>
      </c>
      <c r="BK11" s="244" t="str">
        <f t="shared" si="31"/>
        <v>-</v>
      </c>
      <c r="BL11" s="217" t="str" cm="1">
        <f t="array" ref="BL11">_xlfn.IFS(AND(AD11&lt;&gt;"", BO11&lt;&gt;"-"), TRUE, AND(AD11&lt;&gt;"", BO11="-"), FALSE, AD11="", "-")</f>
        <v>-</v>
      </c>
      <c r="BM11" s="215" t="s">
        <v>9801</v>
      </c>
      <c r="BN11" s="215" t="s">
        <v>9801</v>
      </c>
      <c r="BO11" s="217" t="str">
        <f t="shared" si="15"/>
        <v>-</v>
      </c>
      <c r="BP11" s="214"/>
      <c r="BQ11" s="214">
        <f t="shared" si="1"/>
        <v>6.2500000000000001E-4</v>
      </c>
      <c r="BR11" s="214">
        <f t="shared" si="2"/>
        <v>-4.2824074074074075E-4</v>
      </c>
      <c r="BS11" s="214">
        <f t="shared" si="3"/>
        <v>-1.3888888888888887E-3</v>
      </c>
      <c r="BT11" s="218" t="s">
        <v>9801</v>
      </c>
      <c r="BU11" s="219" t="s">
        <v>9801</v>
      </c>
      <c r="BV11" s="217" t="str">
        <f t="shared" si="4"/>
        <v>-</v>
      </c>
      <c r="BW11" s="218" t="str">
        <f t="shared" si="17"/>
        <v>-</v>
      </c>
      <c r="BX11" s="218" t="str">
        <f t="shared" si="5"/>
        <v>-</v>
      </c>
      <c r="BY11" s="217" t="str">
        <f t="shared" si="6"/>
        <v>-</v>
      </c>
      <c r="BZ11" s="218" t="str">
        <f t="shared" si="7"/>
        <v>-</v>
      </c>
      <c r="CA11" s="218" t="str">
        <f t="shared" si="8"/>
        <v>-</v>
      </c>
      <c r="CB11" s="218" t="s">
        <v>11395</v>
      </c>
      <c r="CC11" s="229">
        <v>6.2500000000000001E-4</v>
      </c>
      <c r="CD11" s="230" t="b">
        <v>1</v>
      </c>
      <c r="CE11" s="230" t="b">
        <v>1</v>
      </c>
      <c r="CF11" s="243" t="b" cm="1">
        <f t="array" ref="CF11">_xlfn.IFS(AND(AC11&lt;&gt;"", CI11&lt;&gt;"-"), TRUE, AND(AC11&lt;&gt;"", CI11="-"), FALSE, AC11="", "-")</f>
        <v>1</v>
      </c>
      <c r="CG11" s="243">
        <v>7.58</v>
      </c>
      <c r="CH11" s="243">
        <v>1.17</v>
      </c>
      <c r="CI11" s="244">
        <f t="shared" si="18"/>
        <v>9</v>
      </c>
      <c r="CJ11" s="236" t="str" cm="1">
        <f t="array" ref="CJ11">_xlfn.IFS(AND(AD11&lt;&gt;"", CM11&lt;&gt;"-"), TRUE, AND(AD11&lt;&gt;"", CM11="-"), FALSE, AD11="", "-")</f>
        <v>-</v>
      </c>
      <c r="CK11" s="230" t="s">
        <v>9801</v>
      </c>
      <c r="CL11" s="230" t="s">
        <v>9801</v>
      </c>
      <c r="CM11" s="255" t="str">
        <f t="shared" si="19"/>
        <v>-</v>
      </c>
      <c r="CN11" s="229">
        <v>3.5879629629629635E-4</v>
      </c>
      <c r="CO11" s="229">
        <f t="shared" si="20"/>
        <v>9.8379629629629642E-4</v>
      </c>
      <c r="CP11" s="229">
        <f t="shared" si="21"/>
        <v>-6.9444444444444404E-5</v>
      </c>
      <c r="CQ11" s="229">
        <f t="shared" si="22"/>
        <v>-1.0300925925925924E-3</v>
      </c>
      <c r="CR11" s="230">
        <f t="shared" si="23"/>
        <v>1</v>
      </c>
      <c r="CS11" s="259">
        <f t="shared" si="24"/>
        <v>0.875</v>
      </c>
      <c r="CT11" s="259">
        <f t="shared" si="25"/>
        <v>0.125</v>
      </c>
      <c r="CU11" s="230" t="str">
        <f t="shared" si="26"/>
        <v>-</v>
      </c>
      <c r="CV11" s="259" t="str">
        <f t="shared" si="27"/>
        <v>-</v>
      </c>
      <c r="CW11" s="262" t="str">
        <f t="shared" si="28"/>
        <v>-</v>
      </c>
      <c r="CX11" s="230"/>
    </row>
    <row r="12" spans="1:102" s="95" customFormat="1" x14ac:dyDescent="0.2">
      <c r="A12" s="95" t="s">
        <v>1236</v>
      </c>
      <c r="B12" s="95">
        <v>372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149</v>
      </c>
      <c r="I12" s="95" t="s">
        <v>1237</v>
      </c>
      <c r="O12" s="95" t="s">
        <v>11031</v>
      </c>
      <c r="P12" s="95" t="s">
        <v>11030</v>
      </c>
      <c r="Q12" s="98">
        <v>1.0416666666666667E-4</v>
      </c>
      <c r="R12" s="98">
        <v>5.4398148148148144E-4</v>
      </c>
      <c r="S12" s="95">
        <v>0</v>
      </c>
      <c r="T12" s="95" t="s">
        <v>36</v>
      </c>
      <c r="U12" s="95" t="s">
        <v>37</v>
      </c>
      <c r="V12" s="95" t="s">
        <v>38</v>
      </c>
      <c r="Z12" s="95" t="b">
        <v>0</v>
      </c>
      <c r="AD12" s="95">
        <v>6</v>
      </c>
      <c r="AE12" s="95" t="s">
        <v>1117</v>
      </c>
      <c r="AF12" s="95" t="s">
        <v>9541</v>
      </c>
      <c r="AH12" s="95" t="b">
        <v>0</v>
      </c>
      <c r="AI12" s="95" t="s">
        <v>11180</v>
      </c>
      <c r="AL12" s="207">
        <v>1.273148148148148E-4</v>
      </c>
      <c r="AM12" s="208" t="b">
        <v>1</v>
      </c>
      <c r="AN12" s="208" t="b">
        <v>1</v>
      </c>
      <c r="AO12" s="252" t="b">
        <f t="shared" si="9"/>
        <v>1</v>
      </c>
      <c r="AP12" s="209" t="s">
        <v>11376</v>
      </c>
      <c r="AQ12" s="210" t="str" cm="1">
        <f t="array" ref="AQ12">_xlfn.IFS(AND(AC12&lt;&gt;"", AR12&lt;&gt;"-"), TRUE, AND(AC12&lt;&gt;"", AR12="-"), FALSE, AC12="", "-")</f>
        <v>-</v>
      </c>
      <c r="AR12" s="222">
        <v>0.05</v>
      </c>
      <c r="AS12" s="221">
        <f t="shared" si="10"/>
        <v>2.8624052261117479</v>
      </c>
      <c r="AT12" s="207">
        <v>1.9675925925925926E-4</v>
      </c>
      <c r="AU12" s="207">
        <f t="shared" si="11"/>
        <v>3.2407407407407406E-4</v>
      </c>
      <c r="AV12" s="207">
        <f t="shared" si="12"/>
        <v>9.2592592592592588E-5</v>
      </c>
      <c r="AW12" s="207">
        <f t="shared" si="13"/>
        <v>-2.1990740740740738E-4</v>
      </c>
      <c r="AX12" s="212" cm="1">
        <f t="array" ref="AX12">_xlfn.IFS(AP12="-", "-", AND(AP12="asphalt",AA12=""),100%, AND(AP12&lt;&gt;"asphalt",AA12=""), 0%)</f>
        <v>0</v>
      </c>
      <c r="AY12" s="213">
        <f t="shared" si="29"/>
        <v>1</v>
      </c>
      <c r="AZ12" s="212" t="str">
        <f t="shared" si="30"/>
        <v>-</v>
      </c>
      <c r="BA12" s="212" t="str" cm="1">
        <f t="array" ref="BA12">_xlfn.IFS(OR(AC12="", AS12="-"), "-", AND(AC12&lt;&gt;"", OR(AS12&lt;&gt;"-", AS12&lt;&gt;0)), ABS(AS12/AC12-1))</f>
        <v>-</v>
      </c>
      <c r="BB12" s="208"/>
      <c r="BC12" s="214">
        <v>3.9351851851851852E-4</v>
      </c>
      <c r="BD12" s="215" t="b">
        <v>1</v>
      </c>
      <c r="BE12" s="215" t="b">
        <v>1</v>
      </c>
      <c r="BF12" s="215" t="b">
        <f t="shared" si="14"/>
        <v>1</v>
      </c>
      <c r="BG12" s="215" t="s">
        <v>3516</v>
      </c>
      <c r="BH12" s="243" t="str" cm="1">
        <f t="array" ref="BH12">_xlfn.IFS(AND(AC12&lt;&gt;"", BK12&lt;&gt;"-"), TRUE, AND(AC12&lt;&gt;"", BK12="-"), FALSE, AC12="", "-")</f>
        <v>-</v>
      </c>
      <c r="BI12" s="243" t="s">
        <v>9801</v>
      </c>
      <c r="BJ12" s="243" t="s">
        <v>9801</v>
      </c>
      <c r="BK12" s="244" t="str">
        <f t="shared" si="31"/>
        <v>-</v>
      </c>
      <c r="BL12" s="217" t="b" cm="1">
        <f t="array" ref="BL12">_xlfn.IFS(AND(AD12&lt;&gt;"", BO12&lt;&gt;"-"), TRUE, AND(AD12&lt;&gt;"", BO12="-"), FALSE, AD12="", "-")</f>
        <v>1</v>
      </c>
      <c r="BM12" s="215">
        <v>4.07</v>
      </c>
      <c r="BN12" s="215">
        <v>0.21</v>
      </c>
      <c r="BO12" s="217">
        <f t="shared" si="15"/>
        <v>3</v>
      </c>
      <c r="BP12" s="214">
        <v>6.3657407407407402E-4</v>
      </c>
      <c r="BQ12" s="214">
        <f t="shared" si="1"/>
        <v>1.0300925925925924E-3</v>
      </c>
      <c r="BR12" s="214">
        <f t="shared" si="2"/>
        <v>5.3240740740740733E-4</v>
      </c>
      <c r="BS12" s="214">
        <f t="shared" si="3"/>
        <v>4.8611111111111099E-4</v>
      </c>
      <c r="BT12" s="218">
        <v>0</v>
      </c>
      <c r="BU12" s="219">
        <f t="shared" si="16"/>
        <v>1</v>
      </c>
      <c r="BV12" s="217" t="str">
        <f t="shared" si="4"/>
        <v>-</v>
      </c>
      <c r="BW12" s="218" t="str">
        <f t="shared" si="17"/>
        <v>-</v>
      </c>
      <c r="BX12" s="218" t="str">
        <f t="shared" si="5"/>
        <v>-</v>
      </c>
      <c r="BY12" s="217">
        <f t="shared" si="6"/>
        <v>-3</v>
      </c>
      <c r="BZ12" s="218">
        <f t="shared" si="7"/>
        <v>0.5</v>
      </c>
      <c r="CA12" s="218">
        <f t="shared" si="8"/>
        <v>0.5</v>
      </c>
      <c r="CB12" s="218"/>
      <c r="CC12" s="229">
        <v>4.1666666666666669E-4</v>
      </c>
      <c r="CD12" s="230" t="b">
        <v>1</v>
      </c>
      <c r="CE12" s="230" t="b">
        <v>1</v>
      </c>
      <c r="CF12" s="243" t="str" cm="1">
        <f t="array" ref="CF12">_xlfn.IFS(AND(AC12&lt;&gt;"", CI12&lt;&gt;"-"), TRUE, AND(AC12&lt;&gt;"", CI12="-"), FALSE, AC12="", "-")</f>
        <v>-</v>
      </c>
      <c r="CG12" s="243" t="s">
        <v>9801</v>
      </c>
      <c r="CH12" s="243" t="s">
        <v>9801</v>
      </c>
      <c r="CI12" s="244" t="str">
        <f t="shared" si="18"/>
        <v>-</v>
      </c>
      <c r="CJ12" s="236" t="b" cm="1">
        <f t="array" ref="CJ12">_xlfn.IFS(AND(AD12&lt;&gt;"", CM12&lt;&gt;"-"), TRUE, AND(AD12&lt;&gt;"", CM12="-"), FALSE, AD12="", "-")</f>
        <v>1</v>
      </c>
      <c r="CK12" s="230">
        <v>4.97</v>
      </c>
      <c r="CL12" s="230">
        <v>0.22</v>
      </c>
      <c r="CM12" s="255">
        <f t="shared" si="19"/>
        <v>3</v>
      </c>
      <c r="CN12" s="229">
        <v>2.6620370370370372E-4</v>
      </c>
      <c r="CO12" s="229">
        <f t="shared" si="20"/>
        <v>6.8287037037037036E-4</v>
      </c>
      <c r="CP12" s="229">
        <f t="shared" si="21"/>
        <v>1.6203703703703703E-4</v>
      </c>
      <c r="CQ12" s="229">
        <f t="shared" si="22"/>
        <v>1.3888888888888892E-4</v>
      </c>
      <c r="CR12" s="230" t="str">
        <f t="shared" si="23"/>
        <v>-</v>
      </c>
      <c r="CS12" s="259" t="str">
        <f t="shared" si="24"/>
        <v>-</v>
      </c>
      <c r="CT12" s="259" t="str">
        <f t="shared" si="25"/>
        <v>-</v>
      </c>
      <c r="CU12" s="230">
        <f t="shared" si="26"/>
        <v>-3</v>
      </c>
      <c r="CV12" s="259">
        <f t="shared" si="27"/>
        <v>0.5</v>
      </c>
      <c r="CW12" s="262">
        <f t="shared" si="28"/>
        <v>0.5</v>
      </c>
      <c r="CX12" s="230"/>
    </row>
    <row r="13" spans="1:102" s="95" customFormat="1" x14ac:dyDescent="0.2">
      <c r="A13" s="95" t="s">
        <v>1353</v>
      </c>
      <c r="B13" s="95">
        <v>409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31</v>
      </c>
      <c r="H13" s="95" t="s">
        <v>1354</v>
      </c>
      <c r="I13" s="95" t="s">
        <v>1355</v>
      </c>
      <c r="J13" s="95" t="s">
        <v>1313</v>
      </c>
      <c r="O13" s="95" t="s">
        <v>10860</v>
      </c>
      <c r="P13" s="95" t="s">
        <v>11029</v>
      </c>
      <c r="Q13" s="98">
        <v>3.1250000000000001E-4</v>
      </c>
      <c r="R13" s="98">
        <v>3.3564814814814812E-4</v>
      </c>
      <c r="S13" s="95">
        <v>0</v>
      </c>
      <c r="T13" s="95" t="s">
        <v>36</v>
      </c>
      <c r="U13" s="95" t="s">
        <v>37</v>
      </c>
      <c r="V13" s="95" t="s">
        <v>38</v>
      </c>
      <c r="Z13" s="95" t="b">
        <v>0</v>
      </c>
      <c r="AC13" s="95">
        <v>9</v>
      </c>
      <c r="AE13" s="95" t="s">
        <v>1117</v>
      </c>
      <c r="AF13" s="95" t="s">
        <v>9541</v>
      </c>
      <c r="AH13" s="95" t="b">
        <v>0</v>
      </c>
      <c r="AI13" s="95" t="s">
        <v>11181</v>
      </c>
      <c r="AL13" s="207">
        <v>1.8518518518518518E-4</v>
      </c>
      <c r="AM13" s="208" t="b">
        <v>1</v>
      </c>
      <c r="AN13" s="208" t="b">
        <v>1</v>
      </c>
      <c r="AO13" s="252" t="b">
        <f t="shared" si="9"/>
        <v>1</v>
      </c>
      <c r="AP13" s="209" t="s">
        <v>11367</v>
      </c>
      <c r="AQ13" s="253" t="b" cm="1">
        <f t="array" ref="AQ13">_xlfn.IFS(AND(AC13&lt;&gt;"", AR13&lt;&gt;"-"), TRUE, AND(AC13&lt;&gt;"", AR13="-"), FALSE, AC13="", "-")</f>
        <v>1</v>
      </c>
      <c r="AR13" s="222">
        <v>0.02</v>
      </c>
      <c r="AS13" s="221">
        <f t="shared" si="10"/>
        <v>1.1457628381751035</v>
      </c>
      <c r="AT13" s="207">
        <v>1.3888888888888889E-4</v>
      </c>
      <c r="AU13" s="207">
        <f t="shared" si="11"/>
        <v>3.2407407407407406E-4</v>
      </c>
      <c r="AV13" s="207">
        <f t="shared" si="12"/>
        <v>-1.7361111111111112E-4</v>
      </c>
      <c r="AW13" s="207">
        <f t="shared" si="13"/>
        <v>-1.1574074074074058E-5</v>
      </c>
      <c r="AX13" s="212" cm="1">
        <f t="array" ref="AX13">_xlfn.IFS(AP13="-", "-", AND(AP13="asphalt",AA13=""),100%, AND(AP13&lt;&gt;"asphalt",AA13=""), 0%)</f>
        <v>0</v>
      </c>
      <c r="AY13" s="213">
        <f t="shared" si="29"/>
        <v>1</v>
      </c>
      <c r="AZ13" s="212">
        <f t="shared" si="30"/>
        <v>0.12730698201945589</v>
      </c>
      <c r="BA13" s="212" cm="1">
        <f t="array" ref="BA13">_xlfn.IFS(OR(AC13="", AS13="-"), "-", AND(AC13&lt;&gt;"", OR(AS13&lt;&gt;"-", AS13&lt;&gt;0)), ABS(AS13/AC13-1))</f>
        <v>0.87269301798054411</v>
      </c>
      <c r="BB13" s="208"/>
      <c r="BC13" s="214">
        <v>5.2083333333333333E-4</v>
      </c>
      <c r="BD13" s="215" t="b">
        <v>1</v>
      </c>
      <c r="BE13" s="215" t="b">
        <v>1</v>
      </c>
      <c r="BF13" s="215" t="b">
        <f t="shared" si="14"/>
        <v>1</v>
      </c>
      <c r="BG13" s="215" t="s">
        <v>3516</v>
      </c>
      <c r="BH13" s="243" t="b" cm="1">
        <f t="array" ref="BH13">_xlfn.IFS(AND(AC13&lt;&gt;"", BK13&lt;&gt;"-"), TRUE, AND(AC13&lt;&gt;"", BK13="-"), FALSE, AC13="", "-")</f>
        <v>1</v>
      </c>
      <c r="BI13" s="243">
        <v>4.12</v>
      </c>
      <c r="BJ13" s="243">
        <v>0.73</v>
      </c>
      <c r="BK13" s="244">
        <f t="shared" si="31"/>
        <v>10</v>
      </c>
      <c r="BL13" s="217" t="str" cm="1">
        <f t="array" ref="BL13">_xlfn.IFS(AND(AD13&lt;&gt;"", BO13&lt;&gt;"-"), TRUE, AND(AD13&lt;&gt;"", BO13="-"), FALSE, AD13="", "-")</f>
        <v>-</v>
      </c>
      <c r="BM13" s="215" t="s">
        <v>9801</v>
      </c>
      <c r="BN13" s="215" t="s">
        <v>9801</v>
      </c>
      <c r="BO13" s="217" t="str">
        <f t="shared" si="15"/>
        <v>-</v>
      </c>
      <c r="BP13" s="214">
        <v>3.7037037037037035E-4</v>
      </c>
      <c r="BQ13" s="214">
        <f t="shared" si="1"/>
        <v>8.9120370370370373E-4</v>
      </c>
      <c r="BR13" s="214">
        <f t="shared" si="2"/>
        <v>5.7870370370370345E-5</v>
      </c>
      <c r="BS13" s="214">
        <f t="shared" si="3"/>
        <v>5.5555555555555566E-4</v>
      </c>
      <c r="BT13" s="218">
        <v>0</v>
      </c>
      <c r="BU13" s="219">
        <f t="shared" si="16"/>
        <v>1</v>
      </c>
      <c r="BV13" s="217">
        <f t="shared" si="4"/>
        <v>1</v>
      </c>
      <c r="BW13" s="218">
        <f t="shared" si="17"/>
        <v>0.88888888888888884</v>
      </c>
      <c r="BX13" s="218">
        <f t="shared" si="5"/>
        <v>0.11111111111111116</v>
      </c>
      <c r="BY13" s="217" t="str">
        <f t="shared" si="6"/>
        <v>-</v>
      </c>
      <c r="BZ13" s="218" t="str">
        <f t="shared" si="7"/>
        <v>-</v>
      </c>
      <c r="CA13" s="218" t="str">
        <f t="shared" si="8"/>
        <v>-</v>
      </c>
      <c r="CB13" s="218"/>
      <c r="CC13" s="229">
        <v>3.5879629629629635E-4</v>
      </c>
      <c r="CD13" s="230" t="b">
        <v>1</v>
      </c>
      <c r="CE13" s="230" t="b">
        <v>1</v>
      </c>
      <c r="CF13" s="243" t="b" cm="1">
        <f t="array" ref="CF13">_xlfn.IFS(AND(AC13&lt;&gt;"", CI13&lt;&gt;"-"), TRUE, AND(AC13&lt;&gt;"", CI13="-"), FALSE, AC13="", "-")</f>
        <v>1</v>
      </c>
      <c r="CG13" s="243">
        <v>13.56</v>
      </c>
      <c r="CH13" s="243">
        <v>2.16</v>
      </c>
      <c r="CI13" s="244">
        <f t="shared" si="18"/>
        <v>9</v>
      </c>
      <c r="CJ13" s="236" t="str" cm="1">
        <f t="array" ref="CJ13">_xlfn.IFS(AND(AD13&lt;&gt;"", CM13&lt;&gt;"-"), TRUE, AND(AD13&lt;&gt;"", CM13="-"), FALSE, AD13="", "-")</f>
        <v>-</v>
      </c>
      <c r="CK13" s="230" t="s">
        <v>9801</v>
      </c>
      <c r="CL13" s="230" t="s">
        <v>9801</v>
      </c>
      <c r="CM13" s="255" t="str">
        <f t="shared" si="19"/>
        <v>-</v>
      </c>
      <c r="CN13" s="229">
        <v>2.4305555555555552E-4</v>
      </c>
      <c r="CO13" s="229">
        <f t="shared" si="20"/>
        <v>6.018518518518519E-4</v>
      </c>
      <c r="CP13" s="229">
        <f t="shared" si="21"/>
        <v>-6.9444444444444485E-5</v>
      </c>
      <c r="CQ13" s="229">
        <f t="shared" si="22"/>
        <v>2.6620370370370377E-4</v>
      </c>
      <c r="CR13" s="230">
        <f t="shared" si="23"/>
        <v>0</v>
      </c>
      <c r="CS13" s="259">
        <f t="shared" si="24"/>
        <v>1</v>
      </c>
      <c r="CT13" s="259">
        <f t="shared" si="25"/>
        <v>0</v>
      </c>
      <c r="CU13" s="230" t="str">
        <f t="shared" si="26"/>
        <v>-</v>
      </c>
      <c r="CV13" s="259" t="str">
        <f t="shared" si="27"/>
        <v>-</v>
      </c>
      <c r="CW13" s="262" t="str">
        <f t="shared" si="28"/>
        <v>-</v>
      </c>
      <c r="CX13" s="230"/>
    </row>
    <row r="14" spans="1:102" s="95" customFormat="1" x14ac:dyDescent="0.2">
      <c r="A14" s="95" t="s">
        <v>1356</v>
      </c>
      <c r="B14" s="95">
        <v>410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1357</v>
      </c>
      <c r="I14" s="95" t="s">
        <v>1358</v>
      </c>
      <c r="O14" s="95" t="s">
        <v>11029</v>
      </c>
      <c r="P14" s="95" t="s">
        <v>9544</v>
      </c>
      <c r="Q14" s="98">
        <v>1.0416666666666667E-4</v>
      </c>
      <c r="R14" s="98">
        <v>7.5231481481481471E-4</v>
      </c>
      <c r="S14" s="95">
        <v>0</v>
      </c>
      <c r="T14" s="95" t="s">
        <v>36</v>
      </c>
      <c r="U14" s="95" t="s">
        <v>37</v>
      </c>
      <c r="V14" s="95" t="s">
        <v>38</v>
      </c>
      <c r="Z14" s="95" t="b">
        <v>0</v>
      </c>
      <c r="AD14" s="95">
        <v>3</v>
      </c>
      <c r="AE14" s="95" t="s">
        <v>1117</v>
      </c>
      <c r="AF14" s="95" t="s">
        <v>9541</v>
      </c>
      <c r="AH14" s="95" t="b">
        <v>0</v>
      </c>
      <c r="AI14" s="95" t="s">
        <v>11182</v>
      </c>
      <c r="AL14" s="207">
        <v>1.7361111111111112E-4</v>
      </c>
      <c r="AM14" s="208" t="b">
        <v>1</v>
      </c>
      <c r="AN14" s="208" t="b">
        <v>1</v>
      </c>
      <c r="AO14" s="252" t="b">
        <f t="shared" si="9"/>
        <v>1</v>
      </c>
      <c r="AP14" s="209" t="s">
        <v>11367</v>
      </c>
      <c r="AQ14" s="210" t="str" cm="1">
        <f t="array" ref="AQ14">_xlfn.IFS(AND(AC14&lt;&gt;"", AR14&lt;&gt;"-"), TRUE, AND(AC14&lt;&gt;"", AR14="-"), FALSE, AC14="", "-")</f>
        <v>-</v>
      </c>
      <c r="AR14" s="222">
        <v>0.04</v>
      </c>
      <c r="AS14" s="221">
        <f t="shared" si="10"/>
        <v>2.2906100426385296</v>
      </c>
      <c r="AT14" s="207">
        <v>1.8518518518518518E-4</v>
      </c>
      <c r="AU14" s="207">
        <f t="shared" si="11"/>
        <v>3.5879629629629629E-4</v>
      </c>
      <c r="AV14" s="207">
        <f t="shared" si="12"/>
        <v>8.1018518518518503E-5</v>
      </c>
      <c r="AW14" s="207">
        <f t="shared" si="13"/>
        <v>-3.9351851851851841E-4</v>
      </c>
      <c r="AX14" s="212" cm="1">
        <f t="array" ref="AX14">_xlfn.IFS(AP14="-", "-", AND(AP14="asphalt",AA14=""),100%, AND(AP14&lt;&gt;"asphalt",AA14=""), 0%)</f>
        <v>0</v>
      </c>
      <c r="AY14" s="213">
        <f t="shared" si="29"/>
        <v>1</v>
      </c>
      <c r="AZ14" s="212" t="str">
        <f t="shared" si="30"/>
        <v>-</v>
      </c>
      <c r="BA14" s="212" t="str" cm="1">
        <f t="array" ref="BA14">_xlfn.IFS(OR(AC14="", AS14="-"), "-", AND(AC14&lt;&gt;"", OR(AS14&lt;&gt;"-", AS14&lt;&gt;0)), ABS(AS14/AC14-1))</f>
        <v>-</v>
      </c>
      <c r="BB14" s="208"/>
      <c r="BC14" s="214">
        <v>5.3240740740740744E-4</v>
      </c>
      <c r="BD14" s="215" t="b">
        <v>1</v>
      </c>
      <c r="BE14" s="215" t="b">
        <v>1</v>
      </c>
      <c r="BF14" s="215" t="b">
        <f t="shared" si="14"/>
        <v>1</v>
      </c>
      <c r="BG14" s="215" t="s">
        <v>3516</v>
      </c>
      <c r="BH14" s="243" t="str" cm="1">
        <f t="array" ref="BH14">_xlfn.IFS(AND(AC14&lt;&gt;"", BK14&lt;&gt;"-"), TRUE, AND(AC14&lt;&gt;"", BK14="-"), FALSE, AC14="", "-")</f>
        <v>-</v>
      </c>
      <c r="BI14" s="243" t="s">
        <v>9801</v>
      </c>
      <c r="BJ14" s="243" t="s">
        <v>9801</v>
      </c>
      <c r="BK14" s="244" t="str">
        <f t="shared" si="31"/>
        <v>-</v>
      </c>
      <c r="BL14" s="217" t="b" cm="1">
        <f t="array" ref="BL14">_xlfn.IFS(AND(AD14&lt;&gt;"", BO14&lt;&gt;"-"), TRUE, AND(AD14&lt;&gt;"", BO14="-"), FALSE, AD14="", "-")</f>
        <v>1</v>
      </c>
      <c r="BM14" s="215">
        <v>3.73</v>
      </c>
      <c r="BN14" s="215">
        <v>0.19</v>
      </c>
      <c r="BO14" s="217">
        <f t="shared" si="15"/>
        <v>3</v>
      </c>
      <c r="BP14" s="214">
        <v>2.3148148148148146E-4</v>
      </c>
      <c r="BQ14" s="214">
        <f t="shared" si="1"/>
        <v>7.6388888888888893E-4</v>
      </c>
      <c r="BR14" s="214">
        <f t="shared" si="2"/>
        <v>1.273148148148148E-4</v>
      </c>
      <c r="BS14" s="214">
        <f t="shared" si="3"/>
        <v>1.1574074074074221E-5</v>
      </c>
      <c r="BT14" s="218">
        <v>0</v>
      </c>
      <c r="BU14" s="219">
        <f t="shared" si="16"/>
        <v>1</v>
      </c>
      <c r="BV14" s="217" t="str">
        <f t="shared" si="4"/>
        <v>-</v>
      </c>
      <c r="BW14" s="218" t="str">
        <f t="shared" si="17"/>
        <v>-</v>
      </c>
      <c r="BX14" s="218" t="str">
        <f t="shared" si="5"/>
        <v>-</v>
      </c>
      <c r="BY14" s="217">
        <f t="shared" si="6"/>
        <v>0</v>
      </c>
      <c r="BZ14" s="218">
        <f t="shared" si="7"/>
        <v>1</v>
      </c>
      <c r="CA14" s="218">
        <f t="shared" si="8"/>
        <v>0</v>
      </c>
      <c r="CB14" s="218"/>
      <c r="CC14" s="229">
        <v>4.6296296296296293E-4</v>
      </c>
      <c r="CD14" s="230" t="b">
        <v>1</v>
      </c>
      <c r="CE14" s="230" t="b">
        <v>1</v>
      </c>
      <c r="CF14" s="243" t="str" cm="1">
        <f t="array" ref="CF14">_xlfn.IFS(AND(AC14&lt;&gt;"", CI14&lt;&gt;"-"), TRUE, AND(AC14&lt;&gt;"", CI14="-"), FALSE, AC14="", "-")</f>
        <v>-</v>
      </c>
      <c r="CG14" s="243" t="s">
        <v>9801</v>
      </c>
      <c r="CH14" s="243" t="s">
        <v>9801</v>
      </c>
      <c r="CI14" s="244" t="str">
        <f t="shared" si="18"/>
        <v>-</v>
      </c>
      <c r="CJ14" s="236" t="b" cm="1">
        <f t="array" ref="CJ14">_xlfn.IFS(AND(AD14&lt;&gt;"", CM14&lt;&gt;"-"), TRUE, AND(AD14&lt;&gt;"", CM14="-"), FALSE, AD14="", "-")</f>
        <v>1</v>
      </c>
      <c r="CK14" s="230">
        <v>2.69</v>
      </c>
      <c r="CL14" s="230">
        <v>0.13</v>
      </c>
      <c r="CM14" s="255">
        <f t="shared" si="19"/>
        <v>3</v>
      </c>
      <c r="CN14" s="229">
        <v>2.6620370370370372E-4</v>
      </c>
      <c r="CO14" s="229">
        <f t="shared" si="20"/>
        <v>7.2916666666666659E-4</v>
      </c>
      <c r="CP14" s="229">
        <f t="shared" si="21"/>
        <v>1.6203703703703703E-4</v>
      </c>
      <c r="CQ14" s="229">
        <f t="shared" si="22"/>
        <v>-2.3148148148148117E-5</v>
      </c>
      <c r="CR14" s="230" t="str">
        <f t="shared" si="23"/>
        <v>-</v>
      </c>
      <c r="CS14" s="259" t="str">
        <f t="shared" si="24"/>
        <v>-</v>
      </c>
      <c r="CT14" s="259" t="str">
        <f t="shared" si="25"/>
        <v>-</v>
      </c>
      <c r="CU14" s="230">
        <f t="shared" si="26"/>
        <v>0</v>
      </c>
      <c r="CV14" s="259">
        <f t="shared" si="27"/>
        <v>1</v>
      </c>
      <c r="CW14" s="262">
        <f t="shared" si="28"/>
        <v>0</v>
      </c>
      <c r="CX14" s="230"/>
    </row>
    <row r="15" spans="1:102" s="95" customFormat="1" x14ac:dyDescent="0.2">
      <c r="A15" s="95" t="s">
        <v>1368</v>
      </c>
      <c r="B15" s="95">
        <v>414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66</v>
      </c>
      <c r="H15" s="95" t="s">
        <v>1369</v>
      </c>
      <c r="I15" s="95" t="s">
        <v>1370</v>
      </c>
      <c r="J15" s="95" t="s">
        <v>662</v>
      </c>
      <c r="O15" s="95" t="s">
        <v>11028</v>
      </c>
      <c r="P15" s="95" t="s">
        <v>11028</v>
      </c>
      <c r="Q15" s="98">
        <v>4.0509259259259258E-4</v>
      </c>
      <c r="R15" s="98">
        <v>5.0925925925925921E-4</v>
      </c>
      <c r="S15" s="95">
        <v>0</v>
      </c>
      <c r="T15" s="95" t="s">
        <v>36</v>
      </c>
      <c r="U15" s="95" t="s">
        <v>37</v>
      </c>
      <c r="V15" s="95" t="s">
        <v>38</v>
      </c>
      <c r="Z15" s="95" t="b">
        <v>0</v>
      </c>
      <c r="AC15" s="95">
        <v>6</v>
      </c>
      <c r="AE15" s="95" t="s">
        <v>1117</v>
      </c>
      <c r="AF15" s="95" t="s">
        <v>9541</v>
      </c>
      <c r="AH15" s="95" t="b">
        <v>0</v>
      </c>
      <c r="AI15" s="95" t="s">
        <v>11183</v>
      </c>
      <c r="AL15" s="207">
        <v>1.3888888888888889E-4</v>
      </c>
      <c r="AM15" s="208" t="b">
        <v>1</v>
      </c>
      <c r="AN15" s="208" t="b">
        <v>1</v>
      </c>
      <c r="AO15" s="252" t="b">
        <f t="shared" si="9"/>
        <v>1</v>
      </c>
      <c r="AP15" s="209" t="s">
        <v>11367</v>
      </c>
      <c r="AQ15" s="253" t="b" cm="1">
        <f t="array" ref="AQ15">_xlfn.IFS(AND(AC15&lt;&gt;"", AR15&lt;&gt;"-"), TRUE, AND(AC15&lt;&gt;"", AR15="-"), FALSE, AC15="", "-")</f>
        <v>1</v>
      </c>
      <c r="AR15" s="222">
        <v>0.05</v>
      </c>
      <c r="AS15" s="221">
        <f t="shared" si="10"/>
        <v>2.8624052261117479</v>
      </c>
      <c r="AT15" s="207">
        <v>1.0416666666666667E-4</v>
      </c>
      <c r="AU15" s="207">
        <f t="shared" si="11"/>
        <v>2.4305555555555555E-4</v>
      </c>
      <c r="AV15" s="207">
        <f t="shared" si="12"/>
        <v>-3.0092592592592589E-4</v>
      </c>
      <c r="AW15" s="207">
        <f t="shared" si="13"/>
        <v>-2.6620370370370367E-4</v>
      </c>
      <c r="AX15" s="212" cm="1">
        <f t="array" ref="AX15">_xlfn.IFS(AP15="-", "-", AND(AP15="asphalt",AA15=""),100%, AND(AP15&lt;&gt;"asphalt",AA15=""), 0%)</f>
        <v>0</v>
      </c>
      <c r="AY15" s="213">
        <f t="shared" si="29"/>
        <v>1</v>
      </c>
      <c r="AZ15" s="212">
        <f t="shared" si="30"/>
        <v>0.47706753768529131</v>
      </c>
      <c r="BA15" s="212" cm="1">
        <f t="array" ref="BA15">_xlfn.IFS(OR(AC15="", AS15="-"), "-", AND(AC15&lt;&gt;"", OR(AS15&lt;&gt;"-", AS15&lt;&gt;0)), ABS(AS15/AC15-1))</f>
        <v>0.52293246231470869</v>
      </c>
      <c r="BB15" s="208"/>
      <c r="BC15" s="214">
        <v>3.3564814814814812E-4</v>
      </c>
      <c r="BD15" s="215" t="b">
        <v>1</v>
      </c>
      <c r="BE15" s="215" t="b">
        <v>1</v>
      </c>
      <c r="BF15" s="215" t="b">
        <f t="shared" si="14"/>
        <v>1</v>
      </c>
      <c r="BG15" s="215" t="s">
        <v>3516</v>
      </c>
      <c r="BH15" s="243" t="b" cm="1">
        <f t="array" ref="BH15">_xlfn.IFS(AND(AC15&lt;&gt;"", BK15&lt;&gt;"-"), TRUE, AND(AC15&lt;&gt;"", BK15="-"), FALSE, AC15="", "-")</f>
        <v>1</v>
      </c>
      <c r="BI15" s="243">
        <v>7.12</v>
      </c>
      <c r="BJ15" s="243">
        <v>0.61</v>
      </c>
      <c r="BK15" s="244">
        <f>IF(AND(BJ15&lt;&gt;"-",BI15&lt;&gt;"-"), ROUND(DEGREES(ATAN(BJ15/BI15)*100%), 0), "-")</f>
        <v>5</v>
      </c>
      <c r="BL15" s="217" t="str" cm="1">
        <f t="array" ref="BL15">_xlfn.IFS(AND(AD15&lt;&gt;"", BO15&lt;&gt;"-"), TRUE, AND(AD15&lt;&gt;"", BO15="-"), FALSE, AD15="", "-")</f>
        <v>-</v>
      </c>
      <c r="BM15" s="215" t="s">
        <v>9801</v>
      </c>
      <c r="BN15" s="215" t="s">
        <v>9801</v>
      </c>
      <c r="BO15" s="217" t="str">
        <f t="shared" si="15"/>
        <v>-</v>
      </c>
      <c r="BP15" s="214">
        <v>2.8935185185185189E-4</v>
      </c>
      <c r="BQ15" s="214">
        <f t="shared" si="1"/>
        <v>6.2500000000000001E-4</v>
      </c>
      <c r="BR15" s="214">
        <f t="shared" si="2"/>
        <v>-1.1574074074074069E-4</v>
      </c>
      <c r="BS15" s="214">
        <f t="shared" si="3"/>
        <v>1.157407407407408E-4</v>
      </c>
      <c r="BT15" s="218">
        <v>0</v>
      </c>
      <c r="BU15" s="219">
        <f t="shared" si="16"/>
        <v>1</v>
      </c>
      <c r="BV15" s="217">
        <f t="shared" si="4"/>
        <v>-1</v>
      </c>
      <c r="BW15" s="218">
        <f t="shared" si="17"/>
        <v>0.83333333333333337</v>
      </c>
      <c r="BX15" s="218">
        <f t="shared" si="5"/>
        <v>0.16666666666666663</v>
      </c>
      <c r="BY15" s="217" t="str">
        <f t="shared" si="6"/>
        <v>-</v>
      </c>
      <c r="BZ15" s="218" t="str">
        <f t="shared" si="7"/>
        <v>-</v>
      </c>
      <c r="CA15" s="218" t="str">
        <f t="shared" si="8"/>
        <v>-</v>
      </c>
      <c r="CB15" s="218"/>
      <c r="CC15" s="229">
        <v>3.2407407407407406E-4</v>
      </c>
      <c r="CD15" s="230" t="b">
        <v>1</v>
      </c>
      <c r="CE15" s="230" t="b">
        <v>1</v>
      </c>
      <c r="CF15" s="243" t="b" cm="1">
        <f t="array" ref="CF15">_xlfn.IFS(AND(AC15&lt;&gt;"", CI15&lt;&gt;"-"), TRUE, AND(AC15&lt;&gt;"", CI15="-"), FALSE, AC15="", "-")</f>
        <v>1</v>
      </c>
      <c r="CG15" s="243">
        <v>29.24</v>
      </c>
      <c r="CH15" s="243">
        <v>1.81</v>
      </c>
      <c r="CI15" s="244">
        <f t="shared" si="18"/>
        <v>4</v>
      </c>
      <c r="CJ15" s="236" t="str" cm="1">
        <f t="array" ref="CJ15">_xlfn.IFS(AND(AD15&lt;&gt;"", CM15&lt;&gt;"-"), TRUE, AND(AD15&lt;&gt;"", CM15="-"), FALSE, AD15="", "-")</f>
        <v>-</v>
      </c>
      <c r="CK15" s="230" t="s">
        <v>9801</v>
      </c>
      <c r="CL15" s="230" t="s">
        <v>9801</v>
      </c>
      <c r="CM15" s="255" t="str">
        <f t="shared" si="19"/>
        <v>-</v>
      </c>
      <c r="CN15" s="229">
        <v>3.4722222222222224E-4</v>
      </c>
      <c r="CO15" s="229">
        <f t="shared" si="20"/>
        <v>6.7129629629629635E-4</v>
      </c>
      <c r="CP15" s="229">
        <f t="shared" si="21"/>
        <v>-5.7870370370370345E-5</v>
      </c>
      <c r="CQ15" s="229">
        <f t="shared" si="22"/>
        <v>1.6203703703703714E-4</v>
      </c>
      <c r="CR15" s="230">
        <f t="shared" si="23"/>
        <v>-2</v>
      </c>
      <c r="CS15" s="259">
        <f t="shared" si="24"/>
        <v>0.66666666666666663</v>
      </c>
      <c r="CT15" s="259">
        <f t="shared" si="25"/>
        <v>0.33333333333333337</v>
      </c>
      <c r="CU15" s="230" t="str">
        <f t="shared" si="26"/>
        <v>-</v>
      </c>
      <c r="CV15" s="259" t="str">
        <f t="shared" si="27"/>
        <v>-</v>
      </c>
      <c r="CW15" s="262" t="str">
        <f t="shared" si="28"/>
        <v>-</v>
      </c>
      <c r="CX15" s="230"/>
    </row>
    <row r="16" spans="1:102" s="95" customFormat="1" x14ac:dyDescent="0.2">
      <c r="A16" s="95" t="s">
        <v>1377</v>
      </c>
      <c r="B16" s="95">
        <v>417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1378</v>
      </c>
      <c r="I16" s="95" t="s">
        <v>1379</v>
      </c>
      <c r="O16" s="95" t="s">
        <v>11027</v>
      </c>
      <c r="P16" s="95" t="s">
        <v>11027</v>
      </c>
      <c r="Q16" s="98">
        <v>1.5046296296296297E-4</v>
      </c>
      <c r="R16" s="98">
        <v>8.2175925925925917E-4</v>
      </c>
      <c r="S16" s="95">
        <v>0</v>
      </c>
      <c r="T16" s="95" t="s">
        <v>36</v>
      </c>
      <c r="U16" s="95" t="s">
        <v>37</v>
      </c>
      <c r="V16" s="95" t="s">
        <v>38</v>
      </c>
      <c r="Z16" s="95" t="b">
        <v>0</v>
      </c>
      <c r="AD16" s="95">
        <v>3</v>
      </c>
      <c r="AE16" s="95" t="s">
        <v>1117</v>
      </c>
      <c r="AF16" s="95" t="s">
        <v>9541</v>
      </c>
      <c r="AH16" s="95" t="b">
        <v>0</v>
      </c>
      <c r="AI16" s="95" t="s">
        <v>11184</v>
      </c>
      <c r="AL16" s="207">
        <v>1.1574074074074073E-4</v>
      </c>
      <c r="AM16" s="208" t="b">
        <v>1</v>
      </c>
      <c r="AN16" s="208" t="b">
        <v>1</v>
      </c>
      <c r="AO16" s="252" t="b">
        <f t="shared" si="9"/>
        <v>1</v>
      </c>
      <c r="AP16" s="209" t="s">
        <v>11367</v>
      </c>
      <c r="AQ16" s="210" t="str" cm="1">
        <f t="array" ref="AQ16">_xlfn.IFS(AND(AC16&lt;&gt;"", AR16&lt;&gt;"-"), TRUE, AND(AC16&lt;&gt;"", AR16="-"), FALSE, AC16="", "-")</f>
        <v>-</v>
      </c>
      <c r="AR16" s="223">
        <v>0.02</v>
      </c>
      <c r="AS16" s="221">
        <f t="shared" si="10"/>
        <v>1.1457628381751035</v>
      </c>
      <c r="AT16" s="207">
        <v>1.3888888888888889E-4</v>
      </c>
      <c r="AU16" s="207">
        <f t="shared" si="11"/>
        <v>2.5462962962962961E-4</v>
      </c>
      <c r="AV16" s="207">
        <f t="shared" si="12"/>
        <v>-1.1574074074074085E-5</v>
      </c>
      <c r="AW16" s="207">
        <f t="shared" si="13"/>
        <v>-5.6712962962962956E-4</v>
      </c>
      <c r="AX16" s="212" cm="1">
        <f t="array" ref="AX16">_xlfn.IFS(AP16="-", "-", AND(AP16="asphalt",AA16=""),100%, AND(AP16&lt;&gt;"asphalt",AA16=""), 0%)</f>
        <v>0</v>
      </c>
      <c r="AY16" s="213">
        <f t="shared" si="29"/>
        <v>1</v>
      </c>
      <c r="AZ16" s="212" t="str">
        <f t="shared" si="30"/>
        <v>-</v>
      </c>
      <c r="BA16" s="212" t="str" cm="1">
        <f t="array" ref="BA16">_xlfn.IFS(OR(AC16="", AS16="-"), "-", AND(AC16&lt;&gt;"", OR(AS16&lt;&gt;"-", AS16&lt;&gt;0)), ABS(AS16/AC16-1))</f>
        <v>-</v>
      </c>
      <c r="BB16" s="208"/>
      <c r="BC16" s="214">
        <v>3.5879629629629635E-4</v>
      </c>
      <c r="BD16" s="215" t="b">
        <v>1</v>
      </c>
      <c r="BE16" s="215" t="b">
        <v>1</v>
      </c>
      <c r="BF16" s="215" t="b">
        <f t="shared" si="14"/>
        <v>1</v>
      </c>
      <c r="BG16" s="215" t="s">
        <v>3516</v>
      </c>
      <c r="BH16" s="243" t="str" cm="1">
        <f t="array" ref="BH16">_xlfn.IFS(AND(AC16&lt;&gt;"", BK16&lt;&gt;"-"), TRUE, AND(AC16&lt;&gt;"", BK16="-"), FALSE, AC16="", "-")</f>
        <v>-</v>
      </c>
      <c r="BI16" s="243" t="s">
        <v>9801</v>
      </c>
      <c r="BJ16" s="243" t="s">
        <v>9801</v>
      </c>
      <c r="BK16" s="244" t="str">
        <f t="shared" si="31"/>
        <v>-</v>
      </c>
      <c r="BL16" s="217" t="b" cm="1">
        <f t="array" ref="BL16">_xlfn.IFS(AND(AD16&lt;&gt;"", BO16&lt;&gt;"-"), TRUE, AND(AD16&lt;&gt;"", BO16="-"), FALSE, AD16="", "-")</f>
        <v>1</v>
      </c>
      <c r="BM16" s="215">
        <v>3.29</v>
      </c>
      <c r="BN16" s="215">
        <v>0.15</v>
      </c>
      <c r="BO16" s="217">
        <f t="shared" si="15"/>
        <v>3</v>
      </c>
      <c r="BP16" s="214">
        <v>2.7777777777777778E-4</v>
      </c>
      <c r="BQ16" s="214">
        <f t="shared" si="1"/>
        <v>6.3657407407407413E-4</v>
      </c>
      <c r="BR16" s="214">
        <f t="shared" si="2"/>
        <v>1.273148148148148E-4</v>
      </c>
      <c r="BS16" s="214">
        <f t="shared" si="3"/>
        <v>-1.8518518518518504E-4</v>
      </c>
      <c r="BT16" s="218">
        <v>0</v>
      </c>
      <c r="BU16" s="219">
        <f t="shared" si="16"/>
        <v>1</v>
      </c>
      <c r="BV16" s="217" t="str">
        <f t="shared" si="4"/>
        <v>-</v>
      </c>
      <c r="BW16" s="218" t="str">
        <f t="shared" si="17"/>
        <v>-</v>
      </c>
      <c r="BX16" s="218" t="str">
        <f t="shared" si="5"/>
        <v>-</v>
      </c>
      <c r="BY16" s="217">
        <f t="shared" si="6"/>
        <v>0</v>
      </c>
      <c r="BZ16" s="218">
        <f t="shared" si="7"/>
        <v>1</v>
      </c>
      <c r="CA16" s="218">
        <f t="shared" si="8"/>
        <v>0</v>
      </c>
      <c r="CB16" s="218"/>
      <c r="CC16" s="229">
        <v>3.7037037037037035E-4</v>
      </c>
      <c r="CD16" s="230" t="b">
        <v>1</v>
      </c>
      <c r="CE16" s="230" t="b">
        <v>1</v>
      </c>
      <c r="CF16" s="243" t="str" cm="1">
        <f t="array" ref="CF16">_xlfn.IFS(AND(AC16&lt;&gt;"", CI16&lt;&gt;"-"), TRUE, AND(AC16&lt;&gt;"", CI16="-"), FALSE, AC16="", "-")</f>
        <v>-</v>
      </c>
      <c r="CG16" s="243" t="s">
        <v>9801</v>
      </c>
      <c r="CH16" s="243" t="s">
        <v>9801</v>
      </c>
      <c r="CI16" s="244" t="str">
        <f t="shared" si="18"/>
        <v>-</v>
      </c>
      <c r="CJ16" s="236" t="b" cm="1">
        <f t="array" ref="CJ16">_xlfn.IFS(AND(AD16&lt;&gt;"", CM16&lt;&gt;"-"), TRUE, AND(AD16&lt;&gt;"", CM16="-"), FALSE, AD16="", "-")</f>
        <v>1</v>
      </c>
      <c r="CK16" s="230">
        <v>7.91</v>
      </c>
      <c r="CL16" s="230">
        <v>0.22</v>
      </c>
      <c r="CM16" s="255">
        <f t="shared" si="19"/>
        <v>2</v>
      </c>
      <c r="CN16" s="229">
        <v>3.8194444444444446E-4</v>
      </c>
      <c r="CO16" s="229">
        <f t="shared" si="20"/>
        <v>7.5231481481481482E-4</v>
      </c>
      <c r="CP16" s="229">
        <f t="shared" si="21"/>
        <v>2.3148148148148149E-4</v>
      </c>
      <c r="CQ16" s="229">
        <f t="shared" si="22"/>
        <v>-6.944444444444435E-5</v>
      </c>
      <c r="CR16" s="230" t="str">
        <f t="shared" si="23"/>
        <v>-</v>
      </c>
      <c r="CS16" s="259" t="str">
        <f t="shared" si="24"/>
        <v>-</v>
      </c>
      <c r="CT16" s="259" t="str">
        <f t="shared" si="25"/>
        <v>-</v>
      </c>
      <c r="CU16" s="230">
        <f t="shared" si="26"/>
        <v>-1</v>
      </c>
      <c r="CV16" s="259">
        <f t="shared" si="27"/>
        <v>0.66666666666666663</v>
      </c>
      <c r="CW16" s="262">
        <f t="shared" si="28"/>
        <v>0.33333333333333337</v>
      </c>
      <c r="CX16" s="230"/>
    </row>
    <row r="17" spans="1:102" s="95" customFormat="1" x14ac:dyDescent="0.2">
      <c r="A17" s="95" t="s">
        <v>1386</v>
      </c>
      <c r="B17" s="95">
        <v>420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149</v>
      </c>
      <c r="I17" s="95" t="s">
        <v>1387</v>
      </c>
      <c r="O17" s="95" t="s">
        <v>11026</v>
      </c>
      <c r="P17" s="95" t="s">
        <v>11026</v>
      </c>
      <c r="Q17" s="98">
        <v>1.9675925925925926E-4</v>
      </c>
      <c r="R17" s="98">
        <v>6.9444444444444447E-4</v>
      </c>
      <c r="S17" s="95">
        <v>0</v>
      </c>
      <c r="T17" s="95" t="s">
        <v>36</v>
      </c>
      <c r="U17" s="95" t="s">
        <v>37</v>
      </c>
      <c r="V17" s="95" t="s">
        <v>38</v>
      </c>
      <c r="Z17" s="95" t="b">
        <v>0</v>
      </c>
      <c r="AD17" s="95">
        <v>2</v>
      </c>
      <c r="AE17" s="95" t="s">
        <v>1117</v>
      </c>
      <c r="AF17" s="95" t="s">
        <v>9541</v>
      </c>
      <c r="AH17" s="95" t="b">
        <v>0</v>
      </c>
      <c r="AL17" s="207">
        <v>9.2592592592592588E-5</v>
      </c>
      <c r="AM17" s="208" t="b">
        <v>1</v>
      </c>
      <c r="AN17" s="208" t="b">
        <v>1</v>
      </c>
      <c r="AO17" s="252" t="b">
        <f t="shared" si="9"/>
        <v>1</v>
      </c>
      <c r="AP17" s="209" t="s">
        <v>11367</v>
      </c>
      <c r="AQ17" s="210" t="str" cm="1">
        <f t="array" ref="AQ17">_xlfn.IFS(AND(AC17&lt;&gt;"", AR17&lt;&gt;"-"), TRUE, AND(AC17&lt;&gt;"", AR17="-"), FALSE, AC17="", "-")</f>
        <v>-</v>
      </c>
      <c r="AR17" s="223">
        <v>0</v>
      </c>
      <c r="AS17" s="221">
        <f t="shared" si="10"/>
        <v>0</v>
      </c>
      <c r="AT17" s="207">
        <v>1.8518518518518518E-4</v>
      </c>
      <c r="AU17" s="207">
        <f t="shared" si="11"/>
        <v>2.7777777777777778E-4</v>
      </c>
      <c r="AV17" s="207">
        <f t="shared" si="12"/>
        <v>-1.1574074074074085E-5</v>
      </c>
      <c r="AW17" s="207">
        <f t="shared" si="13"/>
        <v>-4.1666666666666669E-4</v>
      </c>
      <c r="AX17" s="212" cm="1">
        <f t="array" ref="AX17">_xlfn.IFS(AP17="-", "-", AND(AP17="asphalt",AA17=""),100%, AND(AP17&lt;&gt;"asphalt",AA17=""), 0%)</f>
        <v>0</v>
      </c>
      <c r="AY17" s="213">
        <f t="shared" si="29"/>
        <v>1</v>
      </c>
      <c r="AZ17" s="212" t="str">
        <f t="shared" si="30"/>
        <v>-</v>
      </c>
      <c r="BA17" s="212" t="str" cm="1">
        <f t="array" ref="BA17">_xlfn.IFS(OR(AC17="", AS17="-"), "-", AND(AC17&lt;&gt;"", OR(AS17&lt;&gt;"-", AS17&lt;&gt;0)), ABS(AS17/AC17-1))</f>
        <v>-</v>
      </c>
      <c r="BB17" s="208"/>
      <c r="BC17" s="214">
        <v>5.4398148148148144E-4</v>
      </c>
      <c r="BD17" s="215" t="b">
        <v>1</v>
      </c>
      <c r="BE17" s="215" t="b">
        <v>1</v>
      </c>
      <c r="BF17" s="215" t="b">
        <f t="shared" si="14"/>
        <v>1</v>
      </c>
      <c r="BG17" s="215" t="s">
        <v>3516</v>
      </c>
      <c r="BH17" s="243" t="str" cm="1">
        <f t="array" ref="BH17">_xlfn.IFS(AND(AC17&lt;&gt;"", BK17&lt;&gt;"-"), TRUE, AND(AC17&lt;&gt;"", BK17="-"), FALSE, AC17="", "-")</f>
        <v>-</v>
      </c>
      <c r="BI17" s="243" t="s">
        <v>9801</v>
      </c>
      <c r="BJ17" s="243" t="s">
        <v>9801</v>
      </c>
      <c r="BK17" s="244" t="str">
        <f t="shared" si="31"/>
        <v>-</v>
      </c>
      <c r="BL17" s="217" t="b" cm="1">
        <f t="array" ref="BL17">_xlfn.IFS(AND(AD17&lt;&gt;"", BO17&lt;&gt;"-"), TRUE, AND(AD17&lt;&gt;"", BO17="-"), FALSE, AD17="", "-")</f>
        <v>1</v>
      </c>
      <c r="BM17" s="215">
        <v>1.46</v>
      </c>
      <c r="BN17" s="215">
        <v>0.03</v>
      </c>
      <c r="BO17" s="217">
        <f t="shared" si="15"/>
        <v>1</v>
      </c>
      <c r="BP17" s="214">
        <v>8.6805555555555551E-4</v>
      </c>
      <c r="BQ17" s="214">
        <f t="shared" si="1"/>
        <v>1.4120370370370369E-3</v>
      </c>
      <c r="BR17" s="214">
        <f t="shared" si="2"/>
        <v>6.7129629629629625E-4</v>
      </c>
      <c r="BS17" s="214">
        <f t="shared" si="3"/>
        <v>7.1759259259259248E-4</v>
      </c>
      <c r="BT17" s="218">
        <v>0</v>
      </c>
      <c r="BU17" s="219">
        <f t="shared" si="16"/>
        <v>1</v>
      </c>
      <c r="BV17" s="217" t="str">
        <f t="shared" si="4"/>
        <v>-</v>
      </c>
      <c r="BW17" s="218" t="str">
        <f t="shared" si="17"/>
        <v>-</v>
      </c>
      <c r="BX17" s="218" t="str">
        <f t="shared" si="5"/>
        <v>-</v>
      </c>
      <c r="BY17" s="217">
        <f t="shared" si="6"/>
        <v>-1</v>
      </c>
      <c r="BZ17" s="218">
        <f t="shared" si="7"/>
        <v>0.5</v>
      </c>
      <c r="CA17" s="218">
        <f t="shared" si="8"/>
        <v>0.5</v>
      </c>
      <c r="CB17" s="218"/>
      <c r="CC17" s="229">
        <v>5.6712962962962956E-4</v>
      </c>
      <c r="CD17" s="230" t="b">
        <v>1</v>
      </c>
      <c r="CE17" s="230" t="b">
        <v>1</v>
      </c>
      <c r="CF17" s="243" t="str" cm="1">
        <f t="array" ref="CF17">_xlfn.IFS(AND(AC17&lt;&gt;"", CI17&lt;&gt;"-"), TRUE, AND(AC17&lt;&gt;"", CI17="-"), FALSE, AC17="", "-")</f>
        <v>-</v>
      </c>
      <c r="CG17" s="243" t="s">
        <v>9801</v>
      </c>
      <c r="CH17" s="243" t="s">
        <v>9801</v>
      </c>
      <c r="CI17" s="244" t="str">
        <f t="shared" si="18"/>
        <v>-</v>
      </c>
      <c r="CJ17" s="236" t="b" cm="1">
        <f t="array" ref="CJ17">_xlfn.IFS(AND(AD17&lt;&gt;"", CM17&lt;&gt;"-"), TRUE, AND(AD17&lt;&gt;"", CM17="-"), FALSE, AD17="", "-")</f>
        <v>1</v>
      </c>
      <c r="CK17" s="230">
        <v>4.25</v>
      </c>
      <c r="CL17" s="230">
        <v>0.02</v>
      </c>
      <c r="CM17" s="255">
        <f t="shared" si="19"/>
        <v>0</v>
      </c>
      <c r="CN17" s="229">
        <v>2.0833333333333335E-4</v>
      </c>
      <c r="CO17" s="229">
        <f t="shared" si="20"/>
        <v>7.7546296296296293E-4</v>
      </c>
      <c r="CP17" s="229">
        <f t="shared" si="21"/>
        <v>1.1574074074074085E-5</v>
      </c>
      <c r="CQ17" s="229">
        <f t="shared" si="22"/>
        <v>8.1018518518518462E-5</v>
      </c>
      <c r="CR17" s="230" t="str">
        <f t="shared" si="23"/>
        <v>-</v>
      </c>
      <c r="CS17" s="259" t="str">
        <f t="shared" si="24"/>
        <v>-</v>
      </c>
      <c r="CT17" s="259" t="str">
        <f t="shared" si="25"/>
        <v>-</v>
      </c>
      <c r="CU17" s="230">
        <f t="shared" si="26"/>
        <v>-2</v>
      </c>
      <c r="CV17" s="259">
        <f t="shared" si="27"/>
        <v>0</v>
      </c>
      <c r="CW17" s="262">
        <f t="shared" si="28"/>
        <v>1</v>
      </c>
      <c r="CX17" s="230"/>
    </row>
    <row r="18" spans="1:102" s="95" customFormat="1" x14ac:dyDescent="0.2">
      <c r="A18" s="95" t="s">
        <v>1403</v>
      </c>
      <c r="B18" s="95">
        <v>426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1404</v>
      </c>
      <c r="I18" s="95" t="s">
        <v>1405</v>
      </c>
      <c r="J18" s="95" t="s">
        <v>1406</v>
      </c>
      <c r="O18" s="95" t="s">
        <v>11025</v>
      </c>
      <c r="P18" s="95" t="s">
        <v>11025</v>
      </c>
      <c r="Q18" s="98">
        <v>4.2824074074074075E-4</v>
      </c>
      <c r="R18" s="98">
        <v>1.9560185185185184E-3</v>
      </c>
      <c r="S18" s="95">
        <v>0</v>
      </c>
      <c r="T18" s="95" t="s">
        <v>36</v>
      </c>
      <c r="U18" s="95" t="s">
        <v>37</v>
      </c>
      <c r="V18" s="95" t="s">
        <v>38</v>
      </c>
      <c r="Z18" s="95" t="b">
        <v>0</v>
      </c>
      <c r="AC18" s="95">
        <v>4</v>
      </c>
      <c r="AE18" s="95" t="s">
        <v>1117</v>
      </c>
      <c r="AF18" s="95" t="s">
        <v>9541</v>
      </c>
      <c r="AH18" s="95" t="b">
        <v>0</v>
      </c>
      <c r="AI18" s="95" t="s">
        <v>11185</v>
      </c>
      <c r="AL18" s="207">
        <v>1.7361111111111112E-4</v>
      </c>
      <c r="AM18" s="208" t="b">
        <v>1</v>
      </c>
      <c r="AN18" s="208" t="b">
        <v>1</v>
      </c>
      <c r="AO18" s="252" t="b">
        <f t="shared" si="9"/>
        <v>1</v>
      </c>
      <c r="AP18" s="209" t="s">
        <v>11367</v>
      </c>
      <c r="AQ18" s="253" t="b" cm="1">
        <f t="array" ref="AQ18">_xlfn.IFS(AND(AC18&lt;&gt;"", AR18&lt;&gt;"-"), TRUE, AND(AC18&lt;&gt;"", AR18="-"), FALSE, AC18="", "-")</f>
        <v>0</v>
      </c>
      <c r="AR18" s="224" t="s">
        <v>9801</v>
      </c>
      <c r="AS18" s="221" t="str">
        <f t="shared" si="10"/>
        <v>-</v>
      </c>
      <c r="AT18" s="207">
        <v>2.5462962962962961E-4</v>
      </c>
      <c r="AU18" s="207">
        <f t="shared" si="11"/>
        <v>4.2824074074074075E-4</v>
      </c>
      <c r="AV18" s="207">
        <f t="shared" si="12"/>
        <v>-1.7361111111111114E-4</v>
      </c>
      <c r="AW18" s="207">
        <f t="shared" si="13"/>
        <v>-1.5277777777777776E-3</v>
      </c>
      <c r="AX18" s="212" cm="1">
        <f t="array" ref="AX18">_xlfn.IFS(AP18="-", "-", AND(AP18="asphalt",AA18=""),100%, AND(AP18&lt;&gt;"asphalt",AA18=""), 0%)</f>
        <v>0</v>
      </c>
      <c r="AY18" s="213">
        <f t="shared" si="29"/>
        <v>1</v>
      </c>
      <c r="AZ18" s="212" t="str">
        <f t="shared" si="30"/>
        <v>-</v>
      </c>
      <c r="BA18" s="212" t="str" cm="1">
        <f t="array" ref="BA18">_xlfn.IFS(OR(AC18="", AS18="-"), "-", AND(AC18&lt;&gt;"", OR(AS18&lt;&gt;"-", AS18&lt;&gt;0)), ABS(AS18/AC18-1))</f>
        <v>-</v>
      </c>
      <c r="BB18" s="208"/>
      <c r="BC18" s="214">
        <v>4.0509259259259258E-4</v>
      </c>
      <c r="BD18" s="215" t="b">
        <v>1</v>
      </c>
      <c r="BE18" s="215" t="b">
        <v>1</v>
      </c>
      <c r="BF18" s="215" t="b">
        <f t="shared" si="14"/>
        <v>1</v>
      </c>
      <c r="BG18" s="215" t="s">
        <v>3516</v>
      </c>
      <c r="BH18" s="243" t="b" cm="1">
        <f t="array" ref="BH18">_xlfn.IFS(AND(AC18&lt;&gt;"", BK18&lt;&gt;"-"), TRUE, AND(AC18&lt;&gt;"", BK18="-"), FALSE, AC18="", "-")</f>
        <v>1</v>
      </c>
      <c r="BI18" s="243">
        <v>7.21</v>
      </c>
      <c r="BJ18" s="243">
        <v>0.42</v>
      </c>
      <c r="BK18" s="244">
        <f t="shared" si="31"/>
        <v>3</v>
      </c>
      <c r="BL18" s="217" t="str" cm="1">
        <f t="array" ref="BL18">_xlfn.IFS(AND(AD18&lt;&gt;"", BO18&lt;&gt;"-"), TRUE, AND(AD18&lt;&gt;"", BO18="-"), FALSE, AD18="", "-")</f>
        <v>-</v>
      </c>
      <c r="BM18" s="215" t="s">
        <v>9801</v>
      </c>
      <c r="BN18" s="215" t="s">
        <v>9801</v>
      </c>
      <c r="BO18" s="217" t="str">
        <f t="shared" si="15"/>
        <v>-</v>
      </c>
      <c r="BP18" s="214">
        <v>3.5879629629629635E-4</v>
      </c>
      <c r="BQ18" s="214">
        <f t="shared" si="1"/>
        <v>7.6388888888888893E-4</v>
      </c>
      <c r="BR18" s="214">
        <f t="shared" si="2"/>
        <v>-6.9444444444444404E-5</v>
      </c>
      <c r="BS18" s="214">
        <f t="shared" si="3"/>
        <v>-1.1921296296296294E-3</v>
      </c>
      <c r="BT18" s="218">
        <v>0</v>
      </c>
      <c r="BU18" s="219">
        <f t="shared" si="16"/>
        <v>1</v>
      </c>
      <c r="BV18" s="217">
        <f t="shared" si="4"/>
        <v>-1</v>
      </c>
      <c r="BW18" s="218">
        <f t="shared" si="17"/>
        <v>0.75</v>
      </c>
      <c r="BX18" s="218">
        <f t="shared" si="5"/>
        <v>0.25</v>
      </c>
      <c r="BY18" s="217" t="str">
        <f t="shared" si="6"/>
        <v>-</v>
      </c>
      <c r="BZ18" s="218" t="str">
        <f t="shared" si="7"/>
        <v>-</v>
      </c>
      <c r="CA18" s="218" t="str">
        <f t="shared" si="8"/>
        <v>-</v>
      </c>
      <c r="CB18" s="218"/>
      <c r="CC18" s="229">
        <v>3.8194444444444446E-4</v>
      </c>
      <c r="CD18" s="230" t="b">
        <v>1</v>
      </c>
      <c r="CE18" s="230" t="b">
        <v>1</v>
      </c>
      <c r="CF18" s="243" t="b" cm="1">
        <f t="array" ref="CF18">_xlfn.IFS(AND(AC18&lt;&gt;"", CI18&lt;&gt;"-"), TRUE, AND(AC18&lt;&gt;"", CI18="-"), FALSE, AC18="", "-")</f>
        <v>1</v>
      </c>
      <c r="CG18" s="243">
        <v>10.83</v>
      </c>
      <c r="CH18" s="243">
        <v>0.4</v>
      </c>
      <c r="CI18" s="244">
        <f t="shared" si="18"/>
        <v>2</v>
      </c>
      <c r="CJ18" s="236" t="str" cm="1">
        <f t="array" ref="CJ18">_xlfn.IFS(AND(AD18&lt;&gt;"", CM18&lt;&gt;"-"), TRUE, AND(AD18&lt;&gt;"", CM18="-"), FALSE, AD18="", "-")</f>
        <v>-</v>
      </c>
      <c r="CK18" s="230" t="s">
        <v>9801</v>
      </c>
      <c r="CL18" s="230" t="s">
        <v>9801</v>
      </c>
      <c r="CM18" s="255" t="str">
        <f t="shared" si="19"/>
        <v>-</v>
      </c>
      <c r="CN18" s="229">
        <v>2.3148148148148146E-4</v>
      </c>
      <c r="CO18" s="229">
        <f t="shared" si="20"/>
        <v>6.134259259259259E-4</v>
      </c>
      <c r="CP18" s="229">
        <f t="shared" si="21"/>
        <v>-1.9675925925925929E-4</v>
      </c>
      <c r="CQ18" s="229">
        <f t="shared" si="22"/>
        <v>-1.3425925925925925E-3</v>
      </c>
      <c r="CR18" s="230">
        <f t="shared" si="23"/>
        <v>-2</v>
      </c>
      <c r="CS18" s="259">
        <f t="shared" si="24"/>
        <v>0.5</v>
      </c>
      <c r="CT18" s="259">
        <f t="shared" si="25"/>
        <v>0.5</v>
      </c>
      <c r="CU18" s="230" t="str">
        <f t="shared" si="26"/>
        <v>-</v>
      </c>
      <c r="CV18" s="259" t="str">
        <f t="shared" si="27"/>
        <v>-</v>
      </c>
      <c r="CW18" s="262" t="str">
        <f t="shared" si="28"/>
        <v>-</v>
      </c>
      <c r="CX18" s="230"/>
    </row>
    <row r="19" spans="1:102" s="95" customFormat="1" x14ac:dyDescent="0.2">
      <c r="A19" s="95" t="s">
        <v>1512</v>
      </c>
      <c r="B19" s="95">
        <v>460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1513</v>
      </c>
      <c r="I19" s="95" t="s">
        <v>1514</v>
      </c>
      <c r="J19" s="95" t="s">
        <v>1515</v>
      </c>
      <c r="O19" s="95" t="s">
        <v>11024</v>
      </c>
      <c r="P19" s="95" t="s">
        <v>11024</v>
      </c>
      <c r="Q19" s="98">
        <v>3.0092592592592595E-4</v>
      </c>
      <c r="R19" s="98">
        <v>1.5046296296296294E-3</v>
      </c>
      <c r="S19" s="95">
        <v>0</v>
      </c>
      <c r="T19" s="95" t="s">
        <v>36</v>
      </c>
      <c r="U19" s="95" t="s">
        <v>37</v>
      </c>
      <c r="V19" s="95" t="s">
        <v>38</v>
      </c>
      <c r="Z19" s="95" t="b">
        <v>0</v>
      </c>
      <c r="AC19" s="95">
        <v>4</v>
      </c>
      <c r="AD19" s="95">
        <v>3</v>
      </c>
      <c r="AE19" s="95" t="s">
        <v>1464</v>
      </c>
      <c r="AF19" s="95" t="s">
        <v>9537</v>
      </c>
      <c r="AH19" s="95" t="b">
        <v>0</v>
      </c>
      <c r="AI19" s="95" t="s">
        <v>11186</v>
      </c>
      <c r="AL19" s="207">
        <v>1.273148148148148E-4</v>
      </c>
      <c r="AM19" s="208" t="b">
        <v>1</v>
      </c>
      <c r="AN19" s="208" t="b">
        <v>1</v>
      </c>
      <c r="AO19" s="252" t="b">
        <f t="shared" si="9"/>
        <v>1</v>
      </c>
      <c r="AP19" s="209" t="s">
        <v>11366</v>
      </c>
      <c r="AQ19" s="253" t="b" cm="1">
        <f t="array" ref="AQ19">_xlfn.IFS(AND(AC19&lt;&gt;"", AR19&lt;&gt;"-"), TRUE, AND(AC19&lt;&gt;"", AR19="-"), FALSE, AC19="", "-")</f>
        <v>0</v>
      </c>
      <c r="AR19" s="224" t="s">
        <v>9801</v>
      </c>
      <c r="AS19" s="221" t="str">
        <f t="shared" si="10"/>
        <v>-</v>
      </c>
      <c r="AT19" s="207">
        <v>2.6620370370370372E-4</v>
      </c>
      <c r="AU19" s="207">
        <f t="shared" si="11"/>
        <v>3.9351851851851852E-4</v>
      </c>
      <c r="AV19" s="207">
        <f t="shared" si="12"/>
        <v>-3.4722222222222229E-5</v>
      </c>
      <c r="AW19" s="207">
        <f t="shared" si="13"/>
        <v>-1.1111111111111109E-3</v>
      </c>
      <c r="AX19" s="212" cm="1">
        <f t="array" ref="AX19">_xlfn.IFS(AP19="-", "-", AND(AP19="asphalt",AA19=""),100%, AND(AP19&lt;&gt;"asphalt",AA19=""), 0%)</f>
        <v>1</v>
      </c>
      <c r="AY19" s="213">
        <f>IF(AX19&lt;&gt;"-", 1-AX19, "-")</f>
        <v>0</v>
      </c>
      <c r="AZ19" s="212" t="str">
        <f t="shared" si="30"/>
        <v>-</v>
      </c>
      <c r="BA19" s="212" t="str" cm="1">
        <f t="array" ref="BA19">_xlfn.IFS(OR(AC19="", AS19="-"), "-", AND(AC19&lt;&gt;"", OR(AS19&lt;&gt;"-", AS19&lt;&gt;0)), ABS(AS19/AC19-1))</f>
        <v>-</v>
      </c>
      <c r="BB19" s="208"/>
      <c r="BC19" s="214">
        <v>3.3564814814814812E-4</v>
      </c>
      <c r="BD19" s="215" t="b">
        <v>1</v>
      </c>
      <c r="BE19" s="215" t="b">
        <v>1</v>
      </c>
      <c r="BF19" s="215" t="b">
        <f t="shared" si="14"/>
        <v>1</v>
      </c>
      <c r="BG19" s="215"/>
      <c r="BH19" s="243" t="b" cm="1">
        <f t="array" ref="BH19">_xlfn.IFS(AND(AC19&lt;&gt;"", BK19&lt;&gt;"-"), TRUE, AND(AC19&lt;&gt;"", BK19="-"), FALSE, AC19="", "-")</f>
        <v>1</v>
      </c>
      <c r="BI19" s="243">
        <v>5.78</v>
      </c>
      <c r="BJ19" s="243">
        <v>0.38</v>
      </c>
      <c r="BK19" s="244">
        <f t="shared" si="31"/>
        <v>4</v>
      </c>
      <c r="BL19" s="217" t="b" cm="1">
        <f t="array" ref="BL19">_xlfn.IFS(AND(AD19&lt;&gt;"", BO19&lt;&gt;"-"), TRUE, AND(AD19&lt;&gt;"", BO19="-"), FALSE, AD19="", "-")</f>
        <v>1</v>
      </c>
      <c r="BM19" s="215">
        <v>1.72</v>
      </c>
      <c r="BN19" s="215">
        <v>0.12</v>
      </c>
      <c r="BO19" s="217">
        <f t="shared" si="15"/>
        <v>4</v>
      </c>
      <c r="BP19" s="214">
        <v>4.2824074074074075E-4</v>
      </c>
      <c r="BQ19" s="214">
        <f t="shared" si="1"/>
        <v>7.6388888888888882E-4</v>
      </c>
      <c r="BR19" s="214">
        <f t="shared" si="2"/>
        <v>1.273148148148148E-4</v>
      </c>
      <c r="BS19" s="214">
        <f t="shared" si="3"/>
        <v>-7.407407407407406E-4</v>
      </c>
      <c r="BT19" s="218">
        <f>IF(AND(BG19="",AA19=""),100%, "TBD")</f>
        <v>1</v>
      </c>
      <c r="BU19" s="219">
        <f t="shared" si="16"/>
        <v>0</v>
      </c>
      <c r="BV19" s="217">
        <f t="shared" si="4"/>
        <v>0</v>
      </c>
      <c r="BW19" s="218">
        <f t="shared" si="17"/>
        <v>1</v>
      </c>
      <c r="BX19" s="218">
        <f t="shared" si="5"/>
        <v>0</v>
      </c>
      <c r="BY19" s="217">
        <f t="shared" si="6"/>
        <v>1</v>
      </c>
      <c r="BZ19" s="218">
        <f t="shared" si="7"/>
        <v>0.66666666666666674</v>
      </c>
      <c r="CA19" s="218">
        <f t="shared" si="8"/>
        <v>0.33333333333333326</v>
      </c>
      <c r="CB19" s="218"/>
      <c r="CC19" s="229">
        <v>4.8611111111111104E-4</v>
      </c>
      <c r="CD19" s="230" t="b">
        <v>1</v>
      </c>
      <c r="CE19" s="230" t="b">
        <v>1</v>
      </c>
      <c r="CF19" s="243" t="b" cm="1">
        <f t="array" ref="CF19">_xlfn.IFS(AND(AC19&lt;&gt;"", CI19&lt;&gt;"-"), TRUE, AND(AC19&lt;&gt;"", CI19="-"), FALSE, AC19="", "-")</f>
        <v>1</v>
      </c>
      <c r="CG19" s="243">
        <v>15.51</v>
      </c>
      <c r="CH19" s="243">
        <v>0.98</v>
      </c>
      <c r="CI19" s="244">
        <f t="shared" si="18"/>
        <v>4</v>
      </c>
      <c r="CJ19" s="236" t="b" cm="1">
        <f t="array" ref="CJ19">_xlfn.IFS(AND(AD19&lt;&gt;"", CM19&lt;&gt;"-"), TRUE, AND(AD19&lt;&gt;"", CM19="-"), FALSE, AD19="", "-")</f>
        <v>1</v>
      </c>
      <c r="CK19" s="230">
        <v>1.56</v>
      </c>
      <c r="CL19" s="230">
        <v>0.02</v>
      </c>
      <c r="CM19" s="255">
        <f t="shared" si="19"/>
        <v>1</v>
      </c>
      <c r="CN19" s="229">
        <v>3.8194444444444446E-4</v>
      </c>
      <c r="CO19" s="229">
        <f t="shared" si="20"/>
        <v>8.6805555555555551E-4</v>
      </c>
      <c r="CP19" s="229">
        <f t="shared" si="21"/>
        <v>8.1018518518518516E-5</v>
      </c>
      <c r="CQ19" s="229">
        <f t="shared" si="22"/>
        <v>-6.3657407407407391E-4</v>
      </c>
      <c r="CR19" s="230">
        <f t="shared" si="23"/>
        <v>0</v>
      </c>
      <c r="CS19" s="259">
        <f t="shared" si="24"/>
        <v>1</v>
      </c>
      <c r="CT19" s="259">
        <f t="shared" si="25"/>
        <v>0</v>
      </c>
      <c r="CU19" s="230">
        <f t="shared" si="26"/>
        <v>-2</v>
      </c>
      <c r="CV19" s="259">
        <f t="shared" si="27"/>
        <v>0.33333333333333326</v>
      </c>
      <c r="CW19" s="262">
        <f t="shared" si="28"/>
        <v>0.66666666666666674</v>
      </c>
      <c r="CX19" s="230"/>
    </row>
    <row r="20" spans="1:102" s="95" customFormat="1" x14ac:dyDescent="0.2">
      <c r="A20" s="95" t="s">
        <v>1516</v>
      </c>
      <c r="B20" s="95">
        <v>461</v>
      </c>
      <c r="C20" s="95" t="b">
        <v>0</v>
      </c>
      <c r="D20" s="95" t="b">
        <v>0</v>
      </c>
      <c r="E20" s="95" t="b">
        <v>0</v>
      </c>
      <c r="F20" s="95" t="b">
        <v>0</v>
      </c>
      <c r="G20" s="95" t="s">
        <v>31</v>
      </c>
      <c r="H20" s="95" t="s">
        <v>1517</v>
      </c>
      <c r="I20" s="95" t="s">
        <v>1518</v>
      </c>
      <c r="O20" s="95" t="s">
        <v>11023</v>
      </c>
      <c r="P20" s="95" t="s">
        <v>11023</v>
      </c>
      <c r="Q20" s="98">
        <v>1.7361111111111112E-4</v>
      </c>
      <c r="R20" s="98">
        <v>1.3194444444444443E-3</v>
      </c>
      <c r="S20" s="95">
        <v>0</v>
      </c>
      <c r="T20" s="95" t="s">
        <v>36</v>
      </c>
      <c r="U20" s="95" t="s">
        <v>37</v>
      </c>
      <c r="V20" s="95" t="s">
        <v>38</v>
      </c>
      <c r="Z20" s="95" t="b">
        <v>0</v>
      </c>
      <c r="AD20" s="95">
        <v>4</v>
      </c>
      <c r="AE20" s="95" t="s">
        <v>1464</v>
      </c>
      <c r="AF20" s="95" t="s">
        <v>9537</v>
      </c>
      <c r="AH20" s="95" t="b">
        <v>0</v>
      </c>
      <c r="AI20" s="95" t="s">
        <v>11187</v>
      </c>
      <c r="AL20" s="207">
        <v>1.0416666666666667E-4</v>
      </c>
      <c r="AM20" s="208" t="b">
        <v>1</v>
      </c>
      <c r="AN20" s="208" t="b">
        <v>1</v>
      </c>
      <c r="AO20" s="252" t="b">
        <f t="shared" si="9"/>
        <v>1</v>
      </c>
      <c r="AP20" s="209" t="s">
        <v>11366</v>
      </c>
      <c r="AQ20" s="210" t="str" cm="1">
        <f t="array" ref="AQ20">_xlfn.IFS(AND(AC20&lt;&gt;"", AR20&lt;&gt;"-"), TRUE, AND(AC20&lt;&gt;"", AR20="-"), FALSE, AC20="", "-")</f>
        <v>-</v>
      </c>
      <c r="AR20" s="223">
        <v>0.02</v>
      </c>
      <c r="AS20" s="221">
        <f t="shared" si="10"/>
        <v>1.1457628381751035</v>
      </c>
      <c r="AT20" s="207">
        <v>1.273148148148148E-4</v>
      </c>
      <c r="AU20" s="207">
        <f t="shared" si="11"/>
        <v>2.3148148148148149E-4</v>
      </c>
      <c r="AV20" s="207">
        <f t="shared" si="12"/>
        <v>-4.6296296296296314E-5</v>
      </c>
      <c r="AW20" s="207">
        <f t="shared" si="13"/>
        <v>-1.0879629629629629E-3</v>
      </c>
      <c r="AX20" s="212" cm="1">
        <f t="array" ref="AX20">_xlfn.IFS(AP20="-", "-", AND(AP20="asphalt",AA20=""),100%, AND(AP20&lt;&gt;"asphalt",AA20=""), 0%)</f>
        <v>1</v>
      </c>
      <c r="AY20" s="213">
        <f>IF(AX20&lt;&gt;"-", 1-AX20, "-")</f>
        <v>0</v>
      </c>
      <c r="AZ20" s="212" t="str">
        <f t="shared" si="30"/>
        <v>-</v>
      </c>
      <c r="BA20" s="212" t="str" cm="1">
        <f t="array" ref="BA20">_xlfn.IFS(OR(AC20="", AS20="-"), "-", AND(AC20&lt;&gt;"", OR(AS20&lt;&gt;"-", AS20&lt;&gt;0)), ABS(AS20/AC20-1))</f>
        <v>-</v>
      </c>
      <c r="BB20" s="208"/>
      <c r="BC20" s="214">
        <v>3.5879629629629635E-4</v>
      </c>
      <c r="BD20" s="215" t="b">
        <v>1</v>
      </c>
      <c r="BE20" s="215" t="b">
        <v>1</v>
      </c>
      <c r="BF20" s="215" t="b">
        <f t="shared" si="14"/>
        <v>1</v>
      </c>
      <c r="BG20" s="215"/>
      <c r="BH20" s="243" t="str" cm="1">
        <f t="array" ref="BH20">_xlfn.IFS(AND(AC20&lt;&gt;"", BK20&lt;&gt;"-"), TRUE, AND(AC20&lt;&gt;"", BK20="-"), FALSE, AC20="", "-")</f>
        <v>-</v>
      </c>
      <c r="BI20" s="243" t="s">
        <v>9801</v>
      </c>
      <c r="BJ20" s="243" t="s">
        <v>9801</v>
      </c>
      <c r="BK20" s="244" t="str">
        <f t="shared" si="31"/>
        <v>-</v>
      </c>
      <c r="BL20" s="217" t="b" cm="1">
        <f t="array" ref="BL20">_xlfn.IFS(AND(AD20&lt;&gt;"", BO20&lt;&gt;"-"), TRUE, AND(AD20&lt;&gt;"", BO20="-"), FALSE, AD20="", "-")</f>
        <v>1</v>
      </c>
      <c r="BM20" s="215">
        <v>2.2599999999999998</v>
      </c>
      <c r="BN20" s="215">
        <v>0.09</v>
      </c>
      <c r="BO20" s="217">
        <f t="shared" si="15"/>
        <v>2</v>
      </c>
      <c r="BP20" s="214">
        <v>3.0092592592592595E-4</v>
      </c>
      <c r="BQ20" s="214">
        <f t="shared" si="1"/>
        <v>6.5972222222222235E-4</v>
      </c>
      <c r="BR20" s="214">
        <f t="shared" si="2"/>
        <v>1.2731481481481483E-4</v>
      </c>
      <c r="BS20" s="214">
        <f t="shared" si="3"/>
        <v>-6.5972222222222192E-4</v>
      </c>
      <c r="BT20" s="218">
        <f>IF(AND(BG20="",AA20=""),100%, "TBD")</f>
        <v>1</v>
      </c>
      <c r="BU20" s="219">
        <f t="shared" si="16"/>
        <v>0</v>
      </c>
      <c r="BV20" s="217" t="str">
        <f t="shared" si="4"/>
        <v>-</v>
      </c>
      <c r="BW20" s="218" t="str">
        <f t="shared" si="17"/>
        <v>-</v>
      </c>
      <c r="BX20" s="218" t="str">
        <f t="shared" si="5"/>
        <v>-</v>
      </c>
      <c r="BY20" s="217">
        <f t="shared" si="6"/>
        <v>-2</v>
      </c>
      <c r="BZ20" s="218">
        <f t="shared" si="7"/>
        <v>0.5</v>
      </c>
      <c r="CA20" s="218">
        <f t="shared" si="8"/>
        <v>0.5</v>
      </c>
      <c r="CB20" s="218"/>
      <c r="CC20" s="229">
        <v>2.7777777777777778E-4</v>
      </c>
      <c r="CD20" s="230" t="b">
        <v>1</v>
      </c>
      <c r="CE20" s="230" t="b">
        <v>1</v>
      </c>
      <c r="CF20" s="243" t="str" cm="1">
        <f t="array" ref="CF20">_xlfn.IFS(AND(AC20&lt;&gt;"", CI20&lt;&gt;"-"), TRUE, AND(AC20&lt;&gt;"", CI20="-"), FALSE, AC20="", "-")</f>
        <v>-</v>
      </c>
      <c r="CG20" s="243" t="s">
        <v>9801</v>
      </c>
      <c r="CH20" s="243" t="s">
        <v>9801</v>
      </c>
      <c r="CI20" s="244" t="str">
        <f t="shared" si="18"/>
        <v>-</v>
      </c>
      <c r="CJ20" s="236" t="b" cm="1">
        <f t="array" ref="CJ20">_xlfn.IFS(AND(AD20&lt;&gt;"", CM20&lt;&gt;"-"), TRUE, AND(AD20&lt;&gt;"", CM20="-"), FALSE, AD20="", "-")</f>
        <v>1</v>
      </c>
      <c r="CK20" s="230">
        <v>1.96</v>
      </c>
      <c r="CL20" s="230">
        <v>0.15</v>
      </c>
      <c r="CM20" s="255">
        <f>IF(AND(CL20&lt;&gt;"-",CK20&lt;&gt;"-"), ROUND(DEGREES(ATAN(CL20/CK20)*100%), 0), "-")</f>
        <v>4</v>
      </c>
      <c r="CN20" s="229">
        <v>2.0833333333333335E-4</v>
      </c>
      <c r="CO20" s="229">
        <f t="shared" si="20"/>
        <v>4.861111111111111E-4</v>
      </c>
      <c r="CP20" s="229">
        <f t="shared" si="21"/>
        <v>3.4722222222222229E-5</v>
      </c>
      <c r="CQ20" s="229">
        <f t="shared" si="22"/>
        <v>-8.3333333333333317E-4</v>
      </c>
      <c r="CR20" s="230" t="str">
        <f t="shared" si="23"/>
        <v>-</v>
      </c>
      <c r="CS20" s="259" t="str">
        <f t="shared" si="24"/>
        <v>-</v>
      </c>
      <c r="CT20" s="259" t="str">
        <f t="shared" si="25"/>
        <v>-</v>
      </c>
      <c r="CU20" s="230">
        <f t="shared" si="26"/>
        <v>0</v>
      </c>
      <c r="CV20" s="259">
        <f t="shared" si="27"/>
        <v>1</v>
      </c>
      <c r="CW20" s="262">
        <f t="shared" si="28"/>
        <v>0</v>
      </c>
      <c r="CX20" s="230"/>
    </row>
    <row r="21" spans="1:102" s="95" customFormat="1" x14ac:dyDescent="0.2">
      <c r="A21" s="95" t="s">
        <v>1615</v>
      </c>
      <c r="B21" s="95">
        <v>491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1616</v>
      </c>
      <c r="I21" s="95" t="s">
        <v>1617</v>
      </c>
      <c r="J21" s="95" t="s">
        <v>1614</v>
      </c>
      <c r="O21" s="95" t="s">
        <v>11022</v>
      </c>
      <c r="P21" s="95" t="s">
        <v>11022</v>
      </c>
      <c r="Q21" s="98">
        <v>3.8194444444444446E-4</v>
      </c>
      <c r="R21" s="98">
        <v>9.9537037037037042E-4</v>
      </c>
      <c r="S21" s="95">
        <v>0</v>
      </c>
      <c r="T21" s="95" t="s">
        <v>36</v>
      </c>
      <c r="U21" s="95" t="s">
        <v>37</v>
      </c>
      <c r="V21" s="95" t="s">
        <v>38</v>
      </c>
      <c r="Z21" s="95" t="b">
        <v>0</v>
      </c>
      <c r="AC21" s="95">
        <v>5</v>
      </c>
      <c r="AE21" s="95" t="s">
        <v>1464</v>
      </c>
      <c r="AF21" s="95" t="s">
        <v>9537</v>
      </c>
      <c r="AH21" s="95" t="b">
        <v>0</v>
      </c>
      <c r="AI21" s="95" t="s">
        <v>11188</v>
      </c>
      <c r="AL21" s="207">
        <v>1.7361111111111112E-4</v>
      </c>
      <c r="AM21" s="208" t="b">
        <v>1</v>
      </c>
      <c r="AN21" s="208" t="b">
        <v>1</v>
      </c>
      <c r="AO21" s="252" t="b">
        <f t="shared" si="9"/>
        <v>1</v>
      </c>
      <c r="AP21" s="209" t="s">
        <v>11366</v>
      </c>
      <c r="AQ21" s="253" t="b" cm="1">
        <f t="array" ref="AQ21">_xlfn.IFS(AND(AC21&lt;&gt;"", AR21&lt;&gt;"-"), TRUE, AND(AC21&lt;&gt;"", AR21="-"), FALSE, AC21="", "-")</f>
        <v>0</v>
      </c>
      <c r="AR21" s="224" t="s">
        <v>9801</v>
      </c>
      <c r="AS21" s="221" t="str">
        <f t="shared" si="10"/>
        <v>-</v>
      </c>
      <c r="AT21" s="207">
        <v>2.4305555555555552E-4</v>
      </c>
      <c r="AU21" s="207">
        <f t="shared" si="11"/>
        <v>4.1666666666666664E-4</v>
      </c>
      <c r="AV21" s="207">
        <f t="shared" si="12"/>
        <v>-1.3888888888888894E-4</v>
      </c>
      <c r="AW21" s="207">
        <f t="shared" si="13"/>
        <v>-5.7870370370370378E-4</v>
      </c>
      <c r="AX21" s="212" cm="1">
        <f t="array" ref="AX21">_xlfn.IFS(AP21="-", "-", AND(AP21="asphalt",AA21=""),100%, AND(AP21&lt;&gt;"asphalt",AA21=""), 0%)</f>
        <v>1</v>
      </c>
      <c r="AY21" s="213">
        <f t="shared" ref="AY21:AY26" si="32">IF(AX21&lt;&gt;"-", 1-AX21, "-")</f>
        <v>0</v>
      </c>
      <c r="AZ21" s="212" t="str">
        <f t="shared" si="30"/>
        <v>-</v>
      </c>
      <c r="BA21" s="212" t="str" cm="1">
        <f t="array" ref="BA21">_xlfn.IFS(OR(AC21="", AS21="-"), "-", AND(AC21&lt;&gt;"", OR(AS21&lt;&gt;"-", AS21&lt;&gt;0)), ABS(AS21/AC21-1))</f>
        <v>-</v>
      </c>
      <c r="BB21" s="208"/>
      <c r="BC21" s="214">
        <v>6.4814814814814813E-4</v>
      </c>
      <c r="BD21" s="215" t="b">
        <v>1</v>
      </c>
      <c r="BE21" s="215" t="b">
        <v>1</v>
      </c>
      <c r="BF21" s="215" t="b">
        <f t="shared" si="14"/>
        <v>1</v>
      </c>
      <c r="BG21" s="215"/>
      <c r="BH21" s="243" t="b" cm="1">
        <f t="array" ref="BH21">_xlfn.IFS(AND(AC21&lt;&gt;"", BK21&lt;&gt;"-"), TRUE, AND(AC21&lt;&gt;"", BK21="-"), FALSE, AC21="", "-")</f>
        <v>1</v>
      </c>
      <c r="BI21" s="243">
        <v>10.65</v>
      </c>
      <c r="BJ21" s="243">
        <v>0.74</v>
      </c>
      <c r="BK21" s="244">
        <f t="shared" si="31"/>
        <v>4</v>
      </c>
      <c r="BL21" s="217" t="str" cm="1">
        <f t="array" ref="BL21">_xlfn.IFS(AND(AD21&lt;&gt;"", BO21&lt;&gt;"-"), TRUE, AND(AD21&lt;&gt;"", BO21="-"), FALSE, AD21="", "-")</f>
        <v>-</v>
      </c>
      <c r="BM21" s="215" t="s">
        <v>9801</v>
      </c>
      <c r="BN21" s="215" t="s">
        <v>9801</v>
      </c>
      <c r="BO21" s="217" t="str">
        <f t="shared" si="15"/>
        <v>-</v>
      </c>
      <c r="BP21" s="214">
        <v>3.5879629629629635E-4</v>
      </c>
      <c r="BQ21" s="214">
        <f t="shared" si="1"/>
        <v>1.0069444444444444E-3</v>
      </c>
      <c r="BR21" s="214">
        <f t="shared" si="2"/>
        <v>-2.3148148148148117E-5</v>
      </c>
      <c r="BS21" s="214">
        <f t="shared" si="3"/>
        <v>1.1574074074074004E-5</v>
      </c>
      <c r="BT21" s="218">
        <f>IF(AND(BG21="",AA21=""),100%, "TBD")</f>
        <v>1</v>
      </c>
      <c r="BU21" s="219">
        <f t="shared" si="16"/>
        <v>0</v>
      </c>
      <c r="BV21" s="217">
        <f t="shared" si="4"/>
        <v>-1</v>
      </c>
      <c r="BW21" s="218">
        <f t="shared" si="17"/>
        <v>0.8</v>
      </c>
      <c r="BX21" s="218">
        <f t="shared" si="5"/>
        <v>0.19999999999999996</v>
      </c>
      <c r="BY21" s="217" t="str">
        <f t="shared" si="6"/>
        <v>-</v>
      </c>
      <c r="BZ21" s="218" t="str">
        <f t="shared" si="7"/>
        <v>-</v>
      </c>
      <c r="CA21" s="218" t="str">
        <f t="shared" si="8"/>
        <v>-</v>
      </c>
      <c r="CB21" s="218"/>
      <c r="CC21" s="229">
        <v>3.1250000000000001E-4</v>
      </c>
      <c r="CD21" s="230" t="b">
        <v>1</v>
      </c>
      <c r="CE21" s="230" t="b">
        <v>1</v>
      </c>
      <c r="CF21" s="243" t="b" cm="1">
        <f t="array" ref="CF21">_xlfn.IFS(AND(AC21&lt;&gt;"", CI21&lt;&gt;"-"), TRUE, AND(AC21&lt;&gt;"", CI21="-"), FALSE, AC21="", "-")</f>
        <v>1</v>
      </c>
      <c r="CG21" s="243">
        <v>21.84</v>
      </c>
      <c r="CH21" s="243">
        <v>1.63</v>
      </c>
      <c r="CI21" s="244">
        <f t="shared" si="18"/>
        <v>4</v>
      </c>
      <c r="CJ21" s="236" t="str" cm="1">
        <f t="array" ref="CJ21">_xlfn.IFS(AND(AD21&lt;&gt;"", CM21&lt;&gt;"-"), TRUE, AND(AD21&lt;&gt;"", CM21="-"), FALSE, AD21="", "-")</f>
        <v>-</v>
      </c>
      <c r="CK21" s="230" t="s">
        <v>9801</v>
      </c>
      <c r="CL21" s="230" t="s">
        <v>9801</v>
      </c>
      <c r="CM21" s="255" t="str">
        <f t="shared" si="19"/>
        <v>-</v>
      </c>
      <c r="CN21" s="229">
        <v>3.1250000000000001E-4</v>
      </c>
      <c r="CO21" s="229">
        <f t="shared" si="20"/>
        <v>6.2500000000000001E-4</v>
      </c>
      <c r="CP21" s="229">
        <f t="shared" si="21"/>
        <v>-6.9444444444444458E-5</v>
      </c>
      <c r="CQ21" s="229">
        <f t="shared" si="22"/>
        <v>-3.7037037037037041E-4</v>
      </c>
      <c r="CR21" s="230">
        <f t="shared" si="23"/>
        <v>-1</v>
      </c>
      <c r="CS21" s="259">
        <f t="shared" si="24"/>
        <v>0.8</v>
      </c>
      <c r="CT21" s="259">
        <f t="shared" si="25"/>
        <v>0.19999999999999996</v>
      </c>
      <c r="CU21" s="230" t="str">
        <f t="shared" si="26"/>
        <v>-</v>
      </c>
      <c r="CV21" s="259" t="str">
        <f t="shared" si="27"/>
        <v>-</v>
      </c>
      <c r="CW21" s="262" t="str">
        <f t="shared" si="28"/>
        <v>-</v>
      </c>
      <c r="CX21" s="230"/>
    </row>
    <row r="22" spans="1:102" s="95" customFormat="1" x14ac:dyDescent="0.2">
      <c r="A22" s="95" t="s">
        <v>1648</v>
      </c>
      <c r="B22" s="95">
        <v>501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1649</v>
      </c>
      <c r="I22" s="95" t="s">
        <v>1650</v>
      </c>
      <c r="J22" s="95" t="s">
        <v>1647</v>
      </c>
      <c r="O22" s="95" t="s">
        <v>11021</v>
      </c>
      <c r="P22" s="95" t="s">
        <v>11021</v>
      </c>
      <c r="Q22" s="98">
        <v>2.8935185185185189E-4</v>
      </c>
      <c r="R22" s="98">
        <v>1.1458333333333333E-3</v>
      </c>
      <c r="S22" s="95">
        <v>0</v>
      </c>
      <c r="T22" s="95" t="s">
        <v>36</v>
      </c>
      <c r="U22" s="95" t="s">
        <v>37</v>
      </c>
      <c r="V22" s="95" t="s">
        <v>38</v>
      </c>
      <c r="Z22" s="95" t="b">
        <v>0</v>
      </c>
      <c r="AC22" s="95">
        <v>5</v>
      </c>
      <c r="AE22" s="95" t="s">
        <v>1464</v>
      </c>
      <c r="AF22" s="95" t="s">
        <v>9537</v>
      </c>
      <c r="AH22" s="95" t="b">
        <v>0</v>
      </c>
      <c r="AI22" s="95" t="s">
        <v>11189</v>
      </c>
      <c r="AL22" s="207">
        <v>1.5046296296296297E-4</v>
      </c>
      <c r="AM22" s="208" t="b">
        <v>1</v>
      </c>
      <c r="AN22" s="208" t="b">
        <v>1</v>
      </c>
      <c r="AO22" s="252" t="b">
        <f t="shared" si="9"/>
        <v>1</v>
      </c>
      <c r="AP22" s="209" t="s">
        <v>11366</v>
      </c>
      <c r="AQ22" s="253" t="b" cm="1">
        <f t="array" ref="AQ22">_xlfn.IFS(AND(AC22&lt;&gt;"", AR22&lt;&gt;"-"), TRUE, AND(AC22&lt;&gt;"", AR22="-"), FALSE, AC22="", "-")</f>
        <v>0</v>
      </c>
      <c r="AR22" s="224" t="s">
        <v>9801</v>
      </c>
      <c r="AS22" s="221" t="str">
        <f t="shared" si="10"/>
        <v>-</v>
      </c>
      <c r="AT22" s="207">
        <v>4.2824074074074075E-4</v>
      </c>
      <c r="AU22" s="207">
        <f t="shared" si="11"/>
        <v>5.7870370370370367E-4</v>
      </c>
      <c r="AV22" s="207">
        <f t="shared" si="12"/>
        <v>1.3888888888888886E-4</v>
      </c>
      <c r="AW22" s="207">
        <f t="shared" si="13"/>
        <v>-5.6712962962962967E-4</v>
      </c>
      <c r="AX22" s="212" cm="1">
        <f t="array" ref="AX22">_xlfn.IFS(AP22="-", "-", AND(AP22="asphalt",AA22=""),100%, AND(AP22&lt;&gt;"asphalt",AA22=""), 0%)</f>
        <v>1</v>
      </c>
      <c r="AY22" s="213">
        <f t="shared" si="32"/>
        <v>0</v>
      </c>
      <c r="AZ22" s="212" t="str">
        <f>IF(BA22&lt;&gt;"-", 1-BA22, "-")</f>
        <v>-</v>
      </c>
      <c r="BA22" s="212" t="str" cm="1">
        <f t="array" ref="BA22">_xlfn.IFS(OR(AC22="", AS22="-"), "-", AND(AC22&lt;&gt;"", OR(AS22&lt;&gt;"-", AS22&lt;&gt;0)), ABS(AS22/AC22-1))</f>
        <v>-</v>
      </c>
      <c r="BB22" s="208"/>
      <c r="BC22" s="214">
        <v>3.5879629629629635E-4</v>
      </c>
      <c r="BD22" s="215" t="b">
        <v>1</v>
      </c>
      <c r="BE22" s="215" t="b">
        <v>1</v>
      </c>
      <c r="BF22" s="215" t="b">
        <f>IF(BG22&lt;&gt;"-", TRUE, FALSE)</f>
        <v>1</v>
      </c>
      <c r="BG22" s="215"/>
      <c r="BH22" s="243" t="b" cm="1">
        <f t="array" ref="BH22">_xlfn.IFS(AND(AC22&lt;&gt;"", BK22&lt;&gt;"-"), TRUE, AND(AC22&lt;&gt;"", BK22="-"), FALSE, AC22="", "-")</f>
        <v>1</v>
      </c>
      <c r="BI22" s="243">
        <v>3.24</v>
      </c>
      <c r="BJ22" s="243">
        <v>0.28999999999999998</v>
      </c>
      <c r="BK22" s="244">
        <f t="shared" si="31"/>
        <v>5</v>
      </c>
      <c r="BL22" s="217" t="str" cm="1">
        <f t="array" ref="BL22">_xlfn.IFS(AND(AD22&lt;&gt;"", BO22&lt;&gt;"-"), TRUE, AND(AD22&lt;&gt;"", BO22="-"), FALSE, AD22="", "-")</f>
        <v>-</v>
      </c>
      <c r="BM22" s="215" t="s">
        <v>9801</v>
      </c>
      <c r="BN22" s="215" t="s">
        <v>9801</v>
      </c>
      <c r="BO22" s="217" t="str">
        <f t="shared" si="15"/>
        <v>-</v>
      </c>
      <c r="BP22" s="214">
        <v>2.8935185185185189E-4</v>
      </c>
      <c r="BQ22" s="214">
        <f t="shared" si="1"/>
        <v>6.4814814814814824E-4</v>
      </c>
      <c r="BR22" s="214">
        <f t="shared" si="2"/>
        <v>0</v>
      </c>
      <c r="BS22" s="214">
        <f t="shared" si="3"/>
        <v>-4.976851851851851E-4</v>
      </c>
      <c r="BT22" s="218">
        <f>IF(AND(BG22="",AA22=""),100%, "TBD")</f>
        <v>1</v>
      </c>
      <c r="BU22" s="219">
        <f t="shared" si="16"/>
        <v>0</v>
      </c>
      <c r="BV22" s="217">
        <f t="shared" si="4"/>
        <v>0</v>
      </c>
      <c r="BW22" s="218">
        <f t="shared" si="17"/>
        <v>1</v>
      </c>
      <c r="BX22" s="218">
        <f t="shared" si="5"/>
        <v>0</v>
      </c>
      <c r="BY22" s="217" t="str">
        <f t="shared" si="6"/>
        <v>-</v>
      </c>
      <c r="BZ22" s="218" t="str">
        <f t="shared" si="7"/>
        <v>-</v>
      </c>
      <c r="CA22" s="218" t="str">
        <f t="shared" si="8"/>
        <v>-</v>
      </c>
      <c r="CB22" s="218"/>
      <c r="CC22" s="229">
        <v>6.018518518518519E-4</v>
      </c>
      <c r="CD22" s="230" t="b">
        <v>1</v>
      </c>
      <c r="CE22" s="230" t="b">
        <v>1</v>
      </c>
      <c r="CF22" s="243" t="b" cm="1">
        <f t="array" ref="CF22">_xlfn.IFS(AND(AC22&lt;&gt;"", CI22&lt;&gt;"-"), TRUE, AND(AC22&lt;&gt;"", CI22="-"), FALSE, AC22="", "-")</f>
        <v>1</v>
      </c>
      <c r="CG22" s="243">
        <v>18.440000000000001</v>
      </c>
      <c r="CH22" s="243">
        <v>1.55</v>
      </c>
      <c r="CI22" s="244">
        <f t="shared" si="18"/>
        <v>5</v>
      </c>
      <c r="CJ22" s="236" t="str" cm="1">
        <f t="array" ref="CJ22">_xlfn.IFS(AND(AD22&lt;&gt;"", CM22&lt;&gt;"-"), TRUE, AND(AD22&lt;&gt;"", CM22="-"), FALSE, AD22="", "-")</f>
        <v>-</v>
      </c>
      <c r="CK22" s="230" t="s">
        <v>9801</v>
      </c>
      <c r="CL22" s="230" t="s">
        <v>9801</v>
      </c>
      <c r="CM22" s="255" t="str">
        <f t="shared" si="19"/>
        <v>-</v>
      </c>
      <c r="CN22" s="229">
        <v>2.6620370370370372E-4</v>
      </c>
      <c r="CO22" s="229">
        <f t="shared" si="20"/>
        <v>8.6805555555555562E-4</v>
      </c>
      <c r="CP22" s="229">
        <f t="shared" si="21"/>
        <v>-2.3148148148148171E-5</v>
      </c>
      <c r="CQ22" s="229">
        <f t="shared" si="22"/>
        <v>-2.7777777777777772E-4</v>
      </c>
      <c r="CR22" s="230">
        <f t="shared" si="23"/>
        <v>0</v>
      </c>
      <c r="CS22" s="259">
        <f t="shared" si="24"/>
        <v>1</v>
      </c>
      <c r="CT22" s="259">
        <f t="shared" si="25"/>
        <v>0</v>
      </c>
      <c r="CU22" s="230" t="str">
        <f t="shared" si="26"/>
        <v>-</v>
      </c>
      <c r="CV22" s="259" t="str">
        <f t="shared" si="27"/>
        <v>-</v>
      </c>
      <c r="CW22" s="262" t="str">
        <f t="shared" si="28"/>
        <v>-</v>
      </c>
      <c r="CX22" s="230"/>
    </row>
    <row r="23" spans="1:102" s="95" customFormat="1" x14ac:dyDescent="0.2">
      <c r="A23" s="95" t="s">
        <v>1735</v>
      </c>
      <c r="B23" s="95">
        <v>529</v>
      </c>
      <c r="C23" s="95" t="b">
        <v>0</v>
      </c>
      <c r="D23" s="95" t="b">
        <v>0</v>
      </c>
      <c r="E23" s="95" t="b">
        <v>0</v>
      </c>
      <c r="F23" s="95" t="b">
        <v>0</v>
      </c>
      <c r="G23" s="95" t="s">
        <v>31</v>
      </c>
      <c r="H23" s="95" t="s">
        <v>1736</v>
      </c>
      <c r="I23" s="95" t="s">
        <v>1737</v>
      </c>
      <c r="J23" s="95" t="s">
        <v>1738</v>
      </c>
      <c r="O23" s="95" t="s">
        <v>11020</v>
      </c>
      <c r="P23" s="95" t="s">
        <v>11019</v>
      </c>
      <c r="Q23" s="98">
        <v>3.7037037037037035E-4</v>
      </c>
      <c r="R23" s="98">
        <v>2.8472222222222219E-3</v>
      </c>
      <c r="S23" s="95">
        <v>0</v>
      </c>
      <c r="T23" s="95" t="s">
        <v>36</v>
      </c>
      <c r="U23" s="95" t="s">
        <v>37</v>
      </c>
      <c r="V23" s="95" t="s">
        <v>38</v>
      </c>
      <c r="Z23" s="95" t="b">
        <v>0</v>
      </c>
      <c r="AC23" s="95">
        <v>12</v>
      </c>
      <c r="AD23" s="95">
        <v>4</v>
      </c>
      <c r="AE23" s="95" t="s">
        <v>1464</v>
      </c>
      <c r="AF23" s="95" t="s">
        <v>9537</v>
      </c>
      <c r="AH23" s="95" t="b">
        <v>0</v>
      </c>
      <c r="AI23" s="95" t="s">
        <v>11190</v>
      </c>
      <c r="AL23" s="207">
        <v>1.8518518518518518E-4</v>
      </c>
      <c r="AM23" s="208" t="b">
        <v>1</v>
      </c>
      <c r="AN23" s="208" t="b">
        <v>1</v>
      </c>
      <c r="AO23" s="252" t="b">
        <f t="shared" si="9"/>
        <v>1</v>
      </c>
      <c r="AP23" s="209" t="s">
        <v>11366</v>
      </c>
      <c r="AQ23" s="253" t="b" cm="1">
        <f t="array" ref="AQ23">_xlfn.IFS(AND(AC23&lt;&gt;"", AR23&lt;&gt;"-"), TRUE, AND(AC23&lt;&gt;"", AR23="-"), FALSE, AC23="", "-")</f>
        <v>1</v>
      </c>
      <c r="AR23" s="223">
        <v>0.17</v>
      </c>
      <c r="AS23" s="221">
        <f t="shared" si="10"/>
        <v>9.6480453160981572</v>
      </c>
      <c r="AT23" s="207">
        <v>9.2592592592592588E-5</v>
      </c>
      <c r="AU23" s="207">
        <f t="shared" si="11"/>
        <v>2.7777777777777778E-4</v>
      </c>
      <c r="AV23" s="207">
        <f t="shared" si="12"/>
        <v>-2.7777777777777778E-4</v>
      </c>
      <c r="AW23" s="207">
        <f t="shared" si="13"/>
        <v>-2.5694444444444441E-3</v>
      </c>
      <c r="AX23" s="212" cm="1">
        <f t="array" ref="AX23">_xlfn.IFS(AP23="-", "-", AND(AP23="asphalt",AA23=""),100%, AND(AP23&lt;&gt;"asphalt",AA23=""), 0%)</f>
        <v>1</v>
      </c>
      <c r="AY23" s="213">
        <f t="shared" si="32"/>
        <v>0</v>
      </c>
      <c r="AZ23" s="212">
        <f t="shared" si="30"/>
        <v>0.8040037763415131</v>
      </c>
      <c r="BA23" s="212" cm="1">
        <f t="array" ref="BA23">_xlfn.IFS(OR(AC23="", AS23="-"), "-", AND(AC23&lt;&gt;"", OR(AS23&lt;&gt;"-", AS23&lt;&gt;0)), ABS(AS23/AC23-1))</f>
        <v>0.1959962236584869</v>
      </c>
      <c r="BB23" s="208"/>
      <c r="BC23" s="214">
        <v>1.0879629629629629E-3</v>
      </c>
      <c r="BD23" s="215" t="b">
        <v>0</v>
      </c>
      <c r="BE23" s="215" t="s">
        <v>9801</v>
      </c>
      <c r="BF23" s="215" t="b">
        <f t="shared" si="14"/>
        <v>0</v>
      </c>
      <c r="BG23" s="215" t="s">
        <v>9801</v>
      </c>
      <c r="BH23" s="243" t="b" cm="1">
        <f t="array" ref="BH23">_xlfn.IFS(AND(AC23&lt;&gt;"", BK23&lt;&gt;"-"), TRUE, AND(AC23&lt;&gt;"", BK23="-"), FALSE, AC23="", "-")</f>
        <v>0</v>
      </c>
      <c r="BI23" s="243" t="s">
        <v>9801</v>
      </c>
      <c r="BJ23" s="243" t="s">
        <v>9801</v>
      </c>
      <c r="BK23" s="244" t="str">
        <f t="shared" si="31"/>
        <v>-</v>
      </c>
      <c r="BL23" s="217" t="b" cm="1">
        <f t="array" ref="BL23">_xlfn.IFS(AND(AD23&lt;&gt;"", BO23&lt;&gt;"-"), TRUE, AND(AD23&lt;&gt;"", BO23="-"), FALSE, AD23="", "-")</f>
        <v>0</v>
      </c>
      <c r="BM23" s="215" t="s">
        <v>9801</v>
      </c>
      <c r="BN23" s="215" t="s">
        <v>9801</v>
      </c>
      <c r="BO23" s="217" t="str">
        <f t="shared" si="15"/>
        <v>-</v>
      </c>
      <c r="BP23" s="214"/>
      <c r="BQ23" s="214">
        <f t="shared" si="1"/>
        <v>1.0879629629629629E-3</v>
      </c>
      <c r="BR23" s="214">
        <f t="shared" si="2"/>
        <v>-3.7037037037037035E-4</v>
      </c>
      <c r="BS23" s="214">
        <f t="shared" si="3"/>
        <v>-1.759259259259259E-3</v>
      </c>
      <c r="BT23" s="218" t="s">
        <v>9801</v>
      </c>
      <c r="BU23" s="219" t="s">
        <v>9801</v>
      </c>
      <c r="BV23" s="217" t="str">
        <f t="shared" si="4"/>
        <v>-</v>
      </c>
      <c r="BW23" s="218" t="str">
        <f t="shared" si="17"/>
        <v>-</v>
      </c>
      <c r="BX23" s="218" t="str">
        <f t="shared" si="5"/>
        <v>-</v>
      </c>
      <c r="BY23" s="217" t="str">
        <f t="shared" si="6"/>
        <v>-</v>
      </c>
      <c r="BZ23" s="218" t="str">
        <f t="shared" si="7"/>
        <v>-</v>
      </c>
      <c r="CA23" s="218" t="str">
        <f t="shared" si="8"/>
        <v>-</v>
      </c>
      <c r="CB23" s="218" t="s">
        <v>11395</v>
      </c>
      <c r="CC23" s="229">
        <v>6.134259259259259E-4</v>
      </c>
      <c r="CD23" s="230" t="b">
        <v>1</v>
      </c>
      <c r="CE23" s="230" t="b">
        <v>1</v>
      </c>
      <c r="CF23" s="243" t="b" cm="1">
        <f t="array" ref="CF23">_xlfn.IFS(AND(AC23&lt;&gt;"", CI23&lt;&gt;"-"), TRUE, AND(AC23&lt;&gt;"", CI23="-"), FALSE, AC23="", "-")</f>
        <v>1</v>
      </c>
      <c r="CG23" s="243">
        <v>18.11</v>
      </c>
      <c r="CH23" s="243">
        <v>3.13</v>
      </c>
      <c r="CI23" s="244">
        <f t="shared" si="18"/>
        <v>10</v>
      </c>
      <c r="CJ23" s="236" t="b" cm="1">
        <f t="array" ref="CJ23">_xlfn.IFS(AND(AD23&lt;&gt;"", CM23&lt;&gt;"-"), TRUE, AND(AD23&lt;&gt;"", CM23="-"), FALSE, AD23="", "-")</f>
        <v>1</v>
      </c>
      <c r="CK23" s="230">
        <v>3.73</v>
      </c>
      <c r="CL23" s="230">
        <v>0.22</v>
      </c>
      <c r="CM23" s="255">
        <f t="shared" si="19"/>
        <v>3</v>
      </c>
      <c r="CN23" s="229">
        <v>3.9351851851851852E-4</v>
      </c>
      <c r="CO23" s="229">
        <f t="shared" si="20"/>
        <v>1.0069444444444444E-3</v>
      </c>
      <c r="CP23" s="229">
        <f t="shared" si="21"/>
        <v>2.3148148148148171E-5</v>
      </c>
      <c r="CQ23" s="229">
        <f>CO23-R23</f>
        <v>-1.8402777777777775E-3</v>
      </c>
      <c r="CR23" s="230">
        <f>IF(AND(AC23&lt;&gt;"",CI23&lt;&gt;"-"), CI23-AC23, "-")</f>
        <v>-2</v>
      </c>
      <c r="CS23" s="259">
        <f>IF(CT23&lt;&gt;"-", 1-CT23, "-")</f>
        <v>0.83333333333333337</v>
      </c>
      <c r="CT23" s="259">
        <f t="shared" si="25"/>
        <v>0.16666666666666663</v>
      </c>
      <c r="CU23" s="230">
        <f t="shared" si="26"/>
        <v>-1</v>
      </c>
      <c r="CV23" s="259">
        <f t="shared" si="27"/>
        <v>0.75</v>
      </c>
      <c r="CW23" s="262">
        <f t="shared" si="28"/>
        <v>0.25</v>
      </c>
      <c r="CX23" s="230"/>
    </row>
    <row r="24" spans="1:102" s="95" customFormat="1" x14ac:dyDescent="0.2">
      <c r="A24" s="95" t="s">
        <v>1743</v>
      </c>
      <c r="B24" s="95">
        <v>531</v>
      </c>
      <c r="C24" s="95" t="b">
        <v>0</v>
      </c>
      <c r="D24" s="95" t="b">
        <v>0</v>
      </c>
      <c r="E24" s="95" t="b">
        <v>0</v>
      </c>
      <c r="F24" s="95" t="b">
        <v>0</v>
      </c>
      <c r="G24" s="95" t="s">
        <v>31</v>
      </c>
      <c r="H24" s="95" t="s">
        <v>1744</v>
      </c>
      <c r="I24" s="95" t="s">
        <v>1745</v>
      </c>
      <c r="O24" s="95" t="s">
        <v>11018</v>
      </c>
      <c r="P24" s="95" t="s">
        <v>11018</v>
      </c>
      <c r="Q24" s="98">
        <v>1.9675925925925926E-4</v>
      </c>
      <c r="R24" s="98">
        <v>3.1944444444444442E-3</v>
      </c>
      <c r="S24" s="95">
        <v>0</v>
      </c>
      <c r="T24" s="95" t="s">
        <v>36</v>
      </c>
      <c r="U24" s="95" t="s">
        <v>37</v>
      </c>
      <c r="V24" s="95" t="s">
        <v>38</v>
      </c>
      <c r="Z24" s="95" t="b">
        <v>0</v>
      </c>
      <c r="AD24" s="95">
        <v>2</v>
      </c>
      <c r="AE24" s="95" t="s">
        <v>941</v>
      </c>
      <c r="AF24" s="95" t="s">
        <v>9534</v>
      </c>
      <c r="AH24" s="95" t="b">
        <v>0</v>
      </c>
      <c r="AI24" s="95" t="s">
        <v>11191</v>
      </c>
      <c r="AL24" s="207">
        <v>1.1574074074074073E-4</v>
      </c>
      <c r="AM24" s="208" t="b">
        <v>1</v>
      </c>
      <c r="AN24" s="208" t="b">
        <v>1</v>
      </c>
      <c r="AO24" s="252" t="b">
        <f t="shared" si="9"/>
        <v>1</v>
      </c>
      <c r="AP24" s="209" t="s">
        <v>11366</v>
      </c>
      <c r="AQ24" s="210" t="str" cm="1">
        <f t="array" ref="AQ24">_xlfn.IFS(AND(AC24&lt;&gt;"", AR24&lt;&gt;"-"), TRUE, AND(AC24&lt;&gt;"", AR24="-"), FALSE, AC24="", "-")</f>
        <v>-</v>
      </c>
      <c r="AR24" s="224" t="s">
        <v>9801</v>
      </c>
      <c r="AS24" s="221" t="str">
        <f t="shared" si="10"/>
        <v>-</v>
      </c>
      <c r="AT24" s="207">
        <v>2.199074074074074E-4</v>
      </c>
      <c r="AU24" s="207">
        <f t="shared" si="11"/>
        <v>3.3564814814814812E-4</v>
      </c>
      <c r="AV24" s="207">
        <f t="shared" si="12"/>
        <v>2.3148148148148144E-5</v>
      </c>
      <c r="AW24" s="207">
        <f t="shared" si="13"/>
        <v>-2.8587962962962959E-3</v>
      </c>
      <c r="AX24" s="212" cm="1">
        <f t="array" ref="AX24">_xlfn.IFS(AP24="-", "-", AND(AP24="asphalt",AA24=""),100%, AND(AP24&lt;&gt;"asphalt",AA24=""), 0%)</f>
        <v>1</v>
      </c>
      <c r="AY24" s="213">
        <f t="shared" si="32"/>
        <v>0</v>
      </c>
      <c r="AZ24" s="212" t="str">
        <f t="shared" si="30"/>
        <v>-</v>
      </c>
      <c r="BA24" s="212" t="str" cm="1">
        <f t="array" ref="BA24">_xlfn.IFS(OR(AC24="", AS24="-"), "-", AND(AC24&lt;&gt;"", OR(AS24&lt;&gt;"-", AS24&lt;&gt;0)), ABS(AS24/AC24-1))</f>
        <v>-</v>
      </c>
      <c r="BB24" s="208"/>
      <c r="BC24" s="214">
        <v>4.1666666666666669E-4</v>
      </c>
      <c r="BD24" s="215" t="b">
        <v>1</v>
      </c>
      <c r="BE24" s="215" t="b">
        <v>1</v>
      </c>
      <c r="BF24" s="215" t="b">
        <f t="shared" si="14"/>
        <v>1</v>
      </c>
      <c r="BG24" s="215"/>
      <c r="BH24" s="243" t="str" cm="1">
        <f t="array" ref="BH24">_xlfn.IFS(AND(AC24&lt;&gt;"", BK24&lt;&gt;"-"), TRUE, AND(AC24&lt;&gt;"", BK24="-"), FALSE, AC24="", "-")</f>
        <v>-</v>
      </c>
      <c r="BI24" s="243" t="s">
        <v>9801</v>
      </c>
      <c r="BJ24" s="243" t="s">
        <v>9801</v>
      </c>
      <c r="BK24" s="244" t="str">
        <f t="shared" si="31"/>
        <v>-</v>
      </c>
      <c r="BL24" s="217" t="b" cm="1">
        <f t="array" ref="BL24">_xlfn.IFS(AND(AD24&lt;&gt;"", BO24&lt;&gt;"-"), TRUE, AND(AD24&lt;&gt;"", BO24="-"), FALSE, AD24="", "-")</f>
        <v>1</v>
      </c>
      <c r="BM24" s="215">
        <v>2.2000000000000002</v>
      </c>
      <c r="BN24" s="215">
        <v>0.1</v>
      </c>
      <c r="BO24" s="217">
        <f t="shared" si="15"/>
        <v>3</v>
      </c>
      <c r="BP24" s="214">
        <v>2.7777777777777778E-4</v>
      </c>
      <c r="BQ24" s="214">
        <f t="shared" si="1"/>
        <v>6.9444444444444447E-4</v>
      </c>
      <c r="BR24" s="214">
        <f t="shared" si="2"/>
        <v>8.1018518518518516E-5</v>
      </c>
      <c r="BS24" s="214">
        <f t="shared" si="3"/>
        <v>-2.4999999999999996E-3</v>
      </c>
      <c r="BT24" s="218">
        <f>IF(AND(BG24="",AA24=""),100%, "TBD")</f>
        <v>1</v>
      </c>
      <c r="BU24" s="219">
        <f t="shared" si="16"/>
        <v>0</v>
      </c>
      <c r="BV24" s="217" t="str">
        <f t="shared" si="4"/>
        <v>-</v>
      </c>
      <c r="BW24" s="218" t="str">
        <f t="shared" si="17"/>
        <v>-</v>
      </c>
      <c r="BX24" s="218" t="str">
        <f t="shared" si="5"/>
        <v>-</v>
      </c>
      <c r="BY24" s="217">
        <f t="shared" si="6"/>
        <v>1</v>
      </c>
      <c r="BZ24" s="218">
        <f t="shared" si="7"/>
        <v>0.5</v>
      </c>
      <c r="CA24" s="218">
        <f t="shared" si="8"/>
        <v>0.5</v>
      </c>
      <c r="CB24" s="218"/>
      <c r="CC24" s="229">
        <v>4.8611111111111104E-4</v>
      </c>
      <c r="CD24" s="230" t="b">
        <v>1</v>
      </c>
      <c r="CE24" s="230" t="b">
        <v>1</v>
      </c>
      <c r="CF24" s="243" t="str" cm="1">
        <f t="array" ref="CF24">_xlfn.IFS(AND(AC24&lt;&gt;"", CI24&lt;&gt;"-"), TRUE, AND(AC24&lt;&gt;"", CI24="-"), FALSE, AC24="", "-")</f>
        <v>-</v>
      </c>
      <c r="CG24" s="243" t="s">
        <v>9801</v>
      </c>
      <c r="CH24" s="243" t="s">
        <v>9801</v>
      </c>
      <c r="CI24" s="244" t="str">
        <f t="shared" si="18"/>
        <v>-</v>
      </c>
      <c r="CJ24" s="236" t="b" cm="1">
        <f t="array" ref="CJ24">_xlfn.IFS(AND(AD24&lt;&gt;"", CM24&lt;&gt;"-"), TRUE, AND(AD24&lt;&gt;"", CM24="-"), FALSE, AD24="", "-")</f>
        <v>1</v>
      </c>
      <c r="CK24" s="230">
        <v>2.86</v>
      </c>
      <c r="CL24" s="230">
        <v>0.02</v>
      </c>
      <c r="CM24" s="255">
        <f t="shared" si="19"/>
        <v>0</v>
      </c>
      <c r="CN24" s="229">
        <v>3.5879629629629635E-4</v>
      </c>
      <c r="CO24" s="229">
        <f t="shared" si="20"/>
        <v>8.4490740740740739E-4</v>
      </c>
      <c r="CP24" s="229">
        <f t="shared" si="21"/>
        <v>1.6203703703703709E-4</v>
      </c>
      <c r="CQ24" s="229">
        <f t="shared" si="22"/>
        <v>-2.3495370370370367E-3</v>
      </c>
      <c r="CR24" s="230" t="str">
        <f t="shared" si="23"/>
        <v>-</v>
      </c>
      <c r="CS24" s="259" t="str">
        <f t="shared" si="24"/>
        <v>-</v>
      </c>
      <c r="CT24" s="259" t="str">
        <f t="shared" si="25"/>
        <v>-</v>
      </c>
      <c r="CU24" s="230">
        <f t="shared" si="26"/>
        <v>-2</v>
      </c>
      <c r="CV24" s="259">
        <f t="shared" si="27"/>
        <v>0</v>
      </c>
      <c r="CW24" s="262">
        <f t="shared" si="28"/>
        <v>1</v>
      </c>
      <c r="CX24" s="230"/>
    </row>
    <row r="25" spans="1:102" s="95" customFormat="1" x14ac:dyDescent="0.2">
      <c r="A25" s="95" t="s">
        <v>1873</v>
      </c>
      <c r="B25" s="95">
        <v>576</v>
      </c>
      <c r="C25" s="95" t="b">
        <v>0</v>
      </c>
      <c r="D25" s="95" t="b">
        <v>0</v>
      </c>
      <c r="E25" s="95" t="b">
        <v>0</v>
      </c>
      <c r="F25" s="95" t="b">
        <v>0</v>
      </c>
      <c r="G25" s="95" t="s">
        <v>31</v>
      </c>
      <c r="H25" s="95" t="s">
        <v>1874</v>
      </c>
      <c r="I25" s="95" t="s">
        <v>1875</v>
      </c>
      <c r="O25" s="95" t="s">
        <v>11017</v>
      </c>
      <c r="P25" s="95" t="s">
        <v>11016</v>
      </c>
      <c r="Q25" s="98">
        <v>3.7037037037037035E-4</v>
      </c>
      <c r="R25" s="98">
        <v>9.1435185185185185E-4</v>
      </c>
      <c r="S25" s="95">
        <v>0</v>
      </c>
      <c r="T25" s="95" t="s">
        <v>36</v>
      </c>
      <c r="U25" s="95" t="s">
        <v>37</v>
      </c>
      <c r="V25" s="95" t="s">
        <v>38</v>
      </c>
      <c r="Z25" s="95" t="b">
        <v>0</v>
      </c>
      <c r="AD25" s="95">
        <v>3</v>
      </c>
      <c r="AE25" s="95" t="s">
        <v>1826</v>
      </c>
      <c r="AF25" s="95" t="s">
        <v>9532</v>
      </c>
      <c r="AH25" s="95" t="b">
        <v>0</v>
      </c>
      <c r="AI25" s="95" t="s">
        <v>11192</v>
      </c>
      <c r="AL25" s="207">
        <v>1.273148148148148E-4</v>
      </c>
      <c r="AM25" s="208" t="b">
        <v>1</v>
      </c>
      <c r="AN25" s="208" t="b">
        <v>1</v>
      </c>
      <c r="AO25" s="252" t="b">
        <f>IF(AP25&lt;&gt;"-", TRUE, FALSE)</f>
        <v>1</v>
      </c>
      <c r="AP25" s="209" t="s">
        <v>11366</v>
      </c>
      <c r="AQ25" s="210" t="str" cm="1">
        <f t="array" ref="AQ25">_xlfn.IFS(AND(AC25&lt;&gt;"", AR25&lt;&gt;"-"), TRUE, AND(AC25&lt;&gt;"", AR25="-"), FALSE, AC25="", "-")</f>
        <v>-</v>
      </c>
      <c r="AR25" s="224" t="s">
        <v>9801</v>
      </c>
      <c r="AS25" s="221" t="str">
        <f t="shared" si="10"/>
        <v>-</v>
      </c>
      <c r="AT25" s="207">
        <v>2.0833333333333335E-4</v>
      </c>
      <c r="AU25" s="207">
        <f t="shared" si="11"/>
        <v>3.3564814814814818E-4</v>
      </c>
      <c r="AV25" s="207">
        <f t="shared" si="12"/>
        <v>-1.6203703703703701E-4</v>
      </c>
      <c r="AW25" s="207">
        <f t="shared" si="13"/>
        <v>-5.7870370370370367E-4</v>
      </c>
      <c r="AX25" s="212" cm="1">
        <f t="array" ref="AX25">_xlfn.IFS(AP25="-", "-", AND(AP25="asphalt",AA25=""),100%, AND(AP25&lt;&gt;"asphalt",AA25=""), 0%)</f>
        <v>1</v>
      </c>
      <c r="AY25" s="213">
        <f t="shared" si="32"/>
        <v>0</v>
      </c>
      <c r="AZ25" s="212" t="str">
        <f t="shared" si="30"/>
        <v>-</v>
      </c>
      <c r="BA25" s="212" t="str" cm="1">
        <f t="array" ref="BA25">_xlfn.IFS(OR(AC25="", AS25="-"), "-", AND(AC25&lt;&gt;"", OR(AS25&lt;&gt;"-", AS25&lt;&gt;0)), ABS(AS25/AC25-1))</f>
        <v>-</v>
      </c>
      <c r="BB25" s="208"/>
      <c r="BC25" s="214">
        <v>3.1250000000000001E-4</v>
      </c>
      <c r="BD25" s="215" t="b">
        <v>1</v>
      </c>
      <c r="BE25" s="215" t="b">
        <v>1</v>
      </c>
      <c r="BF25" s="215" t="b">
        <f t="shared" si="14"/>
        <v>1</v>
      </c>
      <c r="BG25" s="215"/>
      <c r="BH25" s="243" t="str" cm="1">
        <f t="array" ref="BH25">_xlfn.IFS(AND(AC25&lt;&gt;"", BK25&lt;&gt;"-"), TRUE, AND(AC25&lt;&gt;"", BK25="-"), FALSE, AC25="", "-")</f>
        <v>-</v>
      </c>
      <c r="BI25" s="243" t="s">
        <v>9801</v>
      </c>
      <c r="BJ25" s="243" t="s">
        <v>9801</v>
      </c>
      <c r="BK25" s="244" t="str">
        <f t="shared" si="31"/>
        <v>-</v>
      </c>
      <c r="BL25" s="217" t="b" cm="1">
        <f t="array" ref="BL25">_xlfn.IFS(AND(AD25&lt;&gt;"", BO25&lt;&gt;"-"), TRUE, AND(AD25&lt;&gt;"", BO25="-"), FALSE, AD25="", "-")</f>
        <v>1</v>
      </c>
      <c r="BM25" s="215">
        <v>1.53</v>
      </c>
      <c r="BN25" s="215">
        <v>0.11</v>
      </c>
      <c r="BO25" s="217">
        <f>IF(AND(BN25&lt;&gt;"-",BM25&lt;&gt;"-"), ROUND(DEGREES(ATAN(BN25/BM25)*100%), 0), "-")</f>
        <v>4</v>
      </c>
      <c r="BP25" s="214">
        <v>2.5462962962962961E-4</v>
      </c>
      <c r="BQ25" s="214">
        <f t="shared" si="1"/>
        <v>5.6712962962962967E-4</v>
      </c>
      <c r="BR25" s="214">
        <f t="shared" si="2"/>
        <v>-1.1574074074074075E-4</v>
      </c>
      <c r="BS25" s="214">
        <f t="shared" si="3"/>
        <v>-3.4722222222222218E-4</v>
      </c>
      <c r="BT25" s="218">
        <f>IF(AND(BG25="",AA25=""),100%, "TBD")</f>
        <v>1</v>
      </c>
      <c r="BU25" s="219">
        <f t="shared" si="16"/>
        <v>0</v>
      </c>
      <c r="BV25" s="217" t="str">
        <f t="shared" si="4"/>
        <v>-</v>
      </c>
      <c r="BW25" s="218" t="str">
        <f t="shared" si="17"/>
        <v>-</v>
      </c>
      <c r="BX25" s="218" t="str">
        <f t="shared" si="5"/>
        <v>-</v>
      </c>
      <c r="BY25" s="217">
        <f t="shared" si="6"/>
        <v>1</v>
      </c>
      <c r="BZ25" s="218">
        <f t="shared" si="7"/>
        <v>0.66666666666666674</v>
      </c>
      <c r="CA25" s="218">
        <f t="shared" si="8"/>
        <v>0.33333333333333326</v>
      </c>
      <c r="CB25" s="218"/>
      <c r="CC25" s="229">
        <v>4.6296296296296293E-4</v>
      </c>
      <c r="CD25" s="230" t="b">
        <v>1</v>
      </c>
      <c r="CE25" s="230" t="b">
        <v>1</v>
      </c>
      <c r="CF25" s="243" t="str" cm="1">
        <f t="array" ref="CF25">_xlfn.IFS(AND(AC25&lt;&gt;"", CI25&lt;&gt;"-"), TRUE, AND(AC25&lt;&gt;"", CI25="-"), FALSE, AC25="", "-")</f>
        <v>-</v>
      </c>
      <c r="CG25" s="243" t="s">
        <v>9801</v>
      </c>
      <c r="CH25" s="243" t="s">
        <v>9801</v>
      </c>
      <c r="CI25" s="244" t="str">
        <f t="shared" si="18"/>
        <v>-</v>
      </c>
      <c r="CJ25" s="236" t="b" cm="1">
        <f t="array" ref="CJ25">_xlfn.IFS(AND(AD25&lt;&gt;"", CM25&lt;&gt;"-"), TRUE, AND(AD25&lt;&gt;"", CM25="-"), FALSE, AD25="", "-")</f>
        <v>1</v>
      </c>
      <c r="CK25" s="230">
        <v>1.18</v>
      </c>
      <c r="CL25" s="230">
        <v>0.13</v>
      </c>
      <c r="CM25" s="255">
        <f t="shared" si="19"/>
        <v>6</v>
      </c>
      <c r="CN25" s="229">
        <v>2.8935185185185189E-4</v>
      </c>
      <c r="CO25" s="229">
        <f t="shared" si="20"/>
        <v>7.5231481481481482E-4</v>
      </c>
      <c r="CP25" s="229">
        <f t="shared" si="21"/>
        <v>-8.1018518518518462E-5</v>
      </c>
      <c r="CQ25" s="229">
        <f t="shared" si="22"/>
        <v>-1.6203703703703703E-4</v>
      </c>
      <c r="CR25" s="230" t="str">
        <f t="shared" si="23"/>
        <v>-</v>
      </c>
      <c r="CS25" s="259" t="str">
        <f t="shared" si="24"/>
        <v>-</v>
      </c>
      <c r="CT25" s="259" t="str">
        <f t="shared" si="25"/>
        <v>-</v>
      </c>
      <c r="CU25" s="230">
        <f t="shared" si="26"/>
        <v>3</v>
      </c>
      <c r="CV25" s="259">
        <f t="shared" si="27"/>
        <v>0</v>
      </c>
      <c r="CW25" s="262">
        <f t="shared" si="28"/>
        <v>1</v>
      </c>
      <c r="CX25" s="230"/>
    </row>
    <row r="26" spans="1:102" s="95" customFormat="1" x14ac:dyDescent="0.2">
      <c r="A26" s="95" t="s">
        <v>1911</v>
      </c>
      <c r="B26" s="95">
        <v>589</v>
      </c>
      <c r="C26" s="95" t="b">
        <v>0</v>
      </c>
      <c r="D26" s="95" t="b">
        <v>0</v>
      </c>
      <c r="E26" s="95" t="b">
        <v>0</v>
      </c>
      <c r="F26" s="95" t="b">
        <v>0</v>
      </c>
      <c r="G26" s="95" t="s">
        <v>31</v>
      </c>
      <c r="H26" s="95" t="s">
        <v>1912</v>
      </c>
      <c r="I26" s="95" t="s">
        <v>1913</v>
      </c>
      <c r="O26" s="95" t="s">
        <v>11015</v>
      </c>
      <c r="P26" s="95" t="s">
        <v>11015</v>
      </c>
      <c r="Q26" s="98">
        <v>1.9675925925925926E-4</v>
      </c>
      <c r="R26" s="98">
        <v>9.2592592592592585E-4</v>
      </c>
      <c r="S26" s="95">
        <v>0</v>
      </c>
      <c r="T26" s="95" t="s">
        <v>36</v>
      </c>
      <c r="U26" s="95" t="s">
        <v>37</v>
      </c>
      <c r="V26" s="95" t="s">
        <v>38</v>
      </c>
      <c r="Z26" s="95" t="b">
        <v>0</v>
      </c>
      <c r="AA26" s="95" t="s">
        <v>1891</v>
      </c>
      <c r="AE26" s="95" t="s">
        <v>1826</v>
      </c>
      <c r="AF26" s="95" t="s">
        <v>9532</v>
      </c>
      <c r="AH26" s="95" t="b">
        <v>0</v>
      </c>
      <c r="AI26" s="95" t="s">
        <v>11193</v>
      </c>
      <c r="AL26" s="207">
        <v>1.273148148148148E-4</v>
      </c>
      <c r="AM26" s="208" t="b">
        <v>1</v>
      </c>
      <c r="AN26" s="208" t="b">
        <v>1</v>
      </c>
      <c r="AO26" s="252" t="b">
        <f t="shared" si="9"/>
        <v>1</v>
      </c>
      <c r="AP26" s="209" t="s">
        <v>11379</v>
      </c>
      <c r="AQ26" s="210" t="str" cm="1">
        <f t="array" ref="AQ26">_xlfn.IFS(AND(AC26&lt;&gt;"", AR26&lt;&gt;"-"), TRUE, AND(AC26&lt;&gt;"", AR26="-"), FALSE, AC26="", "-")</f>
        <v>-</v>
      </c>
      <c r="AR26" s="224" t="s">
        <v>9801</v>
      </c>
      <c r="AS26" s="221" t="s">
        <v>9801</v>
      </c>
      <c r="AT26" s="207">
        <v>2.199074074074074E-4</v>
      </c>
      <c r="AU26" s="207">
        <f>AL26+AT26</f>
        <v>3.4722222222222218E-4</v>
      </c>
      <c r="AV26" s="207">
        <f t="shared" si="12"/>
        <v>2.3148148148148144E-5</v>
      </c>
      <c r="AW26" s="207">
        <f>AU26-R26</f>
        <v>-5.7870370370370367E-4</v>
      </c>
      <c r="AX26" s="212">
        <v>1</v>
      </c>
      <c r="AY26" s="213">
        <f t="shared" si="32"/>
        <v>0</v>
      </c>
      <c r="AZ26" s="212" t="str">
        <f t="shared" si="30"/>
        <v>-</v>
      </c>
      <c r="BA26" s="212" t="str" cm="1">
        <f t="array" ref="BA26">_xlfn.IFS(OR(AC26="", AS26="-"), "-", AND(AC26&lt;&gt;"", OR(AS26&lt;&gt;"-", AS26&lt;&gt;0)), ABS(AS26/AC26-1))</f>
        <v>-</v>
      </c>
      <c r="BB26" s="208"/>
      <c r="BC26" s="214">
        <v>8.6805555555555551E-4</v>
      </c>
      <c r="BD26" s="215" t="b">
        <v>1</v>
      </c>
      <c r="BE26" s="215" t="b">
        <v>1</v>
      </c>
      <c r="BF26" s="215" t="b">
        <f t="shared" si="14"/>
        <v>1</v>
      </c>
      <c r="BG26" s="215" t="s">
        <v>1235</v>
      </c>
      <c r="BH26" s="243" t="str" cm="1">
        <f t="array" ref="BH26">_xlfn.IFS(AND(AC26&lt;&gt;"", BK26&lt;&gt;"-"), TRUE, AND(AC26&lt;&gt;"", BK26="-"), FALSE, AC26="", "-")</f>
        <v>-</v>
      </c>
      <c r="BI26" s="243" t="s">
        <v>9801</v>
      </c>
      <c r="BJ26" s="243" t="s">
        <v>9801</v>
      </c>
      <c r="BK26" s="244" t="str">
        <f>IF(AND(BJ26&lt;&gt;"-",BI26&lt;&gt;"-"), ROUND(DEGREES(ATAN(BJ26/BI26)*100%), 0), "-")</f>
        <v>-</v>
      </c>
      <c r="BL26" s="217" t="str" cm="1">
        <f t="array" ref="BL26">_xlfn.IFS(AND(AD26&lt;&gt;"", BO26&lt;&gt;"-"), TRUE, AND(AD26&lt;&gt;"", BO26="-"), FALSE, AD26="", "-")</f>
        <v>-</v>
      </c>
      <c r="BM26" s="215" t="s">
        <v>9801</v>
      </c>
      <c r="BN26" s="215" t="s">
        <v>9801</v>
      </c>
      <c r="BO26" s="217" t="str">
        <f t="shared" si="15"/>
        <v>-</v>
      </c>
      <c r="BP26" s="214">
        <v>1.273148148148148E-4</v>
      </c>
      <c r="BQ26" s="214">
        <f t="shared" si="1"/>
        <v>9.9537037037037042E-4</v>
      </c>
      <c r="BR26" s="214">
        <f t="shared" si="2"/>
        <v>-6.9444444444444458E-5</v>
      </c>
      <c r="BS26" s="214">
        <f t="shared" si="3"/>
        <v>6.9444444444444566E-5</v>
      </c>
      <c r="BT26" s="218">
        <v>1</v>
      </c>
      <c r="BU26" s="219">
        <f t="shared" si="16"/>
        <v>0</v>
      </c>
      <c r="BV26" s="217" t="str">
        <f t="shared" si="4"/>
        <v>-</v>
      </c>
      <c r="BW26" s="218" t="str">
        <f t="shared" si="17"/>
        <v>-</v>
      </c>
      <c r="BX26" s="218" t="str">
        <f t="shared" si="5"/>
        <v>-</v>
      </c>
      <c r="BY26" s="217" t="str">
        <f t="shared" si="6"/>
        <v>-</v>
      </c>
      <c r="BZ26" s="218" t="str">
        <f t="shared" si="7"/>
        <v>-</v>
      </c>
      <c r="CA26" s="218" t="str">
        <f t="shared" si="8"/>
        <v>-</v>
      </c>
      <c r="CB26" s="218"/>
      <c r="CC26" s="229">
        <v>8.7962962962962962E-4</v>
      </c>
      <c r="CD26" s="230" t="b">
        <v>1</v>
      </c>
      <c r="CE26" s="230" t="b">
        <v>0</v>
      </c>
      <c r="CF26" s="243" t="str" cm="1">
        <f t="array" ref="CF26">_xlfn.IFS(AND(AC26&lt;&gt;"", CI26&lt;&gt;"-"), TRUE, AND(AC26&lt;&gt;"", CI26="-"), FALSE, AC26="", "-")</f>
        <v>-</v>
      </c>
      <c r="CG26" s="243" t="s">
        <v>9801</v>
      </c>
      <c r="CH26" s="243" t="s">
        <v>9801</v>
      </c>
      <c r="CI26" s="244" t="str">
        <f t="shared" si="18"/>
        <v>-</v>
      </c>
      <c r="CJ26" s="236" t="str" cm="1">
        <f t="array" ref="CJ26">_xlfn.IFS(AND(AD26&lt;&gt;"", CM26&lt;&gt;"-"), TRUE, AND(AD26&lt;&gt;"", CM26="-"), FALSE, AD26="", "-")</f>
        <v>-</v>
      </c>
      <c r="CK26" s="230" t="s">
        <v>9801</v>
      </c>
      <c r="CL26" s="230" t="s">
        <v>9801</v>
      </c>
      <c r="CM26" s="255" t="str">
        <f t="shared" si="19"/>
        <v>-</v>
      </c>
      <c r="CN26" s="229"/>
      <c r="CO26" s="229">
        <f t="shared" si="20"/>
        <v>8.7962962962962962E-4</v>
      </c>
      <c r="CP26" s="229">
        <f t="shared" si="21"/>
        <v>-1.9675925925925926E-4</v>
      </c>
      <c r="CQ26" s="229">
        <f t="shared" si="22"/>
        <v>-4.6296296296296233E-5</v>
      </c>
      <c r="CR26" s="230" t="str">
        <f t="shared" si="23"/>
        <v>-</v>
      </c>
      <c r="CS26" s="259" t="str">
        <f t="shared" si="24"/>
        <v>-</v>
      </c>
      <c r="CT26" s="259" t="str">
        <f t="shared" si="25"/>
        <v>-</v>
      </c>
      <c r="CU26" s="230" t="str">
        <f t="shared" si="26"/>
        <v>-</v>
      </c>
      <c r="CV26" s="259" t="str">
        <f t="shared" si="27"/>
        <v>-</v>
      </c>
      <c r="CW26" s="262" t="str">
        <f t="shared" si="28"/>
        <v>-</v>
      </c>
      <c r="CX26" s="230" t="s">
        <v>11424</v>
      </c>
    </row>
    <row r="27" spans="1:102" s="95" customFormat="1" x14ac:dyDescent="0.2">
      <c r="A27" s="95" t="s">
        <v>2056</v>
      </c>
      <c r="B27" s="95">
        <v>635</v>
      </c>
      <c r="C27" s="95" t="b">
        <v>0</v>
      </c>
      <c r="D27" s="95" t="b">
        <v>0</v>
      </c>
      <c r="E27" s="95" t="b">
        <v>0</v>
      </c>
      <c r="F27" s="95" t="b">
        <v>0</v>
      </c>
      <c r="G27" s="95" t="s">
        <v>31</v>
      </c>
      <c r="H27" s="95" t="s">
        <v>2057</v>
      </c>
      <c r="I27" s="95" t="s">
        <v>2058</v>
      </c>
      <c r="J27" s="95" t="s">
        <v>2059</v>
      </c>
      <c r="O27" s="95" t="s">
        <v>11014</v>
      </c>
      <c r="P27" s="95" t="s">
        <v>11013</v>
      </c>
      <c r="Q27" s="98">
        <v>2.7777777777777778E-4</v>
      </c>
      <c r="R27" s="98">
        <v>2.2916666666666667E-3</v>
      </c>
      <c r="S27" s="95">
        <v>0</v>
      </c>
      <c r="T27" s="95" t="s">
        <v>36</v>
      </c>
      <c r="U27" s="95" t="s">
        <v>37</v>
      </c>
      <c r="V27" s="95" t="s">
        <v>38</v>
      </c>
      <c r="Z27" s="95" t="b">
        <v>0</v>
      </c>
      <c r="AC27" s="95">
        <v>5</v>
      </c>
      <c r="AE27" s="95" t="s">
        <v>2025</v>
      </c>
      <c r="AF27" s="95" t="s">
        <v>9522</v>
      </c>
      <c r="AH27" s="95" t="b">
        <v>0</v>
      </c>
      <c r="AI27" s="95" t="s">
        <v>11194</v>
      </c>
      <c r="AL27" s="207">
        <v>1.7361111111111112E-4</v>
      </c>
      <c r="AM27" s="208" t="b">
        <v>1</v>
      </c>
      <c r="AN27" s="208" t="b">
        <v>1</v>
      </c>
      <c r="AO27" s="252" t="b">
        <f t="shared" si="9"/>
        <v>1</v>
      </c>
      <c r="AP27" s="209" t="s">
        <v>11367</v>
      </c>
      <c r="AQ27" s="253" t="b" cm="1">
        <f t="array" ref="AQ27">_xlfn.IFS(AND(AC27&lt;&gt;"", AR27&lt;&gt;"-"), TRUE, AND(AC27&lt;&gt;"", AR27="-"), FALSE, AC27="", "-")</f>
        <v>0</v>
      </c>
      <c r="AR27" s="224" t="s">
        <v>9801</v>
      </c>
      <c r="AS27" s="221" t="str">
        <f t="shared" si="10"/>
        <v>-</v>
      </c>
      <c r="AT27" s="207">
        <v>1.9675925925925926E-4</v>
      </c>
      <c r="AU27" s="207">
        <f t="shared" si="11"/>
        <v>3.7037037037037041E-4</v>
      </c>
      <c r="AV27" s="207">
        <f t="shared" si="12"/>
        <v>-8.1018518518518516E-5</v>
      </c>
      <c r="AW27" s="207">
        <f t="shared" si="13"/>
        <v>-1.9212962962962964E-3</v>
      </c>
      <c r="AX27" s="212" cm="1">
        <f t="array" ref="AX27">_xlfn.IFS(AP27="-", "-", AND(AP27="asphalt",AA27=""),100%, AND(AP27&lt;&gt;"asphalt",AA27=""), 0%)</f>
        <v>0</v>
      </c>
      <c r="AY27" s="213">
        <f>IF(AX27&lt;&gt;"-", 1-AX27, "-")</f>
        <v>1</v>
      </c>
      <c r="AZ27" s="212" t="str">
        <f t="shared" si="30"/>
        <v>-</v>
      </c>
      <c r="BA27" s="212" t="str" cm="1">
        <f t="array" ref="BA27">_xlfn.IFS(OR(AC27="", AS27="-"), "-", AND(AC27&lt;&gt;"", OR(AS27&lt;&gt;"-", AS27&lt;&gt;0)), ABS(AS27/AC27-1))</f>
        <v>-</v>
      </c>
      <c r="BB27" s="208"/>
      <c r="BC27" s="214">
        <v>4.6296296296296293E-4</v>
      </c>
      <c r="BD27" s="215" t="b">
        <v>1</v>
      </c>
      <c r="BE27" s="215" t="b">
        <v>1</v>
      </c>
      <c r="BF27" s="215" t="b">
        <f t="shared" si="14"/>
        <v>1</v>
      </c>
      <c r="BG27" s="215" t="s">
        <v>3516</v>
      </c>
      <c r="BH27" s="243" t="b" cm="1">
        <f t="array" ref="BH27">_xlfn.IFS(AND(AC27&lt;&gt;"", BK27&lt;&gt;"-"), TRUE, AND(AC27&lt;&gt;"", BK27="-"), FALSE, AC27="", "-")</f>
        <v>1</v>
      </c>
      <c r="BI27" s="243">
        <v>5.35</v>
      </c>
      <c r="BJ27" s="243">
        <v>1.1399999999999999</v>
      </c>
      <c r="BK27" s="244">
        <f t="shared" si="31"/>
        <v>12</v>
      </c>
      <c r="BL27" s="217" t="str" cm="1">
        <f t="array" ref="BL27">_xlfn.IFS(AND(AD27&lt;&gt;"", BO27&lt;&gt;"-"), TRUE, AND(AD27&lt;&gt;"", BO27="-"), FALSE, AD27="", "-")</f>
        <v>-</v>
      </c>
      <c r="BM27" s="215" t="s">
        <v>9801</v>
      </c>
      <c r="BN27" s="215" t="s">
        <v>9801</v>
      </c>
      <c r="BO27" s="217" t="str">
        <f t="shared" si="15"/>
        <v>-</v>
      </c>
      <c r="BP27" s="214">
        <v>7.175925925925927E-4</v>
      </c>
      <c r="BQ27" s="214">
        <f t="shared" si="1"/>
        <v>1.1805555555555556E-3</v>
      </c>
      <c r="BR27" s="214">
        <f t="shared" si="2"/>
        <v>4.3981481481481492E-4</v>
      </c>
      <c r="BS27" s="214">
        <f t="shared" si="3"/>
        <v>-1.1111111111111111E-3</v>
      </c>
      <c r="BT27" s="218">
        <v>0</v>
      </c>
      <c r="BU27" s="219">
        <f t="shared" si="16"/>
        <v>1</v>
      </c>
      <c r="BV27" s="217">
        <f t="shared" si="4"/>
        <v>7</v>
      </c>
      <c r="BW27" s="246">
        <f t="shared" si="17"/>
        <v>-0.39999999999999991</v>
      </c>
      <c r="BX27" s="246">
        <f t="shared" si="5"/>
        <v>1.4</v>
      </c>
      <c r="BY27" s="217" t="str">
        <f t="shared" si="6"/>
        <v>-</v>
      </c>
      <c r="BZ27" s="218" t="str">
        <f t="shared" si="7"/>
        <v>-</v>
      </c>
      <c r="CA27" s="218" t="str">
        <f t="shared" si="8"/>
        <v>-</v>
      </c>
      <c r="CB27" s="218"/>
      <c r="CC27" s="229">
        <v>1.0416666666666667E-3</v>
      </c>
      <c r="CD27" s="230" t="b">
        <v>1</v>
      </c>
      <c r="CE27" s="230" t="b">
        <v>1</v>
      </c>
      <c r="CF27" s="243" t="b" cm="1">
        <f t="array" ref="CF27">_xlfn.IFS(AND(AC27&lt;&gt;"", CI27&lt;&gt;"-"), TRUE, AND(AC27&lt;&gt;"", CI27="-"), FALSE, AC27="", "-")</f>
        <v>1</v>
      </c>
      <c r="CG27" s="243">
        <v>17.39</v>
      </c>
      <c r="CH27" s="243">
        <v>0.63</v>
      </c>
      <c r="CI27" s="244">
        <f t="shared" si="18"/>
        <v>2</v>
      </c>
      <c r="CJ27" s="236" t="str" cm="1">
        <f t="array" ref="CJ27">_xlfn.IFS(AND(AD27&lt;&gt;"", CM27&lt;&gt;"-"), TRUE, AND(AD27&lt;&gt;"", CM27="-"), FALSE, AD27="", "-")</f>
        <v>-</v>
      </c>
      <c r="CK27" s="230" t="s">
        <v>9801</v>
      </c>
      <c r="CL27" s="230" t="s">
        <v>9801</v>
      </c>
      <c r="CM27" s="255" t="str">
        <f t="shared" si="19"/>
        <v>-</v>
      </c>
      <c r="CN27" s="229">
        <v>2.5462962962962961E-4</v>
      </c>
      <c r="CO27" s="229">
        <f t="shared" si="20"/>
        <v>1.2962962962962963E-3</v>
      </c>
      <c r="CP27" s="229">
        <f t="shared" si="21"/>
        <v>-2.3148148148148171E-5</v>
      </c>
      <c r="CQ27" s="229">
        <f t="shared" si="22"/>
        <v>-9.9537037037037042E-4</v>
      </c>
      <c r="CR27" s="230">
        <f t="shared" si="23"/>
        <v>-3</v>
      </c>
      <c r="CS27" s="259">
        <f t="shared" si="24"/>
        <v>0.4</v>
      </c>
      <c r="CT27" s="259">
        <f t="shared" si="25"/>
        <v>0.6</v>
      </c>
      <c r="CU27" s="230" t="str">
        <f t="shared" si="26"/>
        <v>-</v>
      </c>
      <c r="CV27" s="259" t="str">
        <f t="shared" si="27"/>
        <v>-</v>
      </c>
      <c r="CW27" s="262" t="str">
        <f t="shared" si="28"/>
        <v>-</v>
      </c>
      <c r="CX27" s="230"/>
    </row>
    <row r="28" spans="1:102" s="95" customFormat="1" x14ac:dyDescent="0.2">
      <c r="A28" s="95" t="s">
        <v>2083</v>
      </c>
      <c r="B28" s="95">
        <v>643</v>
      </c>
      <c r="C28" s="95" t="b">
        <v>0</v>
      </c>
      <c r="D28" s="95" t="b">
        <v>0</v>
      </c>
      <c r="E28" s="95" t="b">
        <v>0</v>
      </c>
      <c r="F28" s="95" t="b">
        <v>0</v>
      </c>
      <c r="G28" s="95" t="s">
        <v>31</v>
      </c>
      <c r="H28" s="95" t="s">
        <v>2084</v>
      </c>
      <c r="I28" s="95" t="s">
        <v>2085</v>
      </c>
      <c r="O28" s="95" t="s">
        <v>11012</v>
      </c>
      <c r="P28" s="95" t="s">
        <v>11012</v>
      </c>
      <c r="Q28" s="98">
        <v>3.3564814814814812E-4</v>
      </c>
      <c r="R28" s="98">
        <v>9.0277777777777784E-4</v>
      </c>
      <c r="S28" s="95">
        <v>0</v>
      </c>
      <c r="T28" s="95" t="s">
        <v>36</v>
      </c>
      <c r="U28" s="95" t="s">
        <v>37</v>
      </c>
      <c r="V28" s="95" t="s">
        <v>38</v>
      </c>
      <c r="Z28" s="95" t="b">
        <v>0</v>
      </c>
      <c r="AD28" s="95">
        <v>3</v>
      </c>
      <c r="AE28" s="95" t="s">
        <v>2025</v>
      </c>
      <c r="AF28" s="95" t="s">
        <v>9522</v>
      </c>
      <c r="AH28" s="95" t="b">
        <v>0</v>
      </c>
      <c r="AI28" s="95" t="s">
        <v>11195</v>
      </c>
      <c r="AL28" s="207">
        <v>1.1574074074074073E-4</v>
      </c>
      <c r="AM28" s="208" t="b">
        <v>1</v>
      </c>
      <c r="AN28" s="208" t="b">
        <v>1</v>
      </c>
      <c r="AO28" s="252" t="b">
        <f t="shared" si="9"/>
        <v>1</v>
      </c>
      <c r="AP28" s="209" t="s">
        <v>11366</v>
      </c>
      <c r="AQ28" s="210" t="str" cm="1">
        <f t="array" ref="AQ28">_xlfn.IFS(AND(AC28&lt;&gt;"", AR28&lt;&gt;"-"), TRUE, AND(AC28&lt;&gt;"", AR28="-"), FALSE, AC28="", "-")</f>
        <v>-</v>
      </c>
      <c r="AR28" s="224" t="s">
        <v>9801</v>
      </c>
      <c r="AS28" s="221" t="str">
        <f t="shared" si="10"/>
        <v>-</v>
      </c>
      <c r="AT28" s="207">
        <v>1.9675925925925926E-4</v>
      </c>
      <c r="AU28" s="207">
        <f t="shared" si="11"/>
        <v>3.1250000000000001E-4</v>
      </c>
      <c r="AV28" s="207">
        <f t="shared" si="12"/>
        <v>-1.3888888888888886E-4</v>
      </c>
      <c r="AW28" s="207">
        <f t="shared" si="13"/>
        <v>-5.9027777777777789E-4</v>
      </c>
      <c r="AX28" s="212" cm="1">
        <f t="array" ref="AX28">_xlfn.IFS(AP28="-", "-", AND(AP28="asphalt",AA28=""),100%, AND(AP28&lt;&gt;"asphalt",AA28=""), 0%)</f>
        <v>1</v>
      </c>
      <c r="AY28" s="213">
        <f>IF(AX28&lt;&gt;"-", 1-AX28, "-")</f>
        <v>0</v>
      </c>
      <c r="AZ28" s="212" t="str">
        <f t="shared" si="30"/>
        <v>-</v>
      </c>
      <c r="BA28" s="212" t="str" cm="1">
        <f t="array" ref="BA28">_xlfn.IFS(OR(AC28="", AS28="-"), "-", AND(AC28&lt;&gt;"", OR(AS28&lt;&gt;"-", AS28&lt;&gt;0)), ABS(AS28/AC28-1))</f>
        <v>-</v>
      </c>
      <c r="BB28" s="208"/>
      <c r="BC28" s="214">
        <v>5.7870370370370378E-4</v>
      </c>
      <c r="BD28" s="215" t="b">
        <v>1</v>
      </c>
      <c r="BE28" s="215" t="b">
        <v>1</v>
      </c>
      <c r="BF28" s="215" t="b">
        <f t="shared" si="14"/>
        <v>1</v>
      </c>
      <c r="BG28" s="215" t="s">
        <v>3516</v>
      </c>
      <c r="BH28" s="243" t="str" cm="1">
        <f t="array" ref="BH28">_xlfn.IFS(AND(AC28&lt;&gt;"", BK28&lt;&gt;"-"), TRUE, AND(AC28&lt;&gt;"", BK28="-"), FALSE, AC28="", "-")</f>
        <v>-</v>
      </c>
      <c r="BI28" s="243" t="s">
        <v>9801</v>
      </c>
      <c r="BJ28" s="243" t="s">
        <v>9801</v>
      </c>
      <c r="BK28" s="244" t="str">
        <f t="shared" si="31"/>
        <v>-</v>
      </c>
      <c r="BL28" s="217" t="b" cm="1">
        <f t="array" ref="BL28">_xlfn.IFS(AND(AD28&lt;&gt;"", BO28&lt;&gt;"-"), TRUE, AND(AD28&lt;&gt;"", BO28="-"), FALSE, AD28="", "-")</f>
        <v>1</v>
      </c>
      <c r="BM28" s="215">
        <v>2.41</v>
      </c>
      <c r="BN28" s="215">
        <v>0.13</v>
      </c>
      <c r="BO28" s="217">
        <f t="shared" si="15"/>
        <v>3</v>
      </c>
      <c r="BP28" s="214">
        <v>2.8935185185185189E-4</v>
      </c>
      <c r="BQ28" s="214">
        <f t="shared" si="1"/>
        <v>8.6805555555555572E-4</v>
      </c>
      <c r="BR28" s="214">
        <f t="shared" si="2"/>
        <v>-4.6296296296296233E-5</v>
      </c>
      <c r="BS28" s="214">
        <f t="shared" si="3"/>
        <v>-3.4722222222222121E-5</v>
      </c>
      <c r="BT28" s="218">
        <v>0</v>
      </c>
      <c r="BU28" s="219">
        <f t="shared" si="16"/>
        <v>1</v>
      </c>
      <c r="BV28" s="217" t="str">
        <f t="shared" si="4"/>
        <v>-</v>
      </c>
      <c r="BW28" s="218" t="str">
        <f t="shared" si="17"/>
        <v>-</v>
      </c>
      <c r="BX28" s="218" t="str">
        <f t="shared" si="5"/>
        <v>-</v>
      </c>
      <c r="BY28" s="217">
        <f t="shared" si="6"/>
        <v>0</v>
      </c>
      <c r="BZ28" s="218">
        <f t="shared" si="7"/>
        <v>1</v>
      </c>
      <c r="CA28" s="218">
        <f t="shared" si="8"/>
        <v>0</v>
      </c>
      <c r="CB28" s="218"/>
      <c r="CC28" s="229">
        <v>7.407407407407407E-4</v>
      </c>
      <c r="CD28" s="230" t="b">
        <v>1</v>
      </c>
      <c r="CE28" s="230" t="b">
        <v>1</v>
      </c>
      <c r="CF28" s="243" t="str" cm="1">
        <f t="array" ref="CF28">_xlfn.IFS(AND(AC28&lt;&gt;"", CI28&lt;&gt;"-"), TRUE, AND(AC28&lt;&gt;"", CI28="-"), FALSE, AC28="", "-")</f>
        <v>-</v>
      </c>
      <c r="CG28" s="243" t="s">
        <v>9801</v>
      </c>
      <c r="CH28" s="243" t="s">
        <v>9801</v>
      </c>
      <c r="CI28" s="244" t="str">
        <f t="shared" si="18"/>
        <v>-</v>
      </c>
      <c r="CJ28" s="236" t="b" cm="1">
        <f t="array" ref="CJ28">_xlfn.IFS(AND(AD28&lt;&gt;"", CM28&lt;&gt;"-"), TRUE, AND(AD28&lt;&gt;"", CM28="-"), FALSE, AD28="", "-")</f>
        <v>1</v>
      </c>
      <c r="CK28" s="230">
        <v>2.93</v>
      </c>
      <c r="CL28" s="230">
        <v>0.14000000000000001</v>
      </c>
      <c r="CM28" s="255">
        <f t="shared" si="19"/>
        <v>3</v>
      </c>
      <c r="CN28" s="229">
        <v>3.0092592592592595E-4</v>
      </c>
      <c r="CO28" s="229">
        <f t="shared" si="20"/>
        <v>1.0416666666666667E-3</v>
      </c>
      <c r="CP28" s="229">
        <f t="shared" si="21"/>
        <v>-3.4722222222222175E-5</v>
      </c>
      <c r="CQ28" s="229">
        <f t="shared" si="22"/>
        <v>1.3888888888888881E-4</v>
      </c>
      <c r="CR28" s="230" t="str">
        <f t="shared" si="23"/>
        <v>-</v>
      </c>
      <c r="CS28" s="259" t="str">
        <f t="shared" si="24"/>
        <v>-</v>
      </c>
      <c r="CT28" s="259" t="str">
        <f t="shared" si="25"/>
        <v>-</v>
      </c>
      <c r="CU28" s="230">
        <f t="shared" si="26"/>
        <v>0</v>
      </c>
      <c r="CV28" s="259">
        <f t="shared" si="27"/>
        <v>1</v>
      </c>
      <c r="CW28" s="262">
        <f t="shared" si="28"/>
        <v>0</v>
      </c>
      <c r="CX28" s="230"/>
    </row>
    <row r="29" spans="1:102" s="95" customFormat="1" x14ac:dyDescent="0.2">
      <c r="A29" s="95" t="s">
        <v>2151</v>
      </c>
      <c r="B29" s="95">
        <v>664</v>
      </c>
      <c r="C29" s="95" t="b">
        <v>0</v>
      </c>
      <c r="D29" s="95" t="b">
        <v>0</v>
      </c>
      <c r="E29" s="95" t="b">
        <v>0</v>
      </c>
      <c r="F29" s="95" t="b">
        <v>0</v>
      </c>
      <c r="G29" s="95" t="s">
        <v>31</v>
      </c>
      <c r="H29" s="95" t="s">
        <v>2152</v>
      </c>
      <c r="I29" s="95" t="s">
        <v>2153</v>
      </c>
      <c r="J29" s="95" t="s">
        <v>2150</v>
      </c>
      <c r="O29" s="95" t="s">
        <v>11011</v>
      </c>
      <c r="P29" s="95" t="s">
        <v>11011</v>
      </c>
      <c r="Q29" s="98">
        <v>2.8935185185185189E-4</v>
      </c>
      <c r="R29" s="98">
        <v>5.3240740740740744E-4</v>
      </c>
      <c r="S29" s="95">
        <v>0</v>
      </c>
      <c r="T29" s="95" t="s">
        <v>36</v>
      </c>
      <c r="U29" s="95" t="s">
        <v>37</v>
      </c>
      <c r="V29" s="95" t="s">
        <v>38</v>
      </c>
      <c r="Z29" s="95" t="b">
        <v>0</v>
      </c>
      <c r="AC29" s="95">
        <v>6</v>
      </c>
      <c r="AE29" s="95" t="s">
        <v>2025</v>
      </c>
      <c r="AF29" s="95" t="s">
        <v>9522</v>
      </c>
      <c r="AH29" s="95" t="b">
        <v>0</v>
      </c>
      <c r="AI29" s="95" t="s">
        <v>11196</v>
      </c>
      <c r="AL29" s="207">
        <v>2.199074074074074E-4</v>
      </c>
      <c r="AM29" s="208" t="b">
        <v>1</v>
      </c>
      <c r="AN29" s="208" t="b">
        <v>1</v>
      </c>
      <c r="AO29" s="252" t="b">
        <f t="shared" si="9"/>
        <v>1</v>
      </c>
      <c r="AP29" s="209" t="s">
        <v>11367</v>
      </c>
      <c r="AQ29" s="253" t="b" cm="1">
        <f t="array" ref="AQ29">_xlfn.IFS(AND(AC29&lt;&gt;"", AR29&lt;&gt;"-"), TRUE, AND(AC29&lt;&gt;"", AR29="-"), FALSE, AC29="", "-")</f>
        <v>0</v>
      </c>
      <c r="AR29" s="224" t="s">
        <v>9801</v>
      </c>
      <c r="AS29" s="221" t="str">
        <f t="shared" si="10"/>
        <v>-</v>
      </c>
      <c r="AT29" s="207">
        <v>3.4722222222222224E-4</v>
      </c>
      <c r="AU29" s="207">
        <f t="shared" si="11"/>
        <v>5.6712962962962967E-4</v>
      </c>
      <c r="AV29" s="207">
        <f t="shared" si="12"/>
        <v>5.7870370370370345E-5</v>
      </c>
      <c r="AW29" s="207">
        <f t="shared" si="13"/>
        <v>3.4722222222222229E-5</v>
      </c>
      <c r="AX29" s="212" cm="1">
        <f t="array" ref="AX29">_xlfn.IFS(AP29="-", "-", AND(AP29="asphalt",AA29=""),100%, AND(AP29&lt;&gt;"asphalt",AA29=""), 0%)</f>
        <v>0</v>
      </c>
      <c r="AY29" s="213">
        <f t="shared" ref="AY29:AY35" si="33">IF(AX29&lt;&gt;"-", 1-AX29, "-")</f>
        <v>1</v>
      </c>
      <c r="AZ29" s="212" t="str">
        <f t="shared" si="30"/>
        <v>-</v>
      </c>
      <c r="BA29" s="212" t="str" cm="1">
        <f t="array" ref="BA29">_xlfn.IFS(OR(AC29="", AS29="-"), "-", AND(AC29&lt;&gt;"", OR(AS29&lt;&gt;"-", AS29&lt;&gt;0)), ABS(AS29/AC29-1))</f>
        <v>-</v>
      </c>
      <c r="BB29" s="208"/>
      <c r="BC29" s="214">
        <v>6.018518518518519E-4</v>
      </c>
      <c r="BD29" s="215" t="b">
        <v>1</v>
      </c>
      <c r="BE29" s="215" t="b">
        <v>1</v>
      </c>
      <c r="BF29" s="215" t="b">
        <f t="shared" si="14"/>
        <v>1</v>
      </c>
      <c r="BG29" s="215" t="s">
        <v>3516</v>
      </c>
      <c r="BH29" s="243" t="b" cm="1">
        <f t="array" ref="BH29">_xlfn.IFS(AND(AC29&lt;&gt;"", BK29&lt;&gt;"-"), TRUE, AND(AC29&lt;&gt;"", BK29="-"), FALSE, AC29="", "-")</f>
        <v>1</v>
      </c>
      <c r="BI29" s="243">
        <v>6.74</v>
      </c>
      <c r="BJ29" s="243">
        <v>0.57999999999999996</v>
      </c>
      <c r="BK29" s="244">
        <f t="shared" si="31"/>
        <v>5</v>
      </c>
      <c r="BL29" s="217" t="str" cm="1">
        <f t="array" ref="BL29">_xlfn.IFS(AND(AD29&lt;&gt;"", BO29&lt;&gt;"-"), TRUE, AND(AD29&lt;&gt;"", BO29="-"), FALSE, AD29="", "-")</f>
        <v>-</v>
      </c>
      <c r="BM29" s="215" t="s">
        <v>9801</v>
      </c>
      <c r="BN29" s="215" t="s">
        <v>9801</v>
      </c>
      <c r="BO29" s="217" t="str">
        <f t="shared" si="15"/>
        <v>-</v>
      </c>
      <c r="BP29" s="214">
        <v>3.5879629629629635E-4</v>
      </c>
      <c r="BQ29" s="214">
        <f t="shared" si="1"/>
        <v>9.6064814814814819E-4</v>
      </c>
      <c r="BR29" s="214">
        <f t="shared" si="2"/>
        <v>6.9444444444444458E-5</v>
      </c>
      <c r="BS29" s="214">
        <f t="shared" si="3"/>
        <v>4.2824074074074075E-4</v>
      </c>
      <c r="BT29" s="218">
        <v>0</v>
      </c>
      <c r="BU29" s="219">
        <f t="shared" si="16"/>
        <v>1</v>
      </c>
      <c r="BV29" s="217">
        <f t="shared" si="4"/>
        <v>-1</v>
      </c>
      <c r="BW29" s="218">
        <f t="shared" si="17"/>
        <v>0.83333333333333337</v>
      </c>
      <c r="BX29" s="218">
        <f t="shared" si="5"/>
        <v>0.16666666666666663</v>
      </c>
      <c r="BY29" s="217" t="str">
        <f t="shared" si="6"/>
        <v>-</v>
      </c>
      <c r="BZ29" s="218" t="str">
        <f t="shared" si="7"/>
        <v>-</v>
      </c>
      <c r="CA29" s="218" t="str">
        <f t="shared" si="8"/>
        <v>-</v>
      </c>
      <c r="CB29" s="218"/>
      <c r="CC29" s="229">
        <v>5.6712962962962956E-4</v>
      </c>
      <c r="CD29" s="230" t="b">
        <v>1</v>
      </c>
      <c r="CE29" s="230" t="b">
        <v>1</v>
      </c>
      <c r="CF29" s="243" t="b" cm="1">
        <f t="array" ref="CF29">_xlfn.IFS(AND(AC29&lt;&gt;"", CI29&lt;&gt;"-"), TRUE, AND(AC29&lt;&gt;"", CI29="-"), FALSE, AC29="", "-")</f>
        <v>1</v>
      </c>
      <c r="CG29" s="243">
        <v>12.22</v>
      </c>
      <c r="CH29" s="243">
        <v>1.02</v>
      </c>
      <c r="CI29" s="244">
        <f t="shared" si="18"/>
        <v>5</v>
      </c>
      <c r="CJ29" s="236" t="str" cm="1">
        <f t="array" ref="CJ29">_xlfn.IFS(AND(AD29&lt;&gt;"", CM29&lt;&gt;"-"), TRUE, AND(AD29&lt;&gt;"", CM29="-"), FALSE, AD29="", "-")</f>
        <v>-</v>
      </c>
      <c r="CK29" s="230" t="s">
        <v>9801</v>
      </c>
      <c r="CL29" s="230" t="s">
        <v>9801</v>
      </c>
      <c r="CM29" s="255" t="str">
        <f t="shared" si="19"/>
        <v>-</v>
      </c>
      <c r="CN29" s="229">
        <v>2.7777777777777778E-4</v>
      </c>
      <c r="CO29" s="229">
        <f t="shared" si="20"/>
        <v>8.4490740740740728E-4</v>
      </c>
      <c r="CP29" s="229">
        <f>CN29-Q29</f>
        <v>-1.1574074074074112E-5</v>
      </c>
      <c r="CQ29" s="229">
        <f t="shared" si="22"/>
        <v>3.1249999999999984E-4</v>
      </c>
      <c r="CR29" s="230">
        <f t="shared" si="23"/>
        <v>-1</v>
      </c>
      <c r="CS29" s="259">
        <f t="shared" si="24"/>
        <v>0.83333333333333337</v>
      </c>
      <c r="CT29" s="259">
        <f t="shared" si="25"/>
        <v>0.16666666666666663</v>
      </c>
      <c r="CU29" s="230" t="str">
        <f t="shared" si="26"/>
        <v>-</v>
      </c>
      <c r="CV29" s="259" t="str">
        <f>IF(CW29&lt;&gt;"-", 1-CW29, "-")</f>
        <v>-</v>
      </c>
      <c r="CW29" s="262" t="str">
        <f t="shared" si="28"/>
        <v>-</v>
      </c>
      <c r="CX29" s="230"/>
    </row>
    <row r="30" spans="1:102" s="95" customFormat="1" x14ac:dyDescent="0.2">
      <c r="A30" s="95" t="s">
        <v>2193</v>
      </c>
      <c r="B30" s="95">
        <v>677</v>
      </c>
      <c r="C30" s="95" t="b">
        <v>0</v>
      </c>
      <c r="D30" s="95" t="b">
        <v>0</v>
      </c>
      <c r="E30" s="95" t="b">
        <v>0</v>
      </c>
      <c r="F30" s="95" t="b">
        <v>0</v>
      </c>
      <c r="G30" s="95" t="s">
        <v>31</v>
      </c>
      <c r="H30" s="95" t="s">
        <v>2194</v>
      </c>
      <c r="I30" s="95" t="s">
        <v>2195</v>
      </c>
      <c r="J30" s="95" t="s">
        <v>2186</v>
      </c>
      <c r="O30" s="95" t="s">
        <v>11010</v>
      </c>
      <c r="P30" s="95" t="s">
        <v>11009</v>
      </c>
      <c r="Q30" s="98">
        <v>6.5972222222222213E-4</v>
      </c>
      <c r="R30" s="98">
        <v>7.291666666666667E-4</v>
      </c>
      <c r="S30" s="95">
        <v>0</v>
      </c>
      <c r="T30" s="95" t="s">
        <v>36</v>
      </c>
      <c r="U30" s="95" t="s">
        <v>37</v>
      </c>
      <c r="V30" s="95" t="s">
        <v>38</v>
      </c>
      <c r="Z30" s="95" t="b">
        <v>0</v>
      </c>
      <c r="AC30" s="95">
        <v>7</v>
      </c>
      <c r="AE30" s="95" t="s">
        <v>2025</v>
      </c>
      <c r="AF30" s="95" t="s">
        <v>9522</v>
      </c>
      <c r="AH30" s="95" t="b">
        <v>0</v>
      </c>
      <c r="AI30" s="95" t="s">
        <v>11197</v>
      </c>
      <c r="AL30" s="207">
        <v>1.273148148148148E-4</v>
      </c>
      <c r="AM30" s="208" t="b">
        <v>1</v>
      </c>
      <c r="AN30" s="208" t="b">
        <v>1</v>
      </c>
      <c r="AO30" s="252" t="b">
        <f t="shared" si="9"/>
        <v>1</v>
      </c>
      <c r="AP30" s="209" t="s">
        <v>11367</v>
      </c>
      <c r="AQ30" s="253" t="b" cm="1">
        <f t="array" ref="AQ30">_xlfn.IFS(AND(AC30&lt;&gt;"", AR30&lt;&gt;"-"), TRUE, AND(AC30&lt;&gt;"", AR30="-"), FALSE, AC30="", "-")</f>
        <v>0</v>
      </c>
      <c r="AR30" s="224" t="s">
        <v>9801</v>
      </c>
      <c r="AS30" s="221" t="str">
        <f t="shared" si="10"/>
        <v>-</v>
      </c>
      <c r="AT30" s="207">
        <v>1.5046296296296297E-4</v>
      </c>
      <c r="AU30" s="207">
        <f t="shared" si="11"/>
        <v>2.7777777777777778E-4</v>
      </c>
      <c r="AV30" s="207">
        <f t="shared" si="12"/>
        <v>-5.0925925925925921E-4</v>
      </c>
      <c r="AW30" s="207">
        <f t="shared" si="13"/>
        <v>-4.5138888888888892E-4</v>
      </c>
      <c r="AX30" s="212" cm="1">
        <f t="array" ref="AX30">_xlfn.IFS(AP30="-", "-", AND(AP30="asphalt",AA30=""),100%, AND(AP30&lt;&gt;"asphalt",AA30=""), 0%)</f>
        <v>0</v>
      </c>
      <c r="AY30" s="213">
        <f t="shared" si="33"/>
        <v>1</v>
      </c>
      <c r="AZ30" s="212" t="str">
        <f t="shared" si="30"/>
        <v>-</v>
      </c>
      <c r="BA30" s="212" t="str" cm="1">
        <f t="array" ref="BA30">_xlfn.IFS(OR(AC30="", AS30="-"), "-", AND(AC30&lt;&gt;"", OR(AS30&lt;&gt;"-", AS30&lt;&gt;0)), ABS(AS30/AC30-1))</f>
        <v>-</v>
      </c>
      <c r="BB30" s="208"/>
      <c r="BC30" s="214">
        <v>8.1018518518518516E-4</v>
      </c>
      <c r="BD30" s="215" t="b">
        <v>0</v>
      </c>
      <c r="BE30" s="215" t="s">
        <v>9801</v>
      </c>
      <c r="BF30" s="215" t="b">
        <f t="shared" si="14"/>
        <v>0</v>
      </c>
      <c r="BG30" s="215" t="s">
        <v>9801</v>
      </c>
      <c r="BH30" s="243" t="b" cm="1">
        <f t="array" ref="BH30">_xlfn.IFS(AND(AC30&lt;&gt;"", BK30&lt;&gt;"-"), TRUE, AND(AC30&lt;&gt;"", BK30="-"), FALSE, AC30="", "-")</f>
        <v>0</v>
      </c>
      <c r="BI30" s="243" t="s">
        <v>9801</v>
      </c>
      <c r="BJ30" s="243" t="s">
        <v>9801</v>
      </c>
      <c r="BK30" s="244" t="str">
        <f t="shared" si="31"/>
        <v>-</v>
      </c>
      <c r="BL30" s="217" t="str" cm="1">
        <f t="array" ref="BL30">_xlfn.IFS(AND(AD30&lt;&gt;"", BO30&lt;&gt;"-"), TRUE, AND(AD30&lt;&gt;"", BO30="-"), FALSE, AD30="", "-")</f>
        <v>-</v>
      </c>
      <c r="BM30" s="215" t="s">
        <v>9801</v>
      </c>
      <c r="BN30" s="215" t="s">
        <v>9801</v>
      </c>
      <c r="BO30" s="217" t="str">
        <f t="shared" si="15"/>
        <v>-</v>
      </c>
      <c r="BP30" s="214"/>
      <c r="BQ30" s="214">
        <f t="shared" si="1"/>
        <v>8.1018518518518516E-4</v>
      </c>
      <c r="BR30" s="214">
        <f t="shared" si="2"/>
        <v>-6.5972222222222213E-4</v>
      </c>
      <c r="BS30" s="214">
        <f t="shared" si="3"/>
        <v>8.1018518518518462E-5</v>
      </c>
      <c r="BT30" s="218" t="s">
        <v>9801</v>
      </c>
      <c r="BU30" s="219" t="s">
        <v>9801</v>
      </c>
      <c r="BV30" s="217" t="str">
        <f t="shared" si="4"/>
        <v>-</v>
      </c>
      <c r="BW30" s="218" t="str">
        <f t="shared" si="17"/>
        <v>-</v>
      </c>
      <c r="BX30" s="218" t="str">
        <f t="shared" si="5"/>
        <v>-</v>
      </c>
      <c r="BY30" s="217" t="str">
        <f t="shared" si="6"/>
        <v>-</v>
      </c>
      <c r="BZ30" s="218" t="str">
        <f t="shared" si="7"/>
        <v>-</v>
      </c>
      <c r="CA30" s="218" t="str">
        <f t="shared" si="8"/>
        <v>-</v>
      </c>
      <c r="CB30" s="218" t="s">
        <v>11395</v>
      </c>
      <c r="CC30" s="229">
        <v>5.5555555555555556E-4</v>
      </c>
      <c r="CD30" s="230" t="b">
        <v>1</v>
      </c>
      <c r="CE30" s="230" t="b">
        <v>1</v>
      </c>
      <c r="CF30" s="243" t="b" cm="1">
        <f t="array" ref="CF30">_xlfn.IFS(AND(AC30&lt;&gt;"", CI30&lt;&gt;"-"), TRUE, AND(AC30&lt;&gt;"", CI30="-"), FALSE, AC30="", "-")</f>
        <v>1</v>
      </c>
      <c r="CG30" s="243">
        <v>8.0299999999999994</v>
      </c>
      <c r="CH30" s="243">
        <v>0.98</v>
      </c>
      <c r="CI30" s="244">
        <f t="shared" si="18"/>
        <v>7</v>
      </c>
      <c r="CJ30" s="236" t="str" cm="1">
        <f t="array" ref="CJ30">_xlfn.IFS(AND(AD30&lt;&gt;"", CM30&lt;&gt;"-"), TRUE, AND(AD30&lt;&gt;"", CM30="-"), FALSE, AD30="", "-")</f>
        <v>-</v>
      </c>
      <c r="CK30" s="230" t="s">
        <v>9801</v>
      </c>
      <c r="CL30" s="230" t="s">
        <v>9801</v>
      </c>
      <c r="CM30" s="255" t="str">
        <f t="shared" si="19"/>
        <v>-</v>
      </c>
      <c r="CN30" s="229">
        <v>3.3564814814814812E-4</v>
      </c>
      <c r="CO30" s="229">
        <f t="shared" si="20"/>
        <v>8.9120370370370373E-4</v>
      </c>
      <c r="CP30" s="229">
        <f t="shared" si="21"/>
        <v>-3.2407407407407401E-4</v>
      </c>
      <c r="CQ30" s="229">
        <f t="shared" si="22"/>
        <v>1.6203703703703703E-4</v>
      </c>
      <c r="CR30" s="230">
        <f t="shared" si="23"/>
        <v>0</v>
      </c>
      <c r="CS30" s="259">
        <f t="shared" si="24"/>
        <v>1</v>
      </c>
      <c r="CT30" s="259">
        <f t="shared" si="25"/>
        <v>0</v>
      </c>
      <c r="CU30" s="230" t="str">
        <f t="shared" si="26"/>
        <v>-</v>
      </c>
      <c r="CV30" s="259" t="str">
        <f t="shared" si="27"/>
        <v>-</v>
      </c>
      <c r="CW30" s="262" t="str">
        <f t="shared" si="28"/>
        <v>-</v>
      </c>
      <c r="CX30" s="230"/>
    </row>
    <row r="31" spans="1:102" s="95" customFormat="1" x14ac:dyDescent="0.2">
      <c r="A31" s="95" t="s">
        <v>2201</v>
      </c>
      <c r="B31" s="95">
        <v>680</v>
      </c>
      <c r="C31" s="95" t="b">
        <v>0</v>
      </c>
      <c r="D31" s="95" t="b">
        <v>0</v>
      </c>
      <c r="E31" s="95" t="b">
        <v>0</v>
      </c>
      <c r="F31" s="95" t="b">
        <v>0</v>
      </c>
      <c r="G31" s="95" t="s">
        <v>31</v>
      </c>
      <c r="H31" s="95" t="s">
        <v>2202</v>
      </c>
      <c r="I31" s="95" t="s">
        <v>2203</v>
      </c>
      <c r="J31" s="95" t="s">
        <v>2150</v>
      </c>
      <c r="O31" s="95" t="s">
        <v>11008</v>
      </c>
      <c r="P31" s="95" t="s">
        <v>11008</v>
      </c>
      <c r="Q31" s="98">
        <v>2.6620370370370372E-4</v>
      </c>
      <c r="R31" s="98">
        <v>4.8611111111111104E-4</v>
      </c>
      <c r="S31" s="95">
        <v>0</v>
      </c>
      <c r="T31" s="95" t="s">
        <v>36</v>
      </c>
      <c r="U31" s="95" t="s">
        <v>37</v>
      </c>
      <c r="V31" s="95" t="s">
        <v>38</v>
      </c>
      <c r="Z31" s="95" t="b">
        <v>0</v>
      </c>
      <c r="AC31" s="95">
        <v>8</v>
      </c>
      <c r="AE31" s="95" t="s">
        <v>2025</v>
      </c>
      <c r="AF31" s="95" t="s">
        <v>9522</v>
      </c>
      <c r="AH31" s="95" t="b">
        <v>0</v>
      </c>
      <c r="AI31" s="95" t="s">
        <v>11198</v>
      </c>
      <c r="AL31" s="207">
        <v>1.5046296296296297E-4</v>
      </c>
      <c r="AM31" s="208" t="b">
        <v>1</v>
      </c>
      <c r="AN31" s="208" t="b">
        <v>1</v>
      </c>
      <c r="AO31" s="252" t="b">
        <f t="shared" si="9"/>
        <v>1</v>
      </c>
      <c r="AP31" s="209" t="s">
        <v>11380</v>
      </c>
      <c r="AQ31" s="253" t="b" cm="1">
        <f t="array" ref="AQ31">_xlfn.IFS(AND(AC31&lt;&gt;"", AR31&lt;&gt;"-"), TRUE, AND(AC31&lt;&gt;"", AR31="-"), FALSE, AC31="", "-")</f>
        <v>0</v>
      </c>
      <c r="AR31" s="224" t="s">
        <v>9801</v>
      </c>
      <c r="AS31" s="221" t="str">
        <f t="shared" si="10"/>
        <v>-</v>
      </c>
      <c r="AT31" s="207">
        <v>2.7777777777777778E-4</v>
      </c>
      <c r="AU31" s="207">
        <f t="shared" si="11"/>
        <v>4.2824074074074075E-4</v>
      </c>
      <c r="AV31" s="207">
        <f t="shared" si="12"/>
        <v>1.1574074074074058E-5</v>
      </c>
      <c r="AW31" s="207">
        <f t="shared" si="13"/>
        <v>-5.7870370370370291E-5</v>
      </c>
      <c r="AX31" s="212" cm="1">
        <f t="array" ref="AX31">_xlfn.IFS(AP31="-", "-", AND(AP31="asphalt",AA31=""),100%, AND(AP31&lt;&gt;"asphalt",AA31=""), 0%)</f>
        <v>0</v>
      </c>
      <c r="AY31" s="213">
        <f t="shared" si="33"/>
        <v>1</v>
      </c>
      <c r="AZ31" s="212" t="str">
        <f t="shared" si="30"/>
        <v>-</v>
      </c>
      <c r="BA31" s="212" t="str" cm="1">
        <f t="array" ref="BA31">_xlfn.IFS(OR(AC31="", AS31="-"), "-", AND(AC31&lt;&gt;"", OR(AS31&lt;&gt;"-", AS31&lt;&gt;0)), ABS(AS31/AC31-1))</f>
        <v>-</v>
      </c>
      <c r="BB31" s="208"/>
      <c r="BC31" s="214">
        <v>5.7870370370370378E-4</v>
      </c>
      <c r="BD31" s="215" t="b">
        <v>1</v>
      </c>
      <c r="BE31" s="215" t="b">
        <v>1</v>
      </c>
      <c r="BF31" s="215" t="b">
        <f t="shared" si="14"/>
        <v>1</v>
      </c>
      <c r="BG31" s="215" t="s">
        <v>3516</v>
      </c>
      <c r="BH31" s="243" t="b" cm="1">
        <f t="array" ref="BH31">_xlfn.IFS(AND(AC31&lt;&gt;"", BK31&lt;&gt;"-"), TRUE, AND(AC31&lt;&gt;"", BK31="-"), FALSE, AC31="", "-")</f>
        <v>1</v>
      </c>
      <c r="BI31" s="243">
        <v>8.57</v>
      </c>
      <c r="BJ31" s="243">
        <v>1.25</v>
      </c>
      <c r="BK31" s="244">
        <f t="shared" si="31"/>
        <v>8</v>
      </c>
      <c r="BL31" s="217" t="str" cm="1">
        <f t="array" ref="BL31">_xlfn.IFS(AND(AD31&lt;&gt;"", BO31&lt;&gt;"-"), TRUE, AND(AD31&lt;&gt;"", BO31="-"), FALSE, AD31="", "-")</f>
        <v>-</v>
      </c>
      <c r="BM31" s="215" t="s">
        <v>9801</v>
      </c>
      <c r="BN31" s="215" t="s">
        <v>9801</v>
      </c>
      <c r="BO31" s="217" t="str">
        <f t="shared" si="15"/>
        <v>-</v>
      </c>
      <c r="BP31" s="214">
        <v>3.9351851851851852E-4</v>
      </c>
      <c r="BQ31" s="214">
        <f t="shared" si="1"/>
        <v>9.722222222222223E-4</v>
      </c>
      <c r="BR31" s="214">
        <f t="shared" si="2"/>
        <v>1.273148148148148E-4</v>
      </c>
      <c r="BS31" s="214">
        <f t="shared" si="3"/>
        <v>4.8611111111111126E-4</v>
      </c>
      <c r="BT31" s="218">
        <v>0</v>
      </c>
      <c r="BU31" s="219">
        <f>1-BT31</f>
        <v>1</v>
      </c>
      <c r="BV31" s="217">
        <f t="shared" si="4"/>
        <v>0</v>
      </c>
      <c r="BW31" s="218">
        <f t="shared" si="17"/>
        <v>1</v>
      </c>
      <c r="BX31" s="218">
        <f t="shared" si="5"/>
        <v>0</v>
      </c>
      <c r="BY31" s="217" t="str">
        <f t="shared" si="6"/>
        <v>-</v>
      </c>
      <c r="BZ31" s="218" t="str">
        <f t="shared" si="7"/>
        <v>-</v>
      </c>
      <c r="CA31" s="218" t="str">
        <f t="shared" si="8"/>
        <v>-</v>
      </c>
      <c r="CB31" s="218"/>
      <c r="CC31" s="229">
        <v>5.7870370370370378E-4</v>
      </c>
      <c r="CD31" s="230" t="b">
        <v>1</v>
      </c>
      <c r="CE31" s="230" t="b">
        <v>1</v>
      </c>
      <c r="CF31" s="243" t="b" cm="1">
        <f t="array" ref="CF31">_xlfn.IFS(AND(AC31&lt;&gt;"", CI31&lt;&gt;"-"), TRUE, AND(AC31&lt;&gt;"", CI31="-"), FALSE, AC31="", "-")</f>
        <v>1</v>
      </c>
      <c r="CG31" s="243">
        <v>12.39</v>
      </c>
      <c r="CH31" s="243">
        <v>1.67</v>
      </c>
      <c r="CI31" s="244">
        <f t="shared" si="18"/>
        <v>8</v>
      </c>
      <c r="CJ31" s="236" t="str" cm="1">
        <f t="array" ref="CJ31">_xlfn.IFS(AND(AD31&lt;&gt;"", CM31&lt;&gt;"-"), TRUE, AND(AD31&lt;&gt;"", CM31="-"), FALSE, AD31="", "-")</f>
        <v>-</v>
      </c>
      <c r="CK31" s="230" t="s">
        <v>9801</v>
      </c>
      <c r="CL31" s="230" t="s">
        <v>9801</v>
      </c>
      <c r="CM31" s="255" t="str">
        <f t="shared" si="19"/>
        <v>-</v>
      </c>
      <c r="CN31" s="229">
        <v>3.8194444444444446E-4</v>
      </c>
      <c r="CO31" s="229">
        <f>CC31+CN31</f>
        <v>9.6064814814814819E-4</v>
      </c>
      <c r="CP31" s="229">
        <f t="shared" si="21"/>
        <v>1.1574074074074075E-4</v>
      </c>
      <c r="CQ31" s="229">
        <f t="shared" si="22"/>
        <v>4.7453703703703715E-4</v>
      </c>
      <c r="CR31" s="230">
        <f t="shared" si="23"/>
        <v>0</v>
      </c>
      <c r="CS31" s="259">
        <f t="shared" si="24"/>
        <v>1</v>
      </c>
      <c r="CT31" s="259">
        <f t="shared" si="25"/>
        <v>0</v>
      </c>
      <c r="CU31" s="230" t="str">
        <f t="shared" si="26"/>
        <v>-</v>
      </c>
      <c r="CV31" s="259" t="str">
        <f t="shared" si="27"/>
        <v>-</v>
      </c>
      <c r="CW31" s="262" t="str">
        <f t="shared" si="28"/>
        <v>-</v>
      </c>
      <c r="CX31" s="230"/>
    </row>
    <row r="32" spans="1:102" s="95" customFormat="1" x14ac:dyDescent="0.2">
      <c r="A32" s="95" t="s">
        <v>2204</v>
      </c>
      <c r="B32" s="95">
        <v>681</v>
      </c>
      <c r="C32" s="95" t="b">
        <v>0</v>
      </c>
      <c r="D32" s="95" t="b">
        <v>0</v>
      </c>
      <c r="E32" s="95" t="b">
        <v>0</v>
      </c>
      <c r="F32" s="95" t="b">
        <v>0</v>
      </c>
      <c r="G32" s="95" t="s">
        <v>31</v>
      </c>
      <c r="H32" s="95" t="s">
        <v>2205</v>
      </c>
      <c r="I32" s="95" t="s">
        <v>2206</v>
      </c>
      <c r="J32" s="95" t="s">
        <v>2207</v>
      </c>
      <c r="O32" s="95" t="s">
        <v>11007</v>
      </c>
      <c r="P32" s="95" t="s">
        <v>11007</v>
      </c>
      <c r="Q32" s="98">
        <v>3.5879629629629635E-4</v>
      </c>
      <c r="R32" s="98">
        <v>1.3773148148148147E-3</v>
      </c>
      <c r="S32" s="95">
        <v>0</v>
      </c>
      <c r="T32" s="95" t="s">
        <v>36</v>
      </c>
      <c r="U32" s="95" t="s">
        <v>37</v>
      </c>
      <c r="V32" s="95" t="s">
        <v>38</v>
      </c>
      <c r="Z32" s="95" t="b">
        <v>0</v>
      </c>
      <c r="AC32" s="95">
        <v>4</v>
      </c>
      <c r="AE32" s="95" t="s">
        <v>2025</v>
      </c>
      <c r="AF32" s="95" t="s">
        <v>9522</v>
      </c>
      <c r="AH32" s="95" t="b">
        <v>0</v>
      </c>
      <c r="AI32" s="95" t="s">
        <v>11199</v>
      </c>
      <c r="AL32" s="207">
        <v>1.3888888888888889E-4</v>
      </c>
      <c r="AM32" s="208" t="b">
        <v>1</v>
      </c>
      <c r="AN32" s="208" t="b">
        <v>1</v>
      </c>
      <c r="AO32" s="252" t="b">
        <f t="shared" si="9"/>
        <v>1</v>
      </c>
      <c r="AP32" s="209" t="s">
        <v>11367</v>
      </c>
      <c r="AQ32" s="252" t="b" cm="1">
        <f t="array" ref="AQ32">_xlfn.IFS(AND(AC32&lt;&gt;"", AR32&lt;&gt;"-"), TRUE, AND(AC32&lt;&gt;"", AR32="-"), FALSE, AC32="", "-")</f>
        <v>0</v>
      </c>
      <c r="AR32" s="224" t="s">
        <v>9801</v>
      </c>
      <c r="AS32" s="221" t="str">
        <f t="shared" si="10"/>
        <v>-</v>
      </c>
      <c r="AT32" s="207">
        <v>1.273148148148148E-4</v>
      </c>
      <c r="AU32" s="207">
        <f t="shared" si="11"/>
        <v>2.6620370370370372E-4</v>
      </c>
      <c r="AV32" s="207">
        <f t="shared" si="12"/>
        <v>-2.3148148148148154E-4</v>
      </c>
      <c r="AW32" s="207">
        <f t="shared" si="13"/>
        <v>-1.1111111111111109E-3</v>
      </c>
      <c r="AX32" s="212" cm="1">
        <f t="array" ref="AX32">_xlfn.IFS(AP32="-", "-", AND(AP32="asphalt",AA32=""),100%, AND(AP32&lt;&gt;"asphalt",AA32=""), 0%)</f>
        <v>0</v>
      </c>
      <c r="AY32" s="213">
        <f t="shared" si="33"/>
        <v>1</v>
      </c>
      <c r="AZ32" s="212" t="str">
        <f t="shared" si="30"/>
        <v>-</v>
      </c>
      <c r="BA32" s="212" t="str" cm="1">
        <f t="array" ref="BA32">_xlfn.IFS(OR(AC32="", AS32="-"), "-", AND(AC32&lt;&gt;"", OR(AS32&lt;&gt;"-", AS32&lt;&gt;0)), ABS(AS32/AC32-1))</f>
        <v>-</v>
      </c>
      <c r="BB32" s="208"/>
      <c r="BC32" s="214">
        <v>2.199074074074074E-4</v>
      </c>
      <c r="BD32" s="215" t="b">
        <v>0</v>
      </c>
      <c r="BE32" s="215" t="s">
        <v>9801</v>
      </c>
      <c r="BF32" s="215" t="b">
        <f t="shared" si="14"/>
        <v>0</v>
      </c>
      <c r="BG32" s="215" t="s">
        <v>9801</v>
      </c>
      <c r="BH32" s="243" t="b" cm="1">
        <f t="array" ref="BH32">_xlfn.IFS(AND(AC32&lt;&gt;"", BK32&lt;&gt;"-"), TRUE, AND(AC32&lt;&gt;"", BK32="-"), FALSE, AC32="", "-")</f>
        <v>0</v>
      </c>
      <c r="BI32" s="243" t="s">
        <v>9801</v>
      </c>
      <c r="BJ32" s="243" t="s">
        <v>9801</v>
      </c>
      <c r="BK32" s="244" t="str">
        <f t="shared" si="31"/>
        <v>-</v>
      </c>
      <c r="BL32" s="217" t="str" cm="1">
        <f t="array" ref="BL32">_xlfn.IFS(AND(AD32&lt;&gt;"", BO32&lt;&gt;"-"), TRUE, AND(AD32&lt;&gt;"", BO32="-"), FALSE, AD32="", "-")</f>
        <v>-</v>
      </c>
      <c r="BM32" s="215" t="s">
        <v>9801</v>
      </c>
      <c r="BN32" s="215" t="s">
        <v>9801</v>
      </c>
      <c r="BO32" s="217" t="str">
        <f t="shared" si="15"/>
        <v>-</v>
      </c>
      <c r="BP32" s="214"/>
      <c r="BQ32" s="214">
        <f t="shared" si="1"/>
        <v>2.199074074074074E-4</v>
      </c>
      <c r="BR32" s="214">
        <f t="shared" si="2"/>
        <v>-3.5879629629629635E-4</v>
      </c>
      <c r="BS32" s="214">
        <f t="shared" si="3"/>
        <v>-1.1574074074074073E-3</v>
      </c>
      <c r="BT32" s="218" t="s">
        <v>9801</v>
      </c>
      <c r="BU32" s="219" t="s">
        <v>9801</v>
      </c>
      <c r="BV32" s="217" t="str">
        <f t="shared" si="4"/>
        <v>-</v>
      </c>
      <c r="BW32" s="218" t="str">
        <f t="shared" si="17"/>
        <v>-</v>
      </c>
      <c r="BX32" s="218" t="str">
        <f t="shared" si="5"/>
        <v>-</v>
      </c>
      <c r="BY32" s="217" t="str">
        <f t="shared" si="6"/>
        <v>-</v>
      </c>
      <c r="BZ32" s="218" t="str">
        <f t="shared" si="7"/>
        <v>-</v>
      </c>
      <c r="CA32" s="218" t="str">
        <f t="shared" si="8"/>
        <v>-</v>
      </c>
      <c r="CB32" s="218" t="s">
        <v>11395</v>
      </c>
      <c r="CC32" s="229">
        <v>3.9351851851851852E-4</v>
      </c>
      <c r="CD32" s="230" t="b">
        <v>1</v>
      </c>
      <c r="CE32" s="230" t="b">
        <v>1</v>
      </c>
      <c r="CF32" s="243" t="b" cm="1">
        <f t="array" ref="CF32">_xlfn.IFS(AND(AC32&lt;&gt;"", CI32&lt;&gt;"-"), TRUE, AND(AC32&lt;&gt;"", CI32="-"), FALSE, AC32="", "-")</f>
        <v>1</v>
      </c>
      <c r="CG32" s="243">
        <v>7.53</v>
      </c>
      <c r="CH32" s="243">
        <v>0.52</v>
      </c>
      <c r="CI32" s="244">
        <f t="shared" si="18"/>
        <v>4</v>
      </c>
      <c r="CJ32" s="236" t="str" cm="1">
        <f t="array" ref="CJ32">_xlfn.IFS(AND(AD32&lt;&gt;"", CM32&lt;&gt;"-"), TRUE, AND(AD32&lt;&gt;"", CM32="-"), FALSE, AD32="", "-")</f>
        <v>-</v>
      </c>
      <c r="CK32" s="230" t="s">
        <v>9801</v>
      </c>
      <c r="CL32" s="230" t="s">
        <v>9801</v>
      </c>
      <c r="CM32" s="255" t="str">
        <f t="shared" si="19"/>
        <v>-</v>
      </c>
      <c r="CN32" s="229">
        <v>1.9675925925925926E-4</v>
      </c>
      <c r="CO32" s="229">
        <f t="shared" si="20"/>
        <v>5.9027777777777778E-4</v>
      </c>
      <c r="CP32" s="229">
        <f t="shared" si="21"/>
        <v>-1.6203703703703709E-4</v>
      </c>
      <c r="CQ32" s="229">
        <f t="shared" si="22"/>
        <v>-7.8703703703703694E-4</v>
      </c>
      <c r="CR32" s="230">
        <f t="shared" si="23"/>
        <v>0</v>
      </c>
      <c r="CS32" s="259">
        <f t="shared" si="24"/>
        <v>1</v>
      </c>
      <c r="CT32" s="259">
        <f t="shared" si="25"/>
        <v>0</v>
      </c>
      <c r="CU32" s="230" t="str">
        <f t="shared" si="26"/>
        <v>-</v>
      </c>
      <c r="CV32" s="259" t="str">
        <f t="shared" si="27"/>
        <v>-</v>
      </c>
      <c r="CW32" s="262" t="str">
        <f t="shared" si="28"/>
        <v>-</v>
      </c>
      <c r="CX32" s="230"/>
    </row>
    <row r="33" spans="1:102" s="95" customFormat="1" x14ac:dyDescent="0.2">
      <c r="A33" s="95" t="s">
        <v>2281</v>
      </c>
      <c r="B33" s="95">
        <v>704</v>
      </c>
      <c r="C33" s="95" t="b">
        <v>0</v>
      </c>
      <c r="D33" s="95" t="b">
        <v>0</v>
      </c>
      <c r="E33" s="95" t="b">
        <v>0</v>
      </c>
      <c r="F33" s="95" t="b">
        <v>0</v>
      </c>
      <c r="G33" s="95" t="s">
        <v>31</v>
      </c>
      <c r="H33" s="95" t="s">
        <v>2282</v>
      </c>
      <c r="I33" s="95" t="s">
        <v>2283</v>
      </c>
      <c r="O33" s="95" t="s">
        <v>11006</v>
      </c>
      <c r="P33" s="95" t="s">
        <v>11006</v>
      </c>
      <c r="Q33" s="98">
        <v>1.8518518518518518E-4</v>
      </c>
      <c r="R33" s="98">
        <v>3.1250000000000001E-4</v>
      </c>
      <c r="S33" s="95">
        <v>0</v>
      </c>
      <c r="T33" s="95" t="s">
        <v>36</v>
      </c>
      <c r="U33" s="95" t="s">
        <v>37</v>
      </c>
      <c r="V33" s="95" t="s">
        <v>38</v>
      </c>
      <c r="Z33" s="95" t="b">
        <v>0</v>
      </c>
      <c r="AA33" s="95" t="s">
        <v>2284</v>
      </c>
      <c r="AE33" s="95" t="s">
        <v>2025</v>
      </c>
      <c r="AF33" s="95" t="s">
        <v>9522</v>
      </c>
      <c r="AH33" s="95" t="b">
        <v>0</v>
      </c>
      <c r="AI33" s="95" t="s">
        <v>11200</v>
      </c>
      <c r="AL33" s="207">
        <v>1.3888888888888889E-4</v>
      </c>
      <c r="AM33" s="208" t="b">
        <v>1</v>
      </c>
      <c r="AN33" s="208" t="b">
        <v>1</v>
      </c>
      <c r="AO33" s="252" t="b">
        <f t="shared" si="9"/>
        <v>1</v>
      </c>
      <c r="AP33" s="209" t="s">
        <v>11380</v>
      </c>
      <c r="AQ33" s="210" t="str" cm="1">
        <f t="array" ref="AQ33">_xlfn.IFS(AND(AC33&lt;&gt;"", AR33&lt;&gt;"-"), TRUE, AND(AC33&lt;&gt;"", AR33="-"), FALSE, AC33="", "-")</f>
        <v>-</v>
      </c>
      <c r="AR33" s="224" t="s">
        <v>9801</v>
      </c>
      <c r="AS33" s="221" t="str">
        <f t="shared" si="10"/>
        <v>-</v>
      </c>
      <c r="AT33" s="207">
        <v>3.8194444444444446E-4</v>
      </c>
      <c r="AU33" s="207">
        <f t="shared" si="11"/>
        <v>5.2083333333333333E-4</v>
      </c>
      <c r="AV33" s="207">
        <f t="shared" si="12"/>
        <v>1.9675925925925929E-4</v>
      </c>
      <c r="AW33" s="207">
        <f t="shared" si="13"/>
        <v>2.0833333333333332E-4</v>
      </c>
      <c r="AX33" s="212">
        <v>0</v>
      </c>
      <c r="AY33" s="213">
        <f t="shared" si="33"/>
        <v>1</v>
      </c>
      <c r="AZ33" s="212" t="str">
        <f t="shared" si="30"/>
        <v>-</v>
      </c>
      <c r="BA33" s="212" t="str" cm="1">
        <f t="array" ref="BA33">_xlfn.IFS(OR(AC33="", AS33="-"), "-", AND(AC33&lt;&gt;"", OR(AS33&lt;&gt;"-", AS33&lt;&gt;0)), ABS(AS33/AC33-1))</f>
        <v>-</v>
      </c>
      <c r="BB33" s="208"/>
      <c r="BC33" s="214">
        <v>2.8935185185185189E-4</v>
      </c>
      <c r="BD33" s="215" t="b">
        <v>1</v>
      </c>
      <c r="BE33" s="215" t="b">
        <v>1</v>
      </c>
      <c r="BF33" s="215" t="b">
        <f t="shared" si="14"/>
        <v>1</v>
      </c>
      <c r="BG33" s="215" t="s">
        <v>1235</v>
      </c>
      <c r="BH33" s="243" t="str" cm="1">
        <f t="array" ref="BH33">_xlfn.IFS(AND(AC33&lt;&gt;"", BK33&lt;&gt;"-"), TRUE, AND(AC33&lt;&gt;"", BK33="-"), FALSE, AC33="", "-")</f>
        <v>-</v>
      </c>
      <c r="BI33" s="243" t="s">
        <v>9801</v>
      </c>
      <c r="BJ33" s="243" t="s">
        <v>9801</v>
      </c>
      <c r="BK33" s="244" t="str">
        <f t="shared" si="31"/>
        <v>-</v>
      </c>
      <c r="BL33" s="217" t="str" cm="1">
        <f t="array" ref="BL33">_xlfn.IFS(AND(AD33&lt;&gt;"", BO33&lt;&gt;"-"), TRUE, AND(AD33&lt;&gt;"", BO33="-"), FALSE, AD33="", "-")</f>
        <v>-</v>
      </c>
      <c r="BM33" s="215" t="s">
        <v>9801</v>
      </c>
      <c r="BN33" s="215" t="s">
        <v>9801</v>
      </c>
      <c r="BO33" s="217" t="str">
        <f t="shared" si="15"/>
        <v>-</v>
      </c>
      <c r="BP33" s="214">
        <v>3.7037037037037035E-4</v>
      </c>
      <c r="BQ33" s="214">
        <f t="shared" si="1"/>
        <v>6.5972222222222224E-4</v>
      </c>
      <c r="BR33" s="214">
        <f t="shared" si="2"/>
        <v>1.8518518518518518E-4</v>
      </c>
      <c r="BS33" s="214">
        <f t="shared" si="3"/>
        <v>3.4722222222222224E-4</v>
      </c>
      <c r="BT33" s="218">
        <v>1</v>
      </c>
      <c r="BU33" s="219">
        <f t="shared" si="16"/>
        <v>0</v>
      </c>
      <c r="BV33" s="217" t="str">
        <f t="shared" si="4"/>
        <v>-</v>
      </c>
      <c r="BW33" s="218" t="str">
        <f t="shared" si="17"/>
        <v>-</v>
      </c>
      <c r="BX33" s="218" t="str">
        <f t="shared" si="5"/>
        <v>-</v>
      </c>
      <c r="BY33" s="217" t="str">
        <f t="shared" si="6"/>
        <v>-</v>
      </c>
      <c r="BZ33" s="218" t="str">
        <f t="shared" si="7"/>
        <v>-</v>
      </c>
      <c r="CA33" s="218" t="str">
        <f t="shared" si="8"/>
        <v>-</v>
      </c>
      <c r="CB33" s="218"/>
      <c r="CC33" s="229">
        <v>1.6666666666666666E-2</v>
      </c>
      <c r="CD33" s="230" t="b">
        <v>1</v>
      </c>
      <c r="CE33" s="230" t="b">
        <v>0</v>
      </c>
      <c r="CF33" s="243" t="str" cm="1">
        <f t="array" ref="CF33">_xlfn.IFS(AND(AC33&lt;&gt;"", CI33&lt;&gt;"-"), TRUE, AND(AC33&lt;&gt;"", CI33="-"), FALSE, AC33="", "-")</f>
        <v>-</v>
      </c>
      <c r="CG33" s="243" t="s">
        <v>9801</v>
      </c>
      <c r="CH33" s="243" t="s">
        <v>9801</v>
      </c>
      <c r="CI33" s="244" t="str">
        <f t="shared" si="18"/>
        <v>-</v>
      </c>
      <c r="CJ33" s="236" t="str" cm="1">
        <f t="array" ref="CJ33">_xlfn.IFS(AND(AD33&lt;&gt;"", CM33&lt;&gt;"-"), TRUE, AND(AD33&lt;&gt;"", CM33="-"), FALSE, AD33="", "-")</f>
        <v>-</v>
      </c>
      <c r="CK33" s="230" t="s">
        <v>9801</v>
      </c>
      <c r="CL33" s="230" t="s">
        <v>9801</v>
      </c>
      <c r="CM33" s="255" t="str">
        <f t="shared" si="19"/>
        <v>-</v>
      </c>
      <c r="CN33" s="229"/>
      <c r="CO33" s="229">
        <f t="shared" si="20"/>
        <v>1.6666666666666666E-2</v>
      </c>
      <c r="CP33" s="229">
        <f t="shared" si="21"/>
        <v>-1.8518518518518518E-4</v>
      </c>
      <c r="CQ33" s="229">
        <f t="shared" si="22"/>
        <v>1.6354166666666666E-2</v>
      </c>
      <c r="CR33" s="230" t="str">
        <f t="shared" si="23"/>
        <v>-</v>
      </c>
      <c r="CS33" s="259" t="str">
        <f t="shared" si="24"/>
        <v>-</v>
      </c>
      <c r="CT33" s="259" t="str">
        <f t="shared" si="25"/>
        <v>-</v>
      </c>
      <c r="CU33" s="230" t="str">
        <f t="shared" si="26"/>
        <v>-</v>
      </c>
      <c r="CV33" s="259" t="str">
        <f t="shared" si="27"/>
        <v>-</v>
      </c>
      <c r="CW33" s="262" t="str">
        <f t="shared" si="28"/>
        <v>-</v>
      </c>
      <c r="CX33" s="230" t="s">
        <v>11424</v>
      </c>
    </row>
    <row r="34" spans="1:102" s="95" customFormat="1" x14ac:dyDescent="0.2">
      <c r="A34" s="95" t="s">
        <v>2368</v>
      </c>
      <c r="B34" s="95">
        <v>732</v>
      </c>
      <c r="C34" s="95" t="b">
        <v>0</v>
      </c>
      <c r="D34" s="95" t="b">
        <v>0</v>
      </c>
      <c r="E34" s="95" t="b">
        <v>0</v>
      </c>
      <c r="F34" s="95" t="b">
        <v>0</v>
      </c>
      <c r="G34" s="95" t="s">
        <v>31</v>
      </c>
      <c r="H34" s="95" t="s">
        <v>2369</v>
      </c>
      <c r="I34" s="95" t="s">
        <v>2370</v>
      </c>
      <c r="J34" s="95" t="s">
        <v>2166</v>
      </c>
      <c r="O34" s="95" t="s">
        <v>10874</v>
      </c>
      <c r="P34" s="95" t="s">
        <v>10874</v>
      </c>
      <c r="Q34" s="98">
        <v>3.8194444444444446E-4</v>
      </c>
      <c r="R34" s="98">
        <v>6.018518518518519E-4</v>
      </c>
      <c r="S34" s="95">
        <v>0</v>
      </c>
      <c r="T34" s="95" t="s">
        <v>36</v>
      </c>
      <c r="U34" s="95" t="s">
        <v>37</v>
      </c>
      <c r="V34" s="95" t="s">
        <v>38</v>
      </c>
      <c r="Z34" s="95" t="b">
        <v>0</v>
      </c>
      <c r="AC34" s="95">
        <v>10</v>
      </c>
      <c r="AE34" s="95" t="s">
        <v>2025</v>
      </c>
      <c r="AF34" s="95" t="s">
        <v>9522</v>
      </c>
      <c r="AH34" s="95" t="b">
        <v>0</v>
      </c>
      <c r="AI34" s="95" t="s">
        <v>11201</v>
      </c>
      <c r="AL34" s="207">
        <v>1.8518518518518518E-4</v>
      </c>
      <c r="AM34" s="208" t="b">
        <v>1</v>
      </c>
      <c r="AN34" s="208" t="b">
        <v>1</v>
      </c>
      <c r="AO34" s="252" t="b">
        <f t="shared" si="9"/>
        <v>1</v>
      </c>
      <c r="AP34" s="209" t="s">
        <v>11376</v>
      </c>
      <c r="AQ34" s="252" t="b" cm="1">
        <f t="array" ref="AQ34">_xlfn.IFS(AND(AC34&lt;&gt;"", AR34&lt;&gt;"-"), TRUE, AND(AC34&lt;&gt;"", AR34="-"), FALSE, AC34="", "-")</f>
        <v>0</v>
      </c>
      <c r="AR34" s="224" t="s">
        <v>9801</v>
      </c>
      <c r="AS34" s="221" t="str">
        <f t="shared" si="10"/>
        <v>-</v>
      </c>
      <c r="AT34" s="207">
        <v>3.4722222222222224E-4</v>
      </c>
      <c r="AU34" s="207">
        <f t="shared" si="11"/>
        <v>5.3240740740740744E-4</v>
      </c>
      <c r="AV34" s="207">
        <f t="shared" si="12"/>
        <v>-3.4722222222222229E-5</v>
      </c>
      <c r="AW34" s="207">
        <f t="shared" si="13"/>
        <v>-6.9444444444444458E-5</v>
      </c>
      <c r="AX34" s="212" cm="1">
        <f t="array" ref="AX34">_xlfn.IFS(AP34="-", "-", AND(AP34="asphalt",AA34=""),100%, AND(AP34&lt;&gt;"asphalt",AA34=""), 0%)</f>
        <v>0</v>
      </c>
      <c r="AY34" s="213">
        <f t="shared" si="33"/>
        <v>1</v>
      </c>
      <c r="AZ34" s="212" t="str">
        <f t="shared" si="30"/>
        <v>-</v>
      </c>
      <c r="BA34" s="212" t="str" cm="1">
        <f t="array" ref="BA34">_xlfn.IFS(OR(AC34="", AS34="-"), "-", AND(AC34&lt;&gt;"", OR(AS34&lt;&gt;"-", AS34&lt;&gt;0)), ABS(AS34/AC34-1))</f>
        <v>-</v>
      </c>
      <c r="BB34" s="208"/>
      <c r="BC34" s="214">
        <v>4.3981481481481481E-4</v>
      </c>
      <c r="BD34" s="215" t="b">
        <v>1</v>
      </c>
      <c r="BE34" s="215" t="b">
        <v>1</v>
      </c>
      <c r="BF34" s="215" t="b">
        <f t="shared" si="14"/>
        <v>1</v>
      </c>
      <c r="BG34" s="215" t="s">
        <v>3516</v>
      </c>
      <c r="BH34" s="243" t="b" cm="1">
        <f t="array" ref="BH34">_xlfn.IFS(AND(AC34&lt;&gt;"", BK34&lt;&gt;"-"), TRUE, AND(AC34&lt;&gt;"", BK34="-"), FALSE, AC34="", "-")</f>
        <v>1</v>
      </c>
      <c r="BI34" s="243">
        <v>7.24</v>
      </c>
      <c r="BJ34" s="243">
        <v>1</v>
      </c>
      <c r="BK34" s="244">
        <f t="shared" si="31"/>
        <v>8</v>
      </c>
      <c r="BL34" s="217" t="str" cm="1">
        <f t="array" ref="BL34">_xlfn.IFS(AND(AD34&lt;&gt;"", BO34&lt;&gt;"-"), TRUE, AND(AD34&lt;&gt;"", BO34="-"), FALSE, AD34="", "-")</f>
        <v>-</v>
      </c>
      <c r="BM34" s="215" t="s">
        <v>9801</v>
      </c>
      <c r="BN34" s="215" t="s">
        <v>9801</v>
      </c>
      <c r="BO34" s="217" t="str">
        <f t="shared" si="15"/>
        <v>-</v>
      </c>
      <c r="BP34" s="214">
        <v>2.8935185185185189E-4</v>
      </c>
      <c r="BQ34" s="214">
        <f t="shared" ref="BQ34:BQ57" si="34">BC34+BP34</f>
        <v>7.291666666666667E-4</v>
      </c>
      <c r="BR34" s="214">
        <f t="shared" ref="BR34:BR57" si="35">BP34-Q34</f>
        <v>-9.2592592592592574E-5</v>
      </c>
      <c r="BS34" s="214">
        <f t="shared" ref="BS34:BS57" si="36">BQ34-R34</f>
        <v>1.273148148148148E-4</v>
      </c>
      <c r="BT34" s="218">
        <v>0</v>
      </c>
      <c r="BU34" s="219">
        <f t="shared" si="16"/>
        <v>1</v>
      </c>
      <c r="BV34" s="217">
        <f t="shared" ref="BV34:BV57" si="37">IF(AND(AC34&lt;&gt;"",BK34&lt;&gt;"-"), BK34-AC34, "-")</f>
        <v>-2</v>
      </c>
      <c r="BW34" s="218">
        <f t="shared" si="17"/>
        <v>0.8</v>
      </c>
      <c r="BX34" s="218">
        <f t="shared" ref="BX34:BX57" si="38">IF(AND(BK34&lt;&gt;"-",AC34&lt;&gt;""), ABS(BK34/AC34-1), "-")</f>
        <v>0.19999999999999996</v>
      </c>
      <c r="BY34" s="217" t="str">
        <f t="shared" ref="BY34:BY57" si="39">IF(AND(AD34&lt;&gt;"",BO34&lt;&gt;"-"), BO34-AD34, "-")</f>
        <v>-</v>
      </c>
      <c r="BZ34" s="218" t="str">
        <f t="shared" ref="BZ34:BZ57" si="40">IF(CA34&lt;&gt;"-", 1-CA34, "-")</f>
        <v>-</v>
      </c>
      <c r="CA34" s="218" t="str">
        <f t="shared" ref="CA34:CA57" si="41">IF(AND(BO34&lt;&gt;"-",AD34&lt;&gt;""), ABS(BO34/AD34-1), "-")</f>
        <v>-</v>
      </c>
      <c r="CB34" s="218"/>
      <c r="CC34" s="229">
        <v>4.7453703703703704E-4</v>
      </c>
      <c r="CD34" s="230" t="b">
        <v>1</v>
      </c>
      <c r="CE34" s="230" t="b">
        <v>1</v>
      </c>
      <c r="CF34" s="243" t="b" cm="1">
        <f t="array" ref="CF34">_xlfn.IFS(AND(AC34&lt;&gt;"", CI34&lt;&gt;"-"), TRUE, AND(AC34&lt;&gt;"", CI34="-"), FALSE, AC34="", "-")</f>
        <v>1</v>
      </c>
      <c r="CG34" s="243">
        <v>9.4700000000000006</v>
      </c>
      <c r="CH34" s="243">
        <v>1.27</v>
      </c>
      <c r="CI34" s="244">
        <f t="shared" si="18"/>
        <v>8</v>
      </c>
      <c r="CJ34" s="236" t="str" cm="1">
        <f t="array" ref="CJ34">_xlfn.IFS(AND(AD34&lt;&gt;"", CM34&lt;&gt;"-"), TRUE, AND(AD34&lt;&gt;"", CM34="-"), FALSE, AD34="", "-")</f>
        <v>-</v>
      </c>
      <c r="CK34" s="230" t="s">
        <v>9801</v>
      </c>
      <c r="CL34" s="230" t="s">
        <v>9801</v>
      </c>
      <c r="CM34" s="255" t="str">
        <f t="shared" si="19"/>
        <v>-</v>
      </c>
      <c r="CN34" s="229">
        <v>2.199074074074074E-4</v>
      </c>
      <c r="CO34" s="229">
        <f t="shared" si="20"/>
        <v>6.9444444444444447E-4</v>
      </c>
      <c r="CP34" s="229">
        <f t="shared" si="21"/>
        <v>-1.6203703703703706E-4</v>
      </c>
      <c r="CQ34" s="229">
        <f t="shared" si="22"/>
        <v>9.2592592592592574E-5</v>
      </c>
      <c r="CR34" s="230">
        <f t="shared" si="23"/>
        <v>-2</v>
      </c>
      <c r="CS34" s="259">
        <f t="shared" si="24"/>
        <v>0.8</v>
      </c>
      <c r="CT34" s="259">
        <f t="shared" si="25"/>
        <v>0.19999999999999996</v>
      </c>
      <c r="CU34" s="230" t="str">
        <f t="shared" si="26"/>
        <v>-</v>
      </c>
      <c r="CV34" s="259" t="str">
        <f t="shared" si="27"/>
        <v>-</v>
      </c>
      <c r="CW34" s="262" t="str">
        <f t="shared" si="28"/>
        <v>-</v>
      </c>
      <c r="CX34" s="230"/>
    </row>
    <row r="35" spans="1:102" s="95" customFormat="1" x14ac:dyDescent="0.2">
      <c r="A35" s="95" t="s">
        <v>2371</v>
      </c>
      <c r="B35" s="95">
        <v>733</v>
      </c>
      <c r="C35" s="95" t="b">
        <v>0</v>
      </c>
      <c r="D35" s="95" t="b">
        <v>0</v>
      </c>
      <c r="E35" s="95" t="b">
        <v>0</v>
      </c>
      <c r="F35" s="95" t="b">
        <v>0</v>
      </c>
      <c r="G35" s="95" t="s">
        <v>31</v>
      </c>
      <c r="H35" s="95" t="s">
        <v>2372</v>
      </c>
      <c r="I35" s="95" t="s">
        <v>2373</v>
      </c>
      <c r="O35" s="95" t="s">
        <v>11005</v>
      </c>
      <c r="P35" s="95" t="s">
        <v>11004</v>
      </c>
      <c r="Q35" s="98">
        <v>3.4722222222222224E-4</v>
      </c>
      <c r="R35" s="98">
        <v>3.2060185185185191E-3</v>
      </c>
      <c r="S35" s="95">
        <v>0</v>
      </c>
      <c r="T35" s="95" t="s">
        <v>36</v>
      </c>
      <c r="U35" s="95" t="s">
        <v>37</v>
      </c>
      <c r="V35" s="95" t="s">
        <v>38</v>
      </c>
      <c r="Z35" s="95" t="b">
        <v>0</v>
      </c>
      <c r="AD35" s="95">
        <v>6</v>
      </c>
      <c r="AE35" s="95" t="s">
        <v>2025</v>
      </c>
      <c r="AF35" s="95" t="s">
        <v>9522</v>
      </c>
      <c r="AH35" s="95" t="b">
        <v>0</v>
      </c>
      <c r="AI35" s="95" t="s">
        <v>11202</v>
      </c>
      <c r="AL35" s="207">
        <v>1.5046296296296297E-4</v>
      </c>
      <c r="AM35" s="208" t="b">
        <v>1</v>
      </c>
      <c r="AN35" s="208" t="b">
        <v>1</v>
      </c>
      <c r="AO35" s="252" t="b">
        <f t="shared" si="9"/>
        <v>1</v>
      </c>
      <c r="AP35" s="209" t="s">
        <v>11366</v>
      </c>
      <c r="AQ35" s="210" t="str" cm="1">
        <f t="array" ref="AQ35">_xlfn.IFS(AND(AC35&lt;&gt;"", AR35&lt;&gt;"-"), TRUE, AND(AC35&lt;&gt;"", AR35="-"), FALSE, AC35="", "-")</f>
        <v>-</v>
      </c>
      <c r="AR35" s="224" t="s">
        <v>9801</v>
      </c>
      <c r="AS35" s="221" t="str">
        <f t="shared" si="10"/>
        <v>-</v>
      </c>
      <c r="AT35" s="207">
        <v>1.7361111111111112E-4</v>
      </c>
      <c r="AU35" s="207">
        <f t="shared" si="11"/>
        <v>3.2407407407407406E-4</v>
      </c>
      <c r="AV35" s="207">
        <f>AT35-Q35</f>
        <v>-1.7361111111111112E-4</v>
      </c>
      <c r="AW35" s="207">
        <f t="shared" si="13"/>
        <v>-2.8819444444444448E-3</v>
      </c>
      <c r="AX35" s="212" cm="1">
        <f t="array" ref="AX35">_xlfn.IFS(AP35="-", "-", AND(AP35="asphalt",AA35=""),100%, AND(AP35&lt;&gt;"asphalt",AA35=""), 0%)</f>
        <v>1</v>
      </c>
      <c r="AY35" s="213">
        <f t="shared" si="33"/>
        <v>0</v>
      </c>
      <c r="AZ35" s="212" t="str">
        <f t="shared" si="30"/>
        <v>-</v>
      </c>
      <c r="BA35" s="212" t="str" cm="1">
        <f t="array" ref="BA35">_xlfn.IFS(OR(AC35="", AS35="-"), "-", AND(AC35&lt;&gt;"", OR(AS35&lt;&gt;"-", AS35&lt;&gt;0)), ABS(AS35/AC35-1))</f>
        <v>-</v>
      </c>
      <c r="BB35" s="208"/>
      <c r="BC35" s="214">
        <v>3.7037037037037035E-4</v>
      </c>
      <c r="BD35" s="215" t="b">
        <v>1</v>
      </c>
      <c r="BE35" s="215" t="b">
        <v>1</v>
      </c>
      <c r="BF35" s="215" t="b">
        <f t="shared" si="14"/>
        <v>1</v>
      </c>
      <c r="BG35" s="215" t="s">
        <v>3516</v>
      </c>
      <c r="BH35" s="243" t="str" cm="1">
        <f t="array" ref="BH35">_xlfn.IFS(AND(AC35&lt;&gt;"", BK35&lt;&gt;"-"), TRUE, AND(AC35&lt;&gt;"", BK35="-"), FALSE, AC35="", "-")</f>
        <v>-</v>
      </c>
      <c r="BI35" s="243" t="s">
        <v>9801</v>
      </c>
      <c r="BJ35" s="243" t="s">
        <v>9801</v>
      </c>
      <c r="BK35" s="244" t="str">
        <f t="shared" si="31"/>
        <v>-</v>
      </c>
      <c r="BL35" s="217" t="b" cm="1">
        <f t="array" ref="BL35">_xlfn.IFS(AND(AD35&lt;&gt;"", BO35&lt;&gt;"-"), TRUE, AND(AD35&lt;&gt;"", BO35="-"), FALSE, AD35="", "-")</f>
        <v>1</v>
      </c>
      <c r="BM35" s="215">
        <v>4.25</v>
      </c>
      <c r="BN35" s="215">
        <v>0.09</v>
      </c>
      <c r="BO35" s="217">
        <f t="shared" si="15"/>
        <v>1</v>
      </c>
      <c r="BP35" s="214">
        <v>4.7453703703703704E-4</v>
      </c>
      <c r="BQ35" s="214">
        <f t="shared" si="34"/>
        <v>8.4490740740740739E-4</v>
      </c>
      <c r="BR35" s="214">
        <f t="shared" si="35"/>
        <v>1.273148148148148E-4</v>
      </c>
      <c r="BS35" s="214">
        <f t="shared" si="36"/>
        <v>-2.3611111111111116E-3</v>
      </c>
      <c r="BT35" s="218">
        <v>0</v>
      </c>
      <c r="BU35" s="219">
        <f t="shared" si="16"/>
        <v>1</v>
      </c>
      <c r="BV35" s="217" t="str">
        <f t="shared" si="37"/>
        <v>-</v>
      </c>
      <c r="BW35" s="218" t="str">
        <f t="shared" si="17"/>
        <v>-</v>
      </c>
      <c r="BX35" s="218" t="str">
        <f t="shared" si="38"/>
        <v>-</v>
      </c>
      <c r="BY35" s="217">
        <f t="shared" si="39"/>
        <v>-5</v>
      </c>
      <c r="BZ35" s="218">
        <f t="shared" si="40"/>
        <v>0.16666666666666663</v>
      </c>
      <c r="CA35" s="218">
        <f t="shared" si="41"/>
        <v>0.83333333333333337</v>
      </c>
      <c r="CB35" s="218"/>
      <c r="CC35" s="229">
        <v>3.7037037037037035E-4</v>
      </c>
      <c r="CD35" s="230" t="b">
        <v>1</v>
      </c>
      <c r="CE35" s="230" t="b">
        <v>1</v>
      </c>
      <c r="CF35" s="243" t="str" cm="1">
        <f t="array" ref="CF35">_xlfn.IFS(AND(AC35&lt;&gt;"", CI35&lt;&gt;"-"), TRUE, AND(AC35&lt;&gt;"", CI35="-"), FALSE, AC35="", "-")</f>
        <v>-</v>
      </c>
      <c r="CG35" s="243" t="s">
        <v>9801</v>
      </c>
      <c r="CH35" s="243" t="s">
        <v>9801</v>
      </c>
      <c r="CI35" s="244" t="str">
        <f t="shared" si="18"/>
        <v>-</v>
      </c>
      <c r="CJ35" s="236" t="b" cm="1">
        <f t="array" ref="CJ35">_xlfn.IFS(AND(AD35&lt;&gt;"", CM35&lt;&gt;"-"), TRUE, AND(AD35&lt;&gt;"", CM35="-"), FALSE, AD35="", "-")</f>
        <v>1</v>
      </c>
      <c r="CK35" s="230">
        <v>7.26</v>
      </c>
      <c r="CL35" s="230">
        <v>0.36</v>
      </c>
      <c r="CM35" s="255">
        <f>IF(AND(CL35&lt;&gt;"-",CK35&lt;&gt;"-"), ROUND(DEGREES(ATAN(CL35/CK35)*100%), 0), "-")</f>
        <v>3</v>
      </c>
      <c r="CN35" s="229">
        <v>4.8611111111111104E-4</v>
      </c>
      <c r="CO35" s="229">
        <f t="shared" si="20"/>
        <v>8.5648148148148139E-4</v>
      </c>
      <c r="CP35" s="229">
        <f t="shared" si="21"/>
        <v>1.3888888888888881E-4</v>
      </c>
      <c r="CQ35" s="229">
        <f t="shared" si="22"/>
        <v>-2.3495370370370376E-3</v>
      </c>
      <c r="CR35" s="230" t="str">
        <f t="shared" si="23"/>
        <v>-</v>
      </c>
      <c r="CS35" s="259" t="str">
        <f t="shared" si="24"/>
        <v>-</v>
      </c>
      <c r="CT35" s="259" t="str">
        <f t="shared" si="25"/>
        <v>-</v>
      </c>
      <c r="CU35" s="230">
        <f t="shared" si="26"/>
        <v>-3</v>
      </c>
      <c r="CV35" s="259">
        <f t="shared" si="27"/>
        <v>0.5</v>
      </c>
      <c r="CW35" s="262">
        <f t="shared" si="28"/>
        <v>0.5</v>
      </c>
      <c r="CX35" s="230"/>
    </row>
    <row r="36" spans="1:102" s="95" customFormat="1" x14ac:dyDescent="0.2">
      <c r="A36" s="95" t="s">
        <v>2403</v>
      </c>
      <c r="B36" s="95">
        <v>742</v>
      </c>
      <c r="C36" s="95" t="b">
        <v>0</v>
      </c>
      <c r="D36" s="95" t="b">
        <v>0</v>
      </c>
      <c r="E36" s="95" t="b">
        <v>0</v>
      </c>
      <c r="F36" s="95" t="b">
        <v>0</v>
      </c>
      <c r="G36" s="95" t="s">
        <v>31</v>
      </c>
      <c r="H36" s="95" t="s">
        <v>2404</v>
      </c>
      <c r="I36" s="95" t="s">
        <v>2405</v>
      </c>
      <c r="J36" s="95" t="s">
        <v>1738</v>
      </c>
      <c r="O36" s="95" t="s">
        <v>11003</v>
      </c>
      <c r="P36" s="95" t="s">
        <v>11002</v>
      </c>
      <c r="Q36" s="98">
        <v>3.9351851851851852E-4</v>
      </c>
      <c r="R36" s="98">
        <v>1.5740740740740741E-3</v>
      </c>
      <c r="S36" s="95">
        <v>0</v>
      </c>
      <c r="T36" s="95" t="s">
        <v>36</v>
      </c>
      <c r="U36" s="95" t="s">
        <v>37</v>
      </c>
      <c r="V36" s="95" t="s">
        <v>38</v>
      </c>
      <c r="Z36" s="95" t="b">
        <v>0</v>
      </c>
      <c r="AC36" s="95">
        <v>12</v>
      </c>
      <c r="AD36" s="95">
        <v>5</v>
      </c>
      <c r="AE36" s="95" t="s">
        <v>2406</v>
      </c>
      <c r="AF36" s="95" t="s">
        <v>9521</v>
      </c>
      <c r="AH36" s="95" t="b">
        <v>0</v>
      </c>
      <c r="AI36" s="95" t="s">
        <v>11203</v>
      </c>
      <c r="AL36" s="207">
        <v>1.1574074074074073E-4</v>
      </c>
      <c r="AM36" s="208" t="b">
        <v>1</v>
      </c>
      <c r="AN36" s="208" t="b">
        <v>1</v>
      </c>
      <c r="AO36" s="252" t="b">
        <f t="shared" si="9"/>
        <v>1</v>
      </c>
      <c r="AP36" s="209" t="s">
        <v>11366</v>
      </c>
      <c r="AQ36" s="252" t="b" cm="1">
        <f t="array" ref="AQ36">_xlfn.IFS(AND(AC36&lt;&gt;"", AR36&lt;&gt;"-"), TRUE, AND(AC36&lt;&gt;"", AR36="-"), FALSE, AC36="", "-")</f>
        <v>1</v>
      </c>
      <c r="AR36" s="223">
        <v>0.17</v>
      </c>
      <c r="AS36" s="221">
        <f t="shared" si="10"/>
        <v>9.6480453160981572</v>
      </c>
      <c r="AT36" s="207">
        <v>1.273148148148148E-4</v>
      </c>
      <c r="AU36" s="207">
        <f t="shared" si="11"/>
        <v>2.4305555555555555E-4</v>
      </c>
      <c r="AV36" s="207">
        <f t="shared" si="12"/>
        <v>-2.6620370370370372E-4</v>
      </c>
      <c r="AW36" s="207">
        <f t="shared" si="13"/>
        <v>-1.3310185185185185E-3</v>
      </c>
      <c r="AX36" s="212" cm="1">
        <f t="array" ref="AX36">_xlfn.IFS(AP36="-", "-", AND(AP36="asphalt",AA36=""),100%, AND(AP36&lt;&gt;"asphalt",AA36=""), 0%)</f>
        <v>1</v>
      </c>
      <c r="AY36" s="213">
        <f>IF(AX36&lt;&gt;"-", 1-AX36, "-")</f>
        <v>0</v>
      </c>
      <c r="AZ36" s="212">
        <f>IF(BA36&lt;&gt;"-", 1-BA36, "-")</f>
        <v>0.8040037763415131</v>
      </c>
      <c r="BA36" s="212" cm="1">
        <f t="array" ref="BA36">_xlfn.IFS(OR(AC36="", AS36="-"), "-", AND(AC36&lt;&gt;"", OR(AS36&lt;&gt;"-", AS36&lt;&gt;0)), ABS(AS36/AC36-1))</f>
        <v>0.1959962236584869</v>
      </c>
      <c r="BB36" s="208"/>
      <c r="BC36" s="214">
        <v>6.4814814814814813E-4</v>
      </c>
      <c r="BD36" s="215" t="b">
        <v>1</v>
      </c>
      <c r="BE36" s="215" t="b">
        <v>1</v>
      </c>
      <c r="BF36" s="215" t="b">
        <f t="shared" si="14"/>
        <v>1</v>
      </c>
      <c r="BG36" s="215"/>
      <c r="BH36" s="243" t="b" cm="1">
        <f t="array" ref="BH36">_xlfn.IFS(AND(AC36&lt;&gt;"", BK36&lt;&gt;"-"), TRUE, AND(AC36&lt;&gt;"", BK36="-"), FALSE, AC36="", "-")</f>
        <v>0</v>
      </c>
      <c r="BI36" s="243" t="s">
        <v>9801</v>
      </c>
      <c r="BJ36" s="243" t="s">
        <v>9801</v>
      </c>
      <c r="BK36" s="244" t="str">
        <f t="shared" si="31"/>
        <v>-</v>
      </c>
      <c r="BL36" s="217" t="b" cm="1">
        <f t="array" ref="BL36">_xlfn.IFS(AND(AD36&lt;&gt;"", BO36&lt;&gt;"-"), TRUE, AND(AD36&lt;&gt;"", BO36="-"), FALSE, AD36="", "-")</f>
        <v>0</v>
      </c>
      <c r="BM36" s="215" t="s">
        <v>9801</v>
      </c>
      <c r="BN36" s="215" t="s">
        <v>9801</v>
      </c>
      <c r="BO36" s="217" t="str">
        <f t="shared" si="15"/>
        <v>-</v>
      </c>
      <c r="BP36" s="214">
        <v>2.0833333333333335E-4</v>
      </c>
      <c r="BQ36" s="214">
        <f t="shared" si="34"/>
        <v>8.564814814814815E-4</v>
      </c>
      <c r="BR36" s="214">
        <f t="shared" si="35"/>
        <v>-1.8518518518518518E-4</v>
      </c>
      <c r="BS36" s="214">
        <f t="shared" si="36"/>
        <v>-7.1759259259259259E-4</v>
      </c>
      <c r="BT36" s="218">
        <f>IF(AND(BG36="",AA36=""),100%, "TBD")</f>
        <v>1</v>
      </c>
      <c r="BU36" s="219">
        <f t="shared" si="16"/>
        <v>0</v>
      </c>
      <c r="BV36" s="217" t="str">
        <f t="shared" si="37"/>
        <v>-</v>
      </c>
      <c r="BW36" s="218" t="str">
        <f t="shared" si="17"/>
        <v>-</v>
      </c>
      <c r="BX36" s="218" t="str">
        <f t="shared" si="38"/>
        <v>-</v>
      </c>
      <c r="BY36" s="217" t="str">
        <f t="shared" si="39"/>
        <v>-</v>
      </c>
      <c r="BZ36" s="218" t="str">
        <f t="shared" si="40"/>
        <v>-</v>
      </c>
      <c r="CA36" s="218" t="str">
        <f t="shared" si="41"/>
        <v>-</v>
      </c>
      <c r="CB36" s="218" t="s">
        <v>11398</v>
      </c>
      <c r="CC36" s="229">
        <v>5.5555555555555556E-4</v>
      </c>
      <c r="CD36" s="230" t="b">
        <v>1</v>
      </c>
      <c r="CE36" s="230" t="b">
        <v>1</v>
      </c>
      <c r="CF36" s="243" t="b" cm="1">
        <f t="array" ref="CF36">_xlfn.IFS(AND(AC36&lt;&gt;"", CI36&lt;&gt;"-"), TRUE, AND(AC36&lt;&gt;"", CI36="-"), FALSE, AC36="", "-")</f>
        <v>1</v>
      </c>
      <c r="CG36" s="243">
        <v>11.24</v>
      </c>
      <c r="CH36" s="243">
        <v>1.89</v>
      </c>
      <c r="CI36" s="244">
        <f t="shared" si="18"/>
        <v>10</v>
      </c>
      <c r="CJ36" s="236" t="b" cm="1">
        <f t="array" ref="CJ36">_xlfn.IFS(AND(AD36&lt;&gt;"", CM36&lt;&gt;"-"), TRUE, AND(AD36&lt;&gt;"", CM36="-"), FALSE, AD36="", "-")</f>
        <v>1</v>
      </c>
      <c r="CK36" s="230">
        <v>3.76</v>
      </c>
      <c r="CL36" s="230">
        <v>0.12</v>
      </c>
      <c r="CM36" s="255">
        <f t="shared" si="19"/>
        <v>2</v>
      </c>
      <c r="CN36" s="229">
        <v>4.1666666666666669E-4</v>
      </c>
      <c r="CO36" s="229">
        <f t="shared" si="20"/>
        <v>9.7222222222222219E-4</v>
      </c>
      <c r="CP36" s="229">
        <f t="shared" si="21"/>
        <v>2.3148148148148171E-5</v>
      </c>
      <c r="CQ36" s="229">
        <f t="shared" si="22"/>
        <v>-6.018518518518519E-4</v>
      </c>
      <c r="CR36" s="230">
        <f t="shared" si="23"/>
        <v>-2</v>
      </c>
      <c r="CS36" s="259">
        <f t="shared" si="24"/>
        <v>0.83333333333333337</v>
      </c>
      <c r="CT36" s="259">
        <f t="shared" si="25"/>
        <v>0.16666666666666663</v>
      </c>
      <c r="CU36" s="230">
        <f t="shared" si="26"/>
        <v>-3</v>
      </c>
      <c r="CV36" s="259">
        <f t="shared" si="27"/>
        <v>0.4</v>
      </c>
      <c r="CW36" s="262">
        <f t="shared" si="28"/>
        <v>0.6</v>
      </c>
      <c r="CX36" s="230"/>
    </row>
    <row r="37" spans="1:102" s="95" customFormat="1" x14ac:dyDescent="0.2">
      <c r="A37" s="95" t="s">
        <v>2542</v>
      </c>
      <c r="B37" s="95">
        <v>786</v>
      </c>
      <c r="C37" s="95" t="b">
        <v>0</v>
      </c>
      <c r="D37" s="95" t="b">
        <v>0</v>
      </c>
      <c r="E37" s="95" t="b">
        <v>0</v>
      </c>
      <c r="F37" s="95" t="b">
        <v>0</v>
      </c>
      <c r="G37" s="95" t="s">
        <v>31</v>
      </c>
      <c r="H37" s="95" t="s">
        <v>2543</v>
      </c>
      <c r="I37" s="95" t="s">
        <v>2544</v>
      </c>
      <c r="J37" s="95" t="s">
        <v>2545</v>
      </c>
      <c r="O37" s="95" t="s">
        <v>11001</v>
      </c>
      <c r="P37" s="95" t="s">
        <v>11001</v>
      </c>
      <c r="Q37" s="98">
        <v>2.199074074074074E-4</v>
      </c>
      <c r="R37" s="98">
        <v>6.7129629629629625E-4</v>
      </c>
      <c r="S37" s="95">
        <v>0</v>
      </c>
      <c r="T37" s="95" t="s">
        <v>36</v>
      </c>
      <c r="U37" s="95" t="s">
        <v>37</v>
      </c>
      <c r="V37" s="95" t="s">
        <v>38</v>
      </c>
      <c r="Z37" s="95" t="b">
        <v>0</v>
      </c>
      <c r="AC37" s="95">
        <v>4</v>
      </c>
      <c r="AE37" s="95" t="s">
        <v>2406</v>
      </c>
      <c r="AF37" s="95" t="s">
        <v>9521</v>
      </c>
      <c r="AH37" s="95" t="b">
        <v>0</v>
      </c>
      <c r="AI37" s="95" t="s">
        <v>11204</v>
      </c>
      <c r="AL37" s="207">
        <v>1.5046296296296297E-4</v>
      </c>
      <c r="AM37" s="208" t="b">
        <v>1</v>
      </c>
      <c r="AN37" s="208" t="b">
        <v>1</v>
      </c>
      <c r="AO37" s="252" t="b">
        <f t="shared" si="9"/>
        <v>1</v>
      </c>
      <c r="AP37" s="209" t="s">
        <v>11380</v>
      </c>
      <c r="AQ37" s="252" t="b" cm="1">
        <f t="array" ref="AQ37">_xlfn.IFS(AND(AC37&lt;&gt;"", AR37&lt;&gt;"-"), TRUE, AND(AC37&lt;&gt;"", AR37="-"), FALSE, AC37="", "-")</f>
        <v>0</v>
      </c>
      <c r="AR37" s="224" t="s">
        <v>9801</v>
      </c>
      <c r="AS37" s="221" t="str">
        <f t="shared" si="10"/>
        <v>-</v>
      </c>
      <c r="AT37" s="207">
        <v>1.5046296296296297E-4</v>
      </c>
      <c r="AU37" s="207">
        <f t="shared" si="11"/>
        <v>3.0092592592592595E-4</v>
      </c>
      <c r="AV37" s="207">
        <f t="shared" si="12"/>
        <v>-6.9444444444444431E-5</v>
      </c>
      <c r="AW37" s="207">
        <f t="shared" si="13"/>
        <v>-3.703703703703703E-4</v>
      </c>
      <c r="AX37" s="212" cm="1">
        <f t="array" ref="AX37">_xlfn.IFS(AP37="-", "-", AND(AP37="asphalt",AA37=""),100%, AND(AP37&lt;&gt;"asphalt",AA37=""), 0%)</f>
        <v>0</v>
      </c>
      <c r="AY37" s="213">
        <f>IF(AX37&lt;&gt;"-", 1-AX37, "-")</f>
        <v>1</v>
      </c>
      <c r="AZ37" s="212" t="str">
        <f t="shared" si="30"/>
        <v>-</v>
      </c>
      <c r="BA37" s="212" t="str" cm="1">
        <f t="array" ref="BA37">_xlfn.IFS(OR(AC37="", AS37="-"), "-", AND(AC37&lt;&gt;"", OR(AS37&lt;&gt;"-", AS37&lt;&gt;0)), ABS(AS37/AC37-1))</f>
        <v>-</v>
      </c>
      <c r="BB37" s="208"/>
      <c r="BC37" s="214">
        <v>7.0601851851851847E-4</v>
      </c>
      <c r="BD37" s="215" t="b">
        <v>0</v>
      </c>
      <c r="BE37" s="215" t="s">
        <v>9801</v>
      </c>
      <c r="BF37" s="215" t="b">
        <f>IF(BG37&lt;&gt;"-", TRUE, FALSE)</f>
        <v>0</v>
      </c>
      <c r="BG37" s="215" t="s">
        <v>9801</v>
      </c>
      <c r="BH37" s="243" t="b" cm="1">
        <f t="array" ref="BH37">_xlfn.IFS(AND(AC37&lt;&gt;"", BK37&lt;&gt;"-"), TRUE, AND(AC37&lt;&gt;"", BK37="-"), FALSE, AC37="", "-")</f>
        <v>0</v>
      </c>
      <c r="BI37" s="243" t="s">
        <v>9801</v>
      </c>
      <c r="BJ37" s="243" t="s">
        <v>9801</v>
      </c>
      <c r="BK37" s="244" t="str">
        <f>IF(AND(BJ37&lt;&gt;"-",BI37&lt;&gt;"-"), ROUND(DEGREES(ATAN(BJ37/BI37)*100%), 0), "-")</f>
        <v>-</v>
      </c>
      <c r="BL37" s="217" t="str" cm="1">
        <f t="array" ref="BL37">_xlfn.IFS(AND(AD37&lt;&gt;"", BO37&lt;&gt;"-"), TRUE, AND(AD37&lt;&gt;"", BO37="-"), FALSE, AD37="", "-")</f>
        <v>-</v>
      </c>
      <c r="BM37" s="215" t="s">
        <v>9801</v>
      </c>
      <c r="BN37" s="215" t="s">
        <v>9801</v>
      </c>
      <c r="BO37" s="217" t="str">
        <f t="shared" si="15"/>
        <v>-</v>
      </c>
      <c r="BP37" s="214">
        <v>0</v>
      </c>
      <c r="BQ37" s="214">
        <f t="shared" si="34"/>
        <v>7.0601851851851847E-4</v>
      </c>
      <c r="BR37" s="214">
        <f t="shared" si="35"/>
        <v>-2.199074074074074E-4</v>
      </c>
      <c r="BS37" s="214">
        <f t="shared" si="36"/>
        <v>3.4722222222222229E-5</v>
      </c>
      <c r="BT37" s="218" t="s">
        <v>9801</v>
      </c>
      <c r="BU37" s="219" t="s">
        <v>9801</v>
      </c>
      <c r="BV37" s="217" t="str">
        <f t="shared" si="37"/>
        <v>-</v>
      </c>
      <c r="BW37" s="218" t="str">
        <f t="shared" si="17"/>
        <v>-</v>
      </c>
      <c r="BX37" s="218" t="str">
        <f t="shared" si="38"/>
        <v>-</v>
      </c>
      <c r="BY37" s="217" t="str">
        <f t="shared" si="39"/>
        <v>-</v>
      </c>
      <c r="BZ37" s="218" t="str">
        <f t="shared" si="40"/>
        <v>-</v>
      </c>
      <c r="CA37" s="218" t="str">
        <f t="shared" si="41"/>
        <v>-</v>
      </c>
      <c r="CB37" s="218" t="s">
        <v>11395</v>
      </c>
      <c r="CC37" s="229">
        <v>1.2384259259259258E-3</v>
      </c>
      <c r="CD37" s="230" t="b">
        <v>1</v>
      </c>
      <c r="CE37" s="230" t="b">
        <v>1</v>
      </c>
      <c r="CF37" s="243" t="b" cm="1">
        <f t="array" ref="CF37">_xlfn.IFS(AND(AC37&lt;&gt;"", CI37&lt;&gt;"-"), TRUE, AND(AC37&lt;&gt;"", CI37="-"), FALSE, AC37="", "-")</f>
        <v>1</v>
      </c>
      <c r="CG37" s="243">
        <v>13.28</v>
      </c>
      <c r="CH37" s="243">
        <v>1.42</v>
      </c>
      <c r="CI37" s="244">
        <f t="shared" si="18"/>
        <v>6</v>
      </c>
      <c r="CJ37" s="236" t="str" cm="1">
        <f t="array" ref="CJ37">_xlfn.IFS(AND(AD37&lt;&gt;"", CM37&lt;&gt;"-"), TRUE, AND(AD37&lt;&gt;"", CM37="-"), FALSE, AD37="", "-")</f>
        <v>-</v>
      </c>
      <c r="CK37" s="230" t="s">
        <v>9801</v>
      </c>
      <c r="CL37" s="230" t="s">
        <v>9801</v>
      </c>
      <c r="CM37" s="255" t="str">
        <f t="shared" si="19"/>
        <v>-</v>
      </c>
      <c r="CN37" s="229">
        <v>2.6620370370370372E-4</v>
      </c>
      <c r="CO37" s="229">
        <f t="shared" si="20"/>
        <v>1.5046296296296296E-3</v>
      </c>
      <c r="CP37" s="229">
        <f t="shared" si="21"/>
        <v>4.6296296296296314E-5</v>
      </c>
      <c r="CQ37" s="229">
        <f t="shared" si="22"/>
        <v>8.3333333333333339E-4</v>
      </c>
      <c r="CR37" s="230">
        <f t="shared" si="23"/>
        <v>2</v>
      </c>
      <c r="CS37" s="259">
        <f t="shared" si="24"/>
        <v>0.5</v>
      </c>
      <c r="CT37" s="259">
        <f t="shared" si="25"/>
        <v>0.5</v>
      </c>
      <c r="CU37" s="230" t="str">
        <f t="shared" si="26"/>
        <v>-</v>
      </c>
      <c r="CV37" s="259" t="str">
        <f t="shared" si="27"/>
        <v>-</v>
      </c>
      <c r="CW37" s="262" t="str">
        <f t="shared" si="28"/>
        <v>-</v>
      </c>
      <c r="CX37" s="230"/>
    </row>
    <row r="38" spans="1:102" s="95" customFormat="1" x14ac:dyDescent="0.2">
      <c r="A38" s="95" t="s">
        <v>2590</v>
      </c>
      <c r="B38" s="95">
        <v>801</v>
      </c>
      <c r="C38" s="95" t="b">
        <v>0</v>
      </c>
      <c r="D38" s="95" t="b">
        <v>0</v>
      </c>
      <c r="E38" s="95" t="b">
        <v>0</v>
      </c>
      <c r="F38" s="95" t="b">
        <v>0</v>
      </c>
      <c r="G38" s="95" t="s">
        <v>31</v>
      </c>
      <c r="H38" s="95" t="s">
        <v>2591</v>
      </c>
      <c r="I38" s="95" t="s">
        <v>2592</v>
      </c>
      <c r="O38" s="95" t="s">
        <v>11000</v>
      </c>
      <c r="P38" s="95" t="s">
        <v>11000</v>
      </c>
      <c r="Q38" s="98">
        <v>2.6620370370370372E-4</v>
      </c>
      <c r="R38" s="98">
        <v>2.4768518518518516E-3</v>
      </c>
      <c r="S38" s="95">
        <v>0</v>
      </c>
      <c r="T38" s="95" t="s">
        <v>36</v>
      </c>
      <c r="U38" s="95" t="s">
        <v>37</v>
      </c>
      <c r="V38" s="95" t="s">
        <v>38</v>
      </c>
      <c r="Z38" s="95" t="b">
        <v>0</v>
      </c>
      <c r="AD38" s="95">
        <v>2</v>
      </c>
      <c r="AE38" s="95" t="s">
        <v>2406</v>
      </c>
      <c r="AF38" s="95" t="s">
        <v>9521</v>
      </c>
      <c r="AH38" s="95" t="b">
        <v>0</v>
      </c>
      <c r="AI38" s="95" t="s">
        <v>11205</v>
      </c>
      <c r="AJ38" s="95" t="s">
        <v>11227</v>
      </c>
      <c r="AK38" s="95" t="s">
        <v>11228</v>
      </c>
      <c r="AL38" s="207">
        <v>1.7361111111111112E-4</v>
      </c>
      <c r="AM38" s="208" t="b">
        <v>1</v>
      </c>
      <c r="AN38" s="208" t="b">
        <v>1</v>
      </c>
      <c r="AO38" s="252" t="b">
        <f t="shared" si="9"/>
        <v>1</v>
      </c>
      <c r="AP38" s="209" t="s">
        <v>11366</v>
      </c>
      <c r="AQ38" s="210" t="str" cm="1">
        <f t="array" ref="AQ38">_xlfn.IFS(AND(AC38&lt;&gt;"", AR38&lt;&gt;"-"), TRUE, AND(AC38&lt;&gt;"", AR38="-"), FALSE, AC38="", "-")</f>
        <v>-</v>
      </c>
      <c r="AR38" s="224" t="s">
        <v>9801</v>
      </c>
      <c r="AS38" s="221" t="str">
        <f t="shared" si="10"/>
        <v>-</v>
      </c>
      <c r="AT38" s="207">
        <v>2.0833333333333335E-4</v>
      </c>
      <c r="AU38" s="207">
        <f t="shared" si="11"/>
        <v>3.8194444444444446E-4</v>
      </c>
      <c r="AV38" s="207">
        <f t="shared" si="12"/>
        <v>-5.7870370370370373E-5</v>
      </c>
      <c r="AW38" s="207">
        <f t="shared" si="13"/>
        <v>-2.0949074074074073E-3</v>
      </c>
      <c r="AX38" s="212" cm="1">
        <f t="array" ref="AX38">_xlfn.IFS(AP38="-", "-", AND(AP38="asphalt",AA38=""),100%, AND(AP38&lt;&gt;"asphalt",AA38=""), 0%)</f>
        <v>1</v>
      </c>
      <c r="AY38" s="213">
        <f t="shared" ref="AY38:AY50" si="42">IF(AX38&lt;&gt;"-", 1-AX38, "-")</f>
        <v>0</v>
      </c>
      <c r="AZ38" s="212" t="str">
        <f t="shared" si="30"/>
        <v>-</v>
      </c>
      <c r="BA38" s="212" t="str" cm="1">
        <f t="array" ref="BA38">_xlfn.IFS(OR(AC38="", AS38="-"), "-", AND(AC38&lt;&gt;"", OR(AS38&lt;&gt;"-", AS38&lt;&gt;0)), ABS(AS38/AC38-1))</f>
        <v>-</v>
      </c>
      <c r="BB38" s="208"/>
      <c r="BC38" s="214">
        <v>3.4722222222222224E-4</v>
      </c>
      <c r="BD38" s="215" t="b">
        <v>1</v>
      </c>
      <c r="BE38" s="215" t="b">
        <v>1</v>
      </c>
      <c r="BF38" s="215" t="b">
        <f t="shared" si="14"/>
        <v>1</v>
      </c>
      <c r="BG38" s="215"/>
      <c r="BH38" s="243" t="str" cm="1">
        <f t="array" ref="BH38">_xlfn.IFS(AND(AC38&lt;&gt;"", BK38&lt;&gt;"-"), TRUE, AND(AC38&lt;&gt;"", BK38="-"), FALSE, AC38="", "-")</f>
        <v>-</v>
      </c>
      <c r="BI38" s="243" t="s">
        <v>9801</v>
      </c>
      <c r="BJ38" s="243" t="s">
        <v>9801</v>
      </c>
      <c r="BK38" s="244" t="str">
        <f t="shared" si="31"/>
        <v>-</v>
      </c>
      <c r="BL38" s="217" t="b" cm="1">
        <f t="array" ref="BL38">_xlfn.IFS(AND(AD38&lt;&gt;"", BO38&lt;&gt;"-"), TRUE, AND(AD38&lt;&gt;"", BO38="-"), FALSE, AD38="", "-")</f>
        <v>1</v>
      </c>
      <c r="BM38" s="215">
        <v>2.14</v>
      </c>
      <c r="BN38" s="215">
        <v>0.02</v>
      </c>
      <c r="BO38" s="217">
        <f t="shared" si="15"/>
        <v>1</v>
      </c>
      <c r="BP38" s="214">
        <v>3.3564814814814812E-4</v>
      </c>
      <c r="BQ38" s="214">
        <f t="shared" si="34"/>
        <v>6.8287037037037036E-4</v>
      </c>
      <c r="BR38" s="214">
        <f t="shared" si="35"/>
        <v>6.9444444444444404E-5</v>
      </c>
      <c r="BS38" s="214">
        <f t="shared" si="36"/>
        <v>-1.7939814814814813E-3</v>
      </c>
      <c r="BT38" s="218">
        <f>IF(AND(BG38="",AA38=""),100%, "TBD")</f>
        <v>1</v>
      </c>
      <c r="BU38" s="219">
        <f t="shared" si="16"/>
        <v>0</v>
      </c>
      <c r="BV38" s="217" t="str">
        <f t="shared" si="37"/>
        <v>-</v>
      </c>
      <c r="BW38" s="218" t="str">
        <f t="shared" si="17"/>
        <v>-</v>
      </c>
      <c r="BX38" s="218" t="str">
        <f t="shared" si="38"/>
        <v>-</v>
      </c>
      <c r="BY38" s="217">
        <f t="shared" si="39"/>
        <v>-1</v>
      </c>
      <c r="BZ38" s="218">
        <f t="shared" si="40"/>
        <v>0.5</v>
      </c>
      <c r="CA38" s="218">
        <f t="shared" si="41"/>
        <v>0.5</v>
      </c>
      <c r="CB38" s="218"/>
      <c r="CC38" s="229">
        <v>2.7083333333333334E-2</v>
      </c>
      <c r="CD38" s="230" t="b">
        <v>1</v>
      </c>
      <c r="CE38" s="230" t="b">
        <v>1</v>
      </c>
      <c r="CF38" s="243" t="str" cm="1">
        <f t="array" ref="CF38">_xlfn.IFS(AND(AC38&lt;&gt;"", CI38&lt;&gt;"-"), TRUE, AND(AC38&lt;&gt;"", CI38="-"), FALSE, AC38="", "-")</f>
        <v>-</v>
      </c>
      <c r="CG38" s="243" t="s">
        <v>9801</v>
      </c>
      <c r="CH38" s="243" t="s">
        <v>9801</v>
      </c>
      <c r="CI38" s="244" t="str">
        <f t="shared" si="18"/>
        <v>-</v>
      </c>
      <c r="CJ38" s="236" t="b" cm="1">
        <f t="array" ref="CJ38">_xlfn.IFS(AND(AD38&lt;&gt;"", CM38&lt;&gt;"-"), TRUE, AND(AD38&lt;&gt;"", CM38="-"), FALSE, AD38="", "-")</f>
        <v>1</v>
      </c>
      <c r="CK38" s="230">
        <v>2.96</v>
      </c>
      <c r="CL38" s="230">
        <v>0.03</v>
      </c>
      <c r="CM38" s="255">
        <f t="shared" si="19"/>
        <v>1</v>
      </c>
      <c r="CN38" s="229">
        <v>2.199074074074074E-4</v>
      </c>
      <c r="CO38" s="229">
        <f t="shared" si="20"/>
        <v>2.7303240740740743E-2</v>
      </c>
      <c r="CP38" s="229">
        <f t="shared" si="21"/>
        <v>-4.6296296296296314E-5</v>
      </c>
      <c r="CQ38" s="229">
        <f t="shared" si="22"/>
        <v>2.4826388888888891E-2</v>
      </c>
      <c r="CR38" s="230" t="str">
        <f t="shared" si="23"/>
        <v>-</v>
      </c>
      <c r="CS38" s="259" t="str">
        <f t="shared" si="24"/>
        <v>-</v>
      </c>
      <c r="CT38" s="259" t="str">
        <f t="shared" si="25"/>
        <v>-</v>
      </c>
      <c r="CU38" s="230">
        <f t="shared" si="26"/>
        <v>-1</v>
      </c>
      <c r="CV38" s="259">
        <f t="shared" si="27"/>
        <v>0.5</v>
      </c>
      <c r="CW38" s="262">
        <f t="shared" si="28"/>
        <v>0.5</v>
      </c>
      <c r="CX38" s="230"/>
    </row>
    <row r="39" spans="1:102" s="95" customFormat="1" x14ac:dyDescent="0.2">
      <c r="A39" s="95" t="s">
        <v>2647</v>
      </c>
      <c r="B39" s="95">
        <v>820</v>
      </c>
      <c r="C39" s="95" t="b">
        <v>0</v>
      </c>
      <c r="D39" s="95" t="b">
        <v>0</v>
      </c>
      <c r="E39" s="95" t="b">
        <v>0</v>
      </c>
      <c r="F39" s="95" t="b">
        <v>0</v>
      </c>
      <c r="G39" s="95" t="s">
        <v>31</v>
      </c>
      <c r="H39" s="95" t="s">
        <v>2648</v>
      </c>
      <c r="I39" s="95" t="s">
        <v>2649</v>
      </c>
      <c r="O39" s="95" t="s">
        <v>10999</v>
      </c>
      <c r="P39" s="95" t="s">
        <v>10999</v>
      </c>
      <c r="Q39" s="98">
        <v>1.273148148148148E-4</v>
      </c>
      <c r="R39" s="98">
        <v>1.1805555555555556E-3</v>
      </c>
      <c r="S39" s="95">
        <v>0</v>
      </c>
      <c r="T39" s="95" t="s">
        <v>36</v>
      </c>
      <c r="U39" s="95" t="s">
        <v>37</v>
      </c>
      <c r="V39" s="95" t="s">
        <v>38</v>
      </c>
      <c r="Z39" s="95" t="b">
        <v>0</v>
      </c>
      <c r="AD39" s="95">
        <v>2</v>
      </c>
      <c r="AE39" s="95" t="s">
        <v>2650</v>
      </c>
      <c r="AF39" s="95" t="s">
        <v>9517</v>
      </c>
      <c r="AH39" s="95" t="b">
        <v>0</v>
      </c>
      <c r="AI39" s="95" t="s">
        <v>11206</v>
      </c>
      <c r="AL39" s="207">
        <v>1.8518518518518518E-4</v>
      </c>
      <c r="AM39" s="208" t="b">
        <v>1</v>
      </c>
      <c r="AN39" s="208" t="b">
        <v>1</v>
      </c>
      <c r="AO39" s="252" t="b">
        <f t="shared" si="9"/>
        <v>1</v>
      </c>
      <c r="AP39" s="209" t="s">
        <v>11366</v>
      </c>
      <c r="AQ39" s="210" t="str" cm="1">
        <f t="array" ref="AQ39">_xlfn.IFS(AND(AC39&lt;&gt;"", AR39&lt;&gt;"-"), TRUE, AND(AC39&lt;&gt;"", AR39="-"), FALSE, AC39="", "-")</f>
        <v>-</v>
      </c>
      <c r="AR39" s="224" t="s">
        <v>9801</v>
      </c>
      <c r="AS39" s="221" t="str">
        <f t="shared" si="10"/>
        <v>-</v>
      </c>
      <c r="AT39" s="207">
        <v>1.3888888888888889E-4</v>
      </c>
      <c r="AU39" s="207">
        <f t="shared" si="11"/>
        <v>3.2407407407407406E-4</v>
      </c>
      <c r="AV39" s="207">
        <f t="shared" si="12"/>
        <v>1.1574074074074085E-5</v>
      </c>
      <c r="AW39" s="207">
        <f t="shared" si="13"/>
        <v>-8.564814814814815E-4</v>
      </c>
      <c r="AX39" s="212" cm="1">
        <f t="array" ref="AX39">_xlfn.IFS(AP39="-", "-", AND(AP39="asphalt",AA39=""),100%, AND(AP39&lt;&gt;"asphalt",AA39=""), 0%)</f>
        <v>1</v>
      </c>
      <c r="AY39" s="213">
        <f t="shared" si="42"/>
        <v>0</v>
      </c>
      <c r="AZ39" s="212" t="str">
        <f t="shared" si="30"/>
        <v>-</v>
      </c>
      <c r="BA39" s="212" t="str" cm="1">
        <f t="array" ref="BA39">_xlfn.IFS(OR(AC39="", AS39="-"), "-", AND(AC39&lt;&gt;"", OR(AS39&lt;&gt;"-", AS39&lt;&gt;0)), ABS(AS39/AC39-1))</f>
        <v>-</v>
      </c>
      <c r="BB39" s="208"/>
      <c r="BC39" s="214">
        <v>3.4722222222222224E-4</v>
      </c>
      <c r="BD39" s="215" t="b">
        <v>1</v>
      </c>
      <c r="BE39" s="215" t="b">
        <v>1</v>
      </c>
      <c r="BF39" s="215" t="b">
        <f t="shared" si="14"/>
        <v>1</v>
      </c>
      <c r="BG39" s="215"/>
      <c r="BH39" s="243" t="str" cm="1">
        <f t="array" ref="BH39">_xlfn.IFS(AND(AC39&lt;&gt;"", BK39&lt;&gt;"-"), TRUE, AND(AC39&lt;&gt;"", BK39="-"), FALSE, AC39="", "-")</f>
        <v>-</v>
      </c>
      <c r="BI39" s="243" t="s">
        <v>9801</v>
      </c>
      <c r="BJ39" s="243" t="s">
        <v>9801</v>
      </c>
      <c r="BK39" s="244" t="str">
        <f t="shared" si="31"/>
        <v>-</v>
      </c>
      <c r="BL39" s="217" t="b" cm="1">
        <f t="array" ref="BL39">_xlfn.IFS(AND(AD39&lt;&gt;"", BO39&lt;&gt;"-"), TRUE, AND(AD39&lt;&gt;"", BO39="-"), FALSE, AD39="", "-")</f>
        <v>1</v>
      </c>
      <c r="BM39" s="215">
        <v>5.61</v>
      </c>
      <c r="BN39" s="215">
        <v>0.15</v>
      </c>
      <c r="BO39" s="217">
        <f t="shared" si="15"/>
        <v>2</v>
      </c>
      <c r="BP39" s="214">
        <v>2.8935185185185189E-4</v>
      </c>
      <c r="BQ39" s="214">
        <f t="shared" si="34"/>
        <v>6.3657407407407413E-4</v>
      </c>
      <c r="BR39" s="214">
        <f t="shared" si="35"/>
        <v>1.6203703703703709E-4</v>
      </c>
      <c r="BS39" s="214">
        <f t="shared" si="36"/>
        <v>-5.4398148148148144E-4</v>
      </c>
      <c r="BT39" s="218">
        <f>IF(AND(BG39="",AA39=""),100%, "TBD")</f>
        <v>1</v>
      </c>
      <c r="BU39" s="219">
        <f t="shared" si="16"/>
        <v>0</v>
      </c>
      <c r="BV39" s="217" t="str">
        <f t="shared" si="37"/>
        <v>-</v>
      </c>
      <c r="BW39" s="218" t="str">
        <f t="shared" si="17"/>
        <v>-</v>
      </c>
      <c r="BX39" s="218" t="str">
        <f t="shared" si="38"/>
        <v>-</v>
      </c>
      <c r="BY39" s="217">
        <f t="shared" si="39"/>
        <v>0</v>
      </c>
      <c r="BZ39" s="218">
        <f t="shared" si="40"/>
        <v>1</v>
      </c>
      <c r="CA39" s="218">
        <f t="shared" si="41"/>
        <v>0</v>
      </c>
      <c r="CB39" s="218"/>
      <c r="CC39" s="229">
        <v>4.6296296296296293E-4</v>
      </c>
      <c r="CD39" s="230" t="b">
        <v>1</v>
      </c>
      <c r="CE39" s="230" t="b">
        <v>1</v>
      </c>
      <c r="CF39" s="243" t="str" cm="1">
        <f t="array" ref="CF39">_xlfn.IFS(AND(AC39&lt;&gt;"", CI39&lt;&gt;"-"), TRUE, AND(AC39&lt;&gt;"", CI39="-"), FALSE, AC39="", "-")</f>
        <v>-</v>
      </c>
      <c r="CG39" s="243" t="s">
        <v>9801</v>
      </c>
      <c r="CH39" s="243" t="s">
        <v>9801</v>
      </c>
      <c r="CI39" s="244" t="str">
        <f t="shared" si="18"/>
        <v>-</v>
      </c>
      <c r="CJ39" s="236" t="b" cm="1">
        <f t="array" ref="CJ39">_xlfn.IFS(AND(AD39&lt;&gt;"", CM39&lt;&gt;"-"), TRUE, AND(AD39&lt;&gt;"", CM39="-"), FALSE, AD39="", "-")</f>
        <v>1</v>
      </c>
      <c r="CK39" s="230">
        <v>4.95</v>
      </c>
      <c r="CL39" s="230">
        <v>0.12</v>
      </c>
      <c r="CM39" s="255">
        <f t="shared" si="19"/>
        <v>1</v>
      </c>
      <c r="CN39" s="229">
        <v>2.4305555555555552E-4</v>
      </c>
      <c r="CO39" s="229">
        <f t="shared" si="20"/>
        <v>7.0601851851851847E-4</v>
      </c>
      <c r="CP39" s="229">
        <f t="shared" si="21"/>
        <v>1.1574074074074072E-4</v>
      </c>
      <c r="CQ39" s="229">
        <f t="shared" si="22"/>
        <v>-4.7453703703703709E-4</v>
      </c>
      <c r="CR39" s="230" t="str">
        <f>IF(AND(AC39&lt;&gt;"",CI39&lt;&gt;"-"), CI39-AC39, "-")</f>
        <v>-</v>
      </c>
      <c r="CS39" s="259" t="str">
        <f>IF(CT39&lt;&gt;"-", 1-CT39, "-")</f>
        <v>-</v>
      </c>
      <c r="CT39" s="259" t="str">
        <f t="shared" si="25"/>
        <v>-</v>
      </c>
      <c r="CU39" s="230">
        <f t="shared" si="26"/>
        <v>-1</v>
      </c>
      <c r="CV39" s="259">
        <f t="shared" si="27"/>
        <v>0.5</v>
      </c>
      <c r="CW39" s="262">
        <f t="shared" si="28"/>
        <v>0.5</v>
      </c>
      <c r="CX39" s="230"/>
    </row>
    <row r="40" spans="1:102" s="95" customFormat="1" x14ac:dyDescent="0.2">
      <c r="A40" s="95" t="s">
        <v>2705</v>
      </c>
      <c r="B40" s="95">
        <v>837</v>
      </c>
      <c r="C40" s="95" t="b">
        <v>0</v>
      </c>
      <c r="D40" s="95" t="b">
        <v>0</v>
      </c>
      <c r="E40" s="95" t="b">
        <v>0</v>
      </c>
      <c r="F40" s="95" t="b">
        <v>0</v>
      </c>
      <c r="G40" s="95" t="s">
        <v>31</v>
      </c>
      <c r="H40" s="95" t="s">
        <v>2706</v>
      </c>
      <c r="I40" s="95" t="s">
        <v>2707</v>
      </c>
      <c r="O40" s="95" t="s">
        <v>10998</v>
      </c>
      <c r="P40" s="95" t="s">
        <v>10998</v>
      </c>
      <c r="Q40" s="98">
        <v>1.1574074074074073E-4</v>
      </c>
      <c r="R40" s="98">
        <v>4.7453703703703704E-4</v>
      </c>
      <c r="S40" s="95">
        <v>0</v>
      </c>
      <c r="T40" s="95" t="s">
        <v>36</v>
      </c>
      <c r="U40" s="95" t="s">
        <v>37</v>
      </c>
      <c r="V40" s="95" t="s">
        <v>38</v>
      </c>
      <c r="Z40" s="95" t="b">
        <v>0</v>
      </c>
      <c r="AD40" s="95">
        <v>3</v>
      </c>
      <c r="AE40" s="95" t="s">
        <v>2650</v>
      </c>
      <c r="AF40" s="95" t="s">
        <v>9517</v>
      </c>
      <c r="AH40" s="95" t="b">
        <v>0</v>
      </c>
      <c r="AI40" s="95" t="s">
        <v>11207</v>
      </c>
      <c r="AL40" s="207">
        <v>1.0416666666666667E-4</v>
      </c>
      <c r="AM40" s="208" t="b">
        <v>1</v>
      </c>
      <c r="AN40" s="208" t="b">
        <v>1</v>
      </c>
      <c r="AO40" s="252" t="b">
        <f t="shared" si="9"/>
        <v>1</v>
      </c>
      <c r="AP40" s="209" t="s">
        <v>11366</v>
      </c>
      <c r="AQ40" s="210" t="str" cm="1">
        <f t="array" ref="AQ40">_xlfn.IFS(AND(AC40&lt;&gt;"", AR40&lt;&gt;"-"), TRUE, AND(AC40&lt;&gt;"", AR40="-"), FALSE, AC40="", "-")</f>
        <v>-</v>
      </c>
      <c r="AR40" s="224" t="s">
        <v>9801</v>
      </c>
      <c r="AS40" s="221" t="str">
        <f t="shared" si="10"/>
        <v>-</v>
      </c>
      <c r="AT40" s="207">
        <v>1.9675925925925926E-4</v>
      </c>
      <c r="AU40" s="207">
        <f t="shared" si="11"/>
        <v>3.0092592592592595E-4</v>
      </c>
      <c r="AV40" s="207">
        <f t="shared" si="12"/>
        <v>8.101851851851853E-5</v>
      </c>
      <c r="AW40" s="207">
        <f t="shared" si="13"/>
        <v>-1.7361111111111109E-4</v>
      </c>
      <c r="AX40" s="212" cm="1">
        <f t="array" ref="AX40">_xlfn.IFS(AP40="-", "-", AND(AP40="asphalt",AA40=""),100%, AND(AP40&lt;&gt;"asphalt",AA40=""), 0%)</f>
        <v>1</v>
      </c>
      <c r="AY40" s="213">
        <f t="shared" si="42"/>
        <v>0</v>
      </c>
      <c r="AZ40" s="212" t="str">
        <f t="shared" si="30"/>
        <v>-</v>
      </c>
      <c r="BA40" s="212" t="str" cm="1">
        <f t="array" ref="BA40">_xlfn.IFS(OR(AC40="", AS40="-"), "-", AND(AC40&lt;&gt;"", OR(AS40&lt;&gt;"-", AS40&lt;&gt;0)), ABS(AS40/AC40-1))</f>
        <v>-</v>
      </c>
      <c r="BB40" s="208"/>
      <c r="BC40" s="214">
        <v>4.1666666666666669E-4</v>
      </c>
      <c r="BD40" s="215" t="b">
        <v>0</v>
      </c>
      <c r="BE40" s="215" t="s">
        <v>9801</v>
      </c>
      <c r="BF40" s="215" t="b">
        <f t="shared" si="14"/>
        <v>0</v>
      </c>
      <c r="BG40" s="215" t="s">
        <v>9801</v>
      </c>
      <c r="BH40" s="243" t="str" cm="1">
        <f t="array" ref="BH40">_xlfn.IFS(AND(AC40&lt;&gt;"", BK40&lt;&gt;"-"), TRUE, AND(AC40&lt;&gt;"", BK40="-"), FALSE, AC40="", "-")</f>
        <v>-</v>
      </c>
      <c r="BI40" s="243" t="s">
        <v>9801</v>
      </c>
      <c r="BJ40" s="243" t="s">
        <v>9801</v>
      </c>
      <c r="BK40" s="244" t="str">
        <f>IF(AND(BJ40&lt;&gt;"-",BI40&lt;&gt;"-"), ROUND(DEGREES(ATAN(BJ40/BI40)*100%), 0), "-")</f>
        <v>-</v>
      </c>
      <c r="BL40" s="217" t="b" cm="1">
        <f t="array" ref="BL40">_xlfn.IFS(AND(AD40&lt;&gt;"", BO40&lt;&gt;"-"), TRUE, AND(AD40&lt;&gt;"", BO40="-"), FALSE, AD40="", "-")</f>
        <v>0</v>
      </c>
      <c r="BM40" s="215" t="s">
        <v>9801</v>
      </c>
      <c r="BN40" s="215" t="s">
        <v>9801</v>
      </c>
      <c r="BO40" s="217" t="str">
        <f t="shared" si="15"/>
        <v>-</v>
      </c>
      <c r="BP40" s="214"/>
      <c r="BQ40" s="214">
        <f t="shared" si="34"/>
        <v>4.1666666666666669E-4</v>
      </c>
      <c r="BR40" s="214">
        <f t="shared" si="35"/>
        <v>-1.1574074074074073E-4</v>
      </c>
      <c r="BS40" s="214">
        <f t="shared" si="36"/>
        <v>-5.7870370370370345E-5</v>
      </c>
      <c r="BT40" s="218" t="s">
        <v>9801</v>
      </c>
      <c r="BU40" s="219" t="s">
        <v>9801</v>
      </c>
      <c r="BV40" s="217" t="str">
        <f t="shared" si="37"/>
        <v>-</v>
      </c>
      <c r="BW40" s="218" t="str">
        <f t="shared" si="17"/>
        <v>-</v>
      </c>
      <c r="BX40" s="218" t="str">
        <f t="shared" si="38"/>
        <v>-</v>
      </c>
      <c r="BY40" s="217" t="str">
        <f t="shared" si="39"/>
        <v>-</v>
      </c>
      <c r="BZ40" s="218" t="str">
        <f t="shared" si="40"/>
        <v>-</v>
      </c>
      <c r="CA40" s="218" t="str">
        <f t="shared" si="41"/>
        <v>-</v>
      </c>
      <c r="CB40" s="218" t="s">
        <v>11397</v>
      </c>
      <c r="CC40" s="229">
        <v>5.9027777777777778E-4</v>
      </c>
      <c r="CD40" s="230" t="b">
        <v>1</v>
      </c>
      <c r="CE40" s="230" t="b">
        <v>1</v>
      </c>
      <c r="CF40" s="243" t="str" cm="1">
        <f t="array" ref="CF40">_xlfn.IFS(AND(AC40&lt;&gt;"", CI40&lt;&gt;"-"), TRUE, AND(AC40&lt;&gt;"", CI40="-"), FALSE, AC40="", "-")</f>
        <v>-</v>
      </c>
      <c r="CG40" s="243" t="s">
        <v>9801</v>
      </c>
      <c r="CH40" s="243" t="s">
        <v>9801</v>
      </c>
      <c r="CI40" s="244" t="str">
        <f t="shared" si="18"/>
        <v>-</v>
      </c>
      <c r="CJ40" s="236" t="b" cm="1">
        <f t="array" ref="CJ40">_xlfn.IFS(AND(AD40&lt;&gt;"", CM40&lt;&gt;"-"), TRUE, AND(AD40&lt;&gt;"", CM40="-"), FALSE, AD40="", "-")</f>
        <v>1</v>
      </c>
      <c r="CK40" s="230">
        <v>2.68</v>
      </c>
      <c r="CL40" s="230">
        <v>0.13</v>
      </c>
      <c r="CM40" s="255">
        <f t="shared" si="19"/>
        <v>3</v>
      </c>
      <c r="CN40" s="229">
        <v>2.0833333333333335E-4</v>
      </c>
      <c r="CO40" s="229">
        <f t="shared" si="20"/>
        <v>7.9861111111111116E-4</v>
      </c>
      <c r="CP40" s="229">
        <f t="shared" si="21"/>
        <v>9.2592592592592615E-5</v>
      </c>
      <c r="CQ40" s="229">
        <f t="shared" si="22"/>
        <v>3.2407407407407412E-4</v>
      </c>
      <c r="CR40" s="230" t="str">
        <f t="shared" si="23"/>
        <v>-</v>
      </c>
      <c r="CS40" s="259" t="str">
        <f t="shared" si="24"/>
        <v>-</v>
      </c>
      <c r="CT40" s="259" t="str">
        <f t="shared" si="25"/>
        <v>-</v>
      </c>
      <c r="CU40" s="230">
        <f t="shared" si="26"/>
        <v>0</v>
      </c>
      <c r="CV40" s="259">
        <f t="shared" si="27"/>
        <v>1</v>
      </c>
      <c r="CW40" s="262">
        <f t="shared" si="28"/>
        <v>0</v>
      </c>
      <c r="CX40" s="230"/>
    </row>
    <row r="41" spans="1:102" s="95" customFormat="1" x14ac:dyDescent="0.2">
      <c r="A41" s="95" t="s">
        <v>2732</v>
      </c>
      <c r="B41" s="95">
        <v>845</v>
      </c>
      <c r="C41" s="95" t="b">
        <v>0</v>
      </c>
      <c r="D41" s="95" t="b">
        <v>0</v>
      </c>
      <c r="E41" s="95" t="b">
        <v>0</v>
      </c>
      <c r="F41" s="95" t="b">
        <v>0</v>
      </c>
      <c r="G41" s="95" t="s">
        <v>31</v>
      </c>
      <c r="H41" s="95" t="s">
        <v>2733</v>
      </c>
      <c r="I41" s="95" t="s">
        <v>2734</v>
      </c>
      <c r="O41" s="95" t="s">
        <v>10997</v>
      </c>
      <c r="P41" s="95" t="s">
        <v>10997</v>
      </c>
      <c r="Q41" s="98">
        <v>1.0416666666666667E-4</v>
      </c>
      <c r="R41" s="98">
        <v>6.3657407407407402E-4</v>
      </c>
      <c r="S41" s="95">
        <v>0</v>
      </c>
      <c r="T41" s="95" t="s">
        <v>36</v>
      </c>
      <c r="U41" s="95" t="s">
        <v>37</v>
      </c>
      <c r="V41" s="95" t="s">
        <v>38</v>
      </c>
      <c r="Z41" s="95" t="b">
        <v>0</v>
      </c>
      <c r="AD41" s="95">
        <v>3</v>
      </c>
      <c r="AE41" s="95" t="s">
        <v>2650</v>
      </c>
      <c r="AF41" s="95" t="s">
        <v>9517</v>
      </c>
      <c r="AH41" s="95" t="b">
        <v>0</v>
      </c>
      <c r="AI41" s="95" t="s">
        <v>11208</v>
      </c>
      <c r="AL41" s="207">
        <v>1.3888888888888889E-4</v>
      </c>
      <c r="AM41" s="208" t="b">
        <v>1</v>
      </c>
      <c r="AN41" s="208" t="b">
        <v>1</v>
      </c>
      <c r="AO41" s="252" t="b">
        <f t="shared" si="9"/>
        <v>1</v>
      </c>
      <c r="AP41" s="209" t="s">
        <v>11366</v>
      </c>
      <c r="AQ41" s="210" t="str" cm="1">
        <f t="array" ref="AQ41">_xlfn.IFS(AND(AC41&lt;&gt;"", AR41&lt;&gt;"-"), TRUE, AND(AC41&lt;&gt;"", AR41="-"), FALSE, AC41="", "-")</f>
        <v>-</v>
      </c>
      <c r="AR41" s="224" t="s">
        <v>9801</v>
      </c>
      <c r="AS41" s="221" t="str">
        <f t="shared" si="10"/>
        <v>-</v>
      </c>
      <c r="AT41" s="207">
        <v>2.8935185185185189E-4</v>
      </c>
      <c r="AU41" s="207">
        <f t="shared" si="11"/>
        <v>4.2824074074074075E-4</v>
      </c>
      <c r="AV41" s="207">
        <f t="shared" si="12"/>
        <v>1.851851851851852E-4</v>
      </c>
      <c r="AW41" s="207">
        <f t="shared" si="13"/>
        <v>-2.0833333333333327E-4</v>
      </c>
      <c r="AX41" s="212" cm="1">
        <f t="array" ref="AX41">_xlfn.IFS(AP41="-", "-", AND(AP41="asphalt",AA41=""),100%, AND(AP41&lt;&gt;"asphalt",AA41=""), 0%)</f>
        <v>1</v>
      </c>
      <c r="AY41" s="213">
        <f t="shared" si="42"/>
        <v>0</v>
      </c>
      <c r="AZ41" s="212" t="str">
        <f t="shared" si="30"/>
        <v>-</v>
      </c>
      <c r="BA41" s="212" t="str" cm="1">
        <f t="array" ref="BA41">_xlfn.IFS(OR(AC41="", AS41="-"), "-", AND(AC41&lt;&gt;"", OR(AS41&lt;&gt;"-", AS41&lt;&gt;0)), ABS(AS41/AC41-1))</f>
        <v>-</v>
      </c>
      <c r="BB41" s="208"/>
      <c r="BC41" s="214">
        <v>3.9351851851851852E-4</v>
      </c>
      <c r="BD41" s="215" t="b">
        <v>1</v>
      </c>
      <c r="BE41" s="215" t="b">
        <v>1</v>
      </c>
      <c r="BF41" s="215" t="b">
        <f t="shared" si="14"/>
        <v>1</v>
      </c>
      <c r="BG41" s="215"/>
      <c r="BH41" s="243" t="str" cm="1">
        <f t="array" ref="BH41">_xlfn.IFS(AND(AC41&lt;&gt;"", BK41&lt;&gt;"-"), TRUE, AND(AC41&lt;&gt;"", BK41="-"), FALSE, AC41="", "-")</f>
        <v>-</v>
      </c>
      <c r="BI41" s="243" t="s">
        <v>9801</v>
      </c>
      <c r="BJ41" s="243" t="s">
        <v>9801</v>
      </c>
      <c r="BK41" s="244" t="str">
        <f t="shared" si="31"/>
        <v>-</v>
      </c>
      <c r="BL41" s="217" t="b" cm="1">
        <f t="array" ref="BL41">_xlfn.IFS(AND(AD41&lt;&gt;"", BO41&lt;&gt;"-"), TRUE, AND(AD41&lt;&gt;"", BO41="-"), FALSE, AD41="", "-")</f>
        <v>1</v>
      </c>
      <c r="BM41" s="215">
        <v>2.76</v>
      </c>
      <c r="BN41" s="215">
        <v>7.0000000000000007E-2</v>
      </c>
      <c r="BO41" s="217">
        <f>IF(AND(BN41&lt;&gt;"-",BM41&lt;&gt;"-"), ROUND(DEGREES(ATAN(BN41/BM41)*100%), 0), "-")</f>
        <v>1</v>
      </c>
      <c r="BP41" s="214">
        <v>2.6620370370370372E-4</v>
      </c>
      <c r="BQ41" s="214">
        <f t="shared" si="34"/>
        <v>6.5972222222222224E-4</v>
      </c>
      <c r="BR41" s="214">
        <f t="shared" si="35"/>
        <v>1.6203703703703703E-4</v>
      </c>
      <c r="BS41" s="214">
        <f t="shared" si="36"/>
        <v>2.3148148148148225E-5</v>
      </c>
      <c r="BT41" s="218">
        <f>IF(AND(BG41="",AA41=""),100%, "TBD")</f>
        <v>1</v>
      </c>
      <c r="BU41" s="219">
        <f t="shared" si="16"/>
        <v>0</v>
      </c>
      <c r="BV41" s="217" t="str">
        <f t="shared" si="37"/>
        <v>-</v>
      </c>
      <c r="BW41" s="218" t="str">
        <f t="shared" si="17"/>
        <v>-</v>
      </c>
      <c r="BX41" s="218" t="str">
        <f t="shared" si="38"/>
        <v>-</v>
      </c>
      <c r="BY41" s="217">
        <f t="shared" si="39"/>
        <v>-2</v>
      </c>
      <c r="BZ41" s="218">
        <f t="shared" si="40"/>
        <v>0.33333333333333326</v>
      </c>
      <c r="CA41" s="218">
        <f t="shared" si="41"/>
        <v>0.66666666666666674</v>
      </c>
      <c r="CB41" s="218"/>
      <c r="CC41" s="229">
        <v>4.2824074074074075E-4</v>
      </c>
      <c r="CD41" s="230" t="b">
        <v>1</v>
      </c>
      <c r="CE41" s="230" t="b">
        <v>1</v>
      </c>
      <c r="CF41" s="243" t="str" cm="1">
        <f t="array" ref="CF41">_xlfn.IFS(AND(AC41&lt;&gt;"", CI41&lt;&gt;"-"), TRUE, AND(AC41&lt;&gt;"", CI41="-"), FALSE, AC41="", "-")</f>
        <v>-</v>
      </c>
      <c r="CG41" s="243" t="s">
        <v>9801</v>
      </c>
      <c r="CH41" s="243" t="s">
        <v>9801</v>
      </c>
      <c r="CI41" s="244" t="str">
        <f t="shared" si="18"/>
        <v>-</v>
      </c>
      <c r="CJ41" s="236" t="b" cm="1">
        <f t="array" ref="CJ41">_xlfn.IFS(AND(AD41&lt;&gt;"", CM41&lt;&gt;"-"), TRUE, AND(AD41&lt;&gt;"", CM41="-"), FALSE, AD41="", "-")</f>
        <v>1</v>
      </c>
      <c r="CK41" s="230">
        <v>3.92</v>
      </c>
      <c r="CL41" s="230">
        <v>0.28999999999999998</v>
      </c>
      <c r="CM41" s="255">
        <f t="shared" si="19"/>
        <v>4</v>
      </c>
      <c r="CN41" s="229">
        <v>2.7777777777777778E-4</v>
      </c>
      <c r="CO41" s="229">
        <f t="shared" si="20"/>
        <v>7.0601851851851858E-4</v>
      </c>
      <c r="CP41" s="229">
        <f t="shared" si="21"/>
        <v>1.7361111111111109E-4</v>
      </c>
      <c r="CQ41" s="229">
        <f t="shared" si="22"/>
        <v>6.9444444444444566E-5</v>
      </c>
      <c r="CR41" s="230" t="str">
        <f t="shared" si="23"/>
        <v>-</v>
      </c>
      <c r="CS41" s="259" t="str">
        <f t="shared" si="24"/>
        <v>-</v>
      </c>
      <c r="CT41" s="259" t="str">
        <f t="shared" si="25"/>
        <v>-</v>
      </c>
      <c r="CU41" s="230">
        <f t="shared" si="26"/>
        <v>1</v>
      </c>
      <c r="CV41" s="259">
        <f t="shared" si="27"/>
        <v>0.66666666666666674</v>
      </c>
      <c r="CW41" s="262">
        <f t="shared" si="28"/>
        <v>0.33333333333333326</v>
      </c>
      <c r="CX41" s="230"/>
    </row>
    <row r="42" spans="1:102" s="95" customFormat="1" x14ac:dyDescent="0.2">
      <c r="A42" s="95" t="s">
        <v>2755</v>
      </c>
      <c r="B42" s="95">
        <v>852</v>
      </c>
      <c r="C42" s="95" t="b">
        <v>0</v>
      </c>
      <c r="D42" s="95" t="b">
        <v>0</v>
      </c>
      <c r="E42" s="95" t="b">
        <v>0</v>
      </c>
      <c r="F42" s="95" t="b">
        <v>0</v>
      </c>
      <c r="G42" s="95" t="s">
        <v>31</v>
      </c>
      <c r="H42" s="95" t="s">
        <v>2756</v>
      </c>
      <c r="I42" s="95" t="s">
        <v>2757</v>
      </c>
      <c r="J42" s="95" t="s">
        <v>2048</v>
      </c>
      <c r="O42" s="95" t="s">
        <v>10996</v>
      </c>
      <c r="P42" s="95" t="s">
        <v>10995</v>
      </c>
      <c r="Q42" s="98">
        <v>3.4722222222222224E-4</v>
      </c>
      <c r="R42" s="98">
        <v>9.7222222222222209E-4</v>
      </c>
      <c r="S42" s="95">
        <v>0</v>
      </c>
      <c r="T42" s="95" t="s">
        <v>36</v>
      </c>
      <c r="U42" s="95" t="s">
        <v>37</v>
      </c>
      <c r="V42" s="95" t="s">
        <v>38</v>
      </c>
      <c r="Z42" s="95" t="b">
        <v>0</v>
      </c>
      <c r="AC42" s="95">
        <v>4</v>
      </c>
      <c r="AE42" s="95" t="s">
        <v>2650</v>
      </c>
      <c r="AF42" s="95" t="s">
        <v>9517</v>
      </c>
      <c r="AH42" s="95" t="b">
        <v>0</v>
      </c>
      <c r="AI42" s="95" t="s">
        <v>11209</v>
      </c>
      <c r="AL42" s="207">
        <v>1.3888888888888889E-4</v>
      </c>
      <c r="AM42" s="208" t="b">
        <v>1</v>
      </c>
      <c r="AN42" s="208" t="b">
        <v>1</v>
      </c>
      <c r="AO42" s="252" t="b">
        <f>IF(AP42&lt;&gt;"-", TRUE, FALSE)</f>
        <v>1</v>
      </c>
      <c r="AP42" s="209" t="s">
        <v>11366</v>
      </c>
      <c r="AQ42" s="252" t="b" cm="1">
        <f t="array" ref="AQ42">_xlfn.IFS(AND(AC42&lt;&gt;"", AR42&lt;&gt;"-"), TRUE, AND(AC42&lt;&gt;"", AR42="-"), FALSE, AC42="", "-")</f>
        <v>0</v>
      </c>
      <c r="AR42" s="224" t="s">
        <v>9801</v>
      </c>
      <c r="AS42" s="221" t="str">
        <f t="shared" si="10"/>
        <v>-</v>
      </c>
      <c r="AT42" s="207">
        <v>2.0833333333333335E-4</v>
      </c>
      <c r="AU42" s="207">
        <f t="shared" si="11"/>
        <v>3.4722222222222224E-4</v>
      </c>
      <c r="AV42" s="207">
        <f t="shared" si="12"/>
        <v>-1.3888888888888889E-4</v>
      </c>
      <c r="AW42" s="207">
        <f>AU42-R42</f>
        <v>-6.249999999999999E-4</v>
      </c>
      <c r="AX42" s="212" cm="1">
        <f t="array" ref="AX42">_xlfn.IFS(AP42="-", "-", AND(AP42="asphalt",AA42=""),100%, AND(AP42&lt;&gt;"asphalt",AA42=""), 0%)</f>
        <v>1</v>
      </c>
      <c r="AY42" s="213">
        <f t="shared" si="42"/>
        <v>0</v>
      </c>
      <c r="AZ42" s="212" t="str">
        <f t="shared" si="30"/>
        <v>-</v>
      </c>
      <c r="BA42" s="212" t="str" cm="1">
        <f t="array" ref="BA42">_xlfn.IFS(OR(AC42="", AS42="-"), "-", AND(AC42&lt;&gt;"", OR(AS42&lt;&gt;"-", AS42&lt;&gt;0)), ABS(AS42/AC42-1))</f>
        <v>-</v>
      </c>
      <c r="BB42" s="208"/>
      <c r="BC42" s="214">
        <v>8.3333333333333339E-4</v>
      </c>
      <c r="BD42" s="215" t="b">
        <v>1</v>
      </c>
      <c r="BE42" s="215" t="b">
        <v>1</v>
      </c>
      <c r="BF42" s="215" t="b">
        <f t="shared" si="14"/>
        <v>1</v>
      </c>
      <c r="BG42" s="215"/>
      <c r="BH42" s="243" t="b" cm="1">
        <f t="array" ref="BH42">_xlfn.IFS(AND(AC42&lt;&gt;"", BK42&lt;&gt;"-"), TRUE, AND(AC42&lt;&gt;"", BK42="-"), FALSE, AC42="", "-")</f>
        <v>1</v>
      </c>
      <c r="BI42" s="243">
        <v>6.59</v>
      </c>
      <c r="BJ42" s="243">
        <v>0.24</v>
      </c>
      <c r="BK42" s="244">
        <f t="shared" si="31"/>
        <v>2</v>
      </c>
      <c r="BL42" s="217" t="str" cm="1">
        <f t="array" ref="BL42">_xlfn.IFS(AND(AD42&lt;&gt;"", BO42&lt;&gt;"-"), TRUE, AND(AD42&lt;&gt;"", BO42="-"), FALSE, AD42="", "-")</f>
        <v>-</v>
      </c>
      <c r="BM42" s="215" t="s">
        <v>9801</v>
      </c>
      <c r="BN42" s="215" t="s">
        <v>9801</v>
      </c>
      <c r="BO42" s="217" t="str">
        <f t="shared" si="15"/>
        <v>-</v>
      </c>
      <c r="BP42" s="214">
        <v>2.8935185185185189E-4</v>
      </c>
      <c r="BQ42" s="214">
        <f t="shared" si="34"/>
        <v>1.1226851851851853E-3</v>
      </c>
      <c r="BR42" s="214">
        <f t="shared" si="35"/>
        <v>-5.7870370370370345E-5</v>
      </c>
      <c r="BS42" s="214">
        <f t="shared" si="36"/>
        <v>1.5046296296296325E-4</v>
      </c>
      <c r="BT42" s="218">
        <f>IF(AND(BG42="",AA42=""),100%, "TBD")</f>
        <v>1</v>
      </c>
      <c r="BU42" s="219">
        <f t="shared" si="16"/>
        <v>0</v>
      </c>
      <c r="BV42" s="217">
        <f t="shared" si="37"/>
        <v>-2</v>
      </c>
      <c r="BW42" s="218">
        <f t="shared" si="17"/>
        <v>0.5</v>
      </c>
      <c r="BX42" s="218">
        <f t="shared" si="38"/>
        <v>0.5</v>
      </c>
      <c r="BY42" s="217" t="str">
        <f t="shared" si="39"/>
        <v>-</v>
      </c>
      <c r="BZ42" s="218" t="str">
        <f t="shared" si="40"/>
        <v>-</v>
      </c>
      <c r="CA42" s="218" t="str">
        <f t="shared" si="41"/>
        <v>-</v>
      </c>
      <c r="CB42" s="218"/>
      <c r="CC42" s="229">
        <v>5.9027777777777778E-4</v>
      </c>
      <c r="CD42" s="230" t="b">
        <v>1</v>
      </c>
      <c r="CE42" s="230" t="b">
        <v>1</v>
      </c>
      <c r="CF42" s="243" t="b" cm="1">
        <f t="array" ref="CF42">_xlfn.IFS(AND(AC42&lt;&gt;"", CI42&lt;&gt;"-"), TRUE, AND(AC42&lt;&gt;"", CI42="-"), FALSE, AC42="", "-")</f>
        <v>1</v>
      </c>
      <c r="CG42" s="243">
        <v>16.18</v>
      </c>
      <c r="CH42" s="243">
        <v>0.77</v>
      </c>
      <c r="CI42" s="244">
        <f t="shared" si="18"/>
        <v>3</v>
      </c>
      <c r="CJ42" s="236" t="str" cm="1">
        <f t="array" ref="CJ42">_xlfn.IFS(AND(AD42&lt;&gt;"", CM42&lt;&gt;"-"), TRUE, AND(AD42&lt;&gt;"", CM42="-"), FALSE, AD42="", "-")</f>
        <v>-</v>
      </c>
      <c r="CK42" s="230" t="s">
        <v>9801</v>
      </c>
      <c r="CL42" s="230" t="s">
        <v>9801</v>
      </c>
      <c r="CM42" s="255" t="str">
        <f t="shared" si="19"/>
        <v>-</v>
      </c>
      <c r="CN42" s="229">
        <v>1.8518518518518518E-4</v>
      </c>
      <c r="CO42" s="229">
        <f t="shared" si="20"/>
        <v>7.7546296296296293E-4</v>
      </c>
      <c r="CP42" s="229">
        <f t="shared" si="21"/>
        <v>-1.6203703703703706E-4</v>
      </c>
      <c r="CQ42" s="229">
        <f t="shared" si="22"/>
        <v>-1.9675925925925915E-4</v>
      </c>
      <c r="CR42" s="230">
        <f t="shared" si="23"/>
        <v>-1</v>
      </c>
      <c r="CS42" s="259">
        <f t="shared" si="24"/>
        <v>0.75</v>
      </c>
      <c r="CT42" s="259">
        <f t="shared" si="25"/>
        <v>0.25</v>
      </c>
      <c r="CU42" s="230" t="str">
        <f t="shared" si="26"/>
        <v>-</v>
      </c>
      <c r="CV42" s="259" t="str">
        <f t="shared" si="27"/>
        <v>-</v>
      </c>
      <c r="CW42" s="262" t="str">
        <f t="shared" si="28"/>
        <v>-</v>
      </c>
      <c r="CX42" s="230"/>
    </row>
    <row r="43" spans="1:102" s="95" customFormat="1" x14ac:dyDescent="0.2">
      <c r="A43" s="95" t="s">
        <v>2820</v>
      </c>
      <c r="B43" s="95">
        <v>873</v>
      </c>
      <c r="C43" s="95" t="b">
        <v>0</v>
      </c>
      <c r="D43" s="95" t="b">
        <v>0</v>
      </c>
      <c r="E43" s="95" t="b">
        <v>0</v>
      </c>
      <c r="F43" s="95" t="b">
        <v>0</v>
      </c>
      <c r="G43" s="95" t="s">
        <v>31</v>
      </c>
      <c r="H43" s="95" t="s">
        <v>2821</v>
      </c>
      <c r="I43" s="95" t="s">
        <v>2822</v>
      </c>
      <c r="J43" s="95" t="s">
        <v>2823</v>
      </c>
      <c r="O43" s="95" t="s">
        <v>10994</v>
      </c>
      <c r="P43" s="95" t="s">
        <v>10994</v>
      </c>
      <c r="Q43" s="98">
        <v>3.0092592592592595E-4</v>
      </c>
      <c r="R43" s="98">
        <v>6.5972222222222213E-4</v>
      </c>
      <c r="S43" s="95">
        <v>0</v>
      </c>
      <c r="T43" s="95" t="s">
        <v>36</v>
      </c>
      <c r="U43" s="95" t="s">
        <v>37</v>
      </c>
      <c r="V43" s="95" t="s">
        <v>38</v>
      </c>
      <c r="Z43" s="95" t="b">
        <v>0</v>
      </c>
      <c r="AC43" s="95">
        <v>7</v>
      </c>
      <c r="AE43" s="95" t="s">
        <v>2650</v>
      </c>
      <c r="AF43" s="95" t="s">
        <v>9517</v>
      </c>
      <c r="AH43" s="95" t="b">
        <v>0</v>
      </c>
      <c r="AI43" s="95" t="s">
        <v>11210</v>
      </c>
      <c r="AL43" s="207">
        <v>1.9675925925925926E-4</v>
      </c>
      <c r="AM43" s="208" t="b">
        <v>1</v>
      </c>
      <c r="AN43" s="208" t="b">
        <v>1</v>
      </c>
      <c r="AO43" s="252" t="b">
        <f t="shared" si="9"/>
        <v>1</v>
      </c>
      <c r="AP43" s="209" t="s">
        <v>11366</v>
      </c>
      <c r="AQ43" s="253" t="b" cm="1">
        <f t="array" ref="AQ43">_xlfn.IFS(AND(AC43&lt;&gt;"", AR43&lt;&gt;"-"), TRUE, AND(AC43&lt;&gt;"", AR43="-"), FALSE, AC43="", "-")</f>
        <v>0</v>
      </c>
      <c r="AR43" s="224" t="s">
        <v>9801</v>
      </c>
      <c r="AS43" s="221" t="str">
        <f t="shared" si="10"/>
        <v>-</v>
      </c>
      <c r="AT43" s="207">
        <v>3.3564814814814812E-4</v>
      </c>
      <c r="AU43" s="207">
        <f t="shared" si="11"/>
        <v>5.3240740740740744E-4</v>
      </c>
      <c r="AV43" s="207">
        <f t="shared" si="12"/>
        <v>3.4722222222222175E-5</v>
      </c>
      <c r="AW43" s="207">
        <f t="shared" si="13"/>
        <v>-1.2731481481481469E-4</v>
      </c>
      <c r="AX43" s="212" cm="1">
        <f t="array" ref="AX43">_xlfn.IFS(AP43="-", "-", AND(AP43="asphalt",AA43=""),100%, AND(AP43&lt;&gt;"asphalt",AA43=""), 0%)</f>
        <v>1</v>
      </c>
      <c r="AY43" s="213">
        <f t="shared" si="42"/>
        <v>0</v>
      </c>
      <c r="AZ43" s="212" t="str">
        <f t="shared" si="30"/>
        <v>-</v>
      </c>
      <c r="BA43" s="212" t="str" cm="1">
        <f t="array" ref="BA43">_xlfn.IFS(OR(AC43="", AS43="-"), "-", AND(AC43&lt;&gt;"", OR(AS43&lt;&gt;"-", AS43&lt;&gt;0)), ABS(AS43/AC43-1))</f>
        <v>-</v>
      </c>
      <c r="BB43" s="208"/>
      <c r="BC43" s="214">
        <v>4.6296296296296293E-4</v>
      </c>
      <c r="BD43" s="215" t="b">
        <v>0</v>
      </c>
      <c r="BE43" s="215" t="s">
        <v>9801</v>
      </c>
      <c r="BF43" s="215" t="b">
        <f t="shared" si="14"/>
        <v>0</v>
      </c>
      <c r="BG43" s="215" t="s">
        <v>9801</v>
      </c>
      <c r="BH43" s="243" t="b" cm="1">
        <f t="array" ref="BH43">_xlfn.IFS(AND(AC43&lt;&gt;"", BK43&lt;&gt;"-"), TRUE, AND(AC43&lt;&gt;"", BK43="-"), FALSE, AC43="", "-")</f>
        <v>0</v>
      </c>
      <c r="BI43" s="243" t="s">
        <v>9801</v>
      </c>
      <c r="BJ43" s="243" t="s">
        <v>9801</v>
      </c>
      <c r="BK43" s="244" t="str">
        <f t="shared" si="31"/>
        <v>-</v>
      </c>
      <c r="BL43" s="217" t="str" cm="1">
        <f t="array" ref="BL43">_xlfn.IFS(AND(AD43&lt;&gt;"", BO43&lt;&gt;"-"), TRUE, AND(AD43&lt;&gt;"", BO43="-"), FALSE, AD43="", "-")</f>
        <v>-</v>
      </c>
      <c r="BM43" s="215" t="s">
        <v>9801</v>
      </c>
      <c r="BN43" s="215" t="s">
        <v>9801</v>
      </c>
      <c r="BO43" s="217" t="str">
        <f t="shared" si="15"/>
        <v>-</v>
      </c>
      <c r="BP43" s="214"/>
      <c r="BQ43" s="214">
        <f t="shared" si="34"/>
        <v>4.6296296296296293E-4</v>
      </c>
      <c r="BR43" s="214">
        <f t="shared" si="35"/>
        <v>-3.0092592592592595E-4</v>
      </c>
      <c r="BS43" s="214">
        <f t="shared" si="36"/>
        <v>-1.9675925925925921E-4</v>
      </c>
      <c r="BT43" s="218" t="s">
        <v>9801</v>
      </c>
      <c r="BU43" s="219" t="s">
        <v>9801</v>
      </c>
      <c r="BV43" s="217" t="str">
        <f t="shared" si="37"/>
        <v>-</v>
      </c>
      <c r="BW43" s="218" t="str">
        <f t="shared" si="17"/>
        <v>-</v>
      </c>
      <c r="BX43" s="218" t="str">
        <f t="shared" si="38"/>
        <v>-</v>
      </c>
      <c r="BY43" s="217" t="str">
        <f t="shared" si="39"/>
        <v>-</v>
      </c>
      <c r="BZ43" s="218" t="str">
        <f t="shared" si="40"/>
        <v>-</v>
      </c>
      <c r="CA43" s="218" t="str">
        <f t="shared" si="41"/>
        <v>-</v>
      </c>
      <c r="CB43" s="218" t="s">
        <v>11395</v>
      </c>
      <c r="CC43" s="229">
        <v>8.9120370370370362E-4</v>
      </c>
      <c r="CD43" s="230" t="b">
        <v>1</v>
      </c>
      <c r="CE43" s="230" t="b">
        <v>1</v>
      </c>
      <c r="CF43" s="243" t="b" cm="1">
        <f t="array" ref="CF43">_xlfn.IFS(AND(AC43&lt;&gt;"", CI43&lt;&gt;"-"), TRUE, AND(AC43&lt;&gt;"", CI43="-"), FALSE, AC43="", "-")</f>
        <v>1</v>
      </c>
      <c r="CG43" s="243">
        <v>4.47</v>
      </c>
      <c r="CH43" s="243">
        <v>0.36</v>
      </c>
      <c r="CI43" s="244">
        <f t="shared" si="18"/>
        <v>5</v>
      </c>
      <c r="CJ43" s="236" t="str" cm="1">
        <f t="array" ref="CJ43">_xlfn.IFS(AND(AD43&lt;&gt;"", CM43&lt;&gt;"-"), TRUE, AND(AD43&lt;&gt;"", CM43="-"), FALSE, AD43="", "-")</f>
        <v>-</v>
      </c>
      <c r="CK43" s="230" t="s">
        <v>9801</v>
      </c>
      <c r="CL43" s="230" t="s">
        <v>9801</v>
      </c>
      <c r="CM43" s="255" t="str">
        <f t="shared" si="19"/>
        <v>-</v>
      </c>
      <c r="CN43" s="229">
        <v>2.199074074074074E-4</v>
      </c>
      <c r="CO43" s="229">
        <f t="shared" si="20"/>
        <v>1.1111111111111111E-3</v>
      </c>
      <c r="CP43" s="229">
        <f t="shared" si="21"/>
        <v>-8.1018518518518543E-5</v>
      </c>
      <c r="CQ43" s="229">
        <f>CO43-R43</f>
        <v>4.5138888888888898E-4</v>
      </c>
      <c r="CR43" s="230">
        <f t="shared" si="23"/>
        <v>-2</v>
      </c>
      <c r="CS43" s="259">
        <f t="shared" si="24"/>
        <v>0.7142857142857143</v>
      </c>
      <c r="CT43" s="259">
        <f t="shared" si="25"/>
        <v>0.2857142857142857</v>
      </c>
      <c r="CU43" s="230" t="str">
        <f t="shared" si="26"/>
        <v>-</v>
      </c>
      <c r="CV43" s="259" t="str">
        <f t="shared" si="27"/>
        <v>-</v>
      </c>
      <c r="CW43" s="262" t="str">
        <f t="shared" si="28"/>
        <v>-</v>
      </c>
      <c r="CX43" s="230"/>
    </row>
    <row r="44" spans="1:102" s="95" customFormat="1" x14ac:dyDescent="0.2">
      <c r="A44" s="95" t="s">
        <v>2831</v>
      </c>
      <c r="B44" s="95">
        <v>876</v>
      </c>
      <c r="C44" s="95" t="b">
        <v>0</v>
      </c>
      <c r="D44" s="95" t="b">
        <v>0</v>
      </c>
      <c r="E44" s="95" t="b">
        <v>0</v>
      </c>
      <c r="F44" s="95" t="b">
        <v>0</v>
      </c>
      <c r="G44" s="95" t="s">
        <v>31</v>
      </c>
      <c r="H44" s="95" t="s">
        <v>2832</v>
      </c>
      <c r="I44" s="95" t="s">
        <v>2833</v>
      </c>
      <c r="O44" s="95" t="s">
        <v>10993</v>
      </c>
      <c r="P44" s="95" t="s">
        <v>10993</v>
      </c>
      <c r="Q44" s="98">
        <v>9.2592592592592588E-5</v>
      </c>
      <c r="R44" s="98">
        <v>4.2476851851851851E-3</v>
      </c>
      <c r="S44" s="95">
        <v>0</v>
      </c>
      <c r="T44" s="95" t="s">
        <v>36</v>
      </c>
      <c r="U44" s="95" t="s">
        <v>37</v>
      </c>
      <c r="V44" s="95" t="s">
        <v>38</v>
      </c>
      <c r="Z44" s="95" t="b">
        <v>0</v>
      </c>
      <c r="AD44" s="95">
        <v>3</v>
      </c>
      <c r="AE44" s="95" t="s">
        <v>2650</v>
      </c>
      <c r="AF44" s="95" t="s">
        <v>9517</v>
      </c>
      <c r="AH44" s="95" t="b">
        <v>0</v>
      </c>
      <c r="AI44" s="95" t="s">
        <v>11211</v>
      </c>
      <c r="AL44" s="207">
        <v>1.8518518518518518E-4</v>
      </c>
      <c r="AM44" s="208" t="b">
        <v>1</v>
      </c>
      <c r="AN44" s="208" t="b">
        <v>1</v>
      </c>
      <c r="AO44" s="252" t="b">
        <f t="shared" si="9"/>
        <v>1</v>
      </c>
      <c r="AP44" s="209" t="s">
        <v>11366</v>
      </c>
      <c r="AQ44" s="210" t="str" cm="1">
        <f t="array" ref="AQ44">_xlfn.IFS(AND(AC44&lt;&gt;"", AR44&lt;&gt;"-"), TRUE, AND(AC44&lt;&gt;"", AR44="-"), FALSE, AC44="", "-")</f>
        <v>-</v>
      </c>
      <c r="AR44" s="224" t="s">
        <v>9801</v>
      </c>
      <c r="AS44" s="221" t="str">
        <f t="shared" si="10"/>
        <v>-</v>
      </c>
      <c r="AT44" s="207">
        <v>2.199074074074074E-4</v>
      </c>
      <c r="AU44" s="207">
        <f t="shared" si="11"/>
        <v>4.0509259259259258E-4</v>
      </c>
      <c r="AV44" s="207">
        <f t="shared" si="12"/>
        <v>1.273148148148148E-4</v>
      </c>
      <c r="AW44" s="207">
        <f t="shared" si="13"/>
        <v>-3.8425925925925923E-3</v>
      </c>
      <c r="AX44" s="212" cm="1">
        <f t="array" ref="AX44">_xlfn.IFS(AP44="-", "-", AND(AP44="asphalt",AA44=""),100%, AND(AP44&lt;&gt;"asphalt",AA44=""), 0%)</f>
        <v>1</v>
      </c>
      <c r="AY44" s="213">
        <f t="shared" si="42"/>
        <v>0</v>
      </c>
      <c r="AZ44" s="212" t="str">
        <f t="shared" si="30"/>
        <v>-</v>
      </c>
      <c r="BA44" s="212" t="str" cm="1">
        <f t="array" ref="BA44">_xlfn.IFS(OR(AC44="", AS44="-"), "-", AND(AC44&lt;&gt;"", OR(AS44&lt;&gt;"-", AS44&lt;&gt;0)), ABS(AS44/AC44-1))</f>
        <v>-</v>
      </c>
      <c r="BB44" s="208"/>
      <c r="BC44" s="214">
        <v>7.0601851851851847E-4</v>
      </c>
      <c r="BD44" s="215" t="b">
        <v>1</v>
      </c>
      <c r="BE44" s="215" t="b">
        <v>1</v>
      </c>
      <c r="BF44" s="215" t="b">
        <f t="shared" si="14"/>
        <v>1</v>
      </c>
      <c r="BG44" s="215"/>
      <c r="BH44" s="243" t="str" cm="1">
        <f t="array" ref="BH44">_xlfn.IFS(AND(AC44&lt;&gt;"", BK44&lt;&gt;"-"), TRUE, AND(AC44&lt;&gt;"", BK44="-"), FALSE, AC44="", "-")</f>
        <v>-</v>
      </c>
      <c r="BI44" s="243" t="s">
        <v>9801</v>
      </c>
      <c r="BJ44" s="243" t="s">
        <v>9801</v>
      </c>
      <c r="BK44" s="244" t="str">
        <f t="shared" si="31"/>
        <v>-</v>
      </c>
      <c r="BL44" s="217" t="b" cm="1">
        <f t="array" ref="BL44">_xlfn.IFS(AND(AD44&lt;&gt;"", BO44&lt;&gt;"-"), TRUE, AND(AD44&lt;&gt;"", BO44="-"), FALSE, AD44="", "-")</f>
        <v>1</v>
      </c>
      <c r="BM44" s="215">
        <v>1.98</v>
      </c>
      <c r="BN44" s="215">
        <v>0.13</v>
      </c>
      <c r="BO44" s="217">
        <f t="shared" si="15"/>
        <v>4</v>
      </c>
      <c r="BP44" s="214">
        <v>2.6620370370370372E-4</v>
      </c>
      <c r="BQ44" s="214">
        <f t="shared" si="34"/>
        <v>9.7222222222222219E-4</v>
      </c>
      <c r="BR44" s="214">
        <f t="shared" si="35"/>
        <v>1.7361111111111114E-4</v>
      </c>
      <c r="BS44" s="214">
        <f t="shared" si="36"/>
        <v>-3.2754629629629627E-3</v>
      </c>
      <c r="BT44" s="218">
        <f>IF(AND(BG44="",AA44=""),100%, "TBD")</f>
        <v>1</v>
      </c>
      <c r="BU44" s="219">
        <f t="shared" si="16"/>
        <v>0</v>
      </c>
      <c r="BV44" s="217" t="str">
        <f t="shared" si="37"/>
        <v>-</v>
      </c>
      <c r="BW44" s="218" t="str">
        <f t="shared" si="17"/>
        <v>-</v>
      </c>
      <c r="BX44" s="218" t="str">
        <f t="shared" si="38"/>
        <v>-</v>
      </c>
      <c r="BY44" s="217">
        <f t="shared" si="39"/>
        <v>1</v>
      </c>
      <c r="BZ44" s="218">
        <f t="shared" si="40"/>
        <v>0.66666666666666674</v>
      </c>
      <c r="CA44" s="218">
        <f t="shared" si="41"/>
        <v>0.33333333333333326</v>
      </c>
      <c r="CB44" s="218"/>
      <c r="CC44" s="229">
        <v>4.7453703703703704E-4</v>
      </c>
      <c r="CD44" s="230" t="b">
        <v>1</v>
      </c>
      <c r="CE44" s="230" t="b">
        <v>1</v>
      </c>
      <c r="CF44" s="243" t="str" cm="1">
        <f t="array" ref="CF44">_xlfn.IFS(AND(AC44&lt;&gt;"", CI44&lt;&gt;"-"), TRUE, AND(AC44&lt;&gt;"", CI44="-"), FALSE, AC44="", "-")</f>
        <v>-</v>
      </c>
      <c r="CG44" s="243" t="s">
        <v>9801</v>
      </c>
      <c r="CH44" s="243" t="s">
        <v>9801</v>
      </c>
      <c r="CI44" s="244" t="str">
        <f t="shared" si="18"/>
        <v>-</v>
      </c>
      <c r="CJ44" s="236" t="b" cm="1">
        <f t="array" ref="CJ44">_xlfn.IFS(AND(AD44&lt;&gt;"", CM44&lt;&gt;"-"), TRUE, AND(AD44&lt;&gt;"", CM44="-"), FALSE, AD44="", "-")</f>
        <v>1</v>
      </c>
      <c r="CK44" s="230">
        <v>1.96</v>
      </c>
      <c r="CL44" s="230">
        <v>0.16</v>
      </c>
      <c r="CM44" s="255">
        <f t="shared" si="19"/>
        <v>5</v>
      </c>
      <c r="CN44" s="229">
        <v>4.0509259259259258E-4</v>
      </c>
      <c r="CO44" s="229">
        <f t="shared" si="20"/>
        <v>8.7962962962962962E-4</v>
      </c>
      <c r="CP44" s="229">
        <f>CN44-Q44</f>
        <v>3.1250000000000001E-4</v>
      </c>
      <c r="CQ44" s="229">
        <f t="shared" si="22"/>
        <v>-3.3680555555555556E-3</v>
      </c>
      <c r="CR44" s="230" t="str">
        <f t="shared" si="23"/>
        <v>-</v>
      </c>
      <c r="CS44" s="259" t="str">
        <f t="shared" si="24"/>
        <v>-</v>
      </c>
      <c r="CT44" s="259" t="str">
        <f t="shared" si="25"/>
        <v>-</v>
      </c>
      <c r="CU44" s="230">
        <f t="shared" si="26"/>
        <v>2</v>
      </c>
      <c r="CV44" s="259">
        <f t="shared" si="27"/>
        <v>0.33333333333333326</v>
      </c>
      <c r="CW44" s="262">
        <f t="shared" si="28"/>
        <v>0.66666666666666674</v>
      </c>
      <c r="CX44" s="230"/>
    </row>
    <row r="45" spans="1:102" s="95" customFormat="1" x14ac:dyDescent="0.2">
      <c r="A45" s="95" t="s">
        <v>2882</v>
      </c>
      <c r="B45" s="95">
        <v>892</v>
      </c>
      <c r="C45" s="95" t="b">
        <v>0</v>
      </c>
      <c r="D45" s="95" t="b">
        <v>0</v>
      </c>
      <c r="E45" s="95" t="b">
        <v>0</v>
      </c>
      <c r="F45" s="95" t="b">
        <v>0</v>
      </c>
      <c r="G45" s="95" t="s">
        <v>31</v>
      </c>
      <c r="H45" s="95" t="s">
        <v>2883</v>
      </c>
      <c r="I45" s="95" t="s">
        <v>2884</v>
      </c>
      <c r="O45" s="95" t="s">
        <v>10992</v>
      </c>
      <c r="P45" s="95" t="s">
        <v>10992</v>
      </c>
      <c r="Q45" s="98">
        <v>3.3564814814814812E-4</v>
      </c>
      <c r="R45" s="98">
        <v>4.1666666666666669E-4</v>
      </c>
      <c r="S45" s="95">
        <v>0</v>
      </c>
      <c r="T45" s="95" t="s">
        <v>36</v>
      </c>
      <c r="U45" s="95" t="s">
        <v>37</v>
      </c>
      <c r="V45" s="95" t="s">
        <v>38</v>
      </c>
      <c r="Z45" s="95" t="b">
        <v>0</v>
      </c>
      <c r="AD45" s="95">
        <v>3</v>
      </c>
      <c r="AE45" s="95" t="s">
        <v>2840</v>
      </c>
      <c r="AF45" s="95" t="s">
        <v>9508</v>
      </c>
      <c r="AH45" s="95" t="b">
        <v>0</v>
      </c>
      <c r="AI45" s="95" t="s">
        <v>11212</v>
      </c>
      <c r="AL45" s="207">
        <v>1.273148148148148E-4</v>
      </c>
      <c r="AM45" s="208" t="b">
        <v>1</v>
      </c>
      <c r="AN45" s="208" t="b">
        <v>1</v>
      </c>
      <c r="AO45" s="252" t="b">
        <f t="shared" si="9"/>
        <v>1</v>
      </c>
      <c r="AP45" s="209" t="s">
        <v>11367</v>
      </c>
      <c r="AQ45" s="210" t="str" cm="1">
        <f t="array" ref="AQ45">_xlfn.IFS(AND(AC45&lt;&gt;"", AR45&lt;&gt;"-"), TRUE, AND(AC45&lt;&gt;"", AR45="-"), FALSE, AC45="", "-")</f>
        <v>-</v>
      </c>
      <c r="AR45" s="223">
        <v>0</v>
      </c>
      <c r="AS45" s="221">
        <f t="shared" si="10"/>
        <v>0</v>
      </c>
      <c r="AT45" s="207">
        <v>1.5046296296296297E-4</v>
      </c>
      <c r="AU45" s="207">
        <f>AL45+AT45</f>
        <v>2.7777777777777778E-4</v>
      </c>
      <c r="AV45" s="207">
        <f t="shared" si="12"/>
        <v>-1.8518518518518515E-4</v>
      </c>
      <c r="AW45" s="207">
        <f t="shared" si="13"/>
        <v>-1.3888888888888892E-4</v>
      </c>
      <c r="AX45" s="212" cm="1">
        <f t="array" ref="AX45">_xlfn.IFS(AP45="-", "-", AND(AP45="asphalt",AA45=""),100%, AND(AP45&lt;&gt;"asphalt",AA45=""), 0%)</f>
        <v>0</v>
      </c>
      <c r="AY45" s="213">
        <f t="shared" si="42"/>
        <v>1</v>
      </c>
      <c r="AZ45" s="212" t="str">
        <f t="shared" si="30"/>
        <v>-</v>
      </c>
      <c r="BA45" s="212" t="str" cm="1">
        <f t="array" ref="BA45">_xlfn.IFS(OR(AC45="", AS45="-"), "-", AND(AC45&lt;&gt;"", OR(AS45&lt;&gt;"-", AS45&lt;&gt;0)), ABS(AS45/AC45-1))</f>
        <v>-</v>
      </c>
      <c r="BB45" s="208"/>
      <c r="BC45" s="214">
        <v>4.9768518518518521E-4</v>
      </c>
      <c r="BD45" s="215" t="b">
        <v>0</v>
      </c>
      <c r="BE45" s="215" t="s">
        <v>9801</v>
      </c>
      <c r="BF45" s="215" t="b">
        <f t="shared" si="14"/>
        <v>0</v>
      </c>
      <c r="BG45" s="215" t="s">
        <v>9801</v>
      </c>
      <c r="BH45" s="243" t="str" cm="1">
        <f t="array" ref="BH45">_xlfn.IFS(AND(AC45&lt;&gt;"", BK45&lt;&gt;"-"), TRUE, AND(AC45&lt;&gt;"", BK45="-"), FALSE, AC45="", "-")</f>
        <v>-</v>
      </c>
      <c r="BI45" s="243" t="s">
        <v>9801</v>
      </c>
      <c r="BJ45" s="243" t="s">
        <v>9801</v>
      </c>
      <c r="BK45" s="244" t="str">
        <f t="shared" si="31"/>
        <v>-</v>
      </c>
      <c r="BL45" s="217" t="b" cm="1">
        <f t="array" ref="BL45">_xlfn.IFS(AND(AD45&lt;&gt;"", BO45&lt;&gt;"-"), TRUE, AND(AD45&lt;&gt;"", BO45="-"), FALSE, AD45="", "-")</f>
        <v>0</v>
      </c>
      <c r="BM45" s="215" t="s">
        <v>9801</v>
      </c>
      <c r="BN45" s="215" t="s">
        <v>9801</v>
      </c>
      <c r="BO45" s="217" t="str">
        <f t="shared" si="15"/>
        <v>-</v>
      </c>
      <c r="BP45" s="214"/>
      <c r="BQ45" s="214">
        <f t="shared" si="34"/>
        <v>4.9768518518518521E-4</v>
      </c>
      <c r="BR45" s="214">
        <f t="shared" si="35"/>
        <v>-3.3564814814814812E-4</v>
      </c>
      <c r="BS45" s="214">
        <f t="shared" si="36"/>
        <v>8.1018518518518516E-5</v>
      </c>
      <c r="BT45" s="218" t="s">
        <v>9801</v>
      </c>
      <c r="BU45" s="219" t="s">
        <v>9801</v>
      </c>
      <c r="BV45" s="217" t="str">
        <f t="shared" si="37"/>
        <v>-</v>
      </c>
      <c r="BW45" s="218" t="str">
        <f t="shared" si="17"/>
        <v>-</v>
      </c>
      <c r="BX45" s="218" t="str">
        <f t="shared" si="38"/>
        <v>-</v>
      </c>
      <c r="BY45" s="217" t="str">
        <f t="shared" si="39"/>
        <v>-</v>
      </c>
      <c r="BZ45" s="218" t="str">
        <f t="shared" si="40"/>
        <v>-</v>
      </c>
      <c r="CA45" s="218" t="str">
        <f t="shared" si="41"/>
        <v>-</v>
      </c>
      <c r="CB45" s="218" t="s">
        <v>11395</v>
      </c>
      <c r="CC45" s="229">
        <v>5.3240740740740744E-4</v>
      </c>
      <c r="CD45" s="230" t="b">
        <v>0</v>
      </c>
      <c r="CE45" s="230" t="s">
        <v>9801</v>
      </c>
      <c r="CF45" s="243" t="str" cm="1">
        <f t="array" ref="CF45">_xlfn.IFS(AND(AC45&lt;&gt;"", CI45&lt;&gt;"-"), TRUE, AND(AC45&lt;&gt;"", CI45="-"), FALSE, AC45="", "-")</f>
        <v>-</v>
      </c>
      <c r="CG45" s="243" t="s">
        <v>9801</v>
      </c>
      <c r="CH45" s="243" t="s">
        <v>9801</v>
      </c>
      <c r="CI45" s="244" t="str">
        <f t="shared" si="18"/>
        <v>-</v>
      </c>
      <c r="CJ45" s="236" t="b" cm="1">
        <f t="array" ref="CJ45">_xlfn.IFS(AND(AD45&lt;&gt;"", CM45&lt;&gt;"-"), TRUE, AND(AD45&lt;&gt;"", CM45="-"), FALSE, AD45="", "-")</f>
        <v>0</v>
      </c>
      <c r="CK45" s="230" t="s">
        <v>9801</v>
      </c>
      <c r="CL45" s="230" t="s">
        <v>9801</v>
      </c>
      <c r="CM45" s="255" t="str">
        <f t="shared" si="19"/>
        <v>-</v>
      </c>
      <c r="CN45" s="229"/>
      <c r="CO45" s="229">
        <f t="shared" si="20"/>
        <v>5.3240740740740744E-4</v>
      </c>
      <c r="CP45" s="229">
        <f t="shared" si="21"/>
        <v>-3.3564814814814812E-4</v>
      </c>
      <c r="CQ45" s="229">
        <f t="shared" si="22"/>
        <v>1.1574074074074075E-4</v>
      </c>
      <c r="CR45" s="230" t="str">
        <f t="shared" si="23"/>
        <v>-</v>
      </c>
      <c r="CS45" s="259" t="str">
        <f t="shared" si="24"/>
        <v>-</v>
      </c>
      <c r="CT45" s="259" t="str">
        <f t="shared" si="25"/>
        <v>-</v>
      </c>
      <c r="CU45" s="230" t="str">
        <f t="shared" si="26"/>
        <v>-</v>
      </c>
      <c r="CV45" s="259" t="str">
        <f t="shared" si="27"/>
        <v>-</v>
      </c>
      <c r="CW45" s="262" t="str">
        <f t="shared" si="28"/>
        <v>-</v>
      </c>
      <c r="CX45" s="230" t="s">
        <v>11425</v>
      </c>
    </row>
    <row r="46" spans="1:102" s="95" customFormat="1" x14ac:dyDescent="0.2">
      <c r="A46" s="95" t="s">
        <v>2965</v>
      </c>
      <c r="B46" s="95">
        <v>918</v>
      </c>
      <c r="C46" s="95" t="b">
        <v>0</v>
      </c>
      <c r="D46" s="95" t="b">
        <v>0</v>
      </c>
      <c r="E46" s="95" t="b">
        <v>0</v>
      </c>
      <c r="F46" s="95" t="b">
        <v>0</v>
      </c>
      <c r="G46" s="95" t="s">
        <v>31</v>
      </c>
      <c r="H46" s="95" t="s">
        <v>2966</v>
      </c>
      <c r="I46" s="95" t="s">
        <v>2967</v>
      </c>
      <c r="O46" s="95" t="s">
        <v>10991</v>
      </c>
      <c r="P46" s="95" t="s">
        <v>10991</v>
      </c>
      <c r="Q46" s="98">
        <v>1.1574074074074073E-4</v>
      </c>
      <c r="R46" s="98">
        <v>9.2592592592592585E-4</v>
      </c>
      <c r="S46" s="95">
        <v>0</v>
      </c>
      <c r="T46" s="95" t="s">
        <v>36</v>
      </c>
      <c r="U46" s="95" t="s">
        <v>37</v>
      </c>
      <c r="V46" s="95" t="s">
        <v>38</v>
      </c>
      <c r="Z46" s="95" t="b">
        <v>0</v>
      </c>
      <c r="AD46" s="95">
        <v>2</v>
      </c>
      <c r="AE46" s="95" t="s">
        <v>2840</v>
      </c>
      <c r="AF46" s="95" t="s">
        <v>9508</v>
      </c>
      <c r="AH46" s="95" t="b">
        <v>0</v>
      </c>
      <c r="AI46" s="95" t="s">
        <v>11213</v>
      </c>
      <c r="AL46" s="207">
        <v>1.0416666666666667E-4</v>
      </c>
      <c r="AM46" s="208" t="b">
        <v>1</v>
      </c>
      <c r="AN46" s="208" t="b">
        <v>1</v>
      </c>
      <c r="AO46" s="252" t="b">
        <f t="shared" si="9"/>
        <v>1</v>
      </c>
      <c r="AP46" s="209" t="s">
        <v>11366</v>
      </c>
      <c r="AQ46" s="210" t="str" cm="1">
        <f t="array" ref="AQ46">_xlfn.IFS(AND(AC46&lt;&gt;"", AR46&lt;&gt;"-"), TRUE, AND(AC46&lt;&gt;"", AR46="-"), FALSE, AC46="", "-")</f>
        <v>-</v>
      </c>
      <c r="AR46" s="224" t="s">
        <v>9801</v>
      </c>
      <c r="AS46" s="221" t="str">
        <f t="shared" si="10"/>
        <v>-</v>
      </c>
      <c r="AT46" s="207">
        <v>1.273148148148148E-4</v>
      </c>
      <c r="AU46" s="207">
        <f t="shared" si="11"/>
        <v>2.3148148148148149E-4</v>
      </c>
      <c r="AV46" s="207">
        <f t="shared" si="12"/>
        <v>1.1574074074074072E-5</v>
      </c>
      <c r="AW46" s="207">
        <f t="shared" si="13"/>
        <v>-6.9444444444444436E-4</v>
      </c>
      <c r="AX46" s="212" cm="1">
        <f t="array" ref="AX46">_xlfn.IFS(AP46="-", "-", AND(AP46="asphalt",AA46=""),100%, AND(AP46&lt;&gt;"asphalt",AA46=""), 0%)</f>
        <v>1</v>
      </c>
      <c r="AY46" s="213">
        <f t="shared" si="42"/>
        <v>0</v>
      </c>
      <c r="AZ46" s="212" t="str">
        <f t="shared" si="30"/>
        <v>-</v>
      </c>
      <c r="BA46" s="212" t="str" cm="1">
        <f t="array" ref="BA46">_xlfn.IFS(OR(AC46="", AS46="-"), "-", AND(AC46&lt;&gt;"", OR(AS46&lt;&gt;"-", AS46&lt;&gt;0)), ABS(AS46/AC46-1))</f>
        <v>-</v>
      </c>
      <c r="BB46" s="208"/>
      <c r="BC46" s="214">
        <v>5.3240740740740744E-4</v>
      </c>
      <c r="BD46" s="215" t="b">
        <v>1</v>
      </c>
      <c r="BE46" s="215" t="b">
        <v>1</v>
      </c>
      <c r="BF46" s="215" t="b">
        <f t="shared" si="14"/>
        <v>1</v>
      </c>
      <c r="BG46" s="215" t="s">
        <v>3516</v>
      </c>
      <c r="BH46" s="243" t="str" cm="1">
        <f t="array" ref="BH46">_xlfn.IFS(AND(AC46&lt;&gt;"", BK46&lt;&gt;"-"), TRUE, AND(AC46&lt;&gt;"", BK46="-"), FALSE, AC46="", "-")</f>
        <v>-</v>
      </c>
      <c r="BI46" s="243" t="s">
        <v>9801</v>
      </c>
      <c r="BJ46" s="243" t="s">
        <v>9801</v>
      </c>
      <c r="BK46" s="244" t="str">
        <f t="shared" si="31"/>
        <v>-</v>
      </c>
      <c r="BL46" s="217" t="b" cm="1">
        <f t="array" ref="BL46">_xlfn.IFS(AND(AD46&lt;&gt;"", BO46&lt;&gt;"-"), TRUE, AND(AD46&lt;&gt;"", BO46="-"), FALSE, AD46="", "-")</f>
        <v>1</v>
      </c>
      <c r="BM46" s="215">
        <v>2.61</v>
      </c>
      <c r="BN46" s="215">
        <v>0.09</v>
      </c>
      <c r="BO46" s="217">
        <f t="shared" si="15"/>
        <v>2</v>
      </c>
      <c r="BP46" s="214">
        <v>3.9351851851851852E-4</v>
      </c>
      <c r="BQ46" s="214">
        <f t="shared" si="34"/>
        <v>9.2592592592592596E-4</v>
      </c>
      <c r="BR46" s="214">
        <f t="shared" si="35"/>
        <v>2.7777777777777778E-4</v>
      </c>
      <c r="BS46" s="214">
        <f t="shared" si="36"/>
        <v>0</v>
      </c>
      <c r="BT46" s="218">
        <v>0</v>
      </c>
      <c r="BU46" s="219">
        <f t="shared" si="16"/>
        <v>1</v>
      </c>
      <c r="BV46" s="217" t="str">
        <f t="shared" si="37"/>
        <v>-</v>
      </c>
      <c r="BW46" s="218" t="str">
        <f t="shared" si="17"/>
        <v>-</v>
      </c>
      <c r="BX46" s="218" t="str">
        <f t="shared" si="38"/>
        <v>-</v>
      </c>
      <c r="BY46" s="217">
        <f t="shared" si="39"/>
        <v>0</v>
      </c>
      <c r="BZ46" s="218">
        <f t="shared" si="40"/>
        <v>1</v>
      </c>
      <c r="CA46" s="218">
        <f t="shared" si="41"/>
        <v>0</v>
      </c>
      <c r="CB46" s="218"/>
      <c r="CC46" s="229">
        <v>2.6620370370370372E-4</v>
      </c>
      <c r="CD46" s="230" t="b">
        <v>1</v>
      </c>
      <c r="CE46" s="230" t="b">
        <v>1</v>
      </c>
      <c r="CF46" s="243" t="str" cm="1">
        <f t="array" ref="CF46">_xlfn.IFS(AND(AC46&lt;&gt;"", CI46&lt;&gt;"-"), TRUE, AND(AC46&lt;&gt;"", CI46="-"), FALSE, AC46="", "-")</f>
        <v>-</v>
      </c>
      <c r="CG46" s="243" t="s">
        <v>9801</v>
      </c>
      <c r="CH46" s="243" t="s">
        <v>9801</v>
      </c>
      <c r="CI46" s="244" t="str">
        <f t="shared" si="18"/>
        <v>-</v>
      </c>
      <c r="CJ46" s="236" t="b" cm="1">
        <f t="array" ref="CJ46">_xlfn.IFS(AND(AD46&lt;&gt;"", CM46&lt;&gt;"-"), TRUE, AND(AD46&lt;&gt;"", CM46="-"), FALSE, AD46="", "-")</f>
        <v>1</v>
      </c>
      <c r="CK46" s="230">
        <v>6.34</v>
      </c>
      <c r="CL46" s="230">
        <v>7.0000000000000007E-2</v>
      </c>
      <c r="CM46" s="255">
        <f t="shared" si="19"/>
        <v>1</v>
      </c>
      <c r="CN46" s="229">
        <v>2.0833333333333335E-4</v>
      </c>
      <c r="CO46" s="229">
        <f t="shared" si="20"/>
        <v>4.7453703703703709E-4</v>
      </c>
      <c r="CP46" s="229">
        <f t="shared" si="21"/>
        <v>9.2592592592592615E-5</v>
      </c>
      <c r="CQ46" s="229">
        <f t="shared" si="22"/>
        <v>-4.5138888888888876E-4</v>
      </c>
      <c r="CR46" s="230" t="str">
        <f t="shared" si="23"/>
        <v>-</v>
      </c>
      <c r="CS46" s="259" t="str">
        <f t="shared" si="24"/>
        <v>-</v>
      </c>
      <c r="CT46" s="259" t="str">
        <f t="shared" si="25"/>
        <v>-</v>
      </c>
      <c r="CU46" s="230">
        <f t="shared" si="26"/>
        <v>-1</v>
      </c>
      <c r="CV46" s="259">
        <f t="shared" si="27"/>
        <v>0.5</v>
      </c>
      <c r="CW46" s="262">
        <f t="shared" si="28"/>
        <v>0.5</v>
      </c>
      <c r="CX46" s="230"/>
    </row>
    <row r="47" spans="1:102" s="95" customFormat="1" x14ac:dyDescent="0.2">
      <c r="A47" s="95" t="s">
        <v>2968</v>
      </c>
      <c r="B47" s="95">
        <v>919</v>
      </c>
      <c r="C47" s="95" t="b">
        <v>0</v>
      </c>
      <c r="D47" s="95" t="b">
        <v>0</v>
      </c>
      <c r="E47" s="95" t="b">
        <v>0</v>
      </c>
      <c r="F47" s="95" t="b">
        <v>0</v>
      </c>
      <c r="G47" s="95" t="s">
        <v>31</v>
      </c>
      <c r="H47" s="95" t="s">
        <v>2969</v>
      </c>
      <c r="I47" s="95" t="s">
        <v>2970</v>
      </c>
      <c r="O47" s="95" t="s">
        <v>10873</v>
      </c>
      <c r="P47" s="95" t="s">
        <v>10873</v>
      </c>
      <c r="Q47" s="98">
        <v>1.6203703703703703E-4</v>
      </c>
      <c r="R47" s="98">
        <v>1.0185185185185186E-3</v>
      </c>
      <c r="S47" s="95">
        <v>0</v>
      </c>
      <c r="T47" s="95" t="s">
        <v>36</v>
      </c>
      <c r="U47" s="95" t="s">
        <v>37</v>
      </c>
      <c r="V47" s="95" t="s">
        <v>38</v>
      </c>
      <c r="Z47" s="95" t="b">
        <v>0</v>
      </c>
      <c r="AD47" s="95">
        <v>5</v>
      </c>
      <c r="AE47" s="95" t="s">
        <v>2840</v>
      </c>
      <c r="AF47" s="95" t="s">
        <v>9508</v>
      </c>
      <c r="AH47" s="95" t="b">
        <v>0</v>
      </c>
      <c r="AI47" s="95" t="s">
        <v>11214</v>
      </c>
      <c r="AL47" s="207">
        <v>1.273148148148148E-4</v>
      </c>
      <c r="AM47" s="208" t="b">
        <v>1</v>
      </c>
      <c r="AN47" s="208" t="b">
        <v>1</v>
      </c>
      <c r="AO47" s="252" t="b">
        <f t="shared" si="9"/>
        <v>1</v>
      </c>
      <c r="AP47" s="209" t="s">
        <v>11381</v>
      </c>
      <c r="AQ47" s="210" t="str" cm="1">
        <f t="array" ref="AQ47">_xlfn.IFS(AND(AC47&lt;&gt;"", AR47&lt;&gt;"-"), TRUE, AND(AC47&lt;&gt;"", AR47="-"), FALSE, AC47="", "-")</f>
        <v>-</v>
      </c>
      <c r="AR47" s="224" t="s">
        <v>9801</v>
      </c>
      <c r="AS47" s="221" t="str">
        <f t="shared" si="10"/>
        <v>-</v>
      </c>
      <c r="AT47" s="207">
        <v>2.199074074074074E-4</v>
      </c>
      <c r="AU47" s="207">
        <f t="shared" si="11"/>
        <v>3.4722222222222218E-4</v>
      </c>
      <c r="AV47" s="207">
        <f t="shared" si="12"/>
        <v>5.7870370370370373E-5</v>
      </c>
      <c r="AW47" s="207">
        <f t="shared" si="13"/>
        <v>-6.7129629629629646E-4</v>
      </c>
      <c r="AX47" s="212" cm="1">
        <f t="array" ref="AX47">_xlfn.IFS(AP47="-", "-", AND(AP47="asphalt",AA47=""),100%, AND(AP47&lt;&gt;"asphalt",AA47=""), 0%)</f>
        <v>0</v>
      </c>
      <c r="AY47" s="213">
        <f t="shared" si="42"/>
        <v>1</v>
      </c>
      <c r="AZ47" s="212" t="str">
        <f t="shared" si="30"/>
        <v>-</v>
      </c>
      <c r="BA47" s="212" t="str" cm="1">
        <f t="array" ref="BA47">_xlfn.IFS(OR(AC47="", AS47="-"), "-", AND(AC47&lt;&gt;"", OR(AS47&lt;&gt;"-", AS47&lt;&gt;0)), ABS(AS47/AC47-1))</f>
        <v>-</v>
      </c>
      <c r="BB47" s="208"/>
      <c r="BC47" s="214">
        <v>3.1250000000000001E-4</v>
      </c>
      <c r="BD47" s="215" t="b">
        <v>1</v>
      </c>
      <c r="BE47" s="215" t="b">
        <v>1</v>
      </c>
      <c r="BF47" s="215" t="b">
        <f t="shared" si="14"/>
        <v>1</v>
      </c>
      <c r="BG47" s="215" t="s">
        <v>3516</v>
      </c>
      <c r="BH47" s="243" t="str" cm="1">
        <f t="array" ref="BH47">_xlfn.IFS(AND(AC47&lt;&gt;"", BK47&lt;&gt;"-"), TRUE, AND(AC47&lt;&gt;"", BK47="-"), FALSE, AC47="", "-")</f>
        <v>-</v>
      </c>
      <c r="BI47" s="243" t="s">
        <v>9801</v>
      </c>
      <c r="BJ47" s="243" t="s">
        <v>9801</v>
      </c>
      <c r="BK47" s="244" t="str">
        <f t="shared" si="31"/>
        <v>-</v>
      </c>
      <c r="BL47" s="217" t="b" cm="1">
        <f t="array" ref="BL47">_xlfn.IFS(AND(AD47&lt;&gt;"", BO47&lt;&gt;"-"), TRUE, AND(AD47&lt;&gt;"", BO47="-"), FALSE, AD47="", "-")</f>
        <v>1</v>
      </c>
      <c r="BM47" s="215">
        <v>3.62</v>
      </c>
      <c r="BN47" s="215">
        <v>0.27</v>
      </c>
      <c r="BO47" s="217">
        <f t="shared" si="15"/>
        <v>4</v>
      </c>
      <c r="BP47" s="214">
        <v>3.7037037037037035E-4</v>
      </c>
      <c r="BQ47" s="214">
        <f t="shared" si="34"/>
        <v>6.8287037037037036E-4</v>
      </c>
      <c r="BR47" s="214">
        <f t="shared" si="35"/>
        <v>2.0833333333333332E-4</v>
      </c>
      <c r="BS47" s="214">
        <f t="shared" si="36"/>
        <v>-3.3564814814814829E-4</v>
      </c>
      <c r="BT47" s="218">
        <v>0</v>
      </c>
      <c r="BU47" s="219">
        <f>1-BT47</f>
        <v>1</v>
      </c>
      <c r="BV47" s="217" t="str">
        <f t="shared" si="37"/>
        <v>-</v>
      </c>
      <c r="BW47" s="218" t="str">
        <f t="shared" si="17"/>
        <v>-</v>
      </c>
      <c r="BX47" s="218" t="str">
        <f t="shared" si="38"/>
        <v>-</v>
      </c>
      <c r="BY47" s="217">
        <f t="shared" si="39"/>
        <v>-1</v>
      </c>
      <c r="BZ47" s="218">
        <f t="shared" si="40"/>
        <v>0.8</v>
      </c>
      <c r="CA47" s="218">
        <f t="shared" si="41"/>
        <v>0.19999999999999996</v>
      </c>
      <c r="CB47" s="218"/>
      <c r="CC47" s="229">
        <v>2.8935185185185189E-4</v>
      </c>
      <c r="CD47" s="230" t="b">
        <v>1</v>
      </c>
      <c r="CE47" s="230" t="b">
        <v>1</v>
      </c>
      <c r="CF47" s="243" t="str" cm="1">
        <f t="array" ref="CF47">_xlfn.IFS(AND(AC47&lt;&gt;"", CI47&lt;&gt;"-"), TRUE, AND(AC47&lt;&gt;"", CI47="-"), FALSE, AC47="", "-")</f>
        <v>-</v>
      </c>
      <c r="CG47" s="243" t="s">
        <v>9801</v>
      </c>
      <c r="CH47" s="243" t="s">
        <v>9801</v>
      </c>
      <c r="CI47" s="244" t="str">
        <f t="shared" si="18"/>
        <v>-</v>
      </c>
      <c r="CJ47" s="236" t="b" cm="1">
        <f t="array" ref="CJ47">_xlfn.IFS(AND(AD47&lt;&gt;"", CM47&lt;&gt;"-"), TRUE, AND(AD47&lt;&gt;"", CM47="-"), FALSE, AD47="", "-")</f>
        <v>1</v>
      </c>
      <c r="CK47" s="230">
        <v>2.37</v>
      </c>
      <c r="CL47" s="230">
        <v>0.17</v>
      </c>
      <c r="CM47" s="255">
        <f t="shared" si="19"/>
        <v>4</v>
      </c>
      <c r="CN47" s="229">
        <v>2.3148148148148146E-4</v>
      </c>
      <c r="CO47" s="229">
        <f t="shared" si="20"/>
        <v>5.2083333333333333E-4</v>
      </c>
      <c r="CP47" s="229">
        <f t="shared" si="21"/>
        <v>6.9444444444444431E-5</v>
      </c>
      <c r="CQ47" s="229">
        <f t="shared" si="22"/>
        <v>-4.9768518518518532E-4</v>
      </c>
      <c r="CR47" s="230" t="str">
        <f t="shared" si="23"/>
        <v>-</v>
      </c>
      <c r="CS47" s="259" t="str">
        <f t="shared" si="24"/>
        <v>-</v>
      </c>
      <c r="CT47" s="259" t="str">
        <f t="shared" si="25"/>
        <v>-</v>
      </c>
      <c r="CU47" s="230">
        <f t="shared" si="26"/>
        <v>-1</v>
      </c>
      <c r="CV47" s="259">
        <f t="shared" si="27"/>
        <v>0.8</v>
      </c>
      <c r="CW47" s="262">
        <f t="shared" si="28"/>
        <v>0.19999999999999996</v>
      </c>
      <c r="CX47" s="230"/>
    </row>
    <row r="48" spans="1:102" s="95" customFormat="1" x14ac:dyDescent="0.2">
      <c r="A48" s="95" t="s">
        <v>3026</v>
      </c>
      <c r="B48" s="95">
        <v>938</v>
      </c>
      <c r="C48" s="95" t="b">
        <v>0</v>
      </c>
      <c r="D48" s="95" t="b">
        <v>0</v>
      </c>
      <c r="E48" s="95" t="b">
        <v>0</v>
      </c>
      <c r="F48" s="95" t="b">
        <v>0</v>
      </c>
      <c r="G48" s="95" t="s">
        <v>31</v>
      </c>
      <c r="H48" s="95" t="s">
        <v>3027</v>
      </c>
      <c r="I48" s="95" t="s">
        <v>3028</v>
      </c>
      <c r="J48" s="95" t="s">
        <v>3029</v>
      </c>
      <c r="O48" s="95" t="s">
        <v>10990</v>
      </c>
      <c r="P48" s="95" t="s">
        <v>10872</v>
      </c>
      <c r="Q48" s="98">
        <v>2.7777777777777778E-4</v>
      </c>
      <c r="R48" s="98">
        <v>5.4398148148148144E-4</v>
      </c>
      <c r="S48" s="95">
        <v>0</v>
      </c>
      <c r="T48" s="95" t="s">
        <v>36</v>
      </c>
      <c r="U48" s="95" t="s">
        <v>37</v>
      </c>
      <c r="V48" s="95" t="s">
        <v>38</v>
      </c>
      <c r="Z48" s="95" t="b">
        <v>0</v>
      </c>
      <c r="AC48" s="95">
        <v>5</v>
      </c>
      <c r="AE48" s="95" t="s">
        <v>2840</v>
      </c>
      <c r="AF48" s="95" t="s">
        <v>9508</v>
      </c>
      <c r="AH48" s="95" t="b">
        <v>0</v>
      </c>
      <c r="AI48" s="95" t="s">
        <v>11215</v>
      </c>
      <c r="AL48" s="207">
        <v>1.5046296296296297E-4</v>
      </c>
      <c r="AM48" s="208" t="b">
        <v>1</v>
      </c>
      <c r="AN48" s="208" t="b">
        <v>1</v>
      </c>
      <c r="AO48" s="252" t="b">
        <f t="shared" si="9"/>
        <v>1</v>
      </c>
      <c r="AP48" s="209" t="s">
        <v>11367</v>
      </c>
      <c r="AQ48" s="252" t="b" cm="1">
        <f t="array" ref="AQ48">_xlfn.IFS(AND(AC48&lt;&gt;"", AR48&lt;&gt;"-"), TRUE, AND(AC48&lt;&gt;"", AR48="-"), FALSE, AC48="", "-")</f>
        <v>1</v>
      </c>
      <c r="AR48" s="225">
        <v>7.0000000000000007E-2</v>
      </c>
      <c r="AS48" s="221">
        <f t="shared" si="10"/>
        <v>4.0041729407093882</v>
      </c>
      <c r="AT48" s="207">
        <v>3.8194444444444446E-4</v>
      </c>
      <c r="AU48" s="207">
        <f t="shared" si="11"/>
        <v>5.3240740740740744E-4</v>
      </c>
      <c r="AV48" s="207">
        <f t="shared" si="12"/>
        <v>1.0416666666666669E-4</v>
      </c>
      <c r="AW48" s="207">
        <f t="shared" si="13"/>
        <v>-1.1574074074074004E-5</v>
      </c>
      <c r="AX48" s="212" cm="1">
        <f t="array" ref="AX48">_xlfn.IFS(AP48="-", "-", AND(AP48="asphalt",AA48=""),100%, AND(AP48&lt;&gt;"asphalt",AA48=""), 0%)</f>
        <v>0</v>
      </c>
      <c r="AY48" s="213">
        <f t="shared" si="42"/>
        <v>1</v>
      </c>
      <c r="AZ48" s="212">
        <f t="shared" si="30"/>
        <v>0.80083458814187769</v>
      </c>
      <c r="BA48" s="212" cm="1">
        <f t="array" ref="BA48">_xlfn.IFS(OR(AC48="", AS48="-"), "-", AND(AC48&lt;&gt;"", OR(AS48&lt;&gt;"-", AS48&lt;&gt;0)), ABS(AS48/AC48-1))</f>
        <v>0.19916541185812231</v>
      </c>
      <c r="BB48" s="208"/>
      <c r="BC48" s="214">
        <v>9.2592592592592585E-4</v>
      </c>
      <c r="BD48" s="215" t="b">
        <v>1</v>
      </c>
      <c r="BE48" s="215" t="b">
        <v>1</v>
      </c>
      <c r="BF48" s="215" t="b">
        <f t="shared" si="14"/>
        <v>1</v>
      </c>
      <c r="BG48" s="215" t="s">
        <v>3516</v>
      </c>
      <c r="BH48" s="243" t="b" cm="1">
        <f t="array" ref="BH48">_xlfn.IFS(AND(AC48&lt;&gt;"", BK48&lt;&gt;"-"), TRUE, AND(AC48&lt;&gt;"", BK48="-"), FALSE, AC48="", "-")</f>
        <v>0</v>
      </c>
      <c r="BI48" s="243" t="s">
        <v>9801</v>
      </c>
      <c r="BJ48" s="243" t="s">
        <v>9801</v>
      </c>
      <c r="BK48" s="244" t="str">
        <f t="shared" si="31"/>
        <v>-</v>
      </c>
      <c r="BL48" s="217" t="str" cm="1">
        <f t="array" ref="BL48">_xlfn.IFS(AND(AD48&lt;&gt;"", BO48&lt;&gt;"-"), TRUE, AND(AD48&lt;&gt;"", BO48="-"), FALSE, AD48="", "-")</f>
        <v>-</v>
      </c>
      <c r="BM48" s="215" t="s">
        <v>9801</v>
      </c>
      <c r="BN48" s="215" t="s">
        <v>9801</v>
      </c>
      <c r="BO48" s="217" t="str">
        <f t="shared" si="15"/>
        <v>-</v>
      </c>
      <c r="BP48" s="214">
        <v>1.3888888888888889E-4</v>
      </c>
      <c r="BQ48" s="214">
        <f t="shared" si="34"/>
        <v>1.0648148148148147E-3</v>
      </c>
      <c r="BR48" s="214">
        <f t="shared" si="35"/>
        <v>-1.3888888888888889E-4</v>
      </c>
      <c r="BS48" s="214">
        <f t="shared" si="36"/>
        <v>5.2083333333333322E-4</v>
      </c>
      <c r="BT48" s="218">
        <v>0</v>
      </c>
      <c r="BU48" s="219">
        <f t="shared" si="16"/>
        <v>1</v>
      </c>
      <c r="BV48" s="217" t="str">
        <f t="shared" si="37"/>
        <v>-</v>
      </c>
      <c r="BW48" s="218" t="str">
        <f t="shared" si="17"/>
        <v>-</v>
      </c>
      <c r="BX48" s="218" t="str">
        <f t="shared" si="38"/>
        <v>-</v>
      </c>
      <c r="BY48" s="217" t="str">
        <f t="shared" si="39"/>
        <v>-</v>
      </c>
      <c r="BZ48" s="218" t="str">
        <f t="shared" si="40"/>
        <v>-</v>
      </c>
      <c r="CA48" s="218" t="str">
        <f t="shared" si="41"/>
        <v>-</v>
      </c>
      <c r="CB48" s="218" t="s">
        <v>11398</v>
      </c>
      <c r="CC48" s="229">
        <v>3.2407407407407406E-4</v>
      </c>
      <c r="CD48" s="230" t="b">
        <v>1</v>
      </c>
      <c r="CE48" s="230" t="b">
        <v>1</v>
      </c>
      <c r="CF48" s="243" t="b" cm="1">
        <f t="array" ref="CF48">_xlfn.IFS(AND(AC48&lt;&gt;"", CI48&lt;&gt;"-"), TRUE, AND(AC48&lt;&gt;"", CI48="-"), FALSE, AC48="", "-")</f>
        <v>1</v>
      </c>
      <c r="CG48" s="243">
        <v>8.57</v>
      </c>
      <c r="CH48" s="243">
        <v>0.71</v>
      </c>
      <c r="CI48" s="244">
        <f t="shared" si="18"/>
        <v>5</v>
      </c>
      <c r="CJ48" s="236" t="str" cm="1">
        <f t="array" ref="CJ48">_xlfn.IFS(AND(AD48&lt;&gt;"", CM48&lt;&gt;"-"), TRUE, AND(AD48&lt;&gt;"", CM48="-"), FALSE, AD48="", "-")</f>
        <v>-</v>
      </c>
      <c r="CK48" s="230" t="s">
        <v>9801</v>
      </c>
      <c r="CL48" s="230" t="s">
        <v>9801</v>
      </c>
      <c r="CM48" s="255" t="str">
        <f t="shared" si="19"/>
        <v>-</v>
      </c>
      <c r="CN48" s="229">
        <v>2.0833333333333335E-4</v>
      </c>
      <c r="CO48" s="229">
        <f>CC48+CN48</f>
        <v>5.3240740740740744E-4</v>
      </c>
      <c r="CP48" s="229">
        <f t="shared" si="21"/>
        <v>-6.9444444444444431E-5</v>
      </c>
      <c r="CQ48" s="229">
        <f t="shared" si="22"/>
        <v>-1.1574074074074004E-5</v>
      </c>
      <c r="CR48" s="230">
        <f t="shared" si="23"/>
        <v>0</v>
      </c>
      <c r="CS48" s="259">
        <f t="shared" si="24"/>
        <v>1</v>
      </c>
      <c r="CT48" s="259">
        <f t="shared" si="25"/>
        <v>0</v>
      </c>
      <c r="CU48" s="230" t="str">
        <f t="shared" si="26"/>
        <v>-</v>
      </c>
      <c r="CV48" s="259" t="str">
        <f t="shared" si="27"/>
        <v>-</v>
      </c>
      <c r="CW48" s="262" t="str">
        <f t="shared" si="28"/>
        <v>-</v>
      </c>
      <c r="CX48" s="230"/>
    </row>
    <row r="49" spans="1:102" s="95" customFormat="1" x14ac:dyDescent="0.2">
      <c r="A49" s="95" t="s">
        <v>3075</v>
      </c>
      <c r="B49" s="95">
        <v>953</v>
      </c>
      <c r="C49" s="95" t="b">
        <v>0</v>
      </c>
      <c r="D49" s="95" t="b">
        <v>0</v>
      </c>
      <c r="E49" s="95" t="b">
        <v>0</v>
      </c>
      <c r="F49" s="95" t="b">
        <v>0</v>
      </c>
      <c r="G49" s="95" t="s">
        <v>31</v>
      </c>
      <c r="H49" s="95" t="s">
        <v>3076</v>
      </c>
      <c r="I49" s="95" t="s">
        <v>3077</v>
      </c>
      <c r="J49" s="95" t="s">
        <v>662</v>
      </c>
      <c r="O49" s="95" t="s">
        <v>10989</v>
      </c>
      <c r="P49" s="95" t="s">
        <v>10988</v>
      </c>
      <c r="Q49" s="98">
        <v>3.4722222222222224E-4</v>
      </c>
      <c r="R49" s="98">
        <v>1.261574074074074E-3</v>
      </c>
      <c r="S49" s="95">
        <v>0</v>
      </c>
      <c r="T49" s="95" t="s">
        <v>36</v>
      </c>
      <c r="U49" s="95" t="s">
        <v>37</v>
      </c>
      <c r="V49" s="95" t="s">
        <v>38</v>
      </c>
      <c r="Z49" s="95" t="b">
        <v>0</v>
      </c>
      <c r="AC49" s="95">
        <v>14</v>
      </c>
      <c r="AE49" s="95" t="s">
        <v>2840</v>
      </c>
      <c r="AF49" s="95" t="s">
        <v>9508</v>
      </c>
      <c r="AH49" s="95" t="b">
        <v>0</v>
      </c>
      <c r="AI49" s="95" t="s">
        <v>11216</v>
      </c>
      <c r="AL49" s="207">
        <v>1.5046296296296297E-4</v>
      </c>
      <c r="AM49" s="208" t="b">
        <v>1</v>
      </c>
      <c r="AN49" s="208" t="b">
        <v>1</v>
      </c>
      <c r="AO49" s="252" t="b">
        <f t="shared" si="9"/>
        <v>1</v>
      </c>
      <c r="AP49" s="209" t="s">
        <v>11367</v>
      </c>
      <c r="AQ49" s="253" t="b" cm="1">
        <f t="array" ref="AQ49">_xlfn.IFS(AND(AC49&lt;&gt;"", AR49&lt;&gt;"-"), TRUE, AND(AC49&lt;&gt;"", AR49="-"), FALSE, AC49="", "-")</f>
        <v>0</v>
      </c>
      <c r="AR49" s="224" t="s">
        <v>9801</v>
      </c>
      <c r="AS49" s="221" t="str">
        <f t="shared" si="10"/>
        <v>-</v>
      </c>
      <c r="AT49" s="207">
        <v>1.8518518518518518E-4</v>
      </c>
      <c r="AU49" s="207">
        <f t="shared" si="11"/>
        <v>3.3564814814814818E-4</v>
      </c>
      <c r="AV49" s="207">
        <f t="shared" si="12"/>
        <v>-1.6203703703703706E-4</v>
      </c>
      <c r="AW49" s="207">
        <f t="shared" si="13"/>
        <v>-9.2592592592592585E-4</v>
      </c>
      <c r="AX49" s="212" cm="1">
        <f t="array" ref="AX49">_xlfn.IFS(AP49="-", "-", AND(AP49="asphalt",AA49=""),100%, AND(AP49&lt;&gt;"asphalt",AA49=""), 0%)</f>
        <v>0</v>
      </c>
      <c r="AY49" s="213">
        <f t="shared" si="42"/>
        <v>1</v>
      </c>
      <c r="AZ49" s="212" t="str">
        <f t="shared" si="30"/>
        <v>-</v>
      </c>
      <c r="BA49" s="212" t="str" cm="1">
        <f t="array" ref="BA49">_xlfn.IFS(OR(AC49="", AS49="-"), "-", AND(AC49&lt;&gt;"", OR(AS49&lt;&gt;"-", AS49&lt;&gt;0)), ABS(AS49/AC49-1))</f>
        <v>-</v>
      </c>
      <c r="BB49" s="208"/>
      <c r="BC49" s="214">
        <v>3.3564814814814812E-4</v>
      </c>
      <c r="BD49" s="215" t="b">
        <v>0</v>
      </c>
      <c r="BE49" s="215" t="s">
        <v>9801</v>
      </c>
      <c r="BF49" s="215" t="b">
        <f t="shared" si="14"/>
        <v>0</v>
      </c>
      <c r="BG49" s="215" t="s">
        <v>9801</v>
      </c>
      <c r="BH49" s="243" t="b" cm="1">
        <f t="array" ref="BH49">_xlfn.IFS(AND(AC49&lt;&gt;"", BK49&lt;&gt;"-"), TRUE, AND(AC49&lt;&gt;"", BK49="-"), FALSE, AC49="", "-")</f>
        <v>0</v>
      </c>
      <c r="BI49" s="243" t="s">
        <v>9801</v>
      </c>
      <c r="BJ49" s="243" t="s">
        <v>9801</v>
      </c>
      <c r="BK49" s="244" t="str">
        <f t="shared" si="31"/>
        <v>-</v>
      </c>
      <c r="BL49" s="217" t="str" cm="1">
        <f t="array" ref="BL49">_xlfn.IFS(AND(AD49&lt;&gt;"", BO49&lt;&gt;"-"), TRUE, AND(AD49&lt;&gt;"", BO49="-"), FALSE, AD49="", "-")</f>
        <v>-</v>
      </c>
      <c r="BM49" s="215" t="s">
        <v>9801</v>
      </c>
      <c r="BN49" s="215" t="s">
        <v>9801</v>
      </c>
      <c r="BO49" s="217" t="str">
        <f t="shared" si="15"/>
        <v>-</v>
      </c>
      <c r="BP49" s="214"/>
      <c r="BQ49" s="214">
        <f t="shared" si="34"/>
        <v>3.3564814814814812E-4</v>
      </c>
      <c r="BR49" s="214">
        <f t="shared" si="35"/>
        <v>-3.4722222222222224E-4</v>
      </c>
      <c r="BS49" s="214">
        <f t="shared" si="36"/>
        <v>-9.2592592592592596E-4</v>
      </c>
      <c r="BT49" s="218" t="s">
        <v>9801</v>
      </c>
      <c r="BU49" s="219" t="s">
        <v>9801</v>
      </c>
      <c r="BV49" s="217" t="str">
        <f t="shared" si="37"/>
        <v>-</v>
      </c>
      <c r="BW49" s="218" t="str">
        <f t="shared" si="17"/>
        <v>-</v>
      </c>
      <c r="BX49" s="218" t="str">
        <f t="shared" si="38"/>
        <v>-</v>
      </c>
      <c r="BY49" s="217" t="str">
        <f t="shared" si="39"/>
        <v>-</v>
      </c>
      <c r="BZ49" s="218" t="str">
        <f t="shared" si="40"/>
        <v>-</v>
      </c>
      <c r="CA49" s="218" t="str">
        <f t="shared" si="41"/>
        <v>-</v>
      </c>
      <c r="CB49" s="218" t="s">
        <v>11395</v>
      </c>
      <c r="CC49" s="229">
        <v>3.7037037037037035E-4</v>
      </c>
      <c r="CD49" s="230" t="b">
        <v>1</v>
      </c>
      <c r="CE49" s="230" t="b">
        <v>1</v>
      </c>
      <c r="CF49" s="243" t="b" cm="1">
        <f t="array" ref="CF49">_xlfn.IFS(AND(AC49&lt;&gt;"", CI49&lt;&gt;"-"), TRUE, AND(AC49&lt;&gt;"", CI49="-"), FALSE, AC49="", "-")</f>
        <v>1</v>
      </c>
      <c r="CG49" s="243">
        <v>14.64</v>
      </c>
      <c r="CH49" s="243">
        <v>1.4</v>
      </c>
      <c r="CI49" s="244">
        <f t="shared" si="18"/>
        <v>5</v>
      </c>
      <c r="CJ49" s="236" t="str" cm="1">
        <f t="array" ref="CJ49">_xlfn.IFS(AND(AD49&lt;&gt;"", CM49&lt;&gt;"-"), TRUE, AND(AD49&lt;&gt;"", CM49="-"), FALSE, AD49="", "-")</f>
        <v>-</v>
      </c>
      <c r="CK49" s="230" t="s">
        <v>9801</v>
      </c>
      <c r="CL49" s="230" t="s">
        <v>9801</v>
      </c>
      <c r="CM49" s="255" t="str">
        <f t="shared" si="19"/>
        <v>-</v>
      </c>
      <c r="CN49" s="229">
        <v>3.5879629629629635E-4</v>
      </c>
      <c r="CO49" s="229">
        <f t="shared" si="20"/>
        <v>7.291666666666667E-4</v>
      </c>
      <c r="CP49" s="229">
        <f t="shared" si="21"/>
        <v>1.1574074074074112E-5</v>
      </c>
      <c r="CQ49" s="229">
        <f t="shared" si="22"/>
        <v>-5.3240740740740733E-4</v>
      </c>
      <c r="CR49" s="230">
        <f t="shared" si="23"/>
        <v>-9</v>
      </c>
      <c r="CS49" s="259">
        <f t="shared" si="24"/>
        <v>0.35714285714285721</v>
      </c>
      <c r="CT49" s="259">
        <f t="shared" si="25"/>
        <v>0.64285714285714279</v>
      </c>
      <c r="CU49" s="230" t="str">
        <f t="shared" si="26"/>
        <v>-</v>
      </c>
      <c r="CV49" s="259" t="str">
        <f t="shared" si="27"/>
        <v>-</v>
      </c>
      <c r="CW49" s="262" t="str">
        <f t="shared" si="28"/>
        <v>-</v>
      </c>
      <c r="CX49" s="230"/>
    </row>
    <row r="50" spans="1:102" s="95" customFormat="1" x14ac:dyDescent="0.2">
      <c r="A50" s="95" t="s">
        <v>3124</v>
      </c>
      <c r="B50" s="95">
        <v>969</v>
      </c>
      <c r="C50" s="95" t="b">
        <v>0</v>
      </c>
      <c r="D50" s="95" t="b">
        <v>0</v>
      </c>
      <c r="E50" s="95" t="b">
        <v>0</v>
      </c>
      <c r="F50" s="95" t="b">
        <v>0</v>
      </c>
      <c r="G50" s="95" t="s">
        <v>31</v>
      </c>
      <c r="H50" s="95" t="s">
        <v>3125</v>
      </c>
      <c r="I50" s="95" t="s">
        <v>3126</v>
      </c>
      <c r="J50" s="95" t="s">
        <v>1460</v>
      </c>
      <c r="O50" s="95" t="s">
        <v>10987</v>
      </c>
      <c r="P50" s="95" t="s">
        <v>10986</v>
      </c>
      <c r="Q50" s="98">
        <v>2.3148148148148146E-4</v>
      </c>
      <c r="R50" s="98">
        <v>2.0486111111111113E-3</v>
      </c>
      <c r="S50" s="95">
        <v>0</v>
      </c>
      <c r="T50" s="95" t="s">
        <v>36</v>
      </c>
      <c r="U50" s="95" t="s">
        <v>37</v>
      </c>
      <c r="V50" s="95" t="s">
        <v>38</v>
      </c>
      <c r="Z50" s="95" t="b">
        <v>0</v>
      </c>
      <c r="AC50" s="95">
        <v>6</v>
      </c>
      <c r="AE50" s="95" t="s">
        <v>2840</v>
      </c>
      <c r="AF50" s="95" t="s">
        <v>9508</v>
      </c>
      <c r="AH50" s="95" t="b">
        <v>0</v>
      </c>
      <c r="AI50" s="95" t="s">
        <v>11217</v>
      </c>
      <c r="AL50" s="207">
        <v>1.9675925925925926E-4</v>
      </c>
      <c r="AM50" s="208" t="b">
        <v>1</v>
      </c>
      <c r="AN50" s="208" t="b">
        <v>1</v>
      </c>
      <c r="AO50" s="252" t="b">
        <f t="shared" si="9"/>
        <v>1</v>
      </c>
      <c r="AP50" s="209" t="s">
        <v>11367</v>
      </c>
      <c r="AQ50" s="253" t="b" cm="1">
        <f t="array" ref="AQ50">_xlfn.IFS(AND(AC50&lt;&gt;"", AR50&lt;&gt;"-"), TRUE, AND(AC50&lt;&gt;"", AR50="-"), FALSE, AC50="", "-")</f>
        <v>1</v>
      </c>
      <c r="AR50" s="223">
        <v>0.02</v>
      </c>
      <c r="AS50" s="221">
        <f t="shared" si="10"/>
        <v>1.1457628381751035</v>
      </c>
      <c r="AT50" s="207">
        <v>1.273148148148148E-4</v>
      </c>
      <c r="AU50" s="207">
        <f t="shared" si="11"/>
        <v>3.2407407407407406E-4</v>
      </c>
      <c r="AV50" s="207">
        <f t="shared" si="12"/>
        <v>-1.0416666666666666E-4</v>
      </c>
      <c r="AW50" s="207">
        <f t="shared" si="13"/>
        <v>-1.7245370370370372E-3</v>
      </c>
      <c r="AX50" s="212" cm="1">
        <f t="array" ref="AX50">_xlfn.IFS(AP50="-", "-", AND(AP50="asphalt",AA50=""),100%, AND(AP50&lt;&gt;"asphalt",AA50=""), 0%)</f>
        <v>0</v>
      </c>
      <c r="AY50" s="213">
        <f t="shared" si="42"/>
        <v>1</v>
      </c>
      <c r="AZ50" s="212">
        <f>IF(BA50&lt;&gt;"-", 1-BA50, "-")</f>
        <v>0.19096047302918395</v>
      </c>
      <c r="BA50" s="212" cm="1">
        <f t="array" ref="BA50">_xlfn.IFS(OR(AC50="", AS50="-"), "-", AND(AC50&lt;&gt;"", OR(AS50&lt;&gt;"-", AS50&lt;&gt;0)), ABS(AS50/AC50-1))</f>
        <v>0.80903952697081605</v>
      </c>
      <c r="BB50" s="208"/>
      <c r="BC50" s="214">
        <v>7.9861111111111105E-4</v>
      </c>
      <c r="BD50" s="215" t="b">
        <v>1</v>
      </c>
      <c r="BE50" s="215" t="b">
        <v>1</v>
      </c>
      <c r="BF50" s="215" t="b">
        <f t="shared" si="14"/>
        <v>1</v>
      </c>
      <c r="BG50" s="215" t="s">
        <v>3516</v>
      </c>
      <c r="BH50" s="243" t="b" cm="1">
        <f t="array" ref="BH50">_xlfn.IFS(AND(AC50&lt;&gt;"", BK50&lt;&gt;"-"), TRUE, AND(AC50&lt;&gt;"", BK50="-"), FALSE, AC50="", "-")</f>
        <v>1</v>
      </c>
      <c r="BI50" s="243">
        <v>3.44</v>
      </c>
      <c r="BJ50" s="243">
        <v>0.37</v>
      </c>
      <c r="BK50" s="244">
        <f t="shared" si="31"/>
        <v>6</v>
      </c>
      <c r="BL50" s="217" t="str" cm="1">
        <f t="array" ref="BL50">_xlfn.IFS(AND(AD50&lt;&gt;"", BO50&lt;&gt;"-"), TRUE, AND(AD50&lt;&gt;"", BO50="-"), FALSE, AD50="", "-")</f>
        <v>-</v>
      </c>
      <c r="BM50" s="215" t="s">
        <v>9801</v>
      </c>
      <c r="BN50" s="215" t="s">
        <v>9801</v>
      </c>
      <c r="BO50" s="217" t="str">
        <f t="shared" si="15"/>
        <v>-</v>
      </c>
      <c r="BP50" s="214">
        <v>4.0509259259259258E-4</v>
      </c>
      <c r="BQ50" s="214">
        <f t="shared" si="34"/>
        <v>1.2037037037037036E-3</v>
      </c>
      <c r="BR50" s="214">
        <f t="shared" si="35"/>
        <v>1.7361111111111112E-4</v>
      </c>
      <c r="BS50" s="214">
        <f t="shared" si="36"/>
        <v>-8.4490740740740772E-4</v>
      </c>
      <c r="BT50" s="218">
        <v>0</v>
      </c>
      <c r="BU50" s="219">
        <f t="shared" si="16"/>
        <v>1</v>
      </c>
      <c r="BV50" s="217">
        <f t="shared" si="37"/>
        <v>0</v>
      </c>
      <c r="BW50" s="218">
        <f t="shared" si="17"/>
        <v>1</v>
      </c>
      <c r="BX50" s="218">
        <f t="shared" si="38"/>
        <v>0</v>
      </c>
      <c r="BY50" s="217" t="str">
        <f t="shared" si="39"/>
        <v>-</v>
      </c>
      <c r="BZ50" s="218" t="str">
        <f t="shared" si="40"/>
        <v>-</v>
      </c>
      <c r="CA50" s="218" t="str">
        <f t="shared" si="41"/>
        <v>-</v>
      </c>
      <c r="CB50" s="218"/>
      <c r="CC50" s="229">
        <v>3.9351851851851852E-4</v>
      </c>
      <c r="CD50" s="230" t="b">
        <v>1</v>
      </c>
      <c r="CE50" s="230" t="b">
        <v>1</v>
      </c>
      <c r="CF50" s="243" t="b" cm="1">
        <f t="array" ref="CF50">_xlfn.IFS(AND(AC50&lt;&gt;"", CI50&lt;&gt;"-"), TRUE, AND(AC50&lt;&gt;"", CI50="-"), FALSE, AC50="", "-")</f>
        <v>1</v>
      </c>
      <c r="CG50" s="243">
        <v>5.74</v>
      </c>
      <c r="CH50" s="243">
        <v>0.59</v>
      </c>
      <c r="CI50" s="244">
        <f t="shared" si="18"/>
        <v>6</v>
      </c>
      <c r="CJ50" s="236" t="str" cm="1">
        <f t="array" ref="CJ50">_xlfn.IFS(AND(AD50&lt;&gt;"", CM50&lt;&gt;"-"), TRUE, AND(AD50&lt;&gt;"", CM50="-"), FALSE, AD50="", "-")</f>
        <v>-</v>
      </c>
      <c r="CK50" s="230" t="s">
        <v>9801</v>
      </c>
      <c r="CL50" s="230" t="s">
        <v>9801</v>
      </c>
      <c r="CM50" s="255" t="str">
        <f t="shared" si="19"/>
        <v>-</v>
      </c>
      <c r="CN50" s="229">
        <v>1.9675925925925926E-4</v>
      </c>
      <c r="CO50" s="229">
        <f t="shared" si="20"/>
        <v>5.9027777777777778E-4</v>
      </c>
      <c r="CP50" s="229">
        <f t="shared" si="21"/>
        <v>-3.4722222222222202E-5</v>
      </c>
      <c r="CQ50" s="229">
        <f t="shared" si="22"/>
        <v>-1.4583333333333336E-3</v>
      </c>
      <c r="CR50" s="230">
        <f t="shared" si="23"/>
        <v>0</v>
      </c>
      <c r="CS50" s="259">
        <f t="shared" si="24"/>
        <v>1</v>
      </c>
      <c r="CT50" s="259">
        <f t="shared" si="25"/>
        <v>0</v>
      </c>
      <c r="CU50" s="230" t="str">
        <f t="shared" si="26"/>
        <v>-</v>
      </c>
      <c r="CV50" s="259" t="str">
        <f t="shared" si="27"/>
        <v>-</v>
      </c>
      <c r="CW50" s="262" t="str">
        <f t="shared" si="28"/>
        <v>-</v>
      </c>
      <c r="CX50" s="230"/>
    </row>
    <row r="51" spans="1:102" s="95" customFormat="1" x14ac:dyDescent="0.2">
      <c r="A51" s="95" t="s">
        <v>3149</v>
      </c>
      <c r="B51" s="95">
        <v>977</v>
      </c>
      <c r="C51" s="95" t="b">
        <v>0</v>
      </c>
      <c r="D51" s="95" t="b">
        <v>0</v>
      </c>
      <c r="E51" s="95" t="b">
        <v>0</v>
      </c>
      <c r="F51" s="95" t="b">
        <v>0</v>
      </c>
      <c r="G51" s="95" t="s">
        <v>31</v>
      </c>
      <c r="H51" s="95" t="s">
        <v>3150</v>
      </c>
      <c r="I51" s="95" t="s">
        <v>3151</v>
      </c>
      <c r="J51" s="95" t="s">
        <v>3152</v>
      </c>
      <c r="O51" s="95" t="s">
        <v>10985</v>
      </c>
      <c r="P51" s="95" t="s">
        <v>10984</v>
      </c>
      <c r="Q51" s="98">
        <v>4.7453703703703704E-4</v>
      </c>
      <c r="R51" s="98">
        <v>8.449074074074075E-4</v>
      </c>
      <c r="S51" s="95">
        <v>0</v>
      </c>
      <c r="T51" s="95" t="s">
        <v>36</v>
      </c>
      <c r="U51" s="95" t="s">
        <v>37</v>
      </c>
      <c r="V51" s="95" t="s">
        <v>38</v>
      </c>
      <c r="Z51" s="95" t="b">
        <v>0</v>
      </c>
      <c r="AC51" s="95">
        <v>5</v>
      </c>
      <c r="AE51" s="95" t="s">
        <v>2840</v>
      </c>
      <c r="AF51" s="95" t="s">
        <v>9508</v>
      </c>
      <c r="AH51" s="95" t="b">
        <v>0</v>
      </c>
      <c r="AI51" s="95" t="s">
        <v>11218</v>
      </c>
      <c r="AL51" s="207">
        <v>2.7777777777777778E-4</v>
      </c>
      <c r="AM51" s="208" t="b">
        <v>1</v>
      </c>
      <c r="AN51" s="208" t="b">
        <v>1</v>
      </c>
      <c r="AO51" s="252" t="b">
        <f t="shared" si="9"/>
        <v>1</v>
      </c>
      <c r="AP51" s="209" t="s">
        <v>11366</v>
      </c>
      <c r="AQ51" s="253" t="b" cm="1">
        <f t="array" ref="AQ51">_xlfn.IFS(AND(AC51&lt;&gt;"", AR51&lt;&gt;"-"), TRUE, AND(AC51&lt;&gt;"", AR51="-"), FALSE, AC51="", "-")</f>
        <v>1</v>
      </c>
      <c r="AR51" s="225">
        <v>0.05</v>
      </c>
      <c r="AS51" s="221">
        <f t="shared" si="10"/>
        <v>2.8624052261117479</v>
      </c>
      <c r="AT51" s="207">
        <v>1.3888888888888889E-4</v>
      </c>
      <c r="AU51" s="207">
        <f t="shared" si="11"/>
        <v>4.1666666666666664E-4</v>
      </c>
      <c r="AV51" s="207">
        <f t="shared" si="12"/>
        <v>-3.3564814814814818E-4</v>
      </c>
      <c r="AW51" s="207">
        <f t="shared" si="13"/>
        <v>-4.2824074074074086E-4</v>
      </c>
      <c r="AX51" s="212" cm="1">
        <f t="array" ref="AX51">_xlfn.IFS(AP51="-", "-", AND(AP51="asphalt",AA51=""),100%, AND(AP51&lt;&gt;"asphalt",AA51=""), 0%)</f>
        <v>1</v>
      </c>
      <c r="AY51" s="213">
        <f>IF(AX51&lt;&gt;"-", 1-AX51, "-")</f>
        <v>0</v>
      </c>
      <c r="AZ51" s="212">
        <f t="shared" si="30"/>
        <v>0.57248104522234955</v>
      </c>
      <c r="BA51" s="212" cm="1">
        <f t="array" ref="BA51">_xlfn.IFS(OR(AC51="", AS51="-"), "-", AND(AC51&lt;&gt;"", OR(AS51&lt;&gt;"-", AS51&lt;&gt;0)), ABS(AS51/AC51-1))</f>
        <v>0.42751895477765045</v>
      </c>
      <c r="BB51" s="208"/>
      <c r="BC51" s="214">
        <v>6.2500000000000001E-4</v>
      </c>
      <c r="BD51" s="215" t="b">
        <v>1</v>
      </c>
      <c r="BE51" s="215" t="b">
        <v>1</v>
      </c>
      <c r="BF51" s="215" t="b">
        <f t="shared" si="14"/>
        <v>1</v>
      </c>
      <c r="BG51" s="215" t="s">
        <v>3516</v>
      </c>
      <c r="BH51" s="243" t="b" cm="1">
        <f t="array" ref="BH51">_xlfn.IFS(AND(AC51&lt;&gt;"", BK51&lt;&gt;"-"), TRUE, AND(AC51&lt;&gt;"", BK51="-"), FALSE, AC51="", "-")</f>
        <v>1</v>
      </c>
      <c r="BI51" s="243">
        <v>7.36</v>
      </c>
      <c r="BJ51" s="243">
        <v>0.79</v>
      </c>
      <c r="BK51" s="244">
        <f>IF(AND(BJ51&lt;&gt;"-",BI51&lt;&gt;"-"), ROUND(DEGREES(ATAN(BJ51/BI51)*100%), 0), "-")</f>
        <v>6</v>
      </c>
      <c r="BL51" s="217" t="str" cm="1">
        <f t="array" ref="BL51">_xlfn.IFS(AND(AD51&lt;&gt;"", BO51&lt;&gt;"-"), TRUE, AND(AD51&lt;&gt;"", BO51="-"), FALSE, AD51="", "-")</f>
        <v>-</v>
      </c>
      <c r="BM51" s="215" t="s">
        <v>9801</v>
      </c>
      <c r="BN51" s="215" t="s">
        <v>9801</v>
      </c>
      <c r="BO51" s="217" t="str">
        <f t="shared" si="15"/>
        <v>-</v>
      </c>
      <c r="BP51" s="214">
        <v>3.9351851851851852E-4</v>
      </c>
      <c r="BQ51" s="214">
        <f t="shared" si="34"/>
        <v>1.0185185185185184E-3</v>
      </c>
      <c r="BR51" s="214">
        <f t="shared" si="35"/>
        <v>-8.1018518518518516E-5</v>
      </c>
      <c r="BS51" s="214">
        <f t="shared" si="36"/>
        <v>1.7361111111111093E-4</v>
      </c>
      <c r="BT51" s="218">
        <v>0</v>
      </c>
      <c r="BU51" s="219">
        <f t="shared" si="16"/>
        <v>1</v>
      </c>
      <c r="BV51" s="217">
        <f t="shared" si="37"/>
        <v>1</v>
      </c>
      <c r="BW51" s="218">
        <f t="shared" si="17"/>
        <v>0.8</v>
      </c>
      <c r="BX51" s="218">
        <f t="shared" si="38"/>
        <v>0.19999999999999996</v>
      </c>
      <c r="BY51" s="217" t="str">
        <f t="shared" si="39"/>
        <v>-</v>
      </c>
      <c r="BZ51" s="218" t="str">
        <f t="shared" si="40"/>
        <v>-</v>
      </c>
      <c r="CA51" s="218" t="str">
        <f t="shared" si="41"/>
        <v>-</v>
      </c>
      <c r="CB51" s="218"/>
      <c r="CC51" s="229">
        <v>4.9768518518518521E-4</v>
      </c>
      <c r="CD51" s="230" t="b">
        <v>1</v>
      </c>
      <c r="CE51" s="230" t="b">
        <v>1</v>
      </c>
      <c r="CF51" s="243" t="b" cm="1">
        <f t="array" ref="CF51">_xlfn.IFS(AND(AC51&lt;&gt;"", CI51&lt;&gt;"-"), TRUE, AND(AC51&lt;&gt;"", CI51="-"), FALSE, AC51="", "-")</f>
        <v>1</v>
      </c>
      <c r="CG51" s="243">
        <v>8.48</v>
      </c>
      <c r="CH51" s="243">
        <v>0.97</v>
      </c>
      <c r="CI51" s="244">
        <f t="shared" si="18"/>
        <v>7</v>
      </c>
      <c r="CJ51" s="236" t="str" cm="1">
        <f t="array" ref="CJ51">_xlfn.IFS(AND(AD51&lt;&gt;"", CM51&lt;&gt;"-"), TRUE, AND(AD51&lt;&gt;"", CM51="-"), FALSE, AD51="", "-")</f>
        <v>-</v>
      </c>
      <c r="CK51" s="230" t="s">
        <v>9801</v>
      </c>
      <c r="CL51" s="230" t="s">
        <v>9801</v>
      </c>
      <c r="CM51" s="255" t="str">
        <f>IF(AND(CL51&lt;&gt;"-",CK51&lt;&gt;"-"), ROUND(DEGREES(ATAN(CL51/CK51)*100%), 0), "-")</f>
        <v>-</v>
      </c>
      <c r="CN51" s="229">
        <v>1.9675925925925926E-4</v>
      </c>
      <c r="CO51" s="229">
        <f t="shared" si="20"/>
        <v>6.9444444444444447E-4</v>
      </c>
      <c r="CP51" s="229">
        <f t="shared" si="21"/>
        <v>-2.7777777777777778E-4</v>
      </c>
      <c r="CQ51" s="229">
        <f t="shared" si="22"/>
        <v>-1.5046296296296303E-4</v>
      </c>
      <c r="CR51" s="230">
        <f t="shared" si="23"/>
        <v>2</v>
      </c>
      <c r="CS51" s="259">
        <f t="shared" si="24"/>
        <v>0.60000000000000009</v>
      </c>
      <c r="CT51" s="259">
        <f t="shared" si="25"/>
        <v>0.39999999999999991</v>
      </c>
      <c r="CU51" s="230" t="str">
        <f t="shared" si="26"/>
        <v>-</v>
      </c>
      <c r="CV51" s="259" t="str">
        <f>IF(CW51&lt;&gt;"-", 1-CW51, "-")</f>
        <v>-</v>
      </c>
      <c r="CW51" s="262" t="str">
        <f t="shared" si="28"/>
        <v>-</v>
      </c>
      <c r="CX51" s="230"/>
    </row>
    <row r="52" spans="1:102" s="95" customFormat="1" x14ac:dyDescent="0.2">
      <c r="A52" s="95" t="s">
        <v>3165</v>
      </c>
      <c r="B52" s="95">
        <v>981</v>
      </c>
      <c r="C52" s="95" t="b">
        <v>0</v>
      </c>
      <c r="D52" s="95" t="b">
        <v>0</v>
      </c>
      <c r="E52" s="95" t="b">
        <v>0</v>
      </c>
      <c r="F52" s="95" t="b">
        <v>0</v>
      </c>
      <c r="G52" s="95" t="s">
        <v>31</v>
      </c>
      <c r="H52" s="95" t="s">
        <v>3166</v>
      </c>
      <c r="I52" s="95" t="s">
        <v>3167</v>
      </c>
      <c r="O52" s="95" t="s">
        <v>10983</v>
      </c>
      <c r="P52" s="95" t="s">
        <v>10983</v>
      </c>
      <c r="Q52" s="98">
        <v>1.0416666666666667E-4</v>
      </c>
      <c r="R52" s="98">
        <v>6.018518518518519E-4</v>
      </c>
      <c r="S52" s="95">
        <v>0</v>
      </c>
      <c r="T52" s="95" t="s">
        <v>36</v>
      </c>
      <c r="U52" s="95" t="s">
        <v>37</v>
      </c>
      <c r="V52" s="95" t="s">
        <v>38</v>
      </c>
      <c r="Z52" s="95" t="b">
        <v>0</v>
      </c>
      <c r="AD52" s="95">
        <v>3</v>
      </c>
      <c r="AE52" s="95" t="s">
        <v>2840</v>
      </c>
      <c r="AF52" s="95" t="s">
        <v>9508</v>
      </c>
      <c r="AH52" s="95" t="b">
        <v>0</v>
      </c>
      <c r="AI52" s="95" t="s">
        <v>11219</v>
      </c>
      <c r="AL52" s="207">
        <v>1.3888888888888889E-4</v>
      </c>
      <c r="AM52" s="208" t="b">
        <v>1</v>
      </c>
      <c r="AN52" s="208" t="b">
        <v>1</v>
      </c>
      <c r="AO52" s="252" t="b">
        <f t="shared" si="9"/>
        <v>1</v>
      </c>
      <c r="AP52" s="209" t="s">
        <v>11366</v>
      </c>
      <c r="AQ52" s="210" t="str" cm="1">
        <f t="array" ref="AQ52">_xlfn.IFS(AND(AC52&lt;&gt;"", AR52&lt;&gt;"-"), TRUE, AND(AC52&lt;&gt;"", AR52="-"), FALSE, AC52="", "-")</f>
        <v>-</v>
      </c>
      <c r="AR52" s="223">
        <v>0.05</v>
      </c>
      <c r="AS52" s="221">
        <f t="shared" si="10"/>
        <v>2.8624052261117479</v>
      </c>
      <c r="AT52" s="207">
        <v>6.3657407407407402E-4</v>
      </c>
      <c r="AU52" s="207">
        <f t="shared" si="11"/>
        <v>7.7546296296296293E-4</v>
      </c>
      <c r="AV52" s="207">
        <f t="shared" si="12"/>
        <v>5.3240740740740733E-4</v>
      </c>
      <c r="AW52" s="207">
        <f t="shared" si="13"/>
        <v>1.7361111111111104E-4</v>
      </c>
      <c r="AX52" s="212" cm="1">
        <f t="array" ref="AX52">_xlfn.IFS(AP52="-", "-", AND(AP52="asphalt",AA52=""),100%, AND(AP52&lt;&gt;"asphalt",AA52=""), 0%)</f>
        <v>1</v>
      </c>
      <c r="AY52" s="213">
        <f>IF(AX52&lt;&gt;"-", 1-AX52, "-")</f>
        <v>0</v>
      </c>
      <c r="AZ52" s="212" t="str">
        <f t="shared" si="30"/>
        <v>-</v>
      </c>
      <c r="BA52" s="212" t="str" cm="1">
        <f t="array" ref="BA52">_xlfn.IFS(OR(AC52="", AS52="-"), "-", AND(AC52&lt;&gt;"", OR(AS52&lt;&gt;"-", AS52&lt;&gt;0)), ABS(AS52/AC52-1))</f>
        <v>-</v>
      </c>
      <c r="BB52" s="208"/>
      <c r="BC52" s="214">
        <v>8.9120370370370362E-4</v>
      </c>
      <c r="BD52" s="215" t="b">
        <v>1</v>
      </c>
      <c r="BE52" s="215" t="b">
        <v>1</v>
      </c>
      <c r="BF52" s="215" t="b">
        <f>IF(BG52&lt;&gt;"-", TRUE, FALSE)</f>
        <v>1</v>
      </c>
      <c r="BG52" s="215"/>
      <c r="BH52" s="243" t="str" cm="1">
        <f t="array" ref="BH52">_xlfn.IFS(AND(AC52&lt;&gt;"", BK52&lt;&gt;"-"), TRUE, AND(AC52&lt;&gt;"", BK52="-"), FALSE, AC52="", "-")</f>
        <v>-</v>
      </c>
      <c r="BI52" s="243" t="s">
        <v>9801</v>
      </c>
      <c r="BJ52" s="243" t="s">
        <v>9801</v>
      </c>
      <c r="BK52" s="244" t="str">
        <f t="shared" si="31"/>
        <v>-</v>
      </c>
      <c r="BL52" s="217" t="b" cm="1">
        <f t="array" ref="BL52">_xlfn.IFS(AND(AD52&lt;&gt;"", BO52&lt;&gt;"-"), TRUE, AND(AD52&lt;&gt;"", BO52="-"), FALSE, AD52="", "-")</f>
        <v>1</v>
      </c>
      <c r="BM52" s="215">
        <v>2.5499999999999998</v>
      </c>
      <c r="BN52" s="215">
        <v>0.06</v>
      </c>
      <c r="BO52" s="217">
        <f t="shared" si="15"/>
        <v>1</v>
      </c>
      <c r="BP52" s="214">
        <v>4.8611111111111104E-4</v>
      </c>
      <c r="BQ52" s="214">
        <f t="shared" si="34"/>
        <v>1.3773148148148147E-3</v>
      </c>
      <c r="BR52" s="214">
        <f t="shared" si="35"/>
        <v>3.8194444444444436E-4</v>
      </c>
      <c r="BS52" s="214">
        <f t="shared" si="36"/>
        <v>7.7546296296296282E-4</v>
      </c>
      <c r="BT52" s="218">
        <f>IF(AND(BG52="",AA52=""),100%, "TBD")</f>
        <v>1</v>
      </c>
      <c r="BU52" s="219">
        <f t="shared" si="16"/>
        <v>0</v>
      </c>
      <c r="BV52" s="217" t="str">
        <f t="shared" si="37"/>
        <v>-</v>
      </c>
      <c r="BW52" s="218" t="str">
        <f t="shared" si="17"/>
        <v>-</v>
      </c>
      <c r="BX52" s="218" t="str">
        <f t="shared" si="38"/>
        <v>-</v>
      </c>
      <c r="BY52" s="217">
        <f t="shared" si="39"/>
        <v>-2</v>
      </c>
      <c r="BZ52" s="218">
        <f t="shared" si="40"/>
        <v>0.33333333333333326</v>
      </c>
      <c r="CA52" s="218">
        <f t="shared" si="41"/>
        <v>0.66666666666666674</v>
      </c>
      <c r="CB52" s="218"/>
      <c r="CC52" s="229">
        <v>6.9444444444444447E-4</v>
      </c>
      <c r="CD52" s="230" t="b">
        <v>1</v>
      </c>
      <c r="CE52" s="230" t="b">
        <v>1</v>
      </c>
      <c r="CF52" s="243" t="str" cm="1">
        <f t="array" ref="CF52">_xlfn.IFS(AND(AC52&lt;&gt;"", CI52&lt;&gt;"-"), TRUE, AND(AC52&lt;&gt;"", CI52="-"), FALSE, AC52="", "-")</f>
        <v>-</v>
      </c>
      <c r="CG52" s="243" t="s">
        <v>9801</v>
      </c>
      <c r="CH52" s="243" t="s">
        <v>9801</v>
      </c>
      <c r="CI52" s="244" t="str">
        <f t="shared" si="18"/>
        <v>-</v>
      </c>
      <c r="CJ52" s="236" t="b" cm="1">
        <f t="array" ref="CJ52">_xlfn.IFS(AND(AD52&lt;&gt;"", CM52&lt;&gt;"-"), TRUE, AND(AD52&lt;&gt;"", CM52="-"), FALSE, AD52="", "-")</f>
        <v>1</v>
      </c>
      <c r="CK52" s="230">
        <v>3.3</v>
      </c>
      <c r="CL52" s="230">
        <v>0.11</v>
      </c>
      <c r="CM52" s="255">
        <f t="shared" si="19"/>
        <v>2</v>
      </c>
      <c r="CN52" s="229">
        <v>2.3148148148148146E-4</v>
      </c>
      <c r="CO52" s="229">
        <f t="shared" si="20"/>
        <v>9.2592592592592596E-4</v>
      </c>
      <c r="CP52" s="229">
        <f t="shared" si="21"/>
        <v>1.273148148148148E-4</v>
      </c>
      <c r="CQ52" s="229">
        <f t="shared" si="22"/>
        <v>3.2407407407407406E-4</v>
      </c>
      <c r="CR52" s="230" t="str">
        <f t="shared" si="23"/>
        <v>-</v>
      </c>
      <c r="CS52" s="259" t="str">
        <f t="shared" si="24"/>
        <v>-</v>
      </c>
      <c r="CT52" s="259" t="str">
        <f t="shared" si="25"/>
        <v>-</v>
      </c>
      <c r="CU52" s="230">
        <f t="shared" si="26"/>
        <v>-1</v>
      </c>
      <c r="CV52" s="259">
        <f t="shared" si="27"/>
        <v>0.66666666666666663</v>
      </c>
      <c r="CW52" s="262">
        <f t="shared" si="28"/>
        <v>0.33333333333333337</v>
      </c>
      <c r="CX52" s="230"/>
    </row>
    <row r="53" spans="1:102" s="95" customFormat="1" x14ac:dyDescent="0.2">
      <c r="A53" s="95" t="s">
        <v>3210</v>
      </c>
      <c r="B53" s="95">
        <v>995</v>
      </c>
      <c r="C53" s="95" t="b">
        <v>0</v>
      </c>
      <c r="D53" s="95" t="b">
        <v>0</v>
      </c>
      <c r="E53" s="95" t="b">
        <v>0</v>
      </c>
      <c r="F53" s="95" t="b">
        <v>0</v>
      </c>
      <c r="G53" s="95" t="s">
        <v>31</v>
      </c>
      <c r="H53" s="95" t="s">
        <v>3211</v>
      </c>
      <c r="I53" s="95" t="s">
        <v>3212</v>
      </c>
      <c r="J53" s="95" t="s">
        <v>3213</v>
      </c>
      <c r="O53" s="95" t="s">
        <v>10982</v>
      </c>
      <c r="P53" s="95" t="s">
        <v>10981</v>
      </c>
      <c r="Q53" s="98">
        <v>3.5879629629629635E-4</v>
      </c>
      <c r="R53" s="98">
        <v>9.7222222222222209E-4</v>
      </c>
      <c r="S53" s="95">
        <v>0</v>
      </c>
      <c r="T53" s="95" t="s">
        <v>36</v>
      </c>
      <c r="U53" s="95" t="s">
        <v>37</v>
      </c>
      <c r="V53" s="95" t="s">
        <v>38</v>
      </c>
      <c r="Z53" s="95" t="b">
        <v>0</v>
      </c>
      <c r="AC53" s="95">
        <v>6</v>
      </c>
      <c r="AE53" s="95" t="s">
        <v>2840</v>
      </c>
      <c r="AF53" s="95" t="s">
        <v>9508</v>
      </c>
      <c r="AH53" s="95" t="b">
        <v>0</v>
      </c>
      <c r="AI53" s="95" t="s">
        <v>11220</v>
      </c>
      <c r="AL53" s="207">
        <v>1.9675925925925926E-4</v>
      </c>
      <c r="AM53" s="208" t="b">
        <v>1</v>
      </c>
      <c r="AN53" s="208" t="b">
        <v>1</v>
      </c>
      <c r="AO53" s="252" t="b">
        <f t="shared" si="9"/>
        <v>1</v>
      </c>
      <c r="AP53" s="209" t="s">
        <v>11376</v>
      </c>
      <c r="AQ53" s="253" t="b" cm="1">
        <f t="array" ref="AQ53">_xlfn.IFS(AND(AC53&lt;&gt;"", AR53&lt;&gt;"-"), TRUE, AND(AC53&lt;&gt;"", AR53="-"), FALSE, AC53="", "-")</f>
        <v>1</v>
      </c>
      <c r="AR53" s="225">
        <v>0.06</v>
      </c>
      <c r="AS53" s="221">
        <f t="shared" si="10"/>
        <v>3.433630362450522</v>
      </c>
      <c r="AT53" s="207">
        <v>1.6203703703703703E-4</v>
      </c>
      <c r="AU53" s="207">
        <f t="shared" si="11"/>
        <v>3.5879629629629629E-4</v>
      </c>
      <c r="AV53" s="207">
        <f t="shared" si="12"/>
        <v>-1.9675925925925932E-4</v>
      </c>
      <c r="AW53" s="207">
        <f t="shared" si="13"/>
        <v>-6.1342592592592579E-4</v>
      </c>
      <c r="AX53" s="212" cm="1">
        <f t="array" ref="AX53">_xlfn.IFS(AP53="-", "-", AND(AP53="asphalt",AA53=""),100%, AND(AP53&lt;&gt;"asphalt",AA53=""), 0%)</f>
        <v>0</v>
      </c>
      <c r="AY53" s="213">
        <f t="shared" ref="AY53:AY57" si="43">IF(AX53&lt;&gt;"-", 1-AX53, "-")</f>
        <v>1</v>
      </c>
      <c r="AZ53" s="212">
        <f t="shared" si="30"/>
        <v>0.572271727075087</v>
      </c>
      <c r="BA53" s="212" cm="1">
        <f t="array" ref="BA53">_xlfn.IFS(OR(AC53="", AS53="-"), "-", AND(AC53&lt;&gt;"", OR(AS53&lt;&gt;"-", AS53&lt;&gt;0)), ABS(AS53/AC53-1))</f>
        <v>0.427728272924913</v>
      </c>
      <c r="BB53" s="208"/>
      <c r="BC53" s="214">
        <v>4.5138888888888892E-4</v>
      </c>
      <c r="BD53" s="215" t="b">
        <v>1</v>
      </c>
      <c r="BE53" s="215" t="b">
        <v>1</v>
      </c>
      <c r="BF53" s="215" t="b">
        <f t="shared" si="14"/>
        <v>1</v>
      </c>
      <c r="BG53" s="215" t="s">
        <v>3516</v>
      </c>
      <c r="BH53" s="243" t="b" cm="1">
        <f t="array" ref="BH53">_xlfn.IFS(AND(AC53&lt;&gt;"", BK53&lt;&gt;"-"), TRUE, AND(AC53&lt;&gt;"", BK53="-"), FALSE, AC53="", "-")</f>
        <v>1</v>
      </c>
      <c r="BI53" s="243">
        <v>6.79</v>
      </c>
      <c r="BJ53" s="243">
        <v>0.53</v>
      </c>
      <c r="BK53" s="244">
        <f t="shared" si="31"/>
        <v>4</v>
      </c>
      <c r="BL53" s="217" t="str" cm="1">
        <f t="array" ref="BL53">_xlfn.IFS(AND(AD53&lt;&gt;"", BO53&lt;&gt;"-"), TRUE, AND(AD53&lt;&gt;"", BO53="-"), FALSE, AD53="", "-")</f>
        <v>-</v>
      </c>
      <c r="BM53" s="215" t="s">
        <v>9801</v>
      </c>
      <c r="BN53" s="215" t="s">
        <v>9801</v>
      </c>
      <c r="BO53" s="217" t="str">
        <f t="shared" si="15"/>
        <v>-</v>
      </c>
      <c r="BP53" s="214">
        <v>2.5462962962962961E-4</v>
      </c>
      <c r="BQ53" s="214">
        <f t="shared" si="34"/>
        <v>7.0601851851851858E-4</v>
      </c>
      <c r="BR53" s="214">
        <f t="shared" si="35"/>
        <v>-1.0416666666666674E-4</v>
      </c>
      <c r="BS53" s="214">
        <f t="shared" si="36"/>
        <v>-2.662037037037035E-4</v>
      </c>
      <c r="BT53" s="218">
        <v>0</v>
      </c>
      <c r="BU53" s="219">
        <f t="shared" si="16"/>
        <v>1</v>
      </c>
      <c r="BV53" s="217">
        <f t="shared" si="37"/>
        <v>-2</v>
      </c>
      <c r="BW53" s="218">
        <f t="shared" si="17"/>
        <v>0.66666666666666663</v>
      </c>
      <c r="BX53" s="218">
        <f t="shared" si="38"/>
        <v>0.33333333333333337</v>
      </c>
      <c r="BY53" s="217" t="str">
        <f t="shared" si="39"/>
        <v>-</v>
      </c>
      <c r="BZ53" s="218" t="str">
        <f t="shared" si="40"/>
        <v>-</v>
      </c>
      <c r="CA53" s="218" t="str">
        <f t="shared" si="41"/>
        <v>-</v>
      </c>
      <c r="CB53" s="218"/>
      <c r="CC53" s="229">
        <v>3.3564814814814812E-4</v>
      </c>
      <c r="CD53" s="230" t="b">
        <v>1</v>
      </c>
      <c r="CE53" s="230" t="b">
        <v>1</v>
      </c>
      <c r="CF53" s="243" t="b" cm="1">
        <f t="array" ref="CF53">_xlfn.IFS(AND(AC53&lt;&gt;"", CI53&lt;&gt;"-"), TRUE, AND(AC53&lt;&gt;"", CI53="-"), FALSE, AC53="", "-")</f>
        <v>1</v>
      </c>
      <c r="CG53" s="243">
        <v>9.77</v>
      </c>
      <c r="CH53" s="243">
        <v>0.87</v>
      </c>
      <c r="CI53" s="244">
        <f t="shared" si="18"/>
        <v>5</v>
      </c>
      <c r="CJ53" s="236" t="str" cm="1">
        <f t="array" ref="CJ53">_xlfn.IFS(AND(AD53&lt;&gt;"", CM53&lt;&gt;"-"), TRUE, AND(AD53&lt;&gt;"", CM53="-"), FALSE, AD53="", "-")</f>
        <v>-</v>
      </c>
      <c r="CK53" s="230" t="s">
        <v>9801</v>
      </c>
      <c r="CL53" s="230" t="s">
        <v>9801</v>
      </c>
      <c r="CM53" s="255" t="str">
        <f t="shared" si="19"/>
        <v>-</v>
      </c>
      <c r="CN53" s="229">
        <v>1.8518518518518518E-4</v>
      </c>
      <c r="CO53" s="229">
        <f t="shared" si="20"/>
        <v>5.2083333333333333E-4</v>
      </c>
      <c r="CP53" s="229">
        <f t="shared" si="21"/>
        <v>-1.7361111111111117E-4</v>
      </c>
      <c r="CQ53" s="229">
        <f t="shared" si="22"/>
        <v>-4.5138888888888876E-4</v>
      </c>
      <c r="CR53" s="230">
        <f t="shared" si="23"/>
        <v>-1</v>
      </c>
      <c r="CS53" s="259">
        <f t="shared" si="24"/>
        <v>0.83333333333333337</v>
      </c>
      <c r="CT53" s="259">
        <f t="shared" si="25"/>
        <v>0.16666666666666663</v>
      </c>
      <c r="CU53" s="230" t="str">
        <f t="shared" si="26"/>
        <v>-</v>
      </c>
      <c r="CV53" s="259" t="str">
        <f t="shared" si="27"/>
        <v>-</v>
      </c>
      <c r="CW53" s="262" t="str">
        <f t="shared" si="28"/>
        <v>-</v>
      </c>
      <c r="CX53" s="230"/>
    </row>
    <row r="54" spans="1:102" s="95" customFormat="1" x14ac:dyDescent="0.2">
      <c r="A54" s="95" t="s">
        <v>3412</v>
      </c>
      <c r="B54" s="95">
        <v>1061</v>
      </c>
      <c r="C54" s="95" t="b">
        <v>0</v>
      </c>
      <c r="D54" s="95" t="b">
        <v>0</v>
      </c>
      <c r="E54" s="95" t="b">
        <v>0</v>
      </c>
      <c r="F54" s="95" t="b">
        <v>0</v>
      </c>
      <c r="G54" s="95" t="s">
        <v>31</v>
      </c>
      <c r="H54" s="95" t="s">
        <v>3413</v>
      </c>
      <c r="I54" s="95" t="s">
        <v>3414</v>
      </c>
      <c r="O54" s="95" t="s">
        <v>10877</v>
      </c>
      <c r="P54" s="95" t="s">
        <v>10877</v>
      </c>
      <c r="Q54" s="98">
        <v>9.2592592592592588E-5</v>
      </c>
      <c r="R54" s="98">
        <v>2.6620370370370372E-4</v>
      </c>
      <c r="S54" s="95">
        <v>0</v>
      </c>
      <c r="T54" s="95" t="s">
        <v>36</v>
      </c>
      <c r="U54" s="95" t="s">
        <v>37</v>
      </c>
      <c r="V54" s="95" t="s">
        <v>38</v>
      </c>
      <c r="Z54" s="95" t="b">
        <v>0</v>
      </c>
      <c r="AD54" s="95">
        <v>3</v>
      </c>
      <c r="AE54" s="95" t="s">
        <v>3248</v>
      </c>
      <c r="AF54" s="95" t="s">
        <v>9506</v>
      </c>
      <c r="AH54" s="95" t="b">
        <v>0</v>
      </c>
      <c r="AI54" s="95" t="s">
        <v>11221</v>
      </c>
      <c r="AL54" s="207">
        <v>1.273148148148148E-4</v>
      </c>
      <c r="AM54" s="208" t="b">
        <v>1</v>
      </c>
      <c r="AN54" s="208" t="b">
        <v>1</v>
      </c>
      <c r="AO54" s="252" t="b">
        <f t="shared" si="9"/>
        <v>1</v>
      </c>
      <c r="AP54" s="209" t="s">
        <v>11366</v>
      </c>
      <c r="AQ54" s="210" t="str" cm="1">
        <f t="array" ref="AQ54">_xlfn.IFS(AND(AC54&lt;&gt;"", AR54&lt;&gt;"-"), TRUE, AND(AC54&lt;&gt;"", AR54="-"), FALSE, AC54="", "-")</f>
        <v>-</v>
      </c>
      <c r="AR54" s="224" t="s">
        <v>9801</v>
      </c>
      <c r="AS54" s="221" t="str">
        <f t="shared" si="10"/>
        <v>-</v>
      </c>
      <c r="AT54" s="207">
        <v>2.0833333333333335E-4</v>
      </c>
      <c r="AU54" s="207">
        <f t="shared" si="11"/>
        <v>3.3564814814814818E-4</v>
      </c>
      <c r="AV54" s="207">
        <f t="shared" si="12"/>
        <v>1.1574074074074076E-4</v>
      </c>
      <c r="AW54" s="207">
        <f t="shared" si="13"/>
        <v>6.9444444444444458E-5</v>
      </c>
      <c r="AX54" s="212" cm="1">
        <f t="array" ref="AX54">_xlfn.IFS(AP54="-", "-", AND(AP54="asphalt",AA54=""),100%, AND(AP54&lt;&gt;"asphalt",AA54=""), 0%)</f>
        <v>1</v>
      </c>
      <c r="AY54" s="213">
        <f t="shared" si="43"/>
        <v>0</v>
      </c>
      <c r="AZ54" s="212" t="str">
        <f t="shared" si="30"/>
        <v>-</v>
      </c>
      <c r="BA54" s="212" t="str" cm="1">
        <f t="array" ref="BA54">_xlfn.IFS(OR(AC54="", AS54="-"), "-", AND(AC54&lt;&gt;"", OR(AS54&lt;&gt;"-", AS54&lt;&gt;0)), ABS(AS54/AC54-1))</f>
        <v>-</v>
      </c>
      <c r="BB54" s="208"/>
      <c r="BC54" s="214">
        <v>4.6296296296296293E-4</v>
      </c>
      <c r="BD54" s="215" t="b">
        <v>1</v>
      </c>
      <c r="BE54" s="215" t="b">
        <v>1</v>
      </c>
      <c r="BF54" s="215" t="b">
        <f t="shared" si="14"/>
        <v>1</v>
      </c>
      <c r="BG54" s="215"/>
      <c r="BH54" s="243" t="str" cm="1">
        <f t="array" ref="BH54">_xlfn.IFS(AND(AC54&lt;&gt;"", BK54&lt;&gt;"-"), TRUE, AND(AC54&lt;&gt;"", BK54="-"), FALSE, AC54="", "-")</f>
        <v>-</v>
      </c>
      <c r="BI54" s="243" t="s">
        <v>9801</v>
      </c>
      <c r="BJ54" s="243" t="s">
        <v>9801</v>
      </c>
      <c r="BK54" s="244" t="str">
        <f t="shared" si="31"/>
        <v>-</v>
      </c>
      <c r="BL54" s="217" t="b" cm="1">
        <f t="array" ref="BL54">_xlfn.IFS(AND(AD54&lt;&gt;"", BO54&lt;&gt;"-"), TRUE, AND(AD54&lt;&gt;"", BO54="-"), FALSE, AD54="", "-")</f>
        <v>1</v>
      </c>
      <c r="BM54" s="215">
        <v>5</v>
      </c>
      <c r="BN54" s="215">
        <v>0.12</v>
      </c>
      <c r="BO54" s="217">
        <f t="shared" si="15"/>
        <v>1</v>
      </c>
      <c r="BP54" s="214">
        <v>2.6620370370370372E-4</v>
      </c>
      <c r="BQ54" s="214">
        <f t="shared" si="34"/>
        <v>7.2916666666666659E-4</v>
      </c>
      <c r="BR54" s="214">
        <f t="shared" si="35"/>
        <v>1.7361111111111114E-4</v>
      </c>
      <c r="BS54" s="214">
        <f t="shared" si="36"/>
        <v>4.6296296296296287E-4</v>
      </c>
      <c r="BT54" s="218">
        <f>IF(AND(BG54="",AA54=""),100%, "TBD")</f>
        <v>1</v>
      </c>
      <c r="BU54" s="219">
        <f t="shared" si="16"/>
        <v>0</v>
      </c>
      <c r="BV54" s="217" t="str">
        <f t="shared" si="37"/>
        <v>-</v>
      </c>
      <c r="BW54" s="218" t="str">
        <f t="shared" si="17"/>
        <v>-</v>
      </c>
      <c r="BX54" s="218" t="str">
        <f t="shared" si="38"/>
        <v>-</v>
      </c>
      <c r="BY54" s="217">
        <f t="shared" si="39"/>
        <v>-2</v>
      </c>
      <c r="BZ54" s="218">
        <f t="shared" si="40"/>
        <v>0.33333333333333326</v>
      </c>
      <c r="CA54" s="218">
        <f t="shared" si="41"/>
        <v>0.66666666666666674</v>
      </c>
      <c r="CB54" s="218"/>
      <c r="CC54" s="229">
        <v>5.0925925925925921E-4</v>
      </c>
      <c r="CD54" s="230" t="b">
        <v>1</v>
      </c>
      <c r="CE54" s="230" t="b">
        <v>1</v>
      </c>
      <c r="CF54" s="243" t="str" cm="1">
        <f t="array" ref="CF54">_xlfn.IFS(AND(AC54&lt;&gt;"", CI54&lt;&gt;"-"), TRUE, AND(AC54&lt;&gt;"", CI54="-"), FALSE, AC54="", "-")</f>
        <v>-</v>
      </c>
      <c r="CG54" s="243" t="s">
        <v>9801</v>
      </c>
      <c r="CH54" s="243" t="s">
        <v>9801</v>
      </c>
      <c r="CI54" s="244" t="str">
        <f t="shared" si="18"/>
        <v>-</v>
      </c>
      <c r="CJ54" s="236" t="b" cm="1">
        <f t="array" ref="CJ54">_xlfn.IFS(AND(AD54&lt;&gt;"", CM54&lt;&gt;"-"), TRUE, AND(AD54&lt;&gt;"", CM54="-"), FALSE, AD54="", "-")</f>
        <v>1</v>
      </c>
      <c r="CK54" s="230">
        <v>5.07</v>
      </c>
      <c r="CL54" s="230">
        <v>0.14000000000000001</v>
      </c>
      <c r="CM54" s="255">
        <f t="shared" si="19"/>
        <v>2</v>
      </c>
      <c r="CN54" s="229">
        <v>1.7361111111111112E-4</v>
      </c>
      <c r="CO54" s="229">
        <f t="shared" si="20"/>
        <v>6.8287037037037036E-4</v>
      </c>
      <c r="CP54" s="229">
        <f t="shared" si="21"/>
        <v>8.101851851851853E-5</v>
      </c>
      <c r="CQ54" s="229">
        <f t="shared" si="22"/>
        <v>4.1666666666666664E-4</v>
      </c>
      <c r="CR54" s="230" t="str">
        <f t="shared" si="23"/>
        <v>-</v>
      </c>
      <c r="CS54" s="259" t="str">
        <f t="shared" si="24"/>
        <v>-</v>
      </c>
      <c r="CT54" s="259" t="str">
        <f t="shared" si="25"/>
        <v>-</v>
      </c>
      <c r="CU54" s="230">
        <f t="shared" si="26"/>
        <v>-1</v>
      </c>
      <c r="CV54" s="259">
        <f t="shared" si="27"/>
        <v>0.66666666666666663</v>
      </c>
      <c r="CW54" s="262">
        <f t="shared" si="28"/>
        <v>0.33333333333333337</v>
      </c>
      <c r="CX54" s="230"/>
    </row>
    <row r="55" spans="1:102" s="95" customFormat="1" x14ac:dyDescent="0.2">
      <c r="A55" s="95" t="s">
        <v>3464</v>
      </c>
      <c r="B55" s="95">
        <v>1077</v>
      </c>
      <c r="C55" s="95" t="b">
        <v>0</v>
      </c>
      <c r="D55" s="95" t="b">
        <v>0</v>
      </c>
      <c r="E55" s="95" t="b">
        <v>0</v>
      </c>
      <c r="F55" s="95" t="b">
        <v>0</v>
      </c>
      <c r="G55" s="95" t="s">
        <v>31</v>
      </c>
      <c r="H55" s="95" t="s">
        <v>3465</v>
      </c>
      <c r="I55" s="95" t="s">
        <v>3466</v>
      </c>
      <c r="O55" s="95" t="s">
        <v>10980</v>
      </c>
      <c r="P55" s="95" t="s">
        <v>10980</v>
      </c>
      <c r="Q55" s="98">
        <v>1.273148148148148E-4</v>
      </c>
      <c r="R55" s="98">
        <v>3.7384259259259263E-3</v>
      </c>
      <c r="S55" s="95">
        <v>0</v>
      </c>
      <c r="T55" s="95" t="s">
        <v>36</v>
      </c>
      <c r="U55" s="95" t="s">
        <v>37</v>
      </c>
      <c r="V55" s="95" t="s">
        <v>38</v>
      </c>
      <c r="Z55" s="95" t="b">
        <v>0</v>
      </c>
      <c r="AD55" s="95">
        <v>2</v>
      </c>
      <c r="AE55" s="95" t="s">
        <v>3248</v>
      </c>
      <c r="AF55" s="95" t="s">
        <v>9506</v>
      </c>
      <c r="AH55" s="95" t="b">
        <v>0</v>
      </c>
      <c r="AI55" s="95" t="s">
        <v>11222</v>
      </c>
      <c r="AL55" s="207">
        <v>1.3888888888888889E-4</v>
      </c>
      <c r="AM55" s="208" t="b">
        <v>1</v>
      </c>
      <c r="AN55" s="208" t="b">
        <v>1</v>
      </c>
      <c r="AO55" s="252" t="b">
        <f t="shared" si="9"/>
        <v>1</v>
      </c>
      <c r="AP55" s="209" t="s">
        <v>11366</v>
      </c>
      <c r="AQ55" s="210" t="str" cm="1">
        <f t="array" ref="AQ55">_xlfn.IFS(AND(AC55&lt;&gt;"", AR55&lt;&gt;"-"), TRUE, AND(AC55&lt;&gt;"", AR55="-"), FALSE, AC55="", "-")</f>
        <v>-</v>
      </c>
      <c r="AR55" s="224" t="s">
        <v>9801</v>
      </c>
      <c r="AS55" s="221" t="str">
        <f t="shared" si="10"/>
        <v>-</v>
      </c>
      <c r="AT55" s="207">
        <v>1.7361111111111112E-4</v>
      </c>
      <c r="AU55" s="207">
        <f t="shared" si="11"/>
        <v>3.1250000000000001E-4</v>
      </c>
      <c r="AV55" s="207">
        <f t="shared" si="12"/>
        <v>4.6296296296296314E-5</v>
      </c>
      <c r="AW55" s="207">
        <f t="shared" si="13"/>
        <v>-3.4259259259259264E-3</v>
      </c>
      <c r="AX55" s="212" cm="1">
        <f t="array" ref="AX55">_xlfn.IFS(AP55="-", "-", AND(AP55="asphalt",AA55=""),100%, AND(AP55&lt;&gt;"asphalt",AA55=""), 0%)</f>
        <v>1</v>
      </c>
      <c r="AY55" s="213">
        <f t="shared" si="43"/>
        <v>0</v>
      </c>
      <c r="AZ55" s="212" t="str">
        <f t="shared" si="30"/>
        <v>-</v>
      </c>
      <c r="BA55" s="212" t="str" cm="1">
        <f t="array" ref="BA55">_xlfn.IFS(OR(AC55="", AS55="-"), "-", AND(AC55&lt;&gt;"", OR(AS55&lt;&gt;"-", AS55&lt;&gt;0)), ABS(AS55/AC55-1))</f>
        <v>-</v>
      </c>
      <c r="BB55" s="208"/>
      <c r="BC55" s="214">
        <v>3.7037037037037035E-4</v>
      </c>
      <c r="BD55" s="215" t="b">
        <v>1</v>
      </c>
      <c r="BE55" s="215" t="b">
        <v>1</v>
      </c>
      <c r="BF55" s="215" t="b">
        <f t="shared" si="14"/>
        <v>1</v>
      </c>
      <c r="BG55" s="215"/>
      <c r="BH55" s="243" t="str" cm="1">
        <f t="array" ref="BH55">_xlfn.IFS(AND(AC55&lt;&gt;"", BK55&lt;&gt;"-"), TRUE, AND(AC55&lt;&gt;"", BK55="-"), FALSE, AC55="", "-")</f>
        <v>-</v>
      </c>
      <c r="BI55" s="243" t="s">
        <v>9801</v>
      </c>
      <c r="BJ55" s="243" t="s">
        <v>9801</v>
      </c>
      <c r="BK55" s="244" t="str">
        <f t="shared" si="31"/>
        <v>-</v>
      </c>
      <c r="BL55" s="217" t="b" cm="1">
        <f t="array" ref="BL55">_xlfn.IFS(AND(AD55&lt;&gt;"", BO55&lt;&gt;"-"), TRUE, AND(AD55&lt;&gt;"", BO55="-"), FALSE, AD55="", "-")</f>
        <v>1</v>
      </c>
      <c r="BM55" s="215">
        <v>1.85</v>
      </c>
      <c r="BN55" s="215">
        <v>0.11</v>
      </c>
      <c r="BO55" s="217">
        <f>IF(AND(BN55&lt;&gt;"-",BM55&lt;&gt;"-"), ROUND(DEGREES(ATAN(BN55/BM55)*100%), 0), "-")</f>
        <v>3</v>
      </c>
      <c r="BP55" s="214">
        <v>2.7777777777777778E-4</v>
      </c>
      <c r="BQ55" s="214">
        <f t="shared" si="34"/>
        <v>6.4814814814814813E-4</v>
      </c>
      <c r="BR55" s="214">
        <f t="shared" si="35"/>
        <v>1.5046296296296297E-4</v>
      </c>
      <c r="BS55" s="214">
        <f t="shared" si="36"/>
        <v>-3.0902777777777782E-3</v>
      </c>
      <c r="BT55" s="218">
        <f>IF(AND(BG55="",AA55=""),100%, "TBD")</f>
        <v>1</v>
      </c>
      <c r="BU55" s="219">
        <f t="shared" si="16"/>
        <v>0</v>
      </c>
      <c r="BV55" s="217" t="str">
        <f t="shared" si="37"/>
        <v>-</v>
      </c>
      <c r="BW55" s="218" t="str">
        <f t="shared" si="17"/>
        <v>-</v>
      </c>
      <c r="BX55" s="218" t="str">
        <f t="shared" si="38"/>
        <v>-</v>
      </c>
      <c r="BY55" s="217">
        <f t="shared" si="39"/>
        <v>1</v>
      </c>
      <c r="BZ55" s="218">
        <f t="shared" si="40"/>
        <v>0.5</v>
      </c>
      <c r="CA55" s="218">
        <f t="shared" si="41"/>
        <v>0.5</v>
      </c>
      <c r="CB55" s="218"/>
      <c r="CC55" s="229">
        <v>5.5555555555555556E-4</v>
      </c>
      <c r="CD55" s="230" t="b">
        <v>1</v>
      </c>
      <c r="CE55" s="230" t="b">
        <v>1</v>
      </c>
      <c r="CF55" s="243" t="str" cm="1">
        <f t="array" ref="CF55">_xlfn.IFS(AND(AC55&lt;&gt;"", CI55&lt;&gt;"-"), TRUE, AND(AC55&lt;&gt;"", CI55="-"), FALSE, AC55="", "-")</f>
        <v>-</v>
      </c>
      <c r="CG55" s="243" t="s">
        <v>9801</v>
      </c>
      <c r="CH55" s="243" t="s">
        <v>9801</v>
      </c>
      <c r="CI55" s="244" t="str">
        <f t="shared" si="18"/>
        <v>-</v>
      </c>
      <c r="CJ55" s="236" t="b" cm="1">
        <f t="array" ref="CJ55">_xlfn.IFS(AND(AD55&lt;&gt;"", CM55&lt;&gt;"-"), TRUE, AND(AD55&lt;&gt;"", CM55="-"), FALSE, AD55="", "-")</f>
        <v>1</v>
      </c>
      <c r="CK55" s="230">
        <v>1.33</v>
      </c>
      <c r="CL55" s="230">
        <v>0.1</v>
      </c>
      <c r="CM55" s="255">
        <f t="shared" si="19"/>
        <v>4</v>
      </c>
      <c r="CN55" s="229">
        <v>2.3148148148148146E-4</v>
      </c>
      <c r="CO55" s="229">
        <f t="shared" si="20"/>
        <v>7.8703703703703705E-4</v>
      </c>
      <c r="CP55" s="229">
        <f t="shared" si="21"/>
        <v>1.0416666666666666E-4</v>
      </c>
      <c r="CQ55" s="229">
        <f t="shared" si="22"/>
        <v>-2.9513888888888892E-3</v>
      </c>
      <c r="CR55" s="230" t="str">
        <f t="shared" si="23"/>
        <v>-</v>
      </c>
      <c r="CS55" s="259" t="str">
        <f t="shared" si="24"/>
        <v>-</v>
      </c>
      <c r="CT55" s="259" t="str">
        <f t="shared" si="25"/>
        <v>-</v>
      </c>
      <c r="CU55" s="230">
        <f t="shared" si="26"/>
        <v>2</v>
      </c>
      <c r="CV55" s="259">
        <f t="shared" si="27"/>
        <v>0</v>
      </c>
      <c r="CW55" s="262">
        <f t="shared" si="28"/>
        <v>1</v>
      </c>
      <c r="CX55" s="230"/>
    </row>
    <row r="56" spans="1:102" s="95" customFormat="1" x14ac:dyDescent="0.2">
      <c r="A56" s="95" t="s">
        <v>3506</v>
      </c>
      <c r="B56" s="95">
        <v>1091</v>
      </c>
      <c r="C56" s="95" t="b">
        <v>0</v>
      </c>
      <c r="D56" s="95" t="b">
        <v>0</v>
      </c>
      <c r="E56" s="95" t="b">
        <v>0</v>
      </c>
      <c r="F56" s="95" t="b">
        <v>0</v>
      </c>
      <c r="G56" s="95" t="s">
        <v>31</v>
      </c>
      <c r="H56" s="95" t="s">
        <v>3507</v>
      </c>
      <c r="I56" s="95" t="s">
        <v>3508</v>
      </c>
      <c r="O56" s="95" t="s">
        <v>10979</v>
      </c>
      <c r="P56" s="95" t="s">
        <v>10978</v>
      </c>
      <c r="Q56" s="98">
        <v>1.9675925925925926E-4</v>
      </c>
      <c r="R56" s="98">
        <v>7.8703703703703705E-4</v>
      </c>
      <c r="S56" s="95">
        <v>0</v>
      </c>
      <c r="T56" s="95" t="s">
        <v>36</v>
      </c>
      <c r="U56" s="95" t="s">
        <v>37</v>
      </c>
      <c r="V56" s="95" t="s">
        <v>38</v>
      </c>
      <c r="Z56" s="95" t="b">
        <v>0</v>
      </c>
      <c r="AD56" s="95">
        <v>3</v>
      </c>
      <c r="AE56" s="95" t="s">
        <v>2840</v>
      </c>
      <c r="AF56" s="95" t="s">
        <v>9492</v>
      </c>
      <c r="AH56" s="95" t="b">
        <v>0</v>
      </c>
      <c r="AI56" s="95" t="s">
        <v>11223</v>
      </c>
      <c r="AL56" s="207">
        <v>1.5046296296296297E-4</v>
      </c>
      <c r="AM56" s="208" t="b">
        <v>1</v>
      </c>
      <c r="AN56" s="208" t="b">
        <v>1</v>
      </c>
      <c r="AO56" s="252" t="b">
        <f t="shared" si="9"/>
        <v>1</v>
      </c>
      <c r="AP56" s="209" t="s">
        <v>11380</v>
      </c>
      <c r="AQ56" s="210" t="str" cm="1">
        <f t="array" ref="AQ56">_xlfn.IFS(AND(AC56&lt;&gt;"", AR56&lt;&gt;"-"), TRUE, AND(AC56&lt;&gt;"", AR56="-"), FALSE, AC56="", "-")</f>
        <v>-</v>
      </c>
      <c r="AR56" s="223">
        <v>0.02</v>
      </c>
      <c r="AS56" s="221">
        <f t="shared" si="10"/>
        <v>1.1457628381751035</v>
      </c>
      <c r="AT56" s="207">
        <v>1.1574074074074073E-4</v>
      </c>
      <c r="AU56" s="207">
        <f t="shared" si="11"/>
        <v>2.6620370370370372E-4</v>
      </c>
      <c r="AV56" s="207">
        <f t="shared" si="12"/>
        <v>-8.101851851851853E-5</v>
      </c>
      <c r="AW56" s="207">
        <f t="shared" si="13"/>
        <v>-5.2083333333333333E-4</v>
      </c>
      <c r="AX56" s="212" cm="1">
        <f t="array" ref="AX56">_xlfn.IFS(AP56="-", "-", AND(AP56="asphalt",AA56=""),100%, AND(AP56&lt;&gt;"asphalt",AA56=""), 0%)</f>
        <v>0</v>
      </c>
      <c r="AY56" s="213">
        <f t="shared" si="43"/>
        <v>1</v>
      </c>
      <c r="AZ56" s="212" t="str">
        <f t="shared" si="30"/>
        <v>-</v>
      </c>
      <c r="BA56" s="212" t="str" cm="1">
        <f t="array" ref="BA56">_xlfn.IFS(OR(AC56="", AS56="-"), "-", AND(AC56&lt;&gt;"", OR(AS56&lt;&gt;"-", AS56&lt;&gt;0)), ABS(AS56/AC56-1))</f>
        <v>-</v>
      </c>
      <c r="BB56" s="208"/>
      <c r="BC56" s="214">
        <v>6.134259259259259E-4</v>
      </c>
      <c r="BD56" s="215" t="b">
        <v>1</v>
      </c>
      <c r="BE56" s="215" t="b">
        <v>1</v>
      </c>
      <c r="BF56" s="215" t="b">
        <f t="shared" si="14"/>
        <v>1</v>
      </c>
      <c r="BG56" s="215"/>
      <c r="BH56" s="243" t="str" cm="1">
        <f t="array" ref="BH56">_xlfn.IFS(AND(AC56&lt;&gt;"", BK56&lt;&gt;"-"), TRUE, AND(AC56&lt;&gt;"", BK56="-"), FALSE, AC56="", "-")</f>
        <v>-</v>
      </c>
      <c r="BI56" s="243" t="s">
        <v>9801</v>
      </c>
      <c r="BJ56" s="243" t="s">
        <v>9801</v>
      </c>
      <c r="BK56" s="244" t="str">
        <f t="shared" si="31"/>
        <v>-</v>
      </c>
      <c r="BL56" s="217" t="b" cm="1">
        <f t="array" ref="BL56">_xlfn.IFS(AND(AD56&lt;&gt;"", BO56&lt;&gt;"-"), TRUE, AND(AD56&lt;&gt;"", BO56="-"), FALSE, AD56="", "-")</f>
        <v>1</v>
      </c>
      <c r="BM56" s="215">
        <v>2.86</v>
      </c>
      <c r="BN56" s="215">
        <v>0.1</v>
      </c>
      <c r="BO56" s="217">
        <f>IF(AND(BN56&lt;&gt;"-",BM56&lt;&gt;"-"), ROUND(DEGREES(ATAN(BN56/BM56)*100%), 0), "-")</f>
        <v>2</v>
      </c>
      <c r="BP56" s="214">
        <v>2.4305555555555552E-4</v>
      </c>
      <c r="BQ56" s="214">
        <f t="shared" si="34"/>
        <v>8.5648148148148139E-4</v>
      </c>
      <c r="BR56" s="214">
        <f t="shared" si="35"/>
        <v>4.629629629629626E-5</v>
      </c>
      <c r="BS56" s="214">
        <f t="shared" si="36"/>
        <v>6.944444444444435E-5</v>
      </c>
      <c r="BT56" s="218">
        <f>IF(AND(BG56="",AA56=""),100%, "TBD")</f>
        <v>1</v>
      </c>
      <c r="BU56" s="219">
        <f t="shared" si="16"/>
        <v>0</v>
      </c>
      <c r="BV56" s="217" t="str">
        <f t="shared" si="37"/>
        <v>-</v>
      </c>
      <c r="BW56" s="218" t="str">
        <f t="shared" si="17"/>
        <v>-</v>
      </c>
      <c r="BX56" s="218" t="str">
        <f t="shared" si="38"/>
        <v>-</v>
      </c>
      <c r="BY56" s="217">
        <f t="shared" si="39"/>
        <v>-1</v>
      </c>
      <c r="BZ56" s="218">
        <f t="shared" si="40"/>
        <v>0.66666666666666663</v>
      </c>
      <c r="CA56" s="218">
        <f t="shared" si="41"/>
        <v>0.33333333333333337</v>
      </c>
      <c r="CB56" s="218"/>
      <c r="CC56" s="229">
        <v>6.3657407407407402E-4</v>
      </c>
      <c r="CD56" s="230" t="b">
        <v>1</v>
      </c>
      <c r="CE56" s="230" t="b">
        <v>1</v>
      </c>
      <c r="CF56" s="243" t="str" cm="1">
        <f t="array" ref="CF56">_xlfn.IFS(AND(AC56&lt;&gt;"", CI56&lt;&gt;"-"), TRUE, AND(AC56&lt;&gt;"", CI56="-"), FALSE, AC56="", "-")</f>
        <v>-</v>
      </c>
      <c r="CG56" s="243" t="s">
        <v>9801</v>
      </c>
      <c r="CH56" s="243" t="s">
        <v>9801</v>
      </c>
      <c r="CI56" s="244" t="str">
        <f t="shared" si="18"/>
        <v>-</v>
      </c>
      <c r="CJ56" s="236" t="b" cm="1">
        <f t="array" ref="CJ56">_xlfn.IFS(AND(AD56&lt;&gt;"", CM56&lt;&gt;"-"), TRUE, AND(AD56&lt;&gt;"", CM56="-"), FALSE, AD56="", "-")</f>
        <v>1</v>
      </c>
      <c r="CK56" s="230">
        <v>2.72</v>
      </c>
      <c r="CL56" s="230">
        <v>0.1</v>
      </c>
      <c r="CM56" s="255">
        <f t="shared" si="19"/>
        <v>2</v>
      </c>
      <c r="CN56" s="229">
        <v>1.6203703703703703E-4</v>
      </c>
      <c r="CO56" s="229">
        <f t="shared" si="20"/>
        <v>7.9861111111111105E-4</v>
      </c>
      <c r="CP56" s="229">
        <f t="shared" si="21"/>
        <v>-3.4722222222222229E-5</v>
      </c>
      <c r="CQ56" s="229">
        <f t="shared" si="22"/>
        <v>1.1574074074074004E-5</v>
      </c>
      <c r="CR56" s="230" t="str">
        <f t="shared" si="23"/>
        <v>-</v>
      </c>
      <c r="CS56" s="259" t="str">
        <f t="shared" si="24"/>
        <v>-</v>
      </c>
      <c r="CT56" s="259" t="str">
        <f t="shared" si="25"/>
        <v>-</v>
      </c>
      <c r="CU56" s="230">
        <f t="shared" si="26"/>
        <v>-1</v>
      </c>
      <c r="CV56" s="259">
        <f t="shared" si="27"/>
        <v>0.66666666666666663</v>
      </c>
      <c r="CW56" s="262">
        <f t="shared" si="28"/>
        <v>0.33333333333333337</v>
      </c>
      <c r="CX56" s="230"/>
    </row>
    <row r="57" spans="1:102" s="95" customFormat="1" x14ac:dyDescent="0.2">
      <c r="A57" s="95" t="s">
        <v>3587</v>
      </c>
      <c r="B57" s="95">
        <v>1115</v>
      </c>
      <c r="C57" s="95" t="b">
        <v>0</v>
      </c>
      <c r="D57" s="95" t="b">
        <v>0</v>
      </c>
      <c r="E57" s="95" t="b">
        <v>0</v>
      </c>
      <c r="F57" s="95" t="b">
        <v>0</v>
      </c>
      <c r="G57" s="95" t="s">
        <v>31</v>
      </c>
      <c r="H57" s="95" t="s">
        <v>3588</v>
      </c>
      <c r="I57" s="95" t="s">
        <v>3589</v>
      </c>
      <c r="J57" s="95" t="s">
        <v>3566</v>
      </c>
      <c r="O57" s="95" t="s">
        <v>10977</v>
      </c>
      <c r="P57" s="95" t="s">
        <v>10976</v>
      </c>
      <c r="Q57" s="98">
        <v>5.0925925925925921E-4</v>
      </c>
      <c r="R57" s="98">
        <v>6.018518518518519E-4</v>
      </c>
      <c r="S57" s="95">
        <v>0</v>
      </c>
      <c r="T57" s="95" t="s">
        <v>36</v>
      </c>
      <c r="U57" s="95" t="s">
        <v>37</v>
      </c>
      <c r="V57" s="95" t="s">
        <v>38</v>
      </c>
      <c r="Z57" s="95" t="b">
        <v>0</v>
      </c>
      <c r="AC57" s="95">
        <v>3</v>
      </c>
      <c r="AE57" s="95" t="s">
        <v>2840</v>
      </c>
      <c r="AF57" s="95" t="s">
        <v>9492</v>
      </c>
      <c r="AH57" s="95" t="b">
        <v>0</v>
      </c>
      <c r="AI57" s="95" t="s">
        <v>11224</v>
      </c>
      <c r="AJ57" s="95" t="s">
        <v>11225</v>
      </c>
      <c r="AK57" s="95" t="s">
        <v>11226</v>
      </c>
      <c r="AL57" s="207">
        <v>1.1458333333333333E-3</v>
      </c>
      <c r="AM57" s="208" t="b">
        <v>1</v>
      </c>
      <c r="AN57" s="208" t="b">
        <v>1</v>
      </c>
      <c r="AO57" s="252" t="b">
        <f t="shared" si="9"/>
        <v>1</v>
      </c>
      <c r="AP57" s="209" t="s">
        <v>11366</v>
      </c>
      <c r="AQ57" s="253" t="b" cm="1">
        <f t="array" ref="AQ57">_xlfn.IFS(AND(AC57&lt;&gt;"", AR57&lt;&gt;"-"), TRUE, AND(AC57&lt;&gt;"", AR57="-"), FALSE, AC57="", "-")</f>
        <v>0</v>
      </c>
      <c r="AR57" s="224" t="s">
        <v>9801</v>
      </c>
      <c r="AS57" s="221" t="str">
        <f t="shared" si="10"/>
        <v>-</v>
      </c>
      <c r="AT57" s="207">
        <v>3.3564814814814812E-4</v>
      </c>
      <c r="AU57" s="207">
        <f t="shared" si="11"/>
        <v>1.4814814814814814E-3</v>
      </c>
      <c r="AV57" s="207">
        <f t="shared" si="12"/>
        <v>-1.7361111111111109E-4</v>
      </c>
      <c r="AW57" s="207">
        <f t="shared" si="13"/>
        <v>8.7962962962962951E-4</v>
      </c>
      <c r="AX57" s="212" cm="1">
        <f t="array" ref="AX57">_xlfn.IFS(AP57="-", "-", AND(AP57="asphalt",AA57=""),100%, AND(AP57&lt;&gt;"asphalt",AA57=""), 0%)</f>
        <v>1</v>
      </c>
      <c r="AY57" s="213">
        <f t="shared" si="43"/>
        <v>0</v>
      </c>
      <c r="AZ57" s="212" t="str">
        <f t="shared" si="30"/>
        <v>-</v>
      </c>
      <c r="BA57" s="212" t="str" cm="1">
        <f t="array" ref="BA57">_xlfn.IFS(OR(AC57="", AS57="-"), "-", AND(AC57&lt;&gt;"", OR(AS57&lt;&gt;"-", AS57&lt;&gt;0)), ABS(AS57/AC57-1))</f>
        <v>-</v>
      </c>
      <c r="BB57" s="208"/>
      <c r="BC57" s="214">
        <v>4.0509259259259258E-4</v>
      </c>
      <c r="BD57" s="215" t="b">
        <v>1</v>
      </c>
      <c r="BE57" s="215" t="b">
        <v>1</v>
      </c>
      <c r="BF57" s="215" t="b">
        <f t="shared" si="14"/>
        <v>1</v>
      </c>
      <c r="BG57" s="215"/>
      <c r="BH57" s="243" t="b" cm="1">
        <f t="array" ref="BH57">_xlfn.IFS(AND(AC57&lt;&gt;"", BK57&lt;&gt;"-"), TRUE, AND(AC57&lt;&gt;"", BK57="-"), FALSE, AC57="", "-")</f>
        <v>1</v>
      </c>
      <c r="BI57" s="243">
        <v>5.05</v>
      </c>
      <c r="BJ57" s="243">
        <v>0.46</v>
      </c>
      <c r="BK57" s="244">
        <f t="shared" si="31"/>
        <v>5</v>
      </c>
      <c r="BL57" s="217" t="str" cm="1">
        <f t="array" ref="BL57">_xlfn.IFS(AND(AD57&lt;&gt;"", BO57&lt;&gt;"-"), TRUE, AND(AD57&lt;&gt;"", BO57="-"), FALSE, AD57="", "-")</f>
        <v>-</v>
      </c>
      <c r="BM57" s="215" t="s">
        <v>9801</v>
      </c>
      <c r="BN57" s="215" t="s">
        <v>9801</v>
      </c>
      <c r="BO57" s="217" t="str">
        <f t="shared" si="15"/>
        <v>-</v>
      </c>
      <c r="BP57" s="214">
        <v>2.7777777777777778E-4</v>
      </c>
      <c r="BQ57" s="214">
        <f t="shared" si="34"/>
        <v>6.8287037037037036E-4</v>
      </c>
      <c r="BR57" s="214">
        <f t="shared" si="35"/>
        <v>-2.3148148148148144E-4</v>
      </c>
      <c r="BS57" s="214">
        <f t="shared" si="36"/>
        <v>8.1018518518518462E-5</v>
      </c>
      <c r="BT57" s="218">
        <f>IF(AND(BG57="",AA57=""),100%, "TBD")</f>
        <v>1</v>
      </c>
      <c r="BU57" s="219">
        <f t="shared" si="16"/>
        <v>0</v>
      </c>
      <c r="BV57" s="217">
        <f t="shared" si="37"/>
        <v>2</v>
      </c>
      <c r="BW57" s="218">
        <f t="shared" si="17"/>
        <v>0.33333333333333326</v>
      </c>
      <c r="BX57" s="218">
        <f t="shared" si="38"/>
        <v>0.66666666666666674</v>
      </c>
      <c r="BY57" s="217" t="str">
        <f t="shared" si="39"/>
        <v>-</v>
      </c>
      <c r="BZ57" s="218" t="str">
        <f t="shared" si="40"/>
        <v>-</v>
      </c>
      <c r="CA57" s="218" t="str">
        <f t="shared" si="41"/>
        <v>-</v>
      </c>
      <c r="CB57" s="218"/>
      <c r="CC57" s="229">
        <v>4.6296296296296293E-4</v>
      </c>
      <c r="CD57" s="230" t="b">
        <v>1</v>
      </c>
      <c r="CE57" s="230" t="b">
        <v>1</v>
      </c>
      <c r="CF57" s="243" t="b" cm="1">
        <f t="array" ref="CF57">_xlfn.IFS(AND(AC57&lt;&gt;"", CI57&lt;&gt;"-"), TRUE, AND(AC57&lt;&gt;"", CI57="-"), FALSE, AC57="", "-")</f>
        <v>1</v>
      </c>
      <c r="CG57" s="243">
        <v>15.9</v>
      </c>
      <c r="CH57" s="243">
        <v>1.28</v>
      </c>
      <c r="CI57" s="244">
        <f t="shared" si="18"/>
        <v>5</v>
      </c>
      <c r="CJ57" s="236" t="str" cm="1">
        <f t="array" ref="CJ57">_xlfn.IFS(AND(AD57&lt;&gt;"", CM57&lt;&gt;"-"), TRUE, AND(AD57&lt;&gt;"", CM57="-"), FALSE, AD57="", "-")</f>
        <v>-</v>
      </c>
      <c r="CK57" s="230" t="s">
        <v>9801</v>
      </c>
      <c r="CL57" s="230" t="s">
        <v>9801</v>
      </c>
      <c r="CM57" s="255" t="str">
        <f t="shared" si="19"/>
        <v>-</v>
      </c>
      <c r="CN57" s="229">
        <v>1.8518518518518518E-4</v>
      </c>
      <c r="CO57" s="229">
        <f t="shared" si="20"/>
        <v>6.4814814814814813E-4</v>
      </c>
      <c r="CP57" s="229">
        <f t="shared" si="21"/>
        <v>-3.2407407407407406E-4</v>
      </c>
      <c r="CQ57" s="229">
        <f t="shared" si="22"/>
        <v>4.6296296296296233E-5</v>
      </c>
      <c r="CR57" s="230">
        <f t="shared" si="23"/>
        <v>2</v>
      </c>
      <c r="CS57" s="259">
        <f t="shared" si="24"/>
        <v>0.33333333333333326</v>
      </c>
      <c r="CT57" s="259">
        <f t="shared" si="25"/>
        <v>0.66666666666666674</v>
      </c>
      <c r="CU57" s="230" t="str">
        <f t="shared" si="26"/>
        <v>-</v>
      </c>
      <c r="CV57" s="259" t="str">
        <f t="shared" si="27"/>
        <v>-</v>
      </c>
      <c r="CW57" s="262" t="str">
        <f t="shared" si="28"/>
        <v>-</v>
      </c>
      <c r="CX57" s="230"/>
    </row>
    <row r="58" spans="1:102" s="95" customFormat="1" x14ac:dyDescent="0.2">
      <c r="Q58" s="98">
        <f>SUMIFS(Q2:Q57, AX2:AX57, "&lt;&gt;-", AZ2:AZ57, "&lt;&gt;-")</f>
        <v>4.3981481481481476E-3</v>
      </c>
      <c r="R58" s="95" t="s">
        <v>11389</v>
      </c>
      <c r="AC58" s="95">
        <f>SUMIFS(AC2:AC57, AZ2:AZ57, "&lt;&gt;-")</f>
        <v>99</v>
      </c>
      <c r="AE58" s="95" t="s">
        <v>11363</v>
      </c>
      <c r="AL58" s="207"/>
      <c r="AM58" s="212">
        <f>COUNTIF(AM2:AM57,"TRUE")/ROWS(AM2:AM57)</f>
        <v>1</v>
      </c>
      <c r="AN58" s="212">
        <f>COUNTIF(AN2:AN57,"TRUE")/COUNTA(AN2:AN57)</f>
        <v>0.9821428571428571</v>
      </c>
      <c r="AO58" s="212"/>
      <c r="AP58" s="210"/>
      <c r="AQ58" s="210"/>
      <c r="AR58" s="224"/>
      <c r="AS58" s="221"/>
      <c r="AT58" s="207">
        <f>SUMIFS(AT2:AT57, AM2:AM57, "TRUE", AN2:AN57, "TRUE", AX2:AX57, "&lt;&gt;-", AZ2:AZ57, "&lt;&gt;-")</f>
        <v>1.759259259259259E-3</v>
      </c>
      <c r="AU58" s="207"/>
      <c r="AV58" s="207"/>
      <c r="AW58" s="207"/>
      <c r="AX58" s="212"/>
      <c r="AY58" s="213"/>
      <c r="AZ58" s="212"/>
      <c r="BA58" s="212"/>
      <c r="BB58" s="208"/>
      <c r="BC58" s="215"/>
      <c r="BD58" s="218">
        <f>COUNTIF(BD2:BD57,"TRUE")/ROWS(BD2:BD57)</f>
        <v>0.8392857142857143</v>
      </c>
      <c r="BE58" s="218">
        <f>COUNTIF(BE2:BE57, "TRUE")/COUNTIF(BE2:BE57, "&lt;&gt;-")</f>
        <v>1</v>
      </c>
      <c r="BF58" s="218"/>
      <c r="BG58" s="215"/>
      <c r="BH58" s="243"/>
      <c r="BI58" s="243"/>
      <c r="BJ58" s="243"/>
      <c r="BK58" s="244"/>
      <c r="BL58" s="217"/>
      <c r="BM58" s="215"/>
      <c r="BN58" s="215"/>
      <c r="BO58" s="215"/>
      <c r="BP58" s="214">
        <f>SUMIFS(BP2:BP57, BT2:BT57, "&lt;&gt;-", BW2:BW57, "&lt;&gt;-", BZ2:BZ57, "&lt;&gt;-")</f>
        <v>4.2824074074074075E-4</v>
      </c>
      <c r="BQ58" s="215"/>
      <c r="BR58" s="215"/>
      <c r="BS58" s="215"/>
      <c r="BT58" s="218"/>
      <c r="BU58" s="215"/>
      <c r="BV58" s="215"/>
      <c r="BW58" s="218"/>
      <c r="BX58" s="218"/>
      <c r="BY58" s="215"/>
      <c r="BZ58" s="218"/>
      <c r="CA58" s="215"/>
      <c r="CB58" s="218"/>
      <c r="CC58" s="229"/>
      <c r="CD58" s="259">
        <f>COUNTIF(CD2:CD57,TRUE)/ROWS(CD2:CD57)</f>
        <v>0.9821428571428571</v>
      </c>
      <c r="CE58" s="259">
        <f>COUNTIF(CE2:CE57, TRUE)/COUNTIF(CE2:CE57, "&lt;&gt;-")</f>
        <v>0.96363636363636362</v>
      </c>
      <c r="CF58" s="243"/>
      <c r="CG58" s="243"/>
      <c r="CH58" s="243"/>
      <c r="CI58" s="243"/>
      <c r="CJ58" s="230"/>
      <c r="CK58" s="230"/>
      <c r="CL58" s="230"/>
      <c r="CM58" s="230"/>
      <c r="CN58" s="229">
        <f>SUMIFS(CN2:CN57, CS2:CS57, "&lt;&gt;-", CV2:CV57, "&lt;&gt;-")</f>
        <v>1.1921296296296298E-3</v>
      </c>
      <c r="CO58" s="229"/>
      <c r="CP58" s="230"/>
      <c r="CQ58" s="230"/>
      <c r="CR58" s="230"/>
      <c r="CS58" s="230"/>
      <c r="CT58" s="230"/>
      <c r="CU58" s="230"/>
      <c r="CV58" s="259"/>
      <c r="CW58" s="262"/>
      <c r="CX58" s="230"/>
    </row>
    <row r="59" spans="1:102" s="95" customFormat="1" x14ac:dyDescent="0.2">
      <c r="Q59" s="98">
        <f>SUMIFS(Q2:Q57,AX2:AX57, "&lt;&gt;-")</f>
        <v>1.4976851851851859E-2</v>
      </c>
      <c r="R59" s="95" t="s">
        <v>11387</v>
      </c>
      <c r="AC59" s="95">
        <f>SUMIFS(AC2:AC57,BW2:BW57, "&lt;&gt;-")</f>
        <v>116</v>
      </c>
      <c r="AD59" s="95">
        <f>SUMIFS(AD2:AD57, BZ2:BZ57, "&lt;&gt;-")</f>
        <v>79</v>
      </c>
      <c r="AE59" s="95" t="s">
        <v>11365</v>
      </c>
      <c r="AL59" s="207"/>
      <c r="AM59" s="208"/>
      <c r="AN59" s="208"/>
      <c r="AO59" s="212">
        <f>COUNTIFS(AO2:AO57, TRUE)/COUNTIFS(AA2:AA57, "&lt;&gt;-")</f>
        <v>0.9821428571428571</v>
      </c>
      <c r="AP59" s="212"/>
      <c r="AQ59" s="212"/>
      <c r="AR59" s="224"/>
      <c r="AS59" s="221"/>
      <c r="AT59" s="207">
        <f>SUMIFS(AT2:AT57, AM2:AM57, "TRUE", AN2:AN57, "TRUE", AX2:AX57, "&lt;&gt;-")</f>
        <v>1.2152777777777776E-2</v>
      </c>
      <c r="AU59" s="207"/>
      <c r="AV59" s="207"/>
      <c r="AW59" s="207"/>
      <c r="AX59" s="212">
        <f>1-AY59</f>
        <v>0.54545454545454541</v>
      </c>
      <c r="AY59" s="212">
        <f>AVERAGEIFS(AY2:AY57, AY2:AY57, "&lt;&gt;-")</f>
        <v>0.45454545454545453</v>
      </c>
      <c r="AZ59" s="212"/>
      <c r="BA59" s="212"/>
      <c r="BB59" s="208"/>
      <c r="BC59" s="215"/>
      <c r="BD59" s="215"/>
      <c r="BE59" s="215"/>
      <c r="BF59" s="218">
        <f>COUNTIFS(BF2:BF57, TRUE)/COUNTIFS(AA2:AA57, "&lt;&gt;-")</f>
        <v>0.8392857142857143</v>
      </c>
      <c r="BG59" s="218"/>
      <c r="BH59" s="248"/>
      <c r="BI59" s="243"/>
      <c r="BJ59" s="243"/>
      <c r="BK59" s="244"/>
      <c r="BL59" s="217"/>
      <c r="BM59" s="215"/>
      <c r="BN59" s="215"/>
      <c r="BO59" s="215"/>
      <c r="BP59" s="214">
        <f>SUMIFS(BP2:BP57, BT2:BT57, "&lt;&gt;-")</f>
        <v>1.6493055555555549E-2</v>
      </c>
      <c r="BQ59" s="215"/>
      <c r="BR59" s="215"/>
      <c r="BS59" s="215"/>
      <c r="BT59" s="218">
        <f>1-BU59</f>
        <v>0.55319148936170215</v>
      </c>
      <c r="BU59" s="219">
        <f>AVERAGEIFS(BU2:BU57, BU2:BU57, "&lt;&gt;-")</f>
        <v>0.44680851063829785</v>
      </c>
      <c r="BV59" s="215"/>
      <c r="BW59" s="218"/>
      <c r="BX59" s="218"/>
      <c r="BY59" s="215"/>
      <c r="BZ59" s="218"/>
      <c r="CA59" s="215"/>
      <c r="CB59" s="218"/>
      <c r="CC59" s="229"/>
      <c r="CD59" s="230"/>
      <c r="CE59" s="230"/>
      <c r="CF59" s="248">
        <f>COUNTIFS(CF2:CF57, TRUE)/COUNTIFS(AC2:AC57, "&lt;&gt;")</f>
        <v>1</v>
      </c>
      <c r="CG59" s="243"/>
      <c r="CH59" s="243"/>
      <c r="CI59" s="249">
        <f>SUMIFS(CI2:CI57, CF2:CF57, TRUE)</f>
        <v>167</v>
      </c>
      <c r="CJ59" s="230"/>
      <c r="CK59" s="230"/>
      <c r="CL59" s="230"/>
      <c r="CM59" s="230"/>
      <c r="CN59" s="229">
        <f>SUMIFS(CN2:CN57, CS2:CS57, "&lt;&gt;-")</f>
        <v>7.4189814814814804E-3</v>
      </c>
      <c r="CO59" s="229"/>
      <c r="CP59" s="230"/>
      <c r="CQ59" s="230"/>
      <c r="CR59" s="230"/>
      <c r="CS59" s="231">
        <f>1-CT59</f>
        <v>0.78614502781169449</v>
      </c>
      <c r="CT59" s="259">
        <f>AVERAGEIFS(CT2:CT57, CT2:CT57, "&lt;&gt;-")</f>
        <v>0.21385497218830551</v>
      </c>
      <c r="CU59" s="230"/>
      <c r="CV59" s="259"/>
      <c r="CW59" s="262"/>
      <c r="CX59" s="230"/>
    </row>
    <row r="60" spans="1:102" s="95" customFormat="1" x14ac:dyDescent="0.2">
      <c r="Q60" s="98">
        <f>SUMIFS(Q2:Q57, AZ2:AZ57, "&lt;&gt;-")</f>
        <v>4.3981481481481476E-3</v>
      </c>
      <c r="R60" s="95" t="s">
        <v>11388</v>
      </c>
      <c r="AC60" s="95">
        <f>SUMIFS(AC2:AC57,CS2:CS57, "&lt;&gt;-")</f>
        <v>189</v>
      </c>
      <c r="AD60" s="95">
        <f>SUMIFS(AD2:AD57, CV2:CV57, "&lt;&gt;-")</f>
        <v>91</v>
      </c>
      <c r="AE60" s="95" t="s">
        <v>11364</v>
      </c>
      <c r="AL60" s="208"/>
      <c r="AM60" s="212"/>
      <c r="AN60" s="212"/>
      <c r="AO60" s="212"/>
      <c r="AP60" s="208"/>
      <c r="AQ60" s="212">
        <f>COUNTIFS(AQ2:AQ57, TRUE)/COUNTIFS(AC2:AC57, "&lt;&gt;")</f>
        <v>0.44444444444444442</v>
      </c>
      <c r="AR60" s="212">
        <f>COUNTIF(AR2:AR57,"&lt;&gt;-")/COUNTIFS(AM2:AM57, "TRUE",AN2:AN57, "TRUE")</f>
        <v>0.4</v>
      </c>
      <c r="AS60" s="221">
        <f>SUMIFS(AS2:AS57, AM2:AM57, "TRUE", AN2:AN57, "TRUE", AZ2:AZ57, "&lt;&gt;-")</f>
        <v>46.759601308354952</v>
      </c>
      <c r="AT60" s="207">
        <f>SUMIFS(AT2:AT57, AM2:AM57, "TRUE", AN2:AN57, "TRUE", AZ2:AZ57, "&lt;&gt;-")</f>
        <v>1.759259259259259E-3</v>
      </c>
      <c r="AU60" s="208"/>
      <c r="AV60" s="208"/>
      <c r="AW60" s="208"/>
      <c r="AX60" s="212"/>
      <c r="AY60" s="208"/>
      <c r="AZ60" s="212">
        <f t="shared" si="30"/>
        <v>0.48389958899239149</v>
      </c>
      <c r="BA60" s="212">
        <f>AVERAGEIFS(BA2:BA57, BA2:BA57, "&lt;&gt;-")</f>
        <v>0.51610041100760851</v>
      </c>
      <c r="BB60" s="208"/>
      <c r="BC60" s="215"/>
      <c r="BD60" s="215"/>
      <c r="BE60" s="215"/>
      <c r="BF60" s="215"/>
      <c r="BG60" s="215"/>
      <c r="BH60" s="248">
        <f>COUNTIFS(BH2:BH57, TRUE)/COUNTIFS(AC2:AC57, "&lt;&gt;")</f>
        <v>0.66666666666666663</v>
      </c>
      <c r="BI60" s="243"/>
      <c r="BJ60" s="248"/>
      <c r="BK60" s="249">
        <f>SUMIFS(BK2:BK57, BH2:BH57, "TRUE")</f>
        <v>117</v>
      </c>
      <c r="BL60" s="218"/>
      <c r="BM60" s="215"/>
      <c r="BN60" s="218"/>
      <c r="BO60" s="215"/>
      <c r="BP60" s="250">
        <f>SUMIFS(BP2:BP57, BW2:BW57, "&lt;&gt;-")</f>
        <v>6.4236111111111126E-3</v>
      </c>
      <c r="BQ60" s="215"/>
      <c r="BR60" s="215"/>
      <c r="BS60" s="215"/>
      <c r="BT60" s="218"/>
      <c r="BU60" s="215"/>
      <c r="BV60" s="215"/>
      <c r="BW60" s="218">
        <f>1-BX60</f>
        <v>0.74881291547958218</v>
      </c>
      <c r="BX60" s="218">
        <f>AVERAGEIFS(BX2:BX57, BX2:BX57, "&lt;&gt;-")</f>
        <v>0.25118708452041782</v>
      </c>
      <c r="BY60" s="215"/>
      <c r="BZ60" s="218"/>
      <c r="CA60" s="218"/>
      <c r="CB60" s="218"/>
      <c r="CC60" s="229"/>
      <c r="CD60" s="230"/>
      <c r="CE60" s="230"/>
      <c r="CF60" s="243"/>
      <c r="CG60" s="243"/>
      <c r="CH60" s="243"/>
      <c r="CI60" s="243"/>
      <c r="CJ60" s="259">
        <f>COUNTIFS(CJ2:CJ57, TRUE)/COUNTIFS(AD2:AD57, "&lt;&gt;")</f>
        <v>0.96666666666666667</v>
      </c>
      <c r="CK60" s="230"/>
      <c r="CL60" s="230"/>
      <c r="CM60" s="230">
        <f>SUMIFS(CM2:CM57, CJ2:CJ57, TRUE)</f>
        <v>77</v>
      </c>
      <c r="CN60" s="229">
        <f>SUMIFS(CN2:CN57, CV2:CV57, "&lt;&gt;-")</f>
        <v>8.1828703703703699E-3</v>
      </c>
      <c r="CO60" s="229"/>
      <c r="CP60" s="230"/>
      <c r="CQ60" s="230"/>
      <c r="CR60" s="230"/>
      <c r="CS60" s="230"/>
      <c r="CT60" s="230"/>
      <c r="CU60" s="230"/>
      <c r="CV60" s="259">
        <f>1-CW60</f>
        <v>0.54999999999999993</v>
      </c>
      <c r="CW60" s="262">
        <f>AVERAGEIFS(CW2:CW57, CW2:CW57, "&lt;&gt;-")</f>
        <v>0.45000000000000007</v>
      </c>
      <c r="CX60" s="230"/>
    </row>
    <row r="61" spans="1:102" x14ac:dyDescent="0.2">
      <c r="Q61" s="180"/>
      <c r="R61" s="180"/>
      <c r="AC61" s="180"/>
      <c r="AD61" s="180"/>
      <c r="AE61" s="180"/>
      <c r="AF61" s="180"/>
      <c r="AN61" s="95" t="s">
        <v>11378</v>
      </c>
      <c r="AS61" s="186"/>
      <c r="BC61" s="215"/>
      <c r="BD61" s="215"/>
      <c r="BE61" s="215"/>
      <c r="BF61" s="215"/>
      <c r="BG61" s="215"/>
      <c r="BH61" s="243"/>
      <c r="BI61" s="243"/>
      <c r="BJ61" s="243"/>
      <c r="BK61" s="244"/>
      <c r="BL61" s="218">
        <f>COUNTIFS(BL2:BL57, TRUE)/COUNTIFS(AD2:AD57, "&lt;&gt;")</f>
        <v>0.8666666666666667</v>
      </c>
      <c r="BM61" s="215"/>
      <c r="BN61" s="218"/>
      <c r="BO61" s="215">
        <f>SUMIFS(BO2:BO57, BL2:BL57, "TRUE")</f>
        <v>71</v>
      </c>
      <c r="BP61" s="214">
        <f>SUMIFS(BP2:BP57, BZ2:BZ57, "&lt;&gt;-")</f>
        <v>9.6527777777777775E-3</v>
      </c>
      <c r="BQ61" s="215"/>
      <c r="BR61" s="215"/>
      <c r="BS61" s="215"/>
      <c r="BT61" s="218"/>
      <c r="BU61" s="215"/>
      <c r="BV61" s="215"/>
      <c r="BW61" s="218"/>
      <c r="BX61" s="218"/>
      <c r="BY61" s="215"/>
      <c r="BZ61" s="218">
        <f>1-CA61</f>
        <v>0.59487179487179498</v>
      </c>
      <c r="CA61" s="218">
        <f>AVERAGEIFS(CA2:CA57, CA2:CA57, "&lt;&gt;-")</f>
        <v>0.40512820512820508</v>
      </c>
      <c r="CB61" s="218"/>
    </row>
    <row r="62" spans="1:102" x14ac:dyDescent="0.2">
      <c r="Q62" s="98">
        <f>SUMIFS(Q2:Q57, BT2:BT57, "&lt;&gt;-", BW2:BW57, "&lt;&gt;-", BZ2:BZ57, "&lt;&gt;-")</f>
        <v>3.0092592592592595E-4</v>
      </c>
      <c r="R62" s="95" t="s">
        <v>11400</v>
      </c>
      <c r="AW62" s="193"/>
      <c r="BE62" s="95" t="s">
        <v>11399</v>
      </c>
      <c r="BG62" s="95" t="s">
        <v>11394</v>
      </c>
      <c r="BS62" s="123"/>
      <c r="CB62" s="192" t="s">
        <v>11396</v>
      </c>
    </row>
    <row r="63" spans="1:102" x14ac:dyDescent="0.2">
      <c r="Q63" s="98">
        <f>SUMIFS(Q2:Q57, BT2:BT57, "&lt;&gt;-")</f>
        <v>1.2002314814814818E-2</v>
      </c>
      <c r="R63" s="95" t="s">
        <v>11401</v>
      </c>
      <c r="AC63" s="95">
        <f>COUNTIF(AC2:AC57, "&lt;&gt;")</f>
        <v>27</v>
      </c>
      <c r="AD63" s="95">
        <f>COUNTIF(AD2:AD57, "&lt;&gt;")</f>
        <v>30</v>
      </c>
    </row>
    <row r="64" spans="1:102" x14ac:dyDescent="0.2">
      <c r="Q64" s="98">
        <f>SUMIFS(Q2:Q57, BW2:BW57, "&lt;&gt;-")</f>
        <v>6.400462962962962E-3</v>
      </c>
      <c r="R64" s="95" t="s">
        <v>11402</v>
      </c>
    </row>
    <row r="65" spans="17:18" x14ac:dyDescent="0.2">
      <c r="Q65" s="98">
        <f>SUMIFS(Q2:Q57, BZ2:BZ57, "&lt;&gt;-")</f>
        <v>4.8495370370370376E-3</v>
      </c>
      <c r="R65" s="95" t="s">
        <v>11403</v>
      </c>
    </row>
    <row r="67" spans="17:18" x14ac:dyDescent="0.2">
      <c r="Q67" s="98">
        <f>SUMIFS(Q2:Q57, CS2:CS57, "&lt;&gt;-", CV2:CV57, "&lt;&gt;-")</f>
        <v>1.0648148148148149E-3</v>
      </c>
      <c r="R67" s="95" t="s">
        <v>11417</v>
      </c>
    </row>
    <row r="68" spans="17:18" x14ac:dyDescent="0.2">
      <c r="Q68" s="98">
        <f>SUMIFS(Q2:Q57, CS2:CS57, "&lt;&gt;-")</f>
        <v>9.7569444444444448E-3</v>
      </c>
      <c r="R68" s="95" t="s">
        <v>11415</v>
      </c>
    </row>
    <row r="69" spans="17:18" x14ac:dyDescent="0.2">
      <c r="Q69" s="98">
        <f>SUMIFS(Q2:Q57, CV2:CV57, "&lt;&gt;-")</f>
        <v>5.7291666666666663E-3</v>
      </c>
      <c r="R69" s="95" t="s">
        <v>11416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2BC3-1F01-A547-A527-245DC4801F43}">
  <dimension ref="A1:BR34"/>
  <sheetViews>
    <sheetView topLeftCell="AY1" workbookViewId="0">
      <pane ySplit="1" topLeftCell="A2" activePane="bottomLeft" state="frozen"/>
      <selection activeCell="AC1" sqref="AC1"/>
      <selection pane="bottomLeft" activeCell="AI10" sqref="AI10"/>
    </sheetView>
  </sheetViews>
  <sheetFormatPr baseColWidth="10" defaultColWidth="8.83203125" defaultRowHeight="15" x14ac:dyDescent="0.2"/>
  <cols>
    <col min="1" max="8" width="8.83203125" style="95"/>
    <col min="9" max="9" width="17.1640625" style="95" bestFit="1" customWidth="1"/>
    <col min="10" max="10" width="11.6640625" style="95" bestFit="1" customWidth="1"/>
    <col min="11" max="16" width="8.83203125" style="95"/>
    <col min="17" max="17" width="12.1640625" style="95" bestFit="1" customWidth="1"/>
    <col min="18" max="18" width="20.5" style="95" bestFit="1" customWidth="1"/>
    <col min="19" max="20" width="8.83203125" style="95"/>
    <col min="21" max="21" width="16" style="95" bestFit="1" customWidth="1"/>
    <col min="22" max="34" width="8.83203125" style="95"/>
    <col min="35" max="35" width="19.5" style="95" bestFit="1" customWidth="1"/>
    <col min="36" max="36" width="19" style="95" bestFit="1" customWidth="1"/>
    <col min="37" max="37" width="18.5" style="95" bestFit="1" customWidth="1"/>
    <col min="38" max="38" width="18.1640625" style="95" bestFit="1" customWidth="1"/>
    <col min="39" max="39" width="11.83203125" style="95" customWidth="1"/>
    <col min="40" max="40" width="16.5" style="95" customWidth="1"/>
    <col min="41" max="41" width="20.1640625" style="95" customWidth="1"/>
    <col min="42" max="42" width="12.1640625" style="95" customWidth="1"/>
    <col min="43" max="43" width="13.83203125" style="95" customWidth="1"/>
    <col min="44" max="44" width="12.33203125" style="95" customWidth="1"/>
    <col min="45" max="45" width="22.33203125" style="95" customWidth="1"/>
    <col min="46" max="46" width="20.6640625" style="95" customWidth="1"/>
    <col min="47" max="47" width="19.83203125" style="95" customWidth="1"/>
    <col min="48" max="49" width="11.5" style="95" customWidth="1"/>
    <col min="50" max="50" width="30.83203125" style="95" customWidth="1"/>
    <col min="51" max="51" width="13.83203125" style="95" bestFit="1" customWidth="1"/>
    <col min="52" max="52" width="17.5" style="95" customWidth="1"/>
    <col min="53" max="53" width="21.6640625" style="95" customWidth="1"/>
    <col min="54" max="54" width="14.1640625" style="95" bestFit="1" customWidth="1"/>
    <col min="55" max="55" width="15.83203125" style="95" bestFit="1" customWidth="1"/>
    <col min="56" max="56" width="14.33203125" style="95" bestFit="1" customWidth="1"/>
    <col min="57" max="57" width="24.33203125" style="95" bestFit="1" customWidth="1"/>
    <col min="58" max="58" width="22.83203125" style="95" bestFit="1" customWidth="1"/>
    <col min="59" max="59" width="22" style="95" bestFit="1" customWidth="1"/>
    <col min="60" max="60" width="13.5" style="95" bestFit="1" customWidth="1"/>
    <col min="61" max="61" width="10.83203125" style="95" bestFit="1" customWidth="1"/>
    <col min="62" max="70" width="8.83203125" style="112"/>
    <col min="71" max="16384" width="8.83203125" style="95"/>
  </cols>
  <sheetData>
    <row r="1" spans="1:70" s="96" customFormat="1" x14ac:dyDescent="0.2">
      <c r="A1" s="96" t="s">
        <v>0</v>
      </c>
      <c r="B1" s="96" t="s">
        <v>9452</v>
      </c>
      <c r="C1" s="96" t="s">
        <v>1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9414</v>
      </c>
      <c r="R1" s="96" t="s">
        <v>9413</v>
      </c>
      <c r="S1" s="96" t="s">
        <v>15</v>
      </c>
      <c r="T1" s="96" t="s">
        <v>16</v>
      </c>
      <c r="U1" s="96" t="s">
        <v>17</v>
      </c>
      <c r="V1" s="96" t="s">
        <v>18</v>
      </c>
      <c r="W1" s="96" t="s">
        <v>19</v>
      </c>
      <c r="X1" s="96" t="s">
        <v>20</v>
      </c>
      <c r="Y1" s="96" t="s">
        <v>21</v>
      </c>
      <c r="Z1" s="96" t="s">
        <v>22</v>
      </c>
      <c r="AA1" s="96" t="s">
        <v>23</v>
      </c>
      <c r="AB1" s="96" t="s">
        <v>24</v>
      </c>
      <c r="AC1" s="96" t="s">
        <v>25</v>
      </c>
      <c r="AD1" s="96" t="s">
        <v>26</v>
      </c>
      <c r="AE1" s="96" t="s">
        <v>27</v>
      </c>
      <c r="AF1" s="96" t="s">
        <v>28</v>
      </c>
      <c r="AG1" s="96" t="s">
        <v>9400</v>
      </c>
      <c r="AH1" s="96" t="s">
        <v>9410</v>
      </c>
      <c r="AI1" s="96" t="s">
        <v>11229</v>
      </c>
      <c r="AM1" s="200" t="s">
        <v>11076</v>
      </c>
      <c r="AN1" s="200" t="s">
        <v>11316</v>
      </c>
      <c r="AO1" s="200" t="s">
        <v>11327</v>
      </c>
      <c r="AP1" s="200" t="s">
        <v>11233</v>
      </c>
      <c r="AQ1" s="200" t="s">
        <v>11082</v>
      </c>
      <c r="AR1" s="200" t="s">
        <v>11083</v>
      </c>
      <c r="AS1" s="200" t="s">
        <v>11084</v>
      </c>
      <c r="AT1" s="200" t="s">
        <v>11085</v>
      </c>
      <c r="AU1" s="200" t="s">
        <v>11086</v>
      </c>
      <c r="AV1" s="200" t="s">
        <v>9821</v>
      </c>
      <c r="AW1" s="200" t="s">
        <v>11087</v>
      </c>
      <c r="AX1" s="200" t="s">
        <v>9811</v>
      </c>
      <c r="AY1" s="204" t="s">
        <v>9803</v>
      </c>
      <c r="AZ1" s="204" t="s">
        <v>11317</v>
      </c>
      <c r="BA1" s="204" t="s">
        <v>11319</v>
      </c>
      <c r="BB1" s="204" t="s">
        <v>11234</v>
      </c>
      <c r="BC1" s="204" t="s">
        <v>9798</v>
      </c>
      <c r="BD1" s="204" t="s">
        <v>11074</v>
      </c>
      <c r="BE1" s="204" t="s">
        <v>9808</v>
      </c>
      <c r="BF1" s="204" t="s">
        <v>11075</v>
      </c>
      <c r="BG1" s="204" t="s">
        <v>9810</v>
      </c>
      <c r="BH1" s="204" t="s">
        <v>9826</v>
      </c>
      <c r="BI1" s="204" t="s">
        <v>9827</v>
      </c>
      <c r="BJ1" s="113"/>
      <c r="BK1" s="113"/>
      <c r="BL1" s="113"/>
      <c r="BM1" s="113"/>
      <c r="BN1" s="113"/>
      <c r="BO1" s="113"/>
      <c r="BP1" s="113"/>
      <c r="BQ1" s="113"/>
      <c r="BR1" s="113"/>
    </row>
    <row r="2" spans="1:70" x14ac:dyDescent="0.2">
      <c r="A2" s="95" t="s">
        <v>120</v>
      </c>
      <c r="B2" s="95">
        <v>22</v>
      </c>
      <c r="C2" s="95" t="b">
        <v>0</v>
      </c>
      <c r="D2" s="95" t="b">
        <v>0</v>
      </c>
      <c r="E2" s="95" t="b">
        <v>0</v>
      </c>
      <c r="F2" s="95" t="b">
        <v>0</v>
      </c>
      <c r="G2" s="95" t="s">
        <v>121</v>
      </c>
      <c r="H2" s="95" t="s">
        <v>122</v>
      </c>
      <c r="I2" s="95" t="s">
        <v>123</v>
      </c>
      <c r="O2" s="95" t="s">
        <v>10881</v>
      </c>
      <c r="P2" s="95" t="s">
        <v>10880</v>
      </c>
      <c r="Q2" s="98">
        <v>1.273148148148148E-4</v>
      </c>
      <c r="R2" s="98">
        <v>3.1365740740740742E-3</v>
      </c>
      <c r="S2" s="95">
        <v>0</v>
      </c>
      <c r="T2" s="95" t="s">
        <v>124</v>
      </c>
      <c r="U2" s="95" t="s">
        <v>125</v>
      </c>
      <c r="V2" s="95" t="s">
        <v>38</v>
      </c>
      <c r="Z2" s="95" t="b">
        <v>0</v>
      </c>
      <c r="AE2" s="95" t="s">
        <v>115</v>
      </c>
      <c r="AF2" s="95" t="s">
        <v>9566</v>
      </c>
      <c r="AH2" s="95" t="b">
        <v>0</v>
      </c>
      <c r="AI2" s="95" t="s">
        <v>11138</v>
      </c>
      <c r="AM2" s="207">
        <v>2.4305555555555552E-4</v>
      </c>
      <c r="AN2" s="207" t="b">
        <v>1</v>
      </c>
      <c r="AO2" s="207" t="b">
        <v>0</v>
      </c>
      <c r="AP2" s="208" t="s">
        <v>9801</v>
      </c>
      <c r="AQ2" s="207">
        <v>0</v>
      </c>
      <c r="AR2" s="207">
        <f t="shared" ref="AR2:AR31" si="0">AM2+AQ2</f>
        <v>2.4305555555555552E-4</v>
      </c>
      <c r="AS2" s="207">
        <f t="shared" ref="AS2:AS31" si="1">AQ2-Q2</f>
        <v>-1.273148148148148E-4</v>
      </c>
      <c r="AT2" s="207">
        <f t="shared" ref="AT2:AT31" si="2">AR2-R2</f>
        <v>-2.8935185185185188E-3</v>
      </c>
      <c r="AU2" s="208" t="s">
        <v>9801</v>
      </c>
      <c r="AV2" s="208" t="s">
        <v>9801</v>
      </c>
      <c r="AW2" s="208" t="s">
        <v>9801</v>
      </c>
      <c r="AX2" s="208" t="s">
        <v>11235</v>
      </c>
      <c r="AY2" s="214">
        <v>4.6296296296296293E-4</v>
      </c>
      <c r="AZ2" s="215" t="b">
        <v>1</v>
      </c>
      <c r="BA2" s="215" t="b">
        <v>1</v>
      </c>
      <c r="BB2" s="215">
        <v>15</v>
      </c>
      <c r="BC2" s="214">
        <v>1.6203703703703703E-4</v>
      </c>
      <c r="BD2" s="214">
        <f>AY2+BC2</f>
        <v>6.249999999999999E-4</v>
      </c>
      <c r="BE2" s="214">
        <f t="shared" ref="BE2:BE31" si="3">BC2-Q2</f>
        <v>3.4722222222222229E-5</v>
      </c>
      <c r="BF2" s="214">
        <f t="shared" ref="BF2:BF31" si="4">BD2-R2</f>
        <v>-2.5115740740740741E-3</v>
      </c>
      <c r="BG2" s="215" t="s">
        <v>9801</v>
      </c>
      <c r="BH2" s="219" t="s">
        <v>9801</v>
      </c>
      <c r="BI2" s="237">
        <v>0</v>
      </c>
    </row>
    <row r="3" spans="1:70" x14ac:dyDescent="0.2">
      <c r="A3" s="95" t="s">
        <v>194</v>
      </c>
      <c r="B3" s="95">
        <v>44</v>
      </c>
      <c r="C3" s="95" t="b">
        <v>0</v>
      </c>
      <c r="D3" s="95" t="b">
        <v>0</v>
      </c>
      <c r="E3" s="95" t="b">
        <v>0</v>
      </c>
      <c r="F3" s="95" t="b">
        <v>0</v>
      </c>
      <c r="G3" s="95" t="s">
        <v>121</v>
      </c>
      <c r="H3" s="95" t="s">
        <v>195</v>
      </c>
      <c r="I3" s="95" t="s">
        <v>196</v>
      </c>
      <c r="O3" s="95" t="s">
        <v>11071</v>
      </c>
      <c r="P3" s="95" t="s">
        <v>11071</v>
      </c>
      <c r="Q3" s="98">
        <v>9.2592592592592588E-5</v>
      </c>
      <c r="R3" s="98">
        <v>7.0601851851851841E-3</v>
      </c>
      <c r="S3" s="95">
        <v>0</v>
      </c>
      <c r="T3" s="95" t="s">
        <v>124</v>
      </c>
      <c r="U3" s="95" t="s">
        <v>125</v>
      </c>
      <c r="V3" s="95" t="s">
        <v>38</v>
      </c>
      <c r="Z3" s="95" t="b">
        <v>0</v>
      </c>
      <c r="AE3" s="95" t="s">
        <v>115</v>
      </c>
      <c r="AF3" s="95" t="s">
        <v>9566</v>
      </c>
      <c r="AH3" s="95" t="b">
        <v>0</v>
      </c>
      <c r="AI3" s="95" t="s">
        <v>11139</v>
      </c>
      <c r="AM3" s="207">
        <v>2.5462962962962961E-4</v>
      </c>
      <c r="AN3" s="207" t="b">
        <v>1</v>
      </c>
      <c r="AO3" s="207" t="b">
        <v>0</v>
      </c>
      <c r="AP3" s="208" t="s">
        <v>9801</v>
      </c>
      <c r="AQ3" s="207">
        <v>0</v>
      </c>
      <c r="AR3" s="207">
        <f t="shared" si="0"/>
        <v>2.5462962962962961E-4</v>
      </c>
      <c r="AS3" s="207">
        <f t="shared" si="1"/>
        <v>-9.2592592592592588E-5</v>
      </c>
      <c r="AT3" s="207">
        <f t="shared" si="2"/>
        <v>-6.8055555555555543E-3</v>
      </c>
      <c r="AU3" s="208" t="s">
        <v>9801</v>
      </c>
      <c r="AV3" s="208" t="s">
        <v>9801</v>
      </c>
      <c r="AW3" s="208" t="s">
        <v>9801</v>
      </c>
      <c r="AX3" s="208" t="s">
        <v>11235</v>
      </c>
      <c r="AY3" s="214">
        <v>1.8171296296296297E-3</v>
      </c>
      <c r="AZ3" s="215" t="b">
        <v>1</v>
      </c>
      <c r="BA3" s="215" t="b">
        <v>1</v>
      </c>
      <c r="BB3" s="215">
        <v>3</v>
      </c>
      <c r="BC3" s="214">
        <v>1.7361111111111112E-4</v>
      </c>
      <c r="BD3" s="214">
        <f t="shared" ref="BD3:BD31" si="5">AY3+BC3</f>
        <v>1.9907407407407408E-3</v>
      </c>
      <c r="BE3" s="214">
        <f t="shared" si="3"/>
        <v>8.101851851851853E-5</v>
      </c>
      <c r="BF3" s="214">
        <f t="shared" si="4"/>
        <v>-5.0694444444444433E-3</v>
      </c>
      <c r="BG3" s="215" t="s">
        <v>9801</v>
      </c>
      <c r="BH3" s="219" t="s">
        <v>9801</v>
      </c>
      <c r="BI3" s="237">
        <v>0</v>
      </c>
    </row>
    <row r="4" spans="1:70" x14ac:dyDescent="0.2">
      <c r="A4" s="95" t="s">
        <v>382</v>
      </c>
      <c r="B4" s="95">
        <v>105</v>
      </c>
      <c r="C4" s="95" t="b">
        <v>0</v>
      </c>
      <c r="D4" s="95" t="b">
        <v>0</v>
      </c>
      <c r="E4" s="95" t="b">
        <v>0</v>
      </c>
      <c r="F4" s="95" t="b">
        <v>0</v>
      </c>
      <c r="G4" s="95" t="s">
        <v>31</v>
      </c>
      <c r="H4" s="95" t="s">
        <v>383</v>
      </c>
      <c r="I4" s="95" t="s">
        <v>384</v>
      </c>
      <c r="J4" s="95" t="s">
        <v>352</v>
      </c>
      <c r="O4" s="95" t="s">
        <v>11070</v>
      </c>
      <c r="P4" s="95" t="s">
        <v>11070</v>
      </c>
      <c r="Q4" s="98">
        <v>3.7037037037037035E-4</v>
      </c>
      <c r="R4" s="98">
        <v>1.7476851851851852E-3</v>
      </c>
      <c r="S4" s="95">
        <v>0</v>
      </c>
      <c r="T4" s="95" t="s">
        <v>124</v>
      </c>
      <c r="U4" s="95" t="s">
        <v>125</v>
      </c>
      <c r="V4" s="95" t="s">
        <v>38</v>
      </c>
      <c r="Z4" s="95" t="b">
        <v>0</v>
      </c>
      <c r="AB4" s="95">
        <v>4</v>
      </c>
      <c r="AE4" s="95" t="s">
        <v>207</v>
      </c>
      <c r="AF4" s="95" t="s">
        <v>9561</v>
      </c>
      <c r="AH4" s="95" t="b">
        <v>0</v>
      </c>
      <c r="AI4" s="95" t="s">
        <v>11140</v>
      </c>
      <c r="AM4" s="207">
        <v>1.1574074074074073E-4</v>
      </c>
      <c r="AN4" s="207" t="b">
        <v>1</v>
      </c>
      <c r="AO4" s="207" t="b">
        <v>0</v>
      </c>
      <c r="AP4" s="208" t="s">
        <v>9801</v>
      </c>
      <c r="AQ4" s="207">
        <v>0</v>
      </c>
      <c r="AR4" s="207">
        <f t="shared" si="0"/>
        <v>1.1574074074074073E-4</v>
      </c>
      <c r="AS4" s="207">
        <f t="shared" si="1"/>
        <v>-3.7037037037037035E-4</v>
      </c>
      <c r="AT4" s="207">
        <f t="shared" si="2"/>
        <v>-1.6319444444444445E-3</v>
      </c>
      <c r="AU4" s="208" t="s">
        <v>9801</v>
      </c>
      <c r="AV4" s="208" t="s">
        <v>9801</v>
      </c>
      <c r="AW4" s="208" t="s">
        <v>9801</v>
      </c>
      <c r="AX4" s="208" t="s">
        <v>11235</v>
      </c>
      <c r="AY4" s="214">
        <v>3.0092592592592595E-4</v>
      </c>
      <c r="AZ4" s="215" t="b">
        <v>1</v>
      </c>
      <c r="BA4" s="215" t="b">
        <v>1</v>
      </c>
      <c r="BB4" s="215">
        <v>6</v>
      </c>
      <c r="BC4" s="214">
        <v>1.273148148148148E-4</v>
      </c>
      <c r="BD4" s="214">
        <f t="shared" si="5"/>
        <v>4.2824074074074075E-4</v>
      </c>
      <c r="BE4" s="214">
        <f t="shared" si="3"/>
        <v>-2.4305555555555555E-4</v>
      </c>
      <c r="BF4" s="214">
        <f t="shared" si="4"/>
        <v>-1.3194444444444445E-3</v>
      </c>
      <c r="BG4" s="215">
        <f t="shared" ref="BG4:BG5" si="6">BB4-AB4</f>
        <v>2</v>
      </c>
      <c r="BH4" s="219">
        <f>IF(BI4&lt;&gt;"-", 1-BI4, "-")</f>
        <v>0.5</v>
      </c>
      <c r="BI4" s="219">
        <f t="shared" ref="BI4:BI22" si="7">ABS(BB4/AB4-1)</f>
        <v>0.5</v>
      </c>
    </row>
    <row r="5" spans="1:70" x14ac:dyDescent="0.2">
      <c r="A5" s="95" t="s">
        <v>385</v>
      </c>
      <c r="B5" s="95">
        <v>106</v>
      </c>
      <c r="C5" s="95" t="b">
        <v>0</v>
      </c>
      <c r="D5" s="95" t="b">
        <v>0</v>
      </c>
      <c r="E5" s="95" t="b">
        <v>0</v>
      </c>
      <c r="F5" s="95" t="b">
        <v>0</v>
      </c>
      <c r="G5" s="95" t="s">
        <v>31</v>
      </c>
      <c r="H5" s="95" t="s">
        <v>386</v>
      </c>
      <c r="I5" s="95" t="s">
        <v>387</v>
      </c>
      <c r="J5" s="95" t="s">
        <v>352</v>
      </c>
      <c r="O5" s="95" t="s">
        <v>11069</v>
      </c>
      <c r="P5" s="95" t="s">
        <v>11068</v>
      </c>
      <c r="Q5" s="98">
        <v>2.0833333333333335E-4</v>
      </c>
      <c r="R5" s="98">
        <v>9.0277777777777784E-4</v>
      </c>
      <c r="S5" s="95">
        <v>0</v>
      </c>
      <c r="T5" s="95" t="s">
        <v>124</v>
      </c>
      <c r="U5" s="95" t="s">
        <v>125</v>
      </c>
      <c r="V5" s="95" t="s">
        <v>38</v>
      </c>
      <c r="Z5" s="95" t="b">
        <v>0</v>
      </c>
      <c r="AB5" s="95">
        <v>4</v>
      </c>
      <c r="AE5" s="95" t="s">
        <v>207</v>
      </c>
      <c r="AF5" s="95" t="s">
        <v>9561</v>
      </c>
      <c r="AH5" s="95" t="b">
        <v>0</v>
      </c>
      <c r="AI5" s="95" t="s">
        <v>11141</v>
      </c>
      <c r="AM5" s="207">
        <v>1.1574074074074073E-4</v>
      </c>
      <c r="AN5" s="207" t="b">
        <v>1</v>
      </c>
      <c r="AO5" s="207" t="b">
        <v>0</v>
      </c>
      <c r="AP5" s="208" t="s">
        <v>9801</v>
      </c>
      <c r="AQ5" s="207">
        <v>0</v>
      </c>
      <c r="AR5" s="207">
        <f t="shared" si="0"/>
        <v>1.1574074074074073E-4</v>
      </c>
      <c r="AS5" s="207">
        <f t="shared" si="1"/>
        <v>-2.0833333333333335E-4</v>
      </c>
      <c r="AT5" s="207">
        <f t="shared" si="2"/>
        <v>-7.8703703703703715E-4</v>
      </c>
      <c r="AU5" s="208" t="s">
        <v>9801</v>
      </c>
      <c r="AV5" s="208" t="s">
        <v>9801</v>
      </c>
      <c r="AW5" s="208" t="s">
        <v>9801</v>
      </c>
      <c r="AX5" s="208" t="s">
        <v>11235</v>
      </c>
      <c r="AY5" s="214">
        <v>1.5740740740740741E-3</v>
      </c>
      <c r="AZ5" s="215" t="b">
        <v>1</v>
      </c>
      <c r="BA5" s="215" t="b">
        <v>1</v>
      </c>
      <c r="BB5" s="215">
        <v>6</v>
      </c>
      <c r="BC5" s="214">
        <v>1.5046296296296297E-4</v>
      </c>
      <c r="BD5" s="214">
        <f t="shared" si="5"/>
        <v>1.724537037037037E-3</v>
      </c>
      <c r="BE5" s="214">
        <f t="shared" si="3"/>
        <v>-5.7870370370370373E-5</v>
      </c>
      <c r="BF5" s="214">
        <f t="shared" si="4"/>
        <v>8.2175925925925917E-4</v>
      </c>
      <c r="BG5" s="215">
        <f t="shared" si="6"/>
        <v>2</v>
      </c>
      <c r="BH5" s="219">
        <f t="shared" ref="BH5:BH32" si="8">IF(BI5&lt;&gt;"-", 1-BI5, "-")</f>
        <v>0.5</v>
      </c>
      <c r="BI5" s="219">
        <f t="shared" si="7"/>
        <v>0.5</v>
      </c>
    </row>
    <row r="6" spans="1:70" x14ac:dyDescent="0.2">
      <c r="A6" s="95" t="s">
        <v>394</v>
      </c>
      <c r="B6" s="95">
        <v>109</v>
      </c>
      <c r="C6" s="95" t="b">
        <v>0</v>
      </c>
      <c r="D6" s="95" t="b">
        <v>0</v>
      </c>
      <c r="E6" s="95" t="b">
        <v>0</v>
      </c>
      <c r="F6" s="95" t="b">
        <v>0</v>
      </c>
      <c r="G6" s="95" t="s">
        <v>31</v>
      </c>
      <c r="H6" s="95" t="s">
        <v>395</v>
      </c>
      <c r="I6" s="95" t="s">
        <v>396</v>
      </c>
      <c r="J6" s="95" t="s">
        <v>352</v>
      </c>
      <c r="O6" s="95" t="s">
        <v>11067</v>
      </c>
      <c r="P6" s="95" t="s">
        <v>11066</v>
      </c>
      <c r="Q6" s="98">
        <v>2.8935185185185189E-4</v>
      </c>
      <c r="R6" s="98">
        <v>4.9768518518518521E-4</v>
      </c>
      <c r="S6" s="95">
        <v>0</v>
      </c>
      <c r="T6" s="95" t="s">
        <v>124</v>
      </c>
      <c r="U6" s="95" t="s">
        <v>125</v>
      </c>
      <c r="V6" s="95" t="s">
        <v>38</v>
      </c>
      <c r="Z6" s="95" t="b">
        <v>0</v>
      </c>
      <c r="AB6" s="95">
        <v>4</v>
      </c>
      <c r="AE6" s="95" t="s">
        <v>207</v>
      </c>
      <c r="AF6" s="95" t="s">
        <v>9561</v>
      </c>
      <c r="AH6" s="95" t="b">
        <v>0</v>
      </c>
      <c r="AI6" s="95" t="s">
        <v>11142</v>
      </c>
      <c r="AM6" s="207">
        <v>1.273148148148148E-4</v>
      </c>
      <c r="AN6" s="207" t="b">
        <v>1</v>
      </c>
      <c r="AO6" s="207" t="b">
        <v>0</v>
      </c>
      <c r="AP6" s="208" t="s">
        <v>9801</v>
      </c>
      <c r="AQ6" s="207">
        <v>0</v>
      </c>
      <c r="AR6" s="207">
        <f t="shared" si="0"/>
        <v>1.273148148148148E-4</v>
      </c>
      <c r="AS6" s="207">
        <f t="shared" si="1"/>
        <v>-2.8935185185185189E-4</v>
      </c>
      <c r="AT6" s="207">
        <f t="shared" si="2"/>
        <v>-3.7037037037037041E-4</v>
      </c>
      <c r="AU6" s="208" t="s">
        <v>9801</v>
      </c>
      <c r="AV6" s="208" t="s">
        <v>9801</v>
      </c>
      <c r="AW6" s="208" t="s">
        <v>9801</v>
      </c>
      <c r="AX6" s="208" t="s">
        <v>11235</v>
      </c>
      <c r="AY6" s="214">
        <v>1.5972222222222221E-3</v>
      </c>
      <c r="AZ6" s="215" t="b">
        <v>1</v>
      </c>
      <c r="BA6" s="215" t="b">
        <v>1</v>
      </c>
      <c r="BB6" s="215">
        <v>3</v>
      </c>
      <c r="BC6" s="214">
        <v>1.3888888888888889E-4</v>
      </c>
      <c r="BD6" s="214">
        <f t="shared" si="5"/>
        <v>1.736111111111111E-3</v>
      </c>
      <c r="BE6" s="214">
        <f t="shared" si="3"/>
        <v>-1.50462962962963E-4</v>
      </c>
      <c r="BF6" s="214">
        <f t="shared" si="4"/>
        <v>1.2384259259259258E-3</v>
      </c>
      <c r="BG6" s="215">
        <f t="shared" ref="BG6:BG31" si="9">BB6-AB6</f>
        <v>-1</v>
      </c>
      <c r="BH6" s="219">
        <f t="shared" si="8"/>
        <v>0.75</v>
      </c>
      <c r="BI6" s="219">
        <f t="shared" si="7"/>
        <v>0.25</v>
      </c>
    </row>
    <row r="7" spans="1:70" x14ac:dyDescent="0.2">
      <c r="A7" s="95" t="s">
        <v>409</v>
      </c>
      <c r="B7" s="95">
        <v>114</v>
      </c>
      <c r="C7" s="95" t="b">
        <v>0</v>
      </c>
      <c r="D7" s="95" t="b">
        <v>0</v>
      </c>
      <c r="E7" s="95" t="b">
        <v>0</v>
      </c>
      <c r="F7" s="95" t="b">
        <v>0</v>
      </c>
      <c r="G7" s="95" t="s">
        <v>31</v>
      </c>
      <c r="H7" s="95" t="s">
        <v>410</v>
      </c>
      <c r="I7" s="95" t="s">
        <v>411</v>
      </c>
      <c r="J7" s="95" t="s">
        <v>352</v>
      </c>
      <c r="O7" s="95" t="s">
        <v>9779</v>
      </c>
      <c r="P7" s="95" t="s">
        <v>9779</v>
      </c>
      <c r="Q7" s="98">
        <v>4.0509259259259258E-4</v>
      </c>
      <c r="R7" s="98">
        <v>1.8865740740740742E-3</v>
      </c>
      <c r="S7" s="95">
        <v>0</v>
      </c>
      <c r="T7" s="95" t="s">
        <v>124</v>
      </c>
      <c r="U7" s="95" t="s">
        <v>125</v>
      </c>
      <c r="V7" s="95" t="s">
        <v>38</v>
      </c>
      <c r="Z7" s="95" t="b">
        <v>0</v>
      </c>
      <c r="AB7" s="95">
        <v>4</v>
      </c>
      <c r="AE7" s="95" t="s">
        <v>207</v>
      </c>
      <c r="AF7" s="95" t="s">
        <v>9561</v>
      </c>
      <c r="AH7" s="95" t="b">
        <v>0</v>
      </c>
      <c r="AI7" t="s">
        <v>11143</v>
      </c>
      <c r="AM7" s="207">
        <v>1.5046296296296297E-4</v>
      </c>
      <c r="AN7" s="207" t="b">
        <v>1</v>
      </c>
      <c r="AO7" s="207" t="b">
        <v>0</v>
      </c>
      <c r="AP7" s="208" t="s">
        <v>9801</v>
      </c>
      <c r="AQ7" s="207">
        <v>0</v>
      </c>
      <c r="AR7" s="207">
        <f t="shared" si="0"/>
        <v>1.5046296296296297E-4</v>
      </c>
      <c r="AS7" s="207">
        <f t="shared" si="1"/>
        <v>-4.0509259259259258E-4</v>
      </c>
      <c r="AT7" s="207">
        <f t="shared" si="2"/>
        <v>-1.7361111111111112E-3</v>
      </c>
      <c r="AU7" s="208" t="s">
        <v>9801</v>
      </c>
      <c r="AV7" s="208" t="s">
        <v>9801</v>
      </c>
      <c r="AW7" s="208" t="s">
        <v>9801</v>
      </c>
      <c r="AX7" s="208" t="s">
        <v>11235</v>
      </c>
      <c r="AY7" s="214">
        <v>5.2083333333333333E-4</v>
      </c>
      <c r="AZ7" s="215" t="b">
        <v>1</v>
      </c>
      <c r="BA7" s="215" t="b">
        <v>1</v>
      </c>
      <c r="BB7" s="215">
        <v>5</v>
      </c>
      <c r="BC7" s="214">
        <v>1.273148148148148E-4</v>
      </c>
      <c r="BD7" s="214">
        <f t="shared" si="5"/>
        <v>6.4814814814814813E-4</v>
      </c>
      <c r="BE7" s="214">
        <f t="shared" si="3"/>
        <v>-2.7777777777777778E-4</v>
      </c>
      <c r="BF7" s="214">
        <f t="shared" si="4"/>
        <v>-1.238425925925926E-3</v>
      </c>
      <c r="BG7" s="215">
        <f t="shared" si="9"/>
        <v>1</v>
      </c>
      <c r="BH7" s="219">
        <f t="shared" si="8"/>
        <v>0.75</v>
      </c>
      <c r="BI7" s="219">
        <f t="shared" si="7"/>
        <v>0.25</v>
      </c>
    </row>
    <row r="8" spans="1:70" x14ac:dyDescent="0.2">
      <c r="A8" s="95" t="s">
        <v>429</v>
      </c>
      <c r="B8" s="95">
        <v>120</v>
      </c>
      <c r="C8" s="95" t="b">
        <v>0</v>
      </c>
      <c r="D8" s="95" t="b">
        <v>0</v>
      </c>
      <c r="E8" s="95" t="b">
        <v>0</v>
      </c>
      <c r="F8" s="95" t="b">
        <v>0</v>
      </c>
      <c r="G8" s="95" t="s">
        <v>31</v>
      </c>
      <c r="H8" s="95" t="s">
        <v>430</v>
      </c>
      <c r="I8" s="95" t="s">
        <v>431</v>
      </c>
      <c r="J8" s="95" t="s">
        <v>352</v>
      </c>
      <c r="O8" s="95" t="s">
        <v>11065</v>
      </c>
      <c r="P8" s="95" t="s">
        <v>11065</v>
      </c>
      <c r="Q8" s="98">
        <v>2.0833333333333335E-4</v>
      </c>
      <c r="R8" s="98">
        <v>3.7037037037037035E-4</v>
      </c>
      <c r="S8" s="95">
        <v>0</v>
      </c>
      <c r="T8" s="95" t="s">
        <v>124</v>
      </c>
      <c r="U8" s="95" t="s">
        <v>125</v>
      </c>
      <c r="V8" s="95" t="s">
        <v>38</v>
      </c>
      <c r="Z8" s="95" t="b">
        <v>0</v>
      </c>
      <c r="AB8" s="95">
        <v>4</v>
      </c>
      <c r="AE8" s="95" t="s">
        <v>207</v>
      </c>
      <c r="AF8" s="95" t="s">
        <v>9561</v>
      </c>
      <c r="AH8" s="95" t="b">
        <v>0</v>
      </c>
      <c r="AI8" s="95" t="s">
        <v>11144</v>
      </c>
      <c r="AM8" s="207">
        <v>1.0416666666666667E-4</v>
      </c>
      <c r="AN8" s="207" t="b">
        <v>1</v>
      </c>
      <c r="AO8" s="207" t="b">
        <v>0</v>
      </c>
      <c r="AP8" s="208" t="s">
        <v>9801</v>
      </c>
      <c r="AQ8" s="207">
        <v>0</v>
      </c>
      <c r="AR8" s="207">
        <f t="shared" si="0"/>
        <v>1.0416666666666667E-4</v>
      </c>
      <c r="AS8" s="207">
        <f t="shared" si="1"/>
        <v>-2.0833333333333335E-4</v>
      </c>
      <c r="AT8" s="207">
        <f t="shared" si="2"/>
        <v>-2.6620370370370367E-4</v>
      </c>
      <c r="AU8" s="208" t="s">
        <v>9801</v>
      </c>
      <c r="AV8" s="208" t="s">
        <v>9801</v>
      </c>
      <c r="AW8" s="208" t="s">
        <v>9801</v>
      </c>
      <c r="AX8" s="208" t="s">
        <v>11235</v>
      </c>
      <c r="AY8" s="214">
        <v>1.261574074074074E-3</v>
      </c>
      <c r="AZ8" s="215" t="b">
        <v>1</v>
      </c>
      <c r="BA8" s="215" t="b">
        <v>1</v>
      </c>
      <c r="BB8" s="215">
        <v>3</v>
      </c>
      <c r="BC8" s="214">
        <v>1.3888888888888889E-4</v>
      </c>
      <c r="BD8" s="214">
        <f t="shared" si="5"/>
        <v>1.4004629629629629E-3</v>
      </c>
      <c r="BE8" s="214">
        <f t="shared" si="3"/>
        <v>-6.9444444444444458E-5</v>
      </c>
      <c r="BF8" s="214">
        <f t="shared" si="4"/>
        <v>1.0300925925925926E-3</v>
      </c>
      <c r="BG8" s="215">
        <f t="shared" si="9"/>
        <v>-1</v>
      </c>
      <c r="BH8" s="219">
        <f t="shared" si="8"/>
        <v>0.75</v>
      </c>
      <c r="BI8" s="219">
        <f t="shared" si="7"/>
        <v>0.25</v>
      </c>
    </row>
    <row r="9" spans="1:70" x14ac:dyDescent="0.2">
      <c r="A9" s="95" t="s">
        <v>486</v>
      </c>
      <c r="B9" s="95">
        <v>138</v>
      </c>
      <c r="C9" s="95" t="b">
        <v>0</v>
      </c>
      <c r="D9" s="95" t="b">
        <v>0</v>
      </c>
      <c r="E9" s="95" t="b">
        <v>0</v>
      </c>
      <c r="F9" s="95" t="b">
        <v>0</v>
      </c>
      <c r="G9" s="95" t="s">
        <v>31</v>
      </c>
      <c r="H9" s="95" t="s">
        <v>487</v>
      </c>
      <c r="I9" s="95" t="s">
        <v>488</v>
      </c>
      <c r="J9" s="95" t="s">
        <v>352</v>
      </c>
      <c r="O9" s="95" t="s">
        <v>11064</v>
      </c>
      <c r="P9" s="95" t="s">
        <v>11064</v>
      </c>
      <c r="Q9" s="98">
        <v>3.3564814814814812E-4</v>
      </c>
      <c r="R9" s="98">
        <v>7.6388888888888893E-4</v>
      </c>
      <c r="S9" s="95">
        <v>0</v>
      </c>
      <c r="T9" s="95" t="s">
        <v>124</v>
      </c>
      <c r="U9" s="95" t="s">
        <v>125</v>
      </c>
      <c r="V9" s="95" t="s">
        <v>38</v>
      </c>
      <c r="Z9" s="95" t="b">
        <v>0</v>
      </c>
      <c r="AB9" s="95">
        <v>4</v>
      </c>
      <c r="AE9" s="95" t="s">
        <v>207</v>
      </c>
      <c r="AF9" s="95" t="s">
        <v>9561</v>
      </c>
      <c r="AH9" s="95" t="b">
        <v>0</v>
      </c>
      <c r="AI9" s="95" t="s">
        <v>11145</v>
      </c>
      <c r="AM9" s="207">
        <v>1.0416666666666667E-4</v>
      </c>
      <c r="AN9" s="207" t="b">
        <v>1</v>
      </c>
      <c r="AO9" s="207" t="b">
        <v>0</v>
      </c>
      <c r="AP9" s="208" t="s">
        <v>9801</v>
      </c>
      <c r="AQ9" s="207">
        <v>0</v>
      </c>
      <c r="AR9" s="207">
        <f t="shared" si="0"/>
        <v>1.0416666666666667E-4</v>
      </c>
      <c r="AS9" s="207">
        <f t="shared" si="1"/>
        <v>-3.3564814814814812E-4</v>
      </c>
      <c r="AT9" s="207">
        <f t="shared" si="2"/>
        <v>-6.5972222222222224E-4</v>
      </c>
      <c r="AU9" s="208" t="s">
        <v>9801</v>
      </c>
      <c r="AV9" s="208" t="s">
        <v>9801</v>
      </c>
      <c r="AW9" s="208" t="s">
        <v>9801</v>
      </c>
      <c r="AX9" s="208" t="s">
        <v>11235</v>
      </c>
      <c r="AY9" s="214">
        <v>8.2175925925925917E-4</v>
      </c>
      <c r="AZ9" s="215" t="b">
        <v>1</v>
      </c>
      <c r="BA9" s="215" t="b">
        <v>1</v>
      </c>
      <c r="BB9" s="215">
        <v>4</v>
      </c>
      <c r="BC9" s="214">
        <v>1.6203703703703703E-4</v>
      </c>
      <c r="BD9" s="214">
        <f t="shared" si="5"/>
        <v>9.837962962962962E-4</v>
      </c>
      <c r="BE9" s="214">
        <f t="shared" si="3"/>
        <v>-1.7361111111111109E-4</v>
      </c>
      <c r="BF9" s="214">
        <f t="shared" si="4"/>
        <v>2.1990740740740727E-4</v>
      </c>
      <c r="BG9" s="215">
        <f t="shared" si="9"/>
        <v>0</v>
      </c>
      <c r="BH9" s="219">
        <f t="shared" si="8"/>
        <v>1</v>
      </c>
      <c r="BI9" s="219">
        <f t="shared" si="7"/>
        <v>0</v>
      </c>
    </row>
    <row r="10" spans="1:70" x14ac:dyDescent="0.2">
      <c r="A10" s="95" t="s">
        <v>499</v>
      </c>
      <c r="B10" s="95">
        <v>142</v>
      </c>
      <c r="C10" s="95" t="b">
        <v>0</v>
      </c>
      <c r="D10" s="95" t="b">
        <v>0</v>
      </c>
      <c r="E10" s="95" t="b">
        <v>0</v>
      </c>
      <c r="F10" s="95" t="b">
        <v>0</v>
      </c>
      <c r="G10" s="95" t="s">
        <v>31</v>
      </c>
      <c r="H10" s="95" t="s">
        <v>500</v>
      </c>
      <c r="I10" s="95" t="s">
        <v>501</v>
      </c>
      <c r="J10" s="95" t="s">
        <v>352</v>
      </c>
      <c r="O10" s="95" t="s">
        <v>10854</v>
      </c>
      <c r="P10" s="95" t="s">
        <v>10854</v>
      </c>
      <c r="Q10" s="98">
        <v>2.0833333333333335E-4</v>
      </c>
      <c r="R10" s="98">
        <v>2.5462962962962961E-4</v>
      </c>
      <c r="S10" s="95">
        <v>0</v>
      </c>
      <c r="T10" s="95" t="s">
        <v>124</v>
      </c>
      <c r="U10" s="95" t="s">
        <v>125</v>
      </c>
      <c r="V10" s="95" t="s">
        <v>38</v>
      </c>
      <c r="Z10" s="95" t="b">
        <v>0</v>
      </c>
      <c r="AB10" s="95">
        <v>4</v>
      </c>
      <c r="AE10" s="95" t="s">
        <v>492</v>
      </c>
      <c r="AF10" s="95" t="s">
        <v>9559</v>
      </c>
      <c r="AH10" s="95" t="b">
        <v>0</v>
      </c>
      <c r="AI10" s="95" t="s">
        <v>11146</v>
      </c>
      <c r="AM10" s="207">
        <v>1.273148148148148E-4</v>
      </c>
      <c r="AN10" s="207" t="b">
        <v>1</v>
      </c>
      <c r="AO10" s="207" t="b">
        <v>0</v>
      </c>
      <c r="AP10" s="208" t="s">
        <v>9801</v>
      </c>
      <c r="AQ10" s="207">
        <v>0</v>
      </c>
      <c r="AR10" s="207">
        <f t="shared" si="0"/>
        <v>1.273148148148148E-4</v>
      </c>
      <c r="AS10" s="207">
        <f t="shared" si="1"/>
        <v>-2.0833333333333335E-4</v>
      </c>
      <c r="AT10" s="207">
        <f t="shared" si="2"/>
        <v>-1.273148148148148E-4</v>
      </c>
      <c r="AU10" s="208" t="s">
        <v>9801</v>
      </c>
      <c r="AV10" s="208" t="s">
        <v>9801</v>
      </c>
      <c r="AW10" s="208" t="s">
        <v>9801</v>
      </c>
      <c r="AX10" s="208" t="s">
        <v>11235</v>
      </c>
      <c r="AY10" s="214">
        <v>7.0601851851851847E-4</v>
      </c>
      <c r="AZ10" s="215" t="b">
        <v>1</v>
      </c>
      <c r="BA10" s="215" t="b">
        <v>1</v>
      </c>
      <c r="BB10" s="215">
        <v>5</v>
      </c>
      <c r="BC10" s="214">
        <v>1.9675925925925926E-4</v>
      </c>
      <c r="BD10" s="214">
        <f t="shared" si="5"/>
        <v>9.0277777777777774E-4</v>
      </c>
      <c r="BE10" s="214">
        <f t="shared" si="3"/>
        <v>-1.1574074074074085E-5</v>
      </c>
      <c r="BF10" s="214">
        <f t="shared" si="4"/>
        <v>6.4814814814814813E-4</v>
      </c>
      <c r="BG10" s="215">
        <f t="shared" si="9"/>
        <v>1</v>
      </c>
      <c r="BH10" s="219">
        <f t="shared" si="8"/>
        <v>0.75</v>
      </c>
      <c r="BI10" s="219">
        <f t="shared" si="7"/>
        <v>0.25</v>
      </c>
    </row>
    <row r="11" spans="1:70" x14ac:dyDescent="0.2">
      <c r="A11" s="95" t="s">
        <v>517</v>
      </c>
      <c r="B11" s="95">
        <v>148</v>
      </c>
      <c r="C11" s="95" t="b">
        <v>0</v>
      </c>
      <c r="D11" s="95" t="b">
        <v>0</v>
      </c>
      <c r="E11" s="95" t="b">
        <v>0</v>
      </c>
      <c r="F11" s="95" t="b">
        <v>0</v>
      </c>
      <c r="G11" s="95" t="s">
        <v>31</v>
      </c>
      <c r="H11" s="95" t="s">
        <v>518</v>
      </c>
      <c r="I11" s="95" t="s">
        <v>519</v>
      </c>
      <c r="J11" s="95" t="s">
        <v>352</v>
      </c>
      <c r="O11" s="95" t="s">
        <v>11063</v>
      </c>
      <c r="P11" s="95" t="s">
        <v>11063</v>
      </c>
      <c r="Q11" s="98">
        <v>3.3564814814814812E-4</v>
      </c>
      <c r="R11" s="98">
        <v>5.3240740740740744E-4</v>
      </c>
      <c r="S11" s="95">
        <v>0</v>
      </c>
      <c r="T11" s="95" t="s">
        <v>124</v>
      </c>
      <c r="U11" s="95" t="s">
        <v>125</v>
      </c>
      <c r="V11" s="95" t="s">
        <v>38</v>
      </c>
      <c r="Z11" s="95" t="b">
        <v>0</v>
      </c>
      <c r="AB11" s="95">
        <v>4</v>
      </c>
      <c r="AE11" s="95" t="s">
        <v>492</v>
      </c>
      <c r="AF11" s="95" t="s">
        <v>9559</v>
      </c>
      <c r="AH11" s="95" t="b">
        <v>0</v>
      </c>
      <c r="AI11" s="95" t="s">
        <v>11147</v>
      </c>
      <c r="AM11" s="207">
        <v>1.1574074074074073E-4</v>
      </c>
      <c r="AN11" s="207" t="b">
        <v>1</v>
      </c>
      <c r="AO11" s="207" t="b">
        <v>0</v>
      </c>
      <c r="AP11" s="208" t="s">
        <v>9801</v>
      </c>
      <c r="AQ11" s="207">
        <v>0</v>
      </c>
      <c r="AR11" s="207">
        <f t="shared" si="0"/>
        <v>1.1574074074074073E-4</v>
      </c>
      <c r="AS11" s="207">
        <f t="shared" si="1"/>
        <v>-3.3564814814814812E-4</v>
      </c>
      <c r="AT11" s="207">
        <f t="shared" si="2"/>
        <v>-4.1666666666666669E-4</v>
      </c>
      <c r="AU11" s="208" t="s">
        <v>9801</v>
      </c>
      <c r="AV11" s="208" t="s">
        <v>9801</v>
      </c>
      <c r="AW11" s="208" t="s">
        <v>9801</v>
      </c>
      <c r="AX11" s="208" t="s">
        <v>11235</v>
      </c>
      <c r="AY11" s="214">
        <v>5.5555555555555556E-4</v>
      </c>
      <c r="AZ11" s="215" t="b">
        <v>1</v>
      </c>
      <c r="BA11" s="215" t="b">
        <v>1</v>
      </c>
      <c r="BB11" s="215">
        <v>5</v>
      </c>
      <c r="BC11" s="214">
        <v>1.6203703703703703E-4</v>
      </c>
      <c r="BD11" s="214">
        <f t="shared" si="5"/>
        <v>7.1759259259259259E-4</v>
      </c>
      <c r="BE11" s="214">
        <f t="shared" si="3"/>
        <v>-1.7361111111111109E-4</v>
      </c>
      <c r="BF11" s="214">
        <f t="shared" si="4"/>
        <v>1.8518518518518515E-4</v>
      </c>
      <c r="BG11" s="215">
        <f t="shared" si="9"/>
        <v>1</v>
      </c>
      <c r="BH11" s="219">
        <f t="shared" si="8"/>
        <v>0.75</v>
      </c>
      <c r="BI11" s="219">
        <f t="shared" si="7"/>
        <v>0.25</v>
      </c>
    </row>
    <row r="12" spans="1:70" x14ac:dyDescent="0.2">
      <c r="A12" s="95" t="s">
        <v>689</v>
      </c>
      <c r="B12" s="95">
        <v>202</v>
      </c>
      <c r="C12" s="95" t="b">
        <v>0</v>
      </c>
      <c r="D12" s="95" t="b">
        <v>0</v>
      </c>
      <c r="E12" s="95" t="b">
        <v>0</v>
      </c>
      <c r="F12" s="95" t="b">
        <v>0</v>
      </c>
      <c r="G12" s="95" t="s">
        <v>31</v>
      </c>
      <c r="H12" s="95" t="s">
        <v>690</v>
      </c>
      <c r="I12" s="95" t="s">
        <v>691</v>
      </c>
      <c r="J12" s="95" t="s">
        <v>675</v>
      </c>
      <c r="O12" s="95" t="s">
        <v>10879</v>
      </c>
      <c r="P12" s="95" t="s">
        <v>10879</v>
      </c>
      <c r="Q12" s="98">
        <v>1.7361111111111112E-4</v>
      </c>
      <c r="R12" s="98">
        <v>1.0648148148148147E-3</v>
      </c>
      <c r="S12" s="95">
        <v>0</v>
      </c>
      <c r="T12" s="95" t="s">
        <v>124</v>
      </c>
      <c r="U12" s="95" t="s">
        <v>125</v>
      </c>
      <c r="V12" s="95" t="s">
        <v>38</v>
      </c>
      <c r="Z12" s="95" t="b">
        <v>0</v>
      </c>
      <c r="AB12" s="95">
        <v>4</v>
      </c>
      <c r="AE12" s="95" t="s">
        <v>688</v>
      </c>
      <c r="AF12" s="95" t="s">
        <v>9555</v>
      </c>
      <c r="AH12" s="95" t="b">
        <v>0</v>
      </c>
      <c r="AI12" s="95" t="s">
        <v>11148</v>
      </c>
      <c r="AM12" s="207">
        <v>1.3888888888888889E-4</v>
      </c>
      <c r="AN12" s="207" t="b">
        <v>1</v>
      </c>
      <c r="AO12" s="207" t="b">
        <v>0</v>
      </c>
      <c r="AP12" s="208" t="s">
        <v>9801</v>
      </c>
      <c r="AQ12" s="207">
        <v>0</v>
      </c>
      <c r="AR12" s="207">
        <f t="shared" si="0"/>
        <v>1.3888888888888889E-4</v>
      </c>
      <c r="AS12" s="207">
        <f t="shared" si="1"/>
        <v>-1.7361111111111112E-4</v>
      </c>
      <c r="AT12" s="207">
        <f t="shared" si="2"/>
        <v>-9.2592592592592574E-4</v>
      </c>
      <c r="AU12" s="208" t="s">
        <v>9801</v>
      </c>
      <c r="AV12" s="208" t="s">
        <v>9801</v>
      </c>
      <c r="AW12" s="208" t="s">
        <v>9801</v>
      </c>
      <c r="AX12" s="208" t="s">
        <v>11235</v>
      </c>
      <c r="AY12" s="214">
        <v>3.2407407407407406E-4</v>
      </c>
      <c r="AZ12" s="215" t="b">
        <v>1</v>
      </c>
      <c r="BA12" s="215" t="b">
        <v>1</v>
      </c>
      <c r="BB12" s="215">
        <v>8</v>
      </c>
      <c r="BC12" s="214">
        <v>2.5462962962962961E-4</v>
      </c>
      <c r="BD12" s="214">
        <f t="shared" si="5"/>
        <v>5.7870370370370367E-4</v>
      </c>
      <c r="BE12" s="214">
        <f t="shared" si="3"/>
        <v>8.1018518518518489E-5</v>
      </c>
      <c r="BF12" s="214">
        <f t="shared" si="4"/>
        <v>-4.8611111111111099E-4</v>
      </c>
      <c r="BG12" s="215">
        <f t="shared" si="9"/>
        <v>4</v>
      </c>
      <c r="BH12" s="219">
        <f t="shared" si="8"/>
        <v>0</v>
      </c>
      <c r="BI12" s="219">
        <f t="shared" si="7"/>
        <v>1</v>
      </c>
    </row>
    <row r="13" spans="1:70" x14ac:dyDescent="0.2">
      <c r="A13" s="95" t="s">
        <v>704</v>
      </c>
      <c r="B13" s="95">
        <v>207</v>
      </c>
      <c r="C13" s="95" t="b">
        <v>0</v>
      </c>
      <c r="D13" s="95" t="b">
        <v>0</v>
      </c>
      <c r="E13" s="95" t="b">
        <v>0</v>
      </c>
      <c r="F13" s="95" t="b">
        <v>0</v>
      </c>
      <c r="G13" s="95" t="s">
        <v>31</v>
      </c>
      <c r="H13" s="95" t="s">
        <v>705</v>
      </c>
      <c r="I13" s="95" t="s">
        <v>706</v>
      </c>
      <c r="J13" s="95" t="s">
        <v>675</v>
      </c>
      <c r="O13" s="95" t="s">
        <v>11062</v>
      </c>
      <c r="P13" s="95" t="s">
        <v>11062</v>
      </c>
      <c r="Q13" s="98">
        <v>1.6203703703703703E-4</v>
      </c>
      <c r="R13" s="98">
        <v>2.0833333333333335E-4</v>
      </c>
      <c r="S13" s="95">
        <v>0</v>
      </c>
      <c r="T13" s="95" t="s">
        <v>124</v>
      </c>
      <c r="U13" s="95" t="s">
        <v>125</v>
      </c>
      <c r="V13" s="95" t="s">
        <v>38</v>
      </c>
      <c r="Z13" s="95" t="b">
        <v>0</v>
      </c>
      <c r="AB13" s="95">
        <v>4</v>
      </c>
      <c r="AE13" s="95" t="s">
        <v>688</v>
      </c>
      <c r="AF13" s="95" t="s">
        <v>9555</v>
      </c>
      <c r="AH13" s="95" t="b">
        <v>0</v>
      </c>
      <c r="AI13" s="47" t="s">
        <v>11149</v>
      </c>
      <c r="AM13" s="207">
        <v>1.3888888888888889E-4</v>
      </c>
      <c r="AN13" s="207" t="b">
        <v>1</v>
      </c>
      <c r="AO13" s="207" t="b">
        <v>0</v>
      </c>
      <c r="AP13" s="208" t="s">
        <v>9801</v>
      </c>
      <c r="AQ13" s="207">
        <v>0</v>
      </c>
      <c r="AR13" s="207">
        <f t="shared" si="0"/>
        <v>1.3888888888888889E-4</v>
      </c>
      <c r="AS13" s="207">
        <f t="shared" si="1"/>
        <v>-1.6203703703703703E-4</v>
      </c>
      <c r="AT13" s="207">
        <f t="shared" si="2"/>
        <v>-6.9444444444444458E-5</v>
      </c>
      <c r="AU13" s="208" t="s">
        <v>9801</v>
      </c>
      <c r="AV13" s="208" t="s">
        <v>9801</v>
      </c>
      <c r="AW13" s="208" t="s">
        <v>9801</v>
      </c>
      <c r="AX13" s="208" t="s">
        <v>11235</v>
      </c>
      <c r="AY13" s="214">
        <v>5.7870370370370378E-4</v>
      </c>
      <c r="AZ13" s="215" t="b">
        <v>1</v>
      </c>
      <c r="BA13" s="215" t="b">
        <v>1</v>
      </c>
      <c r="BB13" s="215">
        <v>4</v>
      </c>
      <c r="BC13" s="214">
        <v>1.273148148148148E-4</v>
      </c>
      <c r="BD13" s="214">
        <f t="shared" si="5"/>
        <v>7.0601851851851858E-4</v>
      </c>
      <c r="BE13" s="214">
        <f t="shared" si="3"/>
        <v>-3.4722222222222229E-5</v>
      </c>
      <c r="BF13" s="214">
        <f t="shared" si="4"/>
        <v>4.9768518518518521E-4</v>
      </c>
      <c r="BG13" s="215">
        <f t="shared" si="9"/>
        <v>0</v>
      </c>
      <c r="BH13" s="219">
        <f t="shared" si="8"/>
        <v>1</v>
      </c>
      <c r="BI13" s="219">
        <f t="shared" si="7"/>
        <v>0</v>
      </c>
    </row>
    <row r="14" spans="1:70" x14ac:dyDescent="0.2">
      <c r="A14" s="95" t="s">
        <v>846</v>
      </c>
      <c r="B14" s="95">
        <v>253</v>
      </c>
      <c r="C14" s="95" t="b">
        <v>0</v>
      </c>
      <c r="D14" s="95" t="b">
        <v>0</v>
      </c>
      <c r="E14" s="95" t="b">
        <v>0</v>
      </c>
      <c r="F14" s="95" t="b">
        <v>0</v>
      </c>
      <c r="G14" s="95" t="s">
        <v>31</v>
      </c>
      <c r="H14" s="95" t="s">
        <v>847</v>
      </c>
      <c r="I14" s="95" t="s">
        <v>848</v>
      </c>
      <c r="J14" s="95" t="s">
        <v>675</v>
      </c>
      <c r="O14" s="95" t="s">
        <v>10878</v>
      </c>
      <c r="P14" s="95" t="s">
        <v>10878</v>
      </c>
      <c r="Q14" s="98">
        <v>3.3564814814814812E-4</v>
      </c>
      <c r="R14" s="98">
        <v>8.7962962962962962E-4</v>
      </c>
      <c r="S14" s="95">
        <v>0</v>
      </c>
      <c r="T14" s="95" t="s">
        <v>124</v>
      </c>
      <c r="U14" s="95" t="s">
        <v>125</v>
      </c>
      <c r="V14" s="95" t="s">
        <v>38</v>
      </c>
      <c r="Z14" s="95" t="b">
        <v>0</v>
      </c>
      <c r="AB14" s="95">
        <v>4</v>
      </c>
      <c r="AE14" s="95" t="s">
        <v>792</v>
      </c>
      <c r="AF14" s="95" t="s">
        <v>9552</v>
      </c>
      <c r="AH14" s="95" t="b">
        <v>0</v>
      </c>
      <c r="AI14" s="95" t="s">
        <v>11150</v>
      </c>
      <c r="AM14" s="207">
        <v>1.3888888888888889E-4</v>
      </c>
      <c r="AN14" s="207" t="b">
        <v>1</v>
      </c>
      <c r="AO14" s="207" t="b">
        <v>0</v>
      </c>
      <c r="AP14" s="208" t="s">
        <v>9801</v>
      </c>
      <c r="AQ14" s="207">
        <v>0</v>
      </c>
      <c r="AR14" s="207">
        <f t="shared" si="0"/>
        <v>1.3888888888888889E-4</v>
      </c>
      <c r="AS14" s="207">
        <f t="shared" si="1"/>
        <v>-3.3564814814814812E-4</v>
      </c>
      <c r="AT14" s="207">
        <f t="shared" si="2"/>
        <v>-7.407407407407407E-4</v>
      </c>
      <c r="AU14" s="208" t="s">
        <v>9801</v>
      </c>
      <c r="AV14" s="208" t="s">
        <v>9801</v>
      </c>
      <c r="AW14" s="208" t="s">
        <v>9801</v>
      </c>
      <c r="AX14" s="208" t="s">
        <v>11235</v>
      </c>
      <c r="AY14" s="214">
        <v>1.0879629629629629E-3</v>
      </c>
      <c r="AZ14" s="215" t="b">
        <v>1</v>
      </c>
      <c r="BA14" s="215" t="b">
        <v>1</v>
      </c>
      <c r="BB14" s="215">
        <v>5</v>
      </c>
      <c r="BC14" s="214">
        <v>1.7361111111111112E-4</v>
      </c>
      <c r="BD14" s="214">
        <f t="shared" si="5"/>
        <v>1.261574074074074E-3</v>
      </c>
      <c r="BE14" s="214">
        <f t="shared" si="3"/>
        <v>-1.6203703703703701E-4</v>
      </c>
      <c r="BF14" s="214">
        <f t="shared" si="4"/>
        <v>3.8194444444444441E-4</v>
      </c>
      <c r="BG14" s="215">
        <f t="shared" si="9"/>
        <v>1</v>
      </c>
      <c r="BH14" s="219">
        <f t="shared" si="8"/>
        <v>0.75</v>
      </c>
      <c r="BI14" s="219">
        <f t="shared" si="7"/>
        <v>0.25</v>
      </c>
    </row>
    <row r="15" spans="1:70" x14ac:dyDescent="0.2">
      <c r="A15" s="95" t="s">
        <v>856</v>
      </c>
      <c r="B15" s="95">
        <v>256</v>
      </c>
      <c r="C15" s="95" t="b">
        <v>0</v>
      </c>
      <c r="D15" s="95" t="b">
        <v>0</v>
      </c>
      <c r="E15" s="95" t="b">
        <v>0</v>
      </c>
      <c r="F15" s="95" t="b">
        <v>0</v>
      </c>
      <c r="G15" s="95" t="s">
        <v>31</v>
      </c>
      <c r="H15" s="95" t="s">
        <v>857</v>
      </c>
      <c r="I15" s="95" t="s">
        <v>858</v>
      </c>
      <c r="J15" s="95" t="s">
        <v>675</v>
      </c>
      <c r="O15" s="95" t="s">
        <v>10853</v>
      </c>
      <c r="P15" s="95" t="s">
        <v>10853</v>
      </c>
      <c r="Q15" s="98">
        <v>4.5138888888888892E-4</v>
      </c>
      <c r="R15" s="98">
        <v>5.6712962962962956E-4</v>
      </c>
      <c r="S15" s="95">
        <v>0</v>
      </c>
      <c r="T15" s="95" t="s">
        <v>124</v>
      </c>
      <c r="U15" s="95" t="s">
        <v>125</v>
      </c>
      <c r="V15" s="95" t="s">
        <v>38</v>
      </c>
      <c r="Z15" s="95" t="b">
        <v>0</v>
      </c>
      <c r="AB15" s="95">
        <v>4</v>
      </c>
      <c r="AE15" s="95" t="s">
        <v>792</v>
      </c>
      <c r="AF15" s="95" t="s">
        <v>9552</v>
      </c>
      <c r="AH15" s="95" t="b">
        <v>0</v>
      </c>
      <c r="AI15" s="95" t="s">
        <v>11151</v>
      </c>
      <c r="AM15" s="207">
        <v>1.273148148148148E-4</v>
      </c>
      <c r="AN15" s="207" t="b">
        <v>1</v>
      </c>
      <c r="AO15" s="207" t="b">
        <v>0</v>
      </c>
      <c r="AP15" s="208" t="s">
        <v>9801</v>
      </c>
      <c r="AQ15" s="207">
        <v>0</v>
      </c>
      <c r="AR15" s="207">
        <f t="shared" si="0"/>
        <v>1.273148148148148E-4</v>
      </c>
      <c r="AS15" s="207">
        <f t="shared" si="1"/>
        <v>-4.5138888888888892E-4</v>
      </c>
      <c r="AT15" s="207">
        <f t="shared" si="2"/>
        <v>-4.3981481481481476E-4</v>
      </c>
      <c r="AU15" s="208" t="s">
        <v>9801</v>
      </c>
      <c r="AV15" s="208" t="s">
        <v>9801</v>
      </c>
      <c r="AW15" s="208" t="s">
        <v>9801</v>
      </c>
      <c r="AX15" s="208" t="s">
        <v>11235</v>
      </c>
      <c r="AY15" s="214">
        <v>6.5972222222222213E-4</v>
      </c>
      <c r="AZ15" s="215" t="b">
        <v>1</v>
      </c>
      <c r="BA15" s="215" t="b">
        <v>1</v>
      </c>
      <c r="BB15" s="215">
        <v>4</v>
      </c>
      <c r="BC15" s="214">
        <v>1.7361111111111112E-4</v>
      </c>
      <c r="BD15" s="214">
        <f t="shared" si="5"/>
        <v>8.3333333333333328E-4</v>
      </c>
      <c r="BE15" s="214">
        <f t="shared" si="3"/>
        <v>-2.7777777777777783E-4</v>
      </c>
      <c r="BF15" s="214">
        <f t="shared" si="4"/>
        <v>2.6620370370370372E-4</v>
      </c>
      <c r="BG15" s="215">
        <f t="shared" si="9"/>
        <v>0</v>
      </c>
      <c r="BH15" s="219">
        <f t="shared" si="8"/>
        <v>1</v>
      </c>
      <c r="BI15" s="219">
        <f t="shared" si="7"/>
        <v>0</v>
      </c>
    </row>
    <row r="16" spans="1:70" x14ac:dyDescent="0.2">
      <c r="A16" s="95" t="s">
        <v>874</v>
      </c>
      <c r="B16" s="95">
        <v>262</v>
      </c>
      <c r="C16" s="95" t="b">
        <v>0</v>
      </c>
      <c r="D16" s="95" t="b">
        <v>0</v>
      </c>
      <c r="E16" s="95" t="b">
        <v>0</v>
      </c>
      <c r="F16" s="95" t="b">
        <v>0</v>
      </c>
      <c r="G16" s="95" t="s">
        <v>31</v>
      </c>
      <c r="H16" s="95" t="s">
        <v>875</v>
      </c>
      <c r="I16" s="95" t="s">
        <v>876</v>
      </c>
      <c r="J16" s="95" t="s">
        <v>675</v>
      </c>
      <c r="O16" s="95" t="s">
        <v>11061</v>
      </c>
      <c r="P16" s="95" t="s">
        <v>11061</v>
      </c>
      <c r="Q16" s="98">
        <v>1.6203703703703703E-4</v>
      </c>
      <c r="R16" s="98">
        <v>4.0509259259259258E-4</v>
      </c>
      <c r="S16" s="95">
        <v>0</v>
      </c>
      <c r="T16" s="95" t="s">
        <v>124</v>
      </c>
      <c r="U16" s="95" t="s">
        <v>125</v>
      </c>
      <c r="V16" s="95" t="s">
        <v>38</v>
      </c>
      <c r="Z16" s="95" t="b">
        <v>0</v>
      </c>
      <c r="AB16" s="95">
        <v>4</v>
      </c>
      <c r="AE16" s="95" t="s">
        <v>792</v>
      </c>
      <c r="AF16" s="95" t="s">
        <v>9552</v>
      </c>
      <c r="AH16" s="95" t="b">
        <v>0</v>
      </c>
      <c r="AI16" s="95" t="s">
        <v>11152</v>
      </c>
      <c r="AM16" s="207">
        <v>1.3888888888888889E-4</v>
      </c>
      <c r="AN16" s="207" t="b">
        <v>1</v>
      </c>
      <c r="AO16" s="207" t="b">
        <v>0</v>
      </c>
      <c r="AP16" s="208" t="s">
        <v>9801</v>
      </c>
      <c r="AQ16" s="207">
        <v>0</v>
      </c>
      <c r="AR16" s="207">
        <f t="shared" si="0"/>
        <v>1.3888888888888889E-4</v>
      </c>
      <c r="AS16" s="207">
        <f t="shared" si="1"/>
        <v>-1.6203703703703703E-4</v>
      </c>
      <c r="AT16" s="207">
        <f t="shared" si="2"/>
        <v>-2.6620370370370372E-4</v>
      </c>
      <c r="AU16" s="208" t="s">
        <v>9801</v>
      </c>
      <c r="AV16" s="208" t="s">
        <v>9801</v>
      </c>
      <c r="AW16" s="208" t="s">
        <v>9801</v>
      </c>
      <c r="AX16" s="208" t="s">
        <v>11235</v>
      </c>
      <c r="AY16" s="214">
        <v>4.9768518518518521E-4</v>
      </c>
      <c r="AZ16" s="215" t="b">
        <v>1</v>
      </c>
      <c r="BA16" s="215" t="b">
        <v>1</v>
      </c>
      <c r="BB16" s="215">
        <v>6</v>
      </c>
      <c r="BC16" s="214">
        <v>1.5046296296296297E-4</v>
      </c>
      <c r="BD16" s="214">
        <f t="shared" si="5"/>
        <v>6.4814814814814813E-4</v>
      </c>
      <c r="BE16" s="214">
        <f t="shared" si="3"/>
        <v>-1.1574074074074058E-5</v>
      </c>
      <c r="BF16" s="214">
        <f t="shared" si="4"/>
        <v>2.4305555555555555E-4</v>
      </c>
      <c r="BG16" s="215">
        <f t="shared" si="9"/>
        <v>2</v>
      </c>
      <c r="BH16" s="219">
        <f t="shared" si="8"/>
        <v>0.5</v>
      </c>
      <c r="BI16" s="219">
        <f t="shared" si="7"/>
        <v>0.5</v>
      </c>
    </row>
    <row r="17" spans="1:61" x14ac:dyDescent="0.2">
      <c r="A17" s="95" t="s">
        <v>915</v>
      </c>
      <c r="B17" s="95">
        <v>275</v>
      </c>
      <c r="C17" s="95" t="b">
        <v>0</v>
      </c>
      <c r="D17" s="95" t="b">
        <v>0</v>
      </c>
      <c r="E17" s="95" t="b">
        <v>0</v>
      </c>
      <c r="F17" s="95" t="b">
        <v>0</v>
      </c>
      <c r="G17" s="95" t="s">
        <v>31</v>
      </c>
      <c r="H17" s="95" t="s">
        <v>916</v>
      </c>
      <c r="I17" s="95" t="s">
        <v>917</v>
      </c>
      <c r="J17" s="95" t="s">
        <v>675</v>
      </c>
      <c r="O17" s="95" t="s">
        <v>11060</v>
      </c>
      <c r="P17" s="95" t="s">
        <v>11060</v>
      </c>
      <c r="Q17" s="98">
        <v>2.4305555555555552E-4</v>
      </c>
      <c r="R17" s="98">
        <v>3.1250000000000001E-4</v>
      </c>
      <c r="S17" s="95">
        <v>0</v>
      </c>
      <c r="T17" s="95" t="s">
        <v>124</v>
      </c>
      <c r="U17" s="95" t="s">
        <v>125</v>
      </c>
      <c r="V17" s="95" t="s">
        <v>38</v>
      </c>
      <c r="Z17" s="95" t="b">
        <v>0</v>
      </c>
      <c r="AB17" s="95">
        <v>4</v>
      </c>
      <c r="AE17" s="95" t="s">
        <v>792</v>
      </c>
      <c r="AF17" s="95" t="s">
        <v>9552</v>
      </c>
      <c r="AH17" s="95" t="b">
        <v>0</v>
      </c>
      <c r="AI17" s="95" t="s">
        <v>11153</v>
      </c>
      <c r="AM17" s="207">
        <v>1.1574074074074073E-4</v>
      </c>
      <c r="AN17" s="207" t="b">
        <v>1</v>
      </c>
      <c r="AO17" s="207" t="b">
        <v>0</v>
      </c>
      <c r="AP17" s="208" t="s">
        <v>9801</v>
      </c>
      <c r="AQ17" s="207">
        <v>0</v>
      </c>
      <c r="AR17" s="207">
        <f t="shared" si="0"/>
        <v>1.1574074074074073E-4</v>
      </c>
      <c r="AS17" s="207">
        <f t="shared" si="1"/>
        <v>-2.4305555555555552E-4</v>
      </c>
      <c r="AT17" s="207">
        <f t="shared" si="2"/>
        <v>-1.9675925925925926E-4</v>
      </c>
      <c r="AU17" s="208" t="s">
        <v>9801</v>
      </c>
      <c r="AV17" s="208" t="s">
        <v>9801</v>
      </c>
      <c r="AW17" s="208" t="s">
        <v>9801</v>
      </c>
      <c r="AX17" s="208" t="s">
        <v>11235</v>
      </c>
      <c r="AY17" s="214">
        <v>8.9120370370370362E-4</v>
      </c>
      <c r="AZ17" s="215" t="b">
        <v>1</v>
      </c>
      <c r="BA17" s="215" t="b">
        <v>1</v>
      </c>
      <c r="BB17" s="215">
        <v>4</v>
      </c>
      <c r="BC17" s="214">
        <v>1.9675925925925926E-4</v>
      </c>
      <c r="BD17" s="214">
        <f t="shared" si="5"/>
        <v>1.0879629629629629E-3</v>
      </c>
      <c r="BE17" s="214">
        <f t="shared" si="3"/>
        <v>-4.629629629629626E-5</v>
      </c>
      <c r="BF17" s="214">
        <f t="shared" si="4"/>
        <v>7.7546296296296282E-4</v>
      </c>
      <c r="BG17" s="215">
        <f t="shared" si="9"/>
        <v>0</v>
      </c>
      <c r="BH17" s="219">
        <f t="shared" si="8"/>
        <v>1</v>
      </c>
      <c r="BI17" s="219">
        <f t="shared" si="7"/>
        <v>0</v>
      </c>
    </row>
    <row r="18" spans="1:61" x14ac:dyDescent="0.2">
      <c r="A18" s="95" t="s">
        <v>966</v>
      </c>
      <c r="B18" s="95">
        <v>291</v>
      </c>
      <c r="C18" s="95" t="b">
        <v>0</v>
      </c>
      <c r="D18" s="95" t="b">
        <v>0</v>
      </c>
      <c r="E18" s="95" t="b">
        <v>0</v>
      </c>
      <c r="F18" s="95" t="b">
        <v>0</v>
      </c>
      <c r="G18" s="95" t="s">
        <v>31</v>
      </c>
      <c r="H18" s="95" t="s">
        <v>967</v>
      </c>
      <c r="I18" s="95" t="s">
        <v>968</v>
      </c>
      <c r="J18" s="95" t="s">
        <v>969</v>
      </c>
      <c r="O18" s="95" t="s">
        <v>11059</v>
      </c>
      <c r="P18" s="95" t="s">
        <v>11058</v>
      </c>
      <c r="Q18" s="98">
        <v>3.4722222222222224E-4</v>
      </c>
      <c r="R18" s="98">
        <v>7.175925925925927E-4</v>
      </c>
      <c r="S18" s="95">
        <v>0</v>
      </c>
      <c r="T18" s="95" t="s">
        <v>124</v>
      </c>
      <c r="U18" s="95" t="s">
        <v>125</v>
      </c>
      <c r="V18" s="95" t="s">
        <v>38</v>
      </c>
      <c r="Z18" s="95" t="b">
        <v>0</v>
      </c>
      <c r="AB18" s="95">
        <v>4</v>
      </c>
      <c r="AE18" s="95" t="s">
        <v>941</v>
      </c>
      <c r="AF18" s="95" t="s">
        <v>9550</v>
      </c>
      <c r="AH18" s="95" t="b">
        <v>0</v>
      </c>
      <c r="AI18" s="47" t="s">
        <v>11154</v>
      </c>
      <c r="AM18" s="207">
        <v>1.273148148148148E-4</v>
      </c>
      <c r="AN18" s="207" t="b">
        <v>1</v>
      </c>
      <c r="AO18" s="207" t="b">
        <v>0</v>
      </c>
      <c r="AP18" s="208" t="s">
        <v>9801</v>
      </c>
      <c r="AQ18" s="207">
        <v>0</v>
      </c>
      <c r="AR18" s="207">
        <f t="shared" si="0"/>
        <v>1.273148148148148E-4</v>
      </c>
      <c r="AS18" s="207">
        <f t="shared" si="1"/>
        <v>-3.4722222222222224E-4</v>
      </c>
      <c r="AT18" s="207">
        <f t="shared" si="2"/>
        <v>-5.9027777777777789E-4</v>
      </c>
      <c r="AU18" s="208" t="s">
        <v>9801</v>
      </c>
      <c r="AV18" s="208" t="s">
        <v>9801</v>
      </c>
      <c r="AW18" s="208" t="s">
        <v>9801</v>
      </c>
      <c r="AX18" s="208" t="s">
        <v>11235</v>
      </c>
      <c r="AY18" s="214">
        <v>8.7962962962962962E-4</v>
      </c>
      <c r="AZ18" s="215" t="b">
        <v>1</v>
      </c>
      <c r="BA18" s="215" t="b">
        <v>1</v>
      </c>
      <c r="BB18" s="215">
        <v>4</v>
      </c>
      <c r="BC18" s="214">
        <v>1.273148148148148E-4</v>
      </c>
      <c r="BD18" s="214">
        <f t="shared" si="5"/>
        <v>1.0069444444444444E-3</v>
      </c>
      <c r="BE18" s="214">
        <f t="shared" si="3"/>
        <v>-2.1990740740740743E-4</v>
      </c>
      <c r="BF18" s="214">
        <f t="shared" si="4"/>
        <v>2.8935185185185173E-4</v>
      </c>
      <c r="BG18" s="215">
        <f t="shared" si="9"/>
        <v>0</v>
      </c>
      <c r="BH18" s="219">
        <f t="shared" si="8"/>
        <v>1</v>
      </c>
      <c r="BI18" s="219">
        <f t="shared" si="7"/>
        <v>0</v>
      </c>
    </row>
    <row r="19" spans="1:61" x14ac:dyDescent="0.2">
      <c r="A19" s="95" t="s">
        <v>1383</v>
      </c>
      <c r="B19" s="95">
        <v>419</v>
      </c>
      <c r="C19" s="95" t="b">
        <v>0</v>
      </c>
      <c r="D19" s="95" t="b">
        <v>0</v>
      </c>
      <c r="E19" s="95" t="b">
        <v>0</v>
      </c>
      <c r="F19" s="95" t="b">
        <v>0</v>
      </c>
      <c r="G19" s="95" t="s">
        <v>31</v>
      </c>
      <c r="H19" s="95" t="s">
        <v>1384</v>
      </c>
      <c r="I19" s="95" t="s">
        <v>1385</v>
      </c>
      <c r="J19" s="95" t="s">
        <v>675</v>
      </c>
      <c r="O19" s="95" t="s">
        <v>11057</v>
      </c>
      <c r="P19" s="95" t="s">
        <v>11057</v>
      </c>
      <c r="Q19" s="98">
        <v>1.9675925925925926E-4</v>
      </c>
      <c r="R19" s="98">
        <v>2.5000000000000001E-3</v>
      </c>
      <c r="S19" s="95">
        <v>0</v>
      </c>
      <c r="T19" s="95" t="s">
        <v>124</v>
      </c>
      <c r="U19" s="95" t="s">
        <v>125</v>
      </c>
      <c r="V19" s="95" t="s">
        <v>38</v>
      </c>
      <c r="Z19" s="95" t="b">
        <v>0</v>
      </c>
      <c r="AB19" s="95">
        <v>4</v>
      </c>
      <c r="AE19" s="95" t="s">
        <v>1117</v>
      </c>
      <c r="AF19" s="95" t="s">
        <v>9541</v>
      </c>
      <c r="AH19" s="95" t="b">
        <v>0</v>
      </c>
      <c r="AI19" s="95" t="s">
        <v>11155</v>
      </c>
      <c r="AM19" s="207">
        <v>1.1574074074074073E-4</v>
      </c>
      <c r="AN19" s="207" t="b">
        <v>1</v>
      </c>
      <c r="AO19" s="207" t="b">
        <v>0</v>
      </c>
      <c r="AP19" s="208" t="s">
        <v>9801</v>
      </c>
      <c r="AQ19" s="207">
        <v>0</v>
      </c>
      <c r="AR19" s="207">
        <f t="shared" si="0"/>
        <v>1.1574074074074073E-4</v>
      </c>
      <c r="AS19" s="207">
        <f t="shared" si="1"/>
        <v>-1.9675925925925926E-4</v>
      </c>
      <c r="AT19" s="207">
        <f t="shared" si="2"/>
        <v>-2.3842592592592591E-3</v>
      </c>
      <c r="AU19" s="208" t="s">
        <v>9801</v>
      </c>
      <c r="AV19" s="208" t="s">
        <v>9801</v>
      </c>
      <c r="AW19" s="208" t="s">
        <v>9801</v>
      </c>
      <c r="AX19" s="208" t="s">
        <v>11235</v>
      </c>
      <c r="AY19" s="214">
        <v>4.9768518518518521E-4</v>
      </c>
      <c r="AZ19" s="215" t="b">
        <v>1</v>
      </c>
      <c r="BA19" s="215" t="b">
        <v>1</v>
      </c>
      <c r="BB19" s="215">
        <v>5</v>
      </c>
      <c r="BC19" s="214">
        <v>1.273148148148148E-4</v>
      </c>
      <c r="BD19" s="214">
        <f t="shared" si="5"/>
        <v>6.2500000000000001E-4</v>
      </c>
      <c r="BE19" s="214">
        <f t="shared" si="3"/>
        <v>-6.9444444444444458E-5</v>
      </c>
      <c r="BF19" s="214">
        <f t="shared" si="4"/>
        <v>-1.8749999999999999E-3</v>
      </c>
      <c r="BG19" s="215">
        <f t="shared" si="9"/>
        <v>1</v>
      </c>
      <c r="BH19" s="219">
        <f t="shared" si="8"/>
        <v>0.75</v>
      </c>
      <c r="BI19" s="219">
        <f t="shared" si="7"/>
        <v>0.25</v>
      </c>
    </row>
    <row r="20" spans="1:61" x14ac:dyDescent="0.2">
      <c r="A20" s="95" t="s">
        <v>1519</v>
      </c>
      <c r="B20" s="95">
        <v>462</v>
      </c>
      <c r="C20" s="95" t="b">
        <v>0</v>
      </c>
      <c r="D20" s="95" t="b">
        <v>0</v>
      </c>
      <c r="E20" s="95" t="b">
        <v>0</v>
      </c>
      <c r="F20" s="95" t="b">
        <v>0</v>
      </c>
      <c r="G20" s="95" t="s">
        <v>31</v>
      </c>
      <c r="H20" s="95" t="s">
        <v>1520</v>
      </c>
      <c r="I20" s="95" t="s">
        <v>1521</v>
      </c>
      <c r="J20" s="95" t="s">
        <v>675</v>
      </c>
      <c r="O20" s="95" t="s">
        <v>11056</v>
      </c>
      <c r="P20" s="95" t="s">
        <v>11055</v>
      </c>
      <c r="Q20" s="98">
        <v>2.0833333333333335E-4</v>
      </c>
      <c r="R20" s="98">
        <v>9.4907407407407408E-4</v>
      </c>
      <c r="S20" s="95">
        <v>0</v>
      </c>
      <c r="T20" s="95" t="s">
        <v>124</v>
      </c>
      <c r="U20" s="95" t="s">
        <v>125</v>
      </c>
      <c r="V20" s="95" t="s">
        <v>38</v>
      </c>
      <c r="Z20" s="95" t="b">
        <v>0</v>
      </c>
      <c r="AB20" s="95">
        <v>4</v>
      </c>
      <c r="AE20" s="95" t="s">
        <v>1464</v>
      </c>
      <c r="AF20" s="95" t="s">
        <v>9537</v>
      </c>
      <c r="AH20" s="95" t="b">
        <v>0</v>
      </c>
      <c r="AI20" s="95" t="s">
        <v>11156</v>
      </c>
      <c r="AM20" s="207">
        <v>1.0416666666666667E-4</v>
      </c>
      <c r="AN20" s="207" t="b">
        <v>1</v>
      </c>
      <c r="AO20" s="207" t="b">
        <v>0</v>
      </c>
      <c r="AP20" s="208" t="s">
        <v>9801</v>
      </c>
      <c r="AQ20" s="207">
        <v>0</v>
      </c>
      <c r="AR20" s="207">
        <f t="shared" si="0"/>
        <v>1.0416666666666667E-4</v>
      </c>
      <c r="AS20" s="207">
        <f t="shared" si="1"/>
        <v>-2.0833333333333335E-4</v>
      </c>
      <c r="AT20" s="207">
        <f t="shared" si="2"/>
        <v>-8.4490740740740739E-4</v>
      </c>
      <c r="AU20" s="208" t="s">
        <v>9801</v>
      </c>
      <c r="AV20" s="208" t="s">
        <v>9801</v>
      </c>
      <c r="AW20" s="208" t="s">
        <v>9801</v>
      </c>
      <c r="AX20" s="208" t="s">
        <v>11235</v>
      </c>
      <c r="AY20" s="214">
        <v>5.3240740740740744E-4</v>
      </c>
      <c r="AZ20" s="215" t="b">
        <v>1</v>
      </c>
      <c r="BA20" s="215" t="b">
        <v>1</v>
      </c>
      <c r="BB20" s="215">
        <v>5</v>
      </c>
      <c r="BC20" s="214">
        <v>1.3888888888888889E-4</v>
      </c>
      <c r="BD20" s="214">
        <f t="shared" si="5"/>
        <v>6.7129629629629635E-4</v>
      </c>
      <c r="BE20" s="214">
        <f t="shared" si="3"/>
        <v>-6.9444444444444458E-5</v>
      </c>
      <c r="BF20" s="214">
        <f t="shared" si="4"/>
        <v>-2.7777777777777772E-4</v>
      </c>
      <c r="BG20" s="215">
        <f t="shared" si="9"/>
        <v>1</v>
      </c>
      <c r="BH20" s="219">
        <f t="shared" si="8"/>
        <v>0.75</v>
      </c>
      <c r="BI20" s="219">
        <f t="shared" si="7"/>
        <v>0.25</v>
      </c>
    </row>
    <row r="21" spans="1:61" x14ac:dyDescent="0.2">
      <c r="A21" s="95" t="s">
        <v>1867</v>
      </c>
      <c r="B21" s="95">
        <v>574</v>
      </c>
      <c r="C21" s="95" t="b">
        <v>0</v>
      </c>
      <c r="D21" s="95" t="b">
        <v>0</v>
      </c>
      <c r="E21" s="95" t="b">
        <v>0</v>
      </c>
      <c r="F21" s="95" t="b">
        <v>0</v>
      </c>
      <c r="G21" s="95" t="s">
        <v>31</v>
      </c>
      <c r="H21" s="95" t="s">
        <v>1868</v>
      </c>
      <c r="I21" s="95" t="s">
        <v>1869</v>
      </c>
      <c r="J21" s="95" t="s">
        <v>940</v>
      </c>
      <c r="O21" s="95" t="s">
        <v>11054</v>
      </c>
      <c r="P21" s="95" t="s">
        <v>11054</v>
      </c>
      <c r="Q21" s="98">
        <v>4.1666666666666669E-4</v>
      </c>
      <c r="R21" s="98">
        <v>1.2847222222222223E-3</v>
      </c>
      <c r="S21" s="95">
        <v>0</v>
      </c>
      <c r="T21" s="95" t="s">
        <v>124</v>
      </c>
      <c r="U21" s="95" t="s">
        <v>125</v>
      </c>
      <c r="V21" s="95" t="s">
        <v>38</v>
      </c>
      <c r="Z21" s="95" t="b">
        <v>0</v>
      </c>
      <c r="AB21" s="95">
        <v>4</v>
      </c>
      <c r="AE21" s="95" t="s">
        <v>1826</v>
      </c>
      <c r="AF21" s="95" t="s">
        <v>9532</v>
      </c>
      <c r="AH21" s="95" t="b">
        <v>0</v>
      </c>
      <c r="AI21" s="47" t="s">
        <v>11157</v>
      </c>
      <c r="AM21" s="207">
        <v>1.3888888888888889E-4</v>
      </c>
      <c r="AN21" s="207" t="b">
        <v>1</v>
      </c>
      <c r="AO21" s="207" t="b">
        <v>0</v>
      </c>
      <c r="AP21" s="208" t="s">
        <v>9801</v>
      </c>
      <c r="AQ21" s="207">
        <v>0</v>
      </c>
      <c r="AR21" s="207">
        <f t="shared" si="0"/>
        <v>1.3888888888888889E-4</v>
      </c>
      <c r="AS21" s="207">
        <f t="shared" si="1"/>
        <v>-4.1666666666666669E-4</v>
      </c>
      <c r="AT21" s="207">
        <f t="shared" si="2"/>
        <v>-1.1458333333333333E-3</v>
      </c>
      <c r="AU21" s="208" t="s">
        <v>9801</v>
      </c>
      <c r="AV21" s="208" t="s">
        <v>9801</v>
      </c>
      <c r="AW21" s="208" t="s">
        <v>9801</v>
      </c>
      <c r="AX21" s="208" t="s">
        <v>11235</v>
      </c>
      <c r="AY21" s="214">
        <v>8.2175925925925917E-4</v>
      </c>
      <c r="AZ21" s="215" t="b">
        <v>1</v>
      </c>
      <c r="BA21" s="215" t="b">
        <v>1</v>
      </c>
      <c r="BB21" s="215">
        <v>4</v>
      </c>
      <c r="BC21" s="214">
        <v>1.273148148148148E-4</v>
      </c>
      <c r="BD21" s="214">
        <f>AY21+BC21</f>
        <v>9.4907407407407397E-4</v>
      </c>
      <c r="BE21" s="214">
        <f t="shared" si="3"/>
        <v>-2.8935185185185189E-4</v>
      </c>
      <c r="BF21" s="214">
        <f t="shared" si="4"/>
        <v>-3.3564814814814829E-4</v>
      </c>
      <c r="BG21" s="215">
        <f t="shared" si="9"/>
        <v>0</v>
      </c>
      <c r="BH21" s="219">
        <f t="shared" si="8"/>
        <v>1</v>
      </c>
      <c r="BI21" s="219">
        <f t="shared" si="7"/>
        <v>0</v>
      </c>
    </row>
    <row r="22" spans="1:61" x14ac:dyDescent="0.2">
      <c r="A22" s="95" t="s">
        <v>2465</v>
      </c>
      <c r="B22" s="95">
        <v>761</v>
      </c>
      <c r="C22" s="95" t="b">
        <v>0</v>
      </c>
      <c r="D22" s="95" t="b">
        <v>0</v>
      </c>
      <c r="E22" s="95" t="b">
        <v>0</v>
      </c>
      <c r="F22" s="95" t="b">
        <v>0</v>
      </c>
      <c r="G22" s="95" t="s">
        <v>31</v>
      </c>
      <c r="H22" s="95" t="s">
        <v>2466</v>
      </c>
      <c r="I22" s="95" t="s">
        <v>2467</v>
      </c>
      <c r="J22" s="95" t="s">
        <v>675</v>
      </c>
      <c r="O22" s="95" t="s">
        <v>11053</v>
      </c>
      <c r="P22" s="95" t="s">
        <v>11053</v>
      </c>
      <c r="Q22" s="98">
        <v>2.4305555555555552E-4</v>
      </c>
      <c r="R22" s="98">
        <v>3.8194444444444446E-4</v>
      </c>
      <c r="S22" s="95">
        <v>0</v>
      </c>
      <c r="T22" s="95" t="s">
        <v>124</v>
      </c>
      <c r="U22" s="95" t="s">
        <v>125</v>
      </c>
      <c r="V22" s="95" t="s">
        <v>38</v>
      </c>
      <c r="Z22" s="95" t="b">
        <v>0</v>
      </c>
      <c r="AB22" s="95">
        <v>4</v>
      </c>
      <c r="AE22" s="95" t="s">
        <v>2406</v>
      </c>
      <c r="AF22" s="95" t="s">
        <v>9521</v>
      </c>
      <c r="AH22" s="95" t="b">
        <v>0</v>
      </c>
      <c r="AI22" s="95" t="s">
        <v>11158</v>
      </c>
      <c r="AM22" s="207">
        <v>1.1574074074074073E-4</v>
      </c>
      <c r="AN22" s="207" t="b">
        <v>1</v>
      </c>
      <c r="AO22" s="207" t="b">
        <v>0</v>
      </c>
      <c r="AP22" s="208" t="s">
        <v>9801</v>
      </c>
      <c r="AQ22" s="207">
        <v>0</v>
      </c>
      <c r="AR22" s="207">
        <f t="shared" si="0"/>
        <v>1.1574074074074073E-4</v>
      </c>
      <c r="AS22" s="207">
        <f t="shared" si="1"/>
        <v>-2.4305555555555552E-4</v>
      </c>
      <c r="AT22" s="207">
        <f t="shared" si="2"/>
        <v>-2.6620370370370372E-4</v>
      </c>
      <c r="AU22" s="208" t="s">
        <v>9801</v>
      </c>
      <c r="AV22" s="208" t="s">
        <v>9801</v>
      </c>
      <c r="AW22" s="208" t="s">
        <v>9801</v>
      </c>
      <c r="AX22" s="208" t="s">
        <v>11235</v>
      </c>
      <c r="AY22" s="214">
        <v>5.0925925925925921E-4</v>
      </c>
      <c r="AZ22" s="215" t="b">
        <v>1</v>
      </c>
      <c r="BA22" s="215" t="b">
        <v>1</v>
      </c>
      <c r="BB22" s="215">
        <v>9</v>
      </c>
      <c r="BC22" s="214">
        <v>1.6203703703703703E-4</v>
      </c>
      <c r="BD22" s="214">
        <f t="shared" si="5"/>
        <v>6.7129629629629625E-4</v>
      </c>
      <c r="BE22" s="214">
        <f t="shared" si="3"/>
        <v>-8.1018518518518489E-5</v>
      </c>
      <c r="BF22" s="214">
        <f t="shared" si="4"/>
        <v>2.8935185185185178E-4</v>
      </c>
      <c r="BG22" s="215">
        <f t="shared" si="9"/>
        <v>5</v>
      </c>
      <c r="BH22" s="247">
        <f t="shared" si="8"/>
        <v>-0.25</v>
      </c>
      <c r="BI22" s="247">
        <f t="shared" si="7"/>
        <v>1.25</v>
      </c>
    </row>
    <row r="23" spans="1:61" x14ac:dyDescent="0.2">
      <c r="A23" s="95" t="s">
        <v>2468</v>
      </c>
      <c r="B23" s="95">
        <v>762</v>
      </c>
      <c r="C23" s="95" t="b">
        <v>0</v>
      </c>
      <c r="D23" s="95" t="b">
        <v>0</v>
      </c>
      <c r="E23" s="95" t="b">
        <v>0</v>
      </c>
      <c r="F23" s="95" t="b">
        <v>0</v>
      </c>
      <c r="G23" s="95" t="s">
        <v>31</v>
      </c>
      <c r="H23" s="95" t="s">
        <v>2469</v>
      </c>
      <c r="I23" s="95" t="s">
        <v>2470</v>
      </c>
      <c r="J23" s="95" t="s">
        <v>675</v>
      </c>
      <c r="O23" s="95" t="s">
        <v>11052</v>
      </c>
      <c r="P23" s="95" t="s">
        <v>11052</v>
      </c>
      <c r="Q23" s="98">
        <v>1.6203703703703703E-4</v>
      </c>
      <c r="R23" s="98">
        <v>1.0995370370370371E-3</v>
      </c>
      <c r="S23" s="95">
        <v>0</v>
      </c>
      <c r="T23" s="95" t="s">
        <v>124</v>
      </c>
      <c r="U23" s="95" t="s">
        <v>125</v>
      </c>
      <c r="V23" s="95" t="s">
        <v>38</v>
      </c>
      <c r="Z23" s="95" t="b">
        <v>0</v>
      </c>
      <c r="AB23" s="95">
        <v>4</v>
      </c>
      <c r="AE23" s="95" t="s">
        <v>2406</v>
      </c>
      <c r="AF23" s="95" t="s">
        <v>9521</v>
      </c>
      <c r="AH23" s="95" t="b">
        <v>0</v>
      </c>
      <c r="AI23" s="47" t="s">
        <v>11159</v>
      </c>
      <c r="AM23" s="207">
        <v>1.273148148148148E-4</v>
      </c>
      <c r="AN23" s="207" t="b">
        <v>1</v>
      </c>
      <c r="AO23" s="207" t="b">
        <v>0</v>
      </c>
      <c r="AP23" s="208" t="s">
        <v>9801</v>
      </c>
      <c r="AQ23" s="207">
        <v>0</v>
      </c>
      <c r="AR23" s="207">
        <f t="shared" si="0"/>
        <v>1.273148148148148E-4</v>
      </c>
      <c r="AS23" s="207">
        <f t="shared" si="1"/>
        <v>-1.6203703703703703E-4</v>
      </c>
      <c r="AT23" s="207">
        <f t="shared" si="2"/>
        <v>-9.722222222222223E-4</v>
      </c>
      <c r="AU23" s="208" t="s">
        <v>9801</v>
      </c>
      <c r="AV23" s="208" t="s">
        <v>9801</v>
      </c>
      <c r="AW23" s="208" t="s">
        <v>9801</v>
      </c>
      <c r="AX23" s="208" t="s">
        <v>11235</v>
      </c>
      <c r="AY23" s="214">
        <v>4.7453703703703704E-4</v>
      </c>
      <c r="AZ23" s="215" t="b">
        <v>1</v>
      </c>
      <c r="BA23" s="215" t="b">
        <v>1</v>
      </c>
      <c r="BB23" s="215">
        <v>4</v>
      </c>
      <c r="BC23" s="214">
        <v>4.0509259259259258E-4</v>
      </c>
      <c r="BD23" s="214">
        <f t="shared" si="5"/>
        <v>8.7962962962962962E-4</v>
      </c>
      <c r="BE23" s="214">
        <f t="shared" si="3"/>
        <v>2.4305555555555555E-4</v>
      </c>
      <c r="BF23" s="214">
        <f t="shared" si="4"/>
        <v>-2.1990740740740749E-4</v>
      </c>
      <c r="BG23" s="215">
        <f t="shared" si="9"/>
        <v>0</v>
      </c>
      <c r="BH23" s="219">
        <f t="shared" si="8"/>
        <v>1</v>
      </c>
      <c r="BI23" s="219">
        <f t="shared" ref="BI23:BI31" si="10">ABS(BB23/AB23-1)</f>
        <v>0</v>
      </c>
    </row>
    <row r="24" spans="1:61" x14ac:dyDescent="0.2">
      <c r="A24" s="95" t="s">
        <v>2632</v>
      </c>
      <c r="B24" s="95">
        <v>815</v>
      </c>
      <c r="C24" s="95" t="b">
        <v>0</v>
      </c>
      <c r="D24" s="95" t="b">
        <v>0</v>
      </c>
      <c r="E24" s="95" t="b">
        <v>0</v>
      </c>
      <c r="F24" s="95" t="b">
        <v>0</v>
      </c>
      <c r="G24" s="95" t="s">
        <v>31</v>
      </c>
      <c r="H24" s="95" t="s">
        <v>2633</v>
      </c>
      <c r="I24" s="95" t="s">
        <v>2634</v>
      </c>
      <c r="J24" s="95" t="s">
        <v>675</v>
      </c>
      <c r="O24" s="95" t="s">
        <v>11051</v>
      </c>
      <c r="P24" s="95" t="s">
        <v>11051</v>
      </c>
      <c r="Q24" s="98">
        <v>2.199074074074074E-4</v>
      </c>
      <c r="R24" s="98">
        <v>9.1435185185185185E-4</v>
      </c>
      <c r="S24" s="95">
        <v>0</v>
      </c>
      <c r="T24" s="95" t="s">
        <v>124</v>
      </c>
      <c r="U24" s="95" t="s">
        <v>125</v>
      </c>
      <c r="V24" s="95" t="s">
        <v>38</v>
      </c>
      <c r="Z24" s="95" t="b">
        <v>0</v>
      </c>
      <c r="AB24" s="95">
        <v>4</v>
      </c>
      <c r="AE24" s="95" t="s">
        <v>2406</v>
      </c>
      <c r="AF24" s="95" t="s">
        <v>9521</v>
      </c>
      <c r="AH24" s="95" t="b">
        <v>0</v>
      </c>
      <c r="AI24" s="95" t="s">
        <v>11160</v>
      </c>
      <c r="AM24" s="207">
        <v>1.273148148148148E-4</v>
      </c>
      <c r="AN24" s="207" t="b">
        <v>1</v>
      </c>
      <c r="AO24" s="207" t="b">
        <v>0</v>
      </c>
      <c r="AP24" s="208" t="s">
        <v>9801</v>
      </c>
      <c r="AQ24" s="207">
        <v>0</v>
      </c>
      <c r="AR24" s="207">
        <f t="shared" si="0"/>
        <v>1.273148148148148E-4</v>
      </c>
      <c r="AS24" s="207">
        <f t="shared" si="1"/>
        <v>-2.199074074074074E-4</v>
      </c>
      <c r="AT24" s="207">
        <f t="shared" si="2"/>
        <v>-7.8703703703703705E-4</v>
      </c>
      <c r="AU24" s="208" t="s">
        <v>9801</v>
      </c>
      <c r="AV24" s="208" t="s">
        <v>9801</v>
      </c>
      <c r="AW24" s="208" t="s">
        <v>9801</v>
      </c>
      <c r="AX24" s="208" t="s">
        <v>11235</v>
      </c>
      <c r="AY24" s="214">
        <v>5.3240740740740744E-4</v>
      </c>
      <c r="AZ24" s="215" t="b">
        <v>1</v>
      </c>
      <c r="BA24" s="215" t="b">
        <v>1</v>
      </c>
      <c r="BB24" s="215">
        <v>6</v>
      </c>
      <c r="BC24" s="214">
        <v>1.9675925925925926E-4</v>
      </c>
      <c r="BD24" s="214">
        <f t="shared" si="5"/>
        <v>7.291666666666667E-4</v>
      </c>
      <c r="BE24" s="214">
        <f t="shared" si="3"/>
        <v>-2.3148148148148144E-5</v>
      </c>
      <c r="BF24" s="214">
        <f t="shared" si="4"/>
        <v>-1.8518518518518515E-4</v>
      </c>
      <c r="BG24" s="215">
        <f t="shared" si="9"/>
        <v>2</v>
      </c>
      <c r="BH24" s="219">
        <f t="shared" si="8"/>
        <v>0.5</v>
      </c>
      <c r="BI24" s="219">
        <f t="shared" si="10"/>
        <v>0.5</v>
      </c>
    </row>
    <row r="25" spans="1:61" x14ac:dyDescent="0.2">
      <c r="A25" s="95" t="s">
        <v>2885</v>
      </c>
      <c r="B25" s="95">
        <v>893</v>
      </c>
      <c r="C25" s="95" t="b">
        <v>0</v>
      </c>
      <c r="D25" s="95" t="b">
        <v>0</v>
      </c>
      <c r="E25" s="95" t="b">
        <v>0</v>
      </c>
      <c r="F25" s="95" t="b">
        <v>0</v>
      </c>
      <c r="G25" s="95" t="s">
        <v>31</v>
      </c>
      <c r="H25" s="95" t="s">
        <v>2886</v>
      </c>
      <c r="I25" s="95" t="s">
        <v>2887</v>
      </c>
      <c r="J25" s="95" t="s">
        <v>675</v>
      </c>
      <c r="O25" s="95" t="s">
        <v>10992</v>
      </c>
      <c r="P25" s="95" t="s">
        <v>11050</v>
      </c>
      <c r="Q25" s="98">
        <v>4.0509259259259258E-4</v>
      </c>
      <c r="R25" s="98">
        <v>4.5138888888888892E-4</v>
      </c>
      <c r="S25" s="95">
        <v>0</v>
      </c>
      <c r="T25" s="95" t="s">
        <v>124</v>
      </c>
      <c r="U25" s="95" t="s">
        <v>125</v>
      </c>
      <c r="V25" s="95" t="s">
        <v>38</v>
      </c>
      <c r="Z25" s="95" t="b">
        <v>0</v>
      </c>
      <c r="AB25" s="95">
        <v>4</v>
      </c>
      <c r="AE25" s="95" t="s">
        <v>2840</v>
      </c>
      <c r="AF25" s="95" t="s">
        <v>9508</v>
      </c>
      <c r="AH25" s="95" t="b">
        <v>0</v>
      </c>
      <c r="AI25" s="95" t="s">
        <v>11161</v>
      </c>
      <c r="AM25" s="207">
        <v>1.273148148148148E-4</v>
      </c>
      <c r="AN25" s="207" t="b">
        <v>1</v>
      </c>
      <c r="AO25" s="207" t="b">
        <v>0</v>
      </c>
      <c r="AP25" s="208" t="s">
        <v>9801</v>
      </c>
      <c r="AQ25" s="207">
        <v>0</v>
      </c>
      <c r="AR25" s="207">
        <f t="shared" si="0"/>
        <v>1.273148148148148E-4</v>
      </c>
      <c r="AS25" s="207">
        <f t="shared" si="1"/>
        <v>-4.0509259259259258E-4</v>
      </c>
      <c r="AT25" s="207">
        <f t="shared" si="2"/>
        <v>-3.2407407407407412E-4</v>
      </c>
      <c r="AU25" s="208" t="s">
        <v>9801</v>
      </c>
      <c r="AV25" s="208" t="s">
        <v>9801</v>
      </c>
      <c r="AW25" s="208" t="s">
        <v>9801</v>
      </c>
      <c r="AX25" s="208" t="s">
        <v>11235</v>
      </c>
      <c r="AY25" s="214">
        <v>4.1666666666666669E-4</v>
      </c>
      <c r="AZ25" s="215" t="b">
        <v>1</v>
      </c>
      <c r="BA25" s="215" t="b">
        <v>1</v>
      </c>
      <c r="BB25" s="215">
        <v>4</v>
      </c>
      <c r="BC25" s="214">
        <v>1.7361111111111112E-4</v>
      </c>
      <c r="BD25" s="214">
        <f t="shared" si="5"/>
        <v>5.9027777777777778E-4</v>
      </c>
      <c r="BE25" s="214">
        <f t="shared" si="3"/>
        <v>-2.3148148148148146E-4</v>
      </c>
      <c r="BF25" s="214">
        <f t="shared" si="4"/>
        <v>1.3888888888888886E-4</v>
      </c>
      <c r="BG25" s="215">
        <f t="shared" si="9"/>
        <v>0</v>
      </c>
      <c r="BH25" s="219">
        <f t="shared" si="8"/>
        <v>1</v>
      </c>
      <c r="BI25" s="219">
        <f t="shared" si="10"/>
        <v>0</v>
      </c>
    </row>
    <row r="26" spans="1:61" x14ac:dyDescent="0.2">
      <c r="A26" s="95" t="s">
        <v>2959</v>
      </c>
      <c r="B26" s="95">
        <v>916</v>
      </c>
      <c r="C26" s="95" t="b">
        <v>0</v>
      </c>
      <c r="D26" s="95" t="b">
        <v>0</v>
      </c>
      <c r="E26" s="95" t="b">
        <v>0</v>
      </c>
      <c r="F26" s="95" t="b">
        <v>0</v>
      </c>
      <c r="G26" s="95" t="s">
        <v>31</v>
      </c>
      <c r="H26" s="95" t="s">
        <v>2960</v>
      </c>
      <c r="I26" s="95" t="s">
        <v>2961</v>
      </c>
      <c r="J26" s="95" t="s">
        <v>675</v>
      </c>
      <c r="O26" s="95" t="s">
        <v>11049</v>
      </c>
      <c r="P26" s="95" t="s">
        <v>11049</v>
      </c>
      <c r="Q26" s="98">
        <v>2.3148148148148146E-4</v>
      </c>
      <c r="R26" s="98">
        <v>5.0925925925925921E-4</v>
      </c>
      <c r="S26" s="95">
        <v>0</v>
      </c>
      <c r="T26" s="95" t="s">
        <v>124</v>
      </c>
      <c r="U26" s="95" t="s">
        <v>125</v>
      </c>
      <c r="V26" s="95" t="s">
        <v>38</v>
      </c>
      <c r="Z26" s="95" t="b">
        <v>0</v>
      </c>
      <c r="AB26" s="95">
        <v>4</v>
      </c>
      <c r="AE26" s="95" t="s">
        <v>2840</v>
      </c>
      <c r="AF26" s="95" t="s">
        <v>9508</v>
      </c>
      <c r="AH26" s="95" t="b">
        <v>0</v>
      </c>
      <c r="AI26" s="47" t="s">
        <v>11162</v>
      </c>
      <c r="AM26" s="207">
        <v>1.1574074074074073E-4</v>
      </c>
      <c r="AN26" s="207" t="b">
        <v>1</v>
      </c>
      <c r="AO26" s="207" t="b">
        <v>0</v>
      </c>
      <c r="AP26" s="208" t="s">
        <v>9801</v>
      </c>
      <c r="AQ26" s="207">
        <v>0</v>
      </c>
      <c r="AR26" s="207">
        <f t="shared" si="0"/>
        <v>1.1574074074074073E-4</v>
      </c>
      <c r="AS26" s="207">
        <f t="shared" si="1"/>
        <v>-2.3148148148148146E-4</v>
      </c>
      <c r="AT26" s="207">
        <f t="shared" si="2"/>
        <v>-3.9351851851851847E-4</v>
      </c>
      <c r="AU26" s="208" t="s">
        <v>9801</v>
      </c>
      <c r="AV26" s="208" t="s">
        <v>9801</v>
      </c>
      <c r="AW26" s="208" t="s">
        <v>9801</v>
      </c>
      <c r="AX26" s="208" t="s">
        <v>11235</v>
      </c>
      <c r="AY26" s="214">
        <v>6.4814814814814813E-4</v>
      </c>
      <c r="AZ26" s="215" t="b">
        <v>1</v>
      </c>
      <c r="BA26" s="215" t="b">
        <v>1</v>
      </c>
      <c r="BB26" s="215">
        <v>4</v>
      </c>
      <c r="BC26" s="214">
        <v>1.3888888888888889E-4</v>
      </c>
      <c r="BD26" s="214">
        <f t="shared" si="5"/>
        <v>7.8703703703703705E-4</v>
      </c>
      <c r="BE26" s="214">
        <f t="shared" si="3"/>
        <v>-9.2592592592592574E-5</v>
      </c>
      <c r="BF26" s="214">
        <f t="shared" si="4"/>
        <v>2.7777777777777783E-4</v>
      </c>
      <c r="BG26" s="215">
        <f t="shared" si="9"/>
        <v>0</v>
      </c>
      <c r="BH26" s="219">
        <f t="shared" si="8"/>
        <v>1</v>
      </c>
      <c r="BI26" s="219">
        <f t="shared" si="10"/>
        <v>0</v>
      </c>
    </row>
    <row r="27" spans="1:61" x14ac:dyDescent="0.2">
      <c r="A27" s="95" t="s">
        <v>3293</v>
      </c>
      <c r="B27" s="95">
        <v>1021</v>
      </c>
      <c r="C27" s="95" t="b">
        <v>0</v>
      </c>
      <c r="D27" s="95" t="b">
        <v>0</v>
      </c>
      <c r="E27" s="95" t="b">
        <v>0</v>
      </c>
      <c r="F27" s="95" t="b">
        <v>0</v>
      </c>
      <c r="G27" s="95" t="s">
        <v>31</v>
      </c>
      <c r="H27" s="95" t="s">
        <v>3294</v>
      </c>
      <c r="I27" s="95" t="s">
        <v>3295</v>
      </c>
      <c r="J27" s="95" t="s">
        <v>675</v>
      </c>
      <c r="O27" s="95" t="s">
        <v>11048</v>
      </c>
      <c r="P27" s="95" t="s">
        <v>11048</v>
      </c>
      <c r="Q27" s="98">
        <v>4.1666666666666669E-4</v>
      </c>
      <c r="R27" s="98">
        <v>8.9120370370370362E-4</v>
      </c>
      <c r="S27" s="95">
        <v>0</v>
      </c>
      <c r="T27" s="95" t="s">
        <v>124</v>
      </c>
      <c r="U27" s="95" t="s">
        <v>125</v>
      </c>
      <c r="V27" s="95" t="s">
        <v>38</v>
      </c>
      <c r="Z27" s="95" t="b">
        <v>0</v>
      </c>
      <c r="AB27" s="95">
        <v>4</v>
      </c>
      <c r="AE27" s="95" t="s">
        <v>3248</v>
      </c>
      <c r="AF27" s="95" t="s">
        <v>9506</v>
      </c>
      <c r="AH27" s="95" t="b">
        <v>0</v>
      </c>
      <c r="AI27" s="95" t="s">
        <v>11163</v>
      </c>
      <c r="AJ27" s="95" t="s">
        <v>11167</v>
      </c>
      <c r="AK27" s="95" t="s">
        <v>11168</v>
      </c>
      <c r="AL27" s="95" t="s">
        <v>11169</v>
      </c>
      <c r="AM27" s="207">
        <v>1.273148148148148E-4</v>
      </c>
      <c r="AN27" s="207" t="b">
        <v>1</v>
      </c>
      <c r="AO27" s="207" t="b">
        <v>0</v>
      </c>
      <c r="AP27" s="208" t="s">
        <v>9801</v>
      </c>
      <c r="AQ27" s="207">
        <v>0</v>
      </c>
      <c r="AR27" s="207">
        <f t="shared" si="0"/>
        <v>1.273148148148148E-4</v>
      </c>
      <c r="AS27" s="207">
        <f t="shared" si="1"/>
        <v>-4.1666666666666669E-4</v>
      </c>
      <c r="AT27" s="207">
        <f t="shared" si="2"/>
        <v>-7.6388888888888882E-4</v>
      </c>
      <c r="AU27" s="208" t="s">
        <v>9801</v>
      </c>
      <c r="AV27" s="208" t="s">
        <v>9801</v>
      </c>
      <c r="AW27" s="208" t="s">
        <v>9801</v>
      </c>
      <c r="AX27" s="208" t="s">
        <v>11235</v>
      </c>
      <c r="AY27" s="214">
        <v>1.1805555555555556E-3</v>
      </c>
      <c r="AZ27" s="215" t="b">
        <v>1</v>
      </c>
      <c r="BA27" s="215" t="b">
        <v>1</v>
      </c>
      <c r="BB27" s="215">
        <v>4</v>
      </c>
      <c r="BC27" s="214">
        <v>6.2500000000000001E-4</v>
      </c>
      <c r="BD27" s="214">
        <f t="shared" si="5"/>
        <v>1.8055555555555555E-3</v>
      </c>
      <c r="BE27" s="214">
        <f t="shared" si="3"/>
        <v>2.0833333333333332E-4</v>
      </c>
      <c r="BF27" s="214">
        <f t="shared" si="4"/>
        <v>9.1435185185185185E-4</v>
      </c>
      <c r="BG27" s="215">
        <f t="shared" si="9"/>
        <v>0</v>
      </c>
      <c r="BH27" s="219">
        <f t="shared" si="8"/>
        <v>1</v>
      </c>
      <c r="BI27" s="219">
        <f t="shared" si="10"/>
        <v>0</v>
      </c>
    </row>
    <row r="28" spans="1:61" x14ac:dyDescent="0.2">
      <c r="A28" s="95" t="s">
        <v>3326</v>
      </c>
      <c r="B28" s="95">
        <v>1033</v>
      </c>
      <c r="C28" s="95" t="b">
        <v>0</v>
      </c>
      <c r="D28" s="95" t="b">
        <v>0</v>
      </c>
      <c r="E28" s="95" t="b">
        <v>0</v>
      </c>
      <c r="F28" s="95" t="b">
        <v>0</v>
      </c>
      <c r="G28" s="95" t="s">
        <v>31</v>
      </c>
      <c r="H28" s="95" t="s">
        <v>3327</v>
      </c>
      <c r="I28" s="95" t="s">
        <v>3328</v>
      </c>
      <c r="J28" s="95" t="s">
        <v>675</v>
      </c>
      <c r="O28" s="95" t="s">
        <v>11047</v>
      </c>
      <c r="P28" s="95" t="s">
        <v>11046</v>
      </c>
      <c r="Q28" s="98">
        <v>2.199074074074074E-4</v>
      </c>
      <c r="R28" s="98">
        <v>7.7546296296296304E-4</v>
      </c>
      <c r="S28" s="95">
        <v>0</v>
      </c>
      <c r="T28" s="95" t="s">
        <v>124</v>
      </c>
      <c r="U28" s="95" t="s">
        <v>125</v>
      </c>
      <c r="V28" s="95" t="s">
        <v>38</v>
      </c>
      <c r="Z28" s="95" t="b">
        <v>0</v>
      </c>
      <c r="AB28" s="95">
        <v>4</v>
      </c>
      <c r="AE28" s="95" t="s">
        <v>3248</v>
      </c>
      <c r="AF28" s="95" t="s">
        <v>9506</v>
      </c>
      <c r="AH28" s="95" t="b">
        <v>0</v>
      </c>
      <c r="AI28" s="47" t="s">
        <v>11164</v>
      </c>
      <c r="AM28" s="207">
        <v>1.1574074074074073E-4</v>
      </c>
      <c r="AN28" s="207" t="b">
        <v>1</v>
      </c>
      <c r="AO28" s="207" t="b">
        <v>0</v>
      </c>
      <c r="AP28" s="208" t="s">
        <v>9801</v>
      </c>
      <c r="AQ28" s="207">
        <v>0</v>
      </c>
      <c r="AR28" s="207">
        <f t="shared" si="0"/>
        <v>1.1574074074074073E-4</v>
      </c>
      <c r="AS28" s="207">
        <f t="shared" si="1"/>
        <v>-2.199074074074074E-4</v>
      </c>
      <c r="AT28" s="207">
        <f t="shared" si="2"/>
        <v>-6.5972222222222235E-4</v>
      </c>
      <c r="AU28" s="208" t="s">
        <v>9801</v>
      </c>
      <c r="AV28" s="208" t="s">
        <v>9801</v>
      </c>
      <c r="AW28" s="208" t="s">
        <v>9801</v>
      </c>
      <c r="AX28" s="208" t="s">
        <v>11235</v>
      </c>
      <c r="AY28" s="214">
        <v>9.4907407407407408E-4</v>
      </c>
      <c r="AZ28" s="215" t="b">
        <v>1</v>
      </c>
      <c r="BA28" s="215" t="b">
        <v>1</v>
      </c>
      <c r="BB28" s="215">
        <v>4</v>
      </c>
      <c r="BC28" s="214">
        <v>1.6203703703703703E-4</v>
      </c>
      <c r="BD28" s="214">
        <f t="shared" si="5"/>
        <v>1.1111111111111111E-3</v>
      </c>
      <c r="BE28" s="214">
        <f t="shared" si="3"/>
        <v>-5.7870370370370373E-5</v>
      </c>
      <c r="BF28" s="214">
        <f t="shared" si="4"/>
        <v>3.3564814814814807E-4</v>
      </c>
      <c r="BG28" s="215">
        <f t="shared" si="9"/>
        <v>0</v>
      </c>
      <c r="BH28" s="219">
        <f>IF(BI28&lt;&gt;"-", 1-BI28, "-")</f>
        <v>1</v>
      </c>
      <c r="BI28" s="219">
        <f t="shared" si="10"/>
        <v>0</v>
      </c>
    </row>
    <row r="29" spans="1:61" x14ac:dyDescent="0.2">
      <c r="A29" s="95" t="s">
        <v>3347</v>
      </c>
      <c r="B29" s="95">
        <v>1040</v>
      </c>
      <c r="C29" s="95" t="b">
        <v>0</v>
      </c>
      <c r="D29" s="95" t="b">
        <v>0</v>
      </c>
      <c r="E29" s="95" t="b">
        <v>0</v>
      </c>
      <c r="F29" s="95" t="b">
        <v>0</v>
      </c>
      <c r="G29" s="95" t="s">
        <v>31</v>
      </c>
      <c r="H29" s="95" t="s">
        <v>149</v>
      </c>
      <c r="I29" s="95" t="s">
        <v>3348</v>
      </c>
      <c r="J29" s="95" t="s">
        <v>675</v>
      </c>
      <c r="O29" s="95" t="s">
        <v>11045</v>
      </c>
      <c r="P29" s="95" t="s">
        <v>11045</v>
      </c>
      <c r="Q29" s="98">
        <v>1.8518518518518518E-4</v>
      </c>
      <c r="R29" s="98">
        <v>2.4305555555555552E-4</v>
      </c>
      <c r="S29" s="95">
        <v>0</v>
      </c>
      <c r="T29" s="95" t="s">
        <v>124</v>
      </c>
      <c r="U29" s="95" t="s">
        <v>125</v>
      </c>
      <c r="V29" s="95" t="s">
        <v>38</v>
      </c>
      <c r="Z29" s="95" t="b">
        <v>0</v>
      </c>
      <c r="AB29" s="95">
        <v>4</v>
      </c>
      <c r="AE29" s="95" t="s">
        <v>3248</v>
      </c>
      <c r="AF29" s="95" t="s">
        <v>9506</v>
      </c>
      <c r="AH29" s="95" t="b">
        <v>0</v>
      </c>
      <c r="AM29" s="207">
        <v>1.8518518518518518E-4</v>
      </c>
      <c r="AN29" s="207" t="b">
        <v>1</v>
      </c>
      <c r="AO29" s="207" t="b">
        <v>0</v>
      </c>
      <c r="AP29" s="208" t="s">
        <v>9801</v>
      </c>
      <c r="AQ29" s="207">
        <v>0</v>
      </c>
      <c r="AR29" s="207">
        <f t="shared" si="0"/>
        <v>1.8518518518518518E-4</v>
      </c>
      <c r="AS29" s="207">
        <f t="shared" si="1"/>
        <v>-1.8518518518518518E-4</v>
      </c>
      <c r="AT29" s="207">
        <f t="shared" si="2"/>
        <v>-5.7870370370370345E-5</v>
      </c>
      <c r="AU29" s="208" t="s">
        <v>9801</v>
      </c>
      <c r="AV29" s="208" t="s">
        <v>9801</v>
      </c>
      <c r="AW29" s="208" t="s">
        <v>9801</v>
      </c>
      <c r="AX29" s="208" t="s">
        <v>11235</v>
      </c>
      <c r="AY29" s="214">
        <v>1.9675925925925926E-4</v>
      </c>
      <c r="AZ29" s="215" t="b">
        <v>1</v>
      </c>
      <c r="BA29" s="215" t="b">
        <v>1</v>
      </c>
      <c r="BB29" s="215">
        <v>5</v>
      </c>
      <c r="BC29" s="214">
        <v>1.5046296296296297E-4</v>
      </c>
      <c r="BD29" s="214">
        <f t="shared" si="5"/>
        <v>3.4722222222222224E-4</v>
      </c>
      <c r="BE29" s="214">
        <f t="shared" si="3"/>
        <v>-3.4722222222222202E-5</v>
      </c>
      <c r="BF29" s="214">
        <f t="shared" si="4"/>
        <v>1.0416666666666671E-4</v>
      </c>
      <c r="BG29" s="215">
        <f t="shared" si="9"/>
        <v>1</v>
      </c>
      <c r="BH29" s="219">
        <f t="shared" si="8"/>
        <v>0.75</v>
      </c>
      <c r="BI29" s="219">
        <f t="shared" si="10"/>
        <v>0.25</v>
      </c>
    </row>
    <row r="30" spans="1:61" x14ac:dyDescent="0.2">
      <c r="A30" s="95" t="s">
        <v>3409</v>
      </c>
      <c r="B30" s="95">
        <v>1060</v>
      </c>
      <c r="C30" s="95" t="b">
        <v>0</v>
      </c>
      <c r="D30" s="95" t="b">
        <v>0</v>
      </c>
      <c r="E30" s="95" t="b">
        <v>0</v>
      </c>
      <c r="F30" s="95" t="b">
        <v>0</v>
      </c>
      <c r="G30" s="95" t="s">
        <v>31</v>
      </c>
      <c r="H30" s="95" t="s">
        <v>3410</v>
      </c>
      <c r="I30" s="95" t="s">
        <v>3411</v>
      </c>
      <c r="J30" s="95" t="s">
        <v>675</v>
      </c>
      <c r="O30" s="95" t="s">
        <v>10877</v>
      </c>
      <c r="P30" s="95" t="s">
        <v>10877</v>
      </c>
      <c r="Q30" s="98">
        <v>1.3888888888888889E-4</v>
      </c>
      <c r="R30" s="98">
        <v>3.2407407407407406E-4</v>
      </c>
      <c r="S30" s="95">
        <v>0</v>
      </c>
      <c r="T30" s="95" t="s">
        <v>124</v>
      </c>
      <c r="U30" s="95" t="s">
        <v>125</v>
      </c>
      <c r="V30" s="95" t="s">
        <v>38</v>
      </c>
      <c r="Z30" s="95" t="b">
        <v>0</v>
      </c>
      <c r="AB30" s="95">
        <v>4</v>
      </c>
      <c r="AE30" s="95" t="s">
        <v>3248</v>
      </c>
      <c r="AF30" s="95" t="s">
        <v>9506</v>
      </c>
      <c r="AH30" s="95" t="b">
        <v>0</v>
      </c>
      <c r="AI30" s="95" t="s">
        <v>11165</v>
      </c>
      <c r="AM30" s="207">
        <v>1.0416666666666667E-4</v>
      </c>
      <c r="AN30" s="207" t="b">
        <v>1</v>
      </c>
      <c r="AO30" s="207" t="b">
        <v>0</v>
      </c>
      <c r="AP30" s="208" t="s">
        <v>9801</v>
      </c>
      <c r="AQ30" s="207">
        <v>0</v>
      </c>
      <c r="AR30" s="207">
        <f t="shared" si="0"/>
        <v>1.0416666666666667E-4</v>
      </c>
      <c r="AS30" s="207">
        <f t="shared" si="1"/>
        <v>-1.3888888888888889E-4</v>
      </c>
      <c r="AT30" s="207">
        <f t="shared" si="2"/>
        <v>-2.1990740740740738E-4</v>
      </c>
      <c r="AU30" s="208" t="s">
        <v>9801</v>
      </c>
      <c r="AV30" s="208" t="s">
        <v>9801</v>
      </c>
      <c r="AW30" s="208" t="s">
        <v>9801</v>
      </c>
      <c r="AX30" s="208" t="s">
        <v>11235</v>
      </c>
      <c r="AY30" s="214">
        <v>5.7870370370370378E-4</v>
      </c>
      <c r="AZ30" s="215" t="b">
        <v>1</v>
      </c>
      <c r="BA30" s="215" t="b">
        <v>1</v>
      </c>
      <c r="BB30" s="215">
        <v>5</v>
      </c>
      <c r="BC30" s="214">
        <v>1.0416666666666667E-4</v>
      </c>
      <c r="BD30" s="214">
        <f t="shared" si="5"/>
        <v>6.8287037037037047E-4</v>
      </c>
      <c r="BE30" s="214">
        <f t="shared" si="3"/>
        <v>-3.4722222222222215E-5</v>
      </c>
      <c r="BF30" s="214">
        <f t="shared" si="4"/>
        <v>3.587962962962964E-4</v>
      </c>
      <c r="BG30" s="215">
        <f t="shared" si="9"/>
        <v>1</v>
      </c>
      <c r="BH30" s="219">
        <f t="shared" si="8"/>
        <v>0.75</v>
      </c>
      <c r="BI30" s="219">
        <f t="shared" si="10"/>
        <v>0.25</v>
      </c>
    </row>
    <row r="31" spans="1:61" x14ac:dyDescent="0.2">
      <c r="A31" s="95" t="s">
        <v>3418</v>
      </c>
      <c r="B31" s="95">
        <v>1063</v>
      </c>
      <c r="C31" s="95" t="b">
        <v>0</v>
      </c>
      <c r="D31" s="95" t="b">
        <v>0</v>
      </c>
      <c r="E31" s="95" t="b">
        <v>0</v>
      </c>
      <c r="F31" s="95" t="b">
        <v>0</v>
      </c>
      <c r="G31" s="95" t="s">
        <v>31</v>
      </c>
      <c r="H31" s="95" t="s">
        <v>3419</v>
      </c>
      <c r="I31" s="95" t="s">
        <v>3420</v>
      </c>
      <c r="J31" s="95" t="s">
        <v>675</v>
      </c>
      <c r="O31" s="95" t="s">
        <v>10876</v>
      </c>
      <c r="P31" s="95" t="s">
        <v>10876</v>
      </c>
      <c r="Q31" s="98">
        <v>2.3148148148148146E-4</v>
      </c>
      <c r="R31" s="98">
        <v>2.7777777777777778E-4</v>
      </c>
      <c r="S31" s="95">
        <v>0</v>
      </c>
      <c r="T31" s="95" t="s">
        <v>124</v>
      </c>
      <c r="U31" s="95" t="s">
        <v>125</v>
      </c>
      <c r="V31" s="95" t="s">
        <v>38</v>
      </c>
      <c r="Z31" s="95" t="b">
        <v>0</v>
      </c>
      <c r="AB31" s="95">
        <v>4</v>
      </c>
      <c r="AE31" s="95" t="s">
        <v>3248</v>
      </c>
      <c r="AF31" s="95" t="s">
        <v>9506</v>
      </c>
      <c r="AH31" s="95" t="b">
        <v>0</v>
      </c>
      <c r="AI31" s="95" t="s">
        <v>11166</v>
      </c>
      <c r="AM31" s="207">
        <v>1.0416666666666667E-4</v>
      </c>
      <c r="AN31" s="207" t="b">
        <v>1</v>
      </c>
      <c r="AO31" s="207" t="b">
        <v>0</v>
      </c>
      <c r="AP31" s="208" t="s">
        <v>9801</v>
      </c>
      <c r="AQ31" s="207">
        <v>0</v>
      </c>
      <c r="AR31" s="207">
        <f t="shared" si="0"/>
        <v>1.0416666666666667E-4</v>
      </c>
      <c r="AS31" s="207">
        <f t="shared" si="1"/>
        <v>-2.3148148148148146E-4</v>
      </c>
      <c r="AT31" s="207">
        <f t="shared" si="2"/>
        <v>-1.7361111111111109E-4</v>
      </c>
      <c r="AU31" s="208" t="s">
        <v>9801</v>
      </c>
      <c r="AV31" s="208" t="s">
        <v>9801</v>
      </c>
      <c r="AW31" s="208" t="s">
        <v>9801</v>
      </c>
      <c r="AX31" s="208" t="s">
        <v>11235</v>
      </c>
      <c r="AY31" s="214">
        <v>3.9351851851851852E-4</v>
      </c>
      <c r="AZ31" s="215" t="b">
        <v>1</v>
      </c>
      <c r="BA31" s="215" t="b">
        <v>1</v>
      </c>
      <c r="BB31" s="215">
        <v>4</v>
      </c>
      <c r="BC31" s="214">
        <v>1.273148148148148E-4</v>
      </c>
      <c r="BD31" s="214">
        <f t="shared" si="5"/>
        <v>5.2083333333333333E-4</v>
      </c>
      <c r="BE31" s="214">
        <f t="shared" si="3"/>
        <v>-1.0416666666666666E-4</v>
      </c>
      <c r="BF31" s="214">
        <f t="shared" si="4"/>
        <v>2.4305555555555555E-4</v>
      </c>
      <c r="BG31" s="215">
        <f t="shared" si="9"/>
        <v>0</v>
      </c>
      <c r="BH31" s="219">
        <f t="shared" si="8"/>
        <v>1</v>
      </c>
      <c r="BI31" s="219">
        <f t="shared" si="10"/>
        <v>0</v>
      </c>
    </row>
    <row r="32" spans="1:61" ht="32" x14ac:dyDescent="0.2">
      <c r="Q32" s="98">
        <f>SUMIFS(Q2:Q31, AN2:AN31, "TRUE", AO2:AO31, "TRUE")</f>
        <v>0</v>
      </c>
      <c r="R32" s="95" t="s">
        <v>11328</v>
      </c>
      <c r="AM32" s="238"/>
      <c r="AN32" s="213">
        <f>COUNTIF(AN2:AN31,"TRUE")/ROWS(AN2:AN31)</f>
        <v>1</v>
      </c>
      <c r="AO32" s="213">
        <f>COUNTIF(AO2:AO31,"TRUE")/COUNTA(AO2:AO31)</f>
        <v>0</v>
      </c>
      <c r="AP32" s="208">
        <f>SUM(AP2:AP31)</f>
        <v>0</v>
      </c>
      <c r="AQ32" s="207">
        <f>SUMIFS(AQ2:AQ31, AN2:AN31, "TRUE", AO2:AO31, "TRUE")</f>
        <v>0</v>
      </c>
      <c r="AR32" s="207"/>
      <c r="AS32" s="207"/>
      <c r="AT32" s="207"/>
      <c r="AU32" s="208" t="s">
        <v>9801</v>
      </c>
      <c r="AV32" s="220" t="s">
        <v>9801</v>
      </c>
      <c r="AW32" s="208" t="s">
        <v>9801</v>
      </c>
      <c r="AX32" s="239" t="s">
        <v>11239</v>
      </c>
      <c r="AY32" s="215"/>
      <c r="AZ32" s="219">
        <f>COUNTIF(AZ2:AZ31,"TRUE")/ROWS(AZ2:AZ31)</f>
        <v>1</v>
      </c>
      <c r="BA32" s="219">
        <f>COUNTIF(BA2:BA31,"TRUE")/COUNTA(BA2:BA31)</f>
        <v>1</v>
      </c>
      <c r="BB32" s="215">
        <f>SUMIFS(BB2:BB31, AZ2:AZ31, "TRUE", BA2:BA31, "TRUE", BH2:BH31, "&lt;&gt;-")</f>
        <v>135</v>
      </c>
      <c r="BC32" s="214">
        <f>SUMIFS(BC2:BC31, BH2:BH31, "&lt;&gt;-")</f>
        <v>5.0462962962962961E-3</v>
      </c>
      <c r="BD32" s="215"/>
      <c r="BE32" s="215"/>
      <c r="BF32" s="215"/>
      <c r="BG32" s="215"/>
      <c r="BH32" s="219">
        <f t="shared" si="8"/>
        <v>0.77500000000000002</v>
      </c>
      <c r="BI32" s="219">
        <f>AVERAGEIFS(BI2:BI31, BI2:BI31, "&lt;&gt;-")</f>
        <v>0.22500000000000001</v>
      </c>
    </row>
    <row r="33" spans="17:60" x14ac:dyDescent="0.2">
      <c r="Q33" s="98">
        <f>SUMIFS(Q2:Q31, AZ2:AZ31, "TRUE", BA2:BA31, "TRUE")</f>
        <v>7.7314814814814807E-3</v>
      </c>
      <c r="R33" s="95" t="s">
        <v>11329</v>
      </c>
      <c r="AB33" s="95">
        <f>SUMIFS(AB2:AB31, AZ2:AZ31, "TRUE", BA2:BA31, "TRUE")</f>
        <v>112</v>
      </c>
      <c r="AC33" s="95" t="s">
        <v>11329</v>
      </c>
    </row>
    <row r="34" spans="17:60" x14ac:dyDescent="0.2">
      <c r="AU34" s="123" t="s">
        <v>11377</v>
      </c>
      <c r="AV34" s="192">
        <f>COUNTIF(AV2:AV31, "&lt;&gt;-") / ROWS(AV2:AV31)</f>
        <v>0</v>
      </c>
      <c r="BG34" s="123" t="s">
        <v>11377</v>
      </c>
      <c r="BH34" s="191">
        <f>COUNTIF(BH2:BH31, "&lt;&gt;-") / ROWS(BH2:BH31)</f>
        <v>0.93333333333333335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1591-BEC1-A74C-B6B7-2C1EEC2704A4}">
  <dimension ref="A1:V16"/>
  <sheetViews>
    <sheetView workbookViewId="0">
      <pane ySplit="1" topLeftCell="A2" activePane="bottomLeft" state="frozen"/>
      <selection pane="bottomLeft" activeCell="H15" sqref="H15"/>
    </sheetView>
  </sheetViews>
  <sheetFormatPr baseColWidth="10" defaultRowHeight="15" x14ac:dyDescent="0.2"/>
  <cols>
    <col min="22" max="22" width="19.83203125" customWidth="1"/>
  </cols>
  <sheetData>
    <row r="1" spans="1:22" s="6" customFormat="1" x14ac:dyDescent="0.2">
      <c r="A1" s="6" t="s">
        <v>9832</v>
      </c>
      <c r="B1" s="6" t="s">
        <v>9833</v>
      </c>
      <c r="C1" s="6" t="s">
        <v>9834</v>
      </c>
      <c r="D1" s="6" t="s">
        <v>9838</v>
      </c>
      <c r="E1" s="6" t="s">
        <v>7</v>
      </c>
      <c r="F1" s="6" t="s">
        <v>8</v>
      </c>
      <c r="G1" s="6" t="s">
        <v>9847</v>
      </c>
      <c r="H1" s="6" t="s">
        <v>12</v>
      </c>
      <c r="I1" s="6" t="s">
        <v>11</v>
      </c>
      <c r="J1" s="6" t="s">
        <v>20</v>
      </c>
      <c r="K1" s="6" t="s">
        <v>23</v>
      </c>
      <c r="L1" s="6" t="s">
        <v>9837</v>
      </c>
      <c r="M1" s="6" t="s">
        <v>9841</v>
      </c>
      <c r="N1" s="6" t="s">
        <v>9842</v>
      </c>
      <c r="O1" s="6" t="s">
        <v>9835</v>
      </c>
      <c r="P1" s="6" t="s">
        <v>9844</v>
      </c>
      <c r="Q1" s="6" t="s">
        <v>9843</v>
      </c>
      <c r="R1" s="6" t="s">
        <v>9836</v>
      </c>
      <c r="S1" s="6" t="s">
        <v>10829</v>
      </c>
      <c r="T1" s="6" t="s">
        <v>10830</v>
      </c>
      <c r="V1" s="6" t="s">
        <v>9400</v>
      </c>
    </row>
    <row r="2" spans="1:22" ht="15" customHeight="1" x14ac:dyDescent="0.2">
      <c r="A2" s="7">
        <v>0</v>
      </c>
      <c r="B2" s="7">
        <v>0</v>
      </c>
      <c r="C2" s="7">
        <v>1.4583333333333334E-3</v>
      </c>
      <c r="D2" t="s">
        <v>9839</v>
      </c>
      <c r="E2" t="s">
        <v>9840</v>
      </c>
      <c r="F2" t="s">
        <v>9845</v>
      </c>
      <c r="G2" t="s">
        <v>37</v>
      </c>
      <c r="M2">
        <v>4.8600000000000003</v>
      </c>
      <c r="N2">
        <v>0.19</v>
      </c>
      <c r="O2">
        <f>DEGREES(ATAN(N2/M2))</f>
        <v>2.2388183257362551</v>
      </c>
      <c r="P2">
        <v>2.4500000000000002</v>
      </c>
      <c r="Q2">
        <v>0.08</v>
      </c>
      <c r="R2">
        <f>DEGREES(ATAN(Q2/P2))</f>
        <v>1.8702180957484591</v>
      </c>
      <c r="S2" s="7">
        <f>C2-B2</f>
        <v>1.4583333333333334E-3</v>
      </c>
      <c r="T2" s="7">
        <f>C2-A2</f>
        <v>1.4583333333333334E-3</v>
      </c>
      <c r="V2" s="547" t="s">
        <v>10831</v>
      </c>
    </row>
    <row r="3" spans="1:22" x14ac:dyDescent="0.2">
      <c r="A3" s="7">
        <v>1.4583333333333334E-3</v>
      </c>
      <c r="B3" s="7">
        <v>1.5162037037037036E-3</v>
      </c>
      <c r="C3" s="7">
        <v>3.1481481481481482E-3</v>
      </c>
      <c r="D3" t="s">
        <v>9839</v>
      </c>
      <c r="E3" t="s">
        <v>9840</v>
      </c>
      <c r="F3" t="s">
        <v>9846</v>
      </c>
      <c r="G3" t="s">
        <v>37</v>
      </c>
      <c r="M3">
        <v>3.16</v>
      </c>
      <c r="N3">
        <v>0.1</v>
      </c>
      <c r="O3">
        <f t="shared" ref="O3:O9" si="0">DEGREES(ATAN(N3/M3))</f>
        <v>1.8125526855155916</v>
      </c>
      <c r="P3">
        <v>1.22</v>
      </c>
      <c r="Q3">
        <v>0.09</v>
      </c>
      <c r="R3">
        <f t="shared" ref="R3:R9" si="1">DEGREES(ATAN(Q3/P3))</f>
        <v>4.2190953492484553</v>
      </c>
      <c r="S3" s="7">
        <f t="shared" ref="S3:S11" si="2">C3-B3</f>
        <v>1.6319444444444445E-3</v>
      </c>
      <c r="T3" s="7">
        <f t="shared" ref="T3:T11" si="3">C3-A3</f>
        <v>1.6898148148148148E-3</v>
      </c>
      <c r="V3" s="547"/>
    </row>
    <row r="4" spans="1:22" x14ac:dyDescent="0.2">
      <c r="A4" s="7">
        <v>3.1481481481481482E-3</v>
      </c>
      <c r="B4" s="7">
        <v>3.4490740740740745E-3</v>
      </c>
      <c r="C4" s="7">
        <v>3.7500000000000003E-3</v>
      </c>
      <c r="D4" t="s">
        <v>9839</v>
      </c>
      <c r="E4" t="s">
        <v>9840</v>
      </c>
      <c r="F4" t="s">
        <v>9848</v>
      </c>
      <c r="G4" t="s">
        <v>110</v>
      </c>
      <c r="J4">
        <v>95</v>
      </c>
      <c r="S4" s="7">
        <f t="shared" si="2"/>
        <v>3.0092592592592584E-4</v>
      </c>
      <c r="T4" s="7">
        <f t="shared" si="3"/>
        <v>6.0185185185185211E-4</v>
      </c>
      <c r="V4" s="547"/>
    </row>
    <row r="5" spans="1:22" x14ac:dyDescent="0.2">
      <c r="A5" s="7">
        <v>3.7500000000000003E-3</v>
      </c>
      <c r="B5" s="7">
        <v>4.2592592592592595E-3</v>
      </c>
      <c r="C5" s="7">
        <v>5.6712962962962958E-3</v>
      </c>
      <c r="D5" t="s">
        <v>9839</v>
      </c>
      <c r="E5" t="s">
        <v>9849</v>
      </c>
      <c r="F5" t="s">
        <v>9845</v>
      </c>
      <c r="G5" t="s">
        <v>37</v>
      </c>
      <c r="M5">
        <v>5.81</v>
      </c>
      <c r="N5">
        <v>0.14000000000000001</v>
      </c>
      <c r="O5">
        <f t="shared" si="0"/>
        <v>1.3803540734444519</v>
      </c>
      <c r="P5">
        <v>3.28</v>
      </c>
      <c r="Q5">
        <v>0.06</v>
      </c>
      <c r="R5">
        <f t="shared" si="1"/>
        <v>1.0479766460064828</v>
      </c>
      <c r="S5" s="7">
        <f t="shared" si="2"/>
        <v>1.4120370370370363E-3</v>
      </c>
      <c r="T5" s="7">
        <f t="shared" si="3"/>
        <v>1.9212962962962955E-3</v>
      </c>
      <c r="V5" s="547"/>
    </row>
    <row r="6" spans="1:22" x14ac:dyDescent="0.2">
      <c r="A6" s="7">
        <v>5.6712962962962958E-3</v>
      </c>
      <c r="B6" s="7">
        <v>5.7638888888888887E-3</v>
      </c>
      <c r="C6" s="7">
        <v>6.8402777777777776E-3</v>
      </c>
      <c r="D6" t="s">
        <v>9839</v>
      </c>
      <c r="E6" t="s">
        <v>9849</v>
      </c>
      <c r="F6" t="s">
        <v>9846</v>
      </c>
      <c r="G6" t="s">
        <v>37</v>
      </c>
      <c r="M6">
        <v>8.64</v>
      </c>
      <c r="N6">
        <v>0.56000000000000005</v>
      </c>
      <c r="O6">
        <f t="shared" si="0"/>
        <v>3.7084281571304536</v>
      </c>
      <c r="P6">
        <v>1.95</v>
      </c>
      <c r="Q6">
        <v>0.09</v>
      </c>
      <c r="R6">
        <f t="shared" si="1"/>
        <v>2.6425452940647243</v>
      </c>
      <c r="S6" s="7">
        <f t="shared" si="2"/>
        <v>1.0763888888888889E-3</v>
      </c>
      <c r="T6" s="7">
        <f t="shared" si="3"/>
        <v>1.1689814814814818E-3</v>
      </c>
      <c r="V6" s="547"/>
    </row>
    <row r="7" spans="1:22" x14ac:dyDescent="0.2">
      <c r="A7" s="7">
        <v>6.8402777777777776E-3</v>
      </c>
      <c r="B7" s="7">
        <v>7.083333333333333E-3</v>
      </c>
      <c r="C7" s="7">
        <v>8.0324074074074065E-3</v>
      </c>
      <c r="D7" t="s">
        <v>9839</v>
      </c>
      <c r="E7" t="s">
        <v>9850</v>
      </c>
      <c r="F7" t="s">
        <v>9852</v>
      </c>
      <c r="G7" t="s">
        <v>110</v>
      </c>
      <c r="J7">
        <v>100</v>
      </c>
      <c r="S7" s="7">
        <f t="shared" si="2"/>
        <v>9.4907407407407354E-4</v>
      </c>
      <c r="T7" s="7">
        <f t="shared" si="3"/>
        <v>1.1921296296296289E-3</v>
      </c>
      <c r="V7" s="547"/>
    </row>
    <row r="8" spans="1:22" x14ac:dyDescent="0.2">
      <c r="A8" s="7">
        <v>8.0324074074074065E-3</v>
      </c>
      <c r="B8" s="7">
        <v>8.3912037037037045E-3</v>
      </c>
      <c r="C8" s="42">
        <v>9.5601851851851855E-3</v>
      </c>
      <c r="D8" t="s">
        <v>9839</v>
      </c>
      <c r="E8" t="s">
        <v>9853</v>
      </c>
      <c r="F8" t="s">
        <v>9854</v>
      </c>
      <c r="G8" t="s">
        <v>37</v>
      </c>
      <c r="M8">
        <v>4.45</v>
      </c>
      <c r="N8">
        <v>0.27</v>
      </c>
      <c r="O8">
        <f t="shared" si="0"/>
        <v>3.4721166175863361</v>
      </c>
      <c r="P8">
        <v>1.45</v>
      </c>
      <c r="Q8">
        <v>0.02</v>
      </c>
      <c r="R8">
        <f t="shared" si="1"/>
        <v>0.79023650242918764</v>
      </c>
      <c r="S8" s="7">
        <f t="shared" si="2"/>
        <v>1.1689814814814809E-3</v>
      </c>
      <c r="T8" s="7">
        <f t="shared" si="3"/>
        <v>1.5277777777777789E-3</v>
      </c>
      <c r="V8" s="547"/>
    </row>
    <row r="9" spans="1:22" x14ac:dyDescent="0.2">
      <c r="A9" s="42">
        <v>9.5601851851851855E-3</v>
      </c>
      <c r="B9" s="7">
        <v>9.6064814814814815E-3</v>
      </c>
      <c r="C9" s="7">
        <v>1.0578703703703703E-2</v>
      </c>
      <c r="D9" t="s">
        <v>9839</v>
      </c>
      <c r="E9" t="s">
        <v>9853</v>
      </c>
      <c r="F9" t="s">
        <v>9851</v>
      </c>
      <c r="G9" t="s">
        <v>37</v>
      </c>
      <c r="M9">
        <v>3.46</v>
      </c>
      <c r="N9">
        <v>0.38</v>
      </c>
      <c r="O9">
        <f t="shared" si="0"/>
        <v>6.2674814048493008</v>
      </c>
      <c r="P9">
        <v>2.6</v>
      </c>
      <c r="Q9">
        <v>0.15</v>
      </c>
      <c r="R9">
        <f t="shared" si="1"/>
        <v>3.3018656744350028</v>
      </c>
      <c r="S9" s="7">
        <f t="shared" si="2"/>
        <v>9.7222222222222154E-4</v>
      </c>
      <c r="T9" s="7">
        <f t="shared" si="3"/>
        <v>1.0185185185185176E-3</v>
      </c>
      <c r="V9" s="547"/>
    </row>
    <row r="10" spans="1:22" x14ac:dyDescent="0.2">
      <c r="A10" s="7">
        <v>1.0578703703703703E-2</v>
      </c>
      <c r="B10" s="7">
        <v>1.1157407407407408E-2</v>
      </c>
      <c r="C10" s="7">
        <v>1.1458333333333334E-2</v>
      </c>
      <c r="D10" t="s">
        <v>10825</v>
      </c>
      <c r="E10" t="s">
        <v>10826</v>
      </c>
      <c r="F10" t="s">
        <v>10827</v>
      </c>
      <c r="G10" t="s">
        <v>37</v>
      </c>
      <c r="K10" t="s">
        <v>9146</v>
      </c>
      <c r="S10" s="7">
        <f t="shared" si="2"/>
        <v>3.0092592592592671E-4</v>
      </c>
      <c r="T10" s="7">
        <f t="shared" si="3"/>
        <v>8.7962962962963125E-4</v>
      </c>
      <c r="V10" s="547"/>
    </row>
    <row r="11" spans="1:22" x14ac:dyDescent="0.2">
      <c r="A11" s="7">
        <v>1.1458333333333334E-2</v>
      </c>
      <c r="B11" s="7">
        <v>1.1597222222222222E-2</v>
      </c>
      <c r="C11" s="7">
        <v>1.3043981481481483E-2</v>
      </c>
      <c r="D11" t="s">
        <v>10825</v>
      </c>
      <c r="E11" t="s">
        <v>10828</v>
      </c>
      <c r="G11" t="s">
        <v>55</v>
      </c>
      <c r="H11">
        <v>15</v>
      </c>
      <c r="I11">
        <v>17</v>
      </c>
      <c r="S11" s="7">
        <f t="shared" si="2"/>
        <v>1.4467592592592605E-3</v>
      </c>
      <c r="T11" s="7">
        <f t="shared" si="3"/>
        <v>1.5856481481481485E-3</v>
      </c>
      <c r="V11" s="547"/>
    </row>
    <row r="12" spans="1:22" x14ac:dyDescent="0.2">
      <c r="V12" s="547"/>
    </row>
    <row r="13" spans="1:22" x14ac:dyDescent="0.2">
      <c r="V13" s="547"/>
    </row>
    <row r="14" spans="1:22" x14ac:dyDescent="0.2">
      <c r="V14" s="547"/>
    </row>
    <row r="15" spans="1:22" x14ac:dyDescent="0.2">
      <c r="V15" s="547"/>
    </row>
    <row r="16" spans="1:22" x14ac:dyDescent="0.2">
      <c r="V16" s="547"/>
    </row>
  </sheetData>
  <autoFilter ref="A1:T16" xr:uid="{98121591-BEC1-A74C-B6B7-2C1EEC2704A4}"/>
  <mergeCells count="1">
    <mergeCell ref="V2:V16"/>
  </mergeCells>
  <conditionalFormatting sqref="O2:O1048576">
    <cfRule type="cellIs" dxfId="15" priority="3" operator="greaterThan">
      <formula>3.4</formula>
    </cfRule>
  </conditionalFormatting>
  <conditionalFormatting sqref="R2:R1048576">
    <cfRule type="cellIs" dxfId="14" priority="1" operator="greaterThan">
      <formula>1.7</formula>
    </cfRule>
    <cfRule type="cellIs" dxfId="13" priority="2" operator="greaterThan">
      <formula>1.7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F3D64-8147-D04E-B21B-1046D1FF0ACA}">
  <dimension ref="A1:AB92"/>
  <sheetViews>
    <sheetView topLeftCell="C23" zoomScaleNormal="100" workbookViewId="0">
      <selection activeCell="D38" sqref="D38"/>
    </sheetView>
  </sheetViews>
  <sheetFormatPr baseColWidth="10" defaultRowHeight="15" x14ac:dyDescent="0.2"/>
  <cols>
    <col min="1" max="1" width="21.5" customWidth="1"/>
    <col min="4" max="4" width="127.33203125" bestFit="1" customWidth="1"/>
    <col min="14" max="14" width="10.83203125" style="28"/>
    <col min="15" max="15" width="12.33203125" customWidth="1"/>
    <col min="22" max="22" width="10.83203125" style="89"/>
    <col min="26" max="26" width="23" customWidth="1"/>
  </cols>
  <sheetData>
    <row r="1" spans="1:28" s="25" customFormat="1" ht="48" x14ac:dyDescent="0.2">
      <c r="A1" s="266" t="s">
        <v>11439</v>
      </c>
      <c r="B1" s="266" t="s">
        <v>9452</v>
      </c>
      <c r="C1" s="266" t="s">
        <v>11482</v>
      </c>
      <c r="D1" s="81" t="s">
        <v>7</v>
      </c>
      <c r="E1" s="81" t="s">
        <v>17</v>
      </c>
      <c r="F1" s="81" t="s">
        <v>11436</v>
      </c>
      <c r="G1" s="81" t="s">
        <v>21</v>
      </c>
      <c r="H1" s="81" t="s">
        <v>11437</v>
      </c>
      <c r="I1" s="81" t="s">
        <v>11438</v>
      </c>
      <c r="J1" s="81" t="s">
        <v>8</v>
      </c>
      <c r="K1" s="81" t="s">
        <v>11440</v>
      </c>
      <c r="L1" s="81" t="s">
        <v>11441</v>
      </c>
      <c r="M1" s="81" t="s">
        <v>11442</v>
      </c>
      <c r="N1" s="268" t="s">
        <v>20</v>
      </c>
      <c r="O1" s="81" t="s">
        <v>11443</v>
      </c>
      <c r="P1" s="81" t="s">
        <v>23</v>
      </c>
      <c r="Q1" s="81" t="s">
        <v>11444</v>
      </c>
      <c r="R1" s="81" t="s">
        <v>11446</v>
      </c>
      <c r="S1" s="81" t="s">
        <v>11445</v>
      </c>
      <c r="T1" s="81" t="s">
        <v>11447</v>
      </c>
      <c r="U1" s="269" t="s">
        <v>11448</v>
      </c>
      <c r="V1" s="271" t="s">
        <v>25</v>
      </c>
      <c r="W1" s="270" t="s">
        <v>26</v>
      </c>
      <c r="X1" s="267" t="s">
        <v>9414</v>
      </c>
      <c r="Y1" s="267" t="s">
        <v>9410</v>
      </c>
      <c r="Z1" s="52" t="s">
        <v>9400</v>
      </c>
      <c r="AB1" s="25" t="s">
        <v>11480</v>
      </c>
    </row>
    <row r="2" spans="1:28" x14ac:dyDescent="0.2">
      <c r="A2" t="s">
        <v>9427</v>
      </c>
      <c r="B2">
        <v>1</v>
      </c>
      <c r="C2" s="7">
        <v>3.8194444444444446E-4</v>
      </c>
      <c r="D2" s="110" t="s">
        <v>11449</v>
      </c>
      <c r="E2" t="s">
        <v>266</v>
      </c>
      <c r="F2" t="b">
        <v>0</v>
      </c>
      <c r="H2" t="b">
        <v>0</v>
      </c>
      <c r="I2" t="s">
        <v>11384</v>
      </c>
      <c r="J2" t="s">
        <v>11450</v>
      </c>
      <c r="K2" t="s">
        <v>11384</v>
      </c>
      <c r="X2" s="7">
        <v>5.0925925925925921E-4</v>
      </c>
      <c r="Y2" s="7"/>
      <c r="Z2" s="273" t="s">
        <v>11530</v>
      </c>
      <c r="AB2" s="110" t="s">
        <v>11479</v>
      </c>
    </row>
    <row r="3" spans="1:28" x14ac:dyDescent="0.2">
      <c r="B3">
        <v>2</v>
      </c>
      <c r="C3" s="7">
        <v>3.3564814814814812E-4</v>
      </c>
      <c r="D3" s="110" t="s">
        <v>11451</v>
      </c>
      <c r="E3" t="s">
        <v>125</v>
      </c>
      <c r="F3" t="b">
        <v>0</v>
      </c>
      <c r="H3" t="b">
        <v>0</v>
      </c>
      <c r="I3" t="s">
        <v>11384</v>
      </c>
      <c r="J3" t="s">
        <v>940</v>
      </c>
      <c r="Q3">
        <v>4</v>
      </c>
      <c r="X3" s="7">
        <v>7.175925925925927E-4</v>
      </c>
      <c r="Y3" s="7"/>
    </row>
    <row r="4" spans="1:28" x14ac:dyDescent="0.2">
      <c r="B4">
        <v>3</v>
      </c>
      <c r="C4" s="7">
        <v>1.5393518518518519E-3</v>
      </c>
      <c r="D4" s="110" t="s">
        <v>11452</v>
      </c>
      <c r="E4" t="s">
        <v>55</v>
      </c>
      <c r="F4" t="b">
        <v>0</v>
      </c>
      <c r="H4" t="b">
        <v>0</v>
      </c>
      <c r="I4" t="s">
        <v>11384</v>
      </c>
      <c r="L4" t="s">
        <v>11384</v>
      </c>
      <c r="M4" t="s">
        <v>11384</v>
      </c>
      <c r="O4" t="b">
        <v>0</v>
      </c>
      <c r="X4" s="7">
        <v>6.3657407407407402E-4</v>
      </c>
      <c r="Y4" s="7"/>
    </row>
    <row r="5" spans="1:28" x14ac:dyDescent="0.2">
      <c r="B5">
        <v>4</v>
      </c>
      <c r="C5" s="7">
        <v>2.199074074074074E-4</v>
      </c>
      <c r="D5" s="110" t="s">
        <v>11453</v>
      </c>
      <c r="E5" t="s">
        <v>125</v>
      </c>
      <c r="F5" t="b">
        <v>0</v>
      </c>
      <c r="H5" t="b">
        <v>0</v>
      </c>
      <c r="I5" t="s">
        <v>11384</v>
      </c>
      <c r="J5" t="s">
        <v>940</v>
      </c>
      <c r="Q5">
        <v>4</v>
      </c>
      <c r="X5" s="7">
        <v>4.1666666666666669E-4</v>
      </c>
      <c r="Y5" s="7"/>
    </row>
    <row r="6" spans="1:28" x14ac:dyDescent="0.2">
      <c r="B6">
        <v>5</v>
      </c>
      <c r="C6" s="7">
        <v>2.3148148148148151E-3</v>
      </c>
      <c r="D6" s="110" t="s">
        <v>11454</v>
      </c>
      <c r="E6" t="s">
        <v>125</v>
      </c>
      <c r="F6" t="b">
        <v>0</v>
      </c>
      <c r="H6" t="b">
        <v>0</v>
      </c>
      <c r="I6" t="s">
        <v>11384</v>
      </c>
      <c r="J6" t="s">
        <v>940</v>
      </c>
      <c r="Q6">
        <v>4</v>
      </c>
      <c r="X6" s="7">
        <v>3.8194444444444446E-4</v>
      </c>
      <c r="Y6" s="7"/>
    </row>
    <row r="7" spans="1:28" x14ac:dyDescent="0.2">
      <c r="B7">
        <v>6</v>
      </c>
      <c r="C7" s="7">
        <v>4.7453703703703704E-4</v>
      </c>
      <c r="D7" s="110" t="s">
        <v>11455</v>
      </c>
      <c r="E7" t="s">
        <v>125</v>
      </c>
      <c r="F7" t="b">
        <v>0</v>
      </c>
      <c r="H7" t="b">
        <v>0</v>
      </c>
      <c r="I7" t="s">
        <v>11384</v>
      </c>
      <c r="J7" t="s">
        <v>940</v>
      </c>
      <c r="Q7">
        <v>4</v>
      </c>
      <c r="X7" s="7">
        <v>3.7037037037037035E-4</v>
      </c>
      <c r="Y7" s="7"/>
    </row>
    <row r="8" spans="1:28" x14ac:dyDescent="0.2">
      <c r="B8">
        <v>7</v>
      </c>
      <c r="C8" s="7">
        <v>4.7453703703703704E-4</v>
      </c>
      <c r="D8" s="110" t="s">
        <v>11456</v>
      </c>
      <c r="E8" t="s">
        <v>125</v>
      </c>
      <c r="F8" t="b">
        <v>0</v>
      </c>
      <c r="H8" t="b">
        <v>0</v>
      </c>
      <c r="I8" t="s">
        <v>11384</v>
      </c>
      <c r="J8" t="s">
        <v>940</v>
      </c>
      <c r="Q8">
        <v>4</v>
      </c>
      <c r="X8" s="7">
        <v>2.0833333333333335E-4</v>
      </c>
      <c r="Y8" s="7"/>
    </row>
    <row r="9" spans="1:28" x14ac:dyDescent="0.2">
      <c r="B9">
        <v>8</v>
      </c>
      <c r="C9" s="7">
        <v>7.8703703703703705E-4</v>
      </c>
      <c r="D9" s="110" t="s">
        <v>11457</v>
      </c>
      <c r="E9" t="s">
        <v>125</v>
      </c>
      <c r="F9" t="b">
        <v>0</v>
      </c>
      <c r="H9" t="b">
        <v>0</v>
      </c>
      <c r="I9" t="s">
        <v>11384</v>
      </c>
      <c r="J9" t="s">
        <v>940</v>
      </c>
      <c r="Q9">
        <v>4</v>
      </c>
      <c r="X9" s="7">
        <v>4.8611111111111104E-4</v>
      </c>
      <c r="Y9" s="7"/>
    </row>
    <row r="10" spans="1:28" x14ac:dyDescent="0.2">
      <c r="B10">
        <v>9</v>
      </c>
      <c r="C10" s="7">
        <v>8.9120370370370362E-4</v>
      </c>
      <c r="D10" s="110" t="s">
        <v>11458</v>
      </c>
      <c r="E10" t="s">
        <v>125</v>
      </c>
      <c r="F10" t="b">
        <v>0</v>
      </c>
      <c r="H10" t="b">
        <v>0</v>
      </c>
      <c r="I10" t="s">
        <v>11384</v>
      </c>
      <c r="J10" t="s">
        <v>940</v>
      </c>
      <c r="Q10">
        <v>4</v>
      </c>
      <c r="X10" s="7">
        <v>2.5462962962962961E-4</v>
      </c>
      <c r="Y10" s="7"/>
    </row>
    <row r="11" spans="1:28" x14ac:dyDescent="0.2">
      <c r="B11">
        <v>10</v>
      </c>
      <c r="C11" s="7">
        <v>1.1574074074074073E-3</v>
      </c>
      <c r="D11" s="110" t="s">
        <v>11459</v>
      </c>
      <c r="E11" t="s">
        <v>125</v>
      </c>
      <c r="F11" t="b">
        <v>0</v>
      </c>
      <c r="H11" t="b">
        <v>0</v>
      </c>
      <c r="I11" t="s">
        <v>11384</v>
      </c>
      <c r="J11" t="s">
        <v>940</v>
      </c>
      <c r="Q11">
        <v>4</v>
      </c>
      <c r="X11" s="7">
        <v>1.5046296296296297E-4</v>
      </c>
      <c r="Y11" s="7"/>
    </row>
    <row r="12" spans="1:28" x14ac:dyDescent="0.2">
      <c r="B12">
        <v>11</v>
      </c>
      <c r="C12" s="7">
        <v>9.2592592592592585E-4</v>
      </c>
      <c r="D12" s="110" t="s">
        <v>11460</v>
      </c>
      <c r="E12" t="s">
        <v>3158</v>
      </c>
      <c r="F12" t="b">
        <v>0</v>
      </c>
      <c r="N12" s="28" t="s">
        <v>11384</v>
      </c>
      <c r="X12" s="7">
        <v>3.5879629629629635E-4</v>
      </c>
      <c r="Y12" s="7"/>
    </row>
    <row r="13" spans="1:28" x14ac:dyDescent="0.2">
      <c r="B13">
        <v>12</v>
      </c>
      <c r="C13" s="7">
        <v>4.0509259259259258E-4</v>
      </c>
      <c r="D13" s="110" t="s">
        <v>11461</v>
      </c>
      <c r="E13" t="s">
        <v>125</v>
      </c>
      <c r="F13" t="b">
        <v>0</v>
      </c>
      <c r="H13" t="b">
        <v>0</v>
      </c>
      <c r="I13" t="s">
        <v>11384</v>
      </c>
      <c r="J13" t="s">
        <v>940</v>
      </c>
      <c r="Q13">
        <v>4</v>
      </c>
      <c r="X13" s="7">
        <v>3.0092592592592595E-4</v>
      </c>
      <c r="Y13" s="7"/>
    </row>
    <row r="14" spans="1:28" x14ac:dyDescent="0.2">
      <c r="B14">
        <v>13</v>
      </c>
      <c r="C14" s="7">
        <v>7.8703703703703705E-4</v>
      </c>
      <c r="D14" s="110" t="s">
        <v>11462</v>
      </c>
      <c r="E14" t="s">
        <v>125</v>
      </c>
      <c r="F14" t="b">
        <v>0</v>
      </c>
      <c r="H14" t="b">
        <v>0</v>
      </c>
      <c r="I14" t="s">
        <v>11384</v>
      </c>
      <c r="J14" t="s">
        <v>940</v>
      </c>
      <c r="Q14">
        <v>4</v>
      </c>
      <c r="X14" s="7">
        <v>1.9675925925925926E-4</v>
      </c>
      <c r="Y14" s="7"/>
    </row>
    <row r="15" spans="1:28" x14ac:dyDescent="0.2">
      <c r="B15">
        <v>14</v>
      </c>
      <c r="C15" s="7">
        <v>1.5277777777777779E-3</v>
      </c>
      <c r="D15" s="110" t="s">
        <v>11463</v>
      </c>
      <c r="E15" t="s">
        <v>125</v>
      </c>
      <c r="F15" t="b">
        <v>0</v>
      </c>
      <c r="H15" t="b">
        <v>0</v>
      </c>
      <c r="I15" t="s">
        <v>11384</v>
      </c>
      <c r="J15" t="s">
        <v>940</v>
      </c>
      <c r="Q15">
        <v>4</v>
      </c>
      <c r="X15" s="7">
        <v>1.8518518518518518E-4</v>
      </c>
      <c r="Y15" s="7"/>
    </row>
    <row r="16" spans="1:28" x14ac:dyDescent="0.2">
      <c r="B16">
        <v>15</v>
      </c>
      <c r="C16" s="7">
        <v>7.7546296296296304E-4</v>
      </c>
      <c r="D16" s="110" t="s">
        <v>11464</v>
      </c>
      <c r="E16" t="s">
        <v>125</v>
      </c>
      <c r="F16" t="b">
        <v>0</v>
      </c>
      <c r="H16" t="b">
        <v>0</v>
      </c>
      <c r="I16" t="s">
        <v>11384</v>
      </c>
      <c r="J16" t="s">
        <v>940</v>
      </c>
      <c r="Q16">
        <v>4</v>
      </c>
      <c r="X16" s="7">
        <v>1.9675925925925926E-4</v>
      </c>
      <c r="Y16" s="7"/>
    </row>
    <row r="17" spans="1:26" x14ac:dyDescent="0.2">
      <c r="B17">
        <v>16</v>
      </c>
      <c r="C17" s="7">
        <v>1.712962962962963E-3</v>
      </c>
      <c r="D17" s="110" t="s">
        <v>11465</v>
      </c>
      <c r="E17" t="s">
        <v>125</v>
      </c>
      <c r="F17" t="b">
        <v>0</v>
      </c>
      <c r="H17" t="b">
        <v>0</v>
      </c>
      <c r="I17" t="s">
        <v>11384</v>
      </c>
      <c r="J17" t="s">
        <v>940</v>
      </c>
      <c r="Q17">
        <v>4</v>
      </c>
      <c r="X17" s="7">
        <v>1.5046296296296297E-4</v>
      </c>
      <c r="Y17" s="7"/>
    </row>
    <row r="18" spans="1:26" s="47" customFormat="1" x14ac:dyDescent="0.2">
      <c r="A18" s="317"/>
      <c r="B18" s="317">
        <v>17</v>
      </c>
      <c r="C18" s="318">
        <v>2.199074074074074E-4</v>
      </c>
      <c r="D18" s="319" t="s">
        <v>11466</v>
      </c>
      <c r="E18" s="317" t="s">
        <v>110</v>
      </c>
      <c r="F18" s="317" t="b">
        <v>0</v>
      </c>
      <c r="G18" s="317"/>
      <c r="H18" s="317" t="s">
        <v>11384</v>
      </c>
      <c r="I18" s="317" t="s">
        <v>11384</v>
      </c>
      <c r="J18" s="317" t="s">
        <v>11467</v>
      </c>
      <c r="K18" s="317"/>
      <c r="L18" s="317"/>
      <c r="M18" s="317"/>
      <c r="N18" s="320" t="s">
        <v>11384</v>
      </c>
      <c r="O18" s="317"/>
      <c r="P18" s="317"/>
      <c r="Q18" s="317"/>
      <c r="R18" s="317"/>
      <c r="S18" s="317"/>
      <c r="T18" s="317"/>
      <c r="U18" s="317"/>
      <c r="V18" s="321"/>
      <c r="W18" s="317"/>
      <c r="X18" s="318">
        <v>3.2407407407407406E-4</v>
      </c>
      <c r="Y18" s="318"/>
      <c r="Z18" s="317"/>
    </row>
    <row r="19" spans="1:26" s="47" customFormat="1" x14ac:dyDescent="0.2">
      <c r="A19" s="317"/>
      <c r="B19" s="317">
        <v>18</v>
      </c>
      <c r="C19" s="318">
        <v>1.1458333333333333E-3</v>
      </c>
      <c r="D19" s="110" t="s">
        <v>11889</v>
      </c>
      <c r="E19" s="317" t="s">
        <v>110</v>
      </c>
      <c r="F19" s="317" t="b">
        <v>0</v>
      </c>
      <c r="G19" s="317"/>
      <c r="H19" s="317" t="s">
        <v>11384</v>
      </c>
      <c r="I19" s="317" t="s">
        <v>11384</v>
      </c>
      <c r="J19" s="317" t="s">
        <v>11467</v>
      </c>
      <c r="K19" s="317"/>
      <c r="L19" s="317"/>
      <c r="M19" s="317"/>
      <c r="N19" s="320" t="s">
        <v>11384</v>
      </c>
      <c r="O19" s="317"/>
      <c r="P19" s="317"/>
      <c r="Q19" s="317"/>
      <c r="R19" s="317"/>
      <c r="S19" s="317"/>
      <c r="T19" s="317"/>
      <c r="U19" s="317"/>
      <c r="V19" s="321"/>
      <c r="W19" s="317"/>
      <c r="X19" s="318">
        <v>2.6620370370370372E-4</v>
      </c>
      <c r="Y19" s="318"/>
      <c r="Z19" s="317" t="s">
        <v>11890</v>
      </c>
    </row>
    <row r="20" spans="1:26" x14ac:dyDescent="0.2">
      <c r="B20">
        <v>19</v>
      </c>
      <c r="C20" s="7">
        <v>3.3912037037037036E-3</v>
      </c>
      <c r="D20" s="110" t="s">
        <v>11468</v>
      </c>
      <c r="E20" t="s">
        <v>110</v>
      </c>
      <c r="F20" t="b">
        <v>0</v>
      </c>
      <c r="H20" t="b">
        <v>0</v>
      </c>
      <c r="I20" t="s">
        <v>11384</v>
      </c>
      <c r="J20" t="s">
        <v>11469</v>
      </c>
      <c r="N20" s="28" t="s">
        <v>11384</v>
      </c>
      <c r="X20" s="7">
        <v>3.9351851851851852E-4</v>
      </c>
      <c r="Y20" s="7"/>
    </row>
    <row r="21" spans="1:26" x14ac:dyDescent="0.2">
      <c r="B21">
        <v>20</v>
      </c>
      <c r="C21" s="7">
        <v>1.8634259259259261E-3</v>
      </c>
      <c r="D21" s="110" t="s">
        <v>11470</v>
      </c>
      <c r="E21" t="s">
        <v>110</v>
      </c>
      <c r="F21" t="b">
        <v>0</v>
      </c>
      <c r="H21" t="s">
        <v>11384</v>
      </c>
      <c r="I21" t="s">
        <v>11384</v>
      </c>
      <c r="J21" t="s">
        <v>11467</v>
      </c>
      <c r="N21" s="28" t="s">
        <v>11384</v>
      </c>
      <c r="X21" s="7">
        <v>2.0833333333333335E-4</v>
      </c>
      <c r="Y21" s="7"/>
    </row>
    <row r="22" spans="1:26" x14ac:dyDescent="0.2">
      <c r="B22">
        <v>21</v>
      </c>
      <c r="C22" s="7">
        <v>6.9444444444444447E-4</v>
      </c>
      <c r="D22" s="110" t="s">
        <v>11471</v>
      </c>
      <c r="E22" t="s">
        <v>110</v>
      </c>
      <c r="F22" t="b">
        <v>0</v>
      </c>
      <c r="H22" t="b">
        <v>0</v>
      </c>
      <c r="I22" t="s">
        <v>11384</v>
      </c>
      <c r="J22" t="s">
        <v>11472</v>
      </c>
      <c r="N22" s="28" t="s">
        <v>11384</v>
      </c>
      <c r="X22" s="7">
        <v>2.5462962962962961E-4</v>
      </c>
      <c r="Y22" s="7"/>
    </row>
    <row r="23" spans="1:26" x14ac:dyDescent="0.2">
      <c r="B23">
        <v>22</v>
      </c>
      <c r="C23" s="7">
        <v>1.2384259259259258E-3</v>
      </c>
      <c r="D23" s="110" t="s">
        <v>11473</v>
      </c>
      <c r="E23" t="s">
        <v>110</v>
      </c>
      <c r="F23" t="b">
        <v>0</v>
      </c>
      <c r="H23" t="b">
        <v>0</v>
      </c>
      <c r="I23" t="s">
        <v>11384</v>
      </c>
      <c r="J23" t="s">
        <v>11469</v>
      </c>
      <c r="N23" s="28" t="s">
        <v>11384</v>
      </c>
      <c r="X23" s="7">
        <v>1.2384259259259258E-3</v>
      </c>
      <c r="Y23" s="7"/>
    </row>
    <row r="24" spans="1:26" x14ac:dyDescent="0.2">
      <c r="B24">
        <v>23</v>
      </c>
      <c r="C24" s="7">
        <v>1.1226851851851851E-3</v>
      </c>
      <c r="D24" s="110" t="s">
        <v>11474</v>
      </c>
      <c r="E24" t="s">
        <v>110</v>
      </c>
      <c r="F24" t="b">
        <v>0</v>
      </c>
      <c r="H24" t="b">
        <v>0</v>
      </c>
      <c r="I24" t="s">
        <v>11384</v>
      </c>
      <c r="J24" t="s">
        <v>11475</v>
      </c>
      <c r="N24" s="28" t="s">
        <v>11384</v>
      </c>
      <c r="X24" s="7">
        <v>1.3888888888888889E-4</v>
      </c>
      <c r="Y24" s="7"/>
    </row>
    <row r="25" spans="1:26" x14ac:dyDescent="0.2">
      <c r="B25">
        <v>24</v>
      </c>
      <c r="C25" s="7">
        <v>3.5879629629629635E-4</v>
      </c>
      <c r="D25" s="110" t="s">
        <v>11476</v>
      </c>
      <c r="E25" t="s">
        <v>110</v>
      </c>
      <c r="F25" t="b">
        <v>0</v>
      </c>
      <c r="H25" t="b">
        <v>0</v>
      </c>
      <c r="I25" t="s">
        <v>11384</v>
      </c>
      <c r="J25" t="s">
        <v>11469</v>
      </c>
      <c r="N25" s="28" t="s">
        <v>11384</v>
      </c>
      <c r="X25" s="7">
        <v>1.3888888888888889E-4</v>
      </c>
      <c r="Y25" s="7"/>
    </row>
    <row r="26" spans="1:26" x14ac:dyDescent="0.2">
      <c r="B26">
        <v>25</v>
      </c>
      <c r="C26" s="7">
        <v>8.564814814814815E-4</v>
      </c>
      <c r="D26" s="110" t="s">
        <v>11477</v>
      </c>
      <c r="E26" t="s">
        <v>55</v>
      </c>
      <c r="F26" t="b">
        <v>0</v>
      </c>
      <c r="H26" t="b">
        <v>0</v>
      </c>
      <c r="I26" t="s">
        <v>11384</v>
      </c>
      <c r="L26">
        <v>50</v>
      </c>
      <c r="M26" t="s">
        <v>11384</v>
      </c>
      <c r="O26" t="b">
        <v>0</v>
      </c>
      <c r="X26" s="7">
        <v>6.9444444444444447E-4</v>
      </c>
      <c r="Y26" s="7"/>
    </row>
    <row r="27" spans="1:26" x14ac:dyDescent="0.2">
      <c r="B27">
        <v>26</v>
      </c>
      <c r="C27" s="7">
        <v>1.1574074074074073E-4</v>
      </c>
      <c r="D27" s="110" t="s">
        <v>11478</v>
      </c>
      <c r="E27" t="s">
        <v>417</v>
      </c>
      <c r="F27" t="b">
        <v>1</v>
      </c>
      <c r="G27" t="s">
        <v>11384</v>
      </c>
      <c r="H27" t="b">
        <v>0</v>
      </c>
      <c r="I27" t="s">
        <v>11384</v>
      </c>
      <c r="J27" t="s">
        <v>119</v>
      </c>
      <c r="N27" s="28" t="s">
        <v>11384</v>
      </c>
      <c r="X27" s="7">
        <v>1.9675925925925926E-4</v>
      </c>
      <c r="Y27" s="7"/>
    </row>
    <row r="28" spans="1:26" x14ac:dyDescent="0.2">
      <c r="A28" t="s">
        <v>11481</v>
      </c>
      <c r="B28" t="s">
        <v>9801</v>
      </c>
      <c r="C28" s="7"/>
    </row>
    <row r="29" spans="1:26" x14ac:dyDescent="0.2">
      <c r="A29" t="s">
        <v>9429</v>
      </c>
      <c r="B29">
        <v>27</v>
      </c>
      <c r="C29" s="7">
        <v>0</v>
      </c>
      <c r="D29" t="s">
        <v>11483</v>
      </c>
      <c r="E29" t="s">
        <v>37</v>
      </c>
      <c r="R29">
        <v>203.48</v>
      </c>
      <c r="S29">
        <v>5.47</v>
      </c>
      <c r="T29">
        <v>16.75</v>
      </c>
      <c r="U29">
        <v>0.22</v>
      </c>
      <c r="V29" s="272">
        <f>IF(AND(S29&lt;&gt;"-",R29&lt;&gt;"-"), ROUND(DEGREES(ATAN(S29/R29)*100%), 0), "-")</f>
        <v>2</v>
      </c>
      <c r="W29" s="272">
        <f>IF(AND(U29&lt;&gt;"-",T29&lt;&gt;"-"), ROUND(DEGREES(ATAN(U29/T29)*100%), 0), "-")</f>
        <v>1</v>
      </c>
      <c r="X29" s="7">
        <v>1.3888888888888889E-3</v>
      </c>
      <c r="Y29" s="7" t="s">
        <v>9409</v>
      </c>
    </row>
    <row r="30" spans="1:26" x14ac:dyDescent="0.2">
      <c r="B30">
        <v>28</v>
      </c>
      <c r="C30" s="7">
        <v>0</v>
      </c>
      <c r="D30" t="s">
        <v>11484</v>
      </c>
      <c r="E30" t="s">
        <v>37</v>
      </c>
      <c r="R30">
        <v>76.040000000000006</v>
      </c>
      <c r="S30">
        <v>3.33</v>
      </c>
      <c r="T30">
        <v>18.72</v>
      </c>
      <c r="U30">
        <v>2.68</v>
      </c>
      <c r="V30" s="272">
        <f t="shared" ref="V30:V73" si="0">IF(AND(S30&lt;&gt;"-",R30&lt;&gt;"-"), ROUND(DEGREES(ATAN(S30/R30)*100%), 0), "-")</f>
        <v>3</v>
      </c>
      <c r="W30" s="272">
        <f t="shared" ref="W30:W73" si="1">IF(AND(U30&lt;&gt;"-",T30&lt;&gt;"-"), ROUND(DEGREES(ATAN(U30/T30)*100%), 0), "-")</f>
        <v>8</v>
      </c>
      <c r="X30" s="7">
        <v>6.7129629629629625E-4</v>
      </c>
      <c r="Y30" s="7"/>
    </row>
    <row r="31" spans="1:26" x14ac:dyDescent="0.2">
      <c r="B31">
        <v>29</v>
      </c>
      <c r="C31" s="7">
        <v>0</v>
      </c>
      <c r="D31" t="s">
        <v>11485</v>
      </c>
      <c r="E31" t="s">
        <v>37</v>
      </c>
      <c r="R31">
        <v>258.77</v>
      </c>
      <c r="S31">
        <v>6.62</v>
      </c>
      <c r="T31">
        <v>14.51</v>
      </c>
      <c r="U31">
        <v>0.26</v>
      </c>
      <c r="V31" s="272">
        <f t="shared" si="0"/>
        <v>1</v>
      </c>
      <c r="W31" s="272">
        <f t="shared" si="1"/>
        <v>1</v>
      </c>
      <c r="X31" s="7">
        <v>4.1666666666666669E-4</v>
      </c>
      <c r="Y31" s="7" t="s">
        <v>9409</v>
      </c>
    </row>
    <row r="32" spans="1:26" x14ac:dyDescent="0.2">
      <c r="B32">
        <v>30</v>
      </c>
      <c r="C32" s="7">
        <v>0</v>
      </c>
      <c r="D32" t="s">
        <v>11486</v>
      </c>
      <c r="E32" t="s">
        <v>37</v>
      </c>
      <c r="R32">
        <v>47.16</v>
      </c>
      <c r="S32">
        <v>9.17</v>
      </c>
      <c r="T32">
        <v>13.08</v>
      </c>
      <c r="U32">
        <v>1.35</v>
      </c>
      <c r="V32" s="272">
        <f>IF(AND(S32&lt;&gt;"-",R32&lt;&gt;"-"), ROUND(DEGREES(ATAN(S32/R32)*100%), 0), "-")</f>
        <v>11</v>
      </c>
      <c r="W32" s="272">
        <f t="shared" si="1"/>
        <v>6</v>
      </c>
      <c r="X32" s="7">
        <v>3.7037037037037035E-4</v>
      </c>
      <c r="Y32" s="7"/>
    </row>
    <row r="33" spans="1:26" x14ac:dyDescent="0.2">
      <c r="B33">
        <v>31</v>
      </c>
      <c r="C33" s="7">
        <v>0</v>
      </c>
      <c r="D33" t="s">
        <v>11487</v>
      </c>
      <c r="E33" t="s">
        <v>37</v>
      </c>
      <c r="R33">
        <v>38.18</v>
      </c>
      <c r="S33">
        <v>3.54</v>
      </c>
      <c r="T33">
        <v>12.7</v>
      </c>
      <c r="U33">
        <v>0.25</v>
      </c>
      <c r="V33" s="272">
        <f t="shared" si="0"/>
        <v>5</v>
      </c>
      <c r="W33" s="272">
        <f t="shared" si="1"/>
        <v>1</v>
      </c>
      <c r="X33" s="7">
        <v>4.3981481481481481E-4</v>
      </c>
      <c r="Y33" s="7"/>
    </row>
    <row r="34" spans="1:26" x14ac:dyDescent="0.2">
      <c r="B34">
        <v>32</v>
      </c>
      <c r="C34" s="7">
        <v>0</v>
      </c>
      <c r="D34" t="s">
        <v>11488</v>
      </c>
      <c r="E34" t="s">
        <v>37</v>
      </c>
      <c r="R34">
        <v>348.77</v>
      </c>
      <c r="S34">
        <v>13.82</v>
      </c>
      <c r="T34">
        <v>13.88</v>
      </c>
      <c r="U34">
        <v>0.52</v>
      </c>
      <c r="V34" s="272">
        <f t="shared" si="0"/>
        <v>2</v>
      </c>
      <c r="W34" s="272">
        <f t="shared" si="1"/>
        <v>2</v>
      </c>
      <c r="X34" s="7">
        <v>4.9768518518518521E-4</v>
      </c>
      <c r="Y34" s="7"/>
    </row>
    <row r="35" spans="1:26" x14ac:dyDescent="0.2">
      <c r="B35">
        <v>33</v>
      </c>
      <c r="C35" s="7">
        <v>0</v>
      </c>
      <c r="D35" t="s">
        <v>11489</v>
      </c>
      <c r="E35" t="s">
        <v>37</v>
      </c>
      <c r="R35">
        <v>100.35</v>
      </c>
      <c r="S35">
        <v>1.63</v>
      </c>
      <c r="T35">
        <v>15.74</v>
      </c>
      <c r="U35">
        <v>0.39</v>
      </c>
      <c r="V35" s="272">
        <f t="shared" si="0"/>
        <v>1</v>
      </c>
      <c r="W35" s="272">
        <f t="shared" si="1"/>
        <v>1</v>
      </c>
      <c r="X35" s="7">
        <v>3.4722222222222224E-4</v>
      </c>
      <c r="Y35" s="7" t="s">
        <v>9409</v>
      </c>
    </row>
    <row r="36" spans="1:26" x14ac:dyDescent="0.2">
      <c r="B36">
        <v>34</v>
      </c>
      <c r="C36" s="7">
        <v>6.018518518518519E-4</v>
      </c>
      <c r="D36" s="110" t="s">
        <v>11490</v>
      </c>
      <c r="E36" t="s">
        <v>3158</v>
      </c>
      <c r="F36" t="b">
        <v>0</v>
      </c>
      <c r="H36" t="b">
        <v>0</v>
      </c>
      <c r="I36" t="b">
        <v>1</v>
      </c>
      <c r="J36" t="s">
        <v>11493</v>
      </c>
      <c r="N36" s="28">
        <v>375</v>
      </c>
      <c r="V36" s="272"/>
      <c r="W36" s="272"/>
      <c r="X36" s="7">
        <v>8.1018518518518516E-4</v>
      </c>
      <c r="Y36" s="7" t="s">
        <v>9409</v>
      </c>
    </row>
    <row r="37" spans="1:26" x14ac:dyDescent="0.2">
      <c r="B37">
        <v>35</v>
      </c>
      <c r="C37" s="7">
        <v>1.0763888888888889E-3</v>
      </c>
      <c r="D37" s="110" t="s">
        <v>11491</v>
      </c>
      <c r="E37" t="s">
        <v>3158</v>
      </c>
      <c r="F37" t="b">
        <v>0</v>
      </c>
      <c r="H37" t="b">
        <v>0</v>
      </c>
      <c r="I37" t="b">
        <v>1</v>
      </c>
      <c r="J37" t="s">
        <v>11493</v>
      </c>
      <c r="N37" s="28">
        <v>278</v>
      </c>
      <c r="V37" s="272"/>
      <c r="W37" s="272"/>
      <c r="X37" s="7">
        <v>5.7870370370370378E-4</v>
      </c>
      <c r="Y37" s="7" t="s">
        <v>9409</v>
      </c>
    </row>
    <row r="38" spans="1:26" x14ac:dyDescent="0.2">
      <c r="A38" s="317"/>
      <c r="B38" s="317">
        <v>36</v>
      </c>
      <c r="C38" s="318">
        <v>9.4907407407407408E-4</v>
      </c>
      <c r="D38" s="319" t="s">
        <v>11492</v>
      </c>
      <c r="E38" s="317" t="s">
        <v>3158</v>
      </c>
      <c r="F38" s="317" t="b">
        <v>0</v>
      </c>
      <c r="G38" s="317"/>
      <c r="H38" s="317" t="b">
        <v>0</v>
      </c>
      <c r="I38" s="317" t="s">
        <v>11384</v>
      </c>
      <c r="J38" s="317" t="s">
        <v>11493</v>
      </c>
      <c r="K38" s="317"/>
      <c r="L38" s="317"/>
      <c r="M38" s="317"/>
      <c r="N38" s="320">
        <v>30</v>
      </c>
      <c r="O38" s="317"/>
      <c r="P38" s="317"/>
      <c r="Q38" s="317"/>
      <c r="R38" s="317"/>
      <c r="S38" s="317"/>
      <c r="T38" s="317"/>
      <c r="U38" s="317"/>
      <c r="V38" s="322"/>
      <c r="W38" s="322"/>
      <c r="X38" s="318">
        <v>4.0509259259259258E-4</v>
      </c>
      <c r="Y38" s="318"/>
      <c r="Z38" s="317" t="s">
        <v>11892</v>
      </c>
    </row>
    <row r="39" spans="1:26" x14ac:dyDescent="0.2">
      <c r="A39" s="317"/>
      <c r="B39" s="317">
        <v>37</v>
      </c>
      <c r="C39" s="318">
        <v>0</v>
      </c>
      <c r="D39" s="319" t="s">
        <v>11492</v>
      </c>
      <c r="E39" s="317" t="s">
        <v>3158</v>
      </c>
      <c r="F39" s="317" t="b">
        <v>0</v>
      </c>
      <c r="G39" s="317"/>
      <c r="H39" s="317" t="b">
        <v>0</v>
      </c>
      <c r="I39" s="317" t="s">
        <v>11384</v>
      </c>
      <c r="J39" s="317" t="s">
        <v>11493</v>
      </c>
      <c r="K39" s="317"/>
      <c r="L39" s="317"/>
      <c r="M39" s="317"/>
      <c r="N39" s="320">
        <v>41</v>
      </c>
      <c r="O39" s="317"/>
      <c r="P39" s="317"/>
      <c r="Q39" s="317"/>
      <c r="R39" s="317"/>
      <c r="S39" s="317"/>
      <c r="T39" s="317"/>
      <c r="U39" s="317"/>
      <c r="V39" s="322"/>
      <c r="W39" s="322"/>
      <c r="X39" s="318">
        <v>2.3148148148148146E-4</v>
      </c>
      <c r="Y39" s="318"/>
      <c r="Z39" s="317" t="s">
        <v>11853</v>
      </c>
    </row>
    <row r="40" spans="1:26" x14ac:dyDescent="0.2">
      <c r="A40" s="24"/>
      <c r="B40" s="24">
        <v>38</v>
      </c>
      <c r="C40" s="323">
        <v>4.8611111111111104E-4</v>
      </c>
      <c r="D40" s="324" t="s">
        <v>11471</v>
      </c>
      <c r="E40" s="24" t="s">
        <v>3158</v>
      </c>
      <c r="F40" s="24" t="b">
        <v>0</v>
      </c>
      <c r="G40" s="24"/>
      <c r="H40" s="24" t="b">
        <v>0</v>
      </c>
      <c r="I40" s="24" t="b">
        <v>1</v>
      </c>
      <c r="J40" s="24" t="s">
        <v>11493</v>
      </c>
      <c r="K40" s="24"/>
      <c r="L40" s="24"/>
      <c r="M40" s="24"/>
      <c r="N40" s="325">
        <v>218</v>
      </c>
      <c r="O40" s="24"/>
      <c r="P40" s="24"/>
      <c r="Q40" s="24"/>
      <c r="R40" s="24"/>
      <c r="S40" s="24"/>
      <c r="T40" s="24"/>
      <c r="U40" s="24"/>
      <c r="V40" s="326"/>
      <c r="W40" s="326"/>
      <c r="X40" s="323">
        <v>2.6620370370370372E-4</v>
      </c>
      <c r="Y40" s="323" t="s">
        <v>9409</v>
      </c>
      <c r="Z40" s="317" t="s">
        <v>11853</v>
      </c>
    </row>
    <row r="41" spans="1:26" x14ac:dyDescent="0.2">
      <c r="A41" s="24"/>
      <c r="B41" s="24">
        <v>39</v>
      </c>
      <c r="C41" s="323">
        <v>0</v>
      </c>
      <c r="D41" s="324" t="s">
        <v>11471</v>
      </c>
      <c r="E41" s="24" t="s">
        <v>3158</v>
      </c>
      <c r="F41" s="24" t="b">
        <v>0</v>
      </c>
      <c r="G41" s="24"/>
      <c r="H41" s="24" t="b">
        <v>0</v>
      </c>
      <c r="I41" s="24" t="b">
        <v>1</v>
      </c>
      <c r="J41" s="24" t="s">
        <v>11493</v>
      </c>
      <c r="K41" s="24"/>
      <c r="L41" s="24"/>
      <c r="M41" s="24"/>
      <c r="N41" s="325">
        <v>130</v>
      </c>
      <c r="O41" s="24"/>
      <c r="P41" s="24"/>
      <c r="Q41" s="24"/>
      <c r="R41" s="24"/>
      <c r="S41" s="24"/>
      <c r="T41" s="24"/>
      <c r="U41" s="24"/>
      <c r="V41" s="326"/>
      <c r="W41" s="326"/>
      <c r="X41" s="323">
        <v>2.199074074074074E-4</v>
      </c>
      <c r="Y41" s="323" t="s">
        <v>9409</v>
      </c>
      <c r="Z41" s="317" t="s">
        <v>11853</v>
      </c>
    </row>
    <row r="42" spans="1:26" x14ac:dyDescent="0.2">
      <c r="A42" s="24"/>
      <c r="B42" s="24">
        <v>40</v>
      </c>
      <c r="C42" s="323">
        <v>0</v>
      </c>
      <c r="D42" s="324" t="s">
        <v>11471</v>
      </c>
      <c r="E42" s="24" t="s">
        <v>3158</v>
      </c>
      <c r="F42" s="24" t="b">
        <v>0</v>
      </c>
      <c r="G42" s="24"/>
      <c r="H42" s="24" t="b">
        <v>0</v>
      </c>
      <c r="I42" s="24" t="b">
        <v>1</v>
      </c>
      <c r="J42" s="24" t="s">
        <v>11493</v>
      </c>
      <c r="K42" s="24"/>
      <c r="L42" s="24"/>
      <c r="M42" s="24"/>
      <c r="N42" s="325">
        <v>180</v>
      </c>
      <c r="O42" s="24"/>
      <c r="P42" s="24"/>
      <c r="Q42" s="24"/>
      <c r="R42" s="24"/>
      <c r="S42" s="24"/>
      <c r="T42" s="24"/>
      <c r="U42" s="24"/>
      <c r="V42" s="326"/>
      <c r="W42" s="326"/>
      <c r="X42" s="323">
        <v>3.2407407407407406E-4</v>
      </c>
      <c r="Y42" s="323" t="s">
        <v>9409</v>
      </c>
      <c r="Z42" s="317" t="s">
        <v>11853</v>
      </c>
    </row>
    <row r="43" spans="1:26" x14ac:dyDescent="0.2">
      <c r="A43" t="s">
        <v>9428</v>
      </c>
      <c r="B43">
        <v>41</v>
      </c>
      <c r="C43" s="7">
        <v>5.7870370370370366E-5</v>
      </c>
      <c r="D43" s="110" t="s">
        <v>11494</v>
      </c>
      <c r="E43" t="s">
        <v>125</v>
      </c>
      <c r="F43" t="b">
        <v>0</v>
      </c>
      <c r="H43" t="b">
        <v>0</v>
      </c>
      <c r="I43" t="b">
        <v>0</v>
      </c>
      <c r="J43" t="s">
        <v>940</v>
      </c>
      <c r="Q43">
        <v>5</v>
      </c>
      <c r="V43" s="272"/>
      <c r="W43" s="272"/>
      <c r="X43" s="7">
        <v>9.4907407407407408E-4</v>
      </c>
      <c r="Y43" s="7"/>
    </row>
    <row r="44" spans="1:26" x14ac:dyDescent="0.2">
      <c r="B44">
        <v>42</v>
      </c>
      <c r="C44" s="7">
        <v>1.6435185185185183E-3</v>
      </c>
      <c r="D44" s="110" t="s">
        <v>11495</v>
      </c>
      <c r="E44" t="s">
        <v>125</v>
      </c>
      <c r="F44" t="b">
        <v>0</v>
      </c>
      <c r="H44" t="b">
        <v>0</v>
      </c>
      <c r="I44" t="b">
        <v>0</v>
      </c>
      <c r="J44" t="s">
        <v>940</v>
      </c>
      <c r="Q44">
        <v>13</v>
      </c>
      <c r="V44" s="272"/>
      <c r="W44" s="272"/>
      <c r="X44" s="7">
        <v>4.1666666666666669E-4</v>
      </c>
      <c r="Y44" s="7"/>
    </row>
    <row r="45" spans="1:26" x14ac:dyDescent="0.2">
      <c r="B45">
        <v>43</v>
      </c>
      <c r="C45" s="7">
        <v>2.7777777777777778E-4</v>
      </c>
      <c r="D45" s="110" t="s">
        <v>11496</v>
      </c>
      <c r="E45" t="s">
        <v>55</v>
      </c>
      <c r="F45" t="b">
        <v>0</v>
      </c>
      <c r="H45" t="b">
        <v>0</v>
      </c>
      <c r="I45" t="b">
        <v>0</v>
      </c>
      <c r="L45" t="s">
        <v>11384</v>
      </c>
      <c r="M45" t="s">
        <v>11384</v>
      </c>
      <c r="O45" t="s">
        <v>11384</v>
      </c>
      <c r="V45" s="272"/>
      <c r="W45" s="272"/>
      <c r="X45" s="7">
        <v>3.7037037037037035E-4</v>
      </c>
      <c r="Y45" s="7"/>
    </row>
    <row r="46" spans="1:26" s="313" customFormat="1" x14ac:dyDescent="0.2">
      <c r="B46" s="313">
        <v>44</v>
      </c>
      <c r="C46" s="314">
        <v>8.1018518518518516E-4</v>
      </c>
      <c r="D46" s="316" t="s">
        <v>11851</v>
      </c>
      <c r="E46" s="313" t="s">
        <v>125</v>
      </c>
      <c r="F46" s="313" t="b">
        <v>0</v>
      </c>
      <c r="H46" s="313" t="b">
        <v>0</v>
      </c>
      <c r="I46" s="313" t="b">
        <v>0</v>
      </c>
      <c r="J46" s="313" t="s">
        <v>940</v>
      </c>
      <c r="N46" s="315"/>
      <c r="Q46" s="313">
        <v>6</v>
      </c>
      <c r="V46" s="312"/>
      <c r="W46" s="312"/>
      <c r="X46" s="314">
        <v>3.4722222222222224E-4</v>
      </c>
      <c r="Y46" s="314"/>
    </row>
    <row r="47" spans="1:26" x14ac:dyDescent="0.2">
      <c r="B47">
        <v>45</v>
      </c>
      <c r="C47" s="7">
        <v>2.7777777777777778E-4</v>
      </c>
      <c r="D47" t="s">
        <v>11497</v>
      </c>
      <c r="E47" t="s">
        <v>110</v>
      </c>
      <c r="F47" t="b">
        <v>1</v>
      </c>
      <c r="G47" t="s">
        <v>11384</v>
      </c>
      <c r="H47" t="b">
        <v>1</v>
      </c>
      <c r="I47" t="b">
        <v>0</v>
      </c>
      <c r="J47" t="s">
        <v>11498</v>
      </c>
      <c r="N47" s="28">
        <v>113</v>
      </c>
      <c r="V47" s="272"/>
      <c r="W47" s="272"/>
      <c r="X47" s="7">
        <v>4.2824074074074075E-4</v>
      </c>
      <c r="Y47" s="7"/>
    </row>
    <row r="48" spans="1:26" x14ac:dyDescent="0.2">
      <c r="B48">
        <v>46</v>
      </c>
      <c r="C48" s="7">
        <v>4.2824074074074075E-4</v>
      </c>
      <c r="D48" t="s">
        <v>11499</v>
      </c>
      <c r="E48" t="s">
        <v>125</v>
      </c>
      <c r="F48" t="b">
        <v>0</v>
      </c>
      <c r="H48" t="b">
        <v>0</v>
      </c>
      <c r="I48" t="b">
        <v>0</v>
      </c>
      <c r="J48" t="s">
        <v>940</v>
      </c>
      <c r="Q48">
        <v>9</v>
      </c>
      <c r="V48" s="272"/>
      <c r="W48" s="272"/>
      <c r="X48" s="7">
        <v>2.6620370370370372E-4</v>
      </c>
      <c r="Y48" s="7"/>
    </row>
    <row r="49" spans="2:25" x14ac:dyDescent="0.2">
      <c r="B49">
        <v>47</v>
      </c>
      <c r="C49" s="7">
        <v>1.6203703703703703E-4</v>
      </c>
      <c r="D49" t="s">
        <v>11500</v>
      </c>
      <c r="E49" t="s">
        <v>125</v>
      </c>
      <c r="F49" t="b">
        <v>0</v>
      </c>
      <c r="H49" t="b">
        <v>0</v>
      </c>
      <c r="I49" t="b">
        <v>0</v>
      </c>
      <c r="J49" t="s">
        <v>940</v>
      </c>
      <c r="Q49">
        <v>5</v>
      </c>
      <c r="V49" s="272"/>
      <c r="W49" s="272"/>
      <c r="X49" s="7">
        <v>5.3240740740740744E-4</v>
      </c>
      <c r="Y49" s="7"/>
    </row>
    <row r="50" spans="2:25" x14ac:dyDescent="0.2">
      <c r="B50">
        <v>48</v>
      </c>
      <c r="C50" s="7">
        <v>4.5138888888888892E-4</v>
      </c>
      <c r="D50" t="s">
        <v>11501</v>
      </c>
      <c r="E50" t="s">
        <v>3158</v>
      </c>
      <c r="F50" t="b">
        <v>0</v>
      </c>
      <c r="H50" t="b">
        <v>0</v>
      </c>
      <c r="I50" t="b">
        <v>1</v>
      </c>
      <c r="J50" t="s">
        <v>11493</v>
      </c>
      <c r="N50" s="28">
        <v>170</v>
      </c>
      <c r="V50" s="272"/>
      <c r="W50" s="272"/>
      <c r="X50" s="7">
        <v>3.3564814814814812E-4</v>
      </c>
      <c r="Y50" s="7" t="s">
        <v>9409</v>
      </c>
    </row>
    <row r="51" spans="2:25" x14ac:dyDescent="0.2">
      <c r="B51">
        <v>49</v>
      </c>
      <c r="C51" s="7">
        <v>2.0833333333333335E-4</v>
      </c>
      <c r="D51" t="s">
        <v>11502</v>
      </c>
      <c r="E51" t="s">
        <v>125</v>
      </c>
      <c r="F51" t="b">
        <v>0</v>
      </c>
      <c r="H51" t="b">
        <v>0</v>
      </c>
      <c r="I51" t="b">
        <v>0</v>
      </c>
      <c r="J51" t="s">
        <v>940</v>
      </c>
      <c r="Q51">
        <v>12</v>
      </c>
      <c r="V51" s="272"/>
      <c r="W51" s="272"/>
      <c r="X51" s="7">
        <v>3.3564814814814812E-4</v>
      </c>
      <c r="Y51" s="7"/>
    </row>
    <row r="52" spans="2:25" x14ac:dyDescent="0.2">
      <c r="B52">
        <v>50</v>
      </c>
      <c r="C52" s="7">
        <v>2.3148148148148146E-4</v>
      </c>
      <c r="D52" t="s">
        <v>11503</v>
      </c>
      <c r="E52" t="s">
        <v>125</v>
      </c>
      <c r="F52" t="b">
        <v>0</v>
      </c>
      <c r="H52" t="b">
        <v>0</v>
      </c>
      <c r="I52" t="b">
        <v>0</v>
      </c>
      <c r="J52" t="s">
        <v>940</v>
      </c>
      <c r="Q52">
        <v>7</v>
      </c>
      <c r="V52" s="272"/>
      <c r="W52" s="272"/>
      <c r="X52" s="7">
        <v>2.6620370370370372E-4</v>
      </c>
      <c r="Y52" s="7"/>
    </row>
    <row r="53" spans="2:25" x14ac:dyDescent="0.2">
      <c r="B53">
        <v>51</v>
      </c>
      <c r="C53" s="7">
        <v>6.2500000000000001E-4</v>
      </c>
      <c r="D53" t="s">
        <v>11504</v>
      </c>
      <c r="E53" t="s">
        <v>3158</v>
      </c>
      <c r="F53" t="b">
        <v>0</v>
      </c>
      <c r="H53" t="b">
        <v>0</v>
      </c>
      <c r="I53" t="b">
        <v>0</v>
      </c>
      <c r="J53" t="s">
        <v>11505</v>
      </c>
      <c r="Q53">
        <v>113</v>
      </c>
      <c r="V53" s="272"/>
      <c r="W53" s="272"/>
      <c r="X53" s="7">
        <v>2.5462962962962961E-4</v>
      </c>
      <c r="Y53" s="7"/>
    </row>
    <row r="54" spans="2:25" x14ac:dyDescent="0.2">
      <c r="B54">
        <v>52</v>
      </c>
      <c r="C54" s="7">
        <v>3.4722222222222222E-5</v>
      </c>
      <c r="D54" t="s">
        <v>11506</v>
      </c>
      <c r="E54" t="s">
        <v>125</v>
      </c>
      <c r="F54" t="b">
        <v>0</v>
      </c>
      <c r="H54" t="b">
        <v>0</v>
      </c>
      <c r="I54" t="b">
        <v>0</v>
      </c>
      <c r="J54" t="s">
        <v>940</v>
      </c>
      <c r="Q54">
        <v>8</v>
      </c>
      <c r="V54" s="272"/>
      <c r="W54" s="272"/>
      <c r="X54" s="7">
        <v>3.5879629629629635E-4</v>
      </c>
      <c r="Y54" s="7"/>
    </row>
    <row r="55" spans="2:25" x14ac:dyDescent="0.2">
      <c r="B55">
        <v>53</v>
      </c>
      <c r="C55" s="7">
        <v>6.5972222222222213E-4</v>
      </c>
      <c r="D55" t="s">
        <v>11507</v>
      </c>
      <c r="E55" t="s">
        <v>37</v>
      </c>
      <c r="F55" t="b">
        <v>0</v>
      </c>
      <c r="H55" t="b">
        <v>0</v>
      </c>
      <c r="I55" t="b">
        <v>0</v>
      </c>
      <c r="P55" t="s">
        <v>9146</v>
      </c>
      <c r="V55" s="272"/>
      <c r="W55" s="272"/>
      <c r="X55" s="7">
        <v>2.0833333333333335E-4</v>
      </c>
      <c r="Y55" s="7"/>
    </row>
    <row r="56" spans="2:25" x14ac:dyDescent="0.2">
      <c r="B56">
        <v>54</v>
      </c>
      <c r="C56" s="7">
        <v>5.4398148148148144E-4</v>
      </c>
      <c r="D56" t="s">
        <v>11508</v>
      </c>
      <c r="E56" t="s">
        <v>125</v>
      </c>
      <c r="F56" t="b">
        <v>0</v>
      </c>
      <c r="H56" t="b">
        <v>0</v>
      </c>
      <c r="I56" t="b">
        <v>0</v>
      </c>
      <c r="J56" t="s">
        <v>940</v>
      </c>
      <c r="Q56">
        <v>5</v>
      </c>
      <c r="V56" s="272"/>
      <c r="W56" s="272"/>
      <c r="X56" s="7">
        <v>2.5462962962962961E-4</v>
      </c>
      <c r="Y56" s="7"/>
    </row>
    <row r="57" spans="2:25" x14ac:dyDescent="0.2">
      <c r="B57">
        <v>55</v>
      </c>
      <c r="C57" s="7">
        <v>3.3564814814814812E-4</v>
      </c>
      <c r="D57" t="s">
        <v>11509</v>
      </c>
      <c r="E57" t="s">
        <v>125</v>
      </c>
      <c r="F57" t="b">
        <v>0</v>
      </c>
      <c r="H57" t="b">
        <v>0</v>
      </c>
      <c r="I57" t="b">
        <v>0</v>
      </c>
      <c r="J57" t="s">
        <v>940</v>
      </c>
      <c r="Q57">
        <v>4</v>
      </c>
      <c r="V57" s="272"/>
      <c r="W57" s="272"/>
      <c r="X57" s="7">
        <v>5.9027777777777778E-4</v>
      </c>
      <c r="Y57" s="7"/>
    </row>
    <row r="58" spans="2:25" x14ac:dyDescent="0.2">
      <c r="B58">
        <v>56</v>
      </c>
      <c r="C58" s="7">
        <v>3.1250000000000001E-4</v>
      </c>
      <c r="D58" t="s">
        <v>11510</v>
      </c>
      <c r="E58" t="s">
        <v>110</v>
      </c>
      <c r="F58" t="b">
        <v>0</v>
      </c>
      <c r="H58" t="b">
        <v>0</v>
      </c>
      <c r="I58" t="b">
        <v>1</v>
      </c>
      <c r="J58" t="s">
        <v>11467</v>
      </c>
      <c r="N58" s="28">
        <v>141</v>
      </c>
      <c r="V58" s="272"/>
      <c r="W58" s="272"/>
      <c r="X58" s="7">
        <v>5.4398148148148144E-4</v>
      </c>
      <c r="Y58" s="7" t="s">
        <v>9409</v>
      </c>
    </row>
    <row r="59" spans="2:25" x14ac:dyDescent="0.2">
      <c r="B59">
        <v>57</v>
      </c>
      <c r="C59" s="7">
        <v>2.3148148148148146E-4</v>
      </c>
      <c r="D59" t="s">
        <v>11511</v>
      </c>
      <c r="E59" t="s">
        <v>125</v>
      </c>
      <c r="F59" t="b">
        <v>0</v>
      </c>
      <c r="H59" t="b">
        <v>0</v>
      </c>
      <c r="I59" t="b">
        <v>0</v>
      </c>
      <c r="J59" t="s">
        <v>940</v>
      </c>
      <c r="Q59">
        <v>10</v>
      </c>
      <c r="V59" s="272"/>
      <c r="W59" s="272"/>
      <c r="X59" s="7">
        <v>2.4305555555555552E-4</v>
      </c>
      <c r="Y59" s="7"/>
    </row>
    <row r="60" spans="2:25" x14ac:dyDescent="0.2">
      <c r="B60">
        <v>58</v>
      </c>
      <c r="C60" s="7">
        <v>2.3495370370370371E-3</v>
      </c>
      <c r="D60" t="s">
        <v>11512</v>
      </c>
      <c r="E60" t="s">
        <v>110</v>
      </c>
      <c r="F60" t="b">
        <v>0</v>
      </c>
      <c r="H60" t="b">
        <v>0</v>
      </c>
      <c r="I60" t="b">
        <v>0</v>
      </c>
      <c r="J60" t="s">
        <v>11513</v>
      </c>
      <c r="N60" s="28">
        <v>113</v>
      </c>
      <c r="V60" s="272"/>
      <c r="W60" s="272"/>
      <c r="X60" s="7">
        <v>7.9861111111111105E-4</v>
      </c>
      <c r="Y60" s="7"/>
    </row>
    <row r="61" spans="2:25" x14ac:dyDescent="0.2">
      <c r="B61">
        <v>59</v>
      </c>
      <c r="C61" s="7">
        <v>2.3611111111111111E-3</v>
      </c>
      <c r="D61" t="s">
        <v>11514</v>
      </c>
      <c r="E61" t="s">
        <v>417</v>
      </c>
      <c r="F61" t="b">
        <v>1</v>
      </c>
      <c r="G61" t="s">
        <v>11384</v>
      </c>
      <c r="H61" t="b">
        <v>1</v>
      </c>
      <c r="I61" t="b">
        <v>0</v>
      </c>
      <c r="J61" t="s">
        <v>11515</v>
      </c>
      <c r="N61" s="28">
        <v>99</v>
      </c>
      <c r="V61" s="272"/>
      <c r="W61" s="272"/>
      <c r="X61" s="7">
        <v>6.9444444444444447E-4</v>
      </c>
      <c r="Y61" s="7"/>
    </row>
    <row r="62" spans="2:25" x14ac:dyDescent="0.2">
      <c r="B62">
        <v>60</v>
      </c>
      <c r="C62" s="7">
        <v>1.0069444444444444E-3</v>
      </c>
      <c r="D62" t="s">
        <v>11516</v>
      </c>
      <c r="E62" t="s">
        <v>55</v>
      </c>
      <c r="F62" t="b">
        <v>0</v>
      </c>
      <c r="H62" t="b">
        <v>0</v>
      </c>
      <c r="I62" t="b">
        <v>0</v>
      </c>
      <c r="L62">
        <v>49</v>
      </c>
      <c r="M62" t="s">
        <v>11384</v>
      </c>
      <c r="V62" s="272"/>
      <c r="W62" s="272"/>
      <c r="X62" s="7">
        <v>1.5856481481481479E-3</v>
      </c>
      <c r="Y62" s="7"/>
    </row>
    <row r="63" spans="2:25" x14ac:dyDescent="0.2">
      <c r="B63">
        <v>61</v>
      </c>
      <c r="C63" s="7">
        <v>0</v>
      </c>
      <c r="D63" t="s">
        <v>11518</v>
      </c>
      <c r="E63" t="s">
        <v>417</v>
      </c>
      <c r="F63" t="b">
        <v>1</v>
      </c>
      <c r="G63" t="s">
        <v>11384</v>
      </c>
      <c r="H63" t="b">
        <v>1</v>
      </c>
      <c r="I63" t="b">
        <v>0</v>
      </c>
      <c r="J63" t="s">
        <v>11517</v>
      </c>
      <c r="N63" s="28">
        <v>107</v>
      </c>
      <c r="V63" s="272"/>
      <c r="W63" s="272"/>
      <c r="X63" s="7">
        <v>9.0277777777777784E-4</v>
      </c>
      <c r="Y63" s="7"/>
    </row>
    <row r="64" spans="2:25" x14ac:dyDescent="0.2">
      <c r="B64">
        <v>62</v>
      </c>
      <c r="C64" s="7">
        <v>0</v>
      </c>
      <c r="D64" t="s">
        <v>11519</v>
      </c>
      <c r="E64" t="s">
        <v>417</v>
      </c>
      <c r="F64" t="b">
        <v>1</v>
      </c>
      <c r="G64" t="s">
        <v>11384</v>
      </c>
      <c r="H64" t="b">
        <v>0</v>
      </c>
      <c r="I64" t="b">
        <v>0</v>
      </c>
      <c r="J64" t="s">
        <v>119</v>
      </c>
      <c r="N64" s="28">
        <v>0</v>
      </c>
      <c r="V64" s="272"/>
      <c r="W64" s="272"/>
      <c r="X64" s="7">
        <v>2.8935185185185189E-4</v>
      </c>
      <c r="Y64" s="7"/>
    </row>
    <row r="65" spans="2:26" x14ac:dyDescent="0.2">
      <c r="B65">
        <v>63</v>
      </c>
      <c r="C65" s="7">
        <v>3.8194444444444446E-4</v>
      </c>
      <c r="D65" t="s">
        <v>11520</v>
      </c>
      <c r="E65" t="s">
        <v>417</v>
      </c>
      <c r="F65" t="b">
        <v>1</v>
      </c>
      <c r="G65" t="s">
        <v>11384</v>
      </c>
      <c r="H65" t="b">
        <v>1</v>
      </c>
      <c r="I65" t="b">
        <v>0</v>
      </c>
      <c r="J65" t="s">
        <v>11521</v>
      </c>
      <c r="N65" s="28">
        <v>110</v>
      </c>
      <c r="V65" s="272"/>
      <c r="W65" s="272"/>
      <c r="X65" s="7">
        <v>6.018518518518519E-4</v>
      </c>
      <c r="Y65" s="7"/>
    </row>
    <row r="66" spans="2:26" x14ac:dyDescent="0.2">
      <c r="B66">
        <v>64</v>
      </c>
      <c r="C66" s="7">
        <v>1.1574074074074073E-4</v>
      </c>
      <c r="D66" t="s">
        <v>11522</v>
      </c>
      <c r="E66" t="s">
        <v>37</v>
      </c>
      <c r="F66" t="b">
        <v>0</v>
      </c>
      <c r="H66" t="b">
        <v>0</v>
      </c>
      <c r="I66" t="b">
        <v>0</v>
      </c>
      <c r="R66">
        <v>3.95</v>
      </c>
      <c r="S66">
        <v>7.0000000000000007E-2</v>
      </c>
      <c r="T66">
        <v>2.99</v>
      </c>
      <c r="U66">
        <v>0.05</v>
      </c>
      <c r="V66" s="272">
        <f t="shared" si="0"/>
        <v>1</v>
      </c>
      <c r="W66" s="272">
        <f t="shared" si="1"/>
        <v>1</v>
      </c>
      <c r="X66" s="7">
        <v>1.0185185185185186E-3</v>
      </c>
      <c r="Y66" s="7" t="s">
        <v>9409</v>
      </c>
    </row>
    <row r="67" spans="2:26" x14ac:dyDescent="0.2">
      <c r="B67">
        <v>65</v>
      </c>
      <c r="C67" s="7">
        <v>1.7361111111111112E-4</v>
      </c>
      <c r="D67" t="s">
        <v>11523</v>
      </c>
      <c r="E67" t="s">
        <v>37</v>
      </c>
      <c r="F67" t="b">
        <v>0</v>
      </c>
      <c r="H67" t="b">
        <v>0</v>
      </c>
      <c r="I67" t="b">
        <v>0</v>
      </c>
      <c r="R67">
        <v>7.43</v>
      </c>
      <c r="S67">
        <v>0.37</v>
      </c>
      <c r="T67">
        <v>2.68</v>
      </c>
      <c r="U67">
        <v>0.11</v>
      </c>
      <c r="V67" s="272">
        <f t="shared" si="0"/>
        <v>3</v>
      </c>
      <c r="W67" s="272">
        <f t="shared" si="1"/>
        <v>2</v>
      </c>
      <c r="X67" s="7">
        <v>6.3657407407407402E-4</v>
      </c>
      <c r="Y67" s="7"/>
    </row>
    <row r="68" spans="2:26" x14ac:dyDescent="0.2">
      <c r="B68">
        <v>66</v>
      </c>
      <c r="C68" s="7">
        <v>5.0925925925925921E-4</v>
      </c>
      <c r="D68" s="110" t="s">
        <v>11524</v>
      </c>
      <c r="E68" t="s">
        <v>37</v>
      </c>
      <c r="F68" t="b">
        <v>0</v>
      </c>
      <c r="H68" t="b">
        <v>0</v>
      </c>
      <c r="I68" t="b">
        <v>0</v>
      </c>
      <c r="R68">
        <v>5.79</v>
      </c>
      <c r="S68">
        <v>0.12</v>
      </c>
      <c r="T68">
        <v>3.32</v>
      </c>
      <c r="U68">
        <v>0.18</v>
      </c>
      <c r="V68" s="272">
        <f t="shared" si="0"/>
        <v>1</v>
      </c>
      <c r="W68" s="272">
        <f t="shared" si="1"/>
        <v>3</v>
      </c>
      <c r="X68" s="7">
        <v>4.9768518518518521E-4</v>
      </c>
      <c r="Y68" s="7"/>
    </row>
    <row r="69" spans="2:26" x14ac:dyDescent="0.2">
      <c r="B69">
        <v>67</v>
      </c>
      <c r="C69" s="7">
        <v>2.8935185185185189E-4</v>
      </c>
      <c r="D69" t="s">
        <v>11525</v>
      </c>
      <c r="E69" t="s">
        <v>37</v>
      </c>
      <c r="F69" t="b">
        <v>0</v>
      </c>
      <c r="H69" t="b">
        <v>0</v>
      </c>
      <c r="I69" t="b">
        <v>0</v>
      </c>
      <c r="R69">
        <v>7.27</v>
      </c>
      <c r="S69">
        <v>0.32</v>
      </c>
      <c r="T69">
        <v>2.9</v>
      </c>
      <c r="U69">
        <v>0.12</v>
      </c>
      <c r="V69" s="272">
        <f t="shared" si="0"/>
        <v>3</v>
      </c>
      <c r="W69" s="272">
        <f t="shared" si="1"/>
        <v>2</v>
      </c>
      <c r="X69" s="7">
        <v>5.0925925925925921E-4</v>
      </c>
      <c r="Y69" s="7"/>
    </row>
    <row r="70" spans="2:26" x14ac:dyDescent="0.2">
      <c r="B70">
        <v>68</v>
      </c>
      <c r="C70" s="7">
        <v>7.0601851851851847E-4</v>
      </c>
      <c r="D70" t="s">
        <v>11526</v>
      </c>
      <c r="E70" t="s">
        <v>37</v>
      </c>
      <c r="F70" t="b">
        <v>0</v>
      </c>
      <c r="H70" t="b">
        <v>0</v>
      </c>
      <c r="I70" t="b">
        <v>0</v>
      </c>
      <c r="R70">
        <v>5.04</v>
      </c>
      <c r="S70">
        <v>0.13</v>
      </c>
      <c r="T70">
        <v>2.76</v>
      </c>
      <c r="U70">
        <v>0.08</v>
      </c>
      <c r="V70" s="272">
        <f t="shared" si="0"/>
        <v>1</v>
      </c>
      <c r="W70" s="272">
        <f t="shared" si="1"/>
        <v>2</v>
      </c>
      <c r="X70" s="7">
        <v>5.0925925925925921E-4</v>
      </c>
      <c r="Y70" s="7"/>
      <c r="Z70" s="317" t="s">
        <v>11891</v>
      </c>
    </row>
    <row r="71" spans="2:26" x14ac:dyDescent="0.2">
      <c r="B71">
        <v>69</v>
      </c>
      <c r="C71" s="7">
        <v>1.1574074074074073E-4</v>
      </c>
      <c r="D71" t="s">
        <v>11527</v>
      </c>
      <c r="E71" t="s">
        <v>37</v>
      </c>
      <c r="F71" t="b">
        <v>0</v>
      </c>
      <c r="H71" t="b">
        <v>0</v>
      </c>
      <c r="I71" t="b">
        <v>0</v>
      </c>
      <c r="P71" t="s">
        <v>9146</v>
      </c>
      <c r="V71" s="272"/>
      <c r="W71" s="272"/>
      <c r="X71" s="7">
        <v>2.6620370370370372E-4</v>
      </c>
      <c r="Y71" s="7"/>
    </row>
    <row r="72" spans="2:26" x14ac:dyDescent="0.2">
      <c r="B72">
        <v>70</v>
      </c>
      <c r="C72" s="7">
        <v>0</v>
      </c>
      <c r="D72" t="s">
        <v>11528</v>
      </c>
      <c r="E72" t="s">
        <v>37</v>
      </c>
      <c r="F72" t="b">
        <v>0</v>
      </c>
      <c r="H72" t="b">
        <v>0</v>
      </c>
      <c r="I72" t="b">
        <v>0</v>
      </c>
      <c r="R72">
        <v>7.21</v>
      </c>
      <c r="S72">
        <v>0.21</v>
      </c>
      <c r="T72">
        <v>3.63</v>
      </c>
      <c r="U72">
        <v>0.05</v>
      </c>
      <c r="V72" s="272">
        <f t="shared" si="0"/>
        <v>2</v>
      </c>
      <c r="W72" s="272">
        <f t="shared" si="1"/>
        <v>1</v>
      </c>
      <c r="X72" s="7">
        <v>7.9861111111111105E-4</v>
      </c>
      <c r="Y72" s="7" t="s">
        <v>9409</v>
      </c>
      <c r="Z72" s="317" t="s">
        <v>11868</v>
      </c>
    </row>
    <row r="73" spans="2:26" x14ac:dyDescent="0.2">
      <c r="B73">
        <v>71</v>
      </c>
      <c r="C73" s="7">
        <v>4.6296296296296293E-4</v>
      </c>
      <c r="D73" t="s">
        <v>11529</v>
      </c>
      <c r="E73" t="s">
        <v>37</v>
      </c>
      <c r="F73" t="b">
        <v>0</v>
      </c>
      <c r="H73" t="b">
        <v>0</v>
      </c>
      <c r="I73" t="b">
        <v>0</v>
      </c>
      <c r="R73">
        <v>1.81</v>
      </c>
      <c r="S73">
        <v>0.18</v>
      </c>
      <c r="T73">
        <v>1.76</v>
      </c>
      <c r="U73">
        <v>0.04</v>
      </c>
      <c r="V73" s="272">
        <f t="shared" si="0"/>
        <v>6</v>
      </c>
      <c r="W73" s="272">
        <f t="shared" si="1"/>
        <v>1</v>
      </c>
      <c r="X73" s="7">
        <v>1.5393518518518519E-3</v>
      </c>
      <c r="Y73" s="7"/>
      <c r="Z73" s="317" t="s">
        <v>11868</v>
      </c>
    </row>
    <row r="74" spans="2:26" x14ac:dyDescent="0.2">
      <c r="V74" s="272"/>
    </row>
    <row r="75" spans="2:26" x14ac:dyDescent="0.2">
      <c r="V75" s="272"/>
    </row>
    <row r="76" spans="2:26" x14ac:dyDescent="0.2">
      <c r="V76" s="272"/>
    </row>
    <row r="77" spans="2:26" x14ac:dyDescent="0.2">
      <c r="V77" s="272"/>
    </row>
    <row r="78" spans="2:26" x14ac:dyDescent="0.2">
      <c r="V78" s="272"/>
    </row>
    <row r="79" spans="2:26" x14ac:dyDescent="0.2">
      <c r="V79" s="272"/>
    </row>
    <row r="80" spans="2:26" x14ac:dyDescent="0.2">
      <c r="V80" s="272"/>
    </row>
    <row r="81" spans="22:22" x14ac:dyDescent="0.2">
      <c r="V81" s="272"/>
    </row>
    <row r="82" spans="22:22" x14ac:dyDescent="0.2">
      <c r="V82" s="272"/>
    </row>
    <row r="83" spans="22:22" x14ac:dyDescent="0.2">
      <c r="V83" s="272"/>
    </row>
    <row r="84" spans="22:22" x14ac:dyDescent="0.2">
      <c r="V84" s="272"/>
    </row>
    <row r="85" spans="22:22" x14ac:dyDescent="0.2">
      <c r="V85" s="272"/>
    </row>
    <row r="86" spans="22:22" x14ac:dyDescent="0.2">
      <c r="V86" s="272"/>
    </row>
    <row r="87" spans="22:22" x14ac:dyDescent="0.2">
      <c r="V87" s="272"/>
    </row>
    <row r="88" spans="22:22" x14ac:dyDescent="0.2">
      <c r="V88" s="272"/>
    </row>
    <row r="89" spans="22:22" x14ac:dyDescent="0.2">
      <c r="V89" s="272"/>
    </row>
    <row r="90" spans="22:22" x14ac:dyDescent="0.2">
      <c r="V90" s="272"/>
    </row>
    <row r="91" spans="22:22" x14ac:dyDescent="0.2">
      <c r="V91" s="272"/>
    </row>
    <row r="92" spans="22:22" x14ac:dyDescent="0.2">
      <c r="V92" s="272"/>
    </row>
  </sheetData>
  <conditionalFormatting sqref="N36:N70">
    <cfRule type="cellIs" dxfId="12" priority="3" operator="greaterThanOrEqual">
      <formula>120</formula>
    </cfRule>
  </conditionalFormatting>
  <conditionalFormatting sqref="V29:V35 V66:V70 V72:V73">
    <cfRule type="cellIs" dxfId="11" priority="2" operator="lessThan">
      <formula>3</formula>
    </cfRule>
  </conditionalFormatting>
  <conditionalFormatting sqref="W29:W35 W72:W73 W66:W70">
    <cfRule type="cellIs" dxfId="10" priority="1" operator="lessThan">
      <formula>2</formula>
    </cfRule>
  </conditionalFormatting>
  <hyperlinks>
    <hyperlink ref="D2" r:id="rId1" location="map=18/47.3804459/8.5426776" display="https://www.openstreetmap.org/ - map=18/47.3804459/8.5426776" xr:uid="{0182922D-8FBF-3F49-BF1C-5C549FF0E152}"/>
    <hyperlink ref="D3" r:id="rId2" location="map=18/47.3804656/8.5427518" display="https://www.openstreetmap.org/ - map=18/47.3804656/8.5427518" xr:uid="{1AE5AD36-2C51-8146-8126-481DA0BF07A8}"/>
    <hyperlink ref="D4" r:id="rId3" location="map=18/47.3811938/8.5417831" display="https://www.openstreetmap.org/ - map=18/47.3811938/8.5417831" xr:uid="{F215915E-5474-EF41-BB6F-3D6C8D0B8BF0}"/>
    <hyperlink ref="D5" r:id="rId4" location="map=18/47.3813477/8.5421109" display="https://www.openstreetmap.org/ - map=18/47.3813477/8.5421109" xr:uid="{8F1830CF-BDFE-2447-868A-74BF60E97635}"/>
    <hyperlink ref="D6" r:id="rId5" location="map=18/47.3822764/8.5417393" display="https://www.openstreetmap.org/ - map=18/47.3822764/8.5417393" xr:uid="{0DE73E3B-34AE-4146-B6D1-15F894A64828}"/>
    <hyperlink ref="D7" r:id="rId6" location="map=18/47.3828163/8.5414092" display="https://www.openstreetmap.org/ - map=18/47.3828163/8.5414092" xr:uid="{34EB72B3-4989-4F43-9947-B2BE7EC3CB66}"/>
    <hyperlink ref="D8" r:id="rId7" location="map=18/47.3833638/8.5409285" display="https://www.openstreetmap.org/ - map=18/47.3833638/8.5409285" xr:uid="{246ED395-8B46-F048-9E9D-8A7B0CF7B3C2}"/>
    <hyperlink ref="D9" r:id="rId8" location="map=18/47.3838636/8.5404483" display="https://www.openstreetmap.org/ - map=18/47.3838636/8.5404483" xr:uid="{14DD07DD-DD28-F543-A5DA-58BEF7C3769B}"/>
    <hyperlink ref="D10" r:id="rId9" location="map=18/47.3842761/8.5401011" display="https://www.openstreetmap.org/ - map=18/47.3842761/8.5401011" xr:uid="{29D0FF8C-1A9C-A141-81A1-1AB584C92FF2}"/>
    <hyperlink ref="D11" r:id="rId10" location="map=18/47.3852940/8.5398939" display="https://www.openstreetmap.org/ - map=18/47.3852940/8.5398939" xr:uid="{5D570187-FCF8-FE43-9411-912FBA446046}"/>
    <hyperlink ref="D12" r:id="rId11" location="map=18/47.3859355/8.5397156" display="https://www.openstreetmap.org/ - map=18/47.3859355/8.5397156" xr:uid="{DA7D8E99-440D-3748-87D9-0FD3E43E36EE}"/>
    <hyperlink ref="D13" r:id="rId12" location="map=18/47.3864168/8.5397404" display="https://www.openstreetmap.org/ - map=18/47.3864168/8.5397404" xr:uid="{04B3E75A-F683-F54E-A7F8-0EEBF0E70209}"/>
    <hyperlink ref="D14" r:id="rId13" location="map=18/47.3868140/8.5396821" display="https://www.openstreetmap.org/ - map=18/47.3868140/8.5396821" xr:uid="{0745B72F-3648-354E-9186-53CFA893324A}"/>
    <hyperlink ref="D15" r:id="rId14" location="map=18/47.3872753/8.5396198" display="https://www.openstreetmap.org/ - map=18/47.3872753/8.5396198" xr:uid="{DA38EB46-E4AA-5342-AEBA-1697BB7DF228}"/>
    <hyperlink ref="D16" r:id="rId15" location="map=18/47.3878681/8.5393942" display="https://www.openstreetmap.org/ - map=18/47.3878681/8.5393942" xr:uid="{4526CC0A-EBE7-0D40-9310-716C5FD6D88D}"/>
    <hyperlink ref="D17" r:id="rId16" location="map=18/47.3885341/8.5390807" display="https://www.openstreetmap.org/ - map=18/47.3885341/8.5390807" xr:uid="{0554EF2D-03DC-C040-ADF8-CF52E83A3008}"/>
    <hyperlink ref="D18" r:id="rId17" location="map=18/47.3882511/8.5391113" display="https://www.openstreetmap.org/ - map=18/47.3882511/8.5391113" xr:uid="{C4F67C36-2285-6646-898D-C4B3D28AE567}"/>
    <hyperlink ref="D20" r:id="rId18" location="map=18/47.3860115/8.5399176" display="https://www.openstreetmap.org/ - map=18/47.3860115/8.5399176" xr:uid="{16360041-0800-EA44-A0BE-BDA26F3E6048}"/>
    <hyperlink ref="D21" r:id="rId19" location="map=18/47.3841409/8.5403318" display="https://www.openstreetmap.org/ - map=18/47.3841409/8.5403318" xr:uid="{CBFAAE35-BBB7-6C43-8E3C-99552B669139}"/>
    <hyperlink ref="D22" r:id="rId20" location="map=18/47.3837859/8.5407536" display="https://www.openstreetmap.org/ - map=18/47.3837859/8.5407536" xr:uid="{F91A1FCD-8CB4-8B45-B554-02C9293DB728}"/>
    <hyperlink ref="D23" r:id="rId21" location="map=18/47.3828395/8.5415179" display="https://www.openstreetmap.org/ - map=18/47.3828395/8.5415179" xr:uid="{AE2886AD-0292-C64D-A397-28CCAB9DE383}"/>
    <hyperlink ref="D24" r:id="rId22" location="map=18/47.3821457/8.5419030" display="https://www.openstreetmap.org/ - map=18/47.3821457/8.5419030" xr:uid="{79D19AE8-13C4-7542-90A2-68E1684DFF50}"/>
    <hyperlink ref="D25" r:id="rId23" location="map=18/47.3818018/8.5419882" display="https://www.openstreetmap.org/ - map=18/47.3818018/8.5419882" xr:uid="{B8496D00-FC41-E041-9BEC-83B7127FED08}"/>
    <hyperlink ref="D26" r:id="rId24" location="map=18/47.3814588/8.5423925" display="https://www.openstreetmap.org/ - map=18/47.3814588/8.5423925" xr:uid="{3A196961-A33D-504C-8CDA-9E34E2357597}"/>
    <hyperlink ref="D27" r:id="rId25" location="map=18/47.3813818/8.5422563" display="https://www.openstreetmap.org/ - map=18/47.3813818/8.5422563" xr:uid="{4D059C8B-B65B-E248-9E49-A6CD9A33F139}"/>
    <hyperlink ref="AB2" r:id="rId26" xr:uid="{04428E9C-C04C-EB42-B4D9-21CB1D54BE98}"/>
    <hyperlink ref="D36" r:id="rId27" location="map=18/47.3802737/8.5426515" display="https://www.openstreetmap.org/ - map=18/47.3802737/8.5426515" xr:uid="{38527FA6-BB61-384D-AF6F-5BF769CEC4DF}"/>
    <hyperlink ref="D37" r:id="rId28" location="map=18/47.3837057/8.5404887" display="https://www.openstreetmap.org/ - map=18/47.3837057/8.5404887" xr:uid="{6097940E-CC79-C545-8A94-4773B2C12DF3}"/>
    <hyperlink ref="D38" r:id="rId29" location="map=18/47.3840898/8.5405194" display="https://www.openstreetmap.org/ - map=18/47.3840898/8.5405194" xr:uid="{BE0AA318-65F8-4D4F-8C91-B919264E6173}"/>
    <hyperlink ref="D39" r:id="rId30" location="map=18/47.3840898/8.5405194" display="https://www.openstreetmap.org/ - map=18/47.3840898/8.5405194" xr:uid="{DF650936-FBA7-384D-9925-A3ED46C2B2E9}"/>
    <hyperlink ref="D40" r:id="rId31" location="map=18/47.3837859/8.5407536" display="https://www.openstreetmap.org/ - map=18/47.3837859/8.5407536" xr:uid="{F7EE0D03-381A-CE4C-B0FE-5064483D98F7}"/>
    <hyperlink ref="D41" r:id="rId32" location="map=18/47.3837859/8.5407536" display="https://www.openstreetmap.org/ - map=18/47.3837859/8.5407536" xr:uid="{C8A283CA-68BA-1B48-AB94-46F95EB965A3}"/>
    <hyperlink ref="D42" r:id="rId33" location="map=18/47.3837859/8.5407536" display="https://www.openstreetmap.org/ - map=18/47.3837859/8.5407536" xr:uid="{13291303-5973-5C42-B3BD-96572D50EB74}"/>
    <hyperlink ref="D68" r:id="rId34" xr:uid="{C6BECD70-8346-A543-B5F2-A176BF132130}"/>
    <hyperlink ref="D45" r:id="rId35" xr:uid="{509DADAD-1AB8-E24B-9A6B-DD533243D68C}"/>
    <hyperlink ref="D44" r:id="rId36" xr:uid="{8E0375D7-FE9A-4642-B729-F964B3FE667E}"/>
    <hyperlink ref="D43" r:id="rId37" xr:uid="{6C15A337-9EBC-784E-9EA6-98F6FBC6D13A}"/>
    <hyperlink ref="D19" r:id="rId38" location="map=18/47.3883589/8.5392276" display="https://www.openstreetmap.org/ - map=18/47.3883589/8.5392276" xr:uid="{8BDF57EC-0DF0-CB46-B8E0-AC600FF8834E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0F94D-C43A-3944-8B8F-974C61F878EF}">
  <dimension ref="A1:AD62"/>
  <sheetViews>
    <sheetView topLeftCell="G1" workbookViewId="0">
      <pane ySplit="1" topLeftCell="A48" activePane="bottomLeft" state="frozen"/>
      <selection pane="bottomLeft" activeCell="K3" sqref="K3"/>
    </sheetView>
  </sheetViews>
  <sheetFormatPr baseColWidth="10" defaultColWidth="8.83203125" defaultRowHeight="15" x14ac:dyDescent="0.2"/>
  <cols>
    <col min="1" max="1" width="15.33203125" customWidth="1"/>
    <col min="2" max="2" width="8.6640625" bestFit="1" customWidth="1"/>
    <col min="3" max="3" width="17.1640625" bestFit="1" customWidth="1"/>
    <col min="4" max="4" width="5.33203125" bestFit="1" customWidth="1"/>
    <col min="5" max="5" width="14.33203125" bestFit="1" customWidth="1"/>
    <col min="6" max="6" width="10.1640625" customWidth="1"/>
    <col min="7" max="7" width="7.1640625" customWidth="1"/>
    <col min="8" max="8" width="26.6640625" bestFit="1" customWidth="1"/>
    <col min="9" max="9" width="15.83203125" customWidth="1"/>
    <col min="10" max="10" width="11.5" customWidth="1"/>
    <col min="11" max="11" width="15" customWidth="1"/>
    <col min="12" max="12" width="6.5" customWidth="1"/>
    <col min="13" max="13" width="7.33203125" customWidth="1"/>
    <col min="14" max="14" width="10.5" bestFit="1" customWidth="1"/>
    <col min="15" max="15" width="17.33203125" customWidth="1"/>
    <col min="16" max="16" width="17.6640625" style="274" customWidth="1"/>
    <col min="17" max="17" width="10.33203125" customWidth="1"/>
    <col min="18" max="18" width="7" customWidth="1"/>
    <col min="19" max="23" width="8" customWidth="1"/>
    <col min="24" max="25" width="13" style="14" bestFit="1" customWidth="1"/>
    <col min="26" max="26" width="4" customWidth="1"/>
    <col min="27" max="27" width="10" bestFit="1" customWidth="1"/>
    <col min="28" max="28" width="13.5" style="7" bestFit="1" customWidth="1"/>
    <col min="29" max="29" width="13" bestFit="1" customWidth="1"/>
    <col min="30" max="30" width="70.6640625" bestFit="1" customWidth="1"/>
  </cols>
  <sheetData>
    <row r="1" spans="1:30" x14ac:dyDescent="0.2">
      <c r="A1" s="1" t="s">
        <v>0</v>
      </c>
      <c r="B1" s="1" t="s">
        <v>9452</v>
      </c>
      <c r="C1" s="1" t="s">
        <v>11785</v>
      </c>
      <c r="D1" s="1" t="s">
        <v>9847</v>
      </c>
      <c r="E1" s="1" t="s">
        <v>11784</v>
      </c>
      <c r="F1" s="1" t="s">
        <v>20</v>
      </c>
      <c r="G1" s="1" t="s">
        <v>10</v>
      </c>
      <c r="H1" s="1" t="s">
        <v>8</v>
      </c>
      <c r="I1" s="1" t="s">
        <v>11</v>
      </c>
      <c r="J1" s="1" t="s">
        <v>12</v>
      </c>
      <c r="K1" s="1" t="s">
        <v>26</v>
      </c>
      <c r="L1" s="1" t="s">
        <v>24</v>
      </c>
      <c r="M1" s="1" t="s">
        <v>4</v>
      </c>
      <c r="N1" s="1" t="s">
        <v>23</v>
      </c>
      <c r="O1" s="1" t="s">
        <v>25</v>
      </c>
      <c r="P1" s="285" t="s">
        <v>21</v>
      </c>
      <c r="Q1" s="1" t="s">
        <v>11783</v>
      </c>
      <c r="R1" s="1" t="s">
        <v>5</v>
      </c>
      <c r="S1" s="1" t="s">
        <v>11782</v>
      </c>
      <c r="T1" s="1" t="s">
        <v>11781</v>
      </c>
      <c r="U1" s="1" t="s">
        <v>11780</v>
      </c>
      <c r="V1" s="1" t="s">
        <v>11779</v>
      </c>
      <c r="W1" s="1" t="s">
        <v>0</v>
      </c>
      <c r="X1" s="12" t="s">
        <v>13</v>
      </c>
      <c r="Y1" s="12" t="s">
        <v>14</v>
      </c>
      <c r="Z1" s="284" t="s">
        <v>15</v>
      </c>
      <c r="AA1" s="283" t="s">
        <v>11778</v>
      </c>
      <c r="AB1" s="282" t="s">
        <v>11777</v>
      </c>
      <c r="AC1" s="281" t="s">
        <v>28</v>
      </c>
      <c r="AD1" s="281" t="s">
        <v>11776</v>
      </c>
    </row>
    <row r="2" spans="1:30" x14ac:dyDescent="0.2">
      <c r="A2" s="2" t="s">
        <v>11775</v>
      </c>
      <c r="B2" s="2">
        <v>72</v>
      </c>
      <c r="C2" s="2" t="s">
        <v>11790</v>
      </c>
      <c r="D2" s="2" t="s">
        <v>11536</v>
      </c>
      <c r="E2" s="2" t="s">
        <v>37</v>
      </c>
      <c r="F2" s="2" t="s">
        <v>35</v>
      </c>
      <c r="G2" s="2" t="s">
        <v>35</v>
      </c>
      <c r="H2" s="2" t="s">
        <v>35</v>
      </c>
      <c r="I2" s="2" t="s">
        <v>35</v>
      </c>
      <c r="J2" s="2" t="s">
        <v>35</v>
      </c>
      <c r="K2" s="2">
        <v>4</v>
      </c>
      <c r="L2" s="2"/>
      <c r="M2" s="2" t="s">
        <v>35</v>
      </c>
      <c r="N2" s="2" t="s">
        <v>35</v>
      </c>
      <c r="O2" s="2"/>
      <c r="P2" s="3"/>
      <c r="Q2" s="2" t="s">
        <v>11535</v>
      </c>
      <c r="R2" s="2" t="s">
        <v>31</v>
      </c>
      <c r="S2" s="2" t="s">
        <v>11774</v>
      </c>
      <c r="T2" s="2" t="s">
        <v>11773</v>
      </c>
      <c r="U2" s="2" t="s">
        <v>11532</v>
      </c>
      <c r="V2" s="2">
        <v>51150</v>
      </c>
      <c r="W2" s="2" t="s">
        <v>11772</v>
      </c>
      <c r="X2" s="11">
        <v>43352.455821759257</v>
      </c>
      <c r="Y2" s="11">
        <v>43352.455937500003</v>
      </c>
      <c r="Z2" s="278">
        <v>0</v>
      </c>
      <c r="AA2" s="277">
        <f t="shared" ref="AA2:AA33" si="0">Y2-X2</f>
        <v>1.1574074596865103E-4</v>
      </c>
      <c r="AB2" s="277">
        <f>Y2-AC2</f>
        <v>1.0763888931251131E-3</v>
      </c>
      <c r="AC2" s="276">
        <v>43352.454861111109</v>
      </c>
      <c r="AD2" s="275" t="str">
        <f t="shared" ref="AD2:AD26" si="1">HYPERLINK("https://captureandgo.cloudlab.zhaw.ch/images/"&amp;S2)</f>
        <v>https://captureandgo.cloudlab.zhaw.ch/images/images-1662800192981-355976436.jpg</v>
      </c>
    </row>
    <row r="3" spans="1:30" x14ac:dyDescent="0.2">
      <c r="A3" s="2" t="s">
        <v>11771</v>
      </c>
      <c r="B3" s="2">
        <v>73</v>
      </c>
      <c r="C3" s="2" t="s">
        <v>11791</v>
      </c>
      <c r="D3" s="2" t="s">
        <v>11536</v>
      </c>
      <c r="E3" s="2" t="s">
        <v>125</v>
      </c>
      <c r="F3" s="2" t="s">
        <v>35</v>
      </c>
      <c r="G3" s="2" t="s">
        <v>35</v>
      </c>
      <c r="H3" s="2" t="s">
        <v>675</v>
      </c>
      <c r="I3" s="2" t="s">
        <v>35</v>
      </c>
      <c r="J3" s="2" t="s">
        <v>35</v>
      </c>
      <c r="K3" s="2"/>
      <c r="L3" s="2">
        <v>4</v>
      </c>
      <c r="M3" s="2" t="s">
        <v>35</v>
      </c>
      <c r="N3" s="2" t="s">
        <v>35</v>
      </c>
      <c r="O3" s="2"/>
      <c r="P3" s="3"/>
      <c r="Q3" s="2" t="s">
        <v>11535</v>
      </c>
      <c r="R3" s="2" t="s">
        <v>31</v>
      </c>
      <c r="S3" s="2" t="s">
        <v>11770</v>
      </c>
      <c r="T3" s="2" t="s">
        <v>11769</v>
      </c>
      <c r="U3" s="2" t="s">
        <v>11532</v>
      </c>
      <c r="V3" s="2">
        <v>55727</v>
      </c>
      <c r="W3" s="2" t="s">
        <v>11768</v>
      </c>
      <c r="X3" s="11">
        <v>43352.456180555557</v>
      </c>
      <c r="Y3" s="11">
        <v>43352.456446759257</v>
      </c>
      <c r="Z3" s="278">
        <v>0</v>
      </c>
      <c r="AA3" s="277">
        <f t="shared" si="0"/>
        <v>2.6620370044838637E-4</v>
      </c>
      <c r="AB3" s="277">
        <f t="shared" ref="AB3:AB34" si="2">MIN(Y3-Y2, Y3-AC3)</f>
        <v>5.0925925461342558E-4</v>
      </c>
      <c r="AC3" s="276">
        <v>43352.454861111109</v>
      </c>
      <c r="AD3" s="275" t="str">
        <f t="shared" si="1"/>
        <v>https://captureandgo.cloudlab.zhaw.ch/images/images-1662800220999-279324634.jpg</v>
      </c>
    </row>
    <row r="4" spans="1:30" x14ac:dyDescent="0.2">
      <c r="A4" s="2" t="s">
        <v>11767</v>
      </c>
      <c r="B4" s="2">
        <v>74</v>
      </c>
      <c r="C4" s="2" t="s">
        <v>11792</v>
      </c>
      <c r="D4" s="2" t="s">
        <v>11536</v>
      </c>
      <c r="E4" s="2" t="s">
        <v>37</v>
      </c>
      <c r="F4" s="2" t="s">
        <v>35</v>
      </c>
      <c r="G4" s="2" t="s">
        <v>35</v>
      </c>
      <c r="H4" s="2" t="s">
        <v>35</v>
      </c>
      <c r="I4" s="2" t="s">
        <v>35</v>
      </c>
      <c r="J4" s="2" t="s">
        <v>35</v>
      </c>
      <c r="K4" s="2">
        <v>4</v>
      </c>
      <c r="L4" s="2"/>
      <c r="M4" s="2" t="s">
        <v>35</v>
      </c>
      <c r="N4" s="2" t="s">
        <v>35</v>
      </c>
      <c r="O4" s="2"/>
      <c r="P4" s="3"/>
      <c r="Q4" s="2" t="s">
        <v>11535</v>
      </c>
      <c r="R4" s="2" t="s">
        <v>31</v>
      </c>
      <c r="S4" s="2" t="s">
        <v>11766</v>
      </c>
      <c r="T4" s="2" t="s">
        <v>11765</v>
      </c>
      <c r="U4" s="2" t="s">
        <v>11532</v>
      </c>
      <c r="V4" s="2">
        <v>58046</v>
      </c>
      <c r="W4" s="2" t="s">
        <v>11764</v>
      </c>
      <c r="X4" s="11">
        <v>43352.457175925927</v>
      </c>
      <c r="Y4" s="11">
        <v>43352.457395833335</v>
      </c>
      <c r="Z4" s="278">
        <v>0</v>
      </c>
      <c r="AA4" s="277">
        <f t="shared" si="0"/>
        <v>2.1990740788169205E-4</v>
      </c>
      <c r="AB4" s="277">
        <f t="shared" si="2"/>
        <v>9.490740776527673E-4</v>
      </c>
      <c r="AC4" s="276">
        <v>43352.454861111109</v>
      </c>
      <c r="AD4" s="275" t="str">
        <f t="shared" si="1"/>
        <v>https://captureandgo.cloudlab.zhaw.ch/images/images-1662800310116-687746128.jpg</v>
      </c>
    </row>
    <row r="5" spans="1:30" x14ac:dyDescent="0.2">
      <c r="A5" s="2" t="s">
        <v>11763</v>
      </c>
      <c r="B5" s="2">
        <v>75</v>
      </c>
      <c r="C5" s="2" t="s">
        <v>11793</v>
      </c>
      <c r="D5" s="2" t="s">
        <v>11536</v>
      </c>
      <c r="E5" s="2" t="s">
        <v>37</v>
      </c>
      <c r="F5" s="2" t="s">
        <v>35</v>
      </c>
      <c r="G5" s="2" t="s">
        <v>35</v>
      </c>
      <c r="H5" s="2" t="s">
        <v>35</v>
      </c>
      <c r="I5" s="2" t="s">
        <v>35</v>
      </c>
      <c r="J5" s="2" t="s">
        <v>35</v>
      </c>
      <c r="K5" s="2">
        <v>4</v>
      </c>
      <c r="L5" s="2"/>
      <c r="M5" s="2" t="s">
        <v>35</v>
      </c>
      <c r="N5" s="2" t="s">
        <v>35</v>
      </c>
      <c r="O5" s="2"/>
      <c r="P5" s="3"/>
      <c r="Q5" s="2" t="s">
        <v>11535</v>
      </c>
      <c r="R5" s="2" t="s">
        <v>31</v>
      </c>
      <c r="S5" s="2" t="s">
        <v>11762</v>
      </c>
      <c r="T5" s="2" t="s">
        <v>11761</v>
      </c>
      <c r="U5" s="2" t="s">
        <v>11532</v>
      </c>
      <c r="V5" s="2">
        <v>49056</v>
      </c>
      <c r="W5" s="2" t="s">
        <v>11760</v>
      </c>
      <c r="X5" s="11">
        <v>43352.45815972222</v>
      </c>
      <c r="Y5" s="11">
        <v>43352.458298611113</v>
      </c>
      <c r="Z5" s="278">
        <v>0</v>
      </c>
      <c r="AA5" s="277">
        <f t="shared" si="0"/>
        <v>1.3888889225199819E-4</v>
      </c>
      <c r="AB5" s="277">
        <f t="shared" si="2"/>
        <v>9.0277777781011537E-4</v>
      </c>
      <c r="AC5" s="276">
        <v>43352.454861111109</v>
      </c>
      <c r="AD5" s="275" t="str">
        <f t="shared" si="1"/>
        <v>https://captureandgo.cloudlab.zhaw.ch/images/images-1662800393294-321765738.jpg</v>
      </c>
    </row>
    <row r="6" spans="1:30" x14ac:dyDescent="0.2">
      <c r="A6" s="2" t="s">
        <v>11759</v>
      </c>
      <c r="B6" s="2">
        <v>76</v>
      </c>
      <c r="C6" s="2" t="s">
        <v>11794</v>
      </c>
      <c r="D6" s="2" t="s">
        <v>11536</v>
      </c>
      <c r="E6" s="2" t="s">
        <v>125</v>
      </c>
      <c r="F6" s="2" t="s">
        <v>35</v>
      </c>
      <c r="G6" s="2" t="s">
        <v>35</v>
      </c>
      <c r="H6" s="2" t="s">
        <v>675</v>
      </c>
      <c r="I6" s="2" t="s">
        <v>35</v>
      </c>
      <c r="J6" s="2" t="s">
        <v>35</v>
      </c>
      <c r="K6" s="2"/>
      <c r="L6" s="2">
        <v>4</v>
      </c>
      <c r="M6" s="2" t="s">
        <v>35</v>
      </c>
      <c r="N6" s="2" t="s">
        <v>35</v>
      </c>
      <c r="O6" s="2"/>
      <c r="P6" s="3"/>
      <c r="Q6" s="2" t="s">
        <v>11535</v>
      </c>
      <c r="R6" s="2" t="s">
        <v>31</v>
      </c>
      <c r="S6" s="2" t="s">
        <v>11758</v>
      </c>
      <c r="T6" s="2" t="s">
        <v>11757</v>
      </c>
      <c r="U6" s="2" t="s">
        <v>11532</v>
      </c>
      <c r="V6" s="2">
        <v>55090</v>
      </c>
      <c r="W6" s="2" t="s">
        <v>11756</v>
      </c>
      <c r="X6" s="11">
        <v>43352.458506944444</v>
      </c>
      <c r="Y6" s="11">
        <v>43352.458703703705</v>
      </c>
      <c r="Z6" s="278">
        <v>0</v>
      </c>
      <c r="AA6" s="277">
        <f t="shared" si="0"/>
        <v>1.9675926159834489E-4</v>
      </c>
      <c r="AB6" s="277">
        <f t="shared" si="2"/>
        <v>4.0509259270038456E-4</v>
      </c>
      <c r="AC6" s="276">
        <v>43352.454861111109</v>
      </c>
      <c r="AD6" s="275" t="str">
        <f t="shared" si="1"/>
        <v>https://captureandgo.cloudlab.zhaw.ch/images/images-1662800423672-136490792.jpg</v>
      </c>
    </row>
    <row r="7" spans="1:30" x14ac:dyDescent="0.2">
      <c r="A7" s="2" t="s">
        <v>11755</v>
      </c>
      <c r="B7" s="2">
        <v>77</v>
      </c>
      <c r="C7" s="2" t="s">
        <v>11795</v>
      </c>
      <c r="D7" s="2" t="s">
        <v>11536</v>
      </c>
      <c r="E7" s="2" t="s">
        <v>266</v>
      </c>
      <c r="F7" s="2" t="s">
        <v>35</v>
      </c>
      <c r="G7" s="2">
        <v>3.5</v>
      </c>
      <c r="H7" s="2" t="s">
        <v>11754</v>
      </c>
      <c r="I7" s="2" t="s">
        <v>35</v>
      </c>
      <c r="J7" s="2" t="s">
        <v>35</v>
      </c>
      <c r="K7" s="2"/>
      <c r="L7" s="2"/>
      <c r="M7" s="2" t="s">
        <v>11753</v>
      </c>
      <c r="N7" s="2" t="s">
        <v>35</v>
      </c>
      <c r="O7" s="2"/>
      <c r="P7" s="3"/>
      <c r="Q7" s="2" t="s">
        <v>11535</v>
      </c>
      <c r="R7" s="2" t="s">
        <v>31</v>
      </c>
      <c r="S7" s="2" t="s">
        <v>11752</v>
      </c>
      <c r="T7" s="2" t="s">
        <v>11751</v>
      </c>
      <c r="U7" s="2" t="s">
        <v>11532</v>
      </c>
      <c r="V7" s="2">
        <v>58117</v>
      </c>
      <c r="W7" s="2" t="s">
        <v>11750</v>
      </c>
      <c r="X7" s="11">
        <v>43352.45894675926</v>
      </c>
      <c r="Y7" s="11">
        <v>43352.459386574075</v>
      </c>
      <c r="Z7" s="278">
        <v>0</v>
      </c>
      <c r="AA7" s="277">
        <f t="shared" si="0"/>
        <v>4.398148157633841E-4</v>
      </c>
      <c r="AB7" s="277">
        <f t="shared" si="2"/>
        <v>6.8287036992842332E-4</v>
      </c>
      <c r="AC7" s="276">
        <v>43352.454861111109</v>
      </c>
      <c r="AD7" s="275" t="str">
        <f t="shared" si="1"/>
        <v>https://captureandgo.cloudlab.zhaw.ch/images/images-1662800467845-100003888.jpg</v>
      </c>
    </row>
    <row r="8" spans="1:30" x14ac:dyDescent="0.2">
      <c r="A8" s="2" t="s">
        <v>11749</v>
      </c>
      <c r="B8" s="2">
        <v>78</v>
      </c>
      <c r="C8" s="2" t="s">
        <v>11796</v>
      </c>
      <c r="D8" s="2" t="s">
        <v>11536</v>
      </c>
      <c r="E8" s="2" t="s">
        <v>37</v>
      </c>
      <c r="F8" s="2" t="s">
        <v>35</v>
      </c>
      <c r="G8" s="2" t="s">
        <v>35</v>
      </c>
      <c r="H8" s="2" t="s">
        <v>35</v>
      </c>
      <c r="I8" s="2" t="s">
        <v>35</v>
      </c>
      <c r="J8" s="2" t="s">
        <v>35</v>
      </c>
      <c r="K8" s="2">
        <v>2</v>
      </c>
      <c r="L8" s="2"/>
      <c r="M8" s="2" t="s">
        <v>35</v>
      </c>
      <c r="N8" s="2" t="s">
        <v>35</v>
      </c>
      <c r="O8" s="2"/>
      <c r="P8" s="3"/>
      <c r="Q8" s="2" t="s">
        <v>11535</v>
      </c>
      <c r="R8" s="2" t="s">
        <v>31</v>
      </c>
      <c r="S8" s="2" t="s">
        <v>11748</v>
      </c>
      <c r="T8" s="2" t="s">
        <v>11747</v>
      </c>
      <c r="U8" s="2" t="s">
        <v>11532</v>
      </c>
      <c r="V8" s="2">
        <v>52682</v>
      </c>
      <c r="W8" s="2" t="s">
        <v>11746</v>
      </c>
      <c r="X8" s="11">
        <v>43352.460034722222</v>
      </c>
      <c r="Y8" s="11">
        <v>43352.460243055553</v>
      </c>
      <c r="Z8" s="278">
        <v>0</v>
      </c>
      <c r="AA8" s="277">
        <f t="shared" si="0"/>
        <v>2.0833333110203966E-4</v>
      </c>
      <c r="AB8" s="277">
        <f t="shared" si="2"/>
        <v>8.5648147796746343E-4</v>
      </c>
      <c r="AC8" s="276">
        <v>43352.454861111109</v>
      </c>
      <c r="AD8" s="275" t="str">
        <f t="shared" si="1"/>
        <v>https://captureandgo.cloudlab.zhaw.ch/images/images-1662800555113-715358323.jpg</v>
      </c>
    </row>
    <row r="9" spans="1:30" x14ac:dyDescent="0.2">
      <c r="A9" s="2" t="s">
        <v>11745</v>
      </c>
      <c r="B9" s="2">
        <v>79</v>
      </c>
      <c r="C9" s="2" t="s">
        <v>11797</v>
      </c>
      <c r="D9" s="2" t="s">
        <v>11536</v>
      </c>
      <c r="E9" s="2" t="s">
        <v>125</v>
      </c>
      <c r="F9" s="2" t="s">
        <v>35</v>
      </c>
      <c r="G9" s="2" t="s">
        <v>35</v>
      </c>
      <c r="H9" s="2" t="s">
        <v>675</v>
      </c>
      <c r="I9" s="2" t="s">
        <v>35</v>
      </c>
      <c r="J9" s="2" t="s">
        <v>35</v>
      </c>
      <c r="K9" s="2"/>
      <c r="L9" s="2">
        <v>4</v>
      </c>
      <c r="M9" s="2" t="s">
        <v>35</v>
      </c>
      <c r="N9" s="2" t="s">
        <v>35</v>
      </c>
      <c r="O9" s="2"/>
      <c r="P9" s="3"/>
      <c r="Q9" s="2" t="s">
        <v>11535</v>
      </c>
      <c r="R9" s="2" t="s">
        <v>31</v>
      </c>
      <c r="S9" s="2" t="s">
        <v>11744</v>
      </c>
      <c r="T9" s="2" t="s">
        <v>11743</v>
      </c>
      <c r="U9" s="2" t="s">
        <v>11532</v>
      </c>
      <c r="V9" s="2">
        <v>60364</v>
      </c>
      <c r="W9" s="2" t="s">
        <v>11742</v>
      </c>
      <c r="X9" s="11">
        <v>43352.462743055556</v>
      </c>
      <c r="Y9" s="11">
        <v>43352.46292824074</v>
      </c>
      <c r="Z9" s="278">
        <v>0</v>
      </c>
      <c r="AA9" s="277">
        <f t="shared" si="0"/>
        <v>1.8518518481869251E-4</v>
      </c>
      <c r="AB9" s="277">
        <f t="shared" si="2"/>
        <v>2.6851851871469989E-3</v>
      </c>
      <c r="AC9" s="276">
        <v>43352.454861111109</v>
      </c>
      <c r="AD9" s="275" t="str">
        <f t="shared" si="1"/>
        <v>https://captureandgo.cloudlab.zhaw.ch/images/images-1662800788208-844036873.jpg</v>
      </c>
    </row>
    <row r="10" spans="1:30" x14ac:dyDescent="0.2">
      <c r="A10" s="2" t="s">
        <v>11741</v>
      </c>
      <c r="B10" s="2">
        <v>80</v>
      </c>
      <c r="C10" s="2" t="s">
        <v>11798</v>
      </c>
      <c r="D10" s="2" t="s">
        <v>11536</v>
      </c>
      <c r="E10" s="2" t="s">
        <v>37</v>
      </c>
      <c r="F10" s="2" t="s">
        <v>35</v>
      </c>
      <c r="G10" s="2" t="s">
        <v>35</v>
      </c>
      <c r="H10" s="2" t="s">
        <v>35</v>
      </c>
      <c r="I10" s="2" t="s">
        <v>35</v>
      </c>
      <c r="J10" s="2" t="s">
        <v>35</v>
      </c>
      <c r="K10" s="2">
        <v>4</v>
      </c>
      <c r="L10" s="2"/>
      <c r="M10" s="2" t="s">
        <v>35</v>
      </c>
      <c r="N10" s="2" t="s">
        <v>35</v>
      </c>
      <c r="O10" s="2"/>
      <c r="P10" s="3"/>
      <c r="Q10" s="2" t="s">
        <v>11535</v>
      </c>
      <c r="R10" s="2" t="s">
        <v>31</v>
      </c>
      <c r="S10" s="2" t="s">
        <v>11740</v>
      </c>
      <c r="T10" s="2" t="s">
        <v>11739</v>
      </c>
      <c r="U10" s="2" t="s">
        <v>11532</v>
      </c>
      <c r="V10" s="2">
        <v>55066</v>
      </c>
      <c r="W10" s="2" t="s">
        <v>11738</v>
      </c>
      <c r="X10" s="11">
        <v>43352.463645833333</v>
      </c>
      <c r="Y10" s="11">
        <v>43352.463773148149</v>
      </c>
      <c r="Z10" s="278">
        <v>0</v>
      </c>
      <c r="AA10" s="277">
        <f t="shared" si="0"/>
        <v>1.273148154723458E-4</v>
      </c>
      <c r="AB10" s="277">
        <f t="shared" si="2"/>
        <v>8.4490740846376866E-4</v>
      </c>
      <c r="AC10" s="276">
        <v>43352.454861111109</v>
      </c>
      <c r="AD10" s="275" t="str">
        <f t="shared" si="1"/>
        <v>https://captureandgo.cloudlab.zhaw.ch/images/images-1662800867136-91709431.jpg</v>
      </c>
    </row>
    <row r="11" spans="1:30" x14ac:dyDescent="0.2">
      <c r="A11" s="2" t="s">
        <v>11737</v>
      </c>
      <c r="B11" s="2">
        <v>81</v>
      </c>
      <c r="C11" s="2" t="s">
        <v>11799</v>
      </c>
      <c r="D11" s="2" t="s">
        <v>11536</v>
      </c>
      <c r="E11" s="2" t="s">
        <v>125</v>
      </c>
      <c r="F11" s="2" t="s">
        <v>35</v>
      </c>
      <c r="G11" s="2" t="s">
        <v>35</v>
      </c>
      <c r="H11" s="2" t="s">
        <v>675</v>
      </c>
      <c r="I11" s="2" t="s">
        <v>35</v>
      </c>
      <c r="J11" s="2" t="s">
        <v>35</v>
      </c>
      <c r="K11" s="2"/>
      <c r="L11" s="2">
        <v>4</v>
      </c>
      <c r="M11" s="2" t="s">
        <v>35</v>
      </c>
      <c r="N11" s="2" t="s">
        <v>35</v>
      </c>
      <c r="O11" s="2"/>
      <c r="P11" s="3"/>
      <c r="Q11" s="2" t="s">
        <v>11535</v>
      </c>
      <c r="R11" s="2" t="s">
        <v>31</v>
      </c>
      <c r="S11" s="2" t="s">
        <v>11736</v>
      </c>
      <c r="T11" s="2" t="s">
        <v>11735</v>
      </c>
      <c r="U11" s="2" t="s">
        <v>11532</v>
      </c>
      <c r="V11" s="2">
        <v>50533</v>
      </c>
      <c r="W11" s="2" t="s">
        <v>11734</v>
      </c>
      <c r="X11" s="11">
        <v>43352.464305555557</v>
      </c>
      <c r="Y11" s="11">
        <v>43352.464456018519</v>
      </c>
      <c r="Z11" s="278">
        <v>0</v>
      </c>
      <c r="AA11" s="277">
        <f t="shared" si="0"/>
        <v>1.5046296175569296E-4</v>
      </c>
      <c r="AB11" s="277">
        <f t="shared" si="2"/>
        <v>6.8287036992842332E-4</v>
      </c>
      <c r="AC11" s="276">
        <v>43352.454861111109</v>
      </c>
      <c r="AD11" s="275" t="str">
        <f t="shared" si="1"/>
        <v>https://captureandgo.cloudlab.zhaw.ch/images/images-1662800922841-647536447.jpg</v>
      </c>
    </row>
    <row r="12" spans="1:30" x14ac:dyDescent="0.2">
      <c r="A12" s="2" t="s">
        <v>11733</v>
      </c>
      <c r="B12" s="2">
        <v>82</v>
      </c>
      <c r="C12" s="2" t="s">
        <v>11800</v>
      </c>
      <c r="D12" s="2" t="s">
        <v>11536</v>
      </c>
      <c r="E12" s="2" t="s">
        <v>37</v>
      </c>
      <c r="F12" s="2" t="s">
        <v>35</v>
      </c>
      <c r="G12" s="2" t="s">
        <v>35</v>
      </c>
      <c r="H12" s="2" t="s">
        <v>35</v>
      </c>
      <c r="I12" s="2" t="s">
        <v>35</v>
      </c>
      <c r="J12" s="2" t="s">
        <v>35</v>
      </c>
      <c r="K12" s="2">
        <v>4</v>
      </c>
      <c r="L12" s="2"/>
      <c r="M12" s="2" t="s">
        <v>35</v>
      </c>
      <c r="N12" s="2" t="s">
        <v>35</v>
      </c>
      <c r="O12" s="2"/>
      <c r="P12" s="3"/>
      <c r="Q12" s="2" t="s">
        <v>11535</v>
      </c>
      <c r="R12" s="2" t="s">
        <v>31</v>
      </c>
      <c r="S12" s="2" t="s">
        <v>11732</v>
      </c>
      <c r="T12" s="2" t="s">
        <v>11731</v>
      </c>
      <c r="U12" s="2" t="s">
        <v>11532</v>
      </c>
      <c r="V12" s="2">
        <v>48583</v>
      </c>
      <c r="W12" s="2" t="s">
        <v>11730</v>
      </c>
      <c r="X12" s="11">
        <v>43352.465092592596</v>
      </c>
      <c r="Y12" s="11">
        <v>43352.465208333335</v>
      </c>
      <c r="Z12" s="278">
        <v>0</v>
      </c>
      <c r="AA12" s="277">
        <f t="shared" si="0"/>
        <v>1.1574073869269341E-4</v>
      </c>
      <c r="AB12" s="277">
        <f t="shared" si="2"/>
        <v>7.5231481605442241E-4</v>
      </c>
      <c r="AC12" s="276">
        <v>43352.454861111109</v>
      </c>
      <c r="AD12" s="275" t="str">
        <f t="shared" si="1"/>
        <v>https://captureandgo.cloudlab.zhaw.ch/images/images-1662800989810-650306592.jpg</v>
      </c>
    </row>
    <row r="13" spans="1:30" x14ac:dyDescent="0.2">
      <c r="A13" s="2" t="s">
        <v>11729</v>
      </c>
      <c r="B13" s="2">
        <v>83</v>
      </c>
      <c r="C13" s="2" t="s">
        <v>11801</v>
      </c>
      <c r="D13" s="2" t="s">
        <v>11536</v>
      </c>
      <c r="E13" s="2" t="s">
        <v>37</v>
      </c>
      <c r="F13" s="2" t="s">
        <v>35</v>
      </c>
      <c r="G13" s="2" t="s">
        <v>35</v>
      </c>
      <c r="H13" s="2" t="s">
        <v>35</v>
      </c>
      <c r="I13" s="2" t="s">
        <v>35</v>
      </c>
      <c r="J13" s="2" t="s">
        <v>35</v>
      </c>
      <c r="K13" s="2">
        <v>2</v>
      </c>
      <c r="L13" s="2"/>
      <c r="M13" s="2" t="s">
        <v>35</v>
      </c>
      <c r="N13" s="2" t="s">
        <v>3516</v>
      </c>
      <c r="O13" s="2"/>
      <c r="P13" s="3"/>
      <c r="Q13" s="2" t="s">
        <v>11535</v>
      </c>
      <c r="R13" s="2" t="s">
        <v>31</v>
      </c>
      <c r="S13" s="2" t="s">
        <v>11728</v>
      </c>
      <c r="T13" s="2" t="s">
        <v>11727</v>
      </c>
      <c r="U13" s="2" t="s">
        <v>11532</v>
      </c>
      <c r="V13" s="2">
        <v>69320</v>
      </c>
      <c r="W13" s="2" t="s">
        <v>11726</v>
      </c>
      <c r="X13" s="11">
        <v>43352.465844907405</v>
      </c>
      <c r="Y13" s="11">
        <v>43352.466354166667</v>
      </c>
      <c r="Z13" s="278">
        <v>0</v>
      </c>
      <c r="AA13" s="277">
        <f t="shared" si="0"/>
        <v>5.092592618893832E-4</v>
      </c>
      <c r="AB13" s="277">
        <f t="shared" si="2"/>
        <v>1.1458333319751546E-3</v>
      </c>
      <c r="AC13" s="276">
        <v>43352.454861111109</v>
      </c>
      <c r="AD13" s="275" t="str">
        <f t="shared" si="1"/>
        <v>https://captureandgo.cloudlab.zhaw.ch/images/images-1662801085296-143482942.jpg</v>
      </c>
    </row>
    <row r="14" spans="1:30" x14ac:dyDescent="0.2">
      <c r="A14" s="2" t="s">
        <v>11725</v>
      </c>
      <c r="B14" s="2">
        <v>84</v>
      </c>
      <c r="C14" s="2" t="s">
        <v>11802</v>
      </c>
      <c r="D14" s="2" t="s">
        <v>11536</v>
      </c>
      <c r="E14" s="2" t="s">
        <v>125</v>
      </c>
      <c r="F14" s="2" t="s">
        <v>35</v>
      </c>
      <c r="G14" s="2" t="s">
        <v>35</v>
      </c>
      <c r="H14" s="2" t="s">
        <v>675</v>
      </c>
      <c r="I14" s="2" t="s">
        <v>35</v>
      </c>
      <c r="J14" s="2" t="s">
        <v>35</v>
      </c>
      <c r="K14" s="2"/>
      <c r="L14" s="2">
        <v>4</v>
      </c>
      <c r="M14" s="2" t="s">
        <v>35</v>
      </c>
      <c r="N14" s="2" t="s">
        <v>35</v>
      </c>
      <c r="O14" s="2"/>
      <c r="P14" s="3"/>
      <c r="Q14" s="2" t="s">
        <v>11535</v>
      </c>
      <c r="R14" s="2" t="s">
        <v>31</v>
      </c>
      <c r="S14" s="2" t="s">
        <v>11724</v>
      </c>
      <c r="T14" s="2" t="s">
        <v>11723</v>
      </c>
      <c r="U14" s="2" t="s">
        <v>11532</v>
      </c>
      <c r="V14" s="2">
        <v>73808</v>
      </c>
      <c r="W14" s="2" t="s">
        <v>11722</v>
      </c>
      <c r="X14" s="11">
        <v>43352.466666666667</v>
      </c>
      <c r="Y14" s="11">
        <v>43352.466863425929</v>
      </c>
      <c r="Z14" s="278">
        <v>0</v>
      </c>
      <c r="AA14" s="277">
        <f t="shared" si="0"/>
        <v>1.9675926159834489E-4</v>
      </c>
      <c r="AB14" s="277">
        <f t="shared" si="2"/>
        <v>5.092592618893832E-4</v>
      </c>
      <c r="AC14" s="276">
        <v>43352.454861111109</v>
      </c>
      <c r="AD14" s="275" t="str">
        <f t="shared" si="1"/>
        <v>https://captureandgo.cloudlab.zhaw.ch/images/images-1662801127326-112152650.jpg</v>
      </c>
    </row>
    <row r="15" spans="1:30" x14ac:dyDescent="0.2">
      <c r="A15" s="2" t="s">
        <v>11721</v>
      </c>
      <c r="B15" s="2">
        <v>85</v>
      </c>
      <c r="C15" s="2" t="s">
        <v>11803</v>
      </c>
      <c r="D15" s="2" t="s">
        <v>11536</v>
      </c>
      <c r="E15" s="2" t="s">
        <v>37</v>
      </c>
      <c r="F15" s="2" t="s">
        <v>35</v>
      </c>
      <c r="G15" s="2" t="s">
        <v>35</v>
      </c>
      <c r="H15" s="2" t="s">
        <v>35</v>
      </c>
      <c r="I15" s="2" t="s">
        <v>35</v>
      </c>
      <c r="J15" s="2" t="s">
        <v>35</v>
      </c>
      <c r="K15" s="2">
        <v>2</v>
      </c>
      <c r="L15" s="2" t="s">
        <v>35</v>
      </c>
      <c r="M15" s="2" t="s">
        <v>35</v>
      </c>
      <c r="N15" s="2" t="s">
        <v>35</v>
      </c>
      <c r="O15" s="2"/>
      <c r="P15" s="3"/>
      <c r="Q15" s="2" t="s">
        <v>11535</v>
      </c>
      <c r="R15" s="2" t="s">
        <v>31</v>
      </c>
      <c r="S15" s="2" t="s">
        <v>11720</v>
      </c>
      <c r="T15" s="2" t="s">
        <v>11719</v>
      </c>
      <c r="U15" s="2" t="s">
        <v>11532</v>
      </c>
      <c r="V15" s="2">
        <v>59155</v>
      </c>
      <c r="W15" s="2" t="s">
        <v>11718</v>
      </c>
      <c r="X15" s="11">
        <v>43352.467372685183</v>
      </c>
      <c r="Y15" s="11">
        <v>43352.467557870368</v>
      </c>
      <c r="Z15" s="278">
        <v>0</v>
      </c>
      <c r="AA15" s="277">
        <f t="shared" si="0"/>
        <v>1.8518518481869251E-4</v>
      </c>
      <c r="AB15" s="277">
        <f t="shared" si="2"/>
        <v>6.9444443943211809E-4</v>
      </c>
      <c r="AC15" s="276">
        <v>43352.454861111109</v>
      </c>
      <c r="AD15" s="275" t="str">
        <f t="shared" si="1"/>
        <v>https://captureandgo.cloudlab.zhaw.ch/images/images-1662801189400-771560668.jpg</v>
      </c>
    </row>
    <row r="16" spans="1:30" x14ac:dyDescent="0.2">
      <c r="A16" s="2" t="s">
        <v>11717</v>
      </c>
      <c r="B16" s="2">
        <v>86</v>
      </c>
      <c r="C16" s="2" t="s">
        <v>11804</v>
      </c>
      <c r="D16" s="2" t="s">
        <v>11536</v>
      </c>
      <c r="E16" s="2" t="s">
        <v>37</v>
      </c>
      <c r="F16" s="2" t="s">
        <v>35</v>
      </c>
      <c r="G16" s="2" t="s">
        <v>35</v>
      </c>
      <c r="H16" s="2" t="s">
        <v>11716</v>
      </c>
      <c r="I16" s="2" t="s">
        <v>35</v>
      </c>
      <c r="J16" s="2" t="s">
        <v>35</v>
      </c>
      <c r="K16" s="2"/>
      <c r="L16" s="2"/>
      <c r="M16" s="2" t="s">
        <v>35</v>
      </c>
      <c r="N16" s="2" t="s">
        <v>35</v>
      </c>
      <c r="O16" s="2">
        <v>4</v>
      </c>
      <c r="P16" s="3"/>
      <c r="Q16" s="2" t="s">
        <v>11535</v>
      </c>
      <c r="R16" s="2" t="s">
        <v>31</v>
      </c>
      <c r="S16" s="2" t="s">
        <v>11715</v>
      </c>
      <c r="T16" s="2" t="s">
        <v>11714</v>
      </c>
      <c r="U16" s="2" t="s">
        <v>11532</v>
      </c>
      <c r="V16" s="2">
        <v>58953</v>
      </c>
      <c r="W16" s="2" t="s">
        <v>11713</v>
      </c>
      <c r="X16" s="11">
        <v>43352.468252314815</v>
      </c>
      <c r="Y16" s="11">
        <v>43352.468506944446</v>
      </c>
      <c r="Z16" s="278">
        <v>0</v>
      </c>
      <c r="AA16" s="277">
        <f t="shared" si="0"/>
        <v>2.546296309446916E-4</v>
      </c>
      <c r="AB16" s="277">
        <f t="shared" si="2"/>
        <v>9.490740776527673E-4</v>
      </c>
      <c r="AC16" s="276">
        <v>43352.454861111109</v>
      </c>
      <c r="AD16" s="275" t="str">
        <f t="shared" si="1"/>
        <v>https://captureandgo.cloudlab.zhaw.ch/images/images-1662801264837-711353473.jpg</v>
      </c>
    </row>
    <row r="17" spans="1:30" x14ac:dyDescent="0.2">
      <c r="A17" s="2" t="s">
        <v>11712</v>
      </c>
      <c r="B17" s="2">
        <v>87</v>
      </c>
      <c r="C17" s="2" t="s">
        <v>11805</v>
      </c>
      <c r="D17" s="2" t="s">
        <v>11536</v>
      </c>
      <c r="E17" s="2" t="s">
        <v>37</v>
      </c>
      <c r="F17" s="2" t="s">
        <v>35</v>
      </c>
      <c r="G17" s="2" t="s">
        <v>35</v>
      </c>
      <c r="H17" s="2" t="s">
        <v>35</v>
      </c>
      <c r="I17" s="2" t="s">
        <v>35</v>
      </c>
      <c r="J17" s="2" t="s">
        <v>35</v>
      </c>
      <c r="K17" s="2"/>
      <c r="L17" s="2"/>
      <c r="M17" s="2" t="s">
        <v>35</v>
      </c>
      <c r="N17" s="2" t="s">
        <v>3516</v>
      </c>
      <c r="O17" s="2"/>
      <c r="P17" s="3"/>
      <c r="Q17" s="2" t="s">
        <v>11535</v>
      </c>
      <c r="R17" s="2" t="s">
        <v>31</v>
      </c>
      <c r="S17" s="2" t="s">
        <v>11711</v>
      </c>
      <c r="T17" s="2" t="s">
        <v>11710</v>
      </c>
      <c r="U17" s="2" t="s">
        <v>11532</v>
      </c>
      <c r="V17" s="2">
        <v>63502</v>
      </c>
      <c r="W17" s="2" t="s">
        <v>11709</v>
      </c>
      <c r="X17" s="11">
        <v>43352.468784722223</v>
      </c>
      <c r="Y17" s="11">
        <v>43352.468969907408</v>
      </c>
      <c r="Z17" s="278">
        <v>0</v>
      </c>
      <c r="AA17" s="277">
        <f t="shared" si="0"/>
        <v>1.8518518481869251E-4</v>
      </c>
      <c r="AB17" s="277">
        <f t="shared" si="2"/>
        <v>4.6296296204673126E-4</v>
      </c>
      <c r="AC17" s="276">
        <v>43352.454861111109</v>
      </c>
      <c r="AD17" s="275" t="str">
        <f t="shared" si="1"/>
        <v>https://captureandgo.cloudlab.zhaw.ch/images/images-1662801310153-756040775.jpg</v>
      </c>
    </row>
    <row r="18" spans="1:30" x14ac:dyDescent="0.2">
      <c r="A18" s="2" t="s">
        <v>11708</v>
      </c>
      <c r="B18" s="2">
        <v>88</v>
      </c>
      <c r="C18" s="2" t="s">
        <v>11806</v>
      </c>
      <c r="D18" s="2" t="s">
        <v>11536</v>
      </c>
      <c r="E18" s="2" t="s">
        <v>37</v>
      </c>
      <c r="F18" s="2" t="s">
        <v>35</v>
      </c>
      <c r="G18" s="2" t="s">
        <v>35</v>
      </c>
      <c r="H18" s="2" t="s">
        <v>35</v>
      </c>
      <c r="I18" s="2" t="s">
        <v>35</v>
      </c>
      <c r="J18" s="2" t="s">
        <v>35</v>
      </c>
      <c r="K18" s="2">
        <v>3</v>
      </c>
      <c r="L18" s="2"/>
      <c r="M18" s="2" t="s">
        <v>35</v>
      </c>
      <c r="N18" s="2" t="s">
        <v>35</v>
      </c>
      <c r="O18" s="2"/>
      <c r="P18" s="3"/>
      <c r="Q18" s="2" t="s">
        <v>11535</v>
      </c>
      <c r="R18" s="2" t="s">
        <v>31</v>
      </c>
      <c r="S18" s="2" t="s">
        <v>11707</v>
      </c>
      <c r="T18" s="2" t="s">
        <v>11706</v>
      </c>
      <c r="U18" s="2" t="s">
        <v>11532</v>
      </c>
      <c r="V18" s="2">
        <v>45574</v>
      </c>
      <c r="W18" s="2" t="s">
        <v>11705</v>
      </c>
      <c r="X18" s="11">
        <v>43352.470127314817</v>
      </c>
      <c r="Y18" s="11">
        <v>43352.470231481479</v>
      </c>
      <c r="Z18" s="278">
        <v>0</v>
      </c>
      <c r="AA18" s="277">
        <f t="shared" si="0"/>
        <v>1.0416666191304103E-4</v>
      </c>
      <c r="AB18" s="277">
        <f t="shared" si="2"/>
        <v>1.261574070667848E-3</v>
      </c>
      <c r="AC18" s="276">
        <v>43352.454861111109</v>
      </c>
      <c r="AD18" s="275" t="str">
        <f t="shared" si="1"/>
        <v>https://captureandgo.cloudlab.zhaw.ch/images/images-1662801425168-637631039.jpg</v>
      </c>
    </row>
    <row r="19" spans="1:30" x14ac:dyDescent="0.2">
      <c r="A19" s="2" t="s">
        <v>11704</v>
      </c>
      <c r="B19" s="2">
        <v>89</v>
      </c>
      <c r="C19" s="2" t="s">
        <v>11807</v>
      </c>
      <c r="D19" s="2" t="s">
        <v>11536</v>
      </c>
      <c r="E19" s="2" t="s">
        <v>125</v>
      </c>
      <c r="F19" s="2" t="s">
        <v>35</v>
      </c>
      <c r="G19" s="2" t="s">
        <v>35</v>
      </c>
      <c r="H19" s="2" t="s">
        <v>675</v>
      </c>
      <c r="I19" s="2" t="s">
        <v>35</v>
      </c>
      <c r="J19" s="2" t="s">
        <v>35</v>
      </c>
      <c r="K19" s="2"/>
      <c r="L19" s="2">
        <v>4</v>
      </c>
      <c r="M19" s="2" t="s">
        <v>35</v>
      </c>
      <c r="N19" s="2" t="s">
        <v>35</v>
      </c>
      <c r="O19" s="2"/>
      <c r="P19" s="3"/>
      <c r="Q19" s="2" t="s">
        <v>11535</v>
      </c>
      <c r="R19" s="2" t="s">
        <v>31</v>
      </c>
      <c r="S19" s="2" t="s">
        <v>11703</v>
      </c>
      <c r="T19" s="2" t="s">
        <v>11702</v>
      </c>
      <c r="U19" s="2" t="s">
        <v>11532</v>
      </c>
      <c r="V19" s="2">
        <v>54556</v>
      </c>
      <c r="W19" s="2" t="s">
        <v>11701</v>
      </c>
      <c r="X19" s="11">
        <v>43352.470405092594</v>
      </c>
      <c r="Y19" s="11">
        <v>43352.470613425925</v>
      </c>
      <c r="Z19" s="278">
        <v>0</v>
      </c>
      <c r="AA19" s="277">
        <f t="shared" si="0"/>
        <v>2.0833333110203966E-4</v>
      </c>
      <c r="AB19" s="277">
        <f t="shared" si="2"/>
        <v>3.819444464170374E-4</v>
      </c>
      <c r="AC19" s="276">
        <v>43352.454861111109</v>
      </c>
      <c r="AD19" s="275" t="str">
        <f t="shared" si="1"/>
        <v>https://captureandgo.cloudlab.zhaw.ch/images/images-1662801453404-708072286.jpg</v>
      </c>
    </row>
    <row r="20" spans="1:30" x14ac:dyDescent="0.2">
      <c r="A20" s="2" t="s">
        <v>11700</v>
      </c>
      <c r="B20" s="2">
        <v>90</v>
      </c>
      <c r="C20" s="2" t="s">
        <v>11808</v>
      </c>
      <c r="D20" s="2" t="s">
        <v>11536</v>
      </c>
      <c r="E20" s="2" t="s">
        <v>37</v>
      </c>
      <c r="F20" s="2" t="s">
        <v>35</v>
      </c>
      <c r="G20" s="2" t="s">
        <v>35</v>
      </c>
      <c r="H20" s="2" t="s">
        <v>11699</v>
      </c>
      <c r="I20" s="2" t="s">
        <v>35</v>
      </c>
      <c r="J20" s="2" t="s">
        <v>35</v>
      </c>
      <c r="K20" s="2">
        <v>3</v>
      </c>
      <c r="L20" s="2"/>
      <c r="M20" s="2" t="s">
        <v>35</v>
      </c>
      <c r="N20" s="2" t="s">
        <v>35</v>
      </c>
      <c r="O20" s="2"/>
      <c r="P20" s="3"/>
      <c r="Q20" s="2" t="s">
        <v>11535</v>
      </c>
      <c r="R20" s="2" t="s">
        <v>31</v>
      </c>
      <c r="S20" s="2" t="s">
        <v>11698</v>
      </c>
      <c r="T20" s="2" t="s">
        <v>11697</v>
      </c>
      <c r="U20" s="2" t="s">
        <v>11532</v>
      </c>
      <c r="V20" s="2">
        <v>54883</v>
      </c>
      <c r="W20" s="2" t="s">
        <v>11696</v>
      </c>
      <c r="X20" s="11">
        <v>43352.470960648148</v>
      </c>
      <c r="Y20" s="11">
        <v>43352.471226851849</v>
      </c>
      <c r="Z20" s="278">
        <v>0</v>
      </c>
      <c r="AA20" s="277">
        <f t="shared" si="0"/>
        <v>2.6620370044838637E-4</v>
      </c>
      <c r="AB20" s="277">
        <f t="shared" si="2"/>
        <v>6.1342592380242422E-4</v>
      </c>
      <c r="AC20" s="276">
        <v>43352.454861111109</v>
      </c>
      <c r="AD20" s="275" t="str">
        <f t="shared" si="1"/>
        <v>https://captureandgo.cloudlab.zhaw.ch/images/images-1662801501364-470444254.jpg</v>
      </c>
    </row>
    <row r="21" spans="1:30" x14ac:dyDescent="0.2">
      <c r="A21" s="2" t="s">
        <v>11695</v>
      </c>
      <c r="B21" s="2">
        <v>91</v>
      </c>
      <c r="C21" s="2" t="s">
        <v>11809</v>
      </c>
      <c r="D21" s="2" t="s">
        <v>11536</v>
      </c>
      <c r="E21" s="2" t="s">
        <v>37</v>
      </c>
      <c r="F21" s="2" t="s">
        <v>35</v>
      </c>
      <c r="G21" s="2" t="s">
        <v>35</v>
      </c>
      <c r="H21" s="2" t="s">
        <v>35</v>
      </c>
      <c r="I21" s="2" t="s">
        <v>35</v>
      </c>
      <c r="J21" s="2" t="s">
        <v>35</v>
      </c>
      <c r="K21" s="2">
        <v>4</v>
      </c>
      <c r="L21" s="2"/>
      <c r="M21" s="2" t="s">
        <v>35</v>
      </c>
      <c r="N21" s="2" t="s">
        <v>35</v>
      </c>
      <c r="O21" s="2"/>
      <c r="P21" s="3"/>
      <c r="Q21" s="2" t="s">
        <v>11535</v>
      </c>
      <c r="R21" s="2" t="s">
        <v>31</v>
      </c>
      <c r="S21" s="2" t="s">
        <v>11694</v>
      </c>
      <c r="T21" s="2" t="s">
        <v>11693</v>
      </c>
      <c r="U21" s="2" t="s">
        <v>11532</v>
      </c>
      <c r="V21" s="2">
        <v>49889</v>
      </c>
      <c r="W21" s="2" t="s">
        <v>11692</v>
      </c>
      <c r="X21" s="11">
        <v>43352.472453703704</v>
      </c>
      <c r="Y21" s="11">
        <v>43352.472569444442</v>
      </c>
      <c r="Z21" s="278">
        <v>0</v>
      </c>
      <c r="AA21" s="277">
        <f t="shared" si="0"/>
        <v>1.1574073869269341E-4</v>
      </c>
      <c r="AB21" s="277">
        <f t="shared" si="2"/>
        <v>1.3425925935734995E-3</v>
      </c>
      <c r="AC21" s="276">
        <v>43352.454861111109</v>
      </c>
      <c r="AD21" s="275" t="str">
        <f t="shared" si="1"/>
        <v>https://captureandgo.cloudlab.zhaw.ch/images/images-1662801626194-370442936.jpg</v>
      </c>
    </row>
    <row r="22" spans="1:30" x14ac:dyDescent="0.2">
      <c r="A22" s="2" t="s">
        <v>11691</v>
      </c>
      <c r="B22" s="2">
        <v>92</v>
      </c>
      <c r="C22" s="2" t="s">
        <v>11810</v>
      </c>
      <c r="D22" s="2" t="s">
        <v>11536</v>
      </c>
      <c r="E22" s="2" t="s">
        <v>125</v>
      </c>
      <c r="F22" s="2" t="s">
        <v>35</v>
      </c>
      <c r="G22" s="2" t="s">
        <v>35</v>
      </c>
      <c r="H22" s="2" t="s">
        <v>675</v>
      </c>
      <c r="I22" s="2" t="s">
        <v>35</v>
      </c>
      <c r="J22" s="2" t="s">
        <v>35</v>
      </c>
      <c r="K22" s="2"/>
      <c r="L22" s="2">
        <v>4</v>
      </c>
      <c r="M22" s="2" t="s">
        <v>35</v>
      </c>
      <c r="N22" s="2" t="s">
        <v>35</v>
      </c>
      <c r="O22" s="2"/>
      <c r="P22" s="3"/>
      <c r="Q22" s="2" t="s">
        <v>11535</v>
      </c>
      <c r="R22" s="2" t="s">
        <v>31</v>
      </c>
      <c r="S22" s="2" t="s">
        <v>11690</v>
      </c>
      <c r="T22" s="2" t="s">
        <v>11689</v>
      </c>
      <c r="U22" s="2" t="s">
        <v>11532</v>
      </c>
      <c r="V22" s="2">
        <v>55924</v>
      </c>
      <c r="W22" s="2" t="s">
        <v>11688</v>
      </c>
      <c r="X22" s="11">
        <v>43352.473136574074</v>
      </c>
      <c r="Y22" s="11">
        <v>43352.473275462966</v>
      </c>
      <c r="Z22" s="278">
        <v>0</v>
      </c>
      <c r="AA22" s="277">
        <f t="shared" si="0"/>
        <v>1.3888889225199819E-4</v>
      </c>
      <c r="AB22" s="277">
        <f t="shared" si="2"/>
        <v>7.0601852348772809E-4</v>
      </c>
      <c r="AC22" s="276">
        <v>43352.454861111109</v>
      </c>
      <c r="AD22" s="275" t="str">
        <f t="shared" si="1"/>
        <v>https://captureandgo.cloudlab.zhaw.ch/images/images-1662801684514-306716491.jpg</v>
      </c>
    </row>
    <row r="23" spans="1:30" x14ac:dyDescent="0.2">
      <c r="A23" s="2" t="s">
        <v>11687</v>
      </c>
      <c r="B23" s="2">
        <v>93</v>
      </c>
      <c r="C23" s="2" t="s">
        <v>11811</v>
      </c>
      <c r="D23" s="2" t="s">
        <v>11536</v>
      </c>
      <c r="E23" s="2" t="s">
        <v>125</v>
      </c>
      <c r="F23" s="2" t="s">
        <v>35</v>
      </c>
      <c r="G23" s="2" t="s">
        <v>35</v>
      </c>
      <c r="H23" s="2" t="s">
        <v>675</v>
      </c>
      <c r="I23" s="2" t="s">
        <v>35</v>
      </c>
      <c r="J23" s="2" t="s">
        <v>35</v>
      </c>
      <c r="K23" s="2"/>
      <c r="L23" s="2">
        <v>4</v>
      </c>
      <c r="M23" s="2" t="s">
        <v>35</v>
      </c>
      <c r="N23" s="2" t="s">
        <v>35</v>
      </c>
      <c r="O23" s="2"/>
      <c r="P23" s="3"/>
      <c r="Q23" s="2" t="s">
        <v>11535</v>
      </c>
      <c r="R23" s="2" t="s">
        <v>31</v>
      </c>
      <c r="S23" s="2" t="s">
        <v>11686</v>
      </c>
      <c r="T23" s="2" t="s">
        <v>11685</v>
      </c>
      <c r="U23" s="2" t="s">
        <v>11532</v>
      </c>
      <c r="V23" s="2">
        <v>54394</v>
      </c>
      <c r="W23" s="2" t="s">
        <v>11684</v>
      </c>
      <c r="X23" s="11">
        <v>43352.473668981482</v>
      </c>
      <c r="Y23" s="11">
        <v>43352.47384259259</v>
      </c>
      <c r="Z23" s="278">
        <v>0</v>
      </c>
      <c r="AA23" s="277">
        <f t="shared" si="0"/>
        <v>1.7361110803904012E-4</v>
      </c>
      <c r="AB23" s="277">
        <f t="shared" si="2"/>
        <v>5.6712962395977229E-4</v>
      </c>
      <c r="AC23" s="276">
        <v>43352.454861111109</v>
      </c>
      <c r="AD23" s="275" t="str">
        <f t="shared" si="1"/>
        <v>https://captureandgo.cloudlab.zhaw.ch/images/images-1662801733232-730021556.jpg</v>
      </c>
    </row>
    <row r="24" spans="1:30" x14ac:dyDescent="0.2">
      <c r="A24" s="2" t="s">
        <v>11683</v>
      </c>
      <c r="B24" s="2">
        <v>94</v>
      </c>
      <c r="C24" s="2" t="s">
        <v>11812</v>
      </c>
      <c r="D24" s="2" t="s">
        <v>11536</v>
      </c>
      <c r="E24" s="2" t="s">
        <v>37</v>
      </c>
      <c r="F24" s="2" t="s">
        <v>35</v>
      </c>
      <c r="G24" s="2" t="s">
        <v>35</v>
      </c>
      <c r="H24" s="2" t="s">
        <v>35</v>
      </c>
      <c r="I24" s="2" t="s">
        <v>35</v>
      </c>
      <c r="J24" s="2" t="s">
        <v>35</v>
      </c>
      <c r="K24" s="2">
        <v>3</v>
      </c>
      <c r="L24" s="2"/>
      <c r="M24" s="2" t="s">
        <v>35</v>
      </c>
      <c r="N24" s="2" t="s">
        <v>35</v>
      </c>
      <c r="O24" s="2"/>
      <c r="P24" s="3"/>
      <c r="Q24" s="2" t="s">
        <v>11535</v>
      </c>
      <c r="R24" s="2" t="s">
        <v>31</v>
      </c>
      <c r="S24" s="2" t="s">
        <v>11682</v>
      </c>
      <c r="T24" s="2" t="s">
        <v>11681</v>
      </c>
      <c r="U24" s="2" t="s">
        <v>11532</v>
      </c>
      <c r="V24" s="2">
        <v>54766</v>
      </c>
      <c r="W24" s="2" t="s">
        <v>11680</v>
      </c>
      <c r="X24" s="11">
        <v>43352.474386574075</v>
      </c>
      <c r="Y24" s="11">
        <v>43352.47451388889</v>
      </c>
      <c r="Z24" s="278">
        <v>0</v>
      </c>
      <c r="AA24" s="277">
        <f t="shared" si="0"/>
        <v>1.273148154723458E-4</v>
      </c>
      <c r="AB24" s="277">
        <f t="shared" si="2"/>
        <v>6.7129630042472854E-4</v>
      </c>
      <c r="AC24" s="276">
        <v>43352.454861111109</v>
      </c>
      <c r="AD24" s="275" t="str">
        <f t="shared" si="1"/>
        <v>https://captureandgo.cloudlab.zhaw.ch/images/images-1662801791772-275312507.jpg</v>
      </c>
    </row>
    <row r="25" spans="1:30" x14ac:dyDescent="0.2">
      <c r="A25" s="2" t="s">
        <v>11679</v>
      </c>
      <c r="B25" s="2">
        <v>95</v>
      </c>
      <c r="C25" s="2" t="s">
        <v>11813</v>
      </c>
      <c r="D25" s="2" t="s">
        <v>11536</v>
      </c>
      <c r="E25" s="2" t="s">
        <v>37</v>
      </c>
      <c r="F25" s="2" t="s">
        <v>35</v>
      </c>
      <c r="G25" s="2" t="s">
        <v>35</v>
      </c>
      <c r="H25" s="2" t="s">
        <v>35</v>
      </c>
      <c r="I25" s="2" t="s">
        <v>35</v>
      </c>
      <c r="J25" s="2" t="s">
        <v>35</v>
      </c>
      <c r="K25" s="2">
        <v>4</v>
      </c>
      <c r="L25" s="2"/>
      <c r="M25" s="2" t="s">
        <v>35</v>
      </c>
      <c r="N25" s="2" t="s">
        <v>35</v>
      </c>
      <c r="O25" s="2"/>
      <c r="P25" s="3"/>
      <c r="Q25" s="2" t="s">
        <v>11535</v>
      </c>
      <c r="R25" s="2" t="s">
        <v>31</v>
      </c>
      <c r="S25" s="2" t="s">
        <v>11678</v>
      </c>
      <c r="T25" s="2" t="s">
        <v>11677</v>
      </c>
      <c r="U25" s="2" t="s">
        <v>11532</v>
      </c>
      <c r="V25" s="2">
        <v>53143</v>
      </c>
      <c r="W25" s="2" t="s">
        <v>11676</v>
      </c>
      <c r="X25" s="11">
        <v>43352.475115740737</v>
      </c>
      <c r="Y25" s="11">
        <v>43352.475266203706</v>
      </c>
      <c r="Z25" s="278">
        <v>0</v>
      </c>
      <c r="AA25" s="277">
        <f t="shared" si="0"/>
        <v>1.5046296903165057E-4</v>
      </c>
      <c r="AB25" s="277">
        <f t="shared" si="2"/>
        <v>7.5231481605442241E-4</v>
      </c>
      <c r="AC25" s="276">
        <v>43352.454861111109</v>
      </c>
      <c r="AD25" s="275" t="str">
        <f t="shared" si="1"/>
        <v>https://captureandgo.cloudlab.zhaw.ch/images/images-1662801855044-456960861.jpg</v>
      </c>
    </row>
    <row r="26" spans="1:30" x14ac:dyDescent="0.2">
      <c r="A26" s="2" t="s">
        <v>11675</v>
      </c>
      <c r="B26" s="2">
        <v>96</v>
      </c>
      <c r="C26" s="2" t="s">
        <v>11814</v>
      </c>
      <c r="D26" s="2" t="s">
        <v>11536</v>
      </c>
      <c r="E26" s="2" t="s">
        <v>37</v>
      </c>
      <c r="F26" s="2" t="s">
        <v>35</v>
      </c>
      <c r="G26" s="2" t="s">
        <v>35</v>
      </c>
      <c r="H26" s="2" t="s">
        <v>35</v>
      </c>
      <c r="I26" s="2" t="s">
        <v>35</v>
      </c>
      <c r="J26" s="2" t="s">
        <v>35</v>
      </c>
      <c r="K26" s="2">
        <v>3</v>
      </c>
      <c r="L26" s="2"/>
      <c r="M26" s="2" t="s">
        <v>35</v>
      </c>
      <c r="N26" s="2" t="s">
        <v>35</v>
      </c>
      <c r="O26" s="2"/>
      <c r="P26" s="3"/>
      <c r="Q26" s="2" t="s">
        <v>11535</v>
      </c>
      <c r="R26" s="2" t="s">
        <v>31</v>
      </c>
      <c r="S26" s="2" t="s">
        <v>11674</v>
      </c>
      <c r="T26" s="2" t="s">
        <v>11673</v>
      </c>
      <c r="U26" s="2" t="s">
        <v>11532</v>
      </c>
      <c r="V26" s="2">
        <v>51188</v>
      </c>
      <c r="W26" s="2" t="s">
        <v>11672</v>
      </c>
      <c r="X26" s="11">
        <v>43352.475983796299</v>
      </c>
      <c r="Y26" s="11">
        <v>43352.476099537038</v>
      </c>
      <c r="Z26" s="278">
        <v>0</v>
      </c>
      <c r="AA26" s="277">
        <f t="shared" si="0"/>
        <v>1.1574073869269341E-4</v>
      </c>
      <c r="AB26" s="277">
        <f t="shared" si="2"/>
        <v>8.3333333168411627E-4</v>
      </c>
      <c r="AC26" s="276">
        <v>43352.454861111109</v>
      </c>
      <c r="AD26" s="275" t="str">
        <f t="shared" si="1"/>
        <v>https://captureandgo.cloudlab.zhaw.ch/images/images-1662801932097-464052351.jpg</v>
      </c>
    </row>
    <row r="27" spans="1:30" x14ac:dyDescent="0.2">
      <c r="A27" s="2" t="s">
        <v>11671</v>
      </c>
      <c r="B27" s="2">
        <v>97</v>
      </c>
      <c r="C27" s="2" t="s">
        <v>11815</v>
      </c>
      <c r="D27" s="2" t="s">
        <v>11536</v>
      </c>
      <c r="E27" s="2" t="s">
        <v>125</v>
      </c>
      <c r="F27" s="2" t="s">
        <v>35</v>
      </c>
      <c r="G27" s="2" t="s">
        <v>35</v>
      </c>
      <c r="H27" s="2" t="s">
        <v>675</v>
      </c>
      <c r="I27" s="2" t="s">
        <v>35</v>
      </c>
      <c r="J27" s="2" t="s">
        <v>35</v>
      </c>
      <c r="K27" s="2"/>
      <c r="L27" s="2">
        <v>4</v>
      </c>
      <c r="M27" s="2" t="s">
        <v>35</v>
      </c>
      <c r="N27" s="2" t="s">
        <v>35</v>
      </c>
      <c r="O27" s="2"/>
      <c r="P27" s="3"/>
      <c r="Q27" s="2" t="s">
        <v>11535</v>
      </c>
      <c r="R27" s="2" t="s">
        <v>31</v>
      </c>
      <c r="S27" s="2" t="s">
        <v>35</v>
      </c>
      <c r="T27" s="2" t="s">
        <v>35</v>
      </c>
      <c r="U27" s="2" t="s">
        <v>35</v>
      </c>
      <c r="V27" s="2" t="s">
        <v>35</v>
      </c>
      <c r="W27" s="2" t="s">
        <v>35</v>
      </c>
      <c r="X27" s="11">
        <v>43352.476215277777</v>
      </c>
      <c r="Y27" s="11">
        <v>43352.476342592592</v>
      </c>
      <c r="Z27" s="278">
        <v>0</v>
      </c>
      <c r="AA27" s="277">
        <f t="shared" si="0"/>
        <v>1.273148154723458E-4</v>
      </c>
      <c r="AB27" s="277">
        <f t="shared" si="2"/>
        <v>2.4305555416503921E-4</v>
      </c>
      <c r="AC27" s="276">
        <v>43352.454861111109</v>
      </c>
      <c r="AD27" s="275"/>
    </row>
    <row r="28" spans="1:30" x14ac:dyDescent="0.2">
      <c r="A28" s="2" t="s">
        <v>11670</v>
      </c>
      <c r="B28" s="2">
        <v>98</v>
      </c>
      <c r="C28" s="2" t="s">
        <v>11816</v>
      </c>
      <c r="D28" s="2" t="s">
        <v>11536</v>
      </c>
      <c r="E28" s="2" t="s">
        <v>125</v>
      </c>
      <c r="F28" s="2" t="s">
        <v>35</v>
      </c>
      <c r="G28" s="2" t="s">
        <v>35</v>
      </c>
      <c r="H28" s="2" t="s">
        <v>675</v>
      </c>
      <c r="I28" s="2" t="s">
        <v>35</v>
      </c>
      <c r="J28" s="2" t="s">
        <v>35</v>
      </c>
      <c r="K28" s="2"/>
      <c r="L28" s="2">
        <v>4</v>
      </c>
      <c r="M28" s="2" t="s">
        <v>35</v>
      </c>
      <c r="N28" s="2" t="s">
        <v>35</v>
      </c>
      <c r="O28" s="2"/>
      <c r="P28" s="3"/>
      <c r="Q28" s="2" t="s">
        <v>11535</v>
      </c>
      <c r="R28" s="2" t="s">
        <v>31</v>
      </c>
      <c r="S28" s="2" t="s">
        <v>11669</v>
      </c>
      <c r="T28" s="2" t="s">
        <v>11668</v>
      </c>
      <c r="U28" s="2" t="s">
        <v>11532</v>
      </c>
      <c r="V28" s="2">
        <v>60570</v>
      </c>
      <c r="W28" s="2" t="s">
        <v>11667</v>
      </c>
      <c r="X28" s="11">
        <v>43352.476435185185</v>
      </c>
      <c r="Y28" s="11">
        <v>43352.476620370369</v>
      </c>
      <c r="Z28" s="278">
        <v>0</v>
      </c>
      <c r="AA28" s="277">
        <f t="shared" si="0"/>
        <v>1.8518518481869251E-4</v>
      </c>
      <c r="AB28" s="277">
        <f t="shared" si="2"/>
        <v>2.7777777722803876E-4</v>
      </c>
      <c r="AC28" s="276">
        <v>43352.454861111109</v>
      </c>
      <c r="AD28" s="275" t="str">
        <f>HYPERLINK("https://captureandgo.cloudlab.zhaw.ch/images/"&amp;S28)</f>
        <v>https://captureandgo.cloudlab.zhaw.ch/images/images-1662801971902-760003537.jpg</v>
      </c>
    </row>
    <row r="29" spans="1:30" x14ac:dyDescent="0.2">
      <c r="A29" s="2" t="s">
        <v>11666</v>
      </c>
      <c r="B29" s="2">
        <v>99</v>
      </c>
      <c r="C29" s="2" t="s">
        <v>11817</v>
      </c>
      <c r="D29" s="2" t="s">
        <v>11536</v>
      </c>
      <c r="E29" s="2" t="s">
        <v>266</v>
      </c>
      <c r="F29" s="2" t="s">
        <v>35</v>
      </c>
      <c r="G29" s="2">
        <v>3.5</v>
      </c>
      <c r="H29" s="2" t="s">
        <v>35</v>
      </c>
      <c r="I29" s="2" t="s">
        <v>35</v>
      </c>
      <c r="J29" s="2" t="s">
        <v>35</v>
      </c>
      <c r="K29" s="2"/>
      <c r="L29" s="2"/>
      <c r="M29" s="2" t="s">
        <v>35</v>
      </c>
      <c r="N29" s="2" t="s">
        <v>35</v>
      </c>
      <c r="O29" s="2"/>
      <c r="P29" s="3"/>
      <c r="Q29" s="2" t="s">
        <v>11535</v>
      </c>
      <c r="R29" s="2" t="s">
        <v>31</v>
      </c>
      <c r="S29" s="2" t="s">
        <v>11665</v>
      </c>
      <c r="T29" s="2" t="s">
        <v>11664</v>
      </c>
      <c r="U29" s="2" t="s">
        <v>11532</v>
      </c>
      <c r="V29" s="2">
        <v>56175</v>
      </c>
      <c r="W29" s="2" t="s">
        <v>11663</v>
      </c>
      <c r="X29" s="11">
        <v>43352.477094907408</v>
      </c>
      <c r="Y29" s="11">
        <v>43352.477326388886</v>
      </c>
      <c r="Z29" s="278">
        <v>0</v>
      </c>
      <c r="AA29" s="277">
        <f t="shared" si="0"/>
        <v>2.3148147738538682E-4</v>
      </c>
      <c r="AB29" s="277">
        <f t="shared" si="2"/>
        <v>7.0601851621177047E-4</v>
      </c>
      <c r="AC29" s="276">
        <v>43352.454861111109</v>
      </c>
      <c r="AD29" s="275" t="str">
        <f>HYPERLINK("https://captureandgo.cloudlab.zhaw.ch/images/"&amp;S29)</f>
        <v>https://captureandgo.cloudlab.zhaw.ch/images/images-1662802031652-33343641.jpg</v>
      </c>
    </row>
    <row r="30" spans="1:30" x14ac:dyDescent="0.2">
      <c r="A30" s="2" t="s">
        <v>11662</v>
      </c>
      <c r="B30" s="2">
        <v>100</v>
      </c>
      <c r="C30" s="2" t="s">
        <v>11818</v>
      </c>
      <c r="D30" s="2" t="s">
        <v>11536</v>
      </c>
      <c r="E30" s="2" t="s">
        <v>37</v>
      </c>
      <c r="F30" s="2" t="s">
        <v>35</v>
      </c>
      <c r="G30" s="2" t="s">
        <v>35</v>
      </c>
      <c r="H30" s="2" t="s">
        <v>35</v>
      </c>
      <c r="I30" s="2" t="s">
        <v>35</v>
      </c>
      <c r="J30" s="2" t="s">
        <v>35</v>
      </c>
      <c r="K30" s="2">
        <v>5</v>
      </c>
      <c r="L30" s="2"/>
      <c r="M30" s="2" t="s">
        <v>35</v>
      </c>
      <c r="N30" s="2" t="s">
        <v>35</v>
      </c>
      <c r="O30" s="2"/>
      <c r="P30" s="3"/>
      <c r="Q30" s="2" t="s">
        <v>11535</v>
      </c>
      <c r="R30" s="2" t="s">
        <v>31</v>
      </c>
      <c r="S30" s="2" t="s">
        <v>11661</v>
      </c>
      <c r="T30" s="2" t="s">
        <v>11660</v>
      </c>
      <c r="U30" s="2" t="s">
        <v>11532</v>
      </c>
      <c r="V30" s="2">
        <v>60943</v>
      </c>
      <c r="W30" s="2" t="s">
        <v>11659</v>
      </c>
      <c r="X30" s="11">
        <v>43352.479039351849</v>
      </c>
      <c r="Y30" s="11">
        <v>43352.479375000003</v>
      </c>
      <c r="Z30" s="278">
        <v>0</v>
      </c>
      <c r="AA30" s="277">
        <f t="shared" si="0"/>
        <v>3.3564815385034308E-4</v>
      </c>
      <c r="AB30" s="277">
        <f t="shared" si="2"/>
        <v>2.0486111170612276E-3</v>
      </c>
      <c r="AC30" s="276">
        <v>43352.454861111109</v>
      </c>
      <c r="AD30" s="275" t="str">
        <f>HYPERLINK("https://captureandgo.cloudlab.zhaw.ch/images/"&amp;S30)</f>
        <v>https://captureandgo.cloudlab.zhaw.ch/images/images-1662802203672-917756215.jpg</v>
      </c>
    </row>
    <row r="31" spans="1:30" x14ac:dyDescent="0.2">
      <c r="A31" s="2" t="s">
        <v>11658</v>
      </c>
      <c r="B31" s="2">
        <v>101</v>
      </c>
      <c r="C31" s="2" t="s">
        <v>11819</v>
      </c>
      <c r="D31" s="2" t="s">
        <v>11536</v>
      </c>
      <c r="E31" s="2" t="s">
        <v>125</v>
      </c>
      <c r="F31" s="2" t="s">
        <v>35</v>
      </c>
      <c r="G31" s="2" t="s">
        <v>35</v>
      </c>
      <c r="H31" s="2" t="s">
        <v>675</v>
      </c>
      <c r="I31" s="2" t="s">
        <v>35</v>
      </c>
      <c r="J31" s="2" t="s">
        <v>35</v>
      </c>
      <c r="K31" s="2"/>
      <c r="L31" s="2">
        <v>4</v>
      </c>
      <c r="M31" s="2" t="s">
        <v>35</v>
      </c>
      <c r="N31" s="2" t="s">
        <v>35</v>
      </c>
      <c r="O31" s="2"/>
      <c r="P31" s="3"/>
      <c r="Q31" s="2" t="s">
        <v>11535</v>
      </c>
      <c r="R31" s="2" t="s">
        <v>31</v>
      </c>
      <c r="S31" s="2" t="s">
        <v>35</v>
      </c>
      <c r="T31" s="2" t="s">
        <v>35</v>
      </c>
      <c r="U31" s="2" t="s">
        <v>35</v>
      </c>
      <c r="V31" s="2" t="s">
        <v>35</v>
      </c>
      <c r="W31" s="2" t="s">
        <v>35</v>
      </c>
      <c r="X31" s="11">
        <v>43352.480405092596</v>
      </c>
      <c r="Y31" s="11">
        <v>43352.480497685188</v>
      </c>
      <c r="Z31" s="278">
        <v>0</v>
      </c>
      <c r="AA31" s="277">
        <f t="shared" si="0"/>
        <v>9.2592592409346253E-5</v>
      </c>
      <c r="AB31" s="277">
        <f t="shared" si="2"/>
        <v>1.1226851856918074E-3</v>
      </c>
      <c r="AC31" s="276">
        <v>43352.454861111109</v>
      </c>
      <c r="AD31" s="275"/>
    </row>
    <row r="32" spans="1:30" x14ac:dyDescent="0.2">
      <c r="A32" s="2" t="s">
        <v>11657</v>
      </c>
      <c r="B32" s="2">
        <v>102</v>
      </c>
      <c r="C32" s="2" t="s">
        <v>11820</v>
      </c>
      <c r="D32" s="2" t="s">
        <v>11536</v>
      </c>
      <c r="E32" s="2" t="s">
        <v>125</v>
      </c>
      <c r="F32" s="2" t="s">
        <v>35</v>
      </c>
      <c r="G32" s="2" t="s">
        <v>35</v>
      </c>
      <c r="H32" s="2" t="s">
        <v>675</v>
      </c>
      <c r="I32" s="2" t="s">
        <v>35</v>
      </c>
      <c r="J32" s="2" t="s">
        <v>35</v>
      </c>
      <c r="K32" s="2"/>
      <c r="L32" s="2">
        <v>4</v>
      </c>
      <c r="M32" s="2" t="s">
        <v>35</v>
      </c>
      <c r="N32" s="2" t="s">
        <v>35</v>
      </c>
      <c r="O32" s="2"/>
      <c r="P32" s="3"/>
      <c r="Q32" s="2" t="s">
        <v>11535</v>
      </c>
      <c r="R32" s="2" t="s">
        <v>31</v>
      </c>
      <c r="S32" s="2" t="s">
        <v>35</v>
      </c>
      <c r="T32" s="2" t="s">
        <v>35</v>
      </c>
      <c r="U32" s="2" t="s">
        <v>35</v>
      </c>
      <c r="V32" s="2" t="s">
        <v>35</v>
      </c>
      <c r="W32" s="2" t="s">
        <v>35</v>
      </c>
      <c r="X32" s="11">
        <v>43352.481400462966</v>
      </c>
      <c r="Y32" s="11">
        <v>43352.481793981482</v>
      </c>
      <c r="Z32" s="278">
        <v>0</v>
      </c>
      <c r="AA32" s="277">
        <f t="shared" si="0"/>
        <v>3.9351851592073217E-4</v>
      </c>
      <c r="AB32" s="277">
        <f t="shared" si="2"/>
        <v>1.2962962937308475E-3</v>
      </c>
      <c r="AC32" s="276">
        <v>43352.454861111109</v>
      </c>
      <c r="AD32" s="275"/>
    </row>
    <row r="33" spans="1:30" x14ac:dyDescent="0.2">
      <c r="A33" s="2" t="s">
        <v>11656</v>
      </c>
      <c r="B33" s="2">
        <v>103</v>
      </c>
      <c r="C33" s="2" t="s">
        <v>11821</v>
      </c>
      <c r="D33" s="2" t="s">
        <v>11536</v>
      </c>
      <c r="E33" s="2" t="s">
        <v>37</v>
      </c>
      <c r="F33" s="2" t="s">
        <v>35</v>
      </c>
      <c r="G33" s="2" t="s">
        <v>35</v>
      </c>
      <c r="H33" s="2" t="s">
        <v>35</v>
      </c>
      <c r="I33" s="2" t="s">
        <v>35</v>
      </c>
      <c r="J33" s="2" t="s">
        <v>35</v>
      </c>
      <c r="K33" s="2">
        <v>2</v>
      </c>
      <c r="L33" s="2"/>
      <c r="M33" s="2" t="s">
        <v>35</v>
      </c>
      <c r="N33" s="2" t="s">
        <v>35</v>
      </c>
      <c r="O33" s="2"/>
      <c r="P33" s="3"/>
      <c r="Q33" s="2" t="s">
        <v>11535</v>
      </c>
      <c r="R33" s="2" t="s">
        <v>31</v>
      </c>
      <c r="S33" s="2" t="s">
        <v>11655</v>
      </c>
      <c r="T33" s="2" t="s">
        <v>11654</v>
      </c>
      <c r="U33" s="2" t="s">
        <v>11532</v>
      </c>
      <c r="V33" s="2">
        <v>66697</v>
      </c>
      <c r="W33" s="2" t="s">
        <v>11653</v>
      </c>
      <c r="X33" s="11">
        <v>43352.48201388889</v>
      </c>
      <c r="Y33" s="11">
        <v>43352.482152777775</v>
      </c>
      <c r="Z33" s="278">
        <v>0</v>
      </c>
      <c r="AA33" s="277">
        <f t="shared" si="0"/>
        <v>1.3888888497604057E-4</v>
      </c>
      <c r="AB33" s="277">
        <f t="shared" si="2"/>
        <v>3.5879629285773262E-4</v>
      </c>
      <c r="AC33" s="276">
        <v>43352.454861111109</v>
      </c>
      <c r="AD33" s="275" t="str">
        <f t="shared" ref="AD33:AD52" si="3">HYPERLINK("https://captureandgo.cloudlab.zhaw.ch/images/"&amp;S33)</f>
        <v>https://captureandgo.cloudlab.zhaw.ch/images/images-1662802452566-503912495.jpg</v>
      </c>
    </row>
    <row r="34" spans="1:30" x14ac:dyDescent="0.2">
      <c r="A34" s="2" t="s">
        <v>11652</v>
      </c>
      <c r="B34" s="2">
        <v>104</v>
      </c>
      <c r="C34" s="2" t="s">
        <v>11822</v>
      </c>
      <c r="D34" s="2" t="s">
        <v>11536</v>
      </c>
      <c r="E34" s="2" t="s">
        <v>125</v>
      </c>
      <c r="F34" s="2" t="s">
        <v>35</v>
      </c>
      <c r="G34" s="2" t="s">
        <v>35</v>
      </c>
      <c r="H34" s="2" t="s">
        <v>675</v>
      </c>
      <c r="I34" s="2" t="s">
        <v>35</v>
      </c>
      <c r="J34" s="2" t="s">
        <v>35</v>
      </c>
      <c r="K34" s="2"/>
      <c r="L34" s="2">
        <v>4</v>
      </c>
      <c r="M34" s="2" t="s">
        <v>35</v>
      </c>
      <c r="N34" s="2" t="s">
        <v>35</v>
      </c>
      <c r="O34" s="2"/>
      <c r="P34" s="3"/>
      <c r="Q34" s="2" t="s">
        <v>11535</v>
      </c>
      <c r="R34" s="2" t="s">
        <v>31</v>
      </c>
      <c r="S34" s="2" t="s">
        <v>11651</v>
      </c>
      <c r="T34" s="2" t="s">
        <v>11650</v>
      </c>
      <c r="U34" s="2" t="s">
        <v>11532</v>
      </c>
      <c r="V34" s="2">
        <v>59329</v>
      </c>
      <c r="W34" s="2" t="s">
        <v>11649</v>
      </c>
      <c r="X34" s="11">
        <v>43352.483437499999</v>
      </c>
      <c r="Y34" s="11">
        <v>43352.483599537038</v>
      </c>
      <c r="Z34" s="278">
        <v>0</v>
      </c>
      <c r="AA34" s="277">
        <f t="shared" ref="AA34:AA62" si="4">Y34-X34</f>
        <v>1.6203703853534535E-4</v>
      </c>
      <c r="AB34" s="277">
        <f t="shared" si="2"/>
        <v>1.4467592627624981E-3</v>
      </c>
      <c r="AC34" s="276">
        <v>43352.454861111109</v>
      </c>
      <c r="AD34" s="275" t="str">
        <f t="shared" si="3"/>
        <v>https://captureandgo.cloudlab.zhaw.ch/images/images-1662802575605-330405651.jpg</v>
      </c>
    </row>
    <row r="35" spans="1:30" x14ac:dyDescent="0.2">
      <c r="A35" s="2" t="s">
        <v>11648</v>
      </c>
      <c r="B35" s="2">
        <v>105</v>
      </c>
      <c r="C35" s="2" t="s">
        <v>11823</v>
      </c>
      <c r="D35" s="2" t="s">
        <v>11536</v>
      </c>
      <c r="E35" s="2" t="s">
        <v>37</v>
      </c>
      <c r="F35" s="2" t="s">
        <v>35</v>
      </c>
      <c r="G35" s="2" t="s">
        <v>35</v>
      </c>
      <c r="H35" s="2" t="s">
        <v>35</v>
      </c>
      <c r="I35" s="2" t="s">
        <v>35</v>
      </c>
      <c r="J35" s="2" t="s">
        <v>35</v>
      </c>
      <c r="K35" s="2">
        <v>3</v>
      </c>
      <c r="L35" s="2"/>
      <c r="M35" s="2" t="s">
        <v>35</v>
      </c>
      <c r="N35" s="2" t="s">
        <v>35</v>
      </c>
      <c r="O35" s="2"/>
      <c r="P35" s="3"/>
      <c r="Q35" s="2" t="s">
        <v>11535</v>
      </c>
      <c r="R35" s="2" t="s">
        <v>31</v>
      </c>
      <c r="S35" s="2" t="s">
        <v>11647</v>
      </c>
      <c r="T35" s="2" t="s">
        <v>11646</v>
      </c>
      <c r="U35" s="2" t="s">
        <v>11532</v>
      </c>
      <c r="V35" s="2">
        <v>54217</v>
      </c>
      <c r="W35" s="2" t="s">
        <v>11645</v>
      </c>
      <c r="X35" s="11">
        <v>43352.483900462961</v>
      </c>
      <c r="Y35" s="11">
        <v>43352.484027777777</v>
      </c>
      <c r="Z35" s="278">
        <v>0</v>
      </c>
      <c r="AA35" s="277">
        <f t="shared" si="4"/>
        <v>1.273148154723458E-4</v>
      </c>
      <c r="AB35" s="277">
        <f t="shared" ref="AB35:AB62" si="5">MIN(Y35-Y34, Y35-AC35)</f>
        <v>4.2824073898373172E-4</v>
      </c>
      <c r="AC35" s="276">
        <v>43352.454861111109</v>
      </c>
      <c r="AD35" s="275" t="str">
        <f t="shared" si="3"/>
        <v>https://captureandgo.cloudlab.zhaw.ch/images/images-1662802615500-465395288.jpg</v>
      </c>
    </row>
    <row r="36" spans="1:30" x14ac:dyDescent="0.2">
      <c r="A36" s="2" t="s">
        <v>11644</v>
      </c>
      <c r="B36" s="2">
        <v>106</v>
      </c>
      <c r="C36" s="2" t="s">
        <v>11824</v>
      </c>
      <c r="D36" s="2" t="s">
        <v>11536</v>
      </c>
      <c r="E36" s="2" t="s">
        <v>37</v>
      </c>
      <c r="F36" s="2" t="s">
        <v>35</v>
      </c>
      <c r="G36" s="2" t="s">
        <v>35</v>
      </c>
      <c r="H36" s="2" t="s">
        <v>11643</v>
      </c>
      <c r="I36" s="2" t="s">
        <v>35</v>
      </c>
      <c r="J36" s="2" t="s">
        <v>35</v>
      </c>
      <c r="K36" s="2"/>
      <c r="L36" s="2"/>
      <c r="M36" s="2" t="s">
        <v>35</v>
      </c>
      <c r="N36" s="2" t="s">
        <v>35</v>
      </c>
      <c r="O36" s="2">
        <v>7</v>
      </c>
      <c r="P36" s="3"/>
      <c r="Q36" s="2" t="s">
        <v>11535</v>
      </c>
      <c r="R36" s="2" t="s">
        <v>31</v>
      </c>
      <c r="S36" s="2" t="s">
        <v>11642</v>
      </c>
      <c r="T36" s="2" t="s">
        <v>11641</v>
      </c>
      <c r="U36" s="2" t="s">
        <v>11532</v>
      </c>
      <c r="V36" s="2">
        <v>58463</v>
      </c>
      <c r="W36" s="2" t="s">
        <v>11640</v>
      </c>
      <c r="X36" s="11">
        <v>43352.484479166669</v>
      </c>
      <c r="Y36" s="11">
        <v>43352.484722222223</v>
      </c>
      <c r="Z36" s="278">
        <v>0</v>
      </c>
      <c r="AA36" s="277">
        <f t="shared" si="4"/>
        <v>2.4305555416503921E-4</v>
      </c>
      <c r="AB36" s="277">
        <f t="shared" si="5"/>
        <v>6.944444467080757E-4</v>
      </c>
      <c r="AC36" s="276">
        <v>43352.454861111109</v>
      </c>
      <c r="AD36" s="275" t="str">
        <f t="shared" si="3"/>
        <v>https://captureandgo.cloudlab.zhaw.ch/images/images-1662802668019-272118258.jpg</v>
      </c>
    </row>
    <row r="37" spans="1:30" x14ac:dyDescent="0.2">
      <c r="A37" s="2" t="s">
        <v>11639</v>
      </c>
      <c r="B37" s="2">
        <v>107</v>
      </c>
      <c r="C37" s="2" t="s">
        <v>11825</v>
      </c>
      <c r="D37" s="2" t="s">
        <v>11536</v>
      </c>
      <c r="E37" s="2" t="s">
        <v>37</v>
      </c>
      <c r="F37" s="2" t="s">
        <v>35</v>
      </c>
      <c r="G37" s="2" t="s">
        <v>35</v>
      </c>
      <c r="H37" s="2" t="s">
        <v>35</v>
      </c>
      <c r="I37" s="2" t="s">
        <v>35</v>
      </c>
      <c r="J37" s="2" t="s">
        <v>35</v>
      </c>
      <c r="K37" s="2">
        <v>6</v>
      </c>
      <c r="L37" s="2"/>
      <c r="M37" s="2" t="s">
        <v>35</v>
      </c>
      <c r="N37" s="2" t="s">
        <v>35</v>
      </c>
      <c r="O37" s="2"/>
      <c r="P37" s="3"/>
      <c r="Q37" s="2" t="s">
        <v>11535</v>
      </c>
      <c r="R37" s="2" t="s">
        <v>31</v>
      </c>
      <c r="S37" s="2" t="s">
        <v>11638</v>
      </c>
      <c r="T37" s="2" t="s">
        <v>11637</v>
      </c>
      <c r="U37" s="2" t="s">
        <v>11532</v>
      </c>
      <c r="V37" s="2">
        <v>61661</v>
      </c>
      <c r="W37" s="2" t="s">
        <v>11636</v>
      </c>
      <c r="X37" s="11">
        <v>43352.605925925927</v>
      </c>
      <c r="Y37" s="11">
        <v>43352.606053240743</v>
      </c>
      <c r="Z37" s="278">
        <v>0</v>
      </c>
      <c r="AA37" s="277">
        <f t="shared" si="4"/>
        <v>1.273148154723458E-4</v>
      </c>
      <c r="AB37" s="277">
        <f t="shared" si="5"/>
        <v>1.1921296318178065E-3</v>
      </c>
      <c r="AC37" s="276">
        <v>43352.604861111111</v>
      </c>
      <c r="AD37" s="275" t="str">
        <f t="shared" si="3"/>
        <v>https://captureandgo.cloudlab.zhaw.ch/images/images-1662813158903-424744505.jpg</v>
      </c>
    </row>
    <row r="38" spans="1:30" x14ac:dyDescent="0.2">
      <c r="A38" s="2" t="s">
        <v>11635</v>
      </c>
      <c r="B38" s="2">
        <v>108</v>
      </c>
      <c r="C38" s="2" t="s">
        <v>11826</v>
      </c>
      <c r="D38" s="2" t="s">
        <v>11536</v>
      </c>
      <c r="E38" s="2" t="s">
        <v>266</v>
      </c>
      <c r="F38" s="2" t="s">
        <v>35</v>
      </c>
      <c r="G38" s="2">
        <v>3.5</v>
      </c>
      <c r="H38" s="2" t="s">
        <v>35</v>
      </c>
      <c r="I38" s="2" t="s">
        <v>35</v>
      </c>
      <c r="J38" s="2" t="s">
        <v>35</v>
      </c>
      <c r="K38" s="2"/>
      <c r="L38" s="2"/>
      <c r="M38" s="2" t="s">
        <v>35</v>
      </c>
      <c r="N38" s="2" t="s">
        <v>35</v>
      </c>
      <c r="O38" s="2"/>
      <c r="P38" s="3"/>
      <c r="Q38" s="2" t="s">
        <v>11535</v>
      </c>
      <c r="R38" s="2" t="s">
        <v>31</v>
      </c>
      <c r="S38" s="2" t="s">
        <v>11634</v>
      </c>
      <c r="T38" s="2" t="s">
        <v>11633</v>
      </c>
      <c r="U38" s="2" t="s">
        <v>11532</v>
      </c>
      <c r="V38" s="2">
        <v>58793</v>
      </c>
      <c r="W38" s="2" t="s">
        <v>11632</v>
      </c>
      <c r="X38" s="11">
        <v>43352.606678240743</v>
      </c>
      <c r="Y38" s="11">
        <v>43352.607094907406</v>
      </c>
      <c r="Z38" s="278">
        <v>0</v>
      </c>
      <c r="AA38" s="277">
        <f t="shared" si="4"/>
        <v>4.1666666220407933E-4</v>
      </c>
      <c r="AB38" s="277">
        <f t="shared" si="5"/>
        <v>1.0416666627861559E-3</v>
      </c>
      <c r="AC38" s="276">
        <v>43352.604861111111</v>
      </c>
      <c r="AD38" s="275" t="str">
        <f t="shared" si="3"/>
        <v>https://captureandgo.cloudlab.zhaw.ch/images/images-1662813245315-62807936.jpg</v>
      </c>
    </row>
    <row r="39" spans="1:30" x14ac:dyDescent="0.2">
      <c r="A39" s="2" t="s">
        <v>11631</v>
      </c>
      <c r="B39" s="2">
        <v>109</v>
      </c>
      <c r="C39" s="2" t="s">
        <v>11827</v>
      </c>
      <c r="D39" s="2" t="s">
        <v>11536</v>
      </c>
      <c r="E39" s="2" t="s">
        <v>37</v>
      </c>
      <c r="F39" s="2" t="s">
        <v>35</v>
      </c>
      <c r="G39" s="2" t="s">
        <v>35</v>
      </c>
      <c r="H39" s="2" t="s">
        <v>35</v>
      </c>
      <c r="I39" s="2" t="s">
        <v>35</v>
      </c>
      <c r="J39" s="2" t="s">
        <v>35</v>
      </c>
      <c r="K39" s="2">
        <v>3</v>
      </c>
      <c r="L39" s="2"/>
      <c r="M39" s="2" t="s">
        <v>35</v>
      </c>
      <c r="N39" s="2" t="s">
        <v>35</v>
      </c>
      <c r="O39" s="2"/>
      <c r="P39" s="3"/>
      <c r="Q39" s="2" t="s">
        <v>11535</v>
      </c>
      <c r="R39" s="2" t="s">
        <v>31</v>
      </c>
      <c r="S39" s="2" t="s">
        <v>11630</v>
      </c>
      <c r="T39" s="2" t="s">
        <v>11629</v>
      </c>
      <c r="U39" s="2" t="s">
        <v>11532</v>
      </c>
      <c r="V39" s="2">
        <v>52016</v>
      </c>
      <c r="W39" s="2" t="s">
        <v>11628</v>
      </c>
      <c r="X39" s="11">
        <v>43352.607719907406</v>
      </c>
      <c r="Y39" s="11">
        <v>43352.607847222222</v>
      </c>
      <c r="Z39" s="278">
        <v>0</v>
      </c>
      <c r="AA39" s="277">
        <f t="shared" si="4"/>
        <v>1.273148154723458E-4</v>
      </c>
      <c r="AB39" s="277">
        <f t="shared" si="5"/>
        <v>7.5231481605442241E-4</v>
      </c>
      <c r="AC39" s="276">
        <v>43352.604861111111</v>
      </c>
      <c r="AD39" s="275" t="str">
        <f t="shared" si="3"/>
        <v>https://captureandgo.cloudlab.zhaw.ch/images/images-1662813315145-736696929.jpg</v>
      </c>
    </row>
    <row r="40" spans="1:30" x14ac:dyDescent="0.2">
      <c r="A40" s="2" t="s">
        <v>11627</v>
      </c>
      <c r="B40" s="2">
        <v>110</v>
      </c>
      <c r="C40" s="2" t="s">
        <v>11828</v>
      </c>
      <c r="D40" s="2" t="s">
        <v>11536</v>
      </c>
      <c r="E40" s="2" t="s">
        <v>125</v>
      </c>
      <c r="F40" s="2" t="s">
        <v>35</v>
      </c>
      <c r="G40" s="2" t="s">
        <v>35</v>
      </c>
      <c r="H40" s="2" t="s">
        <v>675</v>
      </c>
      <c r="I40" s="2" t="s">
        <v>35</v>
      </c>
      <c r="J40" s="2" t="s">
        <v>35</v>
      </c>
      <c r="K40" s="2"/>
      <c r="L40" s="2">
        <v>4</v>
      </c>
      <c r="M40" s="2" t="s">
        <v>35</v>
      </c>
      <c r="N40" s="2" t="s">
        <v>35</v>
      </c>
      <c r="O40" s="2"/>
      <c r="P40" s="3"/>
      <c r="Q40" s="2" t="s">
        <v>11535</v>
      </c>
      <c r="R40" s="2" t="s">
        <v>31</v>
      </c>
      <c r="S40" s="2" t="s">
        <v>11626</v>
      </c>
      <c r="T40" s="2" t="s">
        <v>11625</v>
      </c>
      <c r="U40" s="2" t="s">
        <v>11532</v>
      </c>
      <c r="V40" s="2">
        <v>54939</v>
      </c>
      <c r="W40" s="2" t="s">
        <v>11624</v>
      </c>
      <c r="X40" s="11">
        <v>43352.608182870368</v>
      </c>
      <c r="Y40" s="11">
        <v>43352.608402777776</v>
      </c>
      <c r="Z40" s="278">
        <v>0</v>
      </c>
      <c r="AA40" s="277">
        <f t="shared" si="4"/>
        <v>2.1990740788169205E-4</v>
      </c>
      <c r="AB40" s="277">
        <f t="shared" si="5"/>
        <v>5.5555555445607752E-4</v>
      </c>
      <c r="AC40" s="276">
        <v>43352.604861111111</v>
      </c>
      <c r="AD40" s="275" t="str">
        <f t="shared" si="3"/>
        <v>https://captureandgo.cloudlab.zhaw.ch/images/images-1662813354747-545073289.jpg</v>
      </c>
    </row>
    <row r="41" spans="1:30" x14ac:dyDescent="0.2">
      <c r="A41" s="2" t="s">
        <v>11623</v>
      </c>
      <c r="B41" s="2">
        <v>111</v>
      </c>
      <c r="C41" s="2" t="s">
        <v>11829</v>
      </c>
      <c r="D41" s="2" t="s">
        <v>11536</v>
      </c>
      <c r="E41" s="2" t="s">
        <v>37</v>
      </c>
      <c r="F41" s="2" t="s">
        <v>35</v>
      </c>
      <c r="G41" s="2" t="s">
        <v>35</v>
      </c>
      <c r="H41" s="2" t="s">
        <v>35</v>
      </c>
      <c r="I41" s="2" t="s">
        <v>35</v>
      </c>
      <c r="J41" s="2" t="s">
        <v>35</v>
      </c>
      <c r="K41" s="2"/>
      <c r="L41" s="2"/>
      <c r="M41" s="2" t="s">
        <v>35</v>
      </c>
      <c r="N41" s="2" t="s">
        <v>35</v>
      </c>
      <c r="O41" s="2">
        <v>3</v>
      </c>
      <c r="P41" s="3"/>
      <c r="Q41" s="2" t="s">
        <v>11535</v>
      </c>
      <c r="R41" s="2" t="s">
        <v>31</v>
      </c>
      <c r="S41" s="2" t="s">
        <v>11622</v>
      </c>
      <c r="T41" s="2" t="s">
        <v>11621</v>
      </c>
      <c r="U41" s="2" t="s">
        <v>11532</v>
      </c>
      <c r="V41" s="2">
        <v>62840</v>
      </c>
      <c r="W41" s="2" t="s">
        <v>11620</v>
      </c>
      <c r="X41" s="11">
        <v>43352.608749999999</v>
      </c>
      <c r="Y41" s="11">
        <v>43352.608854166669</v>
      </c>
      <c r="Z41" s="278">
        <v>0</v>
      </c>
      <c r="AA41" s="277">
        <f t="shared" si="4"/>
        <v>1.0416666918899864E-4</v>
      </c>
      <c r="AB41" s="277">
        <f t="shared" si="5"/>
        <v>4.5138889254303649E-4</v>
      </c>
      <c r="AC41" s="276">
        <v>43352.604861111111</v>
      </c>
      <c r="AD41" s="275" t="str">
        <f t="shared" si="3"/>
        <v>https://captureandgo.cloudlab.zhaw.ch/images/images-1662813402326-319605994.jpg</v>
      </c>
    </row>
    <row r="42" spans="1:30" x14ac:dyDescent="0.2">
      <c r="A42" s="2" t="s">
        <v>11619</v>
      </c>
      <c r="B42" s="2">
        <v>112</v>
      </c>
      <c r="C42" s="2" t="s">
        <v>11830</v>
      </c>
      <c r="D42" s="2" t="s">
        <v>11536</v>
      </c>
      <c r="E42" s="2" t="s">
        <v>37</v>
      </c>
      <c r="F42" s="2" t="s">
        <v>35</v>
      </c>
      <c r="G42" s="2" t="s">
        <v>35</v>
      </c>
      <c r="H42" s="2" t="s">
        <v>35</v>
      </c>
      <c r="I42" s="2" t="s">
        <v>35</v>
      </c>
      <c r="J42" s="2" t="s">
        <v>35</v>
      </c>
      <c r="K42" s="2"/>
      <c r="L42" s="2"/>
      <c r="M42" s="2" t="s">
        <v>35</v>
      </c>
      <c r="N42" s="2" t="s">
        <v>3516</v>
      </c>
      <c r="O42" s="2"/>
      <c r="P42" s="3"/>
      <c r="Q42" s="2" t="s">
        <v>11535</v>
      </c>
      <c r="R42" s="2" t="s">
        <v>31</v>
      </c>
      <c r="S42" s="2" t="s">
        <v>11618</v>
      </c>
      <c r="T42" s="2" t="s">
        <v>11617</v>
      </c>
      <c r="U42" s="2" t="s">
        <v>11532</v>
      </c>
      <c r="V42" s="2">
        <v>70556</v>
      </c>
      <c r="W42" s="2" t="s">
        <v>11616</v>
      </c>
      <c r="X42" s="11">
        <v>43352.608946759261</v>
      </c>
      <c r="Y42" s="11">
        <v>43352.609166666669</v>
      </c>
      <c r="Z42" s="278">
        <v>0</v>
      </c>
      <c r="AA42" s="277">
        <f t="shared" si="4"/>
        <v>2.1990740788169205E-4</v>
      </c>
      <c r="AB42" s="277">
        <f t="shared" si="5"/>
        <v>3.125000002910383E-4</v>
      </c>
      <c r="AC42" s="276">
        <v>43352.604861111111</v>
      </c>
      <c r="AD42" s="275" t="str">
        <f t="shared" si="3"/>
        <v>https://captureandgo.cloudlab.zhaw.ch/images/images-1662813418891-967624328.jpg</v>
      </c>
    </row>
    <row r="43" spans="1:30" x14ac:dyDescent="0.2">
      <c r="A43" s="2" t="s">
        <v>11615</v>
      </c>
      <c r="B43" s="2">
        <v>113</v>
      </c>
      <c r="C43" s="2" t="s">
        <v>11831</v>
      </c>
      <c r="D43" s="2" t="s">
        <v>11536</v>
      </c>
      <c r="E43" s="2" t="s">
        <v>37</v>
      </c>
      <c r="F43" s="2" t="s">
        <v>35</v>
      </c>
      <c r="G43" s="2" t="s">
        <v>35</v>
      </c>
      <c r="H43" s="2" t="s">
        <v>35</v>
      </c>
      <c r="I43" s="2" t="s">
        <v>35</v>
      </c>
      <c r="J43" s="2" t="s">
        <v>35</v>
      </c>
      <c r="K43" s="2"/>
      <c r="L43" s="2"/>
      <c r="M43" s="2" t="s">
        <v>35</v>
      </c>
      <c r="N43" s="2" t="s">
        <v>3516</v>
      </c>
      <c r="O43" s="2"/>
      <c r="P43" s="3"/>
      <c r="Q43" s="2" t="s">
        <v>11535</v>
      </c>
      <c r="R43" s="2" t="s">
        <v>31</v>
      </c>
      <c r="S43" s="2" t="s">
        <v>11614</v>
      </c>
      <c r="T43" s="2" t="s">
        <v>11613</v>
      </c>
      <c r="U43" s="2" t="s">
        <v>11532</v>
      </c>
      <c r="V43" s="2">
        <v>67993</v>
      </c>
      <c r="W43" s="2" t="s">
        <v>11612</v>
      </c>
      <c r="X43" s="11">
        <v>43352.609247685185</v>
      </c>
      <c r="Y43" s="11">
        <v>43352.609444444446</v>
      </c>
      <c r="Z43" s="278">
        <v>0</v>
      </c>
      <c r="AA43" s="277">
        <f t="shared" si="4"/>
        <v>1.9675926159834489E-4</v>
      </c>
      <c r="AB43" s="277">
        <f t="shared" si="5"/>
        <v>2.7777777722803876E-4</v>
      </c>
      <c r="AC43" s="276">
        <v>43352.604861111111</v>
      </c>
      <c r="AD43" s="275" t="str">
        <f t="shared" si="3"/>
        <v>https://captureandgo.cloudlab.zhaw.ch/images/images-1662813449403-377122733.jpg</v>
      </c>
    </row>
    <row r="44" spans="1:30" x14ac:dyDescent="0.2">
      <c r="A44" s="2" t="s">
        <v>11611</v>
      </c>
      <c r="B44" s="2">
        <v>114</v>
      </c>
      <c r="C44" s="2" t="s">
        <v>11850</v>
      </c>
      <c r="D44" s="2" t="s">
        <v>11536</v>
      </c>
      <c r="E44" s="2" t="s">
        <v>55</v>
      </c>
      <c r="F44" s="2" t="s">
        <v>35</v>
      </c>
      <c r="G44" s="2" t="s">
        <v>35</v>
      </c>
      <c r="H44" s="2" t="s">
        <v>35</v>
      </c>
      <c r="I44" s="2">
        <v>20</v>
      </c>
      <c r="J44" s="2">
        <v>15</v>
      </c>
      <c r="K44" s="279"/>
      <c r="L44" s="279"/>
      <c r="M44" s="2" t="s">
        <v>35</v>
      </c>
      <c r="N44" s="2" t="s">
        <v>35</v>
      </c>
      <c r="O44" s="2"/>
      <c r="P44" s="3"/>
      <c r="Q44" s="2" t="s">
        <v>11535</v>
      </c>
      <c r="R44" s="2" t="s">
        <v>31</v>
      </c>
      <c r="S44" s="2" t="s">
        <v>11610</v>
      </c>
      <c r="T44" s="2" t="s">
        <v>11609</v>
      </c>
      <c r="U44" s="2" t="s">
        <v>11532</v>
      </c>
      <c r="V44" s="2">
        <v>62268</v>
      </c>
      <c r="W44" s="2" t="s">
        <v>11608</v>
      </c>
      <c r="X44" s="11">
        <v>43352.609490740739</v>
      </c>
      <c r="Y44" s="11">
        <v>43352.610046296293</v>
      </c>
      <c r="Z44" s="278">
        <v>0</v>
      </c>
      <c r="AA44" s="277">
        <f t="shared" si="4"/>
        <v>5.5555555445607752E-4</v>
      </c>
      <c r="AB44" s="277">
        <f t="shared" si="5"/>
        <v>6.0185184702277184E-4</v>
      </c>
      <c r="AC44" s="276">
        <v>43352.604861111111</v>
      </c>
      <c r="AD44" s="275" t="str">
        <f t="shared" si="3"/>
        <v>https://captureandgo.cloudlab.zhaw.ch/images/images-1662813488132-559964430.jpg</v>
      </c>
    </row>
    <row r="45" spans="1:30" x14ac:dyDescent="0.2">
      <c r="A45" s="2" t="s">
        <v>11607</v>
      </c>
      <c r="B45" s="2">
        <v>115</v>
      </c>
      <c r="C45" s="2" t="s">
        <v>11832</v>
      </c>
      <c r="D45" s="2" t="s">
        <v>11536</v>
      </c>
      <c r="E45" s="2" t="s">
        <v>125</v>
      </c>
      <c r="F45" s="2" t="s">
        <v>35</v>
      </c>
      <c r="G45" s="2" t="s">
        <v>35</v>
      </c>
      <c r="H45" s="2" t="s">
        <v>675</v>
      </c>
      <c r="I45" s="279" t="s">
        <v>35</v>
      </c>
      <c r="J45" s="279" t="s">
        <v>35</v>
      </c>
      <c r="K45" s="279"/>
      <c r="L45" s="2">
        <v>4</v>
      </c>
      <c r="M45" s="2" t="s">
        <v>35</v>
      </c>
      <c r="N45" s="2" t="s">
        <v>35</v>
      </c>
      <c r="O45" s="2"/>
      <c r="P45" s="3"/>
      <c r="Q45" s="2" t="s">
        <v>11535</v>
      </c>
      <c r="R45" s="2" t="s">
        <v>31</v>
      </c>
      <c r="S45" s="2" t="s">
        <v>11606</v>
      </c>
      <c r="T45" s="2" t="s">
        <v>11605</v>
      </c>
      <c r="U45" s="2" t="s">
        <v>11532</v>
      </c>
      <c r="V45" s="2">
        <v>55929</v>
      </c>
      <c r="W45" s="2" t="s">
        <v>11604</v>
      </c>
      <c r="X45" s="11">
        <v>43352.611539351848</v>
      </c>
      <c r="Y45" s="11">
        <v>43352.611689814818</v>
      </c>
      <c r="Z45" s="278">
        <v>0</v>
      </c>
      <c r="AA45" s="277">
        <f t="shared" si="4"/>
        <v>1.5046296903165057E-4</v>
      </c>
      <c r="AB45" s="277">
        <f t="shared" si="5"/>
        <v>1.643518524360843E-3</v>
      </c>
      <c r="AC45" s="276">
        <v>43352.604861111111</v>
      </c>
      <c r="AD45" s="275" t="str">
        <f t="shared" si="3"/>
        <v>https://captureandgo.cloudlab.zhaw.ch/images/images-1662813643432-370272123.jpg</v>
      </c>
    </row>
    <row r="46" spans="1:30" x14ac:dyDescent="0.2">
      <c r="A46" s="2" t="s">
        <v>11603</v>
      </c>
      <c r="B46" s="2">
        <v>116</v>
      </c>
      <c r="C46" s="2" t="s">
        <v>11833</v>
      </c>
      <c r="D46" s="2" t="s">
        <v>11536</v>
      </c>
      <c r="E46" s="2" t="s">
        <v>37</v>
      </c>
      <c r="F46" s="2" t="s">
        <v>35</v>
      </c>
      <c r="G46" s="2" t="s">
        <v>35</v>
      </c>
      <c r="H46" s="2" t="s">
        <v>35</v>
      </c>
      <c r="I46" s="279" t="s">
        <v>35</v>
      </c>
      <c r="J46" s="279" t="s">
        <v>35</v>
      </c>
      <c r="K46" s="2">
        <v>2</v>
      </c>
      <c r="L46" s="279"/>
      <c r="M46" s="2" t="s">
        <v>35</v>
      </c>
      <c r="N46" s="2" t="s">
        <v>35</v>
      </c>
      <c r="O46" s="2"/>
      <c r="P46" s="3"/>
      <c r="Q46" s="2" t="s">
        <v>11535</v>
      </c>
      <c r="R46" s="2" t="s">
        <v>31</v>
      </c>
      <c r="S46" s="2" t="s">
        <v>11602</v>
      </c>
      <c r="T46" s="2" t="s">
        <v>11601</v>
      </c>
      <c r="U46" s="2" t="s">
        <v>11532</v>
      </c>
      <c r="V46" s="2">
        <v>46086</v>
      </c>
      <c r="W46" s="2" t="s">
        <v>11600</v>
      </c>
      <c r="X46" s="11">
        <v>43352.612546296295</v>
      </c>
      <c r="Y46" s="11">
        <v>43352.612719907411</v>
      </c>
      <c r="Z46" s="278">
        <v>0</v>
      </c>
      <c r="AA46" s="277">
        <f t="shared" si="4"/>
        <v>1.7361111531499773E-4</v>
      </c>
      <c r="AB46" s="277">
        <f t="shared" si="5"/>
        <v>1.0300925932824612E-3</v>
      </c>
      <c r="AC46" s="276">
        <v>43352.604861111111</v>
      </c>
      <c r="AD46" s="275" t="str">
        <f t="shared" si="3"/>
        <v>https://captureandgo.cloudlab.zhaw.ch/images/images-1662813735112-296552492.jpg</v>
      </c>
    </row>
    <row r="47" spans="1:30" x14ac:dyDescent="0.2">
      <c r="A47" s="2" t="s">
        <v>11599</v>
      </c>
      <c r="B47" s="2">
        <v>117</v>
      </c>
      <c r="C47" s="2" t="s">
        <v>11834</v>
      </c>
      <c r="D47" s="2" t="s">
        <v>11536</v>
      </c>
      <c r="E47" s="2" t="s">
        <v>37</v>
      </c>
      <c r="F47" s="2" t="s">
        <v>35</v>
      </c>
      <c r="G47" s="2" t="s">
        <v>35</v>
      </c>
      <c r="H47" s="2" t="s">
        <v>35</v>
      </c>
      <c r="I47" s="279" t="s">
        <v>35</v>
      </c>
      <c r="J47" s="279" t="s">
        <v>35</v>
      </c>
      <c r="K47" s="2">
        <v>3</v>
      </c>
      <c r="L47" s="279"/>
      <c r="M47" s="2" t="s">
        <v>35</v>
      </c>
      <c r="N47" s="2" t="s">
        <v>35</v>
      </c>
      <c r="O47" s="2"/>
      <c r="P47" s="3"/>
      <c r="Q47" s="2" t="s">
        <v>11535</v>
      </c>
      <c r="R47" s="2" t="s">
        <v>31</v>
      </c>
      <c r="S47" s="2" t="s">
        <v>11598</v>
      </c>
      <c r="T47" s="2" t="s">
        <v>11597</v>
      </c>
      <c r="U47" s="2" t="s">
        <v>11532</v>
      </c>
      <c r="V47" s="2">
        <v>52269</v>
      </c>
      <c r="W47" s="2" t="s">
        <v>11596</v>
      </c>
      <c r="X47" s="11">
        <v>43352.614062499997</v>
      </c>
      <c r="Y47" s="11">
        <v>43352.614259259259</v>
      </c>
      <c r="Z47" s="278">
        <v>0</v>
      </c>
      <c r="AA47" s="277">
        <f t="shared" si="4"/>
        <v>1.9675926159834489E-4</v>
      </c>
      <c r="AB47" s="277">
        <f t="shared" si="5"/>
        <v>1.5393518478958867E-3</v>
      </c>
      <c r="AC47" s="276">
        <v>43352.604861111111</v>
      </c>
      <c r="AD47" s="275" t="str">
        <f t="shared" si="3"/>
        <v>https://captureandgo.cloudlab.zhaw.ch/images/images-1662813862047-947471727.jpg</v>
      </c>
    </row>
    <row r="48" spans="1:30" x14ac:dyDescent="0.2">
      <c r="A48" s="2" t="s">
        <v>11595</v>
      </c>
      <c r="B48" s="2">
        <v>118</v>
      </c>
      <c r="C48" s="2" t="s">
        <v>11835</v>
      </c>
      <c r="D48" s="2" t="s">
        <v>11536</v>
      </c>
      <c r="E48" s="2" t="s">
        <v>55</v>
      </c>
      <c r="F48" s="2" t="s">
        <v>35</v>
      </c>
      <c r="G48" s="2" t="s">
        <v>35</v>
      </c>
      <c r="H48" s="2" t="s">
        <v>35</v>
      </c>
      <c r="I48" s="2">
        <v>50</v>
      </c>
      <c r="J48" s="2">
        <v>14</v>
      </c>
      <c r="K48" s="279"/>
      <c r="L48" s="279"/>
      <c r="M48" s="2" t="s">
        <v>35</v>
      </c>
      <c r="N48" s="2" t="s">
        <v>35</v>
      </c>
      <c r="O48" s="2"/>
      <c r="P48" s="3"/>
      <c r="Q48" s="2" t="s">
        <v>11535</v>
      </c>
      <c r="R48" s="2" t="s">
        <v>31</v>
      </c>
      <c r="S48" s="2" t="s">
        <v>11594</v>
      </c>
      <c r="T48" s="2" t="s">
        <v>11593</v>
      </c>
      <c r="U48" s="2" t="s">
        <v>11532</v>
      </c>
      <c r="V48" s="2">
        <v>68694</v>
      </c>
      <c r="W48" s="2" t="s">
        <v>11592</v>
      </c>
      <c r="X48" s="11">
        <v>43352.614340277774</v>
      </c>
      <c r="Y48" s="11">
        <v>43352.615115740744</v>
      </c>
      <c r="Z48" s="278">
        <v>0</v>
      </c>
      <c r="AA48" s="277">
        <f t="shared" si="4"/>
        <v>7.7546296961372718E-4</v>
      </c>
      <c r="AB48" s="277">
        <f t="shared" si="5"/>
        <v>8.5648148524342105E-4</v>
      </c>
      <c r="AC48" s="276">
        <v>43352.604861111111</v>
      </c>
      <c r="AD48" s="275" t="str">
        <f t="shared" si="3"/>
        <v>https://captureandgo.cloudlab.zhaw.ch/images/images-1662813888602-871194530.jpg</v>
      </c>
    </row>
    <row r="49" spans="1:30" x14ac:dyDescent="0.2">
      <c r="A49" s="2" t="s">
        <v>11591</v>
      </c>
      <c r="B49" s="2">
        <v>119</v>
      </c>
      <c r="C49" s="2" t="s">
        <v>11836</v>
      </c>
      <c r="D49" s="2" t="s">
        <v>11536</v>
      </c>
      <c r="E49" s="2" t="s">
        <v>37</v>
      </c>
      <c r="F49" s="2" t="s">
        <v>35</v>
      </c>
      <c r="G49" s="2" t="s">
        <v>35</v>
      </c>
      <c r="H49" s="2" t="s">
        <v>35</v>
      </c>
      <c r="I49" s="279" t="s">
        <v>35</v>
      </c>
      <c r="J49" s="279" t="s">
        <v>35</v>
      </c>
      <c r="K49" s="2">
        <v>2</v>
      </c>
      <c r="L49" s="279"/>
      <c r="M49" s="2" t="s">
        <v>35</v>
      </c>
      <c r="N49" s="2" t="s">
        <v>35</v>
      </c>
      <c r="O49" s="2"/>
      <c r="P49" s="3"/>
      <c r="Q49" s="2" t="s">
        <v>11535</v>
      </c>
      <c r="R49" s="2" t="s">
        <v>31</v>
      </c>
      <c r="S49" s="2" t="s">
        <v>11590</v>
      </c>
      <c r="T49" s="2" t="s">
        <v>11589</v>
      </c>
      <c r="U49" s="2" t="s">
        <v>11532</v>
      </c>
      <c r="V49" s="2">
        <v>54272</v>
      </c>
      <c r="W49" s="2" t="s">
        <v>11588</v>
      </c>
      <c r="X49" s="11">
        <v>43352.616805555554</v>
      </c>
      <c r="Y49" s="11">
        <v>43352.616909722223</v>
      </c>
      <c r="Z49" s="278">
        <v>0</v>
      </c>
      <c r="AA49" s="277">
        <f t="shared" si="4"/>
        <v>1.0416666918899864E-4</v>
      </c>
      <c r="AB49" s="277">
        <f t="shared" si="5"/>
        <v>1.7939814788405783E-3</v>
      </c>
      <c r="AC49" s="276">
        <v>43352.604861111111</v>
      </c>
      <c r="AD49" s="275" t="str">
        <f t="shared" si="3"/>
        <v>https://captureandgo.cloudlab.zhaw.ch/images/images-1662814097508-577400773.jpg</v>
      </c>
    </row>
    <row r="50" spans="1:30" x14ac:dyDescent="0.2">
      <c r="A50" s="2" t="s">
        <v>11587</v>
      </c>
      <c r="B50" s="2">
        <v>120</v>
      </c>
      <c r="C50" s="2" t="s">
        <v>11837</v>
      </c>
      <c r="D50" s="2" t="s">
        <v>11536</v>
      </c>
      <c r="E50" s="2" t="s">
        <v>417</v>
      </c>
      <c r="F50" s="2">
        <v>0</v>
      </c>
      <c r="G50" s="2" t="s">
        <v>35</v>
      </c>
      <c r="H50" s="2" t="s">
        <v>1124</v>
      </c>
      <c r="I50" s="279" t="s">
        <v>35</v>
      </c>
      <c r="J50" s="279" t="s">
        <v>35</v>
      </c>
      <c r="K50" s="279"/>
      <c r="L50" s="279"/>
      <c r="M50" s="2" t="s">
        <v>35</v>
      </c>
      <c r="N50" s="2" t="s">
        <v>35</v>
      </c>
      <c r="O50" s="2"/>
      <c r="P50" s="3" t="s">
        <v>11586</v>
      </c>
      <c r="Q50" s="2" t="s">
        <v>11535</v>
      </c>
      <c r="R50" s="2" t="s">
        <v>31</v>
      </c>
      <c r="S50" s="2" t="s">
        <v>11585</v>
      </c>
      <c r="T50" s="2" t="s">
        <v>11584</v>
      </c>
      <c r="U50" s="2" t="s">
        <v>11532</v>
      </c>
      <c r="V50" s="2">
        <v>39766</v>
      </c>
      <c r="W50" s="2" t="s">
        <v>11583</v>
      </c>
      <c r="X50" s="11">
        <v>43352.617488425924</v>
      </c>
      <c r="Y50" s="11">
        <v>43352.617800925924</v>
      </c>
      <c r="Z50" s="278">
        <v>0</v>
      </c>
      <c r="AA50" s="277">
        <f t="shared" si="4"/>
        <v>3.125000002910383E-4</v>
      </c>
      <c r="AB50" s="277">
        <f t="shared" si="5"/>
        <v>8.9120370103046298E-4</v>
      </c>
      <c r="AC50" s="276">
        <v>43352.604861111111</v>
      </c>
      <c r="AD50" s="275" t="str">
        <f t="shared" si="3"/>
        <v>https://captureandgo.cloudlab.zhaw.ch/images/images-1662814160007-801220239.jpg</v>
      </c>
    </row>
    <row r="51" spans="1:30" x14ac:dyDescent="0.2">
      <c r="A51" s="2" t="s">
        <v>11582</v>
      </c>
      <c r="B51" s="2">
        <v>121</v>
      </c>
      <c r="C51" s="2" t="s">
        <v>11838</v>
      </c>
      <c r="D51" s="2" t="s">
        <v>11536</v>
      </c>
      <c r="E51" s="2" t="s">
        <v>417</v>
      </c>
      <c r="F51" s="2">
        <v>81</v>
      </c>
      <c r="G51" s="2" t="s">
        <v>35</v>
      </c>
      <c r="H51" s="2" t="s">
        <v>11581</v>
      </c>
      <c r="I51" s="279" t="s">
        <v>35</v>
      </c>
      <c r="J51" s="279" t="s">
        <v>35</v>
      </c>
      <c r="K51" s="279"/>
      <c r="L51" s="279"/>
      <c r="M51" s="2" t="s">
        <v>35</v>
      </c>
      <c r="N51" s="2" t="s">
        <v>35</v>
      </c>
      <c r="O51" s="2"/>
      <c r="P51" s="280" t="s">
        <v>11580</v>
      </c>
      <c r="Q51" s="2" t="s">
        <v>11535</v>
      </c>
      <c r="R51" s="2" t="s">
        <v>31</v>
      </c>
      <c r="S51" s="2" t="s">
        <v>11579</v>
      </c>
      <c r="T51" s="2" t="s">
        <v>11578</v>
      </c>
      <c r="U51" s="2" t="s">
        <v>11532</v>
      </c>
      <c r="V51" s="2">
        <v>53603</v>
      </c>
      <c r="W51" s="2" t="s">
        <v>11577</v>
      </c>
      <c r="X51" s="11">
        <v>43352.618275462963</v>
      </c>
      <c r="Y51" s="11">
        <v>43352.618680555555</v>
      </c>
      <c r="Z51" s="278">
        <v>0</v>
      </c>
      <c r="AA51" s="277">
        <f t="shared" si="4"/>
        <v>4.0509259270038456E-4</v>
      </c>
      <c r="AB51" s="277">
        <f t="shared" si="5"/>
        <v>8.7962963152676821E-4</v>
      </c>
      <c r="AC51" s="276">
        <v>43352.604861111111</v>
      </c>
      <c r="AD51" s="275" t="str">
        <f t="shared" si="3"/>
        <v>https://captureandgo.cloudlab.zhaw.ch/images/images-1662814226352-913662280.jpg</v>
      </c>
    </row>
    <row r="52" spans="1:30" x14ac:dyDescent="0.2">
      <c r="A52" s="2" t="s">
        <v>11576</v>
      </c>
      <c r="B52" s="2">
        <v>122</v>
      </c>
      <c r="C52" s="2" t="s">
        <v>11839</v>
      </c>
      <c r="D52" s="2" t="s">
        <v>11536</v>
      </c>
      <c r="E52" s="2" t="s">
        <v>37</v>
      </c>
      <c r="F52" s="2" t="s">
        <v>35</v>
      </c>
      <c r="G52" s="2" t="s">
        <v>35</v>
      </c>
      <c r="H52" s="2" t="s">
        <v>35</v>
      </c>
      <c r="I52" s="279" t="s">
        <v>35</v>
      </c>
      <c r="J52" s="279" t="s">
        <v>35</v>
      </c>
      <c r="K52" s="2">
        <v>2</v>
      </c>
      <c r="L52" s="279"/>
      <c r="M52" s="2" t="s">
        <v>35</v>
      </c>
      <c r="N52" s="2" t="s">
        <v>35</v>
      </c>
      <c r="O52" s="2"/>
      <c r="P52" s="3"/>
      <c r="Q52" s="2" t="s">
        <v>11535</v>
      </c>
      <c r="R52" s="2" t="s">
        <v>31</v>
      </c>
      <c r="S52" s="2" t="s">
        <v>11575</v>
      </c>
      <c r="T52" s="2" t="s">
        <v>11574</v>
      </c>
      <c r="U52" s="2" t="s">
        <v>11532</v>
      </c>
      <c r="V52" s="2">
        <v>47902</v>
      </c>
      <c r="W52" s="2" t="s">
        <v>11573</v>
      </c>
      <c r="X52" s="11">
        <v>43352.62090277778</v>
      </c>
      <c r="Y52" s="11">
        <v>43352.621018518519</v>
      </c>
      <c r="Z52" s="278">
        <v>0</v>
      </c>
      <c r="AA52" s="277">
        <f t="shared" si="4"/>
        <v>1.1574073869269341E-4</v>
      </c>
      <c r="AB52" s="277">
        <f t="shared" si="5"/>
        <v>2.3379629637929611E-3</v>
      </c>
      <c r="AC52" s="276">
        <v>43352.604861111111</v>
      </c>
      <c r="AD52" s="275" t="str">
        <f t="shared" si="3"/>
        <v>https://captureandgo.cloudlab.zhaw.ch/images/images-1662814452045-364661631.jpg</v>
      </c>
    </row>
    <row r="53" spans="1:30" x14ac:dyDescent="0.2">
      <c r="A53" s="2" t="s">
        <v>11572</v>
      </c>
      <c r="B53" s="2">
        <v>123</v>
      </c>
      <c r="C53" s="2" t="s">
        <v>11840</v>
      </c>
      <c r="D53" s="2" t="s">
        <v>11536</v>
      </c>
      <c r="E53" s="2" t="s">
        <v>37</v>
      </c>
      <c r="F53" s="2" t="s">
        <v>35</v>
      </c>
      <c r="G53" s="2" t="s">
        <v>35</v>
      </c>
      <c r="H53" s="2" t="s">
        <v>35</v>
      </c>
      <c r="I53" s="279" t="s">
        <v>35</v>
      </c>
      <c r="J53" s="279" t="s">
        <v>35</v>
      </c>
      <c r="K53" s="2">
        <v>2</v>
      </c>
      <c r="L53" s="279"/>
      <c r="M53" s="2" t="s">
        <v>35</v>
      </c>
      <c r="N53" s="2" t="s">
        <v>35</v>
      </c>
      <c r="O53" s="2"/>
      <c r="P53" s="3"/>
      <c r="Q53" s="2" t="s">
        <v>11535</v>
      </c>
      <c r="R53" s="2" t="s">
        <v>31</v>
      </c>
      <c r="S53" s="2" t="s">
        <v>35</v>
      </c>
      <c r="T53" s="2" t="s">
        <v>35</v>
      </c>
      <c r="U53" s="2" t="s">
        <v>35</v>
      </c>
      <c r="V53" s="2" t="s">
        <v>35</v>
      </c>
      <c r="W53" s="2" t="s">
        <v>35</v>
      </c>
      <c r="X53" s="11">
        <v>43352.623437499999</v>
      </c>
      <c r="Y53" s="11">
        <v>43352.623657407406</v>
      </c>
      <c r="Z53" s="278">
        <v>0</v>
      </c>
      <c r="AA53" s="277">
        <f t="shared" si="4"/>
        <v>2.1990740788169205E-4</v>
      </c>
      <c r="AB53" s="277">
        <f t="shared" si="5"/>
        <v>2.638888887304347E-3</v>
      </c>
      <c r="AC53" s="276">
        <v>43352.604861111111</v>
      </c>
      <c r="AD53" s="275"/>
    </row>
    <row r="54" spans="1:30" x14ac:dyDescent="0.2">
      <c r="A54" s="2" t="s">
        <v>11571</v>
      </c>
      <c r="B54" s="2">
        <v>124</v>
      </c>
      <c r="C54" s="2" t="s">
        <v>11841</v>
      </c>
      <c r="D54" s="2" t="s">
        <v>11536</v>
      </c>
      <c r="E54" s="2" t="s">
        <v>2381</v>
      </c>
      <c r="F54" s="2" t="s">
        <v>35</v>
      </c>
      <c r="G54" s="2" t="s">
        <v>35</v>
      </c>
      <c r="H54" s="2" t="s">
        <v>11570</v>
      </c>
      <c r="I54" s="279" t="s">
        <v>35</v>
      </c>
      <c r="J54" s="279" t="s">
        <v>35</v>
      </c>
      <c r="K54" s="279"/>
      <c r="L54" s="279"/>
      <c r="M54" s="2" t="s">
        <v>35</v>
      </c>
      <c r="N54" s="2" t="s">
        <v>35</v>
      </c>
      <c r="O54" s="2"/>
      <c r="P54" s="3"/>
      <c r="Q54" s="2" t="s">
        <v>11535</v>
      </c>
      <c r="R54" s="2" t="s">
        <v>31</v>
      </c>
      <c r="S54" s="2" t="s">
        <v>11569</v>
      </c>
      <c r="T54" s="2" t="s">
        <v>11568</v>
      </c>
      <c r="U54" s="2" t="s">
        <v>11532</v>
      </c>
      <c r="V54" s="2">
        <v>59789</v>
      </c>
      <c r="W54" s="2" t="s">
        <v>11567</v>
      </c>
      <c r="X54" s="11">
        <v>43352.624814814815</v>
      </c>
      <c r="Y54" s="11">
        <v>43352.625196759262</v>
      </c>
      <c r="Z54" s="278">
        <v>0</v>
      </c>
      <c r="AA54" s="277">
        <f t="shared" si="4"/>
        <v>3.819444464170374E-4</v>
      </c>
      <c r="AB54" s="277">
        <f t="shared" si="5"/>
        <v>1.5393518551718444E-3</v>
      </c>
      <c r="AC54" s="276">
        <v>43352.604861111111</v>
      </c>
      <c r="AD54" s="275" t="str">
        <f t="shared" ref="AD54:AD62" si="6">HYPERLINK("https://captureandgo.cloudlab.zhaw.ch/images/"&amp;S54)</f>
        <v>https://captureandgo.cloudlab.zhaw.ch/images/images-1662814793393-787438451.jpg</v>
      </c>
    </row>
    <row r="55" spans="1:30" x14ac:dyDescent="0.2">
      <c r="A55" s="2" t="s">
        <v>11566</v>
      </c>
      <c r="B55" s="2">
        <v>125</v>
      </c>
      <c r="C55" s="2" t="s">
        <v>11842</v>
      </c>
      <c r="D55" s="2" t="s">
        <v>11536</v>
      </c>
      <c r="E55" s="2" t="s">
        <v>37</v>
      </c>
      <c r="F55" s="2" t="s">
        <v>35</v>
      </c>
      <c r="G55" s="2" t="s">
        <v>35</v>
      </c>
      <c r="H55" s="2" t="s">
        <v>35</v>
      </c>
      <c r="I55" s="279" t="s">
        <v>35</v>
      </c>
      <c r="J55" s="279" t="s">
        <v>35</v>
      </c>
      <c r="K55" s="2">
        <v>4</v>
      </c>
      <c r="L55" s="279"/>
      <c r="M55" s="2" t="s">
        <v>35</v>
      </c>
      <c r="N55" s="2" t="s">
        <v>35</v>
      </c>
      <c r="O55" s="2"/>
      <c r="P55" s="3"/>
      <c r="Q55" s="2" t="s">
        <v>11535</v>
      </c>
      <c r="R55" s="2" t="s">
        <v>31</v>
      </c>
      <c r="S55" s="2" t="s">
        <v>11565</v>
      </c>
      <c r="T55" s="2" t="s">
        <v>11564</v>
      </c>
      <c r="U55" s="2" t="s">
        <v>11532</v>
      </c>
      <c r="V55" s="2">
        <v>46745</v>
      </c>
      <c r="W55" s="2" t="s">
        <v>11563</v>
      </c>
      <c r="X55" s="11">
        <v>43352.627430555556</v>
      </c>
      <c r="Y55" s="11">
        <v>43352.627546296295</v>
      </c>
      <c r="Z55" s="278">
        <v>0</v>
      </c>
      <c r="AA55" s="277">
        <f t="shared" si="4"/>
        <v>1.1574073869269341E-4</v>
      </c>
      <c r="AB55" s="277">
        <f t="shared" si="5"/>
        <v>2.3495370332966559E-3</v>
      </c>
      <c r="AC55" s="276">
        <v>43352.604861111111</v>
      </c>
      <c r="AD55" s="275" t="str">
        <f t="shared" si="6"/>
        <v>https://captureandgo.cloudlab.zhaw.ch/images/images-1662815016948-854947365.jpg</v>
      </c>
    </row>
    <row r="56" spans="1:30" x14ac:dyDescent="0.2">
      <c r="A56" s="2" t="s">
        <v>11562</v>
      </c>
      <c r="B56" s="2">
        <v>126</v>
      </c>
      <c r="C56" s="2" t="s">
        <v>11843</v>
      </c>
      <c r="D56" s="2" t="s">
        <v>11536</v>
      </c>
      <c r="E56" s="2" t="s">
        <v>37</v>
      </c>
      <c r="F56" s="2" t="s">
        <v>35</v>
      </c>
      <c r="G56" s="2" t="s">
        <v>35</v>
      </c>
      <c r="H56" s="2" t="s">
        <v>35</v>
      </c>
      <c r="I56" s="279" t="s">
        <v>35</v>
      </c>
      <c r="J56" s="279" t="s">
        <v>35</v>
      </c>
      <c r="K56" s="2">
        <v>4</v>
      </c>
      <c r="L56" s="279"/>
      <c r="M56" s="2" t="s">
        <v>35</v>
      </c>
      <c r="N56" s="2" t="s">
        <v>35</v>
      </c>
      <c r="O56" s="2"/>
      <c r="P56" s="3"/>
      <c r="Q56" s="2" t="s">
        <v>11535</v>
      </c>
      <c r="R56" s="2" t="s">
        <v>31</v>
      </c>
      <c r="S56" s="2" t="s">
        <v>11561</v>
      </c>
      <c r="T56" s="2" t="s">
        <v>11560</v>
      </c>
      <c r="U56" s="2" t="s">
        <v>11532</v>
      </c>
      <c r="V56" s="2">
        <v>48457</v>
      </c>
      <c r="W56" s="2" t="s">
        <v>11559</v>
      </c>
      <c r="X56" s="11">
        <v>43352.628622685188</v>
      </c>
      <c r="Y56" s="11">
        <v>43352.628935185188</v>
      </c>
      <c r="Z56" s="278">
        <v>0</v>
      </c>
      <c r="AA56" s="277">
        <f t="shared" si="4"/>
        <v>3.125000002910383E-4</v>
      </c>
      <c r="AB56" s="277">
        <f t="shared" si="5"/>
        <v>1.3888888934161514E-3</v>
      </c>
      <c r="AC56" s="276">
        <v>43352.604861111111</v>
      </c>
      <c r="AD56" s="275" t="str">
        <f t="shared" si="6"/>
        <v>https://captureandgo.cloudlab.zhaw.ch/images/images-1662815120493-794800501.jpg</v>
      </c>
    </row>
    <row r="57" spans="1:30" x14ac:dyDescent="0.2">
      <c r="A57" s="2" t="s">
        <v>11558</v>
      </c>
      <c r="B57" s="2">
        <v>127</v>
      </c>
      <c r="C57" s="2" t="s">
        <v>11844</v>
      </c>
      <c r="D57" s="2" t="s">
        <v>11536</v>
      </c>
      <c r="E57" s="2" t="s">
        <v>37</v>
      </c>
      <c r="F57" s="2" t="s">
        <v>35</v>
      </c>
      <c r="G57" s="2" t="s">
        <v>35</v>
      </c>
      <c r="H57" s="2" t="s">
        <v>35</v>
      </c>
      <c r="I57" s="279" t="s">
        <v>35</v>
      </c>
      <c r="J57" s="279" t="s">
        <v>35</v>
      </c>
      <c r="K57" s="2">
        <v>2</v>
      </c>
      <c r="L57" s="279"/>
      <c r="M57" s="2" t="s">
        <v>35</v>
      </c>
      <c r="N57" s="2" t="s">
        <v>35</v>
      </c>
      <c r="O57" s="2"/>
      <c r="P57" s="3"/>
      <c r="Q57" s="2" t="s">
        <v>11535</v>
      </c>
      <c r="R57" s="2" t="s">
        <v>31</v>
      </c>
      <c r="S57" s="2" t="s">
        <v>11557</v>
      </c>
      <c r="T57" s="2" t="s">
        <v>11556</v>
      </c>
      <c r="U57" s="2" t="s">
        <v>11532</v>
      </c>
      <c r="V57" s="2">
        <v>52213</v>
      </c>
      <c r="W57" s="2" t="s">
        <v>11555</v>
      </c>
      <c r="X57" s="11">
        <v>43352.629699074074</v>
      </c>
      <c r="Y57" s="11">
        <v>43352.629814814813</v>
      </c>
      <c r="Z57" s="278">
        <v>0</v>
      </c>
      <c r="AA57" s="277">
        <f t="shared" si="4"/>
        <v>1.1574073869269341E-4</v>
      </c>
      <c r="AB57" s="277">
        <f t="shared" si="5"/>
        <v>8.7962962425081059E-4</v>
      </c>
      <c r="AC57" s="276">
        <v>43352.604861111111</v>
      </c>
      <c r="AD57" s="275" t="str">
        <f t="shared" si="6"/>
        <v>https://captureandgo.cloudlab.zhaw.ch/images/images-1662815212179-502599426.jpg</v>
      </c>
    </row>
    <row r="58" spans="1:30" x14ac:dyDescent="0.2">
      <c r="A58" s="2" t="s">
        <v>11554</v>
      </c>
      <c r="B58" s="2">
        <v>128</v>
      </c>
      <c r="C58" s="2" t="s">
        <v>11845</v>
      </c>
      <c r="D58" s="2" t="s">
        <v>11536</v>
      </c>
      <c r="E58" s="2" t="s">
        <v>37</v>
      </c>
      <c r="F58" s="2" t="s">
        <v>35</v>
      </c>
      <c r="G58" s="2" t="s">
        <v>35</v>
      </c>
      <c r="H58" s="2" t="s">
        <v>35</v>
      </c>
      <c r="I58" s="279" t="s">
        <v>35</v>
      </c>
      <c r="J58" s="279" t="s">
        <v>35</v>
      </c>
      <c r="K58" s="2">
        <v>3</v>
      </c>
      <c r="L58" s="279"/>
      <c r="M58" s="2" t="s">
        <v>35</v>
      </c>
      <c r="N58" s="2" t="s">
        <v>35</v>
      </c>
      <c r="O58" s="2"/>
      <c r="P58" s="3"/>
      <c r="Q58" s="2" t="s">
        <v>11535</v>
      </c>
      <c r="R58" s="2" t="s">
        <v>31</v>
      </c>
      <c r="S58" s="2" t="s">
        <v>11553</v>
      </c>
      <c r="T58" s="2" t="s">
        <v>11552</v>
      </c>
      <c r="U58" s="2" t="s">
        <v>11532</v>
      </c>
      <c r="V58" s="2">
        <v>45711</v>
      </c>
      <c r="W58" s="2" t="s">
        <v>11551</v>
      </c>
      <c r="X58" s="11">
        <v>43352.630300925928</v>
      </c>
      <c r="Y58" s="11">
        <v>43352.63040509259</v>
      </c>
      <c r="Z58" s="278">
        <v>0</v>
      </c>
      <c r="AA58" s="277">
        <f t="shared" si="4"/>
        <v>1.0416666191304103E-4</v>
      </c>
      <c r="AB58" s="277">
        <f t="shared" si="5"/>
        <v>5.9027777751907706E-4</v>
      </c>
      <c r="AC58" s="276">
        <v>43352.604861111111</v>
      </c>
      <c r="AD58" s="275" t="str">
        <f t="shared" si="6"/>
        <v>https://captureandgo.cloudlab.zhaw.ch/images/images-1662815263197-424902100.jpg</v>
      </c>
    </row>
    <row r="59" spans="1:30" x14ac:dyDescent="0.2">
      <c r="A59" s="2" t="s">
        <v>11550</v>
      </c>
      <c r="B59" s="2">
        <v>129</v>
      </c>
      <c r="C59" s="2" t="s">
        <v>11846</v>
      </c>
      <c r="D59" s="2" t="s">
        <v>11536</v>
      </c>
      <c r="E59" s="2" t="s">
        <v>266</v>
      </c>
      <c r="F59" s="2" t="s">
        <v>35</v>
      </c>
      <c r="G59" s="2">
        <v>11</v>
      </c>
      <c r="H59" s="2" t="s">
        <v>11549</v>
      </c>
      <c r="I59" s="279" t="s">
        <v>35</v>
      </c>
      <c r="J59" s="279" t="s">
        <v>35</v>
      </c>
      <c r="K59" s="279"/>
      <c r="L59" s="279"/>
      <c r="M59" s="2" t="s">
        <v>35</v>
      </c>
      <c r="N59" s="2" t="s">
        <v>35</v>
      </c>
      <c r="O59" s="2"/>
      <c r="P59" s="3"/>
      <c r="Q59" s="2" t="s">
        <v>11535</v>
      </c>
      <c r="R59" s="2" t="s">
        <v>31</v>
      </c>
      <c r="S59" s="2" t="s">
        <v>11548</v>
      </c>
      <c r="T59" s="2" t="s">
        <v>11547</v>
      </c>
      <c r="U59" s="2" t="s">
        <v>11532</v>
      </c>
      <c r="V59" s="2">
        <v>72086</v>
      </c>
      <c r="W59" s="2" t="s">
        <v>11546</v>
      </c>
      <c r="X59" s="11">
        <v>43352.630844907406</v>
      </c>
      <c r="Y59" s="11">
        <v>43352.63113425926</v>
      </c>
      <c r="Z59" s="278">
        <v>0</v>
      </c>
      <c r="AA59" s="277">
        <f t="shared" si="4"/>
        <v>2.8935185400769114E-4</v>
      </c>
      <c r="AB59" s="277">
        <f t="shared" si="5"/>
        <v>7.2916666977107525E-4</v>
      </c>
      <c r="AC59" s="276">
        <v>43352.604861111111</v>
      </c>
      <c r="AD59" s="275" t="str">
        <f t="shared" si="6"/>
        <v>https://captureandgo.cloudlab.zhaw.ch/images/images-1662815321181-694016023.jpg</v>
      </c>
    </row>
    <row r="60" spans="1:30" x14ac:dyDescent="0.2">
      <c r="A60" s="2" t="s">
        <v>11545</v>
      </c>
      <c r="B60" s="2">
        <v>130</v>
      </c>
      <c r="C60" s="2" t="s">
        <v>11847</v>
      </c>
      <c r="D60" s="2" t="s">
        <v>11536</v>
      </c>
      <c r="E60" s="2" t="s">
        <v>37</v>
      </c>
      <c r="F60" s="2" t="s">
        <v>35</v>
      </c>
      <c r="G60" s="2" t="s">
        <v>35</v>
      </c>
      <c r="H60" s="2" t="s">
        <v>35</v>
      </c>
      <c r="I60" s="279" t="s">
        <v>35</v>
      </c>
      <c r="J60" s="279" t="s">
        <v>35</v>
      </c>
      <c r="K60" s="279"/>
      <c r="L60" s="279"/>
      <c r="M60" s="2" t="s">
        <v>35</v>
      </c>
      <c r="N60" s="2" t="s">
        <v>3516</v>
      </c>
      <c r="O60" s="2"/>
      <c r="P60" s="3"/>
      <c r="Q60" s="2" t="s">
        <v>11535</v>
      </c>
      <c r="R60" s="2" t="s">
        <v>31</v>
      </c>
      <c r="S60" s="2" t="s">
        <v>11544</v>
      </c>
      <c r="T60" s="2" t="s">
        <v>11543</v>
      </c>
      <c r="U60" s="2" t="s">
        <v>11532</v>
      </c>
      <c r="V60" s="2">
        <v>70535</v>
      </c>
      <c r="W60" s="2" t="s">
        <v>11542</v>
      </c>
      <c r="X60" s="11">
        <v>43352.631203703706</v>
      </c>
      <c r="Y60" s="11">
        <v>43352.631435185183</v>
      </c>
      <c r="Z60" s="278">
        <v>0</v>
      </c>
      <c r="AA60" s="277">
        <f t="shared" si="4"/>
        <v>2.3148147738538682E-4</v>
      </c>
      <c r="AB60" s="277">
        <f t="shared" si="5"/>
        <v>3.0092592351138592E-4</v>
      </c>
      <c r="AC60" s="276">
        <v>43352.604861111111</v>
      </c>
      <c r="AD60" s="275" t="str">
        <f t="shared" si="6"/>
        <v>https://captureandgo.cloudlab.zhaw.ch/images/images-1662815344832-997259990.jpg</v>
      </c>
    </row>
    <row r="61" spans="1:30" x14ac:dyDescent="0.2">
      <c r="A61" s="2" t="s">
        <v>11541</v>
      </c>
      <c r="B61" s="2">
        <v>131</v>
      </c>
      <c r="C61" s="2" t="s">
        <v>11848</v>
      </c>
      <c r="D61" s="2" t="s">
        <v>11536</v>
      </c>
      <c r="E61" s="2" t="s">
        <v>37</v>
      </c>
      <c r="F61" s="2" t="s">
        <v>35</v>
      </c>
      <c r="G61" s="2" t="s">
        <v>35</v>
      </c>
      <c r="H61" s="2" t="s">
        <v>35</v>
      </c>
      <c r="I61" s="279" t="s">
        <v>35</v>
      </c>
      <c r="J61" s="279" t="s">
        <v>35</v>
      </c>
      <c r="K61" s="2">
        <v>4</v>
      </c>
      <c r="L61" s="279"/>
      <c r="M61" s="2" t="s">
        <v>35</v>
      </c>
      <c r="N61" s="2" t="s">
        <v>35</v>
      </c>
      <c r="O61" s="2"/>
      <c r="P61" s="3"/>
      <c r="Q61" s="2" t="s">
        <v>11535</v>
      </c>
      <c r="R61" s="2" t="s">
        <v>31</v>
      </c>
      <c r="S61" s="2" t="s">
        <v>11540</v>
      </c>
      <c r="T61" s="2" t="s">
        <v>11539</v>
      </c>
      <c r="U61" s="2" t="s">
        <v>11532</v>
      </c>
      <c r="V61" s="2">
        <v>51185</v>
      </c>
      <c r="W61" s="2" t="s">
        <v>11538</v>
      </c>
      <c r="X61" s="11">
        <v>43352.6325</v>
      </c>
      <c r="Y61" s="11">
        <v>43352.632615740738</v>
      </c>
      <c r="Z61" s="278">
        <v>0</v>
      </c>
      <c r="AA61" s="277">
        <f t="shared" si="4"/>
        <v>1.1574073869269341E-4</v>
      </c>
      <c r="AB61" s="277">
        <f t="shared" si="5"/>
        <v>1.1805555550381541E-3</v>
      </c>
      <c r="AC61" s="276">
        <v>43352.604861111111</v>
      </c>
      <c r="AD61" s="275" t="str">
        <f t="shared" si="6"/>
        <v>https://captureandgo.cloudlab.zhaw.ch/images/images-1662815453948-923310117.jpg</v>
      </c>
    </row>
    <row r="62" spans="1:30" x14ac:dyDescent="0.2">
      <c r="A62" s="2" t="s">
        <v>11537</v>
      </c>
      <c r="B62" s="2">
        <v>132</v>
      </c>
      <c r="C62" s="2" t="s">
        <v>11849</v>
      </c>
      <c r="D62" s="2" t="s">
        <v>11536</v>
      </c>
      <c r="E62" s="2" t="s">
        <v>37</v>
      </c>
      <c r="F62" s="2" t="s">
        <v>35</v>
      </c>
      <c r="G62" s="2" t="s">
        <v>35</v>
      </c>
      <c r="H62" s="2" t="s">
        <v>35</v>
      </c>
      <c r="I62" s="279" t="s">
        <v>35</v>
      </c>
      <c r="J62" s="279" t="s">
        <v>35</v>
      </c>
      <c r="K62" s="2">
        <v>2</v>
      </c>
      <c r="L62" s="279"/>
      <c r="M62" s="2" t="s">
        <v>35</v>
      </c>
      <c r="N62" s="2" t="s">
        <v>35</v>
      </c>
      <c r="O62" s="2"/>
      <c r="P62" s="3"/>
      <c r="Q62" s="2" t="s">
        <v>11535</v>
      </c>
      <c r="R62" s="2" t="s">
        <v>31</v>
      </c>
      <c r="S62" s="2" t="s">
        <v>11534</v>
      </c>
      <c r="T62" s="2" t="s">
        <v>11533</v>
      </c>
      <c r="U62" s="2" t="s">
        <v>11532</v>
      </c>
      <c r="V62" s="2">
        <v>48079</v>
      </c>
      <c r="W62" s="2" t="s">
        <v>11531</v>
      </c>
      <c r="X62" s="11">
        <v>43352.633321759262</v>
      </c>
      <c r="Y62" s="11">
        <v>43352.63349537037</v>
      </c>
      <c r="Z62" s="278">
        <v>0</v>
      </c>
      <c r="AA62" s="277">
        <f t="shared" si="4"/>
        <v>1.7361110803904012E-4</v>
      </c>
      <c r="AB62" s="277">
        <f t="shared" si="5"/>
        <v>8.7962963152676821E-4</v>
      </c>
      <c r="AC62" s="276">
        <v>43352.604861111111</v>
      </c>
      <c r="AD62" s="275" t="str">
        <f t="shared" si="6"/>
        <v>https://captureandgo.cloudlab.zhaw.ch/images/images-1662815530303-572237075.jpg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952DA-BC70-5E4E-A19A-EDC0A1B9F9E0}">
  <dimension ref="A1:EV70"/>
  <sheetViews>
    <sheetView tabSelected="1" topLeftCell="A27" zoomScale="140" zoomScaleNormal="140" workbookViewId="0">
      <selection activeCell="I43" sqref="I43"/>
    </sheetView>
  </sheetViews>
  <sheetFormatPr baseColWidth="10" defaultRowHeight="15" x14ac:dyDescent="0.2"/>
  <cols>
    <col min="1" max="1" width="26.1640625" bestFit="1" customWidth="1"/>
    <col min="2" max="2" width="11.1640625" customWidth="1"/>
    <col min="3" max="3" width="12.1640625" customWidth="1"/>
    <col min="4" max="4" width="12.83203125" customWidth="1"/>
    <col min="5" max="5" width="12.33203125" customWidth="1"/>
    <col min="6" max="6" width="17.83203125" customWidth="1"/>
    <col min="7" max="7" width="12.6640625" bestFit="1" customWidth="1"/>
    <col min="8" max="8" width="11.6640625" customWidth="1"/>
    <col min="9" max="9" width="10.5" customWidth="1"/>
    <col min="10" max="10" width="11.6640625" bestFit="1" customWidth="1"/>
    <col min="11" max="11" width="11" customWidth="1"/>
    <col min="12" max="12" width="10.5" customWidth="1"/>
    <col min="13" max="13" width="11.1640625" bestFit="1" customWidth="1"/>
    <col min="14" max="14" width="8.1640625" bestFit="1" customWidth="1"/>
    <col min="15" max="15" width="7.83203125" bestFit="1" customWidth="1"/>
    <col min="16" max="16" width="11.1640625" bestFit="1" customWidth="1"/>
    <col min="17" max="17" width="8" bestFit="1" customWidth="1"/>
    <col min="18" max="18" width="12.83203125" bestFit="1" customWidth="1"/>
    <col min="19" max="19" width="3.5" bestFit="1" customWidth="1"/>
    <col min="20" max="20" width="4.1640625" style="298" bestFit="1" customWidth="1"/>
    <col min="21" max="29" width="2.1640625" style="298" bestFit="1" customWidth="1"/>
    <col min="30" max="119" width="3.1640625" style="298" bestFit="1" customWidth="1"/>
    <col min="120" max="152" width="4.1640625" style="298" bestFit="1" customWidth="1"/>
  </cols>
  <sheetData>
    <row r="1" spans="1:17" s="6" customFormat="1" x14ac:dyDescent="0.2">
      <c r="A1" s="295"/>
      <c r="B1" s="548" t="s">
        <v>9427</v>
      </c>
      <c r="C1" s="548"/>
      <c r="D1" s="548"/>
      <c r="E1" s="549" t="s">
        <v>11786</v>
      </c>
      <c r="F1" s="549"/>
      <c r="G1" s="549"/>
      <c r="H1" s="548" t="s">
        <v>9429</v>
      </c>
      <c r="I1" s="548"/>
      <c r="J1" s="548"/>
      <c r="K1" s="550" t="s">
        <v>9428</v>
      </c>
      <c r="L1" s="550"/>
      <c r="M1" s="550"/>
      <c r="N1" s="551" t="s">
        <v>11787</v>
      </c>
      <c r="O1" s="551"/>
      <c r="P1" s="551"/>
      <c r="Q1" s="522" t="s">
        <v>3757</v>
      </c>
    </row>
    <row r="2" spans="1:17" s="6" customFormat="1" x14ac:dyDescent="0.2">
      <c r="A2" s="296" t="s">
        <v>3761</v>
      </c>
      <c r="B2" s="297" t="s">
        <v>3762</v>
      </c>
      <c r="C2" s="297" t="s">
        <v>11788</v>
      </c>
      <c r="D2" s="297" t="s">
        <v>11789</v>
      </c>
      <c r="E2" s="296" t="s">
        <v>3762</v>
      </c>
      <c r="F2" s="296" t="s">
        <v>11788</v>
      </c>
      <c r="G2" s="296" t="s">
        <v>11789</v>
      </c>
      <c r="H2" s="297" t="s">
        <v>3762</v>
      </c>
      <c r="I2" s="297" t="s">
        <v>11788</v>
      </c>
      <c r="J2" s="297" t="s">
        <v>11789</v>
      </c>
      <c r="K2" s="296" t="s">
        <v>3762</v>
      </c>
      <c r="L2" s="296" t="s">
        <v>11788</v>
      </c>
      <c r="M2" s="296" t="s">
        <v>11789</v>
      </c>
      <c r="N2" s="297" t="s">
        <v>3762</v>
      </c>
      <c r="O2" s="297" t="s">
        <v>11788</v>
      </c>
      <c r="P2" s="297" t="s">
        <v>11789</v>
      </c>
      <c r="Q2" s="295" t="s">
        <v>11788</v>
      </c>
    </row>
    <row r="3" spans="1:17" x14ac:dyDescent="0.2">
      <c r="A3" s="296" t="s">
        <v>2381</v>
      </c>
      <c r="B3" s="288">
        <f>SUMIFS(remote!X2:X27,remote!E2:E27, "gate")</f>
        <v>0</v>
      </c>
      <c r="C3" s="497">
        <f>COUNTIFS(remote!E2:E27, "gate", remote!Y2:Y27, "&lt;&gt;x")</f>
        <v>0</v>
      </c>
      <c r="D3" s="288" t="str">
        <f t="shared" ref="D3:D12" si="0">IF(C3&lt;&gt;0, B3/C3, "-")</f>
        <v>-</v>
      </c>
      <c r="E3" s="289">
        <f>SUMIFS(remote!X28,remote!E28, "gate")</f>
        <v>0</v>
      </c>
      <c r="F3" s="286">
        <f>COUNTIFS(remote!E28, "gate")</f>
        <v>0</v>
      </c>
      <c r="G3" s="289" t="str">
        <f t="shared" ref="G3:G12" si="1">IF(F3&lt;&gt;0, E3/F3, "-")</f>
        <v>-</v>
      </c>
      <c r="H3" s="288">
        <f>SUMIFS(remote!X29:X42,remote!E29:E42, "gate")</f>
        <v>0</v>
      </c>
      <c r="I3" s="287">
        <f>COUNTIFS(remote!E29:E42, "gate", remote!Y29:Y42, "&lt;&gt;x")</f>
        <v>0</v>
      </c>
      <c r="J3" s="288" t="str">
        <f t="shared" ref="J3:J12" si="2">IF(I3&lt;&gt;0, H3/I3, "-")</f>
        <v>-</v>
      </c>
      <c r="K3" s="289">
        <f>SUMIFS(remote!X43:X73,remote!E43:E73, "gate")</f>
        <v>0</v>
      </c>
      <c r="L3" s="497">
        <f>COUNTIFS(remote!E43:E73, "gate", remote!Y43:Y73, "&lt;&gt;x")</f>
        <v>0</v>
      </c>
      <c r="M3" s="289" t="str">
        <f t="shared" ref="M3:M12" si="3">IF(L3&lt;&gt;0, K3/L3, "-")</f>
        <v>-</v>
      </c>
      <c r="N3" s="288">
        <f>SUMIFS('on-site'!AA2:AA62,'on-site'!E2:E62, "gate")</f>
        <v>3.819444464170374E-4</v>
      </c>
      <c r="O3" s="497">
        <f>COUNTIFS('on-site'!E2:E62, "gate")</f>
        <v>1</v>
      </c>
      <c r="P3" s="288">
        <f t="shared" ref="P3:P12" si="4">IF(O3&lt;&gt;0, N3/O3, "-")</f>
        <v>3.819444464170374E-4</v>
      </c>
      <c r="Q3" s="2">
        <f>SUM(C3,F3,I3,L3,O3)</f>
        <v>1</v>
      </c>
    </row>
    <row r="4" spans="1:17" x14ac:dyDescent="0.2">
      <c r="A4" s="296" t="s">
        <v>101</v>
      </c>
      <c r="B4" s="288">
        <f>SUMIFS(remote!X2:X27,remote!E2:E27, "bollard")</f>
        <v>0</v>
      </c>
      <c r="C4" s="287">
        <f>COUNTIFS(remote!E2:E27, "bollard", remote!Y2:Y27, "&lt;&gt;x")</f>
        <v>0</v>
      </c>
      <c r="D4" s="288" t="str">
        <f t="shared" si="0"/>
        <v>-</v>
      </c>
      <c r="E4" s="289">
        <f>SUMIFS(remote!X28,remote!E28, "bollard")</f>
        <v>0</v>
      </c>
      <c r="F4" s="286">
        <f>COUNTIFS(remote!E28, "bollard")</f>
        <v>0</v>
      </c>
      <c r="G4" s="289" t="str">
        <f t="shared" si="1"/>
        <v>-</v>
      </c>
      <c r="H4" s="288">
        <f>SUMIFS(remote!X29:X42,remote!E29:E42, "bollard")</f>
        <v>0</v>
      </c>
      <c r="I4" s="287">
        <f>COUNTIFS(remote!E29:E42, "bollard", remote!Y29:Y42, "&lt;&gt;x")</f>
        <v>0</v>
      </c>
      <c r="J4" s="288" t="str">
        <f t="shared" si="2"/>
        <v>-</v>
      </c>
      <c r="K4" s="289">
        <f>SUMIFS(remote!X43:X73,remote!E43:E73, "bollard")</f>
        <v>0</v>
      </c>
      <c r="L4" s="497">
        <f>COUNTIFS(remote!E43:E73, "bollard", remote!Y43:Y73, "&lt;&gt;x")</f>
        <v>0</v>
      </c>
      <c r="M4" s="289" t="str">
        <f t="shared" si="3"/>
        <v>-</v>
      </c>
      <c r="N4" s="288">
        <f>SUMIFS('on-site'!AA2:AA62,'on-site'!E2:E62, "bollard")</f>
        <v>0</v>
      </c>
      <c r="O4" s="497">
        <f>COUNTIFS('on-site'!E2:E62, "bollard")</f>
        <v>0</v>
      </c>
      <c r="P4" s="288" t="str">
        <f t="shared" si="4"/>
        <v>-</v>
      </c>
      <c r="Q4" s="2">
        <f t="shared" ref="Q4:Q14" si="5">SUM(C4,F4,I4,L4,O4)</f>
        <v>0</v>
      </c>
    </row>
    <row r="5" spans="1:17" x14ac:dyDescent="0.2">
      <c r="A5" s="296" t="s">
        <v>266</v>
      </c>
      <c r="B5" s="288">
        <f>SUMIFS(remote!X2:X27,remote!E2:E27, "kerb")</f>
        <v>5.0925925925925921E-4</v>
      </c>
      <c r="C5" s="497">
        <f>COUNTIFS(remote!E2:E27, "kerb", remote!Y2:Y27, "&lt;&gt;x")</f>
        <v>1</v>
      </c>
      <c r="D5" s="288">
        <f t="shared" si="0"/>
        <v>5.0925925925925921E-4</v>
      </c>
      <c r="E5" s="289">
        <f>SUMIFS(remote!X28,remote!E28, "kerb")</f>
        <v>0</v>
      </c>
      <c r="F5" s="286">
        <f>COUNTIFS(remote!E28, "kerb")</f>
        <v>0</v>
      </c>
      <c r="G5" s="289" t="str">
        <f t="shared" si="1"/>
        <v>-</v>
      </c>
      <c r="H5" s="288">
        <f>SUMIFS(remote!X29:X42,remote!E29:E42, "kerb")</f>
        <v>0</v>
      </c>
      <c r="I5" s="287">
        <f>COUNTIFS(remote!E29:E42, "kerb", remote!Y29:Y42, "&lt;&gt;x")</f>
        <v>0</v>
      </c>
      <c r="J5" s="288" t="str">
        <f t="shared" si="2"/>
        <v>-</v>
      </c>
      <c r="K5" s="289">
        <f>SUMIFS(remote!X43:X73,remote!E43:E73, "kerb")</f>
        <v>0</v>
      </c>
      <c r="L5" s="497">
        <f>COUNTIFS(remote!E43:E73, "kerb", remote!Y43:Y73, "&lt;&gt;x")</f>
        <v>0</v>
      </c>
      <c r="M5" s="289" t="str">
        <f t="shared" si="3"/>
        <v>-</v>
      </c>
      <c r="N5" s="288">
        <f>SUMIFS('on-site'!AA2:AA62,'on-site'!E2:E62, "kerb")</f>
        <v>1.3773148093605414E-3</v>
      </c>
      <c r="O5" s="497">
        <f>COUNTIFS('on-site'!E2:E62, "kerb")</f>
        <v>4</v>
      </c>
      <c r="P5" s="288">
        <f t="shared" si="4"/>
        <v>3.4432870234013535E-4</v>
      </c>
      <c r="Q5" s="2">
        <f t="shared" si="5"/>
        <v>5</v>
      </c>
    </row>
    <row r="6" spans="1:17" x14ac:dyDescent="0.2">
      <c r="A6" s="296" t="s">
        <v>55</v>
      </c>
      <c r="B6" s="288">
        <f>SUMIFS(remote!X2:X27,remote!E2:E27, "stair")</f>
        <v>1.3310185185185185E-3</v>
      </c>
      <c r="C6" s="497">
        <f>COUNTIFS(remote!E2:E27, "stair", remote!Y2:Y27, "&lt;&gt;x")</f>
        <v>2</v>
      </c>
      <c r="D6" s="288">
        <f t="shared" si="0"/>
        <v>6.6550925925925924E-4</v>
      </c>
      <c r="E6" s="289">
        <f>SUMIFS(remote!X28,remote!E28, "stair")</f>
        <v>0</v>
      </c>
      <c r="F6" s="286">
        <f>COUNTIFS(remote!E28, "stair")</f>
        <v>0</v>
      </c>
      <c r="G6" s="289" t="str">
        <f t="shared" si="1"/>
        <v>-</v>
      </c>
      <c r="H6" s="288">
        <f>SUMIFS(remote!X29:X42,remote!E29:E42, "stair")</f>
        <v>0</v>
      </c>
      <c r="I6" s="287">
        <f>COUNTIFS(remote!E29:E42, "stair", remote!Y29:Y42, "&lt;&gt;x")</f>
        <v>0</v>
      </c>
      <c r="J6" s="288" t="str">
        <f t="shared" si="2"/>
        <v>-</v>
      </c>
      <c r="K6" s="289">
        <f>SUMIFS(remote!X43:X73,remote!E43:E73, "stair")</f>
        <v>1.9560185185185184E-3</v>
      </c>
      <c r="L6" s="497">
        <f>COUNTIFS(remote!E43:E73, "stair", remote!Y43:Y73, "&lt;&gt;x")</f>
        <v>2</v>
      </c>
      <c r="M6" s="289">
        <f t="shared" si="3"/>
        <v>9.780092592592592E-4</v>
      </c>
      <c r="N6" s="288">
        <f>SUMIFS('on-site'!AA2:AA62,'on-site'!E2:E62, "stair")</f>
        <v>1.3310185240698047E-3</v>
      </c>
      <c r="O6" s="497">
        <f>COUNTIFS('on-site'!E2:E62, "stair")</f>
        <v>2</v>
      </c>
      <c r="P6" s="288">
        <f t="shared" si="4"/>
        <v>6.6550926203490235E-4</v>
      </c>
      <c r="Q6" s="2">
        <f t="shared" si="5"/>
        <v>6</v>
      </c>
    </row>
    <row r="7" spans="1:17" x14ac:dyDescent="0.2">
      <c r="A7" s="296" t="s">
        <v>417</v>
      </c>
      <c r="B7" s="288">
        <f>SUMIFS(remote!X2:X27,remote!E2:E27, "other")</f>
        <v>1.9675925925925926E-4</v>
      </c>
      <c r="C7" s="497">
        <f>COUNTIFS(remote!E2:E27, "other", remote!Y2:Y27, "&lt;&gt;x")</f>
        <v>1</v>
      </c>
      <c r="D7" s="288">
        <f t="shared" si="0"/>
        <v>1.9675925925925926E-4</v>
      </c>
      <c r="E7" s="289">
        <f>SUMIFS(remote!X28,remote!E28, "other")</f>
        <v>0</v>
      </c>
      <c r="F7" s="497">
        <f>COUNTIFS(remote!E28, "other")</f>
        <v>0</v>
      </c>
      <c r="G7" s="289" t="str">
        <f t="shared" si="1"/>
        <v>-</v>
      </c>
      <c r="H7" s="288">
        <f>SUMIFS(remote!X29:X42,remote!E29:E42, "other")</f>
        <v>0</v>
      </c>
      <c r="I7" s="287">
        <f>COUNTIFS(remote!E29:E42, "other", remote!Y29:Y42, "&lt;&gt;x")</f>
        <v>0</v>
      </c>
      <c r="J7" s="288" t="str">
        <f t="shared" si="2"/>
        <v>-</v>
      </c>
      <c r="K7" s="289">
        <f>SUMIFS(remote!X43:X73,remote!E43:E73, "other")</f>
        <v>2.488425925925926E-3</v>
      </c>
      <c r="L7" s="497">
        <f>COUNTIFS(remote!E43:E73, "other", remote!Y43:Y73, "&lt;&gt;x")</f>
        <v>4</v>
      </c>
      <c r="M7" s="289">
        <f t="shared" si="3"/>
        <v>6.2210648148148151E-4</v>
      </c>
      <c r="N7" s="288">
        <f>SUMIFS('on-site'!AA2:AA62,'on-site'!E2:E62, "other")</f>
        <v>7.1759259299142286E-4</v>
      </c>
      <c r="O7" s="497">
        <f>COUNTIFS('on-site'!E2:E62, "other")</f>
        <v>2</v>
      </c>
      <c r="P7" s="288">
        <f t="shared" si="4"/>
        <v>3.5879629649571143E-4</v>
      </c>
      <c r="Q7" s="2">
        <f t="shared" si="5"/>
        <v>7</v>
      </c>
    </row>
    <row r="8" spans="1:17" x14ac:dyDescent="0.2">
      <c r="A8" s="296" t="s">
        <v>2006</v>
      </c>
      <c r="B8" s="288">
        <f>SUMIFS(remote!X2:X27,remote!E2:E27, "cycle_barrier")</f>
        <v>0</v>
      </c>
      <c r="C8" s="497">
        <f>COUNTIFS(remote!E2:E27, "cycle_barrier", remote!Y2:Y27, "&lt;&gt;x")</f>
        <v>0</v>
      </c>
      <c r="D8" s="288" t="str">
        <f t="shared" si="0"/>
        <v>-</v>
      </c>
      <c r="E8" s="289">
        <f>SUMIFS(remote!X28,remote!E28, "cycle_barrier")</f>
        <v>0</v>
      </c>
      <c r="F8" s="286">
        <f>COUNTIFS(remote!E28, "cycle_barrier")</f>
        <v>0</v>
      </c>
      <c r="G8" s="289" t="str">
        <f t="shared" si="1"/>
        <v>-</v>
      </c>
      <c r="H8" s="288">
        <f>SUMIFS(remote!X29:X42,remote!E29:E42, "cycle_barrier")</f>
        <v>0</v>
      </c>
      <c r="I8" s="287">
        <f>COUNTIFS(remote!E29:E42, "cycle_barrier", remote!Y29:Y42, "&lt;&gt;x")</f>
        <v>0</v>
      </c>
      <c r="J8" s="288" t="str">
        <f t="shared" si="2"/>
        <v>-</v>
      </c>
      <c r="K8" s="289">
        <f>SUMIFS(remote!X43:X73,remote!E43:E73, "cycle_barrier")</f>
        <v>0</v>
      </c>
      <c r="L8" s="497">
        <f>COUNTIFS(remote!E43:E73, "cycle_barrier", remote!Y43:Y73, "&lt;&gt;x")</f>
        <v>0</v>
      </c>
      <c r="M8" s="289" t="str">
        <f t="shared" si="3"/>
        <v>-</v>
      </c>
      <c r="N8" s="288">
        <f>SUMIFS('on-site'!AA2:AA62,'on-site'!E2:E62, "cycle_barrier")</f>
        <v>0</v>
      </c>
      <c r="O8" s="497">
        <f>COUNTIFS('on-site'!E2:E62, "cycle_barrier")</f>
        <v>0</v>
      </c>
      <c r="P8" s="288" t="str">
        <f t="shared" si="4"/>
        <v>-</v>
      </c>
      <c r="Q8" s="2">
        <f t="shared" si="5"/>
        <v>0</v>
      </c>
    </row>
    <row r="9" spans="1:17" x14ac:dyDescent="0.2">
      <c r="A9" s="296" t="s">
        <v>110</v>
      </c>
      <c r="B9" s="288">
        <f>SUMIFS(remote!X2:X27,remote!E2:E27, "block")</f>
        <v>2.9629629629629632E-3</v>
      </c>
      <c r="C9" s="497">
        <f>COUNTIFS(remote!E2:E27, "block", remote!Y2:Y27, "&lt;&gt;x")</f>
        <v>8</v>
      </c>
      <c r="D9" s="288">
        <f t="shared" si="0"/>
        <v>3.7037037037037041E-4</v>
      </c>
      <c r="E9" s="289">
        <f>SUMIFS(remote!X28,remote!E28, "blokc")</f>
        <v>0</v>
      </c>
      <c r="F9" s="286">
        <f>COUNTIFS(remote!E28, "block")</f>
        <v>0</v>
      </c>
      <c r="G9" s="289" t="str">
        <f t="shared" si="1"/>
        <v>-</v>
      </c>
      <c r="H9" s="288">
        <f>SUMIFS(remote!X29:X42,remote!E29:E42, "block")</f>
        <v>0</v>
      </c>
      <c r="I9" s="287">
        <f>COUNTIFS(remote!E29:E42, "block", remote!Y29:Y42, "&lt;&gt;x")</f>
        <v>0</v>
      </c>
      <c r="J9" s="288" t="str">
        <f t="shared" si="2"/>
        <v>-</v>
      </c>
      <c r="K9" s="289">
        <f>SUMIFS(remote!X43:X73,remote!E43:E73, "block")</f>
        <v>1.7708333333333332E-3</v>
      </c>
      <c r="L9" s="497">
        <f>COUNTIFS(remote!E43:E73, "block", remote!Y43:Y73, "&lt;&gt;x")</f>
        <v>2</v>
      </c>
      <c r="M9" s="289">
        <f t="shared" si="3"/>
        <v>8.8541666666666662E-4</v>
      </c>
      <c r="N9" s="288">
        <f>SUMIFS('on-site'!AA2:AA62,'on-site'!E2:E62, "block")</f>
        <v>0</v>
      </c>
      <c r="O9" s="497">
        <f>COUNTIFS('on-site'!E2:E62, "block")</f>
        <v>0</v>
      </c>
      <c r="P9" s="288" t="str">
        <f t="shared" si="4"/>
        <v>-</v>
      </c>
      <c r="Q9" s="2">
        <f t="shared" si="5"/>
        <v>10</v>
      </c>
    </row>
    <row r="10" spans="1:17" x14ac:dyDescent="0.2">
      <c r="A10" s="296" t="s">
        <v>3158</v>
      </c>
      <c r="B10" s="288">
        <f>SUMIFS(remote!X2:X27,remote!E2:E27, "planter")</f>
        <v>3.5879629629629635E-4</v>
      </c>
      <c r="C10" s="497">
        <f>COUNTIFS(remote!E2:E27, "planter", remote!Y2:Y27, "&lt;&gt;x")</f>
        <v>1</v>
      </c>
      <c r="D10" s="288">
        <f t="shared" si="0"/>
        <v>3.5879629629629635E-4</v>
      </c>
      <c r="E10" s="289">
        <f>SUMIFS(remote!X28,remote!E28, "planter")</f>
        <v>0</v>
      </c>
      <c r="F10" s="286">
        <f>COUNTIFS(remote!E28, "planter")</f>
        <v>0</v>
      </c>
      <c r="G10" s="289" t="str">
        <f t="shared" si="1"/>
        <v>-</v>
      </c>
      <c r="H10" s="288">
        <f>SUMIFS(remote!X29:X42,remote!E29:E42, "planter")</f>
        <v>2.8356481481481479E-3</v>
      </c>
      <c r="I10" s="497">
        <f>COUNTIFS(remote!E29:E42, "planter", remote!Y29:Y42, "&lt;&gt;x")</f>
        <v>2</v>
      </c>
      <c r="J10" s="288">
        <f t="shared" si="2"/>
        <v>1.417824074074074E-3</v>
      </c>
      <c r="K10" s="289">
        <f>SUMIFS(remote!X43:X73,remote!E43:E73, "planter")</f>
        <v>5.9027777777777768E-4</v>
      </c>
      <c r="L10" s="497">
        <f>COUNTIFS(remote!E43:E73, "planter", remote!Y43:Y73, "&lt;&gt;x")</f>
        <v>1</v>
      </c>
      <c r="M10" s="289">
        <f t="shared" si="3"/>
        <v>5.9027777777777768E-4</v>
      </c>
      <c r="N10" s="288">
        <f>SUMIFS('on-site'!AA2:AA62,'on-site'!E2:E62, "planter")</f>
        <v>0</v>
      </c>
      <c r="O10" s="497">
        <f>COUNTIFS('on-site'!E2:E62, "planter")</f>
        <v>0</v>
      </c>
      <c r="P10" s="288" t="str">
        <f t="shared" si="4"/>
        <v>-</v>
      </c>
      <c r="Q10" s="2">
        <f t="shared" si="5"/>
        <v>4</v>
      </c>
    </row>
    <row r="11" spans="1:17" x14ac:dyDescent="0.2">
      <c r="A11" s="296" t="s">
        <v>37</v>
      </c>
      <c r="B11" s="288">
        <f>SUMIFS(remote!X2:X27,remote!E2:E27, "problematic_way")</f>
        <v>0</v>
      </c>
      <c r="C11" s="497">
        <f>COUNTIFS(remote!E2:E27, "problematic_way", remote!Y2:Y27, "&lt;&gt;x")</f>
        <v>0</v>
      </c>
      <c r="D11" s="288" t="str">
        <f t="shared" si="0"/>
        <v>-</v>
      </c>
      <c r="E11" s="289">
        <f>SUMIFS(remote!X28,remote!E28, "problematic_way")</f>
        <v>0</v>
      </c>
      <c r="F11" s="286">
        <f>COUNTIFS(remote!E28, "problematic_way")</f>
        <v>0</v>
      </c>
      <c r="G11" s="289" t="str">
        <f t="shared" si="1"/>
        <v>-</v>
      </c>
      <c r="H11" s="288">
        <f>SUMIFS(remote!X29:X42,remote!E29:E42, "problematic_way")</f>
        <v>4.1319444444444442E-3</v>
      </c>
      <c r="I11" s="497">
        <f>COUNTIFS(remote!E29:E42, "problematic_way", remote!Y29:Y42, "&lt;&gt;x")</f>
        <v>4</v>
      </c>
      <c r="J11" s="288">
        <f t="shared" si="2"/>
        <v>1.032986111111111E-3</v>
      </c>
      <c r="K11" s="289">
        <f>SUMIFS(remote!X43:X73,remote!E43:E73, "problematic_way")</f>
        <v>5.9837962962962961E-3</v>
      </c>
      <c r="L11" s="497">
        <f>COUNTIFS(remote!E43:E73, "problematic_way", remote!Y43:Y73, "&lt;&gt;x")</f>
        <v>7</v>
      </c>
      <c r="M11" s="289">
        <f t="shared" si="3"/>
        <v>8.548280423280423E-4</v>
      </c>
      <c r="N11" s="288">
        <f>SUMIFS('on-site'!AA2:AA62,'on-site'!E2:E62, "problematic_way")</f>
        <v>6.5393518525524996E-3</v>
      </c>
      <c r="O11" s="497">
        <f>COUNTIFS('on-site'!E2:E62, "problematic_way")</f>
        <v>37</v>
      </c>
      <c r="P11" s="288">
        <f t="shared" si="4"/>
        <v>1.7673923925817567E-4</v>
      </c>
      <c r="Q11" s="2">
        <f t="shared" si="5"/>
        <v>48</v>
      </c>
    </row>
    <row r="12" spans="1:17" x14ac:dyDescent="0.2">
      <c r="A12" s="296" t="s">
        <v>125</v>
      </c>
      <c r="B12" s="288">
        <f>SUMIFS(remote!X2:X27,remote!E2:E27, "cross_drain")</f>
        <v>4.0162037037037041E-3</v>
      </c>
      <c r="C12" s="497">
        <f>COUNTIFS(remote!E2:E27, "cross_drain", remote!Y2:Y27, "&lt;&gt;x")</f>
        <v>13</v>
      </c>
      <c r="D12" s="288">
        <f t="shared" si="0"/>
        <v>3.0893874643874645E-4</v>
      </c>
      <c r="E12" s="289">
        <f>SUMIFS(remote!X28,remote!E28, "cross_drain")</f>
        <v>0</v>
      </c>
      <c r="F12" s="286">
        <f>COUNTIFS(remote!E28, "cross_drain")</f>
        <v>0</v>
      </c>
      <c r="G12" s="289" t="str">
        <f t="shared" si="1"/>
        <v>-</v>
      </c>
      <c r="H12" s="288">
        <f>SUMIFS(remote!X29:X42,remote!E29:E42, "cross_drain")</f>
        <v>0</v>
      </c>
      <c r="I12" s="287">
        <f>COUNTIFS(remote!E29:E42, "cross_drain", remote!Y29:Y42, "&lt;&gt;x")</f>
        <v>0</v>
      </c>
      <c r="J12" s="288" t="str">
        <f t="shared" si="2"/>
        <v>-</v>
      </c>
      <c r="K12" s="289">
        <f>SUMIFS(remote!X43:X73,remote!E43:E73, "cross_drain")</f>
        <v>4.5601851851851853E-3</v>
      </c>
      <c r="L12" s="497">
        <f>COUNTIFS(remote!E43:E73, "cross_drain", remote!Y43:Y73, "&lt;&gt;x")</f>
        <v>11</v>
      </c>
      <c r="M12" s="289">
        <f t="shared" si="3"/>
        <v>4.1456228956228956E-4</v>
      </c>
      <c r="N12" s="288">
        <f>SUMIFS('on-site'!AA2:AA62,'on-site'!E2:E62, "cross_drain")</f>
        <v>2.8472222256823443E-3</v>
      </c>
      <c r="O12" s="497">
        <f>COUNTIFS('on-site'!E2:E62, "cross_drain")</f>
        <v>15</v>
      </c>
      <c r="P12" s="288">
        <f t="shared" si="4"/>
        <v>1.8981481504548963E-4</v>
      </c>
      <c r="Q12" s="2">
        <f t="shared" si="5"/>
        <v>39</v>
      </c>
    </row>
    <row r="13" spans="1:17" x14ac:dyDescent="0.2">
      <c r="A13" s="290"/>
      <c r="B13" s="287"/>
      <c r="C13" s="287"/>
      <c r="D13" s="291" t="s">
        <v>9455</v>
      </c>
      <c r="E13" s="286"/>
      <c r="F13" s="286"/>
      <c r="G13" s="292" t="s">
        <v>9455</v>
      </c>
      <c r="H13" s="287"/>
      <c r="I13" s="287"/>
      <c r="J13" s="291" t="s">
        <v>9455</v>
      </c>
      <c r="K13" s="286"/>
      <c r="L13" s="286"/>
      <c r="M13" s="292" t="s">
        <v>9455</v>
      </c>
      <c r="N13" s="287"/>
      <c r="O13" s="287"/>
      <c r="P13" s="291" t="s">
        <v>9455</v>
      </c>
      <c r="Q13" s="2"/>
    </row>
    <row r="14" spans="1:17" ht="16" x14ac:dyDescent="0.2">
      <c r="A14" s="290" t="s">
        <v>3757</v>
      </c>
      <c r="B14" s="288">
        <f>SUM(B3:B12)</f>
        <v>9.3750000000000014E-3</v>
      </c>
      <c r="C14" s="287">
        <f>SUM(C3:C12)</f>
        <v>26</v>
      </c>
      <c r="D14" s="293">
        <f>IF(C14&lt;&gt;0, B14/C14, "-")</f>
        <v>3.6057692307692315E-4</v>
      </c>
      <c r="E14" s="294">
        <f>SUM(E3:E12)</f>
        <v>0</v>
      </c>
      <c r="F14" s="286">
        <f>SUM(F3:F12)</f>
        <v>0</v>
      </c>
      <c r="G14" s="294" t="str">
        <f>IF(F14&lt;&gt;0, E14/F14, "-")</f>
        <v>-</v>
      </c>
      <c r="H14" s="293">
        <f>SUM(H3:H12)</f>
        <v>6.9675925925925921E-3</v>
      </c>
      <c r="I14" s="287">
        <f>SUM(I3:I12)</f>
        <v>6</v>
      </c>
      <c r="J14" s="293">
        <f>IF(I14&lt;&gt;0, H14/I14, "-")</f>
        <v>1.1612654320987653E-3</v>
      </c>
      <c r="K14" s="294">
        <f>SUM(K3:K12)</f>
        <v>1.7349537037037038E-2</v>
      </c>
      <c r="L14" s="286">
        <f>SUM(L3:L12)</f>
        <v>27</v>
      </c>
      <c r="M14" s="294">
        <f>IF(L14&lt;&gt;0, K14/L14, "-")</f>
        <v>6.4257544581618664E-4</v>
      </c>
      <c r="N14" s="293">
        <f>SUM(N3:N12)</f>
        <v>1.319444445107365E-2</v>
      </c>
      <c r="O14" s="287">
        <f>SUM(O3:O12)</f>
        <v>61</v>
      </c>
      <c r="P14" s="293">
        <f>IF(O14&lt;&gt;0, N14/O14, "-")</f>
        <v>2.163023680503877E-4</v>
      </c>
      <c r="Q14" s="2">
        <f t="shared" si="5"/>
        <v>120</v>
      </c>
    </row>
    <row r="15" spans="1:17" x14ac:dyDescent="0.2">
      <c r="A15" s="286"/>
      <c r="B15" s="287"/>
      <c r="C15" s="287"/>
      <c r="D15" s="291" t="s">
        <v>9456</v>
      </c>
      <c r="E15" s="286"/>
      <c r="F15" s="286"/>
      <c r="G15" s="292" t="s">
        <v>9456</v>
      </c>
      <c r="H15" s="287"/>
      <c r="I15" s="287"/>
      <c r="J15" s="291" t="s">
        <v>9456</v>
      </c>
      <c r="K15" s="286"/>
      <c r="L15" s="286"/>
      <c r="M15" s="292" t="s">
        <v>9456</v>
      </c>
      <c r="N15" s="287"/>
      <c r="O15" s="287"/>
      <c r="P15" s="291" t="s">
        <v>9456</v>
      </c>
      <c r="Q15" s="2"/>
    </row>
    <row r="16" spans="1:17" x14ac:dyDescent="0.2">
      <c r="A16" s="286"/>
      <c r="B16" s="287"/>
      <c r="C16" s="287"/>
      <c r="D16" s="288">
        <f>MEDIAN(D3:D12)</f>
        <v>3.645833333333334E-4</v>
      </c>
      <c r="E16" s="286"/>
      <c r="F16" s="286"/>
      <c r="G16" s="289" t="s">
        <v>9801</v>
      </c>
      <c r="H16" s="287"/>
      <c r="I16" s="287"/>
      <c r="J16" s="288">
        <f>MEDIAN(J3:J12)</f>
        <v>1.2254050925925926E-3</v>
      </c>
      <c r="K16" s="286"/>
      <c r="L16" s="286"/>
      <c r="M16" s="289">
        <f>MEDIAN(M3:M12)</f>
        <v>7.384672619047619E-4</v>
      </c>
      <c r="N16" s="287"/>
      <c r="O16" s="287"/>
      <c r="P16" s="288">
        <f>MEDIAN(P3:P12)</f>
        <v>3.5156249941792339E-4</v>
      </c>
      <c r="Q16" s="2"/>
    </row>
    <row r="20" spans="1:13" ht="96" x14ac:dyDescent="0.2">
      <c r="A20" s="488" t="s">
        <v>11864</v>
      </c>
      <c r="B20" s="489" t="s">
        <v>11922</v>
      </c>
      <c r="C20" s="523" t="s">
        <v>11921</v>
      </c>
      <c r="D20" s="480" t="s">
        <v>11927</v>
      </c>
      <c r="E20" s="480" t="s">
        <v>11924</v>
      </c>
      <c r="F20" s="480" t="s">
        <v>11923</v>
      </c>
      <c r="G20" s="480" t="s">
        <v>11928</v>
      </c>
      <c r="H20" s="481" t="s">
        <v>11929</v>
      </c>
    </row>
    <row r="21" spans="1:13" x14ac:dyDescent="0.2">
      <c r="A21" s="310" t="s">
        <v>9427</v>
      </c>
      <c r="B21" s="329">
        <f>COUNTIFS('barrier matrix'!EG74:EG134, "x")</f>
        <v>17</v>
      </c>
      <c r="C21" s="524">
        <f>B21/O14</f>
        <v>0.27868852459016391</v>
      </c>
      <c r="D21">
        <f>SUM(O3,O5,O6,O7,O8,O9,O10,O11,O12)</f>
        <v>61</v>
      </c>
      <c r="E21" s="487">
        <f>B21/D21</f>
        <v>0.27868852459016391</v>
      </c>
      <c r="F21" s="330">
        <f>C14</f>
        <v>26</v>
      </c>
      <c r="G21" s="483">
        <f>COUNTIFS('barrier matrix'!EJ3:EJ28, "&lt;&gt;x", 'barrier matrix'!EF3:EF28, "&lt;&gt;x")</f>
        <v>11</v>
      </c>
      <c r="H21" s="484">
        <f>G21/F21</f>
        <v>0.42307692307692307</v>
      </c>
      <c r="I21" s="25"/>
      <c r="J21" s="328"/>
      <c r="K21" s="25"/>
      <c r="L21" s="327"/>
    </row>
    <row r="22" spans="1:13" ht="16" x14ac:dyDescent="0.2">
      <c r="A22" s="482" t="s">
        <v>9429</v>
      </c>
      <c r="B22" s="471">
        <f>COUNTIF('barrier matrix'!EH74:EH134, "x")</f>
        <v>14</v>
      </c>
      <c r="C22" s="525">
        <f>B22/O14</f>
        <v>0.22950819672131148</v>
      </c>
      <c r="D22">
        <f>SUM(O10,O11)</f>
        <v>37</v>
      </c>
      <c r="E22" s="487">
        <f t="shared" ref="E22:E23" si="6">B22/D22</f>
        <v>0.3783783783783784</v>
      </c>
      <c r="F22" s="330">
        <f>I14</f>
        <v>6</v>
      </c>
      <c r="G22" s="483">
        <f>COUNTIFS('barrier matrix'!EJ29:EJ42, "&lt;&gt;x", 'barrier matrix'!EF29:EF42, "&lt;&gt;x")</f>
        <v>3</v>
      </c>
      <c r="H22" s="484">
        <f>G22/F22</f>
        <v>0.5</v>
      </c>
      <c r="I22" s="25"/>
      <c r="J22" s="25"/>
      <c r="K22" s="25"/>
      <c r="L22" s="327"/>
    </row>
    <row r="23" spans="1:13" ht="16" x14ac:dyDescent="0.2">
      <c r="A23" s="482" t="s">
        <v>9428</v>
      </c>
      <c r="B23" s="471">
        <f>COUNTIF('barrier matrix'!EI74:EI134, "x")</f>
        <v>19</v>
      </c>
      <c r="C23" s="525">
        <f>B23/O14</f>
        <v>0.31147540983606559</v>
      </c>
      <c r="D23">
        <f>SUM(O3:O12)</f>
        <v>61</v>
      </c>
      <c r="E23" s="487">
        <f t="shared" si="6"/>
        <v>0.31147540983606559</v>
      </c>
      <c r="F23" s="330">
        <f>L14</f>
        <v>27</v>
      </c>
      <c r="G23" s="330">
        <f>COUNTIFS('barrier matrix'!EJ43:EJ73, "&lt;&gt;x", 'barrier matrix'!EF43:EF73, "&lt;&gt;x")</f>
        <v>10</v>
      </c>
      <c r="H23" s="484">
        <f>G23/F23</f>
        <v>0.37037037037037035</v>
      </c>
    </row>
    <row r="24" spans="1:13" x14ac:dyDescent="0.2">
      <c r="A24" s="485" t="s">
        <v>3757</v>
      </c>
      <c r="B24" s="332">
        <f>COUNTIF('barrier matrix'!EE74:EE134, "x")</f>
        <v>33</v>
      </c>
      <c r="C24" s="526">
        <f>B24/O14</f>
        <v>0.54098360655737709</v>
      </c>
      <c r="D24" s="169">
        <f>O14</f>
        <v>61</v>
      </c>
      <c r="E24" s="491">
        <f>B24/D24</f>
        <v>0.54098360655737709</v>
      </c>
      <c r="F24" s="169">
        <f>C14+I14+L14</f>
        <v>59</v>
      </c>
      <c r="G24" s="169">
        <f>COUNTIFS('barrier matrix'!EJ3:EJ73, "&lt;&gt;x", 'barrier matrix'!EF3:EF73, "&lt;&gt;x")</f>
        <v>24</v>
      </c>
      <c r="H24" s="486">
        <f>G24/F24</f>
        <v>0.40677966101694918</v>
      </c>
    </row>
    <row r="25" spans="1:13" x14ac:dyDescent="0.2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3" x14ac:dyDescent="0.2">
      <c r="A26" s="44"/>
      <c r="B26" s="25"/>
      <c r="E26" s="25"/>
      <c r="H26" s="328"/>
      <c r="J26" s="328"/>
      <c r="K26" s="25"/>
    </row>
    <row r="27" spans="1:13" x14ac:dyDescent="0.2">
      <c r="A27" s="6"/>
      <c r="B27" s="25"/>
      <c r="D27" s="25"/>
      <c r="E27" s="25"/>
      <c r="F27" s="25"/>
    </row>
    <row r="28" spans="1:13" ht="48" x14ac:dyDescent="0.2">
      <c r="A28" s="308" t="s">
        <v>11855</v>
      </c>
      <c r="B28" s="479" t="s">
        <v>11905</v>
      </c>
      <c r="C28" s="480" t="s">
        <v>11902</v>
      </c>
      <c r="D28" s="480" t="s">
        <v>11918</v>
      </c>
      <c r="E28" s="481" t="s">
        <v>11863</v>
      </c>
      <c r="F28" s="480" t="s">
        <v>11903</v>
      </c>
      <c r="G28" s="480" t="s">
        <v>11918</v>
      </c>
      <c r="H28" s="481" t="s">
        <v>11861</v>
      </c>
      <c r="I28" s="480" t="s">
        <v>11904</v>
      </c>
      <c r="J28" s="480" t="s">
        <v>11918</v>
      </c>
      <c r="K28" s="481" t="s">
        <v>11862</v>
      </c>
      <c r="L28" s="480" t="s">
        <v>11919</v>
      </c>
      <c r="M28" s="481" t="s">
        <v>11920</v>
      </c>
    </row>
    <row r="29" spans="1:13" x14ac:dyDescent="0.2">
      <c r="A29" s="490" t="s">
        <v>2381</v>
      </c>
      <c r="B29" s="477">
        <f>O3</f>
        <v>1</v>
      </c>
      <c r="C29" s="330">
        <f>COUNTIF('accuracy barriers'!AO3:AO63, "gate")</f>
        <v>0</v>
      </c>
      <c r="D29" s="472">
        <f>IF(AND(B29&lt;&gt;0, C29&lt;&gt;0), C29/B29, IF(B29&lt;&gt;0, 0, "-"))</f>
        <v>0</v>
      </c>
      <c r="E29" s="473">
        <f>IF(D29=0,0,IF(D29="-","-","-"))</f>
        <v>0</v>
      </c>
      <c r="F29" s="330">
        <f>COUNTIF('accuracy barriers'!BR3:BR63, "gate")</f>
        <v>0</v>
      </c>
      <c r="G29" s="472">
        <f>IF(AND(B29&lt;&gt;0, F29&lt;&gt;0), F29/B29, IF(B29&lt;&gt;0, 0, "-"))</f>
        <v>0</v>
      </c>
      <c r="H29" s="473">
        <v>0</v>
      </c>
      <c r="I29" s="329">
        <f>COUNTIF('accuracy barriers'!CS3:CS63, "gate")</f>
        <v>0</v>
      </c>
      <c r="J29" s="472">
        <f>IF(AND(B29&lt;&gt;0, I29&lt;&gt;0), I29/B29, IF(B29&lt;&gt;0, 0, "-"))</f>
        <v>0</v>
      </c>
      <c r="K29" s="473">
        <v>0</v>
      </c>
      <c r="L29" s="330">
        <f>COUNTIFS('accuracy barriers'!C3:C63, "x", 'accuracy barriers'!F3:F63, "gate")</f>
        <v>0</v>
      </c>
      <c r="M29" s="473">
        <f>IF(AND(B29&lt;&gt;0, L29&lt;&gt;0), L29/B29, IF(B29&lt;&gt;0, 0, "-"))</f>
        <v>0</v>
      </c>
    </row>
    <row r="30" spans="1:13" x14ac:dyDescent="0.2">
      <c r="A30" s="441" t="s">
        <v>101</v>
      </c>
      <c r="B30" s="477">
        <f>O4</f>
        <v>0</v>
      </c>
      <c r="C30" s="330">
        <f>COUNTIF('accuracy barriers'!AO3:AO63, "bollard")</f>
        <v>0</v>
      </c>
      <c r="D30" s="472" t="str">
        <f t="shared" ref="D30:D43" si="7">IF(AND(B30&lt;&gt;0, C30&lt;&gt;0), C30/B30, IF(B30&lt;&gt;0, 0, "-"))</f>
        <v>-</v>
      </c>
      <c r="E30" s="473" t="s">
        <v>9801</v>
      </c>
      <c r="F30" s="474">
        <f>COUNTIF('accuracy barriers'!BR3:BR63, "bollard")</f>
        <v>0</v>
      </c>
      <c r="G30" s="472" t="str">
        <f t="shared" ref="G30:G43" si="8">IF(AND(B30&lt;&gt;0, F30&lt;&gt;0), F30/B30, IF(B30&lt;&gt;0, 0, "-"))</f>
        <v>-</v>
      </c>
      <c r="H30" s="473" t="s">
        <v>9801</v>
      </c>
      <c r="I30" s="330">
        <f>COUNTIF('accuracy barriers'!CS3:CS63, "bollard")</f>
        <v>0</v>
      </c>
      <c r="J30" s="472" t="str">
        <f t="shared" ref="J30:J43" si="9">IF(AND(B30&lt;&gt;0, I30&lt;&gt;0), I30/B30, IF(B30&lt;&gt;0, 0, "-"))</f>
        <v>-</v>
      </c>
      <c r="K30" s="473" t="s">
        <v>9801</v>
      </c>
      <c r="L30" s="330">
        <f>COUNTIFS('accuracy barriers'!C3:C63, "x", 'accuracy barriers'!F3:F63, "bollard")</f>
        <v>0</v>
      </c>
      <c r="M30" s="473" t="str">
        <f t="shared" ref="M30:M43" si="10">IF(AND(B30&lt;&gt;0, L30&lt;&gt;0), L30/B30, IF(B30&lt;&gt;0, 0, "-"))</f>
        <v>-</v>
      </c>
    </row>
    <row r="31" spans="1:13" x14ac:dyDescent="0.2">
      <c r="A31" s="441" t="s">
        <v>266</v>
      </c>
      <c r="B31" s="477">
        <f>O5</f>
        <v>4</v>
      </c>
      <c r="C31" s="330">
        <f>COUNTIF('accuracy barriers'!AO3:AO63, "kerb")</f>
        <v>0</v>
      </c>
      <c r="D31" s="472">
        <f>IF(AND(B31&lt;&gt;0, C31&lt;&gt;0), C31/B31, IF(B31&lt;&gt;0, 0, "-"))</f>
        <v>0</v>
      </c>
      <c r="E31" s="473">
        <v>0</v>
      </c>
      <c r="F31" s="330">
        <f>COUNTIF('accuracy barriers'!BR3:BR63, "kerb")</f>
        <v>0</v>
      </c>
      <c r="G31" s="472">
        <f t="shared" si="8"/>
        <v>0</v>
      </c>
      <c r="H31" s="473">
        <v>0</v>
      </c>
      <c r="I31" s="330">
        <f>COUNTIF('accuracy barriers'!CS3:CS63, "kerb")</f>
        <v>0</v>
      </c>
      <c r="J31" s="472">
        <f t="shared" si="9"/>
        <v>0</v>
      </c>
      <c r="K31" s="473">
        <v>0</v>
      </c>
      <c r="L31" s="330">
        <f>COUNTIFS('accuracy barriers'!C3:C63, "x", 'accuracy barriers'!F3:F63, "kerb")</f>
        <v>0</v>
      </c>
      <c r="M31" s="473">
        <f t="shared" si="10"/>
        <v>0</v>
      </c>
    </row>
    <row r="32" spans="1:13" hidden="1" x14ac:dyDescent="0.2">
      <c r="A32" s="492" t="s">
        <v>11925</v>
      </c>
      <c r="B32" s="493">
        <f>O6</f>
        <v>2</v>
      </c>
      <c r="C32" s="416">
        <f>COUNTIFS('accuracy barriers'!AO3:AO63, "stair")</f>
        <v>2</v>
      </c>
      <c r="D32" s="496">
        <f>IF(AND(B32&lt;&gt;0, C32&lt;&gt;0), C32/B32, IF(B32&lt;&gt;0, 0, "-"))</f>
        <v>1</v>
      </c>
      <c r="E32" s="495" t="s">
        <v>9801</v>
      </c>
      <c r="F32" s="416">
        <f>COUNTIF('accuracy barriers'!BR3:BR63, "stair")</f>
        <v>0</v>
      </c>
      <c r="G32" s="494">
        <f t="shared" ref="G32:G39" si="11">IF(AND(B32&lt;&gt;0, F32&lt;&gt;0), F32/B32, IF(B32&lt;&gt;0, 0, "-"))</f>
        <v>0</v>
      </c>
      <c r="H32" s="495" t="s">
        <v>9801</v>
      </c>
      <c r="I32" s="416">
        <f>COUNTIF('accuracy barriers'!CS3:CS63, "stair")</f>
        <v>2</v>
      </c>
      <c r="J32" s="494">
        <f>IF(AND(B32&lt;&gt;0, I32&lt;&gt;0), I32/B32, IF(B32&lt;&gt;0, 0, "-"))</f>
        <v>1</v>
      </c>
      <c r="K32" s="495" t="s">
        <v>9801</v>
      </c>
      <c r="L32" s="416">
        <f>COUNTIFS('accuracy barriers'!C3:C63, "x", 'accuracy barriers'!F3:F63, "stair")</f>
        <v>2</v>
      </c>
      <c r="M32" s="495">
        <f>IF(AND(B32&lt;&gt;0, L32&lt;&gt;0), L32/B32, IF(B32&lt;&gt;0, 0, "-"))</f>
        <v>1</v>
      </c>
    </row>
    <row r="33" spans="1:13" x14ac:dyDescent="0.2">
      <c r="A33" s="441" t="s">
        <v>11906</v>
      </c>
      <c r="B33" s="477">
        <f>O6</f>
        <v>2</v>
      </c>
      <c r="C33" s="330">
        <f>COUNTIFS('accuracy barriers'!AO3:AO63, "stair", 'accuracy barriers'!AV3:AV63, "&lt;&gt;N/A")</f>
        <v>1</v>
      </c>
      <c r="D33" s="472">
        <f>IF(AND(B33&lt;&gt;0, C33&lt;&gt;0), C33/B33, IF(B33&lt;&gt;0, 0, "-"))</f>
        <v>0.5</v>
      </c>
      <c r="E33" s="473">
        <v>0</v>
      </c>
      <c r="F33" s="330">
        <f>COUNTIFS('accuracy barriers'!BR3:BR63, "stair", 'accuracy barriers'!BY3:BY63, "&lt;&gt;N/A")</f>
        <v>0</v>
      </c>
      <c r="G33" s="472">
        <f t="shared" si="11"/>
        <v>0</v>
      </c>
      <c r="H33" s="473">
        <v>0</v>
      </c>
      <c r="I33" s="330">
        <f>COUNTIFS('accuracy barriers'!CS3:CS63, "stair", 'accuracy barriers'!CZ3:CZ63, "&lt;&gt;N/A")</f>
        <v>1</v>
      </c>
      <c r="J33" s="472">
        <f t="shared" si="9"/>
        <v>0.5</v>
      </c>
      <c r="K33" s="473">
        <f>SUMIFS('accuracy barriers'!DB3:DB63, 'accuracy barriers'!CS3:CS63, "stair")/COUNTIFS('accuracy barriers'!CS3:CS63, "stair", 'accuracy barriers'!DB3:DB63, "&lt;&gt;-")</f>
        <v>0.98</v>
      </c>
      <c r="L33" s="330">
        <f>COUNTIFS('accuracy barriers'!K3:K63, "x")</f>
        <v>1</v>
      </c>
      <c r="M33" s="473">
        <f t="shared" si="10"/>
        <v>0.5</v>
      </c>
    </row>
    <row r="34" spans="1:13" x14ac:dyDescent="0.2">
      <c r="A34" s="441" t="s">
        <v>11907</v>
      </c>
      <c r="B34" s="477">
        <f>O7</f>
        <v>2</v>
      </c>
      <c r="C34" s="330">
        <f>COUNTIFS('accuracy barriers'!AO4:AO64, "stair", 'accuracy barriers'!AZ3:AZ63, "&lt;&gt;-")</f>
        <v>0</v>
      </c>
      <c r="D34" s="472">
        <f>IF(AND(B34&lt;&gt;0, C34&lt;&gt;0), C34/B34, IF(B34&lt;&gt;0, 0, "-"))</f>
        <v>0</v>
      </c>
      <c r="E34" s="473">
        <v>0</v>
      </c>
      <c r="F34" s="330">
        <f>COUNTIFS('accuracy barriers'!BR3:BR63, "stair", 'accuracy barriers'!BZ3:BZ63, "&lt;&gt;N/A")</f>
        <v>0</v>
      </c>
      <c r="G34" s="472">
        <f t="shared" si="11"/>
        <v>0</v>
      </c>
      <c r="H34" s="473">
        <v>0</v>
      </c>
      <c r="I34" s="330">
        <f>COUNTIFS('accuracy barriers'!CS3:CS63, "stair", 'accuracy barriers'!DC3:DC63, "&lt;&gt;N/A")</f>
        <v>0</v>
      </c>
      <c r="J34" s="472">
        <f t="shared" si="9"/>
        <v>0</v>
      </c>
      <c r="K34" s="473">
        <v>0</v>
      </c>
      <c r="L34" s="330">
        <f>COUNTIFS('accuracy barriers'!M3:M63, "x")</f>
        <v>0</v>
      </c>
      <c r="M34" s="473">
        <f t="shared" si="10"/>
        <v>0</v>
      </c>
    </row>
    <row r="35" spans="1:13" x14ac:dyDescent="0.2">
      <c r="A35" s="441" t="s">
        <v>417</v>
      </c>
      <c r="B35" s="477">
        <f>O7</f>
        <v>2</v>
      </c>
      <c r="C35" s="330">
        <f>COUNTIF('accuracy barriers'!AO3:AO63, "other")</f>
        <v>0</v>
      </c>
      <c r="D35" s="472">
        <f>IF(AND(B35&lt;&gt;0, C35&lt;&gt;0), C35/B35, IF(B35&lt;&gt;0, 0, "-"))</f>
        <v>0</v>
      </c>
      <c r="E35" s="473">
        <v>0</v>
      </c>
      <c r="F35" s="330">
        <f>COUNTIF('accuracy barriers'!BR3:BR63, "other")</f>
        <v>0</v>
      </c>
      <c r="G35" s="472">
        <f t="shared" si="11"/>
        <v>0</v>
      </c>
      <c r="H35" s="473">
        <v>0</v>
      </c>
      <c r="I35" s="330">
        <f>COUNTIF('accuracy barriers'!CS3:CS63, "other")</f>
        <v>0</v>
      </c>
      <c r="J35" s="472">
        <f t="shared" si="9"/>
        <v>0</v>
      </c>
      <c r="K35" s="473">
        <v>0</v>
      </c>
      <c r="L35" s="330">
        <f>COUNTIFS('accuracy barriers'!C3:C63, "x", 'accuracy barriers'!F3:F63, "other")</f>
        <v>0</v>
      </c>
      <c r="M35" s="473">
        <f t="shared" si="10"/>
        <v>0</v>
      </c>
    </row>
    <row r="36" spans="1:13" x14ac:dyDescent="0.2">
      <c r="A36" s="441" t="s">
        <v>2006</v>
      </c>
      <c r="B36" s="477">
        <f>O8</f>
        <v>0</v>
      </c>
      <c r="C36" s="330">
        <f>COUNTIF('accuracy barriers'!AO3:AO63, "cycle_barrier")</f>
        <v>0</v>
      </c>
      <c r="D36" s="472" t="str">
        <f t="shared" si="7"/>
        <v>-</v>
      </c>
      <c r="E36" s="473" t="s">
        <v>9801</v>
      </c>
      <c r="F36" s="330">
        <f>COUNTIF('accuracy barriers'!BR3:BR63, "cycle_barrier")</f>
        <v>0</v>
      </c>
      <c r="G36" s="472" t="str">
        <f t="shared" si="11"/>
        <v>-</v>
      </c>
      <c r="H36" s="473" t="s">
        <v>9801</v>
      </c>
      <c r="I36" s="330">
        <f>COUNTIF('accuracy barriers'!CS3:CS63, "cycle_barrier")</f>
        <v>0</v>
      </c>
      <c r="J36" s="472" t="str">
        <f t="shared" si="9"/>
        <v>-</v>
      </c>
      <c r="K36" s="473" t="s">
        <v>9801</v>
      </c>
      <c r="L36" s="330">
        <f>COUNTIFS('accuracy barriers'!C3:C63, "x", 'accuracy barriers'!F3:F63, "cycle_barrier")</f>
        <v>0</v>
      </c>
      <c r="M36" s="473" t="str">
        <f t="shared" si="10"/>
        <v>-</v>
      </c>
    </row>
    <row r="37" spans="1:13" x14ac:dyDescent="0.2">
      <c r="A37" s="441" t="s">
        <v>110</v>
      </c>
      <c r="B37" s="477">
        <f>O9</f>
        <v>0</v>
      </c>
      <c r="C37" s="330">
        <f>COUNTIF('accuracy barriers'!AO3:AO63, "block")</f>
        <v>0</v>
      </c>
      <c r="D37" s="472" t="str">
        <f t="shared" si="7"/>
        <v>-</v>
      </c>
      <c r="E37" s="473" t="s">
        <v>9801</v>
      </c>
      <c r="F37" s="330">
        <f>COUNTIF('accuracy barriers'!BR3:BR63, "block")</f>
        <v>0</v>
      </c>
      <c r="G37" s="472" t="str">
        <f t="shared" si="11"/>
        <v>-</v>
      </c>
      <c r="H37" s="473" t="s">
        <v>9801</v>
      </c>
      <c r="I37" s="330">
        <f>COUNTIF('accuracy barriers'!CS3:CS63, "block")</f>
        <v>0</v>
      </c>
      <c r="J37" s="472" t="str">
        <f t="shared" si="9"/>
        <v>-</v>
      </c>
      <c r="K37" s="473" t="s">
        <v>9801</v>
      </c>
      <c r="L37" s="330">
        <f>COUNTIFS('accuracy barriers'!C3:C63, "x", 'accuracy barriers'!F3:F63, "block")</f>
        <v>0</v>
      </c>
      <c r="M37" s="473" t="str">
        <f t="shared" si="10"/>
        <v>-</v>
      </c>
    </row>
    <row r="38" spans="1:13" x14ac:dyDescent="0.2">
      <c r="A38" s="441" t="s">
        <v>3158</v>
      </c>
      <c r="B38" s="477">
        <f>O10</f>
        <v>0</v>
      </c>
      <c r="C38" s="330">
        <f>COUNTIF('accuracy barriers'!AO3:AO63, "planter")</f>
        <v>0</v>
      </c>
      <c r="D38" s="472" t="str">
        <f t="shared" si="7"/>
        <v>-</v>
      </c>
      <c r="E38" s="473" t="s">
        <v>9801</v>
      </c>
      <c r="F38" s="330">
        <f>COUNTIF('accuracy barriers'!BR3:BR63, "planter")</f>
        <v>0</v>
      </c>
      <c r="G38" s="472" t="str">
        <f t="shared" si="11"/>
        <v>-</v>
      </c>
      <c r="H38" s="473" t="s">
        <v>9801</v>
      </c>
      <c r="I38" s="330">
        <f>COUNTIF('accuracy barriers'!CS3:CS63, "planter")</f>
        <v>0</v>
      </c>
      <c r="J38" s="472" t="str">
        <f t="shared" si="9"/>
        <v>-</v>
      </c>
      <c r="K38" s="473" t="s">
        <v>9801</v>
      </c>
      <c r="L38" s="330">
        <f>COUNTIFS('accuracy barriers'!C3:C63, "x", 'accuracy barriers'!F3:F63, "planter")</f>
        <v>0</v>
      </c>
      <c r="M38" s="473" t="str">
        <f t="shared" si="10"/>
        <v>-</v>
      </c>
    </row>
    <row r="39" spans="1:13" hidden="1" x14ac:dyDescent="0.2">
      <c r="A39" s="492" t="s">
        <v>11926</v>
      </c>
      <c r="B39" s="493">
        <f>O11</f>
        <v>37</v>
      </c>
      <c r="C39" s="416">
        <f>COUNTIFS('accuracy barriers'!AO3:AO63, "problematic_way")</f>
        <v>0</v>
      </c>
      <c r="D39" s="494">
        <v>0</v>
      </c>
      <c r="E39" s="495" t="s">
        <v>9801</v>
      </c>
      <c r="F39" s="416">
        <f>COUNTIF('accuracy barriers'!BR3:BR63, "problematic_way")</f>
        <v>14</v>
      </c>
      <c r="G39" s="494">
        <f t="shared" si="11"/>
        <v>0.3783783783783784</v>
      </c>
      <c r="H39" s="495" t="s">
        <v>9801</v>
      </c>
      <c r="I39" s="416">
        <f>COUNTIF('accuracy barriers'!CS3:CS63, "problematic_way")</f>
        <v>4</v>
      </c>
      <c r="J39" s="494">
        <f>IF(AND(B39&lt;&gt;0, I39&lt;&gt;0), I39/B39, IF(B39&lt;&gt;0, 0, "-"))</f>
        <v>0.10810810810810811</v>
      </c>
      <c r="K39" s="495" t="s">
        <v>9801</v>
      </c>
      <c r="L39" s="416">
        <f>COUNTIFS('accuracy barriers'!C3:C63, "x", 'accuracy barriers'!F3:F63, "problematic_way")</f>
        <v>16</v>
      </c>
      <c r="M39" s="495">
        <f>IF(AND(B39&lt;&gt;0, L39&lt;&gt;0), L39/B39, IF(B39&lt;&gt;0, 0, "-"))</f>
        <v>0.43243243243243246</v>
      </c>
    </row>
    <row r="40" spans="1:13" x14ac:dyDescent="0.2">
      <c r="A40" s="441" t="s">
        <v>11383</v>
      </c>
      <c r="B40" s="477">
        <f>COUNTIFS('on-site'!E2:E62, "problematic_way", 'on-site'!N2:'on-site'!N62, "pflasterstein")</f>
        <v>5</v>
      </c>
      <c r="C40" s="330">
        <f>COUNTIFS('accuracy barriers'!AO3:AO63, "problematic_way", 'accuracy barriers'!BD3:BD63, "&lt;&gt;")</f>
        <v>0</v>
      </c>
      <c r="D40" s="472">
        <f t="shared" si="7"/>
        <v>0</v>
      </c>
      <c r="E40" s="473">
        <v>0</v>
      </c>
      <c r="F40" s="330">
        <f>COUNTIFS('accuracy barriers'!BR3:BR63, "problematic_way", 'accuracy barriers'!CC3:CC63, "&lt;&gt;")</f>
        <v>0</v>
      </c>
      <c r="G40" s="472">
        <f t="shared" si="8"/>
        <v>0</v>
      </c>
      <c r="H40" s="473">
        <v>0</v>
      </c>
      <c r="I40" s="330">
        <f>COUNTIFS('accuracy barriers'!CS3:CS63, "problematic_way", 'accuracy barriers'!DH3:DH63, "&lt;&gt;")</f>
        <v>2</v>
      </c>
      <c r="J40" s="472">
        <f t="shared" si="9"/>
        <v>0.4</v>
      </c>
      <c r="K40" s="473">
        <f>SUMIFS('accuracy barriers'!DI3:DI63, 'accuracy barriers'!CS3:CS63, "problematic_way")/COUNTIFS('accuracy barriers'!CS3:CS63, "problematic_way", 'accuracy barriers'!DI3:DI63, "&lt;&gt;-")</f>
        <v>1</v>
      </c>
      <c r="L40" s="330">
        <f>COUNTIFS('accuracy barriers'!T3:T63, "x")</f>
        <v>2</v>
      </c>
      <c r="M40" s="473">
        <f t="shared" si="10"/>
        <v>0.4</v>
      </c>
    </row>
    <row r="41" spans="1:13" x14ac:dyDescent="0.2">
      <c r="A41" s="441" t="s">
        <v>11909</v>
      </c>
      <c r="B41" s="477">
        <f>COUNTIFS('on-site'!E2:E62, "problematic_way", 'on-site'!K2:K62, "&lt;&gt;")</f>
        <v>30</v>
      </c>
      <c r="C41" s="330">
        <f>COUNTIFS('accuracy barriers'!AO3:AO63, "problematic_way", 'accuracy barriers'!BM3:BM63, "&lt;&gt;")</f>
        <v>0</v>
      </c>
      <c r="D41" s="472">
        <f t="shared" si="7"/>
        <v>0</v>
      </c>
      <c r="E41" s="473">
        <v>0</v>
      </c>
      <c r="F41" s="330">
        <f>COUNTIFS('accuracy barriers'!BR3:BR63, "problematic_way", 'accuracy barriers'!N3:N63, "&lt;&gt;", 'accuracy barriers'!CM3:CM63, "&lt;&gt;-")</f>
        <v>12</v>
      </c>
      <c r="G41" s="472">
        <f t="shared" si="8"/>
        <v>0.4</v>
      </c>
      <c r="H41" s="473">
        <f>SUMIFS('accuracy barriers'!CN3:CN63, 'accuracy barriers'!BR3:BR63, "problematic_way")/COUNTIFS('accuracy barriers'!BR3:BR63, "problematic_way", 'accuracy barriers'!CN3:CN63, "&lt;&gt;-")</f>
        <v>0.58333333333333337</v>
      </c>
      <c r="I41" s="330">
        <f>COUNTIFS('accuracy barriers'!CS3:CS63, "problematic_way", 'accuracy barriers'!N3:N63, "&lt;&gt;", 'accuracy barriers'!DU3:DU63, "&lt;&gt;-")</f>
        <v>1</v>
      </c>
      <c r="J41" s="472">
        <f t="shared" si="9"/>
        <v>3.3333333333333333E-2</v>
      </c>
      <c r="K41" s="473">
        <f>SUMIFS('accuracy barriers'!DV3:DV63, 'accuracy barriers'!CS3:CS63, "problematic_way")/COUNTIFS('accuracy barriers'!CS3:CS63, "problematic_way", 'accuracy barriers'!DV3:DV63, "&lt;&gt;-")</f>
        <v>1</v>
      </c>
      <c r="L41" s="330">
        <f>COUNTIFS('accuracy barriers'!O3:O63, "x")</f>
        <v>13</v>
      </c>
      <c r="M41" s="473">
        <f t="shared" si="10"/>
        <v>0.43333333333333335</v>
      </c>
    </row>
    <row r="42" spans="1:13" x14ac:dyDescent="0.2">
      <c r="A42" s="441" t="s">
        <v>11910</v>
      </c>
      <c r="B42" s="477">
        <f>COUNTIFS('on-site'!E2:E62, "problematic_way", 'on-site'!O2:O62, "&lt;&gt;")</f>
        <v>3</v>
      </c>
      <c r="C42" s="330">
        <f>COUNTIFS('accuracy barriers'!AO3:AO63, "problematic_way", 'accuracy barriers'!BL3:BL63, "&lt;&gt;")</f>
        <v>0</v>
      </c>
      <c r="D42" s="472">
        <f t="shared" si="7"/>
        <v>0</v>
      </c>
      <c r="E42" s="473">
        <v>0</v>
      </c>
      <c r="F42" s="330">
        <f>COUNTIFS('accuracy barriers'!BR3:BR63, "problematic_way", 'accuracy barriers'!U3:U63, "&lt;&gt;", 'accuracy barriers'!CJ3:CJ63, "&lt;&gt;-")</f>
        <v>2</v>
      </c>
      <c r="G42" s="472">
        <f t="shared" si="8"/>
        <v>0.66666666666666663</v>
      </c>
      <c r="H42" s="473">
        <f>SUMIFS('accuracy barriers'!CK3:CK63, 'accuracy barriers'!BR3:BR63, "problematic_way")/COUNTIFS('accuracy barriers'!BR3:BR63, "problematic_way", 'accuracy barriers'!CK3:CK63, "&lt;&gt;-")</f>
        <v>0.4642857142857143</v>
      </c>
      <c r="I42" s="330">
        <f>COUNTIFS('accuracy barriers'!CS3:CS63, "problematic_way", 'accuracy barriers'!U3:U63, "&lt;&gt;", 'accuracy barriers'!DR3:DR63, "&lt;&gt;-")</f>
        <v>1</v>
      </c>
      <c r="J42" s="472">
        <f t="shared" si="9"/>
        <v>0.33333333333333331</v>
      </c>
      <c r="K42" s="473">
        <f>SUMIFS('accuracy barriers'!DS3:DS63, 'accuracy barriers'!CS3:CS63, "problematic_way")/COUNTIFS('accuracy barriers'!CS3:CS63, "problematic_way", 'accuracy barriers'!DS3:DS63, "&lt;&gt;-")</f>
        <v>0.4285714285714286</v>
      </c>
      <c r="L42" s="330">
        <f>COUNTIFS('accuracy barriers'!T3:T63, "x")</f>
        <v>2</v>
      </c>
      <c r="M42" s="473">
        <f t="shared" si="10"/>
        <v>0.66666666666666663</v>
      </c>
    </row>
    <row r="43" spans="1:13" x14ac:dyDescent="0.2">
      <c r="A43" s="475" t="s">
        <v>11908</v>
      </c>
      <c r="B43" s="478">
        <f>O12</f>
        <v>15</v>
      </c>
      <c r="C43" s="169">
        <f>COUNTIF('accuracy barriers'!AO3:AO63, "cross_drain")</f>
        <v>15</v>
      </c>
      <c r="D43" s="458">
        <f t="shared" si="7"/>
        <v>1</v>
      </c>
      <c r="E43" s="476">
        <f>SUMIFS('accuracy barriers'!BG3:BG63, 'accuracy barriers'!AO3:AO63, "cross_drain")/COUNTIFS('accuracy barriers'!AO3:AO63, "cross_drain")</f>
        <v>1</v>
      </c>
      <c r="F43" s="169">
        <f>COUNTIF('accuracy barriers'!BR3:BR63, "cross_drain")</f>
        <v>0</v>
      </c>
      <c r="G43" s="458">
        <f t="shared" si="8"/>
        <v>0</v>
      </c>
      <c r="H43" s="476">
        <v>0</v>
      </c>
      <c r="I43" s="169">
        <f>COUNTIF('accuracy barriers'!CS3:CS63, "cross_drain")</f>
        <v>13</v>
      </c>
      <c r="J43" s="458">
        <f t="shared" si="9"/>
        <v>0.8666666666666667</v>
      </c>
      <c r="K43" s="476">
        <f>SUMIFS('accuracy barriers'!DL3:DL63, 'accuracy barriers'!CS3:CS63, "cross_drain")/COUNTIFS('accuracy barriers'!CS3:CS63, "cross_drain")</f>
        <v>1.9230769230769232E-2</v>
      </c>
      <c r="L43" s="169">
        <f>COUNTIFS('accuracy barriers'!Q3:Q63, "x")</f>
        <v>15</v>
      </c>
      <c r="M43" s="476">
        <f t="shared" si="10"/>
        <v>1</v>
      </c>
    </row>
    <row r="47" spans="1:13" x14ac:dyDescent="0.2">
      <c r="A47" s="337"/>
    </row>
    <row r="48" spans="1:13" x14ac:dyDescent="0.2">
      <c r="A48" s="337"/>
    </row>
    <row r="49" spans="1:6" x14ac:dyDescent="0.2">
      <c r="A49" s="337"/>
    </row>
    <row r="50" spans="1:6" x14ac:dyDescent="0.2">
      <c r="A50" s="337"/>
    </row>
    <row r="51" spans="1:6" x14ac:dyDescent="0.2">
      <c r="A51" s="337"/>
    </row>
    <row r="52" spans="1:6" x14ac:dyDescent="0.2">
      <c r="A52" s="337"/>
    </row>
    <row r="53" spans="1:6" x14ac:dyDescent="0.2">
      <c r="A53" s="337"/>
    </row>
    <row r="54" spans="1:6" x14ac:dyDescent="0.2">
      <c r="A54" s="337"/>
    </row>
    <row r="55" spans="1:6" x14ac:dyDescent="0.2">
      <c r="A55" s="337"/>
    </row>
    <row r="56" spans="1:6" x14ac:dyDescent="0.2">
      <c r="A56" s="337"/>
    </row>
    <row r="60" spans="1:6" x14ac:dyDescent="0.2">
      <c r="A60" s="6"/>
      <c r="B60" s="25"/>
      <c r="E60" s="25"/>
      <c r="F60" s="25"/>
    </row>
    <row r="61" spans="1:6" x14ac:dyDescent="0.2">
      <c r="A61" s="337"/>
    </row>
    <row r="62" spans="1:6" x14ac:dyDescent="0.2">
      <c r="A62" s="337"/>
    </row>
    <row r="63" spans="1:6" x14ac:dyDescent="0.2">
      <c r="A63" s="337"/>
    </row>
    <row r="64" spans="1:6" x14ac:dyDescent="0.2">
      <c r="A64" s="337"/>
    </row>
    <row r="65" spans="1:1" x14ac:dyDescent="0.2">
      <c r="A65" s="337"/>
    </row>
    <row r="66" spans="1:1" x14ac:dyDescent="0.2">
      <c r="A66" s="337"/>
    </row>
    <row r="67" spans="1:1" x14ac:dyDescent="0.2">
      <c r="A67" s="337"/>
    </row>
    <row r="68" spans="1:1" x14ac:dyDescent="0.2">
      <c r="A68" s="337"/>
    </row>
    <row r="69" spans="1:1" x14ac:dyDescent="0.2">
      <c r="A69" s="337"/>
    </row>
    <row r="70" spans="1:1" x14ac:dyDescent="0.2">
      <c r="A70" s="337"/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  <ignoredErrors>
    <ignoredError sqref="H3:H12 K3:K12" formulaRange="1"/>
    <ignoredError sqref="D14 G14 J14 M14 L41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E30D-7626-5C44-9C66-252730E9DC61}">
  <dimension ref="A1:EN134"/>
  <sheetViews>
    <sheetView zoomScale="125" workbookViewId="0">
      <pane xSplit="2" ySplit="2" topLeftCell="C104" activePane="bottomRight" state="frozen"/>
      <selection pane="topRight" activeCell="C1" sqref="C1"/>
      <selection pane="bottomLeft" activeCell="A3" sqref="A3"/>
      <selection pane="bottomRight" activeCell="BT104" sqref="BT104"/>
    </sheetView>
  </sheetViews>
  <sheetFormatPr baseColWidth="10" defaultRowHeight="15" x14ac:dyDescent="0.2"/>
  <cols>
    <col min="1" max="1" width="3.5" bestFit="1" customWidth="1"/>
    <col min="2" max="2" width="4.1640625" bestFit="1" customWidth="1"/>
    <col min="3" max="9" width="2.1640625" bestFit="1" customWidth="1"/>
    <col min="10" max="11" width="2.83203125" bestFit="1" customWidth="1"/>
    <col min="12" max="101" width="3.1640625" bestFit="1" customWidth="1"/>
    <col min="102" max="134" width="4.1640625" bestFit="1" customWidth="1"/>
    <col min="140" max="140" width="12.33203125" customWidth="1"/>
    <col min="141" max="141" width="63.6640625" bestFit="1" customWidth="1"/>
    <col min="142" max="142" width="5.1640625" customWidth="1"/>
    <col min="143" max="143" width="6.33203125" customWidth="1"/>
    <col min="144" max="144" width="34.5" bestFit="1" customWidth="1"/>
  </cols>
  <sheetData>
    <row r="1" spans="1:144" x14ac:dyDescent="0.2">
      <c r="A1" s="308"/>
      <c r="B1" s="309"/>
      <c r="C1" s="562" t="s">
        <v>9427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  <c r="X1" s="563"/>
      <c r="Y1" s="563"/>
      <c r="Z1" s="563"/>
      <c r="AA1" s="563"/>
      <c r="AB1" s="564"/>
      <c r="AC1" s="562" t="s">
        <v>9429</v>
      </c>
      <c r="AD1" s="563"/>
      <c r="AE1" s="563"/>
      <c r="AF1" s="563"/>
      <c r="AG1" s="563"/>
      <c r="AH1" s="563"/>
      <c r="AI1" s="563"/>
      <c r="AJ1" s="563"/>
      <c r="AK1" s="563"/>
      <c r="AL1" s="563"/>
      <c r="AM1" s="563"/>
      <c r="AN1" s="563"/>
      <c r="AO1" s="563"/>
      <c r="AP1" s="564"/>
      <c r="AQ1" s="562" t="s">
        <v>9428</v>
      </c>
      <c r="AR1" s="563"/>
      <c r="AS1" s="563"/>
      <c r="AT1" s="563"/>
      <c r="AU1" s="563"/>
      <c r="AV1" s="563"/>
      <c r="AW1" s="563"/>
      <c r="AX1" s="563"/>
      <c r="AY1" s="563"/>
      <c r="AZ1" s="563"/>
      <c r="BA1" s="563"/>
      <c r="BB1" s="563"/>
      <c r="BC1" s="563"/>
      <c r="BD1" s="563"/>
      <c r="BE1" s="563"/>
      <c r="BF1" s="563"/>
      <c r="BG1" s="563"/>
      <c r="BH1" s="563"/>
      <c r="BI1" s="563"/>
      <c r="BJ1" s="563"/>
      <c r="BK1" s="563"/>
      <c r="BL1" s="563"/>
      <c r="BM1" s="563"/>
      <c r="BN1" s="563"/>
      <c r="BO1" s="563"/>
      <c r="BP1" s="563"/>
      <c r="BQ1" s="563"/>
      <c r="BR1" s="563"/>
      <c r="BS1" s="563"/>
      <c r="BT1" s="563"/>
      <c r="BU1" s="564"/>
      <c r="BV1" s="562" t="s">
        <v>11787</v>
      </c>
      <c r="BW1" s="563"/>
      <c r="BX1" s="563"/>
      <c r="BY1" s="563"/>
      <c r="BZ1" s="563"/>
      <c r="CA1" s="563"/>
      <c r="CB1" s="563"/>
      <c r="CC1" s="563"/>
      <c r="CD1" s="563"/>
      <c r="CE1" s="563"/>
      <c r="CF1" s="563"/>
      <c r="CG1" s="563"/>
      <c r="CH1" s="563"/>
      <c r="CI1" s="563"/>
      <c r="CJ1" s="563"/>
      <c r="CK1" s="563"/>
      <c r="CL1" s="563"/>
      <c r="CM1" s="563"/>
      <c r="CN1" s="563"/>
      <c r="CO1" s="563"/>
      <c r="CP1" s="563"/>
      <c r="CQ1" s="563"/>
      <c r="CR1" s="563"/>
      <c r="CS1" s="563"/>
      <c r="CT1" s="563"/>
      <c r="CU1" s="563"/>
      <c r="CV1" s="563"/>
      <c r="CW1" s="563"/>
      <c r="CX1" s="563"/>
      <c r="CY1" s="563"/>
      <c r="CZ1" s="563"/>
      <c r="DA1" s="563"/>
      <c r="DB1" s="563"/>
      <c r="DC1" s="563"/>
      <c r="DD1" s="563"/>
      <c r="DE1" s="563"/>
      <c r="DF1" s="563"/>
      <c r="DG1" s="563"/>
      <c r="DH1" s="563"/>
      <c r="DI1" s="563"/>
      <c r="DJ1" s="563"/>
      <c r="DK1" s="563"/>
      <c r="DL1" s="563"/>
      <c r="DM1" s="563"/>
      <c r="DN1" s="563"/>
      <c r="DO1" s="563"/>
      <c r="DP1" s="563"/>
      <c r="DQ1" s="563"/>
      <c r="DR1" s="563"/>
      <c r="DS1" s="563"/>
      <c r="DT1" s="563"/>
      <c r="DU1" s="563"/>
      <c r="DV1" s="563"/>
      <c r="DW1" s="563"/>
      <c r="DX1" s="563"/>
      <c r="DY1" s="563"/>
      <c r="DZ1" s="563"/>
      <c r="EA1" s="563"/>
      <c r="EB1" s="563"/>
      <c r="EC1" s="563"/>
      <c r="ED1" s="564"/>
      <c r="EE1" s="565" t="s">
        <v>11859</v>
      </c>
      <c r="EF1" s="552" t="s">
        <v>11872</v>
      </c>
      <c r="EG1" s="552" t="s">
        <v>11856</v>
      </c>
      <c r="EH1" s="552" t="s">
        <v>11857</v>
      </c>
      <c r="EI1" s="554" t="s">
        <v>11858</v>
      </c>
      <c r="EJ1" s="556" t="s">
        <v>11860</v>
      </c>
      <c r="EK1" s="6" t="s">
        <v>11854</v>
      </c>
      <c r="EL1" s="6"/>
      <c r="EM1" t="s">
        <v>9480</v>
      </c>
    </row>
    <row r="2" spans="1:144" x14ac:dyDescent="0.2">
      <c r="A2" s="310"/>
      <c r="B2" s="301"/>
      <c r="C2" s="302">
        <v>1</v>
      </c>
      <c r="D2" s="303">
        <v>2</v>
      </c>
      <c r="E2" s="303">
        <v>3</v>
      </c>
      <c r="F2" s="303">
        <v>4</v>
      </c>
      <c r="G2" s="303">
        <v>5</v>
      </c>
      <c r="H2" s="303">
        <v>6</v>
      </c>
      <c r="I2" s="303">
        <v>7</v>
      </c>
      <c r="J2" s="303">
        <v>8</v>
      </c>
      <c r="K2" s="303">
        <v>9</v>
      </c>
      <c r="L2" s="303">
        <v>10</v>
      </c>
      <c r="M2" s="303">
        <v>11</v>
      </c>
      <c r="N2" s="303">
        <v>12</v>
      </c>
      <c r="O2" s="303">
        <v>13</v>
      </c>
      <c r="P2" s="303">
        <v>14</v>
      </c>
      <c r="Q2" s="303">
        <v>15</v>
      </c>
      <c r="R2" s="303">
        <v>16</v>
      </c>
      <c r="S2" s="303">
        <v>17</v>
      </c>
      <c r="T2" s="303">
        <v>18</v>
      </c>
      <c r="U2" s="303">
        <v>19</v>
      </c>
      <c r="V2" s="303">
        <v>20</v>
      </c>
      <c r="W2" s="303">
        <v>21</v>
      </c>
      <c r="X2" s="303">
        <v>22</v>
      </c>
      <c r="Y2" s="303">
        <v>23</v>
      </c>
      <c r="Z2" s="303">
        <v>24</v>
      </c>
      <c r="AA2" s="303">
        <v>25</v>
      </c>
      <c r="AB2" s="304">
        <v>26</v>
      </c>
      <c r="AC2" s="306">
        <v>27</v>
      </c>
      <c r="AD2" s="300">
        <v>28</v>
      </c>
      <c r="AE2" s="306">
        <v>29</v>
      </c>
      <c r="AF2" s="303">
        <v>30</v>
      </c>
      <c r="AG2" s="303">
        <v>31</v>
      </c>
      <c r="AH2" s="303">
        <v>32</v>
      </c>
      <c r="AI2" s="306">
        <v>33</v>
      </c>
      <c r="AJ2" s="306">
        <v>34</v>
      </c>
      <c r="AK2" s="306">
        <v>35</v>
      </c>
      <c r="AL2" s="303">
        <v>36</v>
      </c>
      <c r="AM2" s="303">
        <v>37</v>
      </c>
      <c r="AN2" s="306">
        <v>38</v>
      </c>
      <c r="AO2" s="306">
        <v>39</v>
      </c>
      <c r="AP2" s="307">
        <v>40</v>
      </c>
      <c r="AQ2" s="303">
        <v>41</v>
      </c>
      <c r="AR2" s="303">
        <v>42</v>
      </c>
      <c r="AS2" s="303">
        <v>43</v>
      </c>
      <c r="AT2" s="303">
        <v>44</v>
      </c>
      <c r="AU2" s="303">
        <v>45</v>
      </c>
      <c r="AV2" s="303">
        <v>46</v>
      </c>
      <c r="AW2" s="303">
        <v>47</v>
      </c>
      <c r="AX2" s="306">
        <v>48</v>
      </c>
      <c r="AY2" s="303">
        <v>49</v>
      </c>
      <c r="AZ2" s="303">
        <v>50</v>
      </c>
      <c r="BA2" s="303">
        <v>51</v>
      </c>
      <c r="BB2" s="303">
        <v>52</v>
      </c>
      <c r="BC2" s="303">
        <v>53</v>
      </c>
      <c r="BD2" s="303">
        <v>54</v>
      </c>
      <c r="BE2" s="303">
        <v>55</v>
      </c>
      <c r="BF2" s="306">
        <v>56</v>
      </c>
      <c r="BG2" s="303">
        <v>57</v>
      </c>
      <c r="BH2" s="303">
        <v>58</v>
      </c>
      <c r="BI2" s="303">
        <v>59</v>
      </c>
      <c r="BJ2" s="303">
        <v>60</v>
      </c>
      <c r="BK2" s="303">
        <v>61</v>
      </c>
      <c r="BL2" s="303">
        <v>62</v>
      </c>
      <c r="BM2" s="303">
        <v>63</v>
      </c>
      <c r="BN2" s="306">
        <v>64</v>
      </c>
      <c r="BO2" s="303">
        <v>65</v>
      </c>
      <c r="BP2" s="303">
        <v>66</v>
      </c>
      <c r="BQ2" s="303">
        <v>67</v>
      </c>
      <c r="BR2" s="303">
        <v>68</v>
      </c>
      <c r="BS2" s="303">
        <v>69</v>
      </c>
      <c r="BT2" s="306">
        <v>70</v>
      </c>
      <c r="BU2" s="304">
        <v>71</v>
      </c>
      <c r="BV2" s="300">
        <v>72</v>
      </c>
      <c r="BW2" s="300">
        <v>73</v>
      </c>
      <c r="BX2" s="300">
        <v>74</v>
      </c>
      <c r="BY2" s="300">
        <v>75</v>
      </c>
      <c r="BZ2" s="300">
        <v>76</v>
      </c>
      <c r="CA2" s="300">
        <v>77</v>
      </c>
      <c r="CB2" s="300">
        <v>78</v>
      </c>
      <c r="CC2" s="300">
        <v>79</v>
      </c>
      <c r="CD2" s="300">
        <v>80</v>
      </c>
      <c r="CE2" s="300">
        <v>81</v>
      </c>
      <c r="CF2" s="300">
        <v>82</v>
      </c>
      <c r="CG2" s="300">
        <v>83</v>
      </c>
      <c r="CH2" s="300">
        <v>84</v>
      </c>
      <c r="CI2" s="300">
        <v>85</v>
      </c>
      <c r="CJ2" s="300">
        <v>86</v>
      </c>
      <c r="CK2" s="300">
        <v>87</v>
      </c>
      <c r="CL2" s="300">
        <v>88</v>
      </c>
      <c r="CM2" s="300">
        <v>89</v>
      </c>
      <c r="CN2" s="300">
        <v>90</v>
      </c>
      <c r="CO2" s="300">
        <v>91</v>
      </c>
      <c r="CP2" s="300">
        <v>92</v>
      </c>
      <c r="CQ2" s="300">
        <v>93</v>
      </c>
      <c r="CR2" s="300">
        <v>94</v>
      </c>
      <c r="CS2" s="300">
        <v>95</v>
      </c>
      <c r="CT2" s="300">
        <v>96</v>
      </c>
      <c r="CU2" s="300">
        <v>97</v>
      </c>
      <c r="CV2" s="300">
        <v>98</v>
      </c>
      <c r="CW2" s="300">
        <v>99</v>
      </c>
      <c r="CX2" s="300">
        <v>100</v>
      </c>
      <c r="CY2" s="300">
        <v>101</v>
      </c>
      <c r="CZ2" s="300">
        <v>102</v>
      </c>
      <c r="DA2" s="300">
        <v>103</v>
      </c>
      <c r="DB2" s="300">
        <v>104</v>
      </c>
      <c r="DC2" s="300">
        <v>105</v>
      </c>
      <c r="DD2" s="300">
        <v>106</v>
      </c>
      <c r="DE2" s="300">
        <v>107</v>
      </c>
      <c r="DF2" s="300">
        <v>108</v>
      </c>
      <c r="DG2" s="300">
        <v>109</v>
      </c>
      <c r="DH2" s="300">
        <v>110</v>
      </c>
      <c r="DI2" s="300">
        <v>111</v>
      </c>
      <c r="DJ2" s="300">
        <v>112</v>
      </c>
      <c r="DK2" s="300">
        <v>113</v>
      </c>
      <c r="DL2" s="300">
        <v>114</v>
      </c>
      <c r="DM2" s="300">
        <v>115</v>
      </c>
      <c r="DN2" s="300">
        <v>116</v>
      </c>
      <c r="DO2" s="300">
        <v>117</v>
      </c>
      <c r="DP2" s="300">
        <v>118</v>
      </c>
      <c r="DQ2" s="300">
        <v>119</v>
      </c>
      <c r="DR2" s="300">
        <v>120</v>
      </c>
      <c r="DS2" s="300">
        <v>121</v>
      </c>
      <c r="DT2" s="300">
        <v>122</v>
      </c>
      <c r="DU2" s="300">
        <v>123</v>
      </c>
      <c r="DV2" s="300">
        <v>124</v>
      </c>
      <c r="DW2" s="300">
        <v>125</v>
      </c>
      <c r="DX2" s="300">
        <v>126</v>
      </c>
      <c r="DY2" s="300">
        <v>127</v>
      </c>
      <c r="DZ2" s="300">
        <v>128</v>
      </c>
      <c r="EA2" s="300">
        <v>129</v>
      </c>
      <c r="EB2" s="300">
        <v>130</v>
      </c>
      <c r="EC2" s="300">
        <v>131</v>
      </c>
      <c r="ED2" s="301">
        <v>132</v>
      </c>
      <c r="EE2" s="566"/>
      <c r="EF2" s="561"/>
      <c r="EG2" s="553"/>
      <c r="EH2" s="553"/>
      <c r="EI2" s="555"/>
      <c r="EJ2" s="557"/>
      <c r="EK2" s="6"/>
      <c r="EL2" s="6"/>
    </row>
    <row r="3" spans="1:144" x14ac:dyDescent="0.2">
      <c r="A3" s="558" t="s">
        <v>9427</v>
      </c>
      <c r="B3" s="299">
        <v>1</v>
      </c>
      <c r="C3" s="345"/>
      <c r="D3" s="345"/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6"/>
      <c r="AC3" s="361"/>
      <c r="AD3" s="348"/>
      <c r="AE3" s="345"/>
      <c r="AF3" s="349"/>
      <c r="AG3" s="349"/>
      <c r="AH3" s="349"/>
      <c r="AI3" s="345"/>
      <c r="AJ3" s="345"/>
      <c r="AK3" s="345"/>
      <c r="AL3" s="349"/>
      <c r="AM3" s="349"/>
      <c r="AN3" s="345"/>
      <c r="AO3" s="345"/>
      <c r="AP3" s="346"/>
      <c r="AQ3" s="349"/>
      <c r="AR3" s="349"/>
      <c r="AS3" s="349"/>
      <c r="AT3" s="349"/>
      <c r="AU3" s="349"/>
      <c r="AV3" s="349"/>
      <c r="AW3" s="349"/>
      <c r="AX3" s="345"/>
      <c r="AY3" s="349"/>
      <c r="AZ3" s="349"/>
      <c r="BA3" s="349"/>
      <c r="BB3" s="349"/>
      <c r="BC3" s="349"/>
      <c r="BD3" s="349"/>
      <c r="BE3" s="349"/>
      <c r="BF3" s="345"/>
      <c r="BG3" s="349"/>
      <c r="BH3" s="349"/>
      <c r="BI3" s="349"/>
      <c r="BJ3" s="349"/>
      <c r="BK3" s="349"/>
      <c r="BL3" s="349"/>
      <c r="BM3" s="349"/>
      <c r="BN3" s="345"/>
      <c r="BO3" s="349"/>
      <c r="BP3" s="349"/>
      <c r="BQ3" s="349"/>
      <c r="BR3" s="349"/>
      <c r="BS3" s="349"/>
      <c r="BT3" s="345"/>
      <c r="BU3" s="349"/>
      <c r="BV3" s="351"/>
      <c r="BW3" s="348"/>
      <c r="BX3" s="348"/>
      <c r="BY3" s="348"/>
      <c r="BZ3" s="348"/>
      <c r="CA3" s="348"/>
      <c r="CB3" s="348"/>
      <c r="CC3" s="348"/>
      <c r="CD3" s="348"/>
      <c r="CE3" s="348"/>
      <c r="CF3" s="348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52"/>
      <c r="EE3" s="329" t="str">
        <f>IF(COUNTIF(C3:ED3, "x"), "x", "")</f>
        <v/>
      </c>
      <c r="EF3" s="330"/>
      <c r="EG3" s="330" t="str">
        <f>IF(COUNTIF(C3:AB3, "x"), "x", "")</f>
        <v/>
      </c>
      <c r="EH3" s="330" t="str">
        <f>IF(COUNTIF(AC3:AP3, "x"), "x", "")</f>
        <v/>
      </c>
      <c r="EI3" s="330" t="str">
        <f>IF(COUNTIF(AQ3:BU3, "x"), "x", "")</f>
        <v/>
      </c>
      <c r="EJ3" s="331" t="str">
        <f>IF(COUNTIF(BV3:ED3, "x"), "x", "")</f>
        <v/>
      </c>
      <c r="EM3" s="420"/>
      <c r="EN3" t="s">
        <v>11852</v>
      </c>
    </row>
    <row r="4" spans="1:144" x14ac:dyDescent="0.2">
      <c r="A4" s="559"/>
      <c r="B4" s="301">
        <v>2</v>
      </c>
      <c r="C4" s="345"/>
      <c r="D4" s="345"/>
      <c r="E4" s="345"/>
      <c r="F4" s="345"/>
      <c r="G4" s="345"/>
      <c r="H4" s="345"/>
      <c r="I4" s="345"/>
      <c r="J4" s="345"/>
      <c r="K4" s="345"/>
      <c r="L4" s="345"/>
      <c r="M4" s="345"/>
      <c r="N4" s="345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6"/>
      <c r="AC4" s="361"/>
      <c r="AD4" s="349"/>
      <c r="AE4" s="345"/>
      <c r="AF4" s="349"/>
      <c r="AG4" s="349"/>
      <c r="AH4" s="349"/>
      <c r="AI4" s="345"/>
      <c r="AJ4" s="345"/>
      <c r="AK4" s="345"/>
      <c r="AL4" s="349"/>
      <c r="AM4" s="349"/>
      <c r="AN4" s="345"/>
      <c r="AO4" s="345"/>
      <c r="AP4" s="346"/>
      <c r="AQ4" s="353" t="s">
        <v>9409</v>
      </c>
      <c r="AR4" s="353"/>
      <c r="AS4" s="353"/>
      <c r="AT4" s="353"/>
      <c r="AU4" s="349"/>
      <c r="AV4" s="349"/>
      <c r="AW4" s="349"/>
      <c r="AX4" s="345"/>
      <c r="AY4" s="349"/>
      <c r="AZ4" s="349"/>
      <c r="BA4" s="349"/>
      <c r="BB4" s="349"/>
      <c r="BC4" s="349"/>
      <c r="BD4" s="349"/>
      <c r="BE4" s="349"/>
      <c r="BF4" s="345"/>
      <c r="BG4" s="349"/>
      <c r="BH4" s="349"/>
      <c r="BI4" s="349"/>
      <c r="BJ4" s="349"/>
      <c r="BK4" s="349"/>
      <c r="BL4" s="349"/>
      <c r="BM4" s="349"/>
      <c r="BN4" s="345"/>
      <c r="BO4" s="349"/>
      <c r="BP4" s="349"/>
      <c r="BQ4" s="349"/>
      <c r="BR4" s="349"/>
      <c r="BS4" s="349"/>
      <c r="BT4" s="345"/>
      <c r="BU4" s="349"/>
      <c r="BV4" s="347"/>
      <c r="BW4" s="349"/>
      <c r="BX4" s="349"/>
      <c r="BY4" s="349"/>
      <c r="BZ4" s="349"/>
      <c r="CA4" s="349"/>
      <c r="CB4" s="349"/>
      <c r="CC4" s="349"/>
      <c r="CD4" s="349"/>
      <c r="CE4" s="349"/>
      <c r="CF4" s="349"/>
      <c r="CG4" s="349"/>
      <c r="CH4" s="349"/>
      <c r="CI4" s="349"/>
      <c r="CJ4" s="349"/>
      <c r="CK4" s="349"/>
      <c r="CL4" s="349"/>
      <c r="CM4" s="349"/>
      <c r="CN4" s="349"/>
      <c r="CO4" s="349"/>
      <c r="CP4" s="349"/>
      <c r="CQ4" s="349"/>
      <c r="CR4" s="349"/>
      <c r="CS4" s="349"/>
      <c r="CT4" s="349"/>
      <c r="CU4" s="349"/>
      <c r="CV4" s="349"/>
      <c r="CW4" s="349"/>
      <c r="CX4" s="349"/>
      <c r="CY4" s="349"/>
      <c r="CZ4" s="349"/>
      <c r="DA4" s="349"/>
      <c r="DB4" s="349"/>
      <c r="DC4" s="349"/>
      <c r="DD4" s="349"/>
      <c r="DE4" s="349"/>
      <c r="DF4" s="349"/>
      <c r="DG4" s="349"/>
      <c r="DH4" s="349"/>
      <c r="DI4" s="349"/>
      <c r="DJ4" s="349"/>
      <c r="DK4" s="349"/>
      <c r="DL4" s="353"/>
      <c r="DM4" s="353" t="s">
        <v>9409</v>
      </c>
      <c r="DN4" s="353"/>
      <c r="DO4" s="353"/>
      <c r="DP4" s="353"/>
      <c r="DQ4" s="349"/>
      <c r="DR4" s="349"/>
      <c r="DS4" s="349"/>
      <c r="DT4" s="349"/>
      <c r="DU4" s="349"/>
      <c r="DV4" s="349"/>
      <c r="DW4" s="349"/>
      <c r="DX4" s="349"/>
      <c r="DY4" s="349"/>
      <c r="DZ4" s="349"/>
      <c r="EA4" s="349"/>
      <c r="EB4" s="349"/>
      <c r="EC4" s="349"/>
      <c r="ED4" s="350"/>
      <c r="EE4" s="329" t="str">
        <f>IF(COUNTIF(C4:ED4, "x"), "x", "")</f>
        <v>x</v>
      </c>
      <c r="EF4" s="330"/>
      <c r="EG4" s="330" t="str">
        <f t="shared" ref="EG4:EG67" si="0">IF(COUNTIF(C4:AB4, "x"), "x", "")</f>
        <v/>
      </c>
      <c r="EH4" s="330" t="str">
        <f t="shared" ref="EH4:EH67" si="1">IF(COUNTIF(AC4:AP4, "x"), "x", "")</f>
        <v/>
      </c>
      <c r="EI4" s="330" t="str">
        <f t="shared" ref="EI4:EI67" si="2">IF(COUNTIF(AQ4:BU4, "x"), "x", "")</f>
        <v>x</v>
      </c>
      <c r="EJ4" s="331" t="str">
        <f t="shared" ref="EJ4:EJ67" si="3">IF(COUNTIF(BV4:ED4, "x"), "x", "")</f>
        <v>x</v>
      </c>
      <c r="EM4" s="24"/>
      <c r="EN4" t="s">
        <v>11875</v>
      </c>
    </row>
    <row r="5" spans="1:144" x14ac:dyDescent="0.2">
      <c r="A5" s="559"/>
      <c r="B5" s="301">
        <v>3</v>
      </c>
      <c r="C5" s="345"/>
      <c r="D5" s="345"/>
      <c r="E5" s="345"/>
      <c r="F5" s="345"/>
      <c r="G5" s="345"/>
      <c r="H5" s="345"/>
      <c r="I5" s="345"/>
      <c r="J5" s="345"/>
      <c r="K5" s="345"/>
      <c r="L5" s="345"/>
      <c r="M5" s="345"/>
      <c r="N5" s="345"/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  <c r="AA5" s="345"/>
      <c r="AB5" s="346"/>
      <c r="AC5" s="361"/>
      <c r="AD5" s="349"/>
      <c r="AE5" s="345"/>
      <c r="AF5" s="349"/>
      <c r="AG5" s="349"/>
      <c r="AH5" s="349"/>
      <c r="AI5" s="345"/>
      <c r="AJ5" s="345"/>
      <c r="AK5" s="345"/>
      <c r="AL5" s="349"/>
      <c r="AM5" s="349"/>
      <c r="AN5" s="345"/>
      <c r="AO5" s="345"/>
      <c r="AP5" s="346"/>
      <c r="AQ5" s="353"/>
      <c r="AR5" s="353"/>
      <c r="AS5" s="353" t="s">
        <v>9409</v>
      </c>
      <c r="AT5" s="353"/>
      <c r="AU5" s="349"/>
      <c r="AV5" s="349"/>
      <c r="AW5" s="349"/>
      <c r="AX5" s="345"/>
      <c r="AY5" s="349"/>
      <c r="AZ5" s="349"/>
      <c r="BA5" s="349"/>
      <c r="BB5" s="349"/>
      <c r="BC5" s="349"/>
      <c r="BD5" s="349"/>
      <c r="BE5" s="349"/>
      <c r="BF5" s="345"/>
      <c r="BG5" s="349"/>
      <c r="BH5" s="349"/>
      <c r="BI5" s="349"/>
      <c r="BJ5" s="349"/>
      <c r="BK5" s="349"/>
      <c r="BL5" s="349"/>
      <c r="BM5" s="349"/>
      <c r="BN5" s="345"/>
      <c r="BO5" s="349"/>
      <c r="BP5" s="349"/>
      <c r="BQ5" s="349"/>
      <c r="BR5" s="349"/>
      <c r="BS5" s="349"/>
      <c r="BT5" s="345"/>
      <c r="BU5" s="349"/>
      <c r="BV5" s="347"/>
      <c r="BW5" s="349"/>
      <c r="BX5" s="349"/>
      <c r="BY5" s="349"/>
      <c r="BZ5" s="349"/>
      <c r="CA5" s="349"/>
      <c r="CB5" s="349"/>
      <c r="CC5" s="349"/>
      <c r="CD5" s="349"/>
      <c r="CE5" s="349"/>
      <c r="CF5" s="349"/>
      <c r="CG5" s="349"/>
      <c r="CH5" s="349"/>
      <c r="CI5" s="349"/>
      <c r="CJ5" s="349"/>
      <c r="CK5" s="349"/>
      <c r="CL5" s="349"/>
      <c r="CM5" s="349"/>
      <c r="CN5" s="349"/>
      <c r="CO5" s="349"/>
      <c r="CP5" s="349"/>
      <c r="CQ5" s="349"/>
      <c r="CR5" s="349"/>
      <c r="CS5" s="349"/>
      <c r="CT5" s="349"/>
      <c r="CU5" s="349"/>
      <c r="CV5" s="349"/>
      <c r="CW5" s="349"/>
      <c r="CX5" s="349"/>
      <c r="CY5" s="349"/>
      <c r="CZ5" s="349"/>
      <c r="DA5" s="349"/>
      <c r="DB5" s="349"/>
      <c r="DC5" s="349"/>
      <c r="DD5" s="349"/>
      <c r="DE5" s="349"/>
      <c r="DF5" s="349"/>
      <c r="DG5" s="349"/>
      <c r="DH5" s="349"/>
      <c r="DI5" s="349"/>
      <c r="DJ5" s="349"/>
      <c r="DK5" s="349"/>
      <c r="DL5" s="353" t="s">
        <v>9409</v>
      </c>
      <c r="DM5" s="353"/>
      <c r="DN5" s="353"/>
      <c r="DO5" s="353"/>
      <c r="DP5" s="353"/>
      <c r="DQ5" s="349"/>
      <c r="DR5" s="349"/>
      <c r="DS5" s="349"/>
      <c r="DT5" s="349"/>
      <c r="DU5" s="349"/>
      <c r="DV5" s="349"/>
      <c r="DW5" s="349"/>
      <c r="DX5" s="349"/>
      <c r="DY5" s="349"/>
      <c r="DZ5" s="349"/>
      <c r="EA5" s="349"/>
      <c r="EB5" s="349"/>
      <c r="EC5" s="349"/>
      <c r="ED5" s="350"/>
      <c r="EE5" s="329" t="str">
        <f>IF(COUNTIF(C5:ED5, "x"), "x", "")</f>
        <v>x</v>
      </c>
      <c r="EF5" s="330"/>
      <c r="EG5" s="330" t="str">
        <f t="shared" si="0"/>
        <v/>
      </c>
      <c r="EH5" s="330" t="str">
        <f t="shared" si="1"/>
        <v/>
      </c>
      <c r="EI5" s="330" t="str">
        <f t="shared" si="2"/>
        <v>x</v>
      </c>
      <c r="EJ5" s="331" t="str">
        <f t="shared" si="3"/>
        <v>x</v>
      </c>
      <c r="EM5" s="367"/>
      <c r="EN5" t="s">
        <v>11876</v>
      </c>
    </row>
    <row r="6" spans="1:144" x14ac:dyDescent="0.2">
      <c r="A6" s="559"/>
      <c r="B6" s="301">
        <v>4</v>
      </c>
      <c r="C6" s="345"/>
      <c r="D6" s="345"/>
      <c r="E6" s="345"/>
      <c r="F6" s="345"/>
      <c r="G6" s="345"/>
      <c r="H6" s="345"/>
      <c r="I6" s="345"/>
      <c r="J6" s="345"/>
      <c r="K6" s="345"/>
      <c r="L6" s="345"/>
      <c r="M6" s="345"/>
      <c r="N6" s="345"/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  <c r="AA6" s="345"/>
      <c r="AB6" s="346"/>
      <c r="AC6" s="361"/>
      <c r="AD6" s="349"/>
      <c r="AE6" s="345"/>
      <c r="AF6" s="349"/>
      <c r="AG6" s="349"/>
      <c r="AH6" s="349"/>
      <c r="AI6" s="345"/>
      <c r="AJ6" s="345"/>
      <c r="AK6" s="345"/>
      <c r="AL6" s="349"/>
      <c r="AM6" s="349"/>
      <c r="AN6" s="345"/>
      <c r="AO6" s="345"/>
      <c r="AP6" s="346"/>
      <c r="AQ6" s="349"/>
      <c r="AR6" s="349" t="s">
        <v>9409</v>
      </c>
      <c r="AS6" s="349"/>
      <c r="AT6" s="349"/>
      <c r="AU6" s="349"/>
      <c r="AV6" s="349"/>
      <c r="AW6" s="349"/>
      <c r="AX6" s="345"/>
      <c r="AY6" s="349"/>
      <c r="AZ6" s="349"/>
      <c r="BA6" s="349"/>
      <c r="BB6" s="349"/>
      <c r="BC6" s="349"/>
      <c r="BD6" s="349"/>
      <c r="BE6" s="349"/>
      <c r="BF6" s="345"/>
      <c r="BG6" s="349"/>
      <c r="BH6" s="349"/>
      <c r="BI6" s="349"/>
      <c r="BJ6" s="349"/>
      <c r="BK6" s="349"/>
      <c r="BL6" s="349"/>
      <c r="BM6" s="349"/>
      <c r="BN6" s="345"/>
      <c r="BO6" s="349"/>
      <c r="BP6" s="349"/>
      <c r="BQ6" s="349"/>
      <c r="BR6" s="349"/>
      <c r="BS6" s="349"/>
      <c r="BT6" s="345"/>
      <c r="BU6" s="349"/>
      <c r="BV6" s="347"/>
      <c r="BW6" s="349"/>
      <c r="BX6" s="349"/>
      <c r="BY6" s="349"/>
      <c r="BZ6" s="349"/>
      <c r="CA6" s="349"/>
      <c r="CB6" s="349"/>
      <c r="CC6" s="349"/>
      <c r="CD6" s="349"/>
      <c r="CE6" s="349"/>
      <c r="CF6" s="349"/>
      <c r="CG6" s="349"/>
      <c r="CH6" s="349"/>
      <c r="CI6" s="349"/>
      <c r="CJ6" s="349"/>
      <c r="CK6" s="349"/>
      <c r="CL6" s="349"/>
      <c r="CM6" s="349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49"/>
      <c r="DC6" s="349"/>
      <c r="DD6" s="349"/>
      <c r="DE6" s="349"/>
      <c r="DF6" s="349"/>
      <c r="DG6" s="349"/>
      <c r="DH6" s="349" t="s">
        <v>9409</v>
      </c>
      <c r="DI6" s="349"/>
      <c r="DJ6" s="349"/>
      <c r="DK6" s="349"/>
      <c r="DL6" s="349"/>
      <c r="DM6" s="349"/>
      <c r="DN6" s="349"/>
      <c r="DO6" s="349"/>
      <c r="DP6" s="349"/>
      <c r="DQ6" s="349"/>
      <c r="DR6" s="349"/>
      <c r="DS6" s="349"/>
      <c r="DT6" s="349"/>
      <c r="DU6" s="349"/>
      <c r="DV6" s="349"/>
      <c r="DW6" s="349"/>
      <c r="DX6" s="349"/>
      <c r="DY6" s="349"/>
      <c r="DZ6" s="349"/>
      <c r="EA6" s="349"/>
      <c r="EB6" s="349"/>
      <c r="EC6" s="349"/>
      <c r="ED6" s="350"/>
      <c r="EE6" s="329" t="str">
        <f t="shared" ref="EE6:EE67" si="4">IF(COUNTIF(C6:ED6, "x"), "x", "")</f>
        <v>x</v>
      </c>
      <c r="EF6" s="330"/>
      <c r="EG6" s="330" t="str">
        <f t="shared" si="0"/>
        <v/>
      </c>
      <c r="EH6" s="330" t="str">
        <f t="shared" si="1"/>
        <v/>
      </c>
      <c r="EI6" s="330" t="str">
        <f t="shared" si="2"/>
        <v>x</v>
      </c>
      <c r="EJ6" s="331" t="str">
        <f t="shared" si="3"/>
        <v>x</v>
      </c>
      <c r="EM6" s="33"/>
      <c r="EN6" t="s">
        <v>11877</v>
      </c>
    </row>
    <row r="7" spans="1:144" x14ac:dyDescent="0.2">
      <c r="A7" s="559"/>
      <c r="B7" s="301">
        <v>5</v>
      </c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5"/>
      <c r="O7" s="345"/>
      <c r="P7" s="345"/>
      <c r="Q7" s="345"/>
      <c r="R7" s="345"/>
      <c r="S7" s="345"/>
      <c r="T7" s="345"/>
      <c r="U7" s="345"/>
      <c r="V7" s="345"/>
      <c r="W7" s="345"/>
      <c r="X7" s="345"/>
      <c r="Y7" s="345"/>
      <c r="Z7" s="345"/>
      <c r="AA7" s="345"/>
      <c r="AB7" s="346"/>
      <c r="AC7" s="361"/>
      <c r="AD7" s="349"/>
      <c r="AE7" s="345"/>
      <c r="AF7" s="349"/>
      <c r="AG7" s="349"/>
      <c r="AH7" s="349"/>
      <c r="AI7" s="345"/>
      <c r="AJ7" s="345"/>
      <c r="AK7" s="345"/>
      <c r="AL7" s="349"/>
      <c r="AM7" s="349"/>
      <c r="AN7" s="345"/>
      <c r="AO7" s="345"/>
      <c r="AP7" s="346"/>
      <c r="AQ7" s="349"/>
      <c r="AR7" s="349"/>
      <c r="AS7" s="349"/>
      <c r="AT7" s="349" t="s">
        <v>9409</v>
      </c>
      <c r="AU7" s="349"/>
      <c r="AV7" s="349"/>
      <c r="AW7" s="349"/>
      <c r="AX7" s="345"/>
      <c r="AY7" s="349"/>
      <c r="AZ7" s="349"/>
      <c r="BA7" s="349"/>
      <c r="BB7" s="349"/>
      <c r="BC7" s="349"/>
      <c r="BD7" s="349"/>
      <c r="BE7" s="349"/>
      <c r="BF7" s="345"/>
      <c r="BG7" s="349"/>
      <c r="BH7" s="349"/>
      <c r="BI7" s="349"/>
      <c r="BJ7" s="349"/>
      <c r="BK7" s="349"/>
      <c r="BL7" s="349"/>
      <c r="BM7" s="349"/>
      <c r="BN7" s="345"/>
      <c r="BO7" s="349"/>
      <c r="BP7" s="349"/>
      <c r="BQ7" s="349"/>
      <c r="BR7" s="349"/>
      <c r="BS7" s="349"/>
      <c r="BT7" s="345"/>
      <c r="BU7" s="349"/>
      <c r="BV7" s="347"/>
      <c r="BW7" s="349"/>
      <c r="BX7" s="349"/>
      <c r="BY7" s="349"/>
      <c r="BZ7" s="349"/>
      <c r="CA7" s="349"/>
      <c r="CB7" s="349"/>
      <c r="CC7" s="349"/>
      <c r="CD7" s="349"/>
      <c r="CE7" s="349"/>
      <c r="CF7" s="349"/>
      <c r="CG7" s="349"/>
      <c r="CH7" s="349"/>
      <c r="CI7" s="349"/>
      <c r="CJ7" s="349"/>
      <c r="CK7" s="349"/>
      <c r="CL7" s="349"/>
      <c r="CM7" s="349"/>
      <c r="CN7" s="349"/>
      <c r="CO7" s="349"/>
      <c r="CP7" s="349"/>
      <c r="CQ7" s="349"/>
      <c r="CR7" s="349"/>
      <c r="CS7" s="349"/>
      <c r="CT7" s="349"/>
      <c r="CU7" s="349"/>
      <c r="CV7" s="349"/>
      <c r="CW7" s="349"/>
      <c r="CX7" s="349"/>
      <c r="CY7" s="349"/>
      <c r="CZ7" s="349"/>
      <c r="DA7" s="349"/>
      <c r="DB7" s="349" t="s">
        <v>9409</v>
      </c>
      <c r="DC7" s="349"/>
      <c r="DD7" s="349"/>
      <c r="DE7" s="349"/>
      <c r="DF7" s="349"/>
      <c r="DG7" s="349"/>
      <c r="DH7" s="349"/>
      <c r="DI7" s="349"/>
      <c r="DJ7" s="349"/>
      <c r="DK7" s="349"/>
      <c r="DL7" s="349"/>
      <c r="DM7" s="349"/>
      <c r="DN7" s="349"/>
      <c r="DO7" s="349"/>
      <c r="DP7" s="349"/>
      <c r="DQ7" s="349"/>
      <c r="DR7" s="349"/>
      <c r="DS7" s="349"/>
      <c r="DT7" s="349"/>
      <c r="DU7" s="349"/>
      <c r="DV7" s="349"/>
      <c r="DW7" s="349"/>
      <c r="DX7" s="349"/>
      <c r="DY7" s="349"/>
      <c r="DZ7" s="349"/>
      <c r="EA7" s="349"/>
      <c r="EB7" s="349"/>
      <c r="EC7" s="349"/>
      <c r="ED7" s="350"/>
      <c r="EE7" s="329" t="str">
        <f t="shared" si="4"/>
        <v>x</v>
      </c>
      <c r="EF7" s="330"/>
      <c r="EG7" s="330" t="str">
        <f t="shared" si="0"/>
        <v/>
      </c>
      <c r="EH7" s="330" t="str">
        <f t="shared" si="1"/>
        <v/>
      </c>
      <c r="EI7" s="330" t="str">
        <f t="shared" si="2"/>
        <v>x</v>
      </c>
      <c r="EJ7" s="331" t="str">
        <f t="shared" si="3"/>
        <v>x</v>
      </c>
      <c r="EM7" s="418"/>
      <c r="EN7" t="s">
        <v>11869</v>
      </c>
    </row>
    <row r="8" spans="1:144" x14ac:dyDescent="0.2">
      <c r="A8" s="559"/>
      <c r="B8" s="301">
        <v>6</v>
      </c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345"/>
      <c r="N8" s="345"/>
      <c r="O8" s="345"/>
      <c r="P8" s="345"/>
      <c r="Q8" s="345"/>
      <c r="R8" s="345"/>
      <c r="S8" s="345"/>
      <c r="T8" s="345"/>
      <c r="U8" s="345"/>
      <c r="V8" s="345"/>
      <c r="W8" s="345"/>
      <c r="X8" s="345"/>
      <c r="Y8" s="345"/>
      <c r="Z8" s="345"/>
      <c r="AA8" s="345"/>
      <c r="AB8" s="346"/>
      <c r="AC8" s="361"/>
      <c r="AD8" s="349"/>
      <c r="AE8" s="345"/>
      <c r="AF8" s="349"/>
      <c r="AG8" s="349"/>
      <c r="AH8" s="349"/>
      <c r="AI8" s="345"/>
      <c r="AJ8" s="345"/>
      <c r="AK8" s="345"/>
      <c r="AL8" s="349"/>
      <c r="AM8" s="349"/>
      <c r="AN8" s="345"/>
      <c r="AO8" s="345"/>
      <c r="AP8" s="346"/>
      <c r="AQ8" s="349"/>
      <c r="AR8" s="349"/>
      <c r="AS8" s="349"/>
      <c r="AT8" s="349"/>
      <c r="AU8" s="349"/>
      <c r="AV8" s="349" t="s">
        <v>9409</v>
      </c>
      <c r="AW8" s="349"/>
      <c r="AX8" s="345"/>
      <c r="AY8" s="349"/>
      <c r="AZ8" s="349"/>
      <c r="BA8" s="349"/>
      <c r="BB8" s="349"/>
      <c r="BC8" s="349"/>
      <c r="BD8" s="349"/>
      <c r="BE8" s="349"/>
      <c r="BF8" s="345"/>
      <c r="BG8" s="349"/>
      <c r="BH8" s="349"/>
      <c r="BI8" s="349"/>
      <c r="BJ8" s="349"/>
      <c r="BK8" s="349"/>
      <c r="BL8" s="349"/>
      <c r="BM8" s="349"/>
      <c r="BN8" s="345"/>
      <c r="BO8" s="349"/>
      <c r="BP8" s="349"/>
      <c r="BQ8" s="349"/>
      <c r="BR8" s="349"/>
      <c r="BS8" s="349"/>
      <c r="BT8" s="345"/>
      <c r="BU8" s="349"/>
      <c r="BV8" s="347"/>
      <c r="BW8" s="349"/>
      <c r="BX8" s="349"/>
      <c r="BY8" s="349"/>
      <c r="BZ8" s="349"/>
      <c r="CA8" s="349"/>
      <c r="CB8" s="349"/>
      <c r="CC8" s="349"/>
      <c r="CD8" s="349"/>
      <c r="CE8" s="349"/>
      <c r="CF8" s="349"/>
      <c r="CG8" s="349"/>
      <c r="CH8" s="349"/>
      <c r="CI8" s="349"/>
      <c r="CJ8" s="349"/>
      <c r="CK8" s="349"/>
      <c r="CL8" s="349"/>
      <c r="CM8" s="349"/>
      <c r="CN8" s="349"/>
      <c r="CO8" s="349"/>
      <c r="CP8" s="349"/>
      <c r="CQ8" s="349"/>
      <c r="CR8" s="349"/>
      <c r="CS8" s="349"/>
      <c r="CT8" s="349"/>
      <c r="CU8" s="349"/>
      <c r="CV8" s="349"/>
      <c r="CW8" s="349"/>
      <c r="CX8" s="349"/>
      <c r="CY8" s="349"/>
      <c r="CZ8" s="349" t="s">
        <v>9409</v>
      </c>
      <c r="DA8" s="349"/>
      <c r="DB8" s="349"/>
      <c r="DC8" s="349"/>
      <c r="DD8" s="349"/>
      <c r="DE8" s="349"/>
      <c r="DF8" s="349"/>
      <c r="DG8" s="349"/>
      <c r="DH8" s="349"/>
      <c r="DI8" s="349"/>
      <c r="DJ8" s="349"/>
      <c r="DK8" s="349"/>
      <c r="DL8" s="349"/>
      <c r="DM8" s="349"/>
      <c r="DN8" s="349"/>
      <c r="DO8" s="349"/>
      <c r="DP8" s="349"/>
      <c r="DQ8" s="349"/>
      <c r="DR8" s="349"/>
      <c r="DS8" s="349"/>
      <c r="DT8" s="349"/>
      <c r="DU8" s="349"/>
      <c r="DV8" s="349"/>
      <c r="DW8" s="349"/>
      <c r="DX8" s="349"/>
      <c r="DY8" s="349"/>
      <c r="DZ8" s="349"/>
      <c r="EA8" s="349"/>
      <c r="EB8" s="349"/>
      <c r="EC8" s="349"/>
      <c r="ED8" s="350"/>
      <c r="EE8" s="329" t="str">
        <f t="shared" si="4"/>
        <v>x</v>
      </c>
      <c r="EF8" s="330"/>
      <c r="EG8" s="330" t="str">
        <f t="shared" si="0"/>
        <v/>
      </c>
      <c r="EH8" s="330" t="str">
        <f t="shared" si="1"/>
        <v/>
      </c>
      <c r="EI8" s="330" t="str">
        <f t="shared" si="2"/>
        <v>x</v>
      </c>
      <c r="EJ8" s="331" t="str">
        <f t="shared" si="3"/>
        <v>x</v>
      </c>
      <c r="EM8" s="419"/>
      <c r="EN8" t="s">
        <v>11878</v>
      </c>
    </row>
    <row r="9" spans="1:144" x14ac:dyDescent="0.2">
      <c r="A9" s="559"/>
      <c r="B9" s="301">
        <v>7</v>
      </c>
      <c r="C9" s="345"/>
      <c r="D9" s="345"/>
      <c r="E9" s="345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6"/>
      <c r="AC9" s="361"/>
      <c r="AD9" s="349"/>
      <c r="AE9" s="345"/>
      <c r="AF9" s="349"/>
      <c r="AG9" s="349"/>
      <c r="AH9" s="349"/>
      <c r="AI9" s="345"/>
      <c r="AJ9" s="345"/>
      <c r="AK9" s="345"/>
      <c r="AL9" s="349"/>
      <c r="AM9" s="349"/>
      <c r="AN9" s="345"/>
      <c r="AO9" s="345"/>
      <c r="AP9" s="346"/>
      <c r="AQ9" s="349"/>
      <c r="AR9" s="349"/>
      <c r="AS9" s="349"/>
      <c r="AT9" s="349"/>
      <c r="AU9" s="349"/>
      <c r="AV9" s="349"/>
      <c r="AW9" s="349" t="s">
        <v>9409</v>
      </c>
      <c r="AX9" s="345"/>
      <c r="AY9" s="349"/>
      <c r="AZ9" s="349"/>
      <c r="BA9" s="349"/>
      <c r="BB9" s="349"/>
      <c r="BC9" s="349"/>
      <c r="BD9" s="349"/>
      <c r="BE9" s="349"/>
      <c r="BF9" s="345"/>
      <c r="BG9" s="349"/>
      <c r="BH9" s="349"/>
      <c r="BI9" s="349"/>
      <c r="BJ9" s="349"/>
      <c r="BK9" s="349"/>
      <c r="BL9" s="349"/>
      <c r="BM9" s="349"/>
      <c r="BN9" s="345"/>
      <c r="BO9" s="349"/>
      <c r="BP9" s="349"/>
      <c r="BQ9" s="349"/>
      <c r="BR9" s="349"/>
      <c r="BS9" s="349"/>
      <c r="BT9" s="345"/>
      <c r="BU9" s="349"/>
      <c r="BV9" s="347"/>
      <c r="BW9" s="349"/>
      <c r="BX9" s="349"/>
      <c r="BY9" s="349"/>
      <c r="BZ9" s="349"/>
      <c r="CA9" s="349"/>
      <c r="CB9" s="349"/>
      <c r="CC9" s="349"/>
      <c r="CD9" s="349"/>
      <c r="CE9" s="349"/>
      <c r="CF9" s="349"/>
      <c r="CG9" s="349"/>
      <c r="CH9" s="349"/>
      <c r="CI9" s="349"/>
      <c r="CJ9" s="349"/>
      <c r="CK9" s="349"/>
      <c r="CL9" s="349"/>
      <c r="CM9" s="349"/>
      <c r="CN9" s="349"/>
      <c r="CO9" s="349"/>
      <c r="CP9" s="349"/>
      <c r="CQ9" s="349"/>
      <c r="CR9" s="349"/>
      <c r="CS9" s="349"/>
      <c r="CT9" s="349"/>
      <c r="CU9" s="349"/>
      <c r="CV9" s="349"/>
      <c r="CW9" s="349"/>
      <c r="CX9" s="349"/>
      <c r="CY9" s="349" t="s">
        <v>9409</v>
      </c>
      <c r="CZ9" s="349"/>
      <c r="DA9" s="349"/>
      <c r="DB9" s="349"/>
      <c r="DC9" s="349"/>
      <c r="DD9" s="349"/>
      <c r="DE9" s="349"/>
      <c r="DF9" s="349"/>
      <c r="DG9" s="349"/>
      <c r="DH9" s="349"/>
      <c r="DI9" s="349"/>
      <c r="DJ9" s="349"/>
      <c r="DK9" s="349"/>
      <c r="DL9" s="349"/>
      <c r="DM9" s="349"/>
      <c r="DN9" s="349"/>
      <c r="DO9" s="349"/>
      <c r="DP9" s="349"/>
      <c r="DQ9" s="349"/>
      <c r="DR9" s="349"/>
      <c r="DS9" s="349"/>
      <c r="DT9" s="349"/>
      <c r="DU9" s="349"/>
      <c r="DV9" s="349"/>
      <c r="DW9" s="349"/>
      <c r="DX9" s="349"/>
      <c r="DY9" s="349"/>
      <c r="DZ9" s="349"/>
      <c r="EA9" s="349"/>
      <c r="EB9" s="349"/>
      <c r="EC9" s="349"/>
      <c r="ED9" s="350"/>
      <c r="EE9" s="329" t="str">
        <f t="shared" si="4"/>
        <v>x</v>
      </c>
      <c r="EF9" s="330"/>
      <c r="EG9" s="330" t="str">
        <f t="shared" si="0"/>
        <v/>
      </c>
      <c r="EH9" s="330" t="str">
        <f t="shared" si="1"/>
        <v/>
      </c>
      <c r="EI9" s="330" t="str">
        <f t="shared" si="2"/>
        <v>x</v>
      </c>
      <c r="EJ9" s="331" t="str">
        <f t="shared" si="3"/>
        <v>x</v>
      </c>
      <c r="EM9" s="317"/>
      <c r="EN9" t="s">
        <v>11879</v>
      </c>
    </row>
    <row r="10" spans="1:144" x14ac:dyDescent="0.2">
      <c r="A10" s="559"/>
      <c r="B10" s="301">
        <v>8</v>
      </c>
      <c r="C10" s="345"/>
      <c r="D10" s="345"/>
      <c r="E10" s="345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6"/>
      <c r="AC10" s="361"/>
      <c r="AD10" s="349"/>
      <c r="AE10" s="345"/>
      <c r="AF10" s="349"/>
      <c r="AG10" s="349"/>
      <c r="AH10" s="349"/>
      <c r="AI10" s="345"/>
      <c r="AJ10" s="345"/>
      <c r="AK10" s="345"/>
      <c r="AL10" s="349"/>
      <c r="AM10" s="349"/>
      <c r="AN10" s="345"/>
      <c r="AO10" s="345"/>
      <c r="AP10" s="346"/>
      <c r="AQ10" s="349"/>
      <c r="AR10" s="349"/>
      <c r="AS10" s="349"/>
      <c r="AT10" s="349"/>
      <c r="AU10" s="349"/>
      <c r="AV10" s="349"/>
      <c r="AW10" s="349"/>
      <c r="AX10" s="345"/>
      <c r="AY10" s="353" t="s">
        <v>9409</v>
      </c>
      <c r="AZ10" s="353"/>
      <c r="BA10" s="349"/>
      <c r="BB10" s="349"/>
      <c r="BC10" s="349"/>
      <c r="BD10" s="349"/>
      <c r="BE10" s="349"/>
      <c r="BF10" s="345"/>
      <c r="BG10" s="349"/>
      <c r="BH10" s="349"/>
      <c r="BI10" s="349"/>
      <c r="BJ10" s="349"/>
      <c r="BK10" s="349"/>
      <c r="BL10" s="349"/>
      <c r="BM10" s="349"/>
      <c r="BN10" s="345"/>
      <c r="BO10" s="349"/>
      <c r="BP10" s="349"/>
      <c r="BQ10" s="349"/>
      <c r="BR10" s="349"/>
      <c r="BS10" s="349"/>
      <c r="BT10" s="345"/>
      <c r="BU10" s="349"/>
      <c r="BV10" s="347"/>
      <c r="BW10" s="349"/>
      <c r="BX10" s="349"/>
      <c r="BY10" s="349"/>
      <c r="BZ10" s="349"/>
      <c r="CA10" s="349"/>
      <c r="CB10" s="349"/>
      <c r="CC10" s="349"/>
      <c r="CD10" s="349"/>
      <c r="CE10" s="349"/>
      <c r="CF10" s="349"/>
      <c r="CG10" s="349"/>
      <c r="CH10" s="349"/>
      <c r="CI10" s="349"/>
      <c r="CJ10" s="349"/>
      <c r="CK10" s="349"/>
      <c r="CL10" s="349"/>
      <c r="CM10" s="349"/>
      <c r="CN10" s="349"/>
      <c r="CO10" s="349"/>
      <c r="CP10" s="349"/>
      <c r="CQ10" s="349"/>
      <c r="CR10" s="349"/>
      <c r="CS10" s="349"/>
      <c r="CT10" s="349"/>
      <c r="CU10" s="349" t="s">
        <v>9409</v>
      </c>
      <c r="CV10" s="378" t="s">
        <v>9409</v>
      </c>
      <c r="CW10" s="349"/>
      <c r="CX10" s="349"/>
      <c r="CY10" s="349"/>
      <c r="CZ10" s="349"/>
      <c r="DA10" s="349"/>
      <c r="DB10" s="349"/>
      <c r="DC10" s="349"/>
      <c r="DD10" s="349"/>
      <c r="DE10" s="349"/>
      <c r="DF10" s="349"/>
      <c r="DG10" s="349"/>
      <c r="DH10" s="349"/>
      <c r="DI10" s="349"/>
      <c r="DJ10" s="349"/>
      <c r="DK10" s="349"/>
      <c r="DL10" s="349"/>
      <c r="DM10" s="349"/>
      <c r="DN10" s="349"/>
      <c r="DO10" s="349"/>
      <c r="DP10" s="349"/>
      <c r="DQ10" s="349"/>
      <c r="DR10" s="349"/>
      <c r="DS10" s="349"/>
      <c r="DT10" s="349"/>
      <c r="DU10" s="349"/>
      <c r="DV10" s="349"/>
      <c r="DW10" s="349"/>
      <c r="DX10" s="349"/>
      <c r="DY10" s="349"/>
      <c r="DZ10" s="349"/>
      <c r="EA10" s="349"/>
      <c r="EB10" s="349"/>
      <c r="EC10" s="349"/>
      <c r="ED10" s="350"/>
      <c r="EE10" s="329" t="str">
        <f t="shared" si="4"/>
        <v>x</v>
      </c>
      <c r="EF10" s="330"/>
      <c r="EG10" s="330" t="str">
        <f t="shared" si="0"/>
        <v/>
      </c>
      <c r="EH10" s="330" t="str">
        <f t="shared" si="1"/>
        <v/>
      </c>
      <c r="EI10" s="330" t="str">
        <f t="shared" si="2"/>
        <v>x</v>
      </c>
      <c r="EJ10" s="331" t="str">
        <f t="shared" si="3"/>
        <v>x</v>
      </c>
      <c r="EK10" s="47"/>
    </row>
    <row r="11" spans="1:144" x14ac:dyDescent="0.2">
      <c r="A11" s="559"/>
      <c r="B11" s="301">
        <v>9</v>
      </c>
      <c r="C11" s="345"/>
      <c r="D11" s="345"/>
      <c r="E11" s="345"/>
      <c r="F11" s="345"/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6"/>
      <c r="AC11" s="361"/>
      <c r="AD11" s="349"/>
      <c r="AE11" s="345"/>
      <c r="AF11" s="349"/>
      <c r="AG11" s="349"/>
      <c r="AH11" s="349"/>
      <c r="AI11" s="345"/>
      <c r="AJ11" s="345"/>
      <c r="AK11" s="345"/>
      <c r="AL11" s="349"/>
      <c r="AM11" s="349"/>
      <c r="AN11" s="345"/>
      <c r="AO11" s="345"/>
      <c r="AP11" s="346"/>
      <c r="AQ11" s="349"/>
      <c r="AR11" s="349"/>
      <c r="AS11" s="349"/>
      <c r="AT11" s="349"/>
      <c r="AU11" s="349"/>
      <c r="AV11" s="349"/>
      <c r="AW11" s="349"/>
      <c r="AX11" s="345"/>
      <c r="AY11" s="353"/>
      <c r="AZ11" s="353" t="s">
        <v>9409</v>
      </c>
      <c r="BA11" s="349"/>
      <c r="BB11" s="349"/>
      <c r="BC11" s="349"/>
      <c r="BD11" s="349"/>
      <c r="BE11" s="349"/>
      <c r="BF11" s="345"/>
      <c r="BG11" s="349"/>
      <c r="BH11" s="349"/>
      <c r="BI11" s="349"/>
      <c r="BJ11" s="349"/>
      <c r="BK11" s="349"/>
      <c r="BL11" s="349"/>
      <c r="BM11" s="349"/>
      <c r="BN11" s="345"/>
      <c r="BO11" s="349"/>
      <c r="BP11" s="349"/>
      <c r="BQ11" s="349"/>
      <c r="BR11" s="349"/>
      <c r="BS11" s="349"/>
      <c r="BT11" s="345"/>
      <c r="BU11" s="349"/>
      <c r="BV11" s="347"/>
      <c r="BW11" s="349"/>
      <c r="BX11" s="349"/>
      <c r="BY11" s="349"/>
      <c r="BZ11" s="349"/>
      <c r="CA11" s="349"/>
      <c r="CB11" s="349"/>
      <c r="CC11" s="349"/>
      <c r="CD11" s="349"/>
      <c r="CE11" s="349"/>
      <c r="CF11" s="349"/>
      <c r="CG11" s="349"/>
      <c r="CH11" s="349"/>
      <c r="CI11" s="349"/>
      <c r="CJ11" s="349"/>
      <c r="CK11" s="349"/>
      <c r="CL11" s="349"/>
      <c r="CM11" s="349"/>
      <c r="CN11" s="349"/>
      <c r="CO11" s="349"/>
      <c r="CP11" s="349" t="s">
        <v>9409</v>
      </c>
      <c r="CQ11" s="378" t="s">
        <v>9409</v>
      </c>
      <c r="CR11" s="349"/>
      <c r="CS11" s="349"/>
      <c r="CT11" s="349"/>
      <c r="CU11" s="349"/>
      <c r="CV11" s="349"/>
      <c r="CW11" s="349"/>
      <c r="CX11" s="349"/>
      <c r="CY11" s="349"/>
      <c r="CZ11" s="349"/>
      <c r="DA11" s="349"/>
      <c r="DB11" s="349"/>
      <c r="DC11" s="349"/>
      <c r="DD11" s="349"/>
      <c r="DE11" s="349"/>
      <c r="DF11" s="349"/>
      <c r="DG11" s="349"/>
      <c r="DH11" s="349"/>
      <c r="DI11" s="349"/>
      <c r="DJ11" s="349"/>
      <c r="DK11" s="349"/>
      <c r="DL11" s="349"/>
      <c r="DM11" s="349"/>
      <c r="DN11" s="349"/>
      <c r="DO11" s="349"/>
      <c r="DP11" s="349"/>
      <c r="DQ11" s="349"/>
      <c r="DR11" s="349"/>
      <c r="DS11" s="349"/>
      <c r="DT11" s="349"/>
      <c r="DU11" s="349"/>
      <c r="DV11" s="349"/>
      <c r="DW11" s="349"/>
      <c r="DX11" s="349"/>
      <c r="DY11" s="349"/>
      <c r="DZ11" s="349"/>
      <c r="EA11" s="349"/>
      <c r="EB11" s="349"/>
      <c r="EC11" s="349"/>
      <c r="ED11" s="350"/>
      <c r="EE11" s="329" t="str">
        <f t="shared" si="4"/>
        <v>x</v>
      </c>
      <c r="EF11" s="330"/>
      <c r="EG11" s="330" t="str">
        <f t="shared" si="0"/>
        <v/>
      </c>
      <c r="EH11" s="330" t="str">
        <f t="shared" si="1"/>
        <v/>
      </c>
      <c r="EI11" s="330" t="str">
        <f t="shared" si="2"/>
        <v>x</v>
      </c>
      <c r="EJ11" s="331" t="str">
        <f t="shared" si="3"/>
        <v>x</v>
      </c>
      <c r="EK11" s="47"/>
    </row>
    <row r="12" spans="1:144" x14ac:dyDescent="0.2">
      <c r="A12" s="559"/>
      <c r="B12" s="301">
        <v>10</v>
      </c>
      <c r="C12" s="345"/>
      <c r="D12" s="345"/>
      <c r="E12" s="345"/>
      <c r="F12" s="345"/>
      <c r="G12" s="345"/>
      <c r="H12" s="345"/>
      <c r="I12" s="345"/>
      <c r="J12" s="345"/>
      <c r="K12" s="345"/>
      <c r="L12" s="345"/>
      <c r="M12" s="345"/>
      <c r="N12" s="345"/>
      <c r="O12" s="345"/>
      <c r="P12" s="345"/>
      <c r="Q12" s="345"/>
      <c r="R12" s="345"/>
      <c r="S12" s="345"/>
      <c r="T12" s="345"/>
      <c r="U12" s="345"/>
      <c r="V12" s="345"/>
      <c r="W12" s="345"/>
      <c r="X12" s="345"/>
      <c r="Y12" s="345"/>
      <c r="Z12" s="345"/>
      <c r="AA12" s="345"/>
      <c r="AB12" s="346"/>
      <c r="AC12" s="361"/>
      <c r="AD12" s="349"/>
      <c r="AE12" s="345"/>
      <c r="AF12" s="349"/>
      <c r="AG12" s="349"/>
      <c r="AH12" s="349"/>
      <c r="AI12" s="345"/>
      <c r="AJ12" s="345"/>
      <c r="AK12" s="345"/>
      <c r="AL12" s="349"/>
      <c r="AM12" s="349"/>
      <c r="AN12" s="345"/>
      <c r="AO12" s="345"/>
      <c r="AP12" s="346"/>
      <c r="AQ12" s="349"/>
      <c r="AR12" s="349"/>
      <c r="AS12" s="349"/>
      <c r="AT12" s="349"/>
      <c r="AU12" s="349"/>
      <c r="AV12" s="349"/>
      <c r="AW12" s="349"/>
      <c r="AX12" s="345"/>
      <c r="AY12" s="353"/>
      <c r="AZ12" s="353"/>
      <c r="BA12" s="349"/>
      <c r="BB12" s="349" t="s">
        <v>9409</v>
      </c>
      <c r="BC12" s="349"/>
      <c r="BD12" s="349"/>
      <c r="BE12" s="349"/>
      <c r="BF12" s="345"/>
      <c r="BG12" s="349"/>
      <c r="BH12" s="349"/>
      <c r="BI12" s="349"/>
      <c r="BJ12" s="349"/>
      <c r="BK12" s="349"/>
      <c r="BL12" s="349"/>
      <c r="BM12" s="349"/>
      <c r="BN12" s="345"/>
      <c r="BO12" s="349"/>
      <c r="BP12" s="349"/>
      <c r="BQ12" s="349"/>
      <c r="BR12" s="349"/>
      <c r="BS12" s="349"/>
      <c r="BT12" s="345"/>
      <c r="BU12" s="349"/>
      <c r="BV12" s="347"/>
      <c r="BW12" s="349"/>
      <c r="BX12" s="349"/>
      <c r="BY12" s="349"/>
      <c r="BZ12" s="349"/>
      <c r="CA12" s="349"/>
      <c r="CB12" s="349"/>
      <c r="CC12" s="349"/>
      <c r="CD12" s="349"/>
      <c r="CE12" s="349"/>
      <c r="CF12" s="349"/>
      <c r="CG12" s="349"/>
      <c r="CH12" s="349"/>
      <c r="CI12" s="349"/>
      <c r="CJ12" s="349"/>
      <c r="CK12" s="349"/>
      <c r="CL12" s="349"/>
      <c r="CM12" s="349" t="s">
        <v>9409</v>
      </c>
      <c r="CN12" s="349"/>
      <c r="CO12" s="349"/>
      <c r="CP12" s="349"/>
      <c r="CQ12" s="349"/>
      <c r="CR12" s="349"/>
      <c r="CS12" s="349"/>
      <c r="CT12" s="349"/>
      <c r="CU12" s="349"/>
      <c r="CV12" s="349"/>
      <c r="CW12" s="349"/>
      <c r="CX12" s="349"/>
      <c r="CY12" s="349"/>
      <c r="CZ12" s="349"/>
      <c r="DA12" s="349"/>
      <c r="DB12" s="349"/>
      <c r="DC12" s="349"/>
      <c r="DD12" s="349"/>
      <c r="DE12" s="349"/>
      <c r="DF12" s="349"/>
      <c r="DG12" s="349"/>
      <c r="DH12" s="349"/>
      <c r="DI12" s="349"/>
      <c r="DJ12" s="349"/>
      <c r="DK12" s="349"/>
      <c r="DL12" s="349"/>
      <c r="DM12" s="349"/>
      <c r="DN12" s="349"/>
      <c r="DO12" s="349"/>
      <c r="DP12" s="349"/>
      <c r="DQ12" s="349"/>
      <c r="DR12" s="349"/>
      <c r="DS12" s="349"/>
      <c r="DT12" s="349"/>
      <c r="DU12" s="349"/>
      <c r="DV12" s="349"/>
      <c r="DW12" s="349"/>
      <c r="DX12" s="349"/>
      <c r="DY12" s="349"/>
      <c r="DZ12" s="349"/>
      <c r="EA12" s="349"/>
      <c r="EB12" s="349"/>
      <c r="EC12" s="349"/>
      <c r="ED12" s="350"/>
      <c r="EE12" s="329" t="str">
        <f t="shared" si="4"/>
        <v>x</v>
      </c>
      <c r="EF12" s="330"/>
      <c r="EG12" s="330" t="str">
        <f t="shared" si="0"/>
        <v/>
      </c>
      <c r="EH12" s="330" t="str">
        <f t="shared" si="1"/>
        <v/>
      </c>
      <c r="EI12" s="330" t="str">
        <f t="shared" si="2"/>
        <v>x</v>
      </c>
      <c r="EJ12" s="331" t="str">
        <f t="shared" si="3"/>
        <v>x</v>
      </c>
    </row>
    <row r="13" spans="1:144" x14ac:dyDescent="0.2">
      <c r="A13" s="559"/>
      <c r="B13" s="301">
        <v>11</v>
      </c>
      <c r="C13" s="345"/>
      <c r="D13" s="345"/>
      <c r="E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  <c r="P13" s="345"/>
      <c r="Q13" s="345"/>
      <c r="R13" s="345"/>
      <c r="S13" s="345"/>
      <c r="T13" s="345"/>
      <c r="U13" s="345"/>
      <c r="V13" s="345"/>
      <c r="W13" s="345"/>
      <c r="X13" s="345"/>
      <c r="Y13" s="345"/>
      <c r="Z13" s="345"/>
      <c r="AA13" s="345"/>
      <c r="AB13" s="346"/>
      <c r="AC13" s="361"/>
      <c r="AD13" s="349"/>
      <c r="AE13" s="345"/>
      <c r="AF13" s="349"/>
      <c r="AG13" s="349"/>
      <c r="AH13" s="349"/>
      <c r="AI13" s="345"/>
      <c r="AJ13" s="345"/>
      <c r="AK13" s="345"/>
      <c r="AL13" s="349"/>
      <c r="AM13" s="349"/>
      <c r="AN13" s="345"/>
      <c r="AO13" s="345"/>
      <c r="AP13" s="346"/>
      <c r="AQ13" s="349"/>
      <c r="AR13" s="349"/>
      <c r="AS13" s="349"/>
      <c r="AT13" s="349"/>
      <c r="AU13" s="349"/>
      <c r="AV13" s="349"/>
      <c r="AW13" s="349"/>
      <c r="AX13" s="345"/>
      <c r="AY13" s="349"/>
      <c r="AZ13" s="349"/>
      <c r="BA13" s="349"/>
      <c r="BB13" s="349"/>
      <c r="BC13" s="349"/>
      <c r="BD13" s="349"/>
      <c r="BE13" s="349"/>
      <c r="BF13" s="345"/>
      <c r="BG13" s="349"/>
      <c r="BH13" s="349"/>
      <c r="BI13" s="349"/>
      <c r="BJ13" s="349"/>
      <c r="BK13" s="349"/>
      <c r="BL13" s="349"/>
      <c r="BM13" s="349"/>
      <c r="BN13" s="345"/>
      <c r="BO13" s="349"/>
      <c r="BP13" s="349"/>
      <c r="BQ13" s="349"/>
      <c r="BR13" s="349"/>
      <c r="BS13" s="349"/>
      <c r="BT13" s="345"/>
      <c r="BU13" s="349"/>
      <c r="BV13" s="347"/>
      <c r="BW13" s="349"/>
      <c r="BX13" s="349"/>
      <c r="BY13" s="349"/>
      <c r="BZ13" s="349"/>
      <c r="CA13" s="349"/>
      <c r="CB13" s="349"/>
      <c r="CC13" s="349"/>
      <c r="CD13" s="349"/>
      <c r="CE13" s="349"/>
      <c r="CF13" s="349"/>
      <c r="CG13" s="349"/>
      <c r="CH13" s="349"/>
      <c r="CI13" s="349"/>
      <c r="CJ13" s="349"/>
      <c r="CK13" s="349"/>
      <c r="CL13" s="349"/>
      <c r="CM13" s="349"/>
      <c r="CN13" s="349"/>
      <c r="CO13" s="349"/>
      <c r="CP13" s="349"/>
      <c r="CQ13" s="349"/>
      <c r="CR13" s="349"/>
      <c r="CS13" s="349"/>
      <c r="CT13" s="349"/>
      <c r="CU13" s="349"/>
      <c r="CV13" s="349"/>
      <c r="CW13" s="349"/>
      <c r="CX13" s="349"/>
      <c r="CY13" s="349"/>
      <c r="CZ13" s="349"/>
      <c r="DA13" s="349"/>
      <c r="DB13" s="349"/>
      <c r="DC13" s="349"/>
      <c r="DD13" s="349"/>
      <c r="DE13" s="349"/>
      <c r="DF13" s="349"/>
      <c r="DG13" s="349"/>
      <c r="DH13" s="349"/>
      <c r="DI13" s="349"/>
      <c r="DJ13" s="349"/>
      <c r="DK13" s="349"/>
      <c r="DL13" s="349"/>
      <c r="DM13" s="349"/>
      <c r="DN13" s="349"/>
      <c r="DO13" s="349"/>
      <c r="DP13" s="349"/>
      <c r="DQ13" s="349"/>
      <c r="DR13" s="349"/>
      <c r="DS13" s="349"/>
      <c r="DT13" s="349"/>
      <c r="DU13" s="349"/>
      <c r="DV13" s="349"/>
      <c r="DW13" s="349"/>
      <c r="DX13" s="349"/>
      <c r="DY13" s="349"/>
      <c r="DZ13" s="349"/>
      <c r="EA13" s="349"/>
      <c r="EB13" s="349"/>
      <c r="EC13" s="349"/>
      <c r="ED13" s="350"/>
      <c r="EE13" s="329" t="str">
        <f t="shared" si="4"/>
        <v/>
      </c>
      <c r="EF13" s="330"/>
      <c r="EG13" s="330" t="str">
        <f t="shared" si="0"/>
        <v/>
      </c>
      <c r="EH13" s="330" t="str">
        <f t="shared" si="1"/>
        <v/>
      </c>
      <c r="EI13" s="330" t="str">
        <f t="shared" si="2"/>
        <v/>
      </c>
      <c r="EJ13" s="331" t="str">
        <f t="shared" si="3"/>
        <v/>
      </c>
    </row>
    <row r="14" spans="1:144" x14ac:dyDescent="0.2">
      <c r="A14" s="559"/>
      <c r="B14" s="301">
        <v>12</v>
      </c>
      <c r="C14" s="345"/>
      <c r="D14" s="345"/>
      <c r="E14" s="345"/>
      <c r="F14" s="345"/>
      <c r="G14" s="345"/>
      <c r="H14" s="345"/>
      <c r="I14" s="345"/>
      <c r="J14" s="345"/>
      <c r="K14" s="345"/>
      <c r="L14" s="345"/>
      <c r="M14" s="345"/>
      <c r="N14" s="345"/>
      <c r="O14" s="345"/>
      <c r="P14" s="345"/>
      <c r="Q14" s="345"/>
      <c r="R14" s="345"/>
      <c r="S14" s="345"/>
      <c r="T14" s="345"/>
      <c r="U14" s="345"/>
      <c r="V14" s="345"/>
      <c r="W14" s="345"/>
      <c r="X14" s="345"/>
      <c r="Y14" s="345"/>
      <c r="Z14" s="345"/>
      <c r="AA14" s="345"/>
      <c r="AB14" s="346"/>
      <c r="AC14" s="361"/>
      <c r="AD14" s="349"/>
      <c r="AE14" s="345"/>
      <c r="AF14" s="349"/>
      <c r="AG14" s="349"/>
      <c r="AH14" s="349"/>
      <c r="AI14" s="345"/>
      <c r="AJ14" s="345"/>
      <c r="AK14" s="345"/>
      <c r="AL14" s="349"/>
      <c r="AM14" s="349"/>
      <c r="AN14" s="345"/>
      <c r="AO14" s="345"/>
      <c r="AP14" s="346"/>
      <c r="AQ14" s="349"/>
      <c r="AR14" s="349"/>
      <c r="AS14" s="349"/>
      <c r="AT14" s="349"/>
      <c r="AU14" s="349"/>
      <c r="AV14" s="349"/>
      <c r="AW14" s="349"/>
      <c r="AX14" s="345"/>
      <c r="AY14" s="349"/>
      <c r="AZ14" s="349"/>
      <c r="BA14" s="349"/>
      <c r="BB14" s="349"/>
      <c r="BC14" s="349"/>
      <c r="BD14" s="349"/>
      <c r="BE14" s="349"/>
      <c r="BF14" s="345"/>
      <c r="BG14" s="349"/>
      <c r="BH14" s="349"/>
      <c r="BI14" s="349"/>
      <c r="BJ14" s="349"/>
      <c r="BK14" s="349"/>
      <c r="BL14" s="349"/>
      <c r="BM14" s="349"/>
      <c r="BN14" s="345"/>
      <c r="BO14" s="349"/>
      <c r="BP14" s="349"/>
      <c r="BQ14" s="349"/>
      <c r="BR14" s="349"/>
      <c r="BS14" s="349"/>
      <c r="BT14" s="345"/>
      <c r="BU14" s="349"/>
      <c r="BV14" s="347"/>
      <c r="BW14" s="349"/>
      <c r="BX14" s="349"/>
      <c r="BY14" s="349"/>
      <c r="BZ14" s="349"/>
      <c r="CA14" s="349"/>
      <c r="CB14" s="349"/>
      <c r="CC14" s="349"/>
      <c r="CD14" s="349"/>
      <c r="CE14" s="349"/>
      <c r="CF14" s="349"/>
      <c r="CG14" s="349"/>
      <c r="CH14" s="349" t="s">
        <v>9409</v>
      </c>
      <c r="CI14" s="349"/>
      <c r="CJ14" s="349"/>
      <c r="CK14" s="349"/>
      <c r="CL14" s="349"/>
      <c r="CM14" s="349"/>
      <c r="CN14" s="349"/>
      <c r="CO14" s="349"/>
      <c r="CP14" s="349"/>
      <c r="CQ14" s="349"/>
      <c r="CR14" s="349"/>
      <c r="CS14" s="349"/>
      <c r="CT14" s="349"/>
      <c r="CU14" s="349"/>
      <c r="CV14" s="349"/>
      <c r="CW14" s="349"/>
      <c r="CX14" s="349"/>
      <c r="CY14" s="349"/>
      <c r="CZ14" s="349"/>
      <c r="DA14" s="349"/>
      <c r="DB14" s="349"/>
      <c r="DC14" s="349"/>
      <c r="DD14" s="349"/>
      <c r="DE14" s="349"/>
      <c r="DF14" s="349"/>
      <c r="DG14" s="349"/>
      <c r="DH14" s="349"/>
      <c r="DI14" s="349"/>
      <c r="DJ14" s="349"/>
      <c r="DK14" s="349"/>
      <c r="DL14" s="349"/>
      <c r="DM14" s="349"/>
      <c r="DN14" s="349"/>
      <c r="DO14" s="349"/>
      <c r="DP14" s="349"/>
      <c r="DQ14" s="349"/>
      <c r="DR14" s="349"/>
      <c r="DS14" s="349"/>
      <c r="DT14" s="349"/>
      <c r="DU14" s="349"/>
      <c r="DV14" s="349"/>
      <c r="DW14" s="349"/>
      <c r="DX14" s="349"/>
      <c r="DY14" s="349"/>
      <c r="DZ14" s="349"/>
      <c r="EA14" s="349"/>
      <c r="EB14" s="349"/>
      <c r="EC14" s="349"/>
      <c r="ED14" s="350"/>
      <c r="EE14" s="329" t="str">
        <f t="shared" si="4"/>
        <v>x</v>
      </c>
      <c r="EF14" s="330"/>
      <c r="EG14" s="330" t="str">
        <f t="shared" si="0"/>
        <v/>
      </c>
      <c r="EH14" s="330" t="str">
        <f t="shared" si="1"/>
        <v/>
      </c>
      <c r="EI14" s="330" t="str">
        <f t="shared" si="2"/>
        <v/>
      </c>
      <c r="EJ14" s="331" t="str">
        <f t="shared" si="3"/>
        <v>x</v>
      </c>
    </row>
    <row r="15" spans="1:144" x14ac:dyDescent="0.2">
      <c r="A15" s="559"/>
      <c r="B15" s="301">
        <v>13</v>
      </c>
      <c r="C15" s="345"/>
      <c r="D15" s="345"/>
      <c r="E15" s="345"/>
      <c r="F15" s="345"/>
      <c r="G15" s="345"/>
      <c r="H15" s="345"/>
      <c r="I15" s="345"/>
      <c r="J15" s="345"/>
      <c r="K15" s="345"/>
      <c r="L15" s="345"/>
      <c r="M15" s="345"/>
      <c r="N15" s="345"/>
      <c r="O15" s="345"/>
      <c r="P15" s="345"/>
      <c r="Q15" s="345"/>
      <c r="R15" s="345"/>
      <c r="S15" s="345"/>
      <c r="T15" s="345"/>
      <c r="U15" s="345"/>
      <c r="V15" s="345"/>
      <c r="W15" s="345"/>
      <c r="X15" s="345"/>
      <c r="Y15" s="345"/>
      <c r="Z15" s="345"/>
      <c r="AA15" s="345"/>
      <c r="AB15" s="346"/>
      <c r="AC15" s="361"/>
      <c r="AD15" s="349"/>
      <c r="AE15" s="345"/>
      <c r="AF15" s="349"/>
      <c r="AG15" s="349"/>
      <c r="AH15" s="349"/>
      <c r="AI15" s="345"/>
      <c r="AJ15" s="345"/>
      <c r="AK15" s="345"/>
      <c r="AL15" s="349"/>
      <c r="AM15" s="349"/>
      <c r="AN15" s="345"/>
      <c r="AO15" s="345"/>
      <c r="AP15" s="346"/>
      <c r="AQ15" s="349"/>
      <c r="AR15" s="349"/>
      <c r="AS15" s="349"/>
      <c r="AT15" s="349"/>
      <c r="AU15" s="349"/>
      <c r="AV15" s="349"/>
      <c r="AW15" s="349"/>
      <c r="AX15" s="345"/>
      <c r="AY15" s="349"/>
      <c r="AZ15" s="349"/>
      <c r="BA15" s="349"/>
      <c r="BB15" s="349"/>
      <c r="BC15" s="349"/>
      <c r="BD15" s="349"/>
      <c r="BE15" s="349"/>
      <c r="BF15" s="345"/>
      <c r="BG15" s="349"/>
      <c r="BH15" s="349"/>
      <c r="BI15" s="349"/>
      <c r="BJ15" s="349"/>
      <c r="BK15" s="349"/>
      <c r="BL15" s="349"/>
      <c r="BM15" s="349"/>
      <c r="BN15" s="345"/>
      <c r="BO15" s="349"/>
      <c r="BP15" s="349"/>
      <c r="BQ15" s="349"/>
      <c r="BR15" s="349"/>
      <c r="BS15" s="349"/>
      <c r="BT15" s="345"/>
      <c r="BU15" s="349"/>
      <c r="BV15" s="347"/>
      <c r="BW15" s="349"/>
      <c r="BX15" s="349"/>
      <c r="BY15" s="349"/>
      <c r="BZ15" s="349"/>
      <c r="CA15" s="349"/>
      <c r="CB15" s="349"/>
      <c r="CC15" s="349"/>
      <c r="CD15" s="349"/>
      <c r="CE15" s="349" t="s">
        <v>9409</v>
      </c>
      <c r="CF15" s="349"/>
      <c r="CG15" s="349"/>
      <c r="CH15" s="349"/>
      <c r="CI15" s="349"/>
      <c r="CJ15" s="349"/>
      <c r="CK15" s="349"/>
      <c r="CL15" s="349"/>
      <c r="CM15" s="349"/>
      <c r="CN15" s="349"/>
      <c r="CO15" s="349"/>
      <c r="CP15" s="349"/>
      <c r="CQ15" s="349"/>
      <c r="CR15" s="349"/>
      <c r="CS15" s="349"/>
      <c r="CT15" s="349"/>
      <c r="CU15" s="349"/>
      <c r="CV15" s="349"/>
      <c r="CW15" s="349"/>
      <c r="CX15" s="349"/>
      <c r="CY15" s="349"/>
      <c r="CZ15" s="349"/>
      <c r="DA15" s="349"/>
      <c r="DB15" s="349"/>
      <c r="DC15" s="349"/>
      <c r="DD15" s="349"/>
      <c r="DE15" s="349"/>
      <c r="DF15" s="349"/>
      <c r="DG15" s="349"/>
      <c r="DH15" s="349"/>
      <c r="DI15" s="349"/>
      <c r="DJ15" s="349"/>
      <c r="DK15" s="349"/>
      <c r="DL15" s="349"/>
      <c r="DM15" s="349"/>
      <c r="DN15" s="349"/>
      <c r="DO15" s="349"/>
      <c r="DP15" s="349"/>
      <c r="DQ15" s="349"/>
      <c r="DR15" s="349"/>
      <c r="DS15" s="349"/>
      <c r="DT15" s="349"/>
      <c r="DU15" s="349"/>
      <c r="DV15" s="349"/>
      <c r="DW15" s="349"/>
      <c r="DX15" s="349"/>
      <c r="DY15" s="349"/>
      <c r="DZ15" s="349"/>
      <c r="EA15" s="349"/>
      <c r="EB15" s="349"/>
      <c r="EC15" s="349"/>
      <c r="ED15" s="350"/>
      <c r="EE15" s="329" t="str">
        <f t="shared" si="4"/>
        <v>x</v>
      </c>
      <c r="EF15" s="330"/>
      <c r="EG15" s="330" t="str">
        <f t="shared" si="0"/>
        <v/>
      </c>
      <c r="EH15" s="330" t="str">
        <f t="shared" si="1"/>
        <v/>
      </c>
      <c r="EI15" s="330" t="str">
        <f t="shared" si="2"/>
        <v/>
      </c>
      <c r="EJ15" s="331" t="str">
        <f t="shared" si="3"/>
        <v>x</v>
      </c>
    </row>
    <row r="16" spans="1:144" x14ac:dyDescent="0.2">
      <c r="A16" s="559"/>
      <c r="B16" s="301">
        <v>14</v>
      </c>
      <c r="C16" s="345"/>
      <c r="D16" s="345"/>
      <c r="E16" s="345"/>
      <c r="F16" s="345"/>
      <c r="G16" s="345"/>
      <c r="H16" s="345"/>
      <c r="I16" s="345"/>
      <c r="J16" s="345"/>
      <c r="K16" s="345"/>
      <c r="L16" s="345"/>
      <c r="M16" s="345"/>
      <c r="N16" s="345"/>
      <c r="O16" s="345"/>
      <c r="P16" s="345"/>
      <c r="Q16" s="345"/>
      <c r="R16" s="345"/>
      <c r="S16" s="345"/>
      <c r="T16" s="345"/>
      <c r="U16" s="345"/>
      <c r="V16" s="345"/>
      <c r="W16" s="345"/>
      <c r="X16" s="345"/>
      <c r="Y16" s="345"/>
      <c r="Z16" s="345"/>
      <c r="AA16" s="345"/>
      <c r="AB16" s="346"/>
      <c r="AC16" s="361"/>
      <c r="AD16" s="349"/>
      <c r="AE16" s="345"/>
      <c r="AF16" s="349"/>
      <c r="AG16" s="349"/>
      <c r="AH16" s="349"/>
      <c r="AI16" s="345"/>
      <c r="AJ16" s="345"/>
      <c r="AK16" s="345"/>
      <c r="AL16" s="349"/>
      <c r="AM16" s="349"/>
      <c r="AN16" s="345"/>
      <c r="AO16" s="345"/>
      <c r="AP16" s="346"/>
      <c r="AQ16" s="349"/>
      <c r="AR16" s="349"/>
      <c r="AS16" s="349"/>
      <c r="AT16" s="349"/>
      <c r="AU16" s="349"/>
      <c r="AV16" s="349"/>
      <c r="AW16" s="349"/>
      <c r="AX16" s="345"/>
      <c r="AY16" s="349"/>
      <c r="AZ16" s="349"/>
      <c r="BA16" s="349"/>
      <c r="BB16" s="349"/>
      <c r="BC16" s="349"/>
      <c r="BD16" s="349" t="s">
        <v>9409</v>
      </c>
      <c r="BE16" s="349"/>
      <c r="BF16" s="345"/>
      <c r="BG16" s="349"/>
      <c r="BH16" s="349"/>
      <c r="BI16" s="349"/>
      <c r="BJ16" s="349"/>
      <c r="BK16" s="349"/>
      <c r="BL16" s="349"/>
      <c r="BM16" s="349"/>
      <c r="BN16" s="345"/>
      <c r="BO16" s="349"/>
      <c r="BP16" s="349"/>
      <c r="BQ16" s="349"/>
      <c r="BR16" s="349"/>
      <c r="BS16" s="349"/>
      <c r="BT16" s="345"/>
      <c r="BU16" s="349"/>
      <c r="BV16" s="347"/>
      <c r="BW16" s="349"/>
      <c r="BX16" s="349"/>
      <c r="BY16" s="349"/>
      <c r="BZ16" s="349"/>
      <c r="CA16" s="349"/>
      <c r="CB16" s="349"/>
      <c r="CC16" s="349" t="s">
        <v>9409</v>
      </c>
      <c r="CD16" s="349"/>
      <c r="CE16" s="349"/>
      <c r="CF16" s="349"/>
      <c r="CG16" s="349"/>
      <c r="CH16" s="349"/>
      <c r="CI16" s="349"/>
      <c r="CJ16" s="349"/>
      <c r="CK16" s="349"/>
      <c r="CL16" s="349"/>
      <c r="CM16" s="349"/>
      <c r="CN16" s="349"/>
      <c r="CO16" s="349"/>
      <c r="CP16" s="349"/>
      <c r="CQ16" s="349"/>
      <c r="CR16" s="349"/>
      <c r="CS16" s="349"/>
      <c r="CT16" s="349"/>
      <c r="CU16" s="349"/>
      <c r="CV16" s="349"/>
      <c r="CW16" s="349"/>
      <c r="CX16" s="349"/>
      <c r="CY16" s="349"/>
      <c r="CZ16" s="349"/>
      <c r="DA16" s="349"/>
      <c r="DB16" s="349"/>
      <c r="DC16" s="349"/>
      <c r="DD16" s="349"/>
      <c r="DE16" s="349"/>
      <c r="DF16" s="349"/>
      <c r="DG16" s="349"/>
      <c r="DH16" s="349"/>
      <c r="DI16" s="349"/>
      <c r="DJ16" s="349"/>
      <c r="DK16" s="349"/>
      <c r="DL16" s="349"/>
      <c r="DM16" s="349"/>
      <c r="DN16" s="349"/>
      <c r="DO16" s="349"/>
      <c r="DP16" s="349"/>
      <c r="DQ16" s="349"/>
      <c r="DR16" s="349"/>
      <c r="DS16" s="349"/>
      <c r="DT16" s="349"/>
      <c r="DU16" s="349"/>
      <c r="DV16" s="349"/>
      <c r="DW16" s="349"/>
      <c r="DX16" s="349"/>
      <c r="DY16" s="349"/>
      <c r="DZ16" s="349"/>
      <c r="EA16" s="349"/>
      <c r="EB16" s="349"/>
      <c r="EC16" s="349"/>
      <c r="ED16" s="350"/>
      <c r="EE16" s="329" t="str">
        <f t="shared" si="4"/>
        <v>x</v>
      </c>
      <c r="EF16" s="330"/>
      <c r="EG16" s="330" t="str">
        <f t="shared" si="0"/>
        <v/>
      </c>
      <c r="EH16" s="330" t="str">
        <f t="shared" si="1"/>
        <v/>
      </c>
      <c r="EI16" s="330" t="str">
        <f t="shared" si="2"/>
        <v>x</v>
      </c>
      <c r="EJ16" s="331" t="str">
        <f t="shared" si="3"/>
        <v>x</v>
      </c>
    </row>
    <row r="17" spans="1:144" x14ac:dyDescent="0.2">
      <c r="A17" s="559"/>
      <c r="B17" s="301">
        <v>15</v>
      </c>
      <c r="C17" s="345"/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345"/>
      <c r="P17" s="345"/>
      <c r="Q17" s="345"/>
      <c r="R17" s="345"/>
      <c r="S17" s="345"/>
      <c r="T17" s="345"/>
      <c r="U17" s="345"/>
      <c r="V17" s="345"/>
      <c r="W17" s="345"/>
      <c r="X17" s="345"/>
      <c r="Y17" s="345"/>
      <c r="Z17" s="345"/>
      <c r="AA17" s="345"/>
      <c r="AB17" s="346"/>
      <c r="AC17" s="361"/>
      <c r="AD17" s="349"/>
      <c r="AE17" s="345"/>
      <c r="AF17" s="349"/>
      <c r="AG17" s="349"/>
      <c r="AH17" s="349"/>
      <c r="AI17" s="345"/>
      <c r="AJ17" s="345"/>
      <c r="AK17" s="345"/>
      <c r="AL17" s="349"/>
      <c r="AM17" s="349"/>
      <c r="AN17" s="345"/>
      <c r="AO17" s="345"/>
      <c r="AP17" s="346"/>
      <c r="AQ17" s="349"/>
      <c r="AR17" s="349"/>
      <c r="AS17" s="349"/>
      <c r="AT17" s="349"/>
      <c r="AU17" s="349"/>
      <c r="AV17" s="349"/>
      <c r="AW17" s="349"/>
      <c r="AX17" s="345"/>
      <c r="AY17" s="349"/>
      <c r="AZ17" s="349"/>
      <c r="BA17" s="349"/>
      <c r="BB17" s="349"/>
      <c r="BC17" s="349"/>
      <c r="BD17" s="349"/>
      <c r="BE17" s="349" t="s">
        <v>9409</v>
      </c>
      <c r="BF17" s="345"/>
      <c r="BG17" s="349"/>
      <c r="BH17" s="349"/>
      <c r="BI17" s="349"/>
      <c r="BJ17" s="349"/>
      <c r="BK17" s="349"/>
      <c r="BL17" s="349"/>
      <c r="BM17" s="349"/>
      <c r="BN17" s="345"/>
      <c r="BO17" s="349"/>
      <c r="BP17" s="349"/>
      <c r="BQ17" s="349"/>
      <c r="BR17" s="349"/>
      <c r="BS17" s="349"/>
      <c r="BT17" s="345"/>
      <c r="BU17" s="349"/>
      <c r="BV17" s="347"/>
      <c r="BW17" s="349"/>
      <c r="BX17" s="349"/>
      <c r="BY17" s="349"/>
      <c r="BZ17" s="349" t="s">
        <v>9409</v>
      </c>
      <c r="CA17" s="349"/>
      <c r="CB17" s="349"/>
      <c r="CC17" s="349"/>
      <c r="CD17" s="349"/>
      <c r="CE17" s="349"/>
      <c r="CF17" s="349"/>
      <c r="CG17" s="349"/>
      <c r="CH17" s="349"/>
      <c r="CI17" s="349"/>
      <c r="CJ17" s="349"/>
      <c r="CK17" s="349"/>
      <c r="CL17" s="349"/>
      <c r="CM17" s="349"/>
      <c r="CN17" s="349"/>
      <c r="CO17" s="349"/>
      <c r="CP17" s="349"/>
      <c r="CQ17" s="349"/>
      <c r="CR17" s="349"/>
      <c r="CS17" s="349"/>
      <c r="CT17" s="349"/>
      <c r="CU17" s="349"/>
      <c r="CV17" s="349"/>
      <c r="CW17" s="349"/>
      <c r="CX17" s="349"/>
      <c r="CY17" s="349"/>
      <c r="CZ17" s="349"/>
      <c r="DA17" s="349"/>
      <c r="DB17" s="349"/>
      <c r="DC17" s="349"/>
      <c r="DD17" s="349"/>
      <c r="DE17" s="349"/>
      <c r="DF17" s="349"/>
      <c r="DG17" s="349"/>
      <c r="DH17" s="349"/>
      <c r="DI17" s="349"/>
      <c r="DJ17" s="349"/>
      <c r="DK17" s="349"/>
      <c r="DL17" s="349"/>
      <c r="DM17" s="349"/>
      <c r="DN17" s="349"/>
      <c r="DO17" s="349"/>
      <c r="DP17" s="349"/>
      <c r="DQ17" s="349"/>
      <c r="DR17" s="349"/>
      <c r="DS17" s="349"/>
      <c r="DT17" s="349"/>
      <c r="DU17" s="349"/>
      <c r="DV17" s="349"/>
      <c r="DW17" s="349"/>
      <c r="DX17" s="349"/>
      <c r="DY17" s="349"/>
      <c r="DZ17" s="349"/>
      <c r="EA17" s="349"/>
      <c r="EB17" s="349"/>
      <c r="EC17" s="349"/>
      <c r="ED17" s="350"/>
      <c r="EE17" s="329" t="str">
        <f t="shared" si="4"/>
        <v>x</v>
      </c>
      <c r="EF17" s="330"/>
      <c r="EG17" s="330" t="str">
        <f t="shared" si="0"/>
        <v/>
      </c>
      <c r="EH17" s="330" t="str">
        <f t="shared" si="1"/>
        <v/>
      </c>
      <c r="EI17" s="330" t="str">
        <f t="shared" si="2"/>
        <v>x</v>
      </c>
      <c r="EJ17" s="331" t="str">
        <f t="shared" si="3"/>
        <v>x</v>
      </c>
    </row>
    <row r="18" spans="1:144" x14ac:dyDescent="0.2">
      <c r="A18" s="559"/>
      <c r="B18" s="301">
        <v>16</v>
      </c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/>
      <c r="Q18" s="345"/>
      <c r="R18" s="345"/>
      <c r="S18" s="345"/>
      <c r="T18" s="345"/>
      <c r="U18" s="345"/>
      <c r="V18" s="345"/>
      <c r="W18" s="345"/>
      <c r="X18" s="345"/>
      <c r="Y18" s="345"/>
      <c r="Z18" s="345"/>
      <c r="AA18" s="345"/>
      <c r="AB18" s="346"/>
      <c r="AC18" s="361"/>
      <c r="AD18" s="349"/>
      <c r="AE18" s="345"/>
      <c r="AF18" s="349"/>
      <c r="AG18" s="349"/>
      <c r="AH18" s="349"/>
      <c r="AI18" s="345"/>
      <c r="AJ18" s="345"/>
      <c r="AK18" s="345"/>
      <c r="AL18" s="349"/>
      <c r="AM18" s="349"/>
      <c r="AN18" s="345"/>
      <c r="AO18" s="345"/>
      <c r="AP18" s="346"/>
      <c r="AQ18" s="349"/>
      <c r="AR18" s="349"/>
      <c r="AS18" s="349"/>
      <c r="AT18" s="349"/>
      <c r="AU18" s="349"/>
      <c r="AV18" s="349"/>
      <c r="AW18" s="349"/>
      <c r="AX18" s="345"/>
      <c r="AY18" s="349"/>
      <c r="AZ18" s="349"/>
      <c r="BA18" s="349"/>
      <c r="BB18" s="349"/>
      <c r="BC18" s="349"/>
      <c r="BD18" s="349"/>
      <c r="BE18" s="349"/>
      <c r="BF18" s="345"/>
      <c r="BG18" s="349" t="s">
        <v>9409</v>
      </c>
      <c r="BH18" s="349"/>
      <c r="BI18" s="349"/>
      <c r="BJ18" s="349"/>
      <c r="BK18" s="349"/>
      <c r="BL18" s="349"/>
      <c r="BM18" s="349"/>
      <c r="BN18" s="345"/>
      <c r="BO18" s="349"/>
      <c r="BP18" s="349"/>
      <c r="BQ18" s="349"/>
      <c r="BR18" s="349"/>
      <c r="BS18" s="349"/>
      <c r="BT18" s="345"/>
      <c r="BU18" s="349"/>
      <c r="BV18" s="347"/>
      <c r="BW18" s="349" t="s">
        <v>9409</v>
      </c>
      <c r="BX18" s="349"/>
      <c r="BY18" s="349"/>
      <c r="BZ18" s="349"/>
      <c r="CA18" s="349"/>
      <c r="CB18" s="349"/>
      <c r="CC18" s="349"/>
      <c r="CD18" s="349"/>
      <c r="CE18" s="349"/>
      <c r="CF18" s="349"/>
      <c r="CG18" s="349"/>
      <c r="CH18" s="349"/>
      <c r="CI18" s="349"/>
      <c r="CJ18" s="349"/>
      <c r="CK18" s="349"/>
      <c r="CL18" s="349"/>
      <c r="CM18" s="349"/>
      <c r="CN18" s="349"/>
      <c r="CO18" s="349"/>
      <c r="CP18" s="349"/>
      <c r="CQ18" s="349"/>
      <c r="CR18" s="349"/>
      <c r="CS18" s="349"/>
      <c r="CT18" s="349"/>
      <c r="CU18" s="349"/>
      <c r="CV18" s="349"/>
      <c r="CW18" s="349"/>
      <c r="CX18" s="349"/>
      <c r="CY18" s="349"/>
      <c r="CZ18" s="349"/>
      <c r="DA18" s="349"/>
      <c r="DB18" s="349"/>
      <c r="DC18" s="349"/>
      <c r="DD18" s="349"/>
      <c r="DE18" s="349"/>
      <c r="DF18" s="349"/>
      <c r="DG18" s="349"/>
      <c r="DH18" s="349"/>
      <c r="DI18" s="349"/>
      <c r="DJ18" s="349"/>
      <c r="DK18" s="349"/>
      <c r="DL18" s="349"/>
      <c r="DM18" s="349"/>
      <c r="DN18" s="349"/>
      <c r="DO18" s="349"/>
      <c r="DP18" s="349"/>
      <c r="DQ18" s="349"/>
      <c r="DR18" s="349"/>
      <c r="DS18" s="349"/>
      <c r="DT18" s="349"/>
      <c r="DU18" s="349"/>
      <c r="DV18" s="349"/>
      <c r="DW18" s="349"/>
      <c r="DX18" s="349"/>
      <c r="DY18" s="349"/>
      <c r="DZ18" s="349"/>
      <c r="EA18" s="349"/>
      <c r="EB18" s="349"/>
      <c r="EC18" s="349"/>
      <c r="ED18" s="350"/>
      <c r="EE18" s="329" t="str">
        <f t="shared" si="4"/>
        <v>x</v>
      </c>
      <c r="EF18" s="330"/>
      <c r="EG18" s="330" t="str">
        <f t="shared" si="0"/>
        <v/>
      </c>
      <c r="EH18" s="330" t="str">
        <f t="shared" si="1"/>
        <v/>
      </c>
      <c r="EI18" s="330" t="str">
        <f t="shared" si="2"/>
        <v>x</v>
      </c>
      <c r="EJ18" s="331" t="str">
        <f t="shared" si="3"/>
        <v>x</v>
      </c>
    </row>
    <row r="19" spans="1:144" x14ac:dyDescent="0.2">
      <c r="A19" s="559"/>
      <c r="B19" s="301">
        <v>17</v>
      </c>
      <c r="C19" s="345"/>
      <c r="D19" s="345"/>
      <c r="E19" s="345"/>
      <c r="F19" s="345"/>
      <c r="G19" s="345"/>
      <c r="H19" s="345"/>
      <c r="I19" s="345"/>
      <c r="J19" s="345"/>
      <c r="K19" s="345"/>
      <c r="L19" s="345"/>
      <c r="M19" s="345"/>
      <c r="N19" s="345"/>
      <c r="O19" s="345"/>
      <c r="P19" s="345"/>
      <c r="Q19" s="345"/>
      <c r="R19" s="345"/>
      <c r="S19" s="345"/>
      <c r="T19" s="345"/>
      <c r="U19" s="345"/>
      <c r="V19" s="345"/>
      <c r="W19" s="345"/>
      <c r="X19" s="345"/>
      <c r="Y19" s="345"/>
      <c r="Z19" s="345"/>
      <c r="AA19" s="345"/>
      <c r="AB19" s="346"/>
      <c r="AC19" s="361"/>
      <c r="AD19" s="349"/>
      <c r="AE19" s="345"/>
      <c r="AF19" s="349"/>
      <c r="AG19" s="349"/>
      <c r="AH19" s="349"/>
      <c r="AI19" s="345"/>
      <c r="AJ19" s="345"/>
      <c r="AK19" s="345"/>
      <c r="AL19" s="349"/>
      <c r="AM19" s="349"/>
      <c r="AN19" s="345"/>
      <c r="AO19" s="345"/>
      <c r="AP19" s="346"/>
      <c r="AQ19" s="349"/>
      <c r="AR19" s="349"/>
      <c r="AS19" s="349"/>
      <c r="AT19" s="349"/>
      <c r="AU19" s="349"/>
      <c r="AV19" s="349"/>
      <c r="AW19" s="349"/>
      <c r="AX19" s="345"/>
      <c r="AY19" s="349"/>
      <c r="AZ19" s="349"/>
      <c r="BA19" s="349"/>
      <c r="BB19" s="349"/>
      <c r="BC19" s="349"/>
      <c r="BD19" s="349"/>
      <c r="BE19" s="349"/>
      <c r="BF19" s="349" t="s">
        <v>11893</v>
      </c>
      <c r="BG19" s="349"/>
      <c r="BH19" s="349"/>
      <c r="BI19" s="349"/>
      <c r="BJ19" s="349"/>
      <c r="BK19" s="349"/>
      <c r="BL19" s="349"/>
      <c r="BM19" s="349"/>
      <c r="BN19" s="345"/>
      <c r="BO19" s="349"/>
      <c r="BP19" s="349"/>
      <c r="BQ19" s="349"/>
      <c r="BR19" s="349"/>
      <c r="BS19" s="349"/>
      <c r="BT19" s="345"/>
      <c r="BU19" s="349"/>
      <c r="BV19" s="347"/>
      <c r="BW19" s="349"/>
      <c r="BX19" s="349"/>
      <c r="BY19" s="349"/>
      <c r="BZ19" s="349"/>
      <c r="CA19" s="349"/>
      <c r="CB19" s="349"/>
      <c r="CC19" s="349"/>
      <c r="CD19" s="349"/>
      <c r="CE19" s="349"/>
      <c r="CF19" s="349"/>
      <c r="CG19" s="349"/>
      <c r="CH19" s="349"/>
      <c r="CI19" s="349"/>
      <c r="CJ19" s="349"/>
      <c r="CK19" s="349"/>
      <c r="CL19" s="349"/>
      <c r="CM19" s="349"/>
      <c r="CN19" s="349"/>
      <c r="CO19" s="349"/>
      <c r="CP19" s="349"/>
      <c r="CQ19" s="349"/>
      <c r="CR19" s="349"/>
      <c r="CS19" s="349"/>
      <c r="CT19" s="349"/>
      <c r="CU19" s="349"/>
      <c r="CV19" s="349"/>
      <c r="CW19" s="349"/>
      <c r="CX19" s="349"/>
      <c r="CY19" s="349"/>
      <c r="CZ19" s="349"/>
      <c r="DA19" s="349"/>
      <c r="DB19" s="349"/>
      <c r="DC19" s="349"/>
      <c r="DD19" s="349"/>
      <c r="DE19" s="349"/>
      <c r="DF19" s="349"/>
      <c r="DG19" s="349"/>
      <c r="DH19" s="349"/>
      <c r="DI19" s="349"/>
      <c r="DJ19" s="349"/>
      <c r="DK19" s="349"/>
      <c r="DL19" s="349"/>
      <c r="DM19" s="349"/>
      <c r="DN19" s="349"/>
      <c r="DO19" s="349"/>
      <c r="DP19" s="349"/>
      <c r="DQ19" s="349"/>
      <c r="DR19" s="349"/>
      <c r="DS19" s="349"/>
      <c r="DT19" s="349"/>
      <c r="DU19" s="349"/>
      <c r="DV19" s="349"/>
      <c r="DW19" s="349"/>
      <c r="DX19" s="349"/>
      <c r="DY19" s="349"/>
      <c r="DZ19" s="349"/>
      <c r="EA19" s="349"/>
      <c r="EB19" s="349"/>
      <c r="EC19" s="349"/>
      <c r="ED19" s="350"/>
      <c r="EE19" s="329" t="str">
        <f t="shared" si="4"/>
        <v/>
      </c>
      <c r="EF19" s="330"/>
      <c r="EG19" s="330" t="str">
        <f t="shared" si="0"/>
        <v/>
      </c>
      <c r="EH19" s="330" t="str">
        <f t="shared" si="1"/>
        <v/>
      </c>
      <c r="EI19" s="330" t="str">
        <f t="shared" si="2"/>
        <v/>
      </c>
      <c r="EJ19" s="331" t="str">
        <f t="shared" si="3"/>
        <v/>
      </c>
    </row>
    <row r="20" spans="1:144" x14ac:dyDescent="0.2">
      <c r="A20" s="559"/>
      <c r="B20" s="301">
        <v>18</v>
      </c>
      <c r="C20" s="345"/>
      <c r="D20" s="345"/>
      <c r="E20" s="345"/>
      <c r="F20" s="345"/>
      <c r="G20" s="345"/>
      <c r="H20" s="345"/>
      <c r="I20" s="345"/>
      <c r="J20" s="345"/>
      <c r="K20" s="345"/>
      <c r="L20" s="345"/>
      <c r="M20" s="345"/>
      <c r="N20" s="345"/>
      <c r="O20" s="345"/>
      <c r="P20" s="345"/>
      <c r="Q20" s="345"/>
      <c r="R20" s="345"/>
      <c r="S20" s="345"/>
      <c r="T20" s="345"/>
      <c r="U20" s="345"/>
      <c r="V20" s="345"/>
      <c r="W20" s="345"/>
      <c r="X20" s="345"/>
      <c r="Y20" s="345"/>
      <c r="Z20" s="345"/>
      <c r="AA20" s="345"/>
      <c r="AB20" s="346"/>
      <c r="AC20" s="361"/>
      <c r="AD20" s="349"/>
      <c r="AE20" s="345"/>
      <c r="AF20" s="349"/>
      <c r="AG20" s="349"/>
      <c r="AH20" s="349"/>
      <c r="AI20" s="345"/>
      <c r="AJ20" s="345"/>
      <c r="AK20" s="345"/>
      <c r="AL20" s="349"/>
      <c r="AM20" s="349"/>
      <c r="AN20" s="345"/>
      <c r="AO20" s="345"/>
      <c r="AP20" s="346"/>
      <c r="AQ20" s="349"/>
      <c r="AR20" s="349"/>
      <c r="AS20" s="349"/>
      <c r="AT20" s="349"/>
      <c r="AU20" s="349"/>
      <c r="AV20" s="349"/>
      <c r="AW20" s="349"/>
      <c r="AX20" s="345"/>
      <c r="AY20" s="349"/>
      <c r="AZ20" s="349"/>
      <c r="BA20" s="349"/>
      <c r="BB20" s="349"/>
      <c r="BC20" s="349"/>
      <c r="BD20" s="349"/>
      <c r="BE20" s="349"/>
      <c r="BF20" s="345"/>
      <c r="BG20" s="349"/>
      <c r="BH20" s="349"/>
      <c r="BI20" s="349"/>
      <c r="BJ20" s="349"/>
      <c r="BK20" s="349"/>
      <c r="BL20" s="349"/>
      <c r="BM20" s="349"/>
      <c r="BN20" s="345"/>
      <c r="BO20" s="349"/>
      <c r="BP20" s="349"/>
      <c r="BQ20" s="349"/>
      <c r="BR20" s="349"/>
      <c r="BS20" s="349"/>
      <c r="BT20" s="345"/>
      <c r="BU20" s="349"/>
      <c r="BV20" s="347"/>
      <c r="BW20" s="349"/>
      <c r="BX20" s="349"/>
      <c r="BY20" s="349"/>
      <c r="BZ20" s="349"/>
      <c r="CA20" s="349"/>
      <c r="CB20" s="349"/>
      <c r="CC20" s="349"/>
      <c r="CD20" s="349"/>
      <c r="CE20" s="349"/>
      <c r="CF20" s="349"/>
      <c r="CG20" s="349"/>
      <c r="CH20" s="349"/>
      <c r="CI20" s="349"/>
      <c r="CJ20" s="349"/>
      <c r="CK20" s="349"/>
      <c r="CL20" s="349"/>
      <c r="CM20" s="349"/>
      <c r="CN20" s="349"/>
      <c r="CO20" s="349"/>
      <c r="CP20" s="349"/>
      <c r="CQ20" s="349"/>
      <c r="CR20" s="349"/>
      <c r="CS20" s="349"/>
      <c r="CT20" s="349"/>
      <c r="CU20" s="349"/>
      <c r="CV20" s="349"/>
      <c r="CW20" s="349"/>
      <c r="CX20" s="349"/>
      <c r="CY20" s="349"/>
      <c r="CZ20" s="349"/>
      <c r="DA20" s="349"/>
      <c r="DB20" s="349"/>
      <c r="DC20" s="349"/>
      <c r="DD20" s="349"/>
      <c r="DE20" s="349"/>
      <c r="DF20" s="349"/>
      <c r="DG20" s="349"/>
      <c r="DH20" s="349"/>
      <c r="DI20" s="349"/>
      <c r="DJ20" s="349"/>
      <c r="DK20" s="349"/>
      <c r="DL20" s="349"/>
      <c r="DM20" s="349"/>
      <c r="DN20" s="349"/>
      <c r="DO20" s="349"/>
      <c r="DP20" s="349"/>
      <c r="DQ20" s="349"/>
      <c r="DR20" s="349"/>
      <c r="DS20" s="349"/>
      <c r="DT20" s="349"/>
      <c r="DU20" s="349"/>
      <c r="DV20" s="349"/>
      <c r="DW20" s="349"/>
      <c r="DX20" s="349"/>
      <c r="DY20" s="349"/>
      <c r="DZ20" s="349"/>
      <c r="EA20" s="349"/>
      <c r="EB20" s="349"/>
      <c r="EC20" s="349"/>
      <c r="ED20" s="350"/>
      <c r="EE20" s="329" t="str">
        <f t="shared" si="4"/>
        <v/>
      </c>
      <c r="EF20" s="330"/>
      <c r="EG20" s="330" t="str">
        <f t="shared" si="0"/>
        <v/>
      </c>
      <c r="EH20" s="330" t="str">
        <f t="shared" si="1"/>
        <v/>
      </c>
      <c r="EI20" s="330" t="str">
        <f t="shared" si="2"/>
        <v/>
      </c>
      <c r="EJ20" s="331" t="str">
        <f t="shared" si="3"/>
        <v/>
      </c>
      <c r="EK20" s="47"/>
    </row>
    <row r="21" spans="1:144" x14ac:dyDescent="0.2">
      <c r="A21" s="559"/>
      <c r="B21" s="301">
        <v>19</v>
      </c>
      <c r="C21" s="345"/>
      <c r="D21" s="345"/>
      <c r="E21" s="345"/>
      <c r="F21" s="345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Z21" s="345"/>
      <c r="AA21" s="345"/>
      <c r="AB21" s="346"/>
      <c r="AC21" s="361"/>
      <c r="AD21" s="349"/>
      <c r="AE21" s="345"/>
      <c r="AF21" s="349"/>
      <c r="AG21" s="349"/>
      <c r="AH21" s="349"/>
      <c r="AI21" s="345"/>
      <c r="AJ21" s="345"/>
      <c r="AK21" s="345"/>
      <c r="AL21" s="349"/>
      <c r="AM21" s="349"/>
      <c r="AN21" s="345"/>
      <c r="AO21" s="345"/>
      <c r="AP21" s="346"/>
      <c r="AQ21" s="349"/>
      <c r="AR21" s="349"/>
      <c r="AS21" s="349"/>
      <c r="AT21" s="349"/>
      <c r="AU21" s="349"/>
      <c r="AV21" s="349"/>
      <c r="AW21" s="349"/>
      <c r="AX21" s="345"/>
      <c r="AY21" s="349"/>
      <c r="AZ21" s="349"/>
      <c r="BA21" s="349"/>
      <c r="BB21" s="349"/>
      <c r="BC21" s="349"/>
      <c r="BD21" s="349"/>
      <c r="BE21" s="349"/>
      <c r="BF21" s="345"/>
      <c r="BG21" s="349"/>
      <c r="BH21" s="349"/>
      <c r="BI21" s="349"/>
      <c r="BJ21" s="349"/>
      <c r="BK21" s="349"/>
      <c r="BL21" s="349"/>
      <c r="BM21" s="349"/>
      <c r="BN21" s="345"/>
      <c r="BO21" s="349"/>
      <c r="BP21" s="349"/>
      <c r="BQ21" s="349"/>
      <c r="BR21" s="349"/>
      <c r="BS21" s="349"/>
      <c r="BT21" s="345"/>
      <c r="BU21" s="349"/>
      <c r="BV21" s="347"/>
      <c r="BW21" s="349"/>
      <c r="BX21" s="349"/>
      <c r="BY21" s="349"/>
      <c r="BZ21" s="349"/>
      <c r="CA21" s="349"/>
      <c r="CB21" s="349"/>
      <c r="CC21" s="349"/>
      <c r="CD21" s="349"/>
      <c r="CE21" s="349"/>
      <c r="CF21" s="349"/>
      <c r="CG21" s="349"/>
      <c r="CH21" s="349"/>
      <c r="CI21" s="349"/>
      <c r="CJ21" s="349"/>
      <c r="CK21" s="349"/>
      <c r="CL21" s="349"/>
      <c r="CM21" s="349"/>
      <c r="CN21" s="349"/>
      <c r="CO21" s="349"/>
      <c r="CP21" s="349"/>
      <c r="CQ21" s="349"/>
      <c r="CR21" s="349"/>
      <c r="CS21" s="349"/>
      <c r="CT21" s="349"/>
      <c r="CU21" s="349"/>
      <c r="CV21" s="349"/>
      <c r="CW21" s="349"/>
      <c r="CX21" s="349"/>
      <c r="CY21" s="349"/>
      <c r="CZ21" s="349"/>
      <c r="DA21" s="349"/>
      <c r="DB21" s="349"/>
      <c r="DC21" s="349"/>
      <c r="DD21" s="349"/>
      <c r="DE21" s="349"/>
      <c r="DF21" s="349"/>
      <c r="DG21" s="349"/>
      <c r="DH21" s="349"/>
      <c r="DI21" s="349"/>
      <c r="DJ21" s="349"/>
      <c r="DK21" s="349"/>
      <c r="DL21" s="349"/>
      <c r="DM21" s="349"/>
      <c r="DN21" s="349"/>
      <c r="DO21" s="349"/>
      <c r="DP21" s="349"/>
      <c r="DQ21" s="349"/>
      <c r="DR21" s="349"/>
      <c r="DS21" s="349"/>
      <c r="DT21" s="349"/>
      <c r="DU21" s="349"/>
      <c r="DV21" s="349"/>
      <c r="DW21" s="349"/>
      <c r="DX21" s="349"/>
      <c r="DY21" s="349"/>
      <c r="DZ21" s="349"/>
      <c r="EA21" s="349"/>
      <c r="EB21" s="349"/>
      <c r="EC21" s="349"/>
      <c r="ED21" s="350"/>
      <c r="EE21" s="329" t="str">
        <f t="shared" si="4"/>
        <v/>
      </c>
      <c r="EF21" s="330"/>
      <c r="EG21" s="330" t="str">
        <f t="shared" si="0"/>
        <v/>
      </c>
      <c r="EH21" s="330" t="str">
        <f t="shared" si="1"/>
        <v/>
      </c>
      <c r="EI21" s="330" t="str">
        <f t="shared" si="2"/>
        <v/>
      </c>
      <c r="EJ21" s="331" t="str">
        <f t="shared" si="3"/>
        <v/>
      </c>
    </row>
    <row r="22" spans="1:144" x14ac:dyDescent="0.2">
      <c r="A22" s="559"/>
      <c r="B22" s="301">
        <v>20</v>
      </c>
      <c r="C22" s="345"/>
      <c r="D22" s="345"/>
      <c r="E22" s="345"/>
      <c r="F22" s="345"/>
      <c r="G22" s="345"/>
      <c r="H22" s="345"/>
      <c r="I22" s="345"/>
      <c r="J22" s="345"/>
      <c r="K22" s="345"/>
      <c r="L22" s="345"/>
      <c r="M22" s="345"/>
      <c r="N22" s="345"/>
      <c r="O22" s="345"/>
      <c r="P22" s="345"/>
      <c r="Q22" s="345"/>
      <c r="R22" s="345"/>
      <c r="S22" s="345"/>
      <c r="T22" s="345"/>
      <c r="U22" s="345"/>
      <c r="V22" s="345"/>
      <c r="W22" s="345"/>
      <c r="X22" s="345"/>
      <c r="Y22" s="345"/>
      <c r="Z22" s="345"/>
      <c r="AA22" s="345"/>
      <c r="AB22" s="346"/>
      <c r="AC22" s="361"/>
      <c r="AD22" s="349"/>
      <c r="AE22" s="345"/>
      <c r="AF22" s="349"/>
      <c r="AG22" s="349"/>
      <c r="AH22" s="349"/>
      <c r="AI22" s="345"/>
      <c r="AJ22" s="345"/>
      <c r="AK22" s="345"/>
      <c r="AL22" s="349"/>
      <c r="AM22" s="349"/>
      <c r="AN22" s="345"/>
      <c r="AO22" s="345"/>
      <c r="AP22" s="346"/>
      <c r="AQ22" s="349"/>
      <c r="AR22" s="349"/>
      <c r="AS22" s="349"/>
      <c r="AT22" s="349"/>
      <c r="AU22" s="349"/>
      <c r="AV22" s="349"/>
      <c r="AW22" s="349"/>
      <c r="AX22" s="345"/>
      <c r="AY22" s="349"/>
      <c r="AZ22" s="349"/>
      <c r="BA22" s="349"/>
      <c r="BB22" s="349"/>
      <c r="BC22" s="349"/>
      <c r="BD22" s="349"/>
      <c r="BE22" s="349"/>
      <c r="BF22" s="345"/>
      <c r="BG22" s="349"/>
      <c r="BH22" s="349"/>
      <c r="BI22" s="349"/>
      <c r="BJ22" s="349"/>
      <c r="BK22" s="349"/>
      <c r="BL22" s="349"/>
      <c r="BM22" s="349"/>
      <c r="BN22" s="345"/>
      <c r="BO22" s="349"/>
      <c r="BP22" s="349"/>
      <c r="BQ22" s="349"/>
      <c r="BR22" s="349"/>
      <c r="BS22" s="349"/>
      <c r="BT22" s="345"/>
      <c r="BU22" s="349"/>
      <c r="BV22" s="347"/>
      <c r="BW22" s="349"/>
      <c r="BX22" s="349"/>
      <c r="BY22" s="349"/>
      <c r="BZ22" s="349"/>
      <c r="CA22" s="349"/>
      <c r="CB22" s="349"/>
      <c r="CC22" s="349"/>
      <c r="CD22" s="349"/>
      <c r="CE22" s="349"/>
      <c r="CF22" s="349"/>
      <c r="CG22" s="349"/>
      <c r="CH22" s="349"/>
      <c r="CI22" s="349"/>
      <c r="CJ22" s="349"/>
      <c r="CK22" s="349"/>
      <c r="CL22" s="349"/>
      <c r="CM22" s="349"/>
      <c r="CN22" s="349"/>
      <c r="CO22" s="349"/>
      <c r="CP22" s="349"/>
      <c r="CQ22" s="349"/>
      <c r="CR22" s="349"/>
      <c r="CS22" s="349"/>
      <c r="CT22" s="349"/>
      <c r="CU22" s="349"/>
      <c r="CV22" s="349"/>
      <c r="CW22" s="349"/>
      <c r="CX22" s="349"/>
      <c r="CY22" s="349"/>
      <c r="CZ22" s="349"/>
      <c r="DA22" s="349"/>
      <c r="DB22" s="349"/>
      <c r="DC22" s="349"/>
      <c r="DD22" s="349"/>
      <c r="DE22" s="349"/>
      <c r="DF22" s="349"/>
      <c r="DG22" s="349"/>
      <c r="DH22" s="349"/>
      <c r="DI22" s="349"/>
      <c r="DJ22" s="349"/>
      <c r="DK22" s="349"/>
      <c r="DL22" s="349"/>
      <c r="DM22" s="349"/>
      <c r="DN22" s="349"/>
      <c r="DO22" s="349"/>
      <c r="DP22" s="349"/>
      <c r="DQ22" s="349"/>
      <c r="DR22" s="349"/>
      <c r="DS22" s="349"/>
      <c r="DT22" s="349"/>
      <c r="DU22" s="349"/>
      <c r="DV22" s="349"/>
      <c r="DW22" s="349"/>
      <c r="DX22" s="349"/>
      <c r="DY22" s="349"/>
      <c r="DZ22" s="349"/>
      <c r="EA22" s="349"/>
      <c r="EB22" s="349"/>
      <c r="EC22" s="349"/>
      <c r="ED22" s="350"/>
      <c r="EE22" s="329" t="str">
        <f t="shared" si="4"/>
        <v/>
      </c>
      <c r="EF22" s="330"/>
      <c r="EG22" s="330" t="str">
        <f t="shared" si="0"/>
        <v/>
      </c>
      <c r="EH22" s="330" t="str">
        <f t="shared" si="1"/>
        <v/>
      </c>
      <c r="EI22" s="330" t="str">
        <f t="shared" si="2"/>
        <v/>
      </c>
      <c r="EJ22" s="331" t="str">
        <f t="shared" si="3"/>
        <v/>
      </c>
    </row>
    <row r="23" spans="1:144" x14ac:dyDescent="0.2">
      <c r="A23" s="559"/>
      <c r="B23" s="301">
        <v>21</v>
      </c>
      <c r="C23" s="345"/>
      <c r="D23" s="345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6"/>
      <c r="AC23" s="361"/>
      <c r="AD23" s="349"/>
      <c r="AE23" s="345"/>
      <c r="AF23" s="349"/>
      <c r="AG23" s="349"/>
      <c r="AH23" s="349"/>
      <c r="AI23" s="345"/>
      <c r="AJ23" s="345"/>
      <c r="AK23" s="345"/>
      <c r="AL23" s="349"/>
      <c r="AM23" s="349"/>
      <c r="AN23" s="345"/>
      <c r="AO23" s="345"/>
      <c r="AP23" s="346"/>
      <c r="AQ23" s="349"/>
      <c r="AR23" s="349"/>
      <c r="AS23" s="349"/>
      <c r="AT23" s="349"/>
      <c r="AU23" s="349"/>
      <c r="AV23" s="349"/>
      <c r="AW23" s="349"/>
      <c r="AX23" s="345"/>
      <c r="AY23" s="349"/>
      <c r="AZ23" s="349"/>
      <c r="BA23" s="349"/>
      <c r="BB23" s="349"/>
      <c r="BC23" s="349"/>
      <c r="BD23" s="349"/>
      <c r="BE23" s="349"/>
      <c r="BF23" s="345"/>
      <c r="BG23" s="349"/>
      <c r="BH23" s="349"/>
      <c r="BI23" s="349"/>
      <c r="BJ23" s="349"/>
      <c r="BK23" s="349"/>
      <c r="BL23" s="349"/>
      <c r="BM23" s="349"/>
      <c r="BN23" s="345"/>
      <c r="BO23" s="349"/>
      <c r="BP23" s="349"/>
      <c r="BQ23" s="349"/>
      <c r="BR23" s="349"/>
      <c r="BS23" s="349"/>
      <c r="BT23" s="345"/>
      <c r="BU23" s="349"/>
      <c r="BV23" s="347"/>
      <c r="BW23" s="349"/>
      <c r="BX23" s="349"/>
      <c r="BY23" s="349"/>
      <c r="BZ23" s="349"/>
      <c r="CA23" s="349"/>
      <c r="CB23" s="349"/>
      <c r="CC23" s="349"/>
      <c r="CD23" s="349"/>
      <c r="CE23" s="349"/>
      <c r="CF23" s="349"/>
      <c r="CG23" s="349"/>
      <c r="CH23" s="349"/>
      <c r="CI23" s="349"/>
      <c r="CJ23" s="349"/>
      <c r="CK23" s="349"/>
      <c r="CL23" s="349"/>
      <c r="CM23" s="349"/>
      <c r="CN23" s="349"/>
      <c r="CO23" s="349"/>
      <c r="CP23" s="349"/>
      <c r="CQ23" s="349"/>
      <c r="CR23" s="349"/>
      <c r="CS23" s="349"/>
      <c r="CT23" s="349"/>
      <c r="CU23" s="349"/>
      <c r="CV23" s="349"/>
      <c r="CW23" s="349"/>
      <c r="CX23" s="349"/>
      <c r="CY23" s="349"/>
      <c r="CZ23" s="349"/>
      <c r="DA23" s="349"/>
      <c r="DB23" s="349"/>
      <c r="DC23" s="349"/>
      <c r="DD23" s="349"/>
      <c r="DE23" s="349"/>
      <c r="DF23" s="349"/>
      <c r="DG23" s="349"/>
      <c r="DH23" s="349"/>
      <c r="DI23" s="349"/>
      <c r="DJ23" s="349"/>
      <c r="DK23" s="349"/>
      <c r="DL23" s="349"/>
      <c r="DM23" s="349"/>
      <c r="DN23" s="349"/>
      <c r="DO23" s="349"/>
      <c r="DP23" s="349"/>
      <c r="DQ23" s="349"/>
      <c r="DR23" s="349"/>
      <c r="DS23" s="349"/>
      <c r="DT23" s="349"/>
      <c r="DU23" s="349"/>
      <c r="DV23" s="349"/>
      <c r="DW23" s="349"/>
      <c r="DX23" s="349"/>
      <c r="DY23" s="349"/>
      <c r="DZ23" s="349"/>
      <c r="EA23" s="349"/>
      <c r="EB23" s="349"/>
      <c r="EC23" s="349"/>
      <c r="ED23" s="350"/>
      <c r="EE23" s="329" t="str">
        <f>IF(COUNTIF(C23:ED23, "x"), "x", "")</f>
        <v/>
      </c>
      <c r="EF23" s="330"/>
      <c r="EG23" s="330" t="str">
        <f t="shared" si="0"/>
        <v/>
      </c>
      <c r="EH23" s="330" t="str">
        <f t="shared" si="1"/>
        <v/>
      </c>
      <c r="EI23" s="330" t="str">
        <f t="shared" si="2"/>
        <v/>
      </c>
      <c r="EJ23" s="331" t="str">
        <f t="shared" si="3"/>
        <v/>
      </c>
    </row>
    <row r="24" spans="1:144" x14ac:dyDescent="0.2">
      <c r="A24" s="559"/>
      <c r="B24" s="301">
        <v>22</v>
      </c>
      <c r="C24" s="345"/>
      <c r="D24" s="345"/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6"/>
      <c r="AC24" s="361"/>
      <c r="AD24" s="349"/>
      <c r="AE24" s="345"/>
      <c r="AF24" s="349"/>
      <c r="AG24" s="349"/>
      <c r="AH24" s="349"/>
      <c r="AI24" s="345"/>
      <c r="AJ24" s="345"/>
      <c r="AK24" s="345"/>
      <c r="AL24" s="349"/>
      <c r="AM24" s="349"/>
      <c r="AN24" s="345"/>
      <c r="AO24" s="345"/>
      <c r="AP24" s="346"/>
      <c r="AQ24" s="349"/>
      <c r="AR24" s="349"/>
      <c r="AS24" s="349"/>
      <c r="AT24" s="349"/>
      <c r="AU24" s="349"/>
      <c r="AV24" s="349"/>
      <c r="AW24" s="349"/>
      <c r="AX24" s="345"/>
      <c r="AY24" s="349"/>
      <c r="AZ24" s="349"/>
      <c r="BA24" s="349"/>
      <c r="BB24" s="349"/>
      <c r="BC24" s="349"/>
      <c r="BD24" s="349"/>
      <c r="BE24" s="349"/>
      <c r="BF24" s="345"/>
      <c r="BG24" s="349"/>
      <c r="BH24" s="349"/>
      <c r="BI24" s="349"/>
      <c r="BJ24" s="349"/>
      <c r="BK24" s="349"/>
      <c r="BL24" s="349"/>
      <c r="BM24" s="349"/>
      <c r="BN24" s="345"/>
      <c r="BO24" s="349"/>
      <c r="BP24" s="349"/>
      <c r="BQ24" s="349"/>
      <c r="BR24" s="349"/>
      <c r="BS24" s="349"/>
      <c r="BT24" s="345"/>
      <c r="BU24" s="349"/>
      <c r="BV24" s="347"/>
      <c r="BW24" s="349"/>
      <c r="BX24" s="349"/>
      <c r="BY24" s="349"/>
      <c r="BZ24" s="349"/>
      <c r="CA24" s="349"/>
      <c r="CB24" s="349"/>
      <c r="CC24" s="349"/>
      <c r="CD24" s="349"/>
      <c r="CE24" s="349"/>
      <c r="CF24" s="349"/>
      <c r="CG24" s="349"/>
      <c r="CH24" s="349"/>
      <c r="CI24" s="349"/>
      <c r="CJ24" s="349"/>
      <c r="CK24" s="349"/>
      <c r="CL24" s="349"/>
      <c r="CM24" s="349"/>
      <c r="CN24" s="349"/>
      <c r="CO24" s="349"/>
      <c r="CP24" s="349"/>
      <c r="CQ24" s="349"/>
      <c r="CR24" s="349"/>
      <c r="CS24" s="349"/>
      <c r="CT24" s="349"/>
      <c r="CU24" s="349"/>
      <c r="CV24" s="349"/>
      <c r="CW24" s="349"/>
      <c r="CX24" s="349"/>
      <c r="CY24" s="349"/>
      <c r="CZ24" s="349"/>
      <c r="DA24" s="349"/>
      <c r="DB24" s="349"/>
      <c r="DC24" s="349"/>
      <c r="DD24" s="349"/>
      <c r="DE24" s="349"/>
      <c r="DF24" s="349"/>
      <c r="DG24" s="349"/>
      <c r="DH24" s="349"/>
      <c r="DI24" s="349"/>
      <c r="DJ24" s="349"/>
      <c r="DK24" s="349"/>
      <c r="DL24" s="349"/>
      <c r="DM24" s="349"/>
      <c r="DN24" s="349"/>
      <c r="DO24" s="349"/>
      <c r="DP24" s="349"/>
      <c r="DQ24" s="349"/>
      <c r="DR24" s="349"/>
      <c r="DS24" s="349"/>
      <c r="DT24" s="349"/>
      <c r="DU24" s="349"/>
      <c r="DV24" s="349"/>
      <c r="DW24" s="349"/>
      <c r="DX24" s="349"/>
      <c r="DY24" s="349"/>
      <c r="DZ24" s="349"/>
      <c r="EA24" s="349"/>
      <c r="EB24" s="349"/>
      <c r="EC24" s="349"/>
      <c r="ED24" s="350"/>
      <c r="EE24" s="329" t="str">
        <f t="shared" si="4"/>
        <v/>
      </c>
      <c r="EF24" s="330"/>
      <c r="EG24" s="330" t="str">
        <f t="shared" si="0"/>
        <v/>
      </c>
      <c r="EH24" s="330" t="str">
        <f t="shared" si="1"/>
        <v/>
      </c>
      <c r="EI24" s="330" t="str">
        <f t="shared" si="2"/>
        <v/>
      </c>
      <c r="EJ24" s="331" t="str">
        <f t="shared" si="3"/>
        <v/>
      </c>
    </row>
    <row r="25" spans="1:144" x14ac:dyDescent="0.2">
      <c r="A25" s="559"/>
      <c r="B25" s="301">
        <v>23</v>
      </c>
      <c r="C25" s="345"/>
      <c r="D25" s="345"/>
      <c r="E25" s="345"/>
      <c r="F25" s="345"/>
      <c r="G25" s="345"/>
      <c r="H25" s="345"/>
      <c r="I25" s="345"/>
      <c r="J25" s="345"/>
      <c r="K25" s="345"/>
      <c r="L25" s="345"/>
      <c r="M25" s="345"/>
      <c r="N25" s="345"/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6"/>
      <c r="AC25" s="361"/>
      <c r="AD25" s="349"/>
      <c r="AE25" s="345"/>
      <c r="AF25" s="349"/>
      <c r="AG25" s="349"/>
      <c r="AH25" s="349"/>
      <c r="AI25" s="345"/>
      <c r="AJ25" s="345"/>
      <c r="AK25" s="345"/>
      <c r="AL25" s="349"/>
      <c r="AM25" s="349"/>
      <c r="AN25" s="345"/>
      <c r="AO25" s="345"/>
      <c r="AP25" s="346"/>
      <c r="AQ25" s="349"/>
      <c r="AR25" s="349"/>
      <c r="AS25" s="349"/>
      <c r="AT25" s="349"/>
      <c r="AU25" s="349"/>
      <c r="AV25" s="349"/>
      <c r="AW25" s="349"/>
      <c r="AX25" s="345"/>
      <c r="AY25" s="349"/>
      <c r="AZ25" s="349"/>
      <c r="BA25" s="349"/>
      <c r="BB25" s="349"/>
      <c r="BC25" s="349"/>
      <c r="BD25" s="349"/>
      <c r="BE25" s="349"/>
      <c r="BF25" s="345"/>
      <c r="BG25" s="349"/>
      <c r="BH25" s="349"/>
      <c r="BI25" s="349"/>
      <c r="BJ25" s="349"/>
      <c r="BK25" s="349"/>
      <c r="BL25" s="349"/>
      <c r="BM25" s="349"/>
      <c r="BN25" s="345"/>
      <c r="BO25" s="349"/>
      <c r="BP25" s="349"/>
      <c r="BQ25" s="349"/>
      <c r="BR25" s="349"/>
      <c r="BS25" s="349"/>
      <c r="BT25" s="345"/>
      <c r="BU25" s="349"/>
      <c r="BV25" s="347"/>
      <c r="BW25" s="349"/>
      <c r="BX25" s="349"/>
      <c r="BY25" s="349"/>
      <c r="BZ25" s="349"/>
      <c r="CA25" s="349"/>
      <c r="CB25" s="349"/>
      <c r="CC25" s="349"/>
      <c r="CD25" s="349"/>
      <c r="CE25" s="349"/>
      <c r="CF25" s="349"/>
      <c r="CG25" s="349"/>
      <c r="CH25" s="349"/>
      <c r="CI25" s="349"/>
      <c r="CJ25" s="349"/>
      <c r="CK25" s="349"/>
      <c r="CL25" s="349"/>
      <c r="CM25" s="349"/>
      <c r="CN25" s="349"/>
      <c r="CO25" s="349"/>
      <c r="CP25" s="349"/>
      <c r="CQ25" s="349"/>
      <c r="CR25" s="349"/>
      <c r="CS25" s="349"/>
      <c r="CT25" s="349"/>
      <c r="CU25" s="349"/>
      <c r="CV25" s="349"/>
      <c r="CW25" s="349"/>
      <c r="CX25" s="349"/>
      <c r="CY25" s="349"/>
      <c r="CZ25" s="349"/>
      <c r="DA25" s="349"/>
      <c r="DB25" s="349"/>
      <c r="DC25" s="349"/>
      <c r="DD25" s="349"/>
      <c r="DE25" s="349"/>
      <c r="DF25" s="349"/>
      <c r="DG25" s="349"/>
      <c r="DH25" s="349"/>
      <c r="DI25" s="349"/>
      <c r="DJ25" s="349"/>
      <c r="DK25" s="349"/>
      <c r="DL25" s="349"/>
      <c r="DM25" s="349"/>
      <c r="DN25" s="349"/>
      <c r="DO25" s="349"/>
      <c r="DP25" s="349"/>
      <c r="DQ25" s="349"/>
      <c r="DR25" s="421" t="s">
        <v>11865</v>
      </c>
      <c r="DS25" s="349"/>
      <c r="DT25" s="349"/>
      <c r="DU25" s="349"/>
      <c r="DV25" s="349"/>
      <c r="DW25" s="349"/>
      <c r="DX25" s="349"/>
      <c r="DY25" s="349"/>
      <c r="DZ25" s="349"/>
      <c r="EA25" s="349"/>
      <c r="EB25" s="349"/>
      <c r="EC25" s="349"/>
      <c r="ED25" s="350"/>
      <c r="EE25" s="329" t="str">
        <f t="shared" si="4"/>
        <v/>
      </c>
      <c r="EF25" s="330"/>
      <c r="EG25" s="330" t="str">
        <f t="shared" si="0"/>
        <v/>
      </c>
      <c r="EH25" s="330" t="str">
        <f t="shared" si="1"/>
        <v/>
      </c>
      <c r="EI25" s="330" t="str">
        <f t="shared" si="2"/>
        <v/>
      </c>
      <c r="EJ25" s="331" t="str">
        <f t="shared" si="3"/>
        <v/>
      </c>
      <c r="EK25" s="317" t="s">
        <v>11867</v>
      </c>
    </row>
    <row r="26" spans="1:144" x14ac:dyDescent="0.2">
      <c r="A26" s="559"/>
      <c r="B26" s="301">
        <v>24</v>
      </c>
      <c r="C26" s="345"/>
      <c r="D26" s="345"/>
      <c r="E26" s="345"/>
      <c r="F26" s="345"/>
      <c r="G26" s="345"/>
      <c r="H26" s="345"/>
      <c r="I26" s="345"/>
      <c r="J26" s="345"/>
      <c r="K26" s="345"/>
      <c r="L26" s="345"/>
      <c r="M26" s="345"/>
      <c r="N26" s="345"/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6"/>
      <c r="AC26" s="361"/>
      <c r="AD26" s="349"/>
      <c r="AE26" s="345"/>
      <c r="AF26" s="349"/>
      <c r="AG26" s="349"/>
      <c r="AH26" s="349"/>
      <c r="AI26" s="345"/>
      <c r="AJ26" s="345"/>
      <c r="AK26" s="345"/>
      <c r="AL26" s="349"/>
      <c r="AM26" s="349"/>
      <c r="AN26" s="345"/>
      <c r="AO26" s="345"/>
      <c r="AP26" s="346"/>
      <c r="AQ26" s="349"/>
      <c r="AR26" s="349"/>
      <c r="AS26" s="349"/>
      <c r="AT26" s="349"/>
      <c r="AU26" s="349"/>
      <c r="AV26" s="349"/>
      <c r="AW26" s="349"/>
      <c r="AX26" s="345"/>
      <c r="AY26" s="349"/>
      <c r="AZ26" s="349"/>
      <c r="BA26" s="349"/>
      <c r="BB26" s="349"/>
      <c r="BC26" s="349"/>
      <c r="BD26" s="349"/>
      <c r="BE26" s="349"/>
      <c r="BF26" s="345"/>
      <c r="BG26" s="349"/>
      <c r="BH26" s="349"/>
      <c r="BI26" s="349"/>
      <c r="BJ26" s="349"/>
      <c r="BK26" s="349"/>
      <c r="BL26" s="349"/>
      <c r="BM26" s="349"/>
      <c r="BN26" s="345"/>
      <c r="BO26" s="349"/>
      <c r="BP26" s="349"/>
      <c r="BQ26" s="349"/>
      <c r="BR26" s="349"/>
      <c r="BS26" s="349"/>
      <c r="BT26" s="345"/>
      <c r="BU26" s="349"/>
      <c r="BV26" s="347"/>
      <c r="BW26" s="349"/>
      <c r="BX26" s="349"/>
      <c r="BY26" s="349"/>
      <c r="BZ26" s="349"/>
      <c r="CA26" s="349"/>
      <c r="CB26" s="349"/>
      <c r="CC26" s="349"/>
      <c r="CD26" s="349"/>
      <c r="CE26" s="349"/>
      <c r="CF26" s="349"/>
      <c r="CG26" s="349"/>
      <c r="CH26" s="349"/>
      <c r="CI26" s="349"/>
      <c r="CJ26" s="349"/>
      <c r="CK26" s="349"/>
      <c r="CL26" s="349"/>
      <c r="CM26" s="349"/>
      <c r="CN26" s="349"/>
      <c r="CO26" s="349"/>
      <c r="CP26" s="349"/>
      <c r="CQ26" s="349"/>
      <c r="CR26" s="349"/>
      <c r="CS26" s="349"/>
      <c r="CT26" s="349"/>
      <c r="CU26" s="349"/>
      <c r="CV26" s="349"/>
      <c r="CW26" s="349"/>
      <c r="CX26" s="349"/>
      <c r="CY26" s="349"/>
      <c r="CZ26" s="349"/>
      <c r="DA26" s="349"/>
      <c r="DB26" s="349"/>
      <c r="DC26" s="349"/>
      <c r="DD26" s="349"/>
      <c r="DE26" s="349"/>
      <c r="DF26" s="349"/>
      <c r="DG26" s="349"/>
      <c r="DH26" s="349"/>
      <c r="DI26" s="349"/>
      <c r="DJ26" s="349"/>
      <c r="DK26" s="349"/>
      <c r="DL26" s="349"/>
      <c r="DM26" s="349"/>
      <c r="DN26" s="349"/>
      <c r="DO26" s="349"/>
      <c r="DP26" s="349"/>
      <c r="DQ26" s="349"/>
      <c r="DR26" s="349"/>
      <c r="DS26" s="349"/>
      <c r="DT26" s="349"/>
      <c r="DU26" s="349"/>
      <c r="DV26" s="349"/>
      <c r="DW26" s="349"/>
      <c r="DX26" s="349"/>
      <c r="DY26" s="349"/>
      <c r="DZ26" s="349"/>
      <c r="EA26" s="349"/>
      <c r="EB26" s="349"/>
      <c r="EC26" s="349"/>
      <c r="ED26" s="350"/>
      <c r="EE26" s="329" t="str">
        <f t="shared" si="4"/>
        <v/>
      </c>
      <c r="EF26" s="330"/>
      <c r="EG26" s="330" t="str">
        <f t="shared" si="0"/>
        <v/>
      </c>
      <c r="EH26" s="330" t="str">
        <f t="shared" si="1"/>
        <v/>
      </c>
      <c r="EI26" s="330" t="str">
        <f t="shared" si="2"/>
        <v/>
      </c>
      <c r="EJ26" s="331" t="str">
        <f t="shared" si="3"/>
        <v/>
      </c>
    </row>
    <row r="27" spans="1:144" x14ac:dyDescent="0.2">
      <c r="A27" s="559"/>
      <c r="B27" s="301">
        <v>25</v>
      </c>
      <c r="C27" s="345"/>
      <c r="D27" s="345"/>
      <c r="E27" s="345"/>
      <c r="F27" s="345"/>
      <c r="G27" s="345"/>
      <c r="H27" s="345"/>
      <c r="I27" s="345"/>
      <c r="J27" s="345"/>
      <c r="K27" s="345"/>
      <c r="L27" s="345"/>
      <c r="M27" s="345"/>
      <c r="N27" s="345"/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345"/>
      <c r="Z27" s="345"/>
      <c r="AA27" s="345"/>
      <c r="AB27" s="346"/>
      <c r="AC27" s="361"/>
      <c r="AD27" s="349"/>
      <c r="AE27" s="345"/>
      <c r="AF27" s="349"/>
      <c r="AG27" s="349"/>
      <c r="AH27" s="349"/>
      <c r="AI27" s="345"/>
      <c r="AJ27" s="345"/>
      <c r="AK27" s="345"/>
      <c r="AL27" s="349"/>
      <c r="AM27" s="349"/>
      <c r="AN27" s="345"/>
      <c r="AO27" s="345"/>
      <c r="AP27" s="346"/>
      <c r="AQ27" s="349"/>
      <c r="AR27" s="349"/>
      <c r="AS27" s="349"/>
      <c r="AT27" s="349"/>
      <c r="AU27" s="349"/>
      <c r="AV27" s="349"/>
      <c r="AW27" s="349"/>
      <c r="AX27" s="345"/>
      <c r="AY27" s="349"/>
      <c r="AZ27" s="349"/>
      <c r="BA27" s="349"/>
      <c r="BB27" s="349"/>
      <c r="BC27" s="349"/>
      <c r="BD27" s="349"/>
      <c r="BE27" s="349"/>
      <c r="BF27" s="345"/>
      <c r="BG27" s="349"/>
      <c r="BH27" s="349"/>
      <c r="BI27" s="349"/>
      <c r="BJ27" s="349" t="s">
        <v>9409</v>
      </c>
      <c r="BK27" s="349"/>
      <c r="BL27" s="349"/>
      <c r="BM27" s="349"/>
      <c r="BN27" s="345"/>
      <c r="BO27" s="349"/>
      <c r="BP27" s="349"/>
      <c r="BQ27" s="349"/>
      <c r="BR27" s="349"/>
      <c r="BS27" s="349"/>
      <c r="BT27" s="345"/>
      <c r="BU27" s="349"/>
      <c r="BV27" s="347"/>
      <c r="BW27" s="349"/>
      <c r="BX27" s="349"/>
      <c r="BY27" s="349"/>
      <c r="BZ27" s="349"/>
      <c r="CA27" s="349"/>
      <c r="CB27" s="349"/>
      <c r="CC27" s="349"/>
      <c r="CD27" s="349"/>
      <c r="CE27" s="349"/>
      <c r="CF27" s="349"/>
      <c r="CG27" s="349"/>
      <c r="CH27" s="349"/>
      <c r="CI27" s="349"/>
      <c r="CJ27" s="349"/>
      <c r="CK27" s="349"/>
      <c r="CL27" s="349"/>
      <c r="CM27" s="349"/>
      <c r="CN27" s="349"/>
      <c r="CO27" s="349"/>
      <c r="CP27" s="349"/>
      <c r="CQ27" s="349"/>
      <c r="CR27" s="349"/>
      <c r="CS27" s="349"/>
      <c r="CT27" s="349"/>
      <c r="CU27" s="349"/>
      <c r="CV27" s="349"/>
      <c r="CW27" s="349"/>
      <c r="CX27" s="349"/>
      <c r="CY27" s="349"/>
      <c r="CZ27" s="349"/>
      <c r="DA27" s="349"/>
      <c r="DB27" s="349"/>
      <c r="DC27" s="349"/>
      <c r="DD27" s="349"/>
      <c r="DE27" s="349"/>
      <c r="DF27" s="349"/>
      <c r="DG27" s="349"/>
      <c r="DH27" s="349"/>
      <c r="DI27" s="349"/>
      <c r="DJ27" s="349"/>
      <c r="DK27" s="349"/>
      <c r="DL27" s="349"/>
      <c r="DM27" s="349"/>
      <c r="DN27" s="349"/>
      <c r="DO27" s="349"/>
      <c r="DP27" s="349" t="s">
        <v>9409</v>
      </c>
      <c r="DQ27" s="349"/>
      <c r="DR27" s="349"/>
      <c r="DS27" s="349"/>
      <c r="DT27" s="349"/>
      <c r="DU27" s="349"/>
      <c r="DV27" s="349"/>
      <c r="DW27" s="349"/>
      <c r="DX27" s="349"/>
      <c r="DY27" s="349"/>
      <c r="DZ27" s="349"/>
      <c r="EA27" s="349"/>
      <c r="EB27" s="349"/>
      <c r="EC27" s="349"/>
      <c r="ED27" s="350"/>
      <c r="EE27" s="329" t="str">
        <f t="shared" si="4"/>
        <v>x</v>
      </c>
      <c r="EF27" s="330"/>
      <c r="EG27" s="330" t="str">
        <f t="shared" si="0"/>
        <v/>
      </c>
      <c r="EH27" s="330" t="str">
        <f t="shared" si="1"/>
        <v/>
      </c>
      <c r="EI27" s="330" t="str">
        <f t="shared" si="2"/>
        <v>x</v>
      </c>
      <c r="EJ27" s="331" t="str">
        <f>IF(COUNTIF(BV27:ED27, "x"), "x", "")</f>
        <v>x</v>
      </c>
    </row>
    <row r="28" spans="1:144" x14ac:dyDescent="0.2">
      <c r="A28" s="560"/>
      <c r="B28" s="301">
        <v>26</v>
      </c>
      <c r="C28" s="354"/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5"/>
      <c r="AC28" s="361"/>
      <c r="AD28" s="349"/>
      <c r="AE28" s="345"/>
      <c r="AF28" s="349"/>
      <c r="AG28" s="349"/>
      <c r="AH28" s="349"/>
      <c r="AI28" s="345"/>
      <c r="AJ28" s="345"/>
      <c r="AK28" s="345"/>
      <c r="AL28" s="349"/>
      <c r="AM28" s="349"/>
      <c r="AN28" s="345"/>
      <c r="AO28" s="345"/>
      <c r="AP28" s="346"/>
      <c r="AQ28" s="349"/>
      <c r="AR28" s="349"/>
      <c r="AS28" s="349"/>
      <c r="AT28" s="349"/>
      <c r="AU28" s="349"/>
      <c r="AV28" s="349"/>
      <c r="AW28" s="349"/>
      <c r="AX28" s="345"/>
      <c r="AY28" s="349"/>
      <c r="AZ28" s="349"/>
      <c r="BA28" s="349"/>
      <c r="BB28" s="349"/>
      <c r="BC28" s="349"/>
      <c r="BD28" s="349"/>
      <c r="BE28" s="349"/>
      <c r="BF28" s="345"/>
      <c r="BG28" s="349"/>
      <c r="BH28" s="349"/>
      <c r="BI28" s="349"/>
      <c r="BJ28" s="349"/>
      <c r="BK28" s="349"/>
      <c r="BL28" s="421" t="s">
        <v>11865</v>
      </c>
      <c r="BM28" s="349"/>
      <c r="BN28" s="345"/>
      <c r="BO28" s="349"/>
      <c r="BP28" s="349"/>
      <c r="BQ28" s="349"/>
      <c r="BR28" s="349"/>
      <c r="BS28" s="349"/>
      <c r="BT28" s="345"/>
      <c r="BU28" s="349"/>
      <c r="BV28" s="356"/>
      <c r="BW28" s="357"/>
      <c r="BX28" s="357"/>
      <c r="BY28" s="357"/>
      <c r="BZ28" s="357"/>
      <c r="CA28" s="357"/>
      <c r="CB28" s="357"/>
      <c r="CC28" s="357"/>
      <c r="CD28" s="357"/>
      <c r="CE28" s="357"/>
      <c r="CF28" s="357"/>
      <c r="CG28" s="357"/>
      <c r="CH28" s="357"/>
      <c r="CI28" s="357"/>
      <c r="CJ28" s="357"/>
      <c r="CK28" s="357"/>
      <c r="CL28" s="357"/>
      <c r="CM28" s="357"/>
      <c r="CN28" s="357"/>
      <c r="CO28" s="357"/>
      <c r="CP28" s="357"/>
      <c r="CQ28" s="357"/>
      <c r="CR28" s="357"/>
      <c r="CS28" s="357"/>
      <c r="CT28" s="357"/>
      <c r="CU28" s="357"/>
      <c r="CV28" s="357"/>
      <c r="CW28" s="357"/>
      <c r="CX28" s="357"/>
      <c r="CY28" s="357"/>
      <c r="CZ28" s="357"/>
      <c r="DA28" s="357"/>
      <c r="DB28" s="357"/>
      <c r="DC28" s="357"/>
      <c r="DD28" s="357"/>
      <c r="DE28" s="357"/>
      <c r="DF28" s="357"/>
      <c r="DG28" s="357"/>
      <c r="DH28" s="357"/>
      <c r="DI28" s="357"/>
      <c r="DJ28" s="357"/>
      <c r="DK28" s="357"/>
      <c r="DL28" s="357"/>
      <c r="DM28" s="357"/>
      <c r="DN28" s="357"/>
      <c r="DO28" s="357"/>
      <c r="DP28" s="357"/>
      <c r="DQ28" s="357"/>
      <c r="DR28" s="357"/>
      <c r="DS28" s="357"/>
      <c r="DT28" s="357"/>
      <c r="DU28" s="357"/>
      <c r="DV28" s="357"/>
      <c r="DW28" s="357"/>
      <c r="DX28" s="357"/>
      <c r="DY28" s="357"/>
      <c r="DZ28" s="357"/>
      <c r="EA28" s="357"/>
      <c r="EB28" s="357"/>
      <c r="EC28" s="357"/>
      <c r="ED28" s="358"/>
      <c r="EE28" s="329" t="str">
        <f t="shared" si="4"/>
        <v/>
      </c>
      <c r="EF28" s="330"/>
      <c r="EG28" s="330" t="str">
        <f t="shared" si="0"/>
        <v/>
      </c>
      <c r="EH28" s="330" t="str">
        <f t="shared" si="1"/>
        <v/>
      </c>
      <c r="EI28" s="330" t="str">
        <f t="shared" si="2"/>
        <v/>
      </c>
      <c r="EJ28" s="331" t="str">
        <f t="shared" si="3"/>
        <v/>
      </c>
      <c r="EK28" s="317" t="s">
        <v>11870</v>
      </c>
    </row>
    <row r="29" spans="1:144" x14ac:dyDescent="0.2">
      <c r="A29" s="558" t="s">
        <v>9429</v>
      </c>
      <c r="B29" s="409">
        <v>27</v>
      </c>
      <c r="C29" s="422"/>
      <c r="D29" s="422"/>
      <c r="E29" s="422"/>
      <c r="F29" s="422"/>
      <c r="G29" s="422"/>
      <c r="H29" s="422"/>
      <c r="I29" s="422"/>
      <c r="J29" s="422"/>
      <c r="K29" s="422"/>
      <c r="L29" s="422"/>
      <c r="M29" s="422"/>
      <c r="N29" s="422"/>
      <c r="O29" s="422"/>
      <c r="P29" s="422"/>
      <c r="Q29" s="422"/>
      <c r="R29" s="422"/>
      <c r="S29" s="422"/>
      <c r="T29" s="422"/>
      <c r="U29" s="422"/>
      <c r="V29" s="422"/>
      <c r="W29" s="422"/>
      <c r="X29" s="422"/>
      <c r="Y29" s="422"/>
      <c r="Z29" s="422"/>
      <c r="AA29" s="422"/>
      <c r="AB29" s="422"/>
      <c r="AC29" s="359"/>
      <c r="AD29" s="360"/>
      <c r="AE29" s="360"/>
      <c r="AF29" s="360"/>
      <c r="AG29" s="360"/>
      <c r="AH29" s="360"/>
      <c r="AI29" s="360"/>
      <c r="AJ29" s="360"/>
      <c r="AK29" s="360"/>
      <c r="AL29" s="360"/>
      <c r="AM29" s="360"/>
      <c r="AN29" s="360"/>
      <c r="AO29" s="360"/>
      <c r="AP29" s="360"/>
      <c r="AQ29" s="426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  <c r="BM29" s="425"/>
      <c r="BN29" s="390" t="s">
        <v>11893</v>
      </c>
      <c r="BO29" s="425"/>
      <c r="BP29" s="425"/>
      <c r="BQ29" s="425"/>
      <c r="BR29" s="425"/>
      <c r="BS29" s="425"/>
      <c r="BT29" s="390" t="s">
        <v>11893</v>
      </c>
      <c r="BU29" s="390" t="s">
        <v>11893</v>
      </c>
      <c r="BV29" s="424"/>
      <c r="BW29" s="422"/>
      <c r="BX29" s="422"/>
      <c r="BY29" s="422"/>
      <c r="BZ29" s="422"/>
      <c r="CA29" s="422"/>
      <c r="CB29" s="422"/>
      <c r="CC29" s="422"/>
      <c r="CD29" s="422"/>
      <c r="CE29" s="422"/>
      <c r="CF29" s="422"/>
      <c r="CG29" s="422"/>
      <c r="CH29" s="422"/>
      <c r="CI29" s="422"/>
      <c r="CJ29" s="422"/>
      <c r="CK29" s="422"/>
      <c r="CL29" s="422"/>
      <c r="CM29" s="422"/>
      <c r="CN29" s="422"/>
      <c r="CO29" s="422"/>
      <c r="CP29" s="422"/>
      <c r="CQ29" s="422"/>
      <c r="CR29" s="422"/>
      <c r="CS29" s="422"/>
      <c r="CT29" s="422"/>
      <c r="CU29" s="422"/>
      <c r="CV29" s="422"/>
      <c r="CW29" s="422"/>
      <c r="CX29" s="422"/>
      <c r="CY29" s="422"/>
      <c r="CZ29" s="422"/>
      <c r="DA29" s="422"/>
      <c r="DB29" s="422"/>
      <c r="DC29" s="422"/>
      <c r="DD29" s="422"/>
      <c r="DE29" s="393" t="s">
        <v>11893</v>
      </c>
      <c r="DF29" s="422"/>
      <c r="DG29" s="368" t="s">
        <v>11893</v>
      </c>
      <c r="DH29" s="422"/>
      <c r="DI29" s="422"/>
      <c r="DJ29" s="422"/>
      <c r="DK29" s="422"/>
      <c r="DL29" s="422"/>
      <c r="DM29" s="422"/>
      <c r="DN29" s="368" t="s">
        <v>11893</v>
      </c>
      <c r="DO29" s="422"/>
      <c r="DP29" s="422"/>
      <c r="DQ29" s="368" t="s">
        <v>11893</v>
      </c>
      <c r="DR29" s="422"/>
      <c r="DS29" s="422"/>
      <c r="DT29" s="422"/>
      <c r="DU29" s="422"/>
      <c r="DV29" s="422"/>
      <c r="DW29" s="422"/>
      <c r="DX29" s="422"/>
      <c r="DY29" s="422"/>
      <c r="DZ29" s="422"/>
      <c r="EA29" s="422"/>
      <c r="EB29" s="422"/>
      <c r="EC29" s="422"/>
      <c r="ED29" s="423"/>
      <c r="EE29" s="412" t="str">
        <f t="shared" si="4"/>
        <v/>
      </c>
      <c r="EF29" s="413" t="s">
        <v>9409</v>
      </c>
      <c r="EG29" s="413" t="str">
        <f t="shared" si="0"/>
        <v/>
      </c>
      <c r="EH29" s="413" t="str">
        <f t="shared" si="1"/>
        <v/>
      </c>
      <c r="EI29" s="413" t="str">
        <f t="shared" si="2"/>
        <v/>
      </c>
      <c r="EJ29" s="414" t="str">
        <f t="shared" si="3"/>
        <v/>
      </c>
      <c r="EK29" s="33" t="s">
        <v>11871</v>
      </c>
      <c r="EL29" s="47"/>
    </row>
    <row r="30" spans="1:144" x14ac:dyDescent="0.2">
      <c r="A30" s="559"/>
      <c r="B30" s="301">
        <v>28</v>
      </c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  <c r="AA30" s="349"/>
      <c r="AB30" s="349"/>
      <c r="AC30" s="361"/>
      <c r="AD30" s="345"/>
      <c r="AE30" s="345"/>
      <c r="AF30" s="345"/>
      <c r="AG30" s="345"/>
      <c r="AH30" s="345"/>
      <c r="AI30" s="345"/>
      <c r="AJ30" s="345"/>
      <c r="AK30" s="345"/>
      <c r="AL30" s="345"/>
      <c r="AM30" s="345"/>
      <c r="AN30" s="345"/>
      <c r="AO30" s="345"/>
      <c r="AP30" s="345"/>
      <c r="AQ30" s="347"/>
      <c r="AR30" s="349"/>
      <c r="AS30" s="349"/>
      <c r="AT30" s="349"/>
      <c r="AU30" s="349"/>
      <c r="AV30" s="349"/>
      <c r="AW30" s="349"/>
      <c r="AX30" s="345"/>
      <c r="AY30" s="349"/>
      <c r="AZ30" s="349"/>
      <c r="BA30" s="349"/>
      <c r="BB30" s="349"/>
      <c r="BC30" s="349"/>
      <c r="BD30" s="349"/>
      <c r="BE30" s="349"/>
      <c r="BF30" s="345"/>
      <c r="BG30" s="349"/>
      <c r="BH30" s="349"/>
      <c r="BI30" s="349"/>
      <c r="BJ30" s="349"/>
      <c r="BK30" s="349"/>
      <c r="BL30" s="349"/>
      <c r="BM30" s="349"/>
      <c r="BN30" s="345"/>
      <c r="BO30" s="362" t="s">
        <v>9409</v>
      </c>
      <c r="BP30" s="349"/>
      <c r="BQ30" s="349"/>
      <c r="BR30" s="349"/>
      <c r="BS30" s="349"/>
      <c r="BT30" s="345"/>
      <c r="BU30" s="353"/>
      <c r="BV30" s="347"/>
      <c r="BW30" s="349"/>
      <c r="BX30" s="349"/>
      <c r="BY30" s="349"/>
      <c r="BZ30" s="349"/>
      <c r="CA30" s="349"/>
      <c r="CB30" s="349"/>
      <c r="CC30" s="349"/>
      <c r="CD30" s="349"/>
      <c r="CE30" s="349"/>
      <c r="CF30" s="349"/>
      <c r="CG30" s="349"/>
      <c r="CH30" s="349"/>
      <c r="CI30" s="349"/>
      <c r="CJ30" s="349"/>
      <c r="CK30" s="349"/>
      <c r="CL30" s="349"/>
      <c r="CM30" s="349"/>
      <c r="CN30" s="349"/>
      <c r="CO30" s="349"/>
      <c r="CP30" s="349"/>
      <c r="CQ30" s="349"/>
      <c r="CR30" s="349"/>
      <c r="CS30" s="349"/>
      <c r="CT30" s="349"/>
      <c r="CU30" s="349"/>
      <c r="CV30" s="349"/>
      <c r="CW30" s="349"/>
      <c r="CX30" s="349"/>
      <c r="CY30" s="349"/>
      <c r="CZ30" s="349"/>
      <c r="DA30" s="349"/>
      <c r="DB30" s="349"/>
      <c r="DC30" s="349"/>
      <c r="DD30" s="362" t="s">
        <v>9409</v>
      </c>
      <c r="DE30" s="393" t="s">
        <v>9409</v>
      </c>
      <c r="DF30" s="349"/>
      <c r="DG30" s="349"/>
      <c r="DH30" s="349"/>
      <c r="DI30" s="349"/>
      <c r="DJ30" s="349"/>
      <c r="DK30" s="349"/>
      <c r="DL30" s="349"/>
      <c r="DM30" s="349"/>
      <c r="DN30" s="349"/>
      <c r="DO30" s="349"/>
      <c r="DP30" s="349"/>
      <c r="DQ30" s="349"/>
      <c r="DR30" s="349"/>
      <c r="DS30" s="349"/>
      <c r="DT30" s="349"/>
      <c r="DU30" s="349"/>
      <c r="DV30" s="349"/>
      <c r="DW30" s="349"/>
      <c r="DX30" s="349"/>
      <c r="DY30" s="349"/>
      <c r="DZ30" s="349"/>
      <c r="EA30" s="349"/>
      <c r="EB30" s="349"/>
      <c r="EC30" s="349"/>
      <c r="ED30" s="350"/>
      <c r="EE30" s="329" t="str">
        <f t="shared" si="4"/>
        <v>x</v>
      </c>
      <c r="EF30" s="330"/>
      <c r="EG30" s="330" t="str">
        <f t="shared" si="0"/>
        <v/>
      </c>
      <c r="EH30" s="330" t="str">
        <f t="shared" si="1"/>
        <v/>
      </c>
      <c r="EI30" s="330" t="str">
        <f t="shared" si="2"/>
        <v>x</v>
      </c>
      <c r="EJ30" s="331" t="str">
        <f t="shared" si="3"/>
        <v>x</v>
      </c>
      <c r="EK30" s="33" t="s">
        <v>11871</v>
      </c>
    </row>
    <row r="31" spans="1:144" x14ac:dyDescent="0.2">
      <c r="A31" s="559"/>
      <c r="B31" s="305">
        <v>29</v>
      </c>
      <c r="C31" s="422"/>
      <c r="D31" s="422"/>
      <c r="E31" s="422"/>
      <c r="F31" s="422"/>
      <c r="G31" s="422"/>
      <c r="H31" s="422"/>
      <c r="I31" s="422"/>
      <c r="J31" s="422"/>
      <c r="K31" s="422"/>
      <c r="L31" s="422"/>
      <c r="M31" s="422"/>
      <c r="N31" s="422"/>
      <c r="O31" s="422"/>
      <c r="P31" s="422"/>
      <c r="Q31" s="422"/>
      <c r="R31" s="422"/>
      <c r="S31" s="422"/>
      <c r="T31" s="422"/>
      <c r="U31" s="422"/>
      <c r="V31" s="422"/>
      <c r="W31" s="422"/>
      <c r="X31" s="422"/>
      <c r="Y31" s="422"/>
      <c r="Z31" s="422"/>
      <c r="AA31" s="422"/>
      <c r="AB31" s="422"/>
      <c r="AC31" s="361"/>
      <c r="AD31" s="345"/>
      <c r="AE31" s="345"/>
      <c r="AF31" s="345"/>
      <c r="AG31" s="345"/>
      <c r="AH31" s="345"/>
      <c r="AI31" s="345"/>
      <c r="AJ31" s="345"/>
      <c r="AK31" s="345"/>
      <c r="AL31" s="345"/>
      <c r="AM31" s="345"/>
      <c r="AN31" s="345"/>
      <c r="AO31" s="345"/>
      <c r="AP31" s="345"/>
      <c r="AQ31" s="424"/>
      <c r="AR31" s="422"/>
      <c r="AS31" s="422"/>
      <c r="AT31" s="422"/>
      <c r="AU31" s="422"/>
      <c r="AV31" s="422"/>
      <c r="AW31" s="422"/>
      <c r="AX31" s="422"/>
      <c r="AY31" s="422"/>
      <c r="AZ31" s="422"/>
      <c r="BA31" s="422"/>
      <c r="BB31" s="422"/>
      <c r="BC31" s="422"/>
      <c r="BD31" s="422"/>
      <c r="BE31" s="422"/>
      <c r="BF31" s="422"/>
      <c r="BG31" s="422"/>
      <c r="BH31" s="422"/>
      <c r="BI31" s="422"/>
      <c r="BJ31" s="422"/>
      <c r="BK31" s="422"/>
      <c r="BL31" s="422"/>
      <c r="BM31" s="422"/>
      <c r="BN31" s="422"/>
      <c r="BO31" s="422"/>
      <c r="BP31" s="368" t="s">
        <v>11893</v>
      </c>
      <c r="BQ31" s="422"/>
      <c r="BR31" s="422"/>
      <c r="BS31" s="422"/>
      <c r="BT31" s="422"/>
      <c r="BU31" s="422"/>
      <c r="BV31" s="424"/>
      <c r="BW31" s="422"/>
      <c r="BX31" s="422"/>
      <c r="BY31" s="422"/>
      <c r="BZ31" s="422"/>
      <c r="CA31" s="422"/>
      <c r="CB31" s="422"/>
      <c r="CC31" s="422"/>
      <c r="CD31" s="422"/>
      <c r="CE31" s="422"/>
      <c r="CF31" s="422"/>
      <c r="CG31" s="422"/>
      <c r="CH31" s="422"/>
      <c r="CI31" s="422"/>
      <c r="CJ31" s="422"/>
      <c r="CK31" s="422"/>
      <c r="CL31" s="422"/>
      <c r="CM31" s="422"/>
      <c r="CN31" s="422"/>
      <c r="CO31" s="393" t="s">
        <v>11893</v>
      </c>
      <c r="CP31" s="422"/>
      <c r="CQ31" s="422"/>
      <c r="CR31" s="422"/>
      <c r="CS31" s="368" t="s">
        <v>11893</v>
      </c>
      <c r="CT31" s="368" t="s">
        <v>11893</v>
      </c>
      <c r="CU31" s="422"/>
      <c r="CV31" s="422"/>
      <c r="CW31" s="422"/>
      <c r="CX31" s="368" t="s">
        <v>11893</v>
      </c>
      <c r="CY31" s="422"/>
      <c r="CZ31" s="422"/>
      <c r="DA31" s="422"/>
      <c r="DB31" s="422"/>
      <c r="DC31" s="422"/>
      <c r="DD31" s="422"/>
      <c r="DE31" s="422"/>
      <c r="DF31" s="422"/>
      <c r="DG31" s="422"/>
      <c r="DH31" s="422"/>
      <c r="DI31" s="422"/>
      <c r="DJ31" s="422"/>
      <c r="DK31" s="422"/>
      <c r="DL31" s="422"/>
      <c r="DM31" s="422"/>
      <c r="DN31" s="422"/>
      <c r="DO31" s="422"/>
      <c r="DP31" s="422"/>
      <c r="DQ31" s="422"/>
      <c r="DR31" s="422"/>
      <c r="DS31" s="422"/>
      <c r="DT31" s="368" t="s">
        <v>11893</v>
      </c>
      <c r="DU31" s="368" t="s">
        <v>11893</v>
      </c>
      <c r="DV31" s="422"/>
      <c r="DW31" s="422"/>
      <c r="DX31" s="422"/>
      <c r="DY31" s="422"/>
      <c r="DZ31" s="422"/>
      <c r="EA31" s="422"/>
      <c r="EB31" s="422"/>
      <c r="EC31" s="422"/>
      <c r="ED31" s="423"/>
      <c r="EE31" s="415" t="str">
        <f t="shared" si="4"/>
        <v/>
      </c>
      <c r="EF31" s="100" t="s">
        <v>9409</v>
      </c>
      <c r="EG31" s="100" t="str">
        <f t="shared" si="0"/>
        <v/>
      </c>
      <c r="EH31" s="100" t="str">
        <f>IF(COUNTIF(AC31:AP31, "x"), "x", "")</f>
        <v/>
      </c>
      <c r="EI31" s="100" t="str">
        <f t="shared" si="2"/>
        <v/>
      </c>
      <c r="EJ31" s="417" t="str">
        <f t="shared" si="3"/>
        <v/>
      </c>
      <c r="EK31" s="33" t="s">
        <v>11883</v>
      </c>
    </row>
    <row r="32" spans="1:144" x14ac:dyDescent="0.2">
      <c r="A32" s="559"/>
      <c r="B32" s="301">
        <v>30</v>
      </c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  <c r="AA32" s="349"/>
      <c r="AB32" s="349"/>
      <c r="AC32" s="361"/>
      <c r="AD32" s="345"/>
      <c r="AE32" s="345"/>
      <c r="AF32" s="345"/>
      <c r="AG32" s="345"/>
      <c r="AH32" s="345"/>
      <c r="AI32" s="345"/>
      <c r="AJ32" s="345"/>
      <c r="AK32" s="345"/>
      <c r="AL32" s="345"/>
      <c r="AM32" s="345"/>
      <c r="AN32" s="345"/>
      <c r="AO32" s="345"/>
      <c r="AP32" s="345"/>
      <c r="AQ32" s="347"/>
      <c r="AR32" s="349"/>
      <c r="AS32" s="349"/>
      <c r="AT32" s="349"/>
      <c r="AU32" s="349"/>
      <c r="AV32" s="349"/>
      <c r="AW32" s="349"/>
      <c r="AX32" s="345"/>
      <c r="AY32" s="349"/>
      <c r="AZ32" s="349"/>
      <c r="BA32" s="349"/>
      <c r="BB32" s="349"/>
      <c r="BC32" s="349"/>
      <c r="BD32" s="349"/>
      <c r="BE32" s="349"/>
      <c r="BF32" s="345"/>
      <c r="BG32" s="349"/>
      <c r="BH32" s="349"/>
      <c r="BI32" s="349"/>
      <c r="BJ32" s="349"/>
      <c r="BK32" s="349"/>
      <c r="BL32" s="349"/>
      <c r="BM32" s="349"/>
      <c r="BN32" s="345"/>
      <c r="BO32" s="349"/>
      <c r="BP32" s="349"/>
      <c r="BQ32" s="349"/>
      <c r="BR32" s="349"/>
      <c r="BS32" s="349"/>
      <c r="BT32" s="345"/>
      <c r="BU32" s="353"/>
      <c r="BV32" s="347"/>
      <c r="BW32" s="349"/>
      <c r="BX32" s="349"/>
      <c r="BY32" s="349"/>
      <c r="BZ32" s="349"/>
      <c r="CA32" s="349"/>
      <c r="CB32" s="349"/>
      <c r="CC32" s="349"/>
      <c r="CD32" s="349"/>
      <c r="CE32" s="349"/>
      <c r="CF32" s="349"/>
      <c r="CG32" s="349"/>
      <c r="CH32" s="349"/>
      <c r="CI32" s="349"/>
      <c r="CJ32" s="349"/>
      <c r="CK32" s="349"/>
      <c r="CL32" s="349"/>
      <c r="CM32" s="349"/>
      <c r="CN32" s="349"/>
      <c r="CO32" s="353"/>
      <c r="CP32" s="349"/>
      <c r="CQ32" s="349"/>
      <c r="CR32" s="349"/>
      <c r="CS32" s="349"/>
      <c r="CT32" s="349"/>
      <c r="CU32" s="349"/>
      <c r="CV32" s="349"/>
      <c r="CW32" s="349"/>
      <c r="CX32" s="349"/>
      <c r="CY32" s="349"/>
      <c r="CZ32" s="349"/>
      <c r="DA32" s="349"/>
      <c r="DB32" s="349"/>
      <c r="DC32" s="349"/>
      <c r="DD32" s="349"/>
      <c r="DE32" s="349"/>
      <c r="DF32" s="349"/>
      <c r="DG32" s="349"/>
      <c r="DH32" s="349"/>
      <c r="DI32" s="349"/>
      <c r="DJ32" s="349"/>
      <c r="DK32" s="349"/>
      <c r="DL32" s="349"/>
      <c r="DM32" s="349"/>
      <c r="DN32" s="349"/>
      <c r="DO32" s="349" t="s">
        <v>9409</v>
      </c>
      <c r="DP32" s="349"/>
      <c r="DQ32" s="349"/>
      <c r="DR32" s="349"/>
      <c r="DS32" s="349"/>
      <c r="DT32" s="349"/>
      <c r="DU32" s="349"/>
      <c r="DV32" s="349"/>
      <c r="DW32" s="349"/>
      <c r="DX32" s="349"/>
      <c r="DY32" s="349"/>
      <c r="DZ32" s="349"/>
      <c r="EA32" s="349"/>
      <c r="EB32" s="349"/>
      <c r="EC32" s="349"/>
      <c r="ED32" s="350"/>
      <c r="EE32" s="329" t="str">
        <f t="shared" si="4"/>
        <v>x</v>
      </c>
      <c r="EF32" s="330"/>
      <c r="EG32" s="330" t="str">
        <f>IF(COUNTIF(C32:AB32, "x"), "x", "")</f>
        <v/>
      </c>
      <c r="EH32" s="330" t="str">
        <f t="shared" si="1"/>
        <v/>
      </c>
      <c r="EI32" s="330" t="str">
        <f t="shared" si="2"/>
        <v/>
      </c>
      <c r="EJ32" s="331" t="str">
        <f t="shared" si="3"/>
        <v>x</v>
      </c>
      <c r="EK32" s="47"/>
      <c r="EL32" s="47"/>
      <c r="EM32" s="47"/>
      <c r="EN32" s="47"/>
    </row>
    <row r="33" spans="1:144" x14ac:dyDescent="0.2">
      <c r="A33" s="559"/>
      <c r="B33" s="301">
        <v>31</v>
      </c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  <c r="AA33" s="349"/>
      <c r="AB33" s="349"/>
      <c r="AC33" s="361"/>
      <c r="AD33" s="345"/>
      <c r="AE33" s="345"/>
      <c r="AF33" s="345"/>
      <c r="AG33" s="345"/>
      <c r="AH33" s="345"/>
      <c r="AI33" s="345"/>
      <c r="AJ33" s="345"/>
      <c r="AK33" s="345"/>
      <c r="AL33" s="345"/>
      <c r="AM33" s="345"/>
      <c r="AN33" s="345"/>
      <c r="AO33" s="345"/>
      <c r="AP33" s="345"/>
      <c r="AQ33" s="347"/>
      <c r="AR33" s="349"/>
      <c r="AS33" s="349"/>
      <c r="AT33" s="349"/>
      <c r="AU33" s="349"/>
      <c r="AV33" s="349"/>
      <c r="AW33" s="349"/>
      <c r="AX33" s="345"/>
      <c r="AY33" s="349"/>
      <c r="AZ33" s="349"/>
      <c r="BA33" s="349"/>
      <c r="BB33" s="349"/>
      <c r="BC33" s="349"/>
      <c r="BD33" s="349"/>
      <c r="BE33" s="349"/>
      <c r="BF33" s="345"/>
      <c r="BG33" s="349"/>
      <c r="BH33" s="349"/>
      <c r="BI33" s="349"/>
      <c r="BJ33" s="349"/>
      <c r="BK33" s="349"/>
      <c r="BL33" s="349"/>
      <c r="BM33" s="349"/>
      <c r="BN33" s="345"/>
      <c r="BO33" s="349"/>
      <c r="BP33" s="349"/>
      <c r="BQ33" s="349"/>
      <c r="BR33" s="349"/>
      <c r="BS33" s="427" t="s">
        <v>11865</v>
      </c>
      <c r="BT33" s="345"/>
      <c r="BU33" s="353"/>
      <c r="BV33" s="347"/>
      <c r="BW33" s="349"/>
      <c r="BX33" s="349"/>
      <c r="BY33" s="349"/>
      <c r="BZ33" s="349"/>
      <c r="CA33" s="349"/>
      <c r="CB33" s="349"/>
      <c r="CC33" s="349"/>
      <c r="CD33" s="349"/>
      <c r="CE33" s="349"/>
      <c r="CF33" s="349"/>
      <c r="CG33" s="349"/>
      <c r="CH33" s="349"/>
      <c r="CI33" s="349"/>
      <c r="CJ33" s="349"/>
      <c r="CK33" s="349"/>
      <c r="CL33" s="349"/>
      <c r="CM33" s="349"/>
      <c r="CN33" s="349"/>
      <c r="CO33" s="353"/>
      <c r="CP33" s="349"/>
      <c r="CQ33" s="349"/>
      <c r="CR33" s="349"/>
      <c r="CS33" s="349"/>
      <c r="CT33" s="349"/>
      <c r="CU33" s="349"/>
      <c r="CV33" s="349"/>
      <c r="CW33" s="349"/>
      <c r="CX33" s="349"/>
      <c r="CY33" s="349"/>
      <c r="CZ33" s="349"/>
      <c r="DA33" s="349"/>
      <c r="DB33" s="349"/>
      <c r="DC33" s="349"/>
      <c r="DD33" s="349"/>
      <c r="DE33" s="349"/>
      <c r="DF33" s="349"/>
      <c r="DG33" s="349"/>
      <c r="DH33" s="349"/>
      <c r="DI33" s="349"/>
      <c r="DJ33" s="427" t="s">
        <v>11865</v>
      </c>
      <c r="DK33" s="427" t="s">
        <v>11865</v>
      </c>
      <c r="DL33" s="349"/>
      <c r="DM33" s="349"/>
      <c r="DN33" s="349"/>
      <c r="DO33" s="349"/>
      <c r="DP33" s="349"/>
      <c r="DQ33" s="349"/>
      <c r="DR33" s="349"/>
      <c r="DS33" s="349"/>
      <c r="DT33" s="349"/>
      <c r="DU33" s="349"/>
      <c r="DV33" s="349"/>
      <c r="DW33" s="349"/>
      <c r="DX33" s="349"/>
      <c r="DY33" s="349"/>
      <c r="DZ33" s="349"/>
      <c r="EA33" s="349"/>
      <c r="EB33" s="349"/>
      <c r="EC33" s="349"/>
      <c r="ED33" s="350"/>
      <c r="EE33" s="329" t="str">
        <f t="shared" si="4"/>
        <v/>
      </c>
      <c r="EF33" s="330"/>
      <c r="EG33" s="330" t="str">
        <f t="shared" si="0"/>
        <v/>
      </c>
      <c r="EH33" s="330" t="str">
        <f t="shared" si="1"/>
        <v/>
      </c>
      <c r="EI33" s="330" t="str">
        <f t="shared" si="2"/>
        <v/>
      </c>
      <c r="EJ33" s="331" t="str">
        <f t="shared" si="3"/>
        <v/>
      </c>
      <c r="EK33" s="47"/>
      <c r="EL33" s="47"/>
      <c r="EM33" s="47"/>
      <c r="EN33" s="47"/>
    </row>
    <row r="34" spans="1:144" x14ac:dyDescent="0.2">
      <c r="A34" s="559"/>
      <c r="B34" s="301">
        <v>32</v>
      </c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  <c r="AA34" s="349"/>
      <c r="AB34" s="349"/>
      <c r="AC34" s="361"/>
      <c r="AD34" s="345"/>
      <c r="AE34" s="345"/>
      <c r="AF34" s="345"/>
      <c r="AG34" s="345"/>
      <c r="AH34" s="345"/>
      <c r="AI34" s="345"/>
      <c r="AJ34" s="345"/>
      <c r="AK34" s="345"/>
      <c r="AL34" s="345"/>
      <c r="AM34" s="345"/>
      <c r="AN34" s="345"/>
      <c r="AO34" s="345"/>
      <c r="AP34" s="345"/>
      <c r="AQ34" s="347"/>
      <c r="AR34" s="349"/>
      <c r="AS34" s="349"/>
      <c r="AT34" s="349"/>
      <c r="AU34" s="349"/>
      <c r="AV34" s="349"/>
      <c r="AW34" s="349"/>
      <c r="AX34" s="345"/>
      <c r="AY34" s="349"/>
      <c r="AZ34" s="349"/>
      <c r="BA34" s="349"/>
      <c r="BB34" s="349"/>
      <c r="BC34" s="427" t="s">
        <v>11865</v>
      </c>
      <c r="BD34" s="349"/>
      <c r="BE34" s="349"/>
      <c r="BF34" s="345"/>
      <c r="BG34" s="349"/>
      <c r="BH34" s="349"/>
      <c r="BI34" s="349"/>
      <c r="BJ34" s="349"/>
      <c r="BK34" s="349"/>
      <c r="BL34" s="349"/>
      <c r="BM34" s="349"/>
      <c r="BN34" s="345"/>
      <c r="BO34" s="349"/>
      <c r="BP34" s="349"/>
      <c r="BQ34" s="362" t="s">
        <v>9409</v>
      </c>
      <c r="BR34" s="349"/>
      <c r="BS34" s="349"/>
      <c r="BT34" s="345"/>
      <c r="BU34" s="349"/>
      <c r="BV34" s="347"/>
      <c r="BW34" s="349"/>
      <c r="BX34" s="349"/>
      <c r="BY34" s="349"/>
      <c r="BZ34" s="349"/>
      <c r="CA34" s="349"/>
      <c r="CB34" s="349"/>
      <c r="CC34" s="349"/>
      <c r="CD34" s="362" t="s">
        <v>9409</v>
      </c>
      <c r="CE34" s="349"/>
      <c r="CF34" s="362" t="s">
        <v>9409</v>
      </c>
      <c r="CG34" s="362" t="s">
        <v>9409</v>
      </c>
      <c r="CH34" s="349"/>
      <c r="CI34" s="362" t="s">
        <v>9409</v>
      </c>
      <c r="CJ34" s="362" t="s">
        <v>9409</v>
      </c>
      <c r="CK34" s="427" t="s">
        <v>11865</v>
      </c>
      <c r="CL34" s="362" t="s">
        <v>9409</v>
      </c>
      <c r="CM34" s="349"/>
      <c r="CN34" s="349"/>
      <c r="CO34" s="369" t="s">
        <v>9409</v>
      </c>
      <c r="CP34" s="349"/>
      <c r="CQ34" s="349"/>
      <c r="CR34" s="349"/>
      <c r="CS34" s="349"/>
      <c r="CT34" s="349"/>
      <c r="CU34" s="349"/>
      <c r="CV34" s="349"/>
      <c r="CW34" s="349"/>
      <c r="CX34" s="349"/>
      <c r="CY34" s="349"/>
      <c r="CZ34" s="349"/>
      <c r="DA34" s="349"/>
      <c r="DB34" s="349"/>
      <c r="DC34" s="349"/>
      <c r="DD34" s="349"/>
      <c r="DE34" s="349"/>
      <c r="DF34" s="349"/>
      <c r="DG34" s="349"/>
      <c r="DH34" s="349"/>
      <c r="DI34" s="349"/>
      <c r="DJ34" s="349"/>
      <c r="DK34" s="349"/>
      <c r="DL34" s="349"/>
      <c r="DM34" s="349"/>
      <c r="DN34" s="349"/>
      <c r="DO34" s="349"/>
      <c r="DP34" s="349"/>
      <c r="DQ34" s="349"/>
      <c r="DR34" s="349"/>
      <c r="DS34" s="349"/>
      <c r="DT34" s="349"/>
      <c r="DU34" s="349"/>
      <c r="DV34" s="349"/>
      <c r="DW34" s="362" t="s">
        <v>9409</v>
      </c>
      <c r="DX34" s="362" t="s">
        <v>9409</v>
      </c>
      <c r="DY34" s="349"/>
      <c r="DZ34" s="362" t="s">
        <v>9409</v>
      </c>
      <c r="EA34" s="349"/>
      <c r="EB34" s="427" t="s">
        <v>11865</v>
      </c>
      <c r="EC34" s="369" t="s">
        <v>9409</v>
      </c>
      <c r="ED34" s="350"/>
      <c r="EE34" s="329" t="str">
        <f t="shared" si="4"/>
        <v>x</v>
      </c>
      <c r="EF34" s="330"/>
      <c r="EG34" s="330" t="str">
        <f t="shared" si="0"/>
        <v/>
      </c>
      <c r="EH34" s="330" t="str">
        <f t="shared" si="1"/>
        <v/>
      </c>
      <c r="EI34" s="330" t="str">
        <f t="shared" si="2"/>
        <v>x</v>
      </c>
      <c r="EJ34" s="331" t="str">
        <f t="shared" si="3"/>
        <v>x</v>
      </c>
      <c r="EK34" s="33" t="s">
        <v>11885</v>
      </c>
      <c r="EM34" s="47"/>
      <c r="EN34" s="47"/>
    </row>
    <row r="35" spans="1:144" x14ac:dyDescent="0.2">
      <c r="A35" s="559"/>
      <c r="B35" s="305">
        <v>33</v>
      </c>
      <c r="C35" s="345"/>
      <c r="D35" s="345"/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61"/>
      <c r="AD35" s="345"/>
      <c r="AE35" s="345"/>
      <c r="AF35" s="345"/>
      <c r="AG35" s="345"/>
      <c r="AH35" s="345"/>
      <c r="AI35" s="345"/>
      <c r="AJ35" s="345"/>
      <c r="AK35" s="345"/>
      <c r="AL35" s="345"/>
      <c r="AM35" s="345"/>
      <c r="AN35" s="345"/>
      <c r="AO35" s="345"/>
      <c r="AP35" s="345"/>
      <c r="AQ35" s="361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/>
      <c r="BE35" s="345"/>
      <c r="BF35" s="345"/>
      <c r="BG35" s="345"/>
      <c r="BH35" s="345"/>
      <c r="BI35" s="345"/>
      <c r="BJ35" s="345"/>
      <c r="BK35" s="345"/>
      <c r="BL35" s="345"/>
      <c r="BM35" s="345"/>
      <c r="BN35" s="345"/>
      <c r="BO35" s="345"/>
      <c r="BP35" s="345"/>
      <c r="BQ35" s="345"/>
      <c r="BR35" s="362" t="s">
        <v>11893</v>
      </c>
      <c r="BS35" s="345"/>
      <c r="BT35" s="345"/>
      <c r="BU35" s="345"/>
      <c r="BV35" s="363" t="s">
        <v>11893</v>
      </c>
      <c r="BW35" s="345"/>
      <c r="BX35" s="362" t="s">
        <v>11893</v>
      </c>
      <c r="BY35" s="362" t="s">
        <v>11893</v>
      </c>
      <c r="BZ35" s="345"/>
      <c r="CA35" s="345"/>
      <c r="CB35" s="362" t="s">
        <v>11893</v>
      </c>
      <c r="CC35" s="345"/>
      <c r="CD35" s="345"/>
      <c r="CE35" s="345"/>
      <c r="CF35" s="345"/>
      <c r="CG35" s="345"/>
      <c r="CH35" s="345"/>
      <c r="CI35" s="345"/>
      <c r="CJ35" s="345"/>
      <c r="CK35" s="345"/>
      <c r="CL35" s="345"/>
      <c r="CM35" s="345"/>
      <c r="CN35" s="345"/>
      <c r="CO35" s="345"/>
      <c r="CP35" s="345"/>
      <c r="CQ35" s="345"/>
      <c r="CR35" s="345"/>
      <c r="CS35" s="345"/>
      <c r="CT35" s="345"/>
      <c r="CU35" s="345"/>
      <c r="CV35" s="345"/>
      <c r="CW35" s="345"/>
      <c r="CX35" s="345"/>
      <c r="CY35" s="345"/>
      <c r="CZ35" s="345"/>
      <c r="DA35" s="345"/>
      <c r="DB35" s="345"/>
      <c r="DC35" s="345"/>
      <c r="DD35" s="345"/>
      <c r="DE35" s="345"/>
      <c r="DF35" s="345"/>
      <c r="DG35" s="345"/>
      <c r="DH35" s="345"/>
      <c r="DI35" s="345"/>
      <c r="DJ35" s="345"/>
      <c r="DK35" s="345"/>
      <c r="DL35" s="345"/>
      <c r="DM35" s="345"/>
      <c r="DN35" s="345"/>
      <c r="DO35" s="345"/>
      <c r="DP35" s="345"/>
      <c r="DQ35" s="345"/>
      <c r="DR35" s="345"/>
      <c r="DS35" s="345"/>
      <c r="DT35" s="345"/>
      <c r="DU35" s="345"/>
      <c r="DV35" s="345"/>
      <c r="DW35" s="345"/>
      <c r="DX35" s="345"/>
      <c r="DY35" s="345"/>
      <c r="DZ35" s="345"/>
      <c r="EA35" s="345"/>
      <c r="EB35" s="345"/>
      <c r="EC35" s="369" t="s">
        <v>11893</v>
      </c>
      <c r="ED35" s="394" t="s">
        <v>11893</v>
      </c>
      <c r="EE35" s="415" t="str">
        <f t="shared" si="4"/>
        <v/>
      </c>
      <c r="EF35" s="416" t="s">
        <v>9409</v>
      </c>
      <c r="EG35" s="416" t="str">
        <f t="shared" si="0"/>
        <v/>
      </c>
      <c r="EH35" s="416" t="str">
        <f t="shared" si="1"/>
        <v/>
      </c>
      <c r="EI35" s="416" t="str">
        <f t="shared" si="2"/>
        <v/>
      </c>
      <c r="EJ35" s="417" t="str">
        <f t="shared" si="3"/>
        <v/>
      </c>
      <c r="EK35" s="33" t="s">
        <v>11884</v>
      </c>
      <c r="EL35" s="47"/>
      <c r="EM35" s="47"/>
    </row>
    <row r="36" spans="1:144" x14ac:dyDescent="0.2">
      <c r="A36" s="559"/>
      <c r="B36" s="305">
        <v>34</v>
      </c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61"/>
      <c r="AD36" s="345"/>
      <c r="AE36" s="345"/>
      <c r="AF36" s="345"/>
      <c r="AG36" s="345"/>
      <c r="AH36" s="345"/>
      <c r="AI36" s="345"/>
      <c r="AJ36" s="345"/>
      <c r="AK36" s="345"/>
      <c r="AL36" s="345"/>
      <c r="AM36" s="345"/>
      <c r="AN36" s="345"/>
      <c r="AO36" s="345"/>
      <c r="AP36" s="345"/>
      <c r="AQ36" s="361"/>
      <c r="AR36" s="345"/>
      <c r="AS36" s="345"/>
      <c r="AT36" s="345"/>
      <c r="AU36" s="345"/>
      <c r="AV36" s="345"/>
      <c r="AW36" s="345"/>
      <c r="AX36" s="345"/>
      <c r="AY36" s="345"/>
      <c r="AZ36" s="345"/>
      <c r="BA36" s="345"/>
      <c r="BB36" s="345"/>
      <c r="BC36" s="345"/>
      <c r="BD36" s="345"/>
      <c r="BE36" s="345"/>
      <c r="BF36" s="345"/>
      <c r="BG36" s="345"/>
      <c r="BH36" s="345"/>
      <c r="BI36" s="345"/>
      <c r="BJ36" s="345"/>
      <c r="BK36" s="345"/>
      <c r="BL36" s="345"/>
      <c r="BM36" s="345"/>
      <c r="BN36" s="345"/>
      <c r="BO36" s="345"/>
      <c r="BP36" s="345"/>
      <c r="BQ36" s="345"/>
      <c r="BR36" s="345"/>
      <c r="BS36" s="345"/>
      <c r="BT36" s="345"/>
      <c r="BU36" s="345"/>
      <c r="BV36" s="361"/>
      <c r="BW36" s="345"/>
      <c r="BX36" s="345"/>
      <c r="BY36" s="345"/>
      <c r="BZ36" s="345"/>
      <c r="CA36" s="345"/>
      <c r="CB36" s="345"/>
      <c r="CC36" s="345"/>
      <c r="CD36" s="345"/>
      <c r="CE36" s="345"/>
      <c r="CF36" s="345"/>
      <c r="CG36" s="345"/>
      <c r="CH36" s="345"/>
      <c r="CI36" s="345"/>
      <c r="CJ36" s="345"/>
      <c r="CK36" s="345"/>
      <c r="CL36" s="345"/>
      <c r="CM36" s="345"/>
      <c r="CN36" s="345"/>
      <c r="CO36" s="345"/>
      <c r="CP36" s="345"/>
      <c r="CQ36" s="345"/>
      <c r="CR36" s="345"/>
      <c r="CS36" s="345"/>
      <c r="CT36" s="345"/>
      <c r="CU36" s="345"/>
      <c r="CV36" s="345"/>
      <c r="CW36" s="345"/>
      <c r="CX36" s="345"/>
      <c r="CY36" s="345"/>
      <c r="CZ36" s="345"/>
      <c r="DA36" s="345"/>
      <c r="DB36" s="345"/>
      <c r="DC36" s="345"/>
      <c r="DD36" s="345"/>
      <c r="DE36" s="345"/>
      <c r="DF36" s="345"/>
      <c r="DG36" s="345"/>
      <c r="DH36" s="345"/>
      <c r="DI36" s="345"/>
      <c r="DJ36" s="345"/>
      <c r="DK36" s="345"/>
      <c r="DL36" s="345"/>
      <c r="DM36" s="345"/>
      <c r="DN36" s="345"/>
      <c r="DO36" s="345"/>
      <c r="DP36" s="345"/>
      <c r="DQ36" s="345"/>
      <c r="DR36" s="345"/>
      <c r="DS36" s="345"/>
      <c r="DT36" s="345"/>
      <c r="DU36" s="345"/>
      <c r="DV36" s="345"/>
      <c r="DW36" s="345"/>
      <c r="DX36" s="345"/>
      <c r="DY36" s="345"/>
      <c r="DZ36" s="345"/>
      <c r="EA36" s="345"/>
      <c r="EB36" s="345"/>
      <c r="EC36" s="345"/>
      <c r="ED36" s="346"/>
      <c r="EE36" s="415" t="str">
        <f t="shared" si="4"/>
        <v/>
      </c>
      <c r="EF36" s="416" t="s">
        <v>9409</v>
      </c>
      <c r="EG36" s="416" t="str">
        <f t="shared" si="0"/>
        <v/>
      </c>
      <c r="EH36" s="416" t="str">
        <f t="shared" si="1"/>
        <v/>
      </c>
      <c r="EI36" s="416" t="str">
        <f t="shared" si="2"/>
        <v/>
      </c>
      <c r="EJ36" s="417" t="str">
        <f t="shared" si="3"/>
        <v/>
      </c>
    </row>
    <row r="37" spans="1:144" x14ac:dyDescent="0.2">
      <c r="A37" s="559"/>
      <c r="B37" s="305">
        <v>35</v>
      </c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61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61"/>
      <c r="AR37" s="345"/>
      <c r="AS37" s="345"/>
      <c r="AT37" s="345"/>
      <c r="AU37" s="345"/>
      <c r="AV37" s="345"/>
      <c r="AW37" s="345"/>
      <c r="AX37" s="353" t="s">
        <v>11893</v>
      </c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  <c r="BM37" s="345"/>
      <c r="BN37" s="345"/>
      <c r="BO37" s="345"/>
      <c r="BP37" s="345"/>
      <c r="BQ37" s="345"/>
      <c r="BR37" s="345"/>
      <c r="BS37" s="345"/>
      <c r="BT37" s="345"/>
      <c r="BU37" s="345"/>
      <c r="BV37" s="361"/>
      <c r="BW37" s="345"/>
      <c r="BX37" s="345"/>
      <c r="BY37" s="345"/>
      <c r="BZ37" s="345"/>
      <c r="CA37" s="345"/>
      <c r="CB37" s="345"/>
      <c r="CC37" s="345"/>
      <c r="CD37" s="345"/>
      <c r="CE37" s="345"/>
      <c r="CF37" s="345"/>
      <c r="CG37" s="345"/>
      <c r="CH37" s="345"/>
      <c r="CI37" s="345"/>
      <c r="CJ37" s="345"/>
      <c r="CK37" s="345"/>
      <c r="CL37" s="345"/>
      <c r="CM37" s="345"/>
      <c r="CN37" s="345"/>
      <c r="CO37" s="345"/>
      <c r="CP37" s="345"/>
      <c r="CQ37" s="345"/>
      <c r="CR37" s="345"/>
      <c r="CS37" s="345"/>
      <c r="CT37" s="345"/>
      <c r="CU37" s="345"/>
      <c r="CV37" s="345"/>
      <c r="CW37" s="345"/>
      <c r="CX37" s="345"/>
      <c r="CY37" s="345"/>
      <c r="CZ37" s="345"/>
      <c r="DA37" s="345"/>
      <c r="DB37" s="345"/>
      <c r="DC37" s="345"/>
      <c r="DD37" s="345"/>
      <c r="DE37" s="345"/>
      <c r="DF37" s="345"/>
      <c r="DG37" s="345"/>
      <c r="DH37" s="345"/>
      <c r="DI37" s="345"/>
      <c r="DJ37" s="345"/>
      <c r="DK37" s="345"/>
      <c r="DL37" s="345"/>
      <c r="DM37" s="345"/>
      <c r="DN37" s="345"/>
      <c r="DO37" s="345"/>
      <c r="DP37" s="345"/>
      <c r="DQ37" s="345"/>
      <c r="DR37" s="345"/>
      <c r="DS37" s="345"/>
      <c r="DT37" s="345"/>
      <c r="DU37" s="345"/>
      <c r="DV37" s="345"/>
      <c r="DW37" s="345"/>
      <c r="DX37" s="345"/>
      <c r="DY37" s="345"/>
      <c r="DZ37" s="345"/>
      <c r="EA37" s="345"/>
      <c r="EB37" s="345"/>
      <c r="EC37" s="345"/>
      <c r="ED37" s="346"/>
      <c r="EE37" s="415" t="str">
        <f t="shared" si="4"/>
        <v/>
      </c>
      <c r="EF37" s="416" t="s">
        <v>9409</v>
      </c>
      <c r="EG37" s="416" t="str">
        <f t="shared" si="0"/>
        <v/>
      </c>
      <c r="EH37" s="416" t="str">
        <f t="shared" si="1"/>
        <v/>
      </c>
      <c r="EI37" s="416" t="str">
        <f t="shared" si="2"/>
        <v/>
      </c>
      <c r="EJ37" s="417" t="str">
        <f t="shared" si="3"/>
        <v/>
      </c>
    </row>
    <row r="38" spans="1:144" x14ac:dyDescent="0.2">
      <c r="A38" s="559"/>
      <c r="B38" s="301">
        <v>36</v>
      </c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61"/>
      <c r="AD38" s="345"/>
      <c r="AE38" s="345"/>
      <c r="AF38" s="345"/>
      <c r="AG38" s="345"/>
      <c r="AH38" s="345"/>
      <c r="AI38" s="345"/>
      <c r="AJ38" s="345"/>
      <c r="AK38" s="345"/>
      <c r="AL38" s="345"/>
      <c r="AM38" s="345"/>
      <c r="AN38" s="345"/>
      <c r="AO38" s="345"/>
      <c r="AP38" s="345"/>
      <c r="AQ38" s="347"/>
      <c r="AR38" s="349"/>
      <c r="AS38" s="349"/>
      <c r="AT38" s="349"/>
      <c r="AU38" s="349"/>
      <c r="AV38" s="349"/>
      <c r="AW38" s="349"/>
      <c r="AX38" s="345"/>
      <c r="AY38" s="349"/>
      <c r="AZ38" s="349"/>
      <c r="BA38" s="349"/>
      <c r="BB38" s="349"/>
      <c r="BC38" s="349"/>
      <c r="BD38" s="349"/>
      <c r="BE38" s="349"/>
      <c r="BF38" s="345"/>
      <c r="BG38" s="349"/>
      <c r="BH38" s="349"/>
      <c r="BI38" s="349"/>
      <c r="BJ38" s="349"/>
      <c r="BK38" s="349"/>
      <c r="BL38" s="349"/>
      <c r="BM38" s="349"/>
      <c r="BN38" s="345"/>
      <c r="BO38" s="349"/>
      <c r="BP38" s="349"/>
      <c r="BQ38" s="349"/>
      <c r="BR38" s="349"/>
      <c r="BS38" s="349"/>
      <c r="BT38" s="345"/>
      <c r="BU38" s="349"/>
      <c r="BV38" s="347"/>
      <c r="BW38" s="349"/>
      <c r="BX38" s="349"/>
      <c r="BY38" s="349"/>
      <c r="BZ38" s="349"/>
      <c r="CA38" s="349"/>
      <c r="CB38" s="349"/>
      <c r="CC38" s="349"/>
      <c r="CD38" s="349"/>
      <c r="CE38" s="349"/>
      <c r="CF38" s="349"/>
      <c r="CG38" s="349"/>
      <c r="CH38" s="349"/>
      <c r="CI38" s="349"/>
      <c r="CJ38" s="349"/>
      <c r="CK38" s="349"/>
      <c r="CL38" s="349"/>
      <c r="CM38" s="349"/>
      <c r="CN38" s="349"/>
      <c r="CO38" s="349"/>
      <c r="CP38" s="349"/>
      <c r="CQ38" s="349"/>
      <c r="CR38" s="349"/>
      <c r="CS38" s="349"/>
      <c r="CT38" s="349"/>
      <c r="CU38" s="349"/>
      <c r="CV38" s="349"/>
      <c r="CW38" s="349"/>
      <c r="CX38" s="349"/>
      <c r="CY38" s="349"/>
      <c r="CZ38" s="349"/>
      <c r="DA38" s="349"/>
      <c r="DB38" s="349"/>
      <c r="DC38" s="349"/>
      <c r="DD38" s="349"/>
      <c r="DE38" s="349"/>
      <c r="DF38" s="349"/>
      <c r="DG38" s="349"/>
      <c r="DH38" s="349"/>
      <c r="DI38" s="349"/>
      <c r="DJ38" s="349"/>
      <c r="DK38" s="349"/>
      <c r="DL38" s="349"/>
      <c r="DM38" s="349"/>
      <c r="DN38" s="349"/>
      <c r="DO38" s="349"/>
      <c r="DP38" s="349"/>
      <c r="DQ38" s="349"/>
      <c r="DR38" s="349"/>
      <c r="DS38" s="349"/>
      <c r="DT38" s="349"/>
      <c r="DU38" s="349"/>
      <c r="DV38" s="349"/>
      <c r="DW38" s="349"/>
      <c r="DX38" s="349"/>
      <c r="DY38" s="349"/>
      <c r="DZ38" s="349"/>
      <c r="EA38" s="349"/>
      <c r="EB38" s="349"/>
      <c r="EC38" s="349"/>
      <c r="ED38" s="350"/>
      <c r="EE38" s="329" t="str">
        <f t="shared" si="4"/>
        <v/>
      </c>
      <c r="EF38" s="330"/>
      <c r="EG38" s="330" t="str">
        <f t="shared" si="0"/>
        <v/>
      </c>
      <c r="EH38" s="330" t="str">
        <f t="shared" si="1"/>
        <v/>
      </c>
      <c r="EI38" s="330" t="str">
        <f t="shared" si="2"/>
        <v/>
      </c>
      <c r="EJ38" s="331" t="str">
        <f t="shared" si="3"/>
        <v/>
      </c>
    </row>
    <row r="39" spans="1:144" x14ac:dyDescent="0.2">
      <c r="A39" s="559"/>
      <c r="B39" s="301">
        <v>37</v>
      </c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61"/>
      <c r="AD39" s="345"/>
      <c r="AE39" s="345"/>
      <c r="AF39" s="345"/>
      <c r="AG39" s="345"/>
      <c r="AH39" s="345"/>
      <c r="AI39" s="345"/>
      <c r="AJ39" s="345"/>
      <c r="AK39" s="345"/>
      <c r="AL39" s="345"/>
      <c r="AM39" s="345"/>
      <c r="AN39" s="345"/>
      <c r="AO39" s="345"/>
      <c r="AP39" s="345"/>
      <c r="AQ39" s="347"/>
      <c r="AR39" s="349"/>
      <c r="AS39" s="349"/>
      <c r="AT39" s="349"/>
      <c r="AU39" s="349"/>
      <c r="AV39" s="349"/>
      <c r="AW39" s="349"/>
      <c r="AX39" s="345"/>
      <c r="AY39" s="349"/>
      <c r="AZ39" s="349"/>
      <c r="BA39" s="349"/>
      <c r="BB39" s="349"/>
      <c r="BC39" s="349"/>
      <c r="BD39" s="349"/>
      <c r="BE39" s="349"/>
      <c r="BF39" s="345"/>
      <c r="BG39" s="349"/>
      <c r="BH39" s="349"/>
      <c r="BI39" s="349"/>
      <c r="BJ39" s="349"/>
      <c r="BK39" s="349"/>
      <c r="BL39" s="349"/>
      <c r="BM39" s="349"/>
      <c r="BN39" s="345"/>
      <c r="BO39" s="349"/>
      <c r="BP39" s="349"/>
      <c r="BQ39" s="349"/>
      <c r="BR39" s="349"/>
      <c r="BS39" s="349"/>
      <c r="BT39" s="345"/>
      <c r="BU39" s="349"/>
      <c r="BV39" s="347"/>
      <c r="BW39" s="349"/>
      <c r="BX39" s="349"/>
      <c r="BY39" s="349"/>
      <c r="BZ39" s="349"/>
      <c r="CA39" s="349"/>
      <c r="CB39" s="349"/>
      <c r="CC39" s="349"/>
      <c r="CD39" s="349"/>
      <c r="CE39" s="349"/>
      <c r="CF39" s="349"/>
      <c r="CG39" s="349"/>
      <c r="CH39" s="349"/>
      <c r="CI39" s="349"/>
      <c r="CJ39" s="349"/>
      <c r="CK39" s="349"/>
      <c r="CL39" s="349"/>
      <c r="CM39" s="349"/>
      <c r="CN39" s="349"/>
      <c r="CO39" s="349"/>
      <c r="CP39" s="349"/>
      <c r="CQ39" s="349"/>
      <c r="CR39" s="349"/>
      <c r="CS39" s="349"/>
      <c r="CT39" s="349"/>
      <c r="CU39" s="349"/>
      <c r="CV39" s="349"/>
      <c r="CW39" s="349"/>
      <c r="CX39" s="349"/>
      <c r="CY39" s="349"/>
      <c r="CZ39" s="349"/>
      <c r="DA39" s="349"/>
      <c r="DB39" s="349"/>
      <c r="DC39" s="349"/>
      <c r="DD39" s="349"/>
      <c r="DE39" s="349"/>
      <c r="DF39" s="349"/>
      <c r="DG39" s="349"/>
      <c r="DH39" s="349"/>
      <c r="DI39" s="349"/>
      <c r="DJ39" s="349"/>
      <c r="DK39" s="349"/>
      <c r="DL39" s="349"/>
      <c r="DM39" s="349"/>
      <c r="DN39" s="349"/>
      <c r="DO39" s="349"/>
      <c r="DP39" s="349"/>
      <c r="DQ39" s="349"/>
      <c r="DR39" s="349"/>
      <c r="DS39" s="349"/>
      <c r="DT39" s="349"/>
      <c r="DU39" s="349"/>
      <c r="DV39" s="349"/>
      <c r="DW39" s="349"/>
      <c r="DX39" s="349"/>
      <c r="DY39" s="349"/>
      <c r="DZ39" s="349"/>
      <c r="EA39" s="349"/>
      <c r="EB39" s="349"/>
      <c r="EC39" s="349"/>
      <c r="ED39" s="350"/>
      <c r="EE39" s="329" t="str">
        <f t="shared" si="4"/>
        <v/>
      </c>
      <c r="EF39" s="330"/>
      <c r="EG39" s="330" t="str">
        <f t="shared" si="0"/>
        <v/>
      </c>
      <c r="EH39" s="330" t="str">
        <f t="shared" si="1"/>
        <v/>
      </c>
      <c r="EI39" s="330" t="str">
        <f t="shared" si="2"/>
        <v/>
      </c>
      <c r="EJ39" s="331" t="str">
        <f t="shared" si="3"/>
        <v/>
      </c>
    </row>
    <row r="40" spans="1:144" x14ac:dyDescent="0.2">
      <c r="A40" s="559"/>
      <c r="B40" s="305">
        <v>38</v>
      </c>
      <c r="C40" s="345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345"/>
      <c r="AC40" s="361"/>
      <c r="AD40" s="345"/>
      <c r="AE40" s="345"/>
      <c r="AF40" s="345"/>
      <c r="AG40" s="345"/>
      <c r="AH40" s="345"/>
      <c r="AI40" s="345"/>
      <c r="AJ40" s="345"/>
      <c r="AK40" s="345"/>
      <c r="AL40" s="345"/>
      <c r="AM40" s="345"/>
      <c r="AN40" s="345"/>
      <c r="AO40" s="345"/>
      <c r="AP40" s="345"/>
      <c r="AQ40" s="361"/>
      <c r="AR40" s="345"/>
      <c r="AS40" s="345"/>
      <c r="AT40" s="345"/>
      <c r="AU40" s="345"/>
      <c r="AV40" s="345"/>
      <c r="AW40" s="345"/>
      <c r="AX40" s="345"/>
      <c r="AY40" s="345"/>
      <c r="AZ40" s="345"/>
      <c r="BA40" s="345"/>
      <c r="BB40" s="345"/>
      <c r="BC40" s="345"/>
      <c r="BD40" s="345"/>
      <c r="BE40" s="345"/>
      <c r="BF40" s="345"/>
      <c r="BG40" s="345"/>
      <c r="BH40" s="345"/>
      <c r="BI40" s="345"/>
      <c r="BJ40" s="345"/>
      <c r="BK40" s="345"/>
      <c r="BL40" s="345"/>
      <c r="BM40" s="345"/>
      <c r="BN40" s="345"/>
      <c r="BO40" s="345"/>
      <c r="BP40" s="345"/>
      <c r="BQ40" s="345"/>
      <c r="BR40" s="345"/>
      <c r="BS40" s="345"/>
      <c r="BT40" s="345"/>
      <c r="BU40" s="345"/>
      <c r="BV40" s="361"/>
      <c r="BW40" s="345"/>
      <c r="BX40" s="345"/>
      <c r="BY40" s="345"/>
      <c r="BZ40" s="345"/>
      <c r="CA40" s="345"/>
      <c r="CB40" s="345"/>
      <c r="CC40" s="345"/>
      <c r="CD40" s="345"/>
      <c r="CE40" s="345"/>
      <c r="CF40" s="345"/>
      <c r="CG40" s="345"/>
      <c r="CH40" s="345"/>
      <c r="CI40" s="345"/>
      <c r="CJ40" s="345"/>
      <c r="CK40" s="345"/>
      <c r="CL40" s="345"/>
      <c r="CM40" s="345"/>
      <c r="CN40" s="345"/>
      <c r="CO40" s="345"/>
      <c r="CP40" s="345"/>
      <c r="CQ40" s="345"/>
      <c r="CR40" s="345"/>
      <c r="CS40" s="345"/>
      <c r="CT40" s="345"/>
      <c r="CU40" s="345"/>
      <c r="CV40" s="345"/>
      <c r="CW40" s="345"/>
      <c r="CX40" s="345"/>
      <c r="CY40" s="345"/>
      <c r="CZ40" s="345"/>
      <c r="DA40" s="345"/>
      <c r="DB40" s="345"/>
      <c r="DC40" s="345"/>
      <c r="DD40" s="345"/>
      <c r="DE40" s="345"/>
      <c r="DF40" s="345"/>
      <c r="DG40" s="345"/>
      <c r="DH40" s="345"/>
      <c r="DI40" s="345"/>
      <c r="DJ40" s="345"/>
      <c r="DK40" s="345"/>
      <c r="DL40" s="345"/>
      <c r="DM40" s="345"/>
      <c r="DN40" s="345"/>
      <c r="DO40" s="345"/>
      <c r="DP40" s="345"/>
      <c r="DQ40" s="345"/>
      <c r="DR40" s="345"/>
      <c r="DS40" s="345"/>
      <c r="DT40" s="345"/>
      <c r="DU40" s="345"/>
      <c r="DV40" s="345"/>
      <c r="DW40" s="345"/>
      <c r="DX40" s="345"/>
      <c r="DY40" s="345"/>
      <c r="DZ40" s="345"/>
      <c r="EA40" s="345"/>
      <c r="EB40" s="345"/>
      <c r="EC40" s="345"/>
      <c r="ED40" s="346"/>
      <c r="EE40" s="415" t="str">
        <f t="shared" si="4"/>
        <v/>
      </c>
      <c r="EF40" s="416" t="s">
        <v>9409</v>
      </c>
      <c r="EG40" s="416" t="str">
        <f t="shared" si="0"/>
        <v/>
      </c>
      <c r="EH40" s="416" t="str">
        <f t="shared" si="1"/>
        <v/>
      </c>
      <c r="EI40" s="416" t="str">
        <f t="shared" si="2"/>
        <v/>
      </c>
      <c r="EJ40" s="417" t="str">
        <f t="shared" si="3"/>
        <v/>
      </c>
    </row>
    <row r="41" spans="1:144" x14ac:dyDescent="0.2">
      <c r="A41" s="559"/>
      <c r="B41" s="305">
        <v>39</v>
      </c>
      <c r="C41" s="345"/>
      <c r="D41" s="345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345"/>
      <c r="P41" s="345"/>
      <c r="Q41" s="345"/>
      <c r="R41" s="345"/>
      <c r="S41" s="345"/>
      <c r="T41" s="345"/>
      <c r="U41" s="345"/>
      <c r="V41" s="345"/>
      <c r="W41" s="345"/>
      <c r="X41" s="345"/>
      <c r="Y41" s="345"/>
      <c r="Z41" s="345"/>
      <c r="AA41" s="345"/>
      <c r="AB41" s="345"/>
      <c r="AC41" s="361"/>
      <c r="AD41" s="345"/>
      <c r="AE41" s="345"/>
      <c r="AF41" s="345"/>
      <c r="AG41" s="345"/>
      <c r="AH41" s="345"/>
      <c r="AI41" s="345"/>
      <c r="AJ41" s="345"/>
      <c r="AK41" s="345"/>
      <c r="AL41" s="345"/>
      <c r="AM41" s="345"/>
      <c r="AN41" s="345"/>
      <c r="AO41" s="345"/>
      <c r="AP41" s="345"/>
      <c r="AQ41" s="361"/>
      <c r="AR41" s="345"/>
      <c r="AS41" s="345"/>
      <c r="AT41" s="345"/>
      <c r="AU41" s="345"/>
      <c r="AV41" s="345"/>
      <c r="AW41" s="345"/>
      <c r="AX41" s="345"/>
      <c r="AY41" s="345"/>
      <c r="AZ41" s="345"/>
      <c r="BA41" s="345"/>
      <c r="BB41" s="345"/>
      <c r="BC41" s="345"/>
      <c r="BD41" s="345"/>
      <c r="BE41" s="345"/>
      <c r="BF41" s="345"/>
      <c r="BG41" s="345"/>
      <c r="BH41" s="345"/>
      <c r="BI41" s="345"/>
      <c r="BJ41" s="345"/>
      <c r="BK41" s="345"/>
      <c r="BL41" s="345"/>
      <c r="BM41" s="345"/>
      <c r="BN41" s="345"/>
      <c r="BO41" s="345"/>
      <c r="BP41" s="345"/>
      <c r="BQ41" s="345"/>
      <c r="BR41" s="345"/>
      <c r="BS41" s="345"/>
      <c r="BT41" s="345"/>
      <c r="BU41" s="345"/>
      <c r="BV41" s="361"/>
      <c r="BW41" s="345"/>
      <c r="BX41" s="345"/>
      <c r="BY41" s="345"/>
      <c r="BZ41" s="345"/>
      <c r="CA41" s="345"/>
      <c r="CB41" s="345"/>
      <c r="CC41" s="345"/>
      <c r="CD41" s="345"/>
      <c r="CE41" s="345"/>
      <c r="CF41" s="345"/>
      <c r="CG41" s="345"/>
      <c r="CH41" s="345"/>
      <c r="CI41" s="345"/>
      <c r="CJ41" s="345"/>
      <c r="CK41" s="345"/>
      <c r="CL41" s="345"/>
      <c r="CM41" s="345"/>
      <c r="CN41" s="345"/>
      <c r="CO41" s="345"/>
      <c r="CP41" s="345"/>
      <c r="CQ41" s="345"/>
      <c r="CR41" s="345"/>
      <c r="CS41" s="345"/>
      <c r="CT41" s="345"/>
      <c r="CU41" s="345"/>
      <c r="CV41" s="345"/>
      <c r="CW41" s="345"/>
      <c r="CX41" s="345"/>
      <c r="CY41" s="345"/>
      <c r="CZ41" s="345"/>
      <c r="DA41" s="345"/>
      <c r="DB41" s="345"/>
      <c r="DC41" s="345"/>
      <c r="DD41" s="345"/>
      <c r="DE41" s="345"/>
      <c r="DF41" s="345"/>
      <c r="DG41" s="345"/>
      <c r="DH41" s="345"/>
      <c r="DI41" s="345"/>
      <c r="DJ41" s="345"/>
      <c r="DK41" s="345"/>
      <c r="DL41" s="345"/>
      <c r="DM41" s="345"/>
      <c r="DN41" s="345"/>
      <c r="DO41" s="345"/>
      <c r="DP41" s="345"/>
      <c r="DQ41" s="345"/>
      <c r="DR41" s="345"/>
      <c r="DS41" s="345"/>
      <c r="DT41" s="345"/>
      <c r="DU41" s="345"/>
      <c r="DV41" s="345"/>
      <c r="DW41" s="345"/>
      <c r="DX41" s="345"/>
      <c r="DY41" s="345"/>
      <c r="DZ41" s="345"/>
      <c r="EA41" s="345"/>
      <c r="EB41" s="345"/>
      <c r="EC41" s="345"/>
      <c r="ED41" s="346"/>
      <c r="EE41" s="415" t="str">
        <f t="shared" si="4"/>
        <v/>
      </c>
      <c r="EF41" s="416" t="s">
        <v>9409</v>
      </c>
      <c r="EG41" s="416" t="str">
        <f t="shared" si="0"/>
        <v/>
      </c>
      <c r="EH41" s="416" t="str">
        <f t="shared" si="1"/>
        <v/>
      </c>
      <c r="EI41" s="416" t="str">
        <f t="shared" si="2"/>
        <v/>
      </c>
      <c r="EJ41" s="417" t="str">
        <f t="shared" si="3"/>
        <v/>
      </c>
    </row>
    <row r="42" spans="1:144" x14ac:dyDescent="0.2">
      <c r="A42" s="560"/>
      <c r="B42" s="305">
        <v>40</v>
      </c>
      <c r="C42" s="354"/>
      <c r="D42" s="354"/>
      <c r="E42" s="354"/>
      <c r="F42" s="354"/>
      <c r="G42" s="354"/>
      <c r="H42" s="354"/>
      <c r="I42" s="354"/>
      <c r="J42" s="354"/>
      <c r="K42" s="354"/>
      <c r="L42" s="354"/>
      <c r="M42" s="354"/>
      <c r="N42" s="354"/>
      <c r="O42" s="354"/>
      <c r="P42" s="354"/>
      <c r="Q42" s="354"/>
      <c r="R42" s="354"/>
      <c r="S42" s="354"/>
      <c r="T42" s="354"/>
      <c r="U42" s="354"/>
      <c r="V42" s="354"/>
      <c r="W42" s="354"/>
      <c r="X42" s="354"/>
      <c r="Y42" s="354"/>
      <c r="Z42" s="354"/>
      <c r="AA42" s="354"/>
      <c r="AB42" s="354"/>
      <c r="AC42" s="361"/>
      <c r="AD42" s="345"/>
      <c r="AE42" s="345"/>
      <c r="AF42" s="345"/>
      <c r="AG42" s="345"/>
      <c r="AH42" s="345"/>
      <c r="AI42" s="345"/>
      <c r="AJ42" s="345"/>
      <c r="AK42" s="345"/>
      <c r="AL42" s="345"/>
      <c r="AM42" s="345"/>
      <c r="AN42" s="345"/>
      <c r="AO42" s="345"/>
      <c r="AP42" s="345"/>
      <c r="AQ42" s="364"/>
      <c r="AR42" s="354"/>
      <c r="AS42" s="354"/>
      <c r="AT42" s="354"/>
      <c r="AU42" s="354"/>
      <c r="AV42" s="354"/>
      <c r="AW42" s="354"/>
      <c r="AX42" s="354"/>
      <c r="AY42" s="354"/>
      <c r="AZ42" s="354"/>
      <c r="BA42" s="354"/>
      <c r="BB42" s="354"/>
      <c r="BC42" s="354"/>
      <c r="BD42" s="354"/>
      <c r="BE42" s="354"/>
      <c r="BF42" s="354"/>
      <c r="BG42" s="354"/>
      <c r="BH42" s="354"/>
      <c r="BI42" s="354"/>
      <c r="BJ42" s="354"/>
      <c r="BK42" s="354"/>
      <c r="BL42" s="354"/>
      <c r="BM42" s="354"/>
      <c r="BN42" s="354"/>
      <c r="BO42" s="354"/>
      <c r="BP42" s="354"/>
      <c r="BQ42" s="354"/>
      <c r="BR42" s="354"/>
      <c r="BS42" s="354"/>
      <c r="BT42" s="354"/>
      <c r="BU42" s="354"/>
      <c r="BV42" s="361"/>
      <c r="BW42" s="345"/>
      <c r="BX42" s="345"/>
      <c r="BY42" s="345"/>
      <c r="BZ42" s="345"/>
      <c r="CA42" s="345"/>
      <c r="CB42" s="345"/>
      <c r="CC42" s="345"/>
      <c r="CD42" s="345"/>
      <c r="CE42" s="345"/>
      <c r="CF42" s="345"/>
      <c r="CG42" s="345"/>
      <c r="CH42" s="345"/>
      <c r="CI42" s="345"/>
      <c r="CJ42" s="345"/>
      <c r="CK42" s="345"/>
      <c r="CL42" s="345"/>
      <c r="CM42" s="345"/>
      <c r="CN42" s="345"/>
      <c r="CO42" s="345"/>
      <c r="CP42" s="345"/>
      <c r="CQ42" s="345"/>
      <c r="CR42" s="345"/>
      <c r="CS42" s="345"/>
      <c r="CT42" s="345"/>
      <c r="CU42" s="345"/>
      <c r="CV42" s="345"/>
      <c r="CW42" s="345"/>
      <c r="CX42" s="345"/>
      <c r="CY42" s="345"/>
      <c r="CZ42" s="345"/>
      <c r="DA42" s="345"/>
      <c r="DB42" s="345"/>
      <c r="DC42" s="345"/>
      <c r="DD42" s="345"/>
      <c r="DE42" s="345"/>
      <c r="DF42" s="345"/>
      <c r="DG42" s="345"/>
      <c r="DH42" s="345"/>
      <c r="DI42" s="345"/>
      <c r="DJ42" s="345"/>
      <c r="DK42" s="345"/>
      <c r="DL42" s="345"/>
      <c r="DM42" s="345"/>
      <c r="DN42" s="345"/>
      <c r="DO42" s="345"/>
      <c r="DP42" s="345"/>
      <c r="DQ42" s="345"/>
      <c r="DR42" s="345"/>
      <c r="DS42" s="345"/>
      <c r="DT42" s="345"/>
      <c r="DU42" s="345"/>
      <c r="DV42" s="345"/>
      <c r="DW42" s="345"/>
      <c r="DX42" s="345"/>
      <c r="DY42" s="345"/>
      <c r="DZ42" s="345"/>
      <c r="EA42" s="345"/>
      <c r="EB42" s="345"/>
      <c r="EC42" s="345"/>
      <c r="ED42" s="346"/>
      <c r="EE42" s="415" t="str">
        <f>IF(COUNTIF(C42:ED42, "x"), "x", "")</f>
        <v/>
      </c>
      <c r="EF42" s="416" t="s">
        <v>9409</v>
      </c>
      <c r="EG42" s="416" t="str">
        <f t="shared" si="0"/>
        <v/>
      </c>
      <c r="EH42" s="416" t="str">
        <f t="shared" si="1"/>
        <v/>
      </c>
      <c r="EI42" s="416" t="str">
        <f t="shared" si="2"/>
        <v/>
      </c>
      <c r="EJ42" s="417" t="str">
        <f t="shared" si="3"/>
        <v/>
      </c>
    </row>
    <row r="43" spans="1:144" x14ac:dyDescent="0.2">
      <c r="A43" s="558" t="s">
        <v>9428</v>
      </c>
      <c r="B43" s="370">
        <v>41</v>
      </c>
      <c r="C43" s="378"/>
      <c r="D43" s="353" t="s">
        <v>9409</v>
      </c>
      <c r="E43" s="353"/>
      <c r="F43" s="378"/>
      <c r="G43" s="378"/>
      <c r="H43" s="378"/>
      <c r="I43" s="378"/>
      <c r="J43" s="378"/>
      <c r="K43" s="378"/>
      <c r="L43" s="378"/>
      <c r="M43" s="378"/>
      <c r="N43" s="378"/>
      <c r="O43" s="378"/>
      <c r="P43" s="378"/>
      <c r="Q43" s="378"/>
      <c r="R43" s="378"/>
      <c r="S43" s="378"/>
      <c r="T43" s="378"/>
      <c r="U43" s="378"/>
      <c r="V43" s="378"/>
      <c r="W43" s="378"/>
      <c r="X43" s="378"/>
      <c r="Y43" s="378"/>
      <c r="Z43" s="378"/>
      <c r="AA43" s="378"/>
      <c r="AB43" s="378"/>
      <c r="AC43" s="426"/>
      <c r="AD43" s="382"/>
      <c r="AE43" s="425"/>
      <c r="AF43" s="382"/>
      <c r="AG43" s="382"/>
      <c r="AH43" s="382"/>
      <c r="AI43" s="425"/>
      <c r="AJ43" s="425"/>
      <c r="AK43" s="425"/>
      <c r="AL43" s="382"/>
      <c r="AM43" s="382"/>
      <c r="AN43" s="425"/>
      <c r="AO43" s="425"/>
      <c r="AP43" s="435"/>
      <c r="AQ43" s="345"/>
      <c r="AR43" s="345"/>
      <c r="AS43" s="345"/>
      <c r="AT43" s="345"/>
      <c r="AU43" s="345"/>
      <c r="AV43" s="345"/>
      <c r="AW43" s="345"/>
      <c r="AX43" s="345"/>
      <c r="AY43" s="345"/>
      <c r="AZ43" s="345"/>
      <c r="BA43" s="345"/>
      <c r="BB43" s="345"/>
      <c r="BC43" s="345"/>
      <c r="BD43" s="345"/>
      <c r="BE43" s="345"/>
      <c r="BF43" s="345"/>
      <c r="BG43" s="345"/>
      <c r="BH43" s="345"/>
      <c r="BI43" s="345"/>
      <c r="BJ43" s="345"/>
      <c r="BK43" s="345"/>
      <c r="BL43" s="345"/>
      <c r="BM43" s="345"/>
      <c r="BN43" s="345"/>
      <c r="BO43" s="345"/>
      <c r="BP43" s="345"/>
      <c r="BQ43" s="345"/>
      <c r="BR43" s="345"/>
      <c r="BS43" s="345"/>
      <c r="BT43" s="345"/>
      <c r="BU43" s="345"/>
      <c r="BV43" s="371"/>
      <c r="BW43" s="366"/>
      <c r="BX43" s="366"/>
      <c r="BY43" s="366"/>
      <c r="BZ43" s="366"/>
      <c r="CA43" s="366"/>
      <c r="CB43" s="366"/>
      <c r="CC43" s="366"/>
      <c r="CD43" s="366"/>
      <c r="CE43" s="366"/>
      <c r="CF43" s="366"/>
      <c r="CG43" s="366"/>
      <c r="CH43" s="366"/>
      <c r="CI43" s="366"/>
      <c r="CJ43" s="366"/>
      <c r="CK43" s="366"/>
      <c r="CL43" s="366"/>
      <c r="CM43" s="366"/>
      <c r="CN43" s="366"/>
      <c r="CO43" s="366"/>
      <c r="CP43" s="366"/>
      <c r="CQ43" s="366"/>
      <c r="CR43" s="366"/>
      <c r="CS43" s="366"/>
      <c r="CT43" s="366"/>
      <c r="CU43" s="366"/>
      <c r="CV43" s="366"/>
      <c r="CW43" s="366"/>
      <c r="CX43" s="366"/>
      <c r="CY43" s="366"/>
      <c r="CZ43" s="366"/>
      <c r="DA43" s="366"/>
      <c r="DB43" s="366"/>
      <c r="DC43" s="366"/>
      <c r="DD43" s="366"/>
      <c r="DE43" s="366"/>
      <c r="DF43" s="366"/>
      <c r="DG43" s="366"/>
      <c r="DH43" s="366"/>
      <c r="DI43" s="366"/>
      <c r="DJ43" s="366"/>
      <c r="DK43" s="366"/>
      <c r="DL43" s="366"/>
      <c r="DM43" s="366" t="s">
        <v>9409</v>
      </c>
      <c r="DN43" s="366"/>
      <c r="DO43" s="366"/>
      <c r="DP43" s="366"/>
      <c r="DQ43" s="366"/>
      <c r="DR43" s="366"/>
      <c r="DS43" s="366"/>
      <c r="DT43" s="366"/>
      <c r="DU43" s="366"/>
      <c r="DV43" s="366"/>
      <c r="DW43" s="366"/>
      <c r="DX43" s="366"/>
      <c r="DY43" s="366"/>
      <c r="DZ43" s="366"/>
      <c r="EA43" s="366"/>
      <c r="EB43" s="366"/>
      <c r="EC43" s="366"/>
      <c r="ED43" s="372"/>
      <c r="EE43" s="334" t="str">
        <f t="shared" si="4"/>
        <v>x</v>
      </c>
      <c r="EF43" s="335"/>
      <c r="EG43" s="335" t="str">
        <f>IF(COUNTIF(C43:AB43, "x"), "x", "")</f>
        <v>x</v>
      </c>
      <c r="EH43" s="335" t="str">
        <f t="shared" si="1"/>
        <v/>
      </c>
      <c r="EI43" s="335" t="str">
        <f t="shared" si="2"/>
        <v/>
      </c>
      <c r="EJ43" s="336" t="str">
        <f t="shared" si="3"/>
        <v>x</v>
      </c>
    </row>
    <row r="44" spans="1:144" x14ac:dyDescent="0.2">
      <c r="A44" s="559"/>
      <c r="B44" s="373">
        <v>42</v>
      </c>
      <c r="C44" s="378"/>
      <c r="D44" s="353"/>
      <c r="E44" s="353"/>
      <c r="F44" s="378" t="s">
        <v>9409</v>
      </c>
      <c r="G44" s="378"/>
      <c r="H44" s="378"/>
      <c r="I44" s="378"/>
      <c r="J44" s="378"/>
      <c r="K44" s="378"/>
      <c r="L44" s="378"/>
      <c r="M44" s="378"/>
      <c r="N44" s="378"/>
      <c r="O44" s="378"/>
      <c r="P44" s="378"/>
      <c r="Q44" s="378"/>
      <c r="R44" s="378"/>
      <c r="S44" s="378"/>
      <c r="T44" s="378"/>
      <c r="U44" s="378"/>
      <c r="V44" s="378"/>
      <c r="W44" s="378"/>
      <c r="X44" s="378"/>
      <c r="Y44" s="378"/>
      <c r="Z44" s="378"/>
      <c r="AA44" s="378"/>
      <c r="AB44" s="378"/>
      <c r="AC44" s="424"/>
      <c r="AD44" s="389"/>
      <c r="AE44" s="428"/>
      <c r="AF44" s="389"/>
      <c r="AG44" s="389"/>
      <c r="AH44" s="389"/>
      <c r="AI44" s="428"/>
      <c r="AJ44" s="428"/>
      <c r="AK44" s="428"/>
      <c r="AL44" s="389"/>
      <c r="AM44" s="389"/>
      <c r="AN44" s="428"/>
      <c r="AO44" s="428"/>
      <c r="AP44" s="423"/>
      <c r="AQ44" s="345"/>
      <c r="AR44" s="345"/>
      <c r="AS44" s="345"/>
      <c r="AT44" s="345"/>
      <c r="AU44" s="345"/>
      <c r="AV44" s="345"/>
      <c r="AW44" s="345"/>
      <c r="AX44" s="345"/>
      <c r="AY44" s="345"/>
      <c r="AZ44" s="345"/>
      <c r="BA44" s="345"/>
      <c r="BB44" s="345"/>
      <c r="BC44" s="345"/>
      <c r="BD44" s="345"/>
      <c r="BE44" s="345"/>
      <c r="BF44" s="345"/>
      <c r="BG44" s="345"/>
      <c r="BH44" s="345"/>
      <c r="BI44" s="345"/>
      <c r="BJ44" s="345"/>
      <c r="BK44" s="345"/>
      <c r="BL44" s="345"/>
      <c r="BM44" s="345"/>
      <c r="BN44" s="345"/>
      <c r="BO44" s="345"/>
      <c r="BP44" s="345"/>
      <c r="BQ44" s="345"/>
      <c r="BR44" s="345"/>
      <c r="BS44" s="345"/>
      <c r="BT44" s="345"/>
      <c r="BU44" s="345"/>
      <c r="BV44" s="365"/>
      <c r="BW44" s="353"/>
      <c r="BX44" s="353"/>
      <c r="BY44" s="353"/>
      <c r="BZ44" s="353"/>
      <c r="CA44" s="353"/>
      <c r="CB44" s="353"/>
      <c r="CC44" s="353"/>
      <c r="CD44" s="353"/>
      <c r="CE44" s="353"/>
      <c r="CF44" s="353"/>
      <c r="CG44" s="353"/>
      <c r="CH44" s="353"/>
      <c r="CI44" s="353"/>
      <c r="CJ44" s="353"/>
      <c r="CK44" s="353"/>
      <c r="CL44" s="353"/>
      <c r="CM44" s="353"/>
      <c r="CN44" s="353"/>
      <c r="CO44" s="353"/>
      <c r="CP44" s="353"/>
      <c r="CQ44" s="353"/>
      <c r="CR44" s="353"/>
      <c r="CS44" s="353"/>
      <c r="CT44" s="353"/>
      <c r="CU44" s="353"/>
      <c r="CV44" s="353"/>
      <c r="CW44" s="353"/>
      <c r="CX44" s="353"/>
      <c r="CY44" s="353"/>
      <c r="CZ44" s="353"/>
      <c r="DA44" s="353"/>
      <c r="DB44" s="353"/>
      <c r="DC44" s="353"/>
      <c r="DD44" s="353"/>
      <c r="DE44" s="353"/>
      <c r="DF44" s="353"/>
      <c r="DG44" s="353"/>
      <c r="DH44" s="353" t="s">
        <v>9409</v>
      </c>
      <c r="DI44" s="353"/>
      <c r="DJ44" s="353"/>
      <c r="DK44" s="353"/>
      <c r="DL44" s="353"/>
      <c r="DM44" s="353"/>
      <c r="DN44" s="353"/>
      <c r="DO44" s="353"/>
      <c r="DP44" s="353"/>
      <c r="DQ44" s="353"/>
      <c r="DR44" s="353"/>
      <c r="DS44" s="353"/>
      <c r="DT44" s="353"/>
      <c r="DU44" s="353"/>
      <c r="DV44" s="353"/>
      <c r="DW44" s="353"/>
      <c r="DX44" s="353"/>
      <c r="DY44" s="353"/>
      <c r="DZ44" s="353"/>
      <c r="EA44" s="353"/>
      <c r="EB44" s="353"/>
      <c r="EC44" s="353"/>
      <c r="ED44" s="374"/>
      <c r="EE44" s="329" t="str">
        <f t="shared" si="4"/>
        <v>x</v>
      </c>
      <c r="EF44" s="330"/>
      <c r="EG44" s="330" t="str">
        <f t="shared" si="0"/>
        <v>x</v>
      </c>
      <c r="EH44" s="330" t="str">
        <f t="shared" si="1"/>
        <v/>
      </c>
      <c r="EI44" s="330" t="str">
        <f t="shared" si="2"/>
        <v/>
      </c>
      <c r="EJ44" s="331" t="str">
        <f t="shared" si="3"/>
        <v>x</v>
      </c>
    </row>
    <row r="45" spans="1:144" x14ac:dyDescent="0.2">
      <c r="A45" s="559"/>
      <c r="B45" s="373">
        <v>43</v>
      </c>
      <c r="C45" s="378"/>
      <c r="D45" s="353"/>
      <c r="E45" s="353" t="s">
        <v>9409</v>
      </c>
      <c r="F45" s="378"/>
      <c r="G45" s="378"/>
      <c r="H45" s="378"/>
      <c r="I45" s="378"/>
      <c r="J45" s="378"/>
      <c r="K45" s="378"/>
      <c r="L45" s="378"/>
      <c r="M45" s="378"/>
      <c r="N45" s="378"/>
      <c r="O45" s="378"/>
      <c r="P45" s="378"/>
      <c r="Q45" s="378"/>
      <c r="R45" s="378"/>
      <c r="S45" s="378"/>
      <c r="T45" s="378"/>
      <c r="U45" s="378"/>
      <c r="V45" s="378"/>
      <c r="W45" s="378"/>
      <c r="X45" s="378"/>
      <c r="Y45" s="378"/>
      <c r="Z45" s="378"/>
      <c r="AA45" s="378"/>
      <c r="AB45" s="378"/>
      <c r="AC45" s="424"/>
      <c r="AD45" s="389"/>
      <c r="AE45" s="428"/>
      <c r="AF45" s="389"/>
      <c r="AG45" s="389"/>
      <c r="AH45" s="389"/>
      <c r="AI45" s="428"/>
      <c r="AJ45" s="428"/>
      <c r="AK45" s="428"/>
      <c r="AL45" s="389"/>
      <c r="AM45" s="389"/>
      <c r="AN45" s="428"/>
      <c r="AO45" s="428"/>
      <c r="AP45" s="423"/>
      <c r="AQ45" s="345"/>
      <c r="AR45" s="345"/>
      <c r="AS45" s="345"/>
      <c r="AT45" s="345"/>
      <c r="AU45" s="345"/>
      <c r="AV45" s="345"/>
      <c r="AW45" s="345"/>
      <c r="AX45" s="345"/>
      <c r="AY45" s="345"/>
      <c r="AZ45" s="345"/>
      <c r="BA45" s="345"/>
      <c r="BB45" s="345"/>
      <c r="BC45" s="345"/>
      <c r="BD45" s="345"/>
      <c r="BE45" s="345"/>
      <c r="BF45" s="345"/>
      <c r="BG45" s="345"/>
      <c r="BH45" s="345"/>
      <c r="BI45" s="345"/>
      <c r="BJ45" s="345"/>
      <c r="BK45" s="345"/>
      <c r="BL45" s="345"/>
      <c r="BM45" s="345"/>
      <c r="BN45" s="345"/>
      <c r="BO45" s="345"/>
      <c r="BP45" s="345"/>
      <c r="BQ45" s="345"/>
      <c r="BR45" s="345"/>
      <c r="BS45" s="345"/>
      <c r="BT45" s="345"/>
      <c r="BU45" s="345"/>
      <c r="BV45" s="365"/>
      <c r="BW45" s="353"/>
      <c r="BX45" s="353"/>
      <c r="BY45" s="353"/>
      <c r="BZ45" s="353"/>
      <c r="CA45" s="353"/>
      <c r="CB45" s="353"/>
      <c r="CC45" s="353"/>
      <c r="CD45" s="353"/>
      <c r="CE45" s="353"/>
      <c r="CF45" s="353"/>
      <c r="CG45" s="353"/>
      <c r="CH45" s="353"/>
      <c r="CI45" s="353"/>
      <c r="CJ45" s="353"/>
      <c r="CK45" s="353"/>
      <c r="CL45" s="353"/>
      <c r="CM45" s="353"/>
      <c r="CN45" s="353"/>
      <c r="CO45" s="353"/>
      <c r="CP45" s="353"/>
      <c r="CQ45" s="353"/>
      <c r="CR45" s="353"/>
      <c r="CS45" s="353"/>
      <c r="CT45" s="353"/>
      <c r="CU45" s="353"/>
      <c r="CV45" s="353"/>
      <c r="CW45" s="353"/>
      <c r="CX45" s="353"/>
      <c r="CY45" s="353"/>
      <c r="CZ45" s="353"/>
      <c r="DA45" s="353"/>
      <c r="DB45" s="353"/>
      <c r="DC45" s="353"/>
      <c r="DD45" s="353"/>
      <c r="DE45" s="353"/>
      <c r="DF45" s="353"/>
      <c r="DG45" s="353"/>
      <c r="DH45" s="353"/>
      <c r="DI45" s="353"/>
      <c r="DJ45" s="353"/>
      <c r="DK45" s="353"/>
      <c r="DL45" s="353" t="s">
        <v>9409</v>
      </c>
      <c r="DM45" s="353"/>
      <c r="DN45" s="353"/>
      <c r="DO45" s="353"/>
      <c r="DP45" s="353"/>
      <c r="DQ45" s="353"/>
      <c r="DR45" s="353"/>
      <c r="DS45" s="353"/>
      <c r="DT45" s="353"/>
      <c r="DU45" s="353"/>
      <c r="DV45" s="353"/>
      <c r="DW45" s="353"/>
      <c r="DX45" s="353"/>
      <c r="DY45" s="353"/>
      <c r="DZ45" s="353"/>
      <c r="EA45" s="353"/>
      <c r="EB45" s="353"/>
      <c r="EC45" s="353"/>
      <c r="ED45" s="374"/>
      <c r="EE45" s="329" t="str">
        <f t="shared" si="4"/>
        <v>x</v>
      </c>
      <c r="EF45" s="330"/>
      <c r="EG45" s="330" t="str">
        <f t="shared" si="0"/>
        <v>x</v>
      </c>
      <c r="EH45" s="330" t="str">
        <f t="shared" si="1"/>
        <v/>
      </c>
      <c r="EI45" s="330" t="str">
        <f t="shared" si="2"/>
        <v/>
      </c>
      <c r="EJ45" s="331" t="str">
        <f t="shared" si="3"/>
        <v>x</v>
      </c>
    </row>
    <row r="46" spans="1:144" x14ac:dyDescent="0.2">
      <c r="A46" s="559"/>
      <c r="B46" s="373">
        <v>44</v>
      </c>
      <c r="C46" s="378"/>
      <c r="D46" s="353"/>
      <c r="E46" s="353"/>
      <c r="F46" s="378"/>
      <c r="G46" s="378" t="s">
        <v>9409</v>
      </c>
      <c r="H46" s="378"/>
      <c r="I46" s="378"/>
      <c r="J46" s="378"/>
      <c r="K46" s="378"/>
      <c r="L46" s="378"/>
      <c r="M46" s="378"/>
      <c r="N46" s="378"/>
      <c r="O46" s="378"/>
      <c r="P46" s="378"/>
      <c r="Q46" s="378"/>
      <c r="R46" s="378"/>
      <c r="S46" s="378"/>
      <c r="T46" s="378"/>
      <c r="U46" s="378"/>
      <c r="V46" s="378"/>
      <c r="W46" s="378"/>
      <c r="X46" s="378"/>
      <c r="Y46" s="378"/>
      <c r="Z46" s="378"/>
      <c r="AA46" s="378"/>
      <c r="AB46" s="378"/>
      <c r="AC46" s="424"/>
      <c r="AD46" s="389"/>
      <c r="AE46" s="428"/>
      <c r="AF46" s="389"/>
      <c r="AG46" s="389"/>
      <c r="AH46" s="389"/>
      <c r="AI46" s="428"/>
      <c r="AJ46" s="428"/>
      <c r="AK46" s="428"/>
      <c r="AL46" s="389"/>
      <c r="AM46" s="389"/>
      <c r="AN46" s="428"/>
      <c r="AO46" s="428"/>
      <c r="AP46" s="423"/>
      <c r="AQ46" s="345"/>
      <c r="AR46" s="345"/>
      <c r="AS46" s="345"/>
      <c r="AT46" s="345"/>
      <c r="AU46" s="345"/>
      <c r="AV46" s="345"/>
      <c r="AW46" s="345"/>
      <c r="AX46" s="345"/>
      <c r="AY46" s="345"/>
      <c r="AZ46" s="345"/>
      <c r="BA46" s="345"/>
      <c r="BB46" s="345"/>
      <c r="BC46" s="345"/>
      <c r="BD46" s="345"/>
      <c r="BE46" s="345"/>
      <c r="BF46" s="345"/>
      <c r="BG46" s="345"/>
      <c r="BH46" s="345"/>
      <c r="BI46" s="345"/>
      <c r="BJ46" s="345"/>
      <c r="BK46" s="345"/>
      <c r="BL46" s="345"/>
      <c r="BM46" s="345"/>
      <c r="BN46" s="345"/>
      <c r="BO46" s="345"/>
      <c r="BP46" s="345"/>
      <c r="BQ46" s="345"/>
      <c r="BR46" s="345"/>
      <c r="BS46" s="345"/>
      <c r="BT46" s="345"/>
      <c r="BU46" s="345"/>
      <c r="BV46" s="365"/>
      <c r="BW46" s="353"/>
      <c r="BX46" s="353"/>
      <c r="BY46" s="353"/>
      <c r="BZ46" s="353"/>
      <c r="CA46" s="353"/>
      <c r="CB46" s="353"/>
      <c r="CC46" s="353"/>
      <c r="CD46" s="353"/>
      <c r="CE46" s="353"/>
      <c r="CF46" s="353"/>
      <c r="CG46" s="353"/>
      <c r="CH46" s="353"/>
      <c r="CI46" s="353"/>
      <c r="CJ46" s="353"/>
      <c r="CK46" s="353"/>
      <c r="CL46" s="353"/>
      <c r="CM46" s="353"/>
      <c r="CN46" s="353"/>
      <c r="CO46" s="353"/>
      <c r="CP46" s="353"/>
      <c r="CQ46" s="353"/>
      <c r="CR46" s="353"/>
      <c r="CS46" s="353"/>
      <c r="CT46" s="353"/>
      <c r="CU46" s="353"/>
      <c r="CV46" s="353"/>
      <c r="CW46" s="353"/>
      <c r="CX46" s="353"/>
      <c r="CY46" s="353"/>
      <c r="CZ46" s="353"/>
      <c r="DA46" s="353"/>
      <c r="DB46" s="353" t="s">
        <v>9409</v>
      </c>
      <c r="DC46" s="353"/>
      <c r="DD46" s="353"/>
      <c r="DE46" s="353"/>
      <c r="DF46" s="353"/>
      <c r="DG46" s="353"/>
      <c r="DH46" s="353"/>
      <c r="DI46" s="353"/>
      <c r="DJ46" s="353"/>
      <c r="DK46" s="353"/>
      <c r="DL46" s="353"/>
      <c r="DM46" s="353"/>
      <c r="DN46" s="353"/>
      <c r="DO46" s="353"/>
      <c r="DP46" s="353"/>
      <c r="DQ46" s="353"/>
      <c r="DR46" s="353"/>
      <c r="DS46" s="353"/>
      <c r="DT46" s="353"/>
      <c r="DU46" s="353"/>
      <c r="DV46" s="353"/>
      <c r="DW46" s="353"/>
      <c r="DX46" s="353"/>
      <c r="DY46" s="353"/>
      <c r="DZ46" s="353"/>
      <c r="EA46" s="353"/>
      <c r="EB46" s="353"/>
      <c r="EC46" s="353"/>
      <c r="ED46" s="374"/>
      <c r="EE46" s="329" t="str">
        <f t="shared" si="4"/>
        <v>x</v>
      </c>
      <c r="EF46" s="330"/>
      <c r="EG46" s="330" t="str">
        <f t="shared" si="0"/>
        <v>x</v>
      </c>
      <c r="EH46" s="330" t="str">
        <f>IF(COUNTIF(AC46:AP46, "x"), "x", "")</f>
        <v/>
      </c>
      <c r="EI46" s="330" t="str">
        <f t="shared" si="2"/>
        <v/>
      </c>
      <c r="EJ46" s="331" t="str">
        <f t="shared" si="3"/>
        <v>x</v>
      </c>
    </row>
    <row r="47" spans="1:144" x14ac:dyDescent="0.2">
      <c r="A47" s="559"/>
      <c r="B47" s="373">
        <v>45</v>
      </c>
      <c r="C47" s="378"/>
      <c r="D47" s="378"/>
      <c r="E47" s="378"/>
      <c r="F47" s="378"/>
      <c r="G47" s="378"/>
      <c r="H47" s="378"/>
      <c r="I47" s="378"/>
      <c r="J47" s="378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424"/>
      <c r="AD47" s="389"/>
      <c r="AE47" s="428"/>
      <c r="AF47" s="389"/>
      <c r="AG47" s="389"/>
      <c r="AH47" s="389"/>
      <c r="AI47" s="428"/>
      <c r="AJ47" s="428"/>
      <c r="AK47" s="428"/>
      <c r="AL47" s="389"/>
      <c r="AM47" s="389"/>
      <c r="AN47" s="428"/>
      <c r="AO47" s="428"/>
      <c r="AP47" s="423"/>
      <c r="AQ47" s="345"/>
      <c r="AR47" s="345"/>
      <c r="AS47" s="345"/>
      <c r="AT47" s="345"/>
      <c r="AU47" s="345"/>
      <c r="AV47" s="345"/>
      <c r="AW47" s="345"/>
      <c r="AX47" s="345"/>
      <c r="AY47" s="345"/>
      <c r="AZ47" s="345"/>
      <c r="BA47" s="345"/>
      <c r="BB47" s="345"/>
      <c r="BC47" s="345"/>
      <c r="BD47" s="345"/>
      <c r="BE47" s="345"/>
      <c r="BF47" s="345"/>
      <c r="BG47" s="345"/>
      <c r="BH47" s="345"/>
      <c r="BI47" s="345"/>
      <c r="BJ47" s="345"/>
      <c r="BK47" s="345"/>
      <c r="BL47" s="345"/>
      <c r="BM47" s="345"/>
      <c r="BN47" s="345"/>
      <c r="BO47" s="345"/>
      <c r="BP47" s="345"/>
      <c r="BQ47" s="345"/>
      <c r="BR47" s="345"/>
      <c r="BS47" s="345"/>
      <c r="BT47" s="345"/>
      <c r="BU47" s="345"/>
      <c r="BV47" s="365"/>
      <c r="BW47" s="353"/>
      <c r="BX47" s="353"/>
      <c r="BY47" s="353"/>
      <c r="BZ47" s="353"/>
      <c r="CA47" s="353"/>
      <c r="CB47" s="353"/>
      <c r="CC47" s="353"/>
      <c r="CD47" s="353"/>
      <c r="CE47" s="353"/>
      <c r="CF47" s="353"/>
      <c r="CG47" s="353"/>
      <c r="CH47" s="353"/>
      <c r="CI47" s="353"/>
      <c r="CJ47" s="353"/>
      <c r="CK47" s="353"/>
      <c r="CL47" s="353"/>
      <c r="CM47" s="353"/>
      <c r="CN47" s="353"/>
      <c r="CO47" s="353"/>
      <c r="CP47" s="353"/>
      <c r="CQ47" s="353"/>
      <c r="CR47" s="353"/>
      <c r="CS47" s="353"/>
      <c r="CT47" s="353"/>
      <c r="CU47" s="353"/>
      <c r="CV47" s="353"/>
      <c r="CW47" s="353"/>
      <c r="CX47" s="353"/>
      <c r="CY47" s="353"/>
      <c r="CZ47" s="353"/>
      <c r="DA47" s="353"/>
      <c r="DB47" s="353"/>
      <c r="DC47" s="353"/>
      <c r="DD47" s="353"/>
      <c r="DE47" s="353"/>
      <c r="DF47" s="353"/>
      <c r="DG47" s="353"/>
      <c r="DH47" s="353"/>
      <c r="DI47" s="353"/>
      <c r="DJ47" s="353"/>
      <c r="DK47" s="353"/>
      <c r="DL47" s="353"/>
      <c r="DM47" s="353"/>
      <c r="DN47" s="353"/>
      <c r="DO47" s="353"/>
      <c r="DP47" s="353"/>
      <c r="DQ47" s="353"/>
      <c r="DR47" s="353"/>
      <c r="DS47" s="353"/>
      <c r="DT47" s="353"/>
      <c r="DU47" s="353"/>
      <c r="DV47" s="353"/>
      <c r="DW47" s="353"/>
      <c r="DX47" s="353"/>
      <c r="DY47" s="353"/>
      <c r="DZ47" s="353"/>
      <c r="EA47" s="353"/>
      <c r="EB47" s="353"/>
      <c r="EC47" s="353"/>
      <c r="ED47" s="374"/>
      <c r="EE47" s="329" t="str">
        <f t="shared" si="4"/>
        <v/>
      </c>
      <c r="EF47" s="330"/>
      <c r="EG47" s="330" t="str">
        <f t="shared" si="0"/>
        <v/>
      </c>
      <c r="EH47" s="330" t="str">
        <f t="shared" si="1"/>
        <v/>
      </c>
      <c r="EI47" s="330" t="str">
        <f t="shared" si="2"/>
        <v/>
      </c>
      <c r="EJ47" s="331" t="str">
        <f t="shared" si="3"/>
        <v/>
      </c>
      <c r="EK47" s="47"/>
    </row>
    <row r="48" spans="1:144" x14ac:dyDescent="0.2">
      <c r="A48" s="559"/>
      <c r="B48" s="373">
        <v>46</v>
      </c>
      <c r="C48" s="378"/>
      <c r="D48" s="378"/>
      <c r="E48" s="378"/>
      <c r="F48" s="378"/>
      <c r="G48" s="378"/>
      <c r="H48" s="378" t="s">
        <v>9409</v>
      </c>
      <c r="I48" s="378"/>
      <c r="J48" s="378"/>
      <c r="K48" s="378"/>
      <c r="L48" s="378"/>
      <c r="M48" s="378"/>
      <c r="N48" s="378"/>
      <c r="O48" s="378"/>
      <c r="P48" s="378"/>
      <c r="Q48" s="378"/>
      <c r="R48" s="378"/>
      <c r="S48" s="378"/>
      <c r="T48" s="378"/>
      <c r="U48" s="378"/>
      <c r="V48" s="378"/>
      <c r="W48" s="378"/>
      <c r="X48" s="378"/>
      <c r="Y48" s="378"/>
      <c r="Z48" s="378"/>
      <c r="AA48" s="378"/>
      <c r="AB48" s="378"/>
      <c r="AC48" s="424"/>
      <c r="AD48" s="389"/>
      <c r="AE48" s="428"/>
      <c r="AF48" s="389"/>
      <c r="AG48" s="389"/>
      <c r="AH48" s="389"/>
      <c r="AI48" s="428"/>
      <c r="AJ48" s="428"/>
      <c r="AK48" s="428"/>
      <c r="AL48" s="389"/>
      <c r="AM48" s="389"/>
      <c r="AN48" s="428"/>
      <c r="AO48" s="428"/>
      <c r="AP48" s="423"/>
      <c r="AQ48" s="345"/>
      <c r="AR48" s="345"/>
      <c r="AS48" s="345"/>
      <c r="AT48" s="345"/>
      <c r="AU48" s="345"/>
      <c r="AV48" s="345"/>
      <c r="AW48" s="345"/>
      <c r="AX48" s="345"/>
      <c r="AY48" s="345"/>
      <c r="AZ48" s="345"/>
      <c r="BA48" s="345"/>
      <c r="BB48" s="345"/>
      <c r="BC48" s="345"/>
      <c r="BD48" s="345"/>
      <c r="BE48" s="345"/>
      <c r="BF48" s="345"/>
      <c r="BG48" s="345"/>
      <c r="BH48" s="345"/>
      <c r="BI48" s="345"/>
      <c r="BJ48" s="345"/>
      <c r="BK48" s="345"/>
      <c r="BL48" s="345"/>
      <c r="BM48" s="345"/>
      <c r="BN48" s="345"/>
      <c r="BO48" s="345"/>
      <c r="BP48" s="345"/>
      <c r="BQ48" s="345"/>
      <c r="BR48" s="345"/>
      <c r="BS48" s="345"/>
      <c r="BT48" s="345"/>
      <c r="BU48" s="345"/>
      <c r="BV48" s="365"/>
      <c r="BW48" s="353"/>
      <c r="BX48" s="353"/>
      <c r="BY48" s="353"/>
      <c r="BZ48" s="353"/>
      <c r="CA48" s="353"/>
      <c r="CB48" s="353"/>
      <c r="CC48" s="353"/>
      <c r="CD48" s="353"/>
      <c r="CE48" s="353"/>
      <c r="CF48" s="353"/>
      <c r="CG48" s="353"/>
      <c r="CH48" s="353"/>
      <c r="CI48" s="353"/>
      <c r="CJ48" s="353"/>
      <c r="CK48" s="353"/>
      <c r="CL48" s="353"/>
      <c r="CM48" s="353"/>
      <c r="CN48" s="353"/>
      <c r="CO48" s="353"/>
      <c r="CP48" s="353"/>
      <c r="CQ48" s="353"/>
      <c r="CR48" s="353"/>
      <c r="CS48" s="353"/>
      <c r="CT48" s="353"/>
      <c r="CU48" s="353"/>
      <c r="CV48" s="353"/>
      <c r="CW48" s="353"/>
      <c r="CX48" s="353"/>
      <c r="CY48" s="353"/>
      <c r="CZ48" s="353" t="s">
        <v>9409</v>
      </c>
      <c r="DA48" s="353"/>
      <c r="DB48" s="353"/>
      <c r="DC48" s="353"/>
      <c r="DD48" s="353"/>
      <c r="DE48" s="353"/>
      <c r="DF48" s="353"/>
      <c r="DG48" s="353"/>
      <c r="DH48" s="353"/>
      <c r="DI48" s="353"/>
      <c r="DJ48" s="353"/>
      <c r="DK48" s="353"/>
      <c r="DL48" s="353"/>
      <c r="DM48" s="353"/>
      <c r="DN48" s="353"/>
      <c r="DO48" s="353"/>
      <c r="DP48" s="353"/>
      <c r="DQ48" s="353"/>
      <c r="DR48" s="353"/>
      <c r="DS48" s="353"/>
      <c r="DT48" s="353"/>
      <c r="DU48" s="353"/>
      <c r="DV48" s="353"/>
      <c r="DW48" s="353"/>
      <c r="DX48" s="353"/>
      <c r="DY48" s="353"/>
      <c r="DZ48" s="353"/>
      <c r="EA48" s="353"/>
      <c r="EB48" s="353"/>
      <c r="EC48" s="353"/>
      <c r="ED48" s="374"/>
      <c r="EE48" s="329" t="str">
        <f t="shared" si="4"/>
        <v>x</v>
      </c>
      <c r="EF48" s="330"/>
      <c r="EG48" s="330" t="str">
        <f t="shared" si="0"/>
        <v>x</v>
      </c>
      <c r="EH48" s="330" t="str">
        <f t="shared" si="1"/>
        <v/>
      </c>
      <c r="EI48" s="330" t="str">
        <f t="shared" si="2"/>
        <v/>
      </c>
      <c r="EJ48" s="331" t="str">
        <f t="shared" si="3"/>
        <v>x</v>
      </c>
      <c r="EK48" s="47"/>
    </row>
    <row r="49" spans="1:141" x14ac:dyDescent="0.2">
      <c r="A49" s="559"/>
      <c r="B49" s="373">
        <v>47</v>
      </c>
      <c r="C49" s="378"/>
      <c r="D49" s="378"/>
      <c r="E49" s="378"/>
      <c r="F49" s="378"/>
      <c r="G49" s="378"/>
      <c r="H49" s="378"/>
      <c r="I49" s="378" t="s">
        <v>9409</v>
      </c>
      <c r="J49" s="378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424"/>
      <c r="AD49" s="389"/>
      <c r="AE49" s="428"/>
      <c r="AF49" s="389"/>
      <c r="AG49" s="389"/>
      <c r="AH49" s="389"/>
      <c r="AI49" s="428"/>
      <c r="AJ49" s="428"/>
      <c r="AK49" s="428"/>
      <c r="AL49" s="389"/>
      <c r="AM49" s="389"/>
      <c r="AN49" s="428"/>
      <c r="AO49" s="428"/>
      <c r="AP49" s="423"/>
      <c r="AQ49" s="345"/>
      <c r="AR49" s="345"/>
      <c r="AS49" s="345"/>
      <c r="AT49" s="345"/>
      <c r="AU49" s="345"/>
      <c r="AV49" s="345"/>
      <c r="AW49" s="345"/>
      <c r="AX49" s="345"/>
      <c r="AY49" s="345"/>
      <c r="AZ49" s="345"/>
      <c r="BA49" s="345"/>
      <c r="BB49" s="345"/>
      <c r="BC49" s="345"/>
      <c r="BD49" s="345"/>
      <c r="BE49" s="345"/>
      <c r="BF49" s="345"/>
      <c r="BG49" s="345"/>
      <c r="BH49" s="345"/>
      <c r="BI49" s="345"/>
      <c r="BJ49" s="345"/>
      <c r="BK49" s="345"/>
      <c r="BL49" s="345"/>
      <c r="BM49" s="345"/>
      <c r="BN49" s="345"/>
      <c r="BO49" s="345"/>
      <c r="BP49" s="345"/>
      <c r="BQ49" s="345"/>
      <c r="BR49" s="345"/>
      <c r="BS49" s="345"/>
      <c r="BT49" s="345"/>
      <c r="BU49" s="345"/>
      <c r="BV49" s="365"/>
      <c r="BW49" s="353"/>
      <c r="BX49" s="353"/>
      <c r="BY49" s="353"/>
      <c r="BZ49" s="353"/>
      <c r="CA49" s="353"/>
      <c r="CB49" s="353"/>
      <c r="CC49" s="353"/>
      <c r="CD49" s="353"/>
      <c r="CE49" s="353"/>
      <c r="CF49" s="353"/>
      <c r="CG49" s="353"/>
      <c r="CH49" s="353"/>
      <c r="CI49" s="353"/>
      <c r="CJ49" s="353"/>
      <c r="CK49" s="353"/>
      <c r="CL49" s="353"/>
      <c r="CM49" s="353"/>
      <c r="CN49" s="353"/>
      <c r="CO49" s="353"/>
      <c r="CP49" s="353"/>
      <c r="CQ49" s="353"/>
      <c r="CR49" s="353"/>
      <c r="CS49" s="353"/>
      <c r="CT49" s="353"/>
      <c r="CU49" s="353"/>
      <c r="CV49" s="353"/>
      <c r="CW49" s="353"/>
      <c r="CX49" s="353"/>
      <c r="CY49" s="353" t="s">
        <v>9409</v>
      </c>
      <c r="CZ49" s="353"/>
      <c r="DA49" s="353"/>
      <c r="DB49" s="353"/>
      <c r="DC49" s="353"/>
      <c r="DD49" s="353"/>
      <c r="DE49" s="353"/>
      <c r="DF49" s="353"/>
      <c r="DG49" s="353"/>
      <c r="DH49" s="353"/>
      <c r="DI49" s="353"/>
      <c r="DJ49" s="353"/>
      <c r="DK49" s="353"/>
      <c r="DL49" s="353"/>
      <c r="DM49" s="353"/>
      <c r="DN49" s="353"/>
      <c r="DO49" s="353"/>
      <c r="DP49" s="353"/>
      <c r="DQ49" s="353"/>
      <c r="DR49" s="353"/>
      <c r="DS49" s="353"/>
      <c r="DT49" s="353"/>
      <c r="DU49" s="353"/>
      <c r="DV49" s="353"/>
      <c r="DW49" s="353"/>
      <c r="DX49" s="353"/>
      <c r="DY49" s="353"/>
      <c r="DZ49" s="353"/>
      <c r="EA49" s="353"/>
      <c r="EB49" s="353"/>
      <c r="EC49" s="353"/>
      <c r="ED49" s="374"/>
      <c r="EE49" s="329" t="str">
        <f t="shared" si="4"/>
        <v>x</v>
      </c>
      <c r="EF49" s="330"/>
      <c r="EG49" s="330" t="str">
        <f t="shared" si="0"/>
        <v>x</v>
      </c>
      <c r="EH49" s="330" t="str">
        <f t="shared" si="1"/>
        <v/>
      </c>
      <c r="EI49" s="330" t="str">
        <f t="shared" si="2"/>
        <v/>
      </c>
      <c r="EJ49" s="331" t="str">
        <f t="shared" si="3"/>
        <v>x</v>
      </c>
      <c r="EK49" s="47"/>
    </row>
    <row r="50" spans="1:141" x14ac:dyDescent="0.2">
      <c r="A50" s="559"/>
      <c r="B50" s="305">
        <v>48</v>
      </c>
      <c r="C50" s="422"/>
      <c r="D50" s="422"/>
      <c r="E50" s="422"/>
      <c r="F50" s="422"/>
      <c r="G50" s="422"/>
      <c r="H50" s="422"/>
      <c r="I50" s="422"/>
      <c r="J50" s="422"/>
      <c r="K50" s="422"/>
      <c r="L50" s="422"/>
      <c r="M50" s="422"/>
      <c r="N50" s="422"/>
      <c r="O50" s="422"/>
      <c r="P50" s="422"/>
      <c r="Q50" s="422"/>
      <c r="R50" s="422"/>
      <c r="S50" s="422"/>
      <c r="T50" s="422"/>
      <c r="U50" s="422"/>
      <c r="V50" s="422"/>
      <c r="W50" s="422"/>
      <c r="X50" s="422"/>
      <c r="Y50" s="422"/>
      <c r="Z50" s="422"/>
      <c r="AA50" s="422"/>
      <c r="AB50" s="422"/>
      <c r="AC50" s="424"/>
      <c r="AD50" s="428"/>
      <c r="AE50" s="428"/>
      <c r="AF50" s="428"/>
      <c r="AG50" s="428"/>
      <c r="AH50" s="428"/>
      <c r="AI50" s="428"/>
      <c r="AJ50" s="428"/>
      <c r="AK50" s="389" t="s">
        <v>11893</v>
      </c>
      <c r="AL50" s="428"/>
      <c r="AM50" s="428"/>
      <c r="AN50" s="428"/>
      <c r="AO50" s="428"/>
      <c r="AP50" s="423"/>
      <c r="AQ50" s="345"/>
      <c r="AR50" s="345"/>
      <c r="AS50" s="345"/>
      <c r="AT50" s="345"/>
      <c r="AU50" s="345"/>
      <c r="AV50" s="345"/>
      <c r="AW50" s="345"/>
      <c r="AX50" s="345"/>
      <c r="AY50" s="345"/>
      <c r="AZ50" s="345"/>
      <c r="BA50" s="345"/>
      <c r="BB50" s="345"/>
      <c r="BC50" s="345"/>
      <c r="BD50" s="345"/>
      <c r="BE50" s="345"/>
      <c r="BF50" s="345"/>
      <c r="BG50" s="345"/>
      <c r="BH50" s="345"/>
      <c r="BI50" s="345"/>
      <c r="BJ50" s="345"/>
      <c r="BK50" s="345"/>
      <c r="BL50" s="345"/>
      <c r="BM50" s="345"/>
      <c r="BN50" s="345"/>
      <c r="BO50" s="345"/>
      <c r="BP50" s="345"/>
      <c r="BQ50" s="345"/>
      <c r="BR50" s="345"/>
      <c r="BS50" s="345"/>
      <c r="BT50" s="345"/>
      <c r="BU50" s="345"/>
      <c r="BV50" s="361"/>
      <c r="BW50" s="345"/>
      <c r="BX50" s="345"/>
      <c r="BY50" s="345"/>
      <c r="BZ50" s="345"/>
      <c r="CA50" s="345"/>
      <c r="CB50" s="345"/>
      <c r="CC50" s="345"/>
      <c r="CD50" s="345"/>
      <c r="CE50" s="345"/>
      <c r="CF50" s="345"/>
      <c r="CG50" s="345"/>
      <c r="CH50" s="345"/>
      <c r="CI50" s="345"/>
      <c r="CJ50" s="345"/>
      <c r="CK50" s="345"/>
      <c r="CL50" s="345"/>
      <c r="CM50" s="345"/>
      <c r="CN50" s="345"/>
      <c r="CO50" s="345"/>
      <c r="CP50" s="345"/>
      <c r="CQ50" s="345"/>
      <c r="CR50" s="345"/>
      <c r="CS50" s="345"/>
      <c r="CT50" s="345"/>
      <c r="CU50" s="345"/>
      <c r="CV50" s="345"/>
      <c r="CW50" s="345"/>
      <c r="CX50" s="345"/>
      <c r="CY50" s="345"/>
      <c r="CZ50" s="345"/>
      <c r="DA50" s="345"/>
      <c r="DB50" s="345"/>
      <c r="DC50" s="345"/>
      <c r="DD50" s="345"/>
      <c r="DE50" s="345"/>
      <c r="DF50" s="345"/>
      <c r="DG50" s="345"/>
      <c r="DH50" s="345"/>
      <c r="DI50" s="345"/>
      <c r="DJ50" s="345"/>
      <c r="DK50" s="345"/>
      <c r="DL50" s="345"/>
      <c r="DM50" s="345"/>
      <c r="DN50" s="345"/>
      <c r="DO50" s="345"/>
      <c r="DP50" s="345"/>
      <c r="DQ50" s="345"/>
      <c r="DR50" s="345"/>
      <c r="DS50" s="345"/>
      <c r="DT50" s="345"/>
      <c r="DU50" s="345"/>
      <c r="DV50" s="345"/>
      <c r="DW50" s="345"/>
      <c r="DX50" s="345"/>
      <c r="DY50" s="345"/>
      <c r="DZ50" s="345"/>
      <c r="EA50" s="345"/>
      <c r="EB50" s="345"/>
      <c r="EC50" s="345"/>
      <c r="ED50" s="346"/>
      <c r="EE50" s="415" t="str">
        <f t="shared" si="4"/>
        <v/>
      </c>
      <c r="EF50" s="416" t="s">
        <v>9409</v>
      </c>
      <c r="EG50" s="416" t="str">
        <f t="shared" si="0"/>
        <v/>
      </c>
      <c r="EH50" s="416" t="str">
        <f t="shared" si="1"/>
        <v/>
      </c>
      <c r="EI50" s="416" t="str">
        <f t="shared" si="2"/>
        <v/>
      </c>
      <c r="EJ50" s="417" t="str">
        <f t="shared" si="3"/>
        <v/>
      </c>
      <c r="EK50" s="47"/>
    </row>
    <row r="51" spans="1:141" x14ac:dyDescent="0.2">
      <c r="A51" s="559"/>
      <c r="B51" s="373">
        <v>49</v>
      </c>
      <c r="C51" s="378"/>
      <c r="D51" s="378"/>
      <c r="E51" s="378"/>
      <c r="F51" s="378"/>
      <c r="G51" s="378"/>
      <c r="H51" s="378"/>
      <c r="I51" s="378"/>
      <c r="J51" s="378" t="s">
        <v>9409</v>
      </c>
      <c r="K51" s="353"/>
      <c r="L51" s="353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424"/>
      <c r="AD51" s="389"/>
      <c r="AE51" s="428"/>
      <c r="AF51" s="389"/>
      <c r="AG51" s="389"/>
      <c r="AH51" s="389"/>
      <c r="AI51" s="428"/>
      <c r="AJ51" s="428"/>
      <c r="AK51" s="428"/>
      <c r="AL51" s="389"/>
      <c r="AM51" s="389"/>
      <c r="AN51" s="428"/>
      <c r="AO51" s="428"/>
      <c r="AP51" s="423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  <c r="BH51" s="345"/>
      <c r="BI51" s="345"/>
      <c r="BJ51" s="345"/>
      <c r="BK51" s="345"/>
      <c r="BL51" s="345"/>
      <c r="BM51" s="345"/>
      <c r="BN51" s="345"/>
      <c r="BO51" s="345"/>
      <c r="BP51" s="345"/>
      <c r="BQ51" s="345"/>
      <c r="BR51" s="345"/>
      <c r="BS51" s="345"/>
      <c r="BT51" s="345"/>
      <c r="BU51" s="345"/>
      <c r="BV51" s="365"/>
      <c r="BW51" s="353"/>
      <c r="BX51" s="353"/>
      <c r="BY51" s="353"/>
      <c r="BZ51" s="353"/>
      <c r="CA51" s="353"/>
      <c r="CB51" s="353"/>
      <c r="CC51" s="353"/>
      <c r="CD51" s="353"/>
      <c r="CE51" s="353"/>
      <c r="CF51" s="353"/>
      <c r="CG51" s="353"/>
      <c r="CH51" s="353"/>
      <c r="CI51" s="353"/>
      <c r="CJ51" s="353"/>
      <c r="CK51" s="353"/>
      <c r="CL51" s="353"/>
      <c r="CM51" s="353"/>
      <c r="CN51" s="353"/>
      <c r="CO51" s="353"/>
      <c r="CP51" s="353"/>
      <c r="CQ51" s="353"/>
      <c r="CR51" s="353"/>
      <c r="CS51" s="353"/>
      <c r="CT51" s="353"/>
      <c r="CU51" s="353" t="s">
        <v>9409</v>
      </c>
      <c r="CV51" s="353" t="s">
        <v>9409</v>
      </c>
      <c r="CW51" s="353"/>
      <c r="CX51" s="353"/>
      <c r="CY51" s="353"/>
      <c r="CZ51" s="353"/>
      <c r="DA51" s="353"/>
      <c r="DB51" s="353"/>
      <c r="DC51" s="353"/>
      <c r="DD51" s="353"/>
      <c r="DE51" s="353"/>
      <c r="DF51" s="353"/>
      <c r="DG51" s="353"/>
      <c r="DH51" s="353"/>
      <c r="DI51" s="353"/>
      <c r="DJ51" s="353"/>
      <c r="DK51" s="353"/>
      <c r="DL51" s="353"/>
      <c r="DM51" s="353"/>
      <c r="DN51" s="353"/>
      <c r="DO51" s="353"/>
      <c r="DP51" s="353"/>
      <c r="DQ51" s="353"/>
      <c r="DR51" s="353"/>
      <c r="DS51" s="353"/>
      <c r="DT51" s="353"/>
      <c r="DU51" s="353"/>
      <c r="DV51" s="353"/>
      <c r="DW51" s="353"/>
      <c r="DX51" s="353"/>
      <c r="DY51" s="353"/>
      <c r="DZ51" s="353"/>
      <c r="EA51" s="353"/>
      <c r="EB51" s="353"/>
      <c r="EC51" s="353"/>
      <c r="ED51" s="374"/>
      <c r="EE51" s="329" t="str">
        <f t="shared" si="4"/>
        <v>x</v>
      </c>
      <c r="EF51" s="330"/>
      <c r="EG51" s="330" t="str">
        <f t="shared" si="0"/>
        <v>x</v>
      </c>
      <c r="EH51" s="330" t="str">
        <f t="shared" si="1"/>
        <v/>
      </c>
      <c r="EI51" s="330" t="str">
        <f t="shared" si="2"/>
        <v/>
      </c>
      <c r="EJ51" s="331" t="str">
        <f>IF(COUNTIF(BV51:ED51, "x"), "x", "")</f>
        <v>x</v>
      </c>
      <c r="EK51" s="47"/>
    </row>
    <row r="52" spans="1:141" x14ac:dyDescent="0.2">
      <c r="A52" s="559"/>
      <c r="B52" s="373">
        <v>50</v>
      </c>
      <c r="C52" s="378"/>
      <c r="D52" s="378"/>
      <c r="E52" s="378"/>
      <c r="F52" s="378"/>
      <c r="G52" s="378"/>
      <c r="H52" s="378"/>
      <c r="I52" s="378"/>
      <c r="J52" s="353"/>
      <c r="K52" s="378" t="s">
        <v>9409</v>
      </c>
      <c r="L52" s="353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424"/>
      <c r="AD52" s="389"/>
      <c r="AE52" s="428"/>
      <c r="AF52" s="389"/>
      <c r="AG52" s="389"/>
      <c r="AH52" s="389"/>
      <c r="AI52" s="428"/>
      <c r="AJ52" s="428"/>
      <c r="AK52" s="428"/>
      <c r="AL52" s="389"/>
      <c r="AM52" s="389"/>
      <c r="AN52" s="428"/>
      <c r="AO52" s="428"/>
      <c r="AP52" s="423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65"/>
      <c r="BW52" s="353"/>
      <c r="BX52" s="353"/>
      <c r="BY52" s="353"/>
      <c r="BZ52" s="353"/>
      <c r="CA52" s="353"/>
      <c r="CB52" s="353"/>
      <c r="CC52" s="353"/>
      <c r="CD52" s="353"/>
      <c r="CE52" s="353"/>
      <c r="CF52" s="353"/>
      <c r="CG52" s="353"/>
      <c r="CH52" s="353"/>
      <c r="CI52" s="353"/>
      <c r="CJ52" s="353"/>
      <c r="CK52" s="353"/>
      <c r="CL52" s="353"/>
      <c r="CM52" s="353"/>
      <c r="CN52" s="353"/>
      <c r="CO52" s="353"/>
      <c r="CP52" s="353" t="s">
        <v>9409</v>
      </c>
      <c r="CQ52" s="353" t="s">
        <v>9409</v>
      </c>
      <c r="CR52" s="353"/>
      <c r="CS52" s="353"/>
      <c r="CT52" s="353"/>
      <c r="CU52" s="353"/>
      <c r="CV52" s="353"/>
      <c r="CW52" s="353"/>
      <c r="CX52" s="353"/>
      <c r="CY52" s="353"/>
      <c r="CZ52" s="353"/>
      <c r="DA52" s="353"/>
      <c r="DB52" s="353"/>
      <c r="DC52" s="353"/>
      <c r="DD52" s="353"/>
      <c r="DE52" s="353"/>
      <c r="DF52" s="353"/>
      <c r="DG52" s="353"/>
      <c r="DH52" s="353"/>
      <c r="DI52" s="353"/>
      <c r="DJ52" s="353"/>
      <c r="DK52" s="353"/>
      <c r="DL52" s="353"/>
      <c r="DM52" s="353"/>
      <c r="DN52" s="353"/>
      <c r="DO52" s="353"/>
      <c r="DP52" s="353"/>
      <c r="DQ52" s="353"/>
      <c r="DR52" s="353"/>
      <c r="DS52" s="353"/>
      <c r="DT52" s="353"/>
      <c r="DU52" s="353"/>
      <c r="DV52" s="353"/>
      <c r="DW52" s="353"/>
      <c r="DX52" s="353"/>
      <c r="DY52" s="353"/>
      <c r="DZ52" s="353"/>
      <c r="EA52" s="353"/>
      <c r="EB52" s="353"/>
      <c r="EC52" s="353"/>
      <c r="ED52" s="374"/>
      <c r="EE52" s="329" t="str">
        <f t="shared" si="4"/>
        <v>x</v>
      </c>
      <c r="EF52" s="330"/>
      <c r="EG52" s="330" t="str">
        <f t="shared" si="0"/>
        <v>x</v>
      </c>
      <c r="EH52" s="330" t="str">
        <f t="shared" si="1"/>
        <v/>
      </c>
      <c r="EI52" s="330" t="str">
        <f t="shared" si="2"/>
        <v/>
      </c>
      <c r="EJ52" s="331" t="str">
        <f t="shared" si="3"/>
        <v>x</v>
      </c>
      <c r="EK52" s="47"/>
    </row>
    <row r="53" spans="1:141" x14ac:dyDescent="0.2">
      <c r="A53" s="559"/>
      <c r="B53" s="373">
        <v>51</v>
      </c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424"/>
      <c r="AD53" s="389"/>
      <c r="AE53" s="428"/>
      <c r="AF53" s="389"/>
      <c r="AG53" s="389"/>
      <c r="AH53" s="389"/>
      <c r="AI53" s="428"/>
      <c r="AJ53" s="428"/>
      <c r="AK53" s="428"/>
      <c r="AL53" s="389"/>
      <c r="AM53" s="389"/>
      <c r="AN53" s="428"/>
      <c r="AO53" s="428"/>
      <c r="AP53" s="423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/>
      <c r="BH53" s="345"/>
      <c r="BI53" s="345"/>
      <c r="BJ53" s="345"/>
      <c r="BK53" s="345"/>
      <c r="BL53" s="345"/>
      <c r="BM53" s="345"/>
      <c r="BN53" s="345"/>
      <c r="BO53" s="345"/>
      <c r="BP53" s="345"/>
      <c r="BQ53" s="345"/>
      <c r="BR53" s="345"/>
      <c r="BS53" s="345"/>
      <c r="BT53" s="345"/>
      <c r="BU53" s="345"/>
      <c r="BV53" s="365"/>
      <c r="BW53" s="353"/>
      <c r="BX53" s="353"/>
      <c r="BY53" s="353"/>
      <c r="BZ53" s="353"/>
      <c r="CA53" s="353"/>
      <c r="CB53" s="353"/>
      <c r="CC53" s="353"/>
      <c r="CD53" s="353"/>
      <c r="CE53" s="353"/>
      <c r="CF53" s="353"/>
      <c r="CG53" s="353"/>
      <c r="CH53" s="353"/>
      <c r="CI53" s="353"/>
      <c r="CJ53" s="353"/>
      <c r="CK53" s="353"/>
      <c r="CL53" s="353"/>
      <c r="CM53" s="353"/>
      <c r="CN53" s="353"/>
      <c r="CO53" s="353"/>
      <c r="CP53" s="353"/>
      <c r="CQ53" s="353"/>
      <c r="CR53" s="353"/>
      <c r="CS53" s="353"/>
      <c r="CT53" s="353"/>
      <c r="CU53" s="353"/>
      <c r="CV53" s="353"/>
      <c r="CW53" s="353"/>
      <c r="CX53" s="353"/>
      <c r="CY53" s="353"/>
      <c r="CZ53" s="353"/>
      <c r="DA53" s="353"/>
      <c r="DB53" s="353"/>
      <c r="DC53" s="353"/>
      <c r="DD53" s="353"/>
      <c r="DE53" s="353"/>
      <c r="DF53" s="353"/>
      <c r="DG53" s="353"/>
      <c r="DH53" s="353"/>
      <c r="DI53" s="353"/>
      <c r="DJ53" s="353"/>
      <c r="DK53" s="353"/>
      <c r="DL53" s="353"/>
      <c r="DM53" s="353"/>
      <c r="DN53" s="353"/>
      <c r="DO53" s="353"/>
      <c r="DP53" s="353"/>
      <c r="DQ53" s="353"/>
      <c r="DR53" s="353"/>
      <c r="DS53" s="353"/>
      <c r="DT53" s="353"/>
      <c r="DU53" s="353"/>
      <c r="DV53" s="353"/>
      <c r="DW53" s="353"/>
      <c r="DX53" s="353"/>
      <c r="DY53" s="353"/>
      <c r="DZ53" s="353"/>
      <c r="EA53" s="353"/>
      <c r="EB53" s="353"/>
      <c r="EC53" s="353"/>
      <c r="ED53" s="374"/>
      <c r="EE53" s="329" t="str">
        <f t="shared" si="4"/>
        <v/>
      </c>
      <c r="EF53" s="330"/>
      <c r="EG53" s="330" t="str">
        <f t="shared" si="0"/>
        <v/>
      </c>
      <c r="EH53" s="330" t="str">
        <f t="shared" si="1"/>
        <v/>
      </c>
      <c r="EI53" s="330" t="str">
        <f t="shared" si="2"/>
        <v/>
      </c>
      <c r="EJ53" s="331" t="str">
        <f t="shared" si="3"/>
        <v/>
      </c>
      <c r="EK53" s="47"/>
    </row>
    <row r="54" spans="1:141" x14ac:dyDescent="0.2">
      <c r="A54" s="559"/>
      <c r="B54" s="373">
        <v>52</v>
      </c>
      <c r="C54" s="378"/>
      <c r="D54" s="378"/>
      <c r="E54" s="378"/>
      <c r="F54" s="378"/>
      <c r="G54" s="378"/>
      <c r="H54" s="378"/>
      <c r="I54" s="378"/>
      <c r="J54" s="378"/>
      <c r="K54" s="378"/>
      <c r="L54" s="378" t="s">
        <v>9409</v>
      </c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424"/>
      <c r="AD54" s="389"/>
      <c r="AE54" s="428"/>
      <c r="AF54" s="389"/>
      <c r="AG54" s="389"/>
      <c r="AH54" s="389"/>
      <c r="AI54" s="428"/>
      <c r="AJ54" s="428"/>
      <c r="AK54" s="428"/>
      <c r="AL54" s="389"/>
      <c r="AM54" s="389"/>
      <c r="AN54" s="428"/>
      <c r="AO54" s="428"/>
      <c r="AP54" s="423"/>
      <c r="AQ54" s="345"/>
      <c r="AR54" s="345"/>
      <c r="AS54" s="345"/>
      <c r="AT54" s="345"/>
      <c r="AU54" s="345"/>
      <c r="AV54" s="345"/>
      <c r="AW54" s="345"/>
      <c r="AX54" s="345"/>
      <c r="AY54" s="345"/>
      <c r="AZ54" s="345"/>
      <c r="BA54" s="345"/>
      <c r="BB54" s="345"/>
      <c r="BC54" s="345"/>
      <c r="BD54" s="345"/>
      <c r="BE54" s="345"/>
      <c r="BF54" s="345"/>
      <c r="BG54" s="345"/>
      <c r="BH54" s="345"/>
      <c r="BI54" s="345"/>
      <c r="BJ54" s="345"/>
      <c r="BK54" s="345"/>
      <c r="BL54" s="345"/>
      <c r="BM54" s="345"/>
      <c r="BN54" s="345"/>
      <c r="BO54" s="345"/>
      <c r="BP54" s="345"/>
      <c r="BQ54" s="345"/>
      <c r="BR54" s="345"/>
      <c r="BS54" s="345"/>
      <c r="BT54" s="345"/>
      <c r="BU54" s="345"/>
      <c r="BV54" s="365"/>
      <c r="BW54" s="353"/>
      <c r="BX54" s="353"/>
      <c r="BY54" s="353"/>
      <c r="BZ54" s="353"/>
      <c r="CA54" s="353"/>
      <c r="CB54" s="353"/>
      <c r="CC54" s="353"/>
      <c r="CD54" s="353"/>
      <c r="CE54" s="353"/>
      <c r="CF54" s="353"/>
      <c r="CG54" s="353"/>
      <c r="CH54" s="353"/>
      <c r="CI54" s="353"/>
      <c r="CJ54" s="353"/>
      <c r="CK54" s="353"/>
      <c r="CL54" s="353"/>
      <c r="CM54" s="353" t="s">
        <v>9409</v>
      </c>
      <c r="CN54" s="353"/>
      <c r="CO54" s="353"/>
      <c r="CP54" s="353"/>
      <c r="CQ54" s="353"/>
      <c r="CR54" s="353"/>
      <c r="CS54" s="353"/>
      <c r="CT54" s="353"/>
      <c r="CU54" s="353"/>
      <c r="CV54" s="353"/>
      <c r="CW54" s="353"/>
      <c r="CX54" s="353"/>
      <c r="CY54" s="353"/>
      <c r="CZ54" s="353"/>
      <c r="DA54" s="353"/>
      <c r="DB54" s="353"/>
      <c r="DC54" s="353"/>
      <c r="DD54" s="353"/>
      <c r="DE54" s="353"/>
      <c r="DF54" s="353"/>
      <c r="DG54" s="353"/>
      <c r="DH54" s="353"/>
      <c r="DI54" s="353"/>
      <c r="DJ54" s="353"/>
      <c r="DK54" s="353"/>
      <c r="DL54" s="353"/>
      <c r="DM54" s="353"/>
      <c r="DN54" s="353"/>
      <c r="DO54" s="353"/>
      <c r="DP54" s="353"/>
      <c r="DQ54" s="353"/>
      <c r="DR54" s="353"/>
      <c r="DS54" s="353"/>
      <c r="DT54" s="353"/>
      <c r="DU54" s="353"/>
      <c r="DV54" s="353"/>
      <c r="DW54" s="353"/>
      <c r="DX54" s="353"/>
      <c r="DY54" s="353"/>
      <c r="DZ54" s="353"/>
      <c r="EA54" s="353"/>
      <c r="EB54" s="353"/>
      <c r="EC54" s="353"/>
      <c r="ED54" s="374"/>
      <c r="EE54" s="329" t="str">
        <f t="shared" si="4"/>
        <v>x</v>
      </c>
      <c r="EF54" s="330"/>
      <c r="EG54" s="330" t="str">
        <f t="shared" si="0"/>
        <v>x</v>
      </c>
      <c r="EH54" s="330" t="str">
        <f t="shared" si="1"/>
        <v/>
      </c>
      <c r="EI54" s="330" t="str">
        <f t="shared" si="2"/>
        <v/>
      </c>
      <c r="EJ54" s="331" t="str">
        <f t="shared" si="3"/>
        <v>x</v>
      </c>
      <c r="EK54" s="47"/>
    </row>
    <row r="55" spans="1:141" x14ac:dyDescent="0.2">
      <c r="A55" s="559"/>
      <c r="B55" s="373">
        <v>53</v>
      </c>
      <c r="C55" s="378"/>
      <c r="D55" s="378"/>
      <c r="E55" s="378"/>
      <c r="F55" s="378"/>
      <c r="G55" s="378"/>
      <c r="H55" s="378"/>
      <c r="I55" s="378"/>
      <c r="J55" s="378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424"/>
      <c r="AD55" s="389"/>
      <c r="AE55" s="428"/>
      <c r="AF55" s="389"/>
      <c r="AG55" s="389"/>
      <c r="AH55" s="391" t="s">
        <v>9409</v>
      </c>
      <c r="AI55" s="428"/>
      <c r="AJ55" s="428"/>
      <c r="AK55" s="428"/>
      <c r="AL55" s="389"/>
      <c r="AM55" s="389"/>
      <c r="AN55" s="428"/>
      <c r="AO55" s="428"/>
      <c r="AP55" s="423"/>
      <c r="AQ55" s="345"/>
      <c r="AR55" s="345"/>
      <c r="AS55" s="345"/>
      <c r="AT55" s="345"/>
      <c r="AU55" s="345"/>
      <c r="AV55" s="345"/>
      <c r="AW55" s="345"/>
      <c r="AX55" s="345"/>
      <c r="AY55" s="345"/>
      <c r="AZ55" s="345"/>
      <c r="BA55" s="345"/>
      <c r="BB55" s="345"/>
      <c r="BC55" s="345"/>
      <c r="BD55" s="345"/>
      <c r="BE55" s="345"/>
      <c r="BF55" s="345"/>
      <c r="BG55" s="345"/>
      <c r="BH55" s="345"/>
      <c r="BI55" s="345"/>
      <c r="BJ55" s="345"/>
      <c r="BK55" s="345"/>
      <c r="BL55" s="345"/>
      <c r="BM55" s="345"/>
      <c r="BN55" s="345"/>
      <c r="BO55" s="345"/>
      <c r="BP55" s="345"/>
      <c r="BQ55" s="345"/>
      <c r="BR55" s="345"/>
      <c r="BS55" s="345"/>
      <c r="BT55" s="345"/>
      <c r="BU55" s="345"/>
      <c r="BV55" s="365"/>
      <c r="BW55" s="353"/>
      <c r="BX55" s="353"/>
      <c r="BY55" s="353"/>
      <c r="BZ55" s="353"/>
      <c r="CA55" s="353"/>
      <c r="CB55" s="353"/>
      <c r="CC55" s="353"/>
      <c r="CD55" s="353"/>
      <c r="CE55" s="353"/>
      <c r="CF55" s="353"/>
      <c r="CG55" s="353" t="s">
        <v>9409</v>
      </c>
      <c r="CH55" s="353"/>
      <c r="CI55" s="353"/>
      <c r="CJ55" s="353"/>
      <c r="CK55" s="353"/>
      <c r="CL55" s="353"/>
      <c r="CM55" s="353"/>
      <c r="CN55" s="353"/>
      <c r="CO55" s="353"/>
      <c r="CP55" s="353"/>
      <c r="CQ55" s="353"/>
      <c r="CR55" s="353"/>
      <c r="CS55" s="353"/>
      <c r="CT55" s="353"/>
      <c r="CU55" s="353"/>
      <c r="CV55" s="353"/>
      <c r="CW55" s="353"/>
      <c r="CX55" s="353"/>
      <c r="CY55" s="353"/>
      <c r="CZ55" s="353"/>
      <c r="DA55" s="353"/>
      <c r="DB55" s="353"/>
      <c r="DC55" s="353"/>
      <c r="DD55" s="353"/>
      <c r="DE55" s="353"/>
      <c r="DF55" s="353"/>
      <c r="DG55" s="353"/>
      <c r="DH55" s="353"/>
      <c r="DI55" s="353"/>
      <c r="DJ55" s="353"/>
      <c r="DK55" s="353"/>
      <c r="DL55" s="353"/>
      <c r="DM55" s="353"/>
      <c r="DN55" s="353"/>
      <c r="DO55" s="353"/>
      <c r="DP55" s="353"/>
      <c r="DQ55" s="353"/>
      <c r="DR55" s="353"/>
      <c r="DS55" s="353"/>
      <c r="DT55" s="353"/>
      <c r="DU55" s="353"/>
      <c r="DV55" s="353"/>
      <c r="DW55" s="353"/>
      <c r="DX55" s="353"/>
      <c r="DY55" s="353"/>
      <c r="DZ55" s="353"/>
      <c r="EA55" s="353"/>
      <c r="EB55" s="353"/>
      <c r="EC55" s="353"/>
      <c r="ED55" s="374"/>
      <c r="EE55" s="329" t="str">
        <f t="shared" si="4"/>
        <v>x</v>
      </c>
      <c r="EF55" s="330"/>
      <c r="EG55" s="330" t="str">
        <f t="shared" si="0"/>
        <v/>
      </c>
      <c r="EH55" s="330" t="str">
        <f t="shared" si="1"/>
        <v>x</v>
      </c>
      <c r="EI55" s="330" t="str">
        <f t="shared" si="2"/>
        <v/>
      </c>
      <c r="EJ55" s="331" t="str">
        <f t="shared" si="3"/>
        <v>x</v>
      </c>
      <c r="EK55" s="47"/>
    </row>
    <row r="56" spans="1:141" x14ac:dyDescent="0.2">
      <c r="A56" s="559"/>
      <c r="B56" s="373">
        <v>54</v>
      </c>
      <c r="C56" s="378"/>
      <c r="D56" s="378"/>
      <c r="E56" s="378"/>
      <c r="F56" s="378"/>
      <c r="G56" s="378"/>
      <c r="H56" s="378"/>
      <c r="I56" s="378"/>
      <c r="J56" s="378"/>
      <c r="K56" s="378"/>
      <c r="L56" s="378"/>
      <c r="M56" s="378"/>
      <c r="N56" s="378"/>
      <c r="O56" s="378"/>
      <c r="P56" s="378" t="s">
        <v>9409</v>
      </c>
      <c r="Q56" s="378"/>
      <c r="R56" s="378"/>
      <c r="S56" s="378"/>
      <c r="T56" s="378"/>
      <c r="U56" s="378"/>
      <c r="V56" s="378"/>
      <c r="W56" s="378"/>
      <c r="X56" s="378"/>
      <c r="Y56" s="378"/>
      <c r="Z56" s="378"/>
      <c r="AA56" s="378"/>
      <c r="AB56" s="378"/>
      <c r="AC56" s="424"/>
      <c r="AD56" s="389"/>
      <c r="AE56" s="428"/>
      <c r="AF56" s="389"/>
      <c r="AG56" s="389"/>
      <c r="AH56" s="389"/>
      <c r="AI56" s="428"/>
      <c r="AJ56" s="428"/>
      <c r="AK56" s="428"/>
      <c r="AL56" s="389"/>
      <c r="AM56" s="389"/>
      <c r="AN56" s="428"/>
      <c r="AO56" s="428"/>
      <c r="AP56" s="423"/>
      <c r="AQ56" s="345"/>
      <c r="AR56" s="345"/>
      <c r="AS56" s="345"/>
      <c r="AT56" s="345"/>
      <c r="AU56" s="345"/>
      <c r="AV56" s="345"/>
      <c r="AW56" s="345"/>
      <c r="AX56" s="345"/>
      <c r="AY56" s="345"/>
      <c r="AZ56" s="345"/>
      <c r="BA56" s="345"/>
      <c r="BB56" s="345"/>
      <c r="BC56" s="345"/>
      <c r="BD56" s="345"/>
      <c r="BE56" s="345"/>
      <c r="BF56" s="345"/>
      <c r="BG56" s="345"/>
      <c r="BH56" s="345"/>
      <c r="BI56" s="345"/>
      <c r="BJ56" s="345"/>
      <c r="BK56" s="345"/>
      <c r="BL56" s="345"/>
      <c r="BM56" s="345"/>
      <c r="BN56" s="345"/>
      <c r="BO56" s="345"/>
      <c r="BP56" s="345"/>
      <c r="BQ56" s="345"/>
      <c r="BR56" s="345"/>
      <c r="BS56" s="345"/>
      <c r="BT56" s="345"/>
      <c r="BU56" s="345"/>
      <c r="BV56" s="365"/>
      <c r="BW56" s="353"/>
      <c r="BX56" s="353"/>
      <c r="BY56" s="353"/>
      <c r="BZ56" s="353"/>
      <c r="CA56" s="353"/>
      <c r="CB56" s="353"/>
      <c r="CC56" s="353" t="s">
        <v>9409</v>
      </c>
      <c r="CD56" s="353"/>
      <c r="CE56" s="353"/>
      <c r="CF56" s="353"/>
      <c r="CG56" s="353"/>
      <c r="CH56" s="353"/>
      <c r="CI56" s="353"/>
      <c r="CJ56" s="353"/>
      <c r="CK56" s="353"/>
      <c r="CL56" s="353"/>
      <c r="CM56" s="353"/>
      <c r="CN56" s="353"/>
      <c r="CO56" s="353"/>
      <c r="CP56" s="353"/>
      <c r="CQ56" s="353"/>
      <c r="CR56" s="353"/>
      <c r="CS56" s="353"/>
      <c r="CT56" s="353"/>
      <c r="CU56" s="353"/>
      <c r="CV56" s="353"/>
      <c r="CW56" s="353"/>
      <c r="CX56" s="353"/>
      <c r="CY56" s="353"/>
      <c r="CZ56" s="353"/>
      <c r="DA56" s="353"/>
      <c r="DB56" s="353"/>
      <c r="DC56" s="353"/>
      <c r="DD56" s="353"/>
      <c r="DE56" s="353"/>
      <c r="DF56" s="353"/>
      <c r="DG56" s="353"/>
      <c r="DH56" s="353"/>
      <c r="DI56" s="353"/>
      <c r="DJ56" s="353"/>
      <c r="DK56" s="353"/>
      <c r="DL56" s="353"/>
      <c r="DM56" s="353"/>
      <c r="DN56" s="353"/>
      <c r="DO56" s="353"/>
      <c r="DP56" s="353"/>
      <c r="DQ56" s="353"/>
      <c r="DR56" s="353"/>
      <c r="DS56" s="353"/>
      <c r="DT56" s="353"/>
      <c r="DU56" s="353"/>
      <c r="DV56" s="353"/>
      <c r="DW56" s="353"/>
      <c r="DX56" s="353"/>
      <c r="DY56" s="353"/>
      <c r="DZ56" s="353"/>
      <c r="EA56" s="353"/>
      <c r="EB56" s="353"/>
      <c r="EC56" s="353"/>
      <c r="ED56" s="374"/>
      <c r="EE56" s="329" t="str">
        <f t="shared" si="4"/>
        <v>x</v>
      </c>
      <c r="EF56" s="330"/>
      <c r="EG56" s="330" t="str">
        <f>IF(COUNTIF(C56:AB56, "x"), "x", "")</f>
        <v>x</v>
      </c>
      <c r="EH56" s="330" t="str">
        <f>IF(COUNTIF(AC56:AP56, "x"), "x", "")</f>
        <v/>
      </c>
      <c r="EI56" s="330" t="str">
        <f t="shared" si="2"/>
        <v/>
      </c>
      <c r="EJ56" s="331" t="str">
        <f t="shared" si="3"/>
        <v>x</v>
      </c>
      <c r="EK56" s="47"/>
    </row>
    <row r="57" spans="1:141" x14ac:dyDescent="0.2">
      <c r="A57" s="559"/>
      <c r="B57" s="373">
        <v>55</v>
      </c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8"/>
      <c r="N57" s="378"/>
      <c r="O57" s="378"/>
      <c r="P57" s="378"/>
      <c r="Q57" s="378" t="s">
        <v>9409</v>
      </c>
      <c r="R57" s="378"/>
      <c r="S57" s="378"/>
      <c r="T57" s="378"/>
      <c r="U57" s="378"/>
      <c r="V57" s="378"/>
      <c r="W57" s="378"/>
      <c r="X57" s="378"/>
      <c r="Y57" s="378"/>
      <c r="Z57" s="378"/>
      <c r="AA57" s="378"/>
      <c r="AB57" s="378"/>
      <c r="AC57" s="424"/>
      <c r="AD57" s="389"/>
      <c r="AE57" s="428"/>
      <c r="AF57" s="389"/>
      <c r="AG57" s="389"/>
      <c r="AH57" s="389"/>
      <c r="AI57" s="428"/>
      <c r="AJ57" s="428"/>
      <c r="AK57" s="428"/>
      <c r="AL57" s="389"/>
      <c r="AM57" s="389"/>
      <c r="AN57" s="428"/>
      <c r="AO57" s="428"/>
      <c r="AP57" s="423"/>
      <c r="AQ57" s="345"/>
      <c r="AR57" s="345"/>
      <c r="AS57" s="345"/>
      <c r="AT57" s="345"/>
      <c r="AU57" s="345"/>
      <c r="AV57" s="345"/>
      <c r="AW57" s="345"/>
      <c r="AX57" s="345"/>
      <c r="AY57" s="345"/>
      <c r="AZ57" s="345"/>
      <c r="BA57" s="345"/>
      <c r="BB57" s="345"/>
      <c r="BC57" s="345"/>
      <c r="BD57" s="345"/>
      <c r="BE57" s="345"/>
      <c r="BF57" s="345"/>
      <c r="BG57" s="345"/>
      <c r="BH57" s="345"/>
      <c r="BI57" s="345"/>
      <c r="BJ57" s="345"/>
      <c r="BK57" s="345"/>
      <c r="BL57" s="345"/>
      <c r="BM57" s="345"/>
      <c r="BN57" s="345"/>
      <c r="BO57" s="345"/>
      <c r="BP57" s="345"/>
      <c r="BQ57" s="345"/>
      <c r="BR57" s="345"/>
      <c r="BS57" s="345"/>
      <c r="BT57" s="345"/>
      <c r="BU57" s="345"/>
      <c r="BV57" s="365"/>
      <c r="BW57" s="353"/>
      <c r="BX57" s="353"/>
      <c r="BY57" s="353"/>
      <c r="BZ57" s="353" t="s">
        <v>9409</v>
      </c>
      <c r="CA57" s="353"/>
      <c r="CB57" s="353"/>
      <c r="CC57" s="353"/>
      <c r="CD57" s="353"/>
      <c r="CE57" s="353"/>
      <c r="CF57" s="353"/>
      <c r="CG57" s="353"/>
      <c r="CH57" s="353"/>
      <c r="CI57" s="353"/>
      <c r="CJ57" s="353"/>
      <c r="CK57" s="353"/>
      <c r="CL57" s="353"/>
      <c r="CM57" s="353"/>
      <c r="CN57" s="353"/>
      <c r="CO57" s="353"/>
      <c r="CP57" s="353"/>
      <c r="CQ57" s="353"/>
      <c r="CR57" s="353"/>
      <c r="CS57" s="353"/>
      <c r="CT57" s="353"/>
      <c r="CU57" s="353"/>
      <c r="CV57" s="353"/>
      <c r="CW57" s="353"/>
      <c r="CX57" s="353"/>
      <c r="CY57" s="353"/>
      <c r="CZ57" s="353"/>
      <c r="DA57" s="353"/>
      <c r="DB57" s="353"/>
      <c r="DC57" s="353"/>
      <c r="DD57" s="353"/>
      <c r="DE57" s="353"/>
      <c r="DF57" s="353"/>
      <c r="DG57" s="353"/>
      <c r="DH57" s="353"/>
      <c r="DI57" s="353"/>
      <c r="DJ57" s="353"/>
      <c r="DK57" s="353"/>
      <c r="DL57" s="353"/>
      <c r="DM57" s="353"/>
      <c r="DN57" s="353"/>
      <c r="DO57" s="353"/>
      <c r="DP57" s="353"/>
      <c r="DQ57" s="353"/>
      <c r="DR57" s="353"/>
      <c r="DS57" s="353"/>
      <c r="DT57" s="353"/>
      <c r="DU57" s="353"/>
      <c r="DV57" s="353"/>
      <c r="DW57" s="353"/>
      <c r="DX57" s="353"/>
      <c r="DY57" s="353"/>
      <c r="DZ57" s="353"/>
      <c r="EA57" s="353"/>
      <c r="EB57" s="353"/>
      <c r="EC57" s="353"/>
      <c r="ED57" s="374"/>
      <c r="EE57" s="329" t="str">
        <f t="shared" si="4"/>
        <v>x</v>
      </c>
      <c r="EF57" s="330"/>
      <c r="EG57" s="330" t="str">
        <f t="shared" si="0"/>
        <v>x</v>
      </c>
      <c r="EH57" s="330" t="str">
        <f t="shared" si="1"/>
        <v/>
      </c>
      <c r="EI57" s="330" t="str">
        <f t="shared" si="2"/>
        <v/>
      </c>
      <c r="EJ57" s="331" t="str">
        <f t="shared" si="3"/>
        <v>x</v>
      </c>
      <c r="EK57" s="47"/>
    </row>
    <row r="58" spans="1:141" x14ac:dyDescent="0.2">
      <c r="A58" s="559"/>
      <c r="B58" s="305">
        <v>56</v>
      </c>
      <c r="C58" s="422"/>
      <c r="D58" s="422"/>
      <c r="E58" s="422"/>
      <c r="F58" s="422"/>
      <c r="G58" s="422"/>
      <c r="H58" s="422"/>
      <c r="I58" s="422"/>
      <c r="J58" s="422"/>
      <c r="K58" s="422"/>
      <c r="L58" s="422"/>
      <c r="M58" s="422"/>
      <c r="N58" s="422"/>
      <c r="O58" s="422"/>
      <c r="P58" s="422"/>
      <c r="Q58" s="422"/>
      <c r="R58" s="422"/>
      <c r="S58" s="378" t="s">
        <v>11893</v>
      </c>
      <c r="T58" s="429" t="s">
        <v>11865</v>
      </c>
      <c r="U58" s="422"/>
      <c r="V58" s="422"/>
      <c r="W58" s="422"/>
      <c r="X58" s="422"/>
      <c r="Y58" s="422"/>
      <c r="Z58" s="422"/>
      <c r="AA58" s="422"/>
      <c r="AB58" s="422"/>
      <c r="AC58" s="424"/>
      <c r="AD58" s="428"/>
      <c r="AE58" s="428"/>
      <c r="AF58" s="428"/>
      <c r="AG58" s="428"/>
      <c r="AH58" s="428"/>
      <c r="AI58" s="428"/>
      <c r="AJ58" s="428"/>
      <c r="AK58" s="428"/>
      <c r="AL58" s="428"/>
      <c r="AM58" s="428"/>
      <c r="AN58" s="428"/>
      <c r="AO58" s="428"/>
      <c r="AP58" s="423"/>
      <c r="AQ58" s="345"/>
      <c r="AR58" s="345"/>
      <c r="AS58" s="345"/>
      <c r="AT58" s="345"/>
      <c r="AU58" s="345"/>
      <c r="AV58" s="345"/>
      <c r="AW58" s="345"/>
      <c r="AX58" s="345"/>
      <c r="AY58" s="345"/>
      <c r="AZ58" s="345"/>
      <c r="BA58" s="345"/>
      <c r="BB58" s="345"/>
      <c r="BC58" s="345"/>
      <c r="BD58" s="345"/>
      <c r="BE58" s="345"/>
      <c r="BF58" s="345"/>
      <c r="BG58" s="345"/>
      <c r="BH58" s="345"/>
      <c r="BI58" s="345"/>
      <c r="BJ58" s="345"/>
      <c r="BK58" s="345"/>
      <c r="BL58" s="345"/>
      <c r="BM58" s="345"/>
      <c r="BN58" s="345"/>
      <c r="BO58" s="345"/>
      <c r="BP58" s="345"/>
      <c r="BQ58" s="345"/>
      <c r="BR58" s="345"/>
      <c r="BS58" s="345"/>
      <c r="BT58" s="345"/>
      <c r="BU58" s="345"/>
      <c r="BV58" s="361"/>
      <c r="BW58" s="345"/>
      <c r="BX58" s="345"/>
      <c r="BY58" s="345"/>
      <c r="BZ58" s="345"/>
      <c r="CA58" s="345"/>
      <c r="CB58" s="345"/>
      <c r="CC58" s="345"/>
      <c r="CD58" s="345"/>
      <c r="CE58" s="345"/>
      <c r="CF58" s="345"/>
      <c r="CG58" s="345"/>
      <c r="CH58" s="345"/>
      <c r="CI58" s="345"/>
      <c r="CJ58" s="345"/>
      <c r="CK58" s="345"/>
      <c r="CL58" s="345"/>
      <c r="CM58" s="345"/>
      <c r="CN58" s="345"/>
      <c r="CO58" s="345"/>
      <c r="CP58" s="345"/>
      <c r="CQ58" s="345"/>
      <c r="CR58" s="345"/>
      <c r="CS58" s="345"/>
      <c r="CT58" s="345"/>
      <c r="CU58" s="345"/>
      <c r="CV58" s="345"/>
      <c r="CW58" s="345"/>
      <c r="CX58" s="345"/>
      <c r="CY58" s="345"/>
      <c r="CZ58" s="345"/>
      <c r="DA58" s="345"/>
      <c r="DB58" s="345"/>
      <c r="DC58" s="345"/>
      <c r="DD58" s="345"/>
      <c r="DE58" s="345"/>
      <c r="DF58" s="345"/>
      <c r="DG58" s="345"/>
      <c r="DH58" s="345"/>
      <c r="DI58" s="345"/>
      <c r="DJ58" s="345"/>
      <c r="DK58" s="345"/>
      <c r="DL58" s="345"/>
      <c r="DM58" s="345"/>
      <c r="DN58" s="345"/>
      <c r="DO58" s="345"/>
      <c r="DP58" s="345"/>
      <c r="DQ58" s="345"/>
      <c r="DR58" s="345"/>
      <c r="DS58" s="345"/>
      <c r="DT58" s="345"/>
      <c r="DU58" s="345"/>
      <c r="DV58" s="345"/>
      <c r="DW58" s="345"/>
      <c r="DX58" s="345"/>
      <c r="DY58" s="345"/>
      <c r="DZ58" s="345"/>
      <c r="EA58" s="345"/>
      <c r="EB58" s="345"/>
      <c r="EC58" s="345"/>
      <c r="ED58" s="346"/>
      <c r="EE58" s="415" t="str">
        <f>IF(COUNTIF(C58:ED58, "x"), "x", "")</f>
        <v/>
      </c>
      <c r="EF58" s="416" t="s">
        <v>9409</v>
      </c>
      <c r="EG58" s="416" t="str">
        <f t="shared" si="0"/>
        <v/>
      </c>
      <c r="EH58" s="416" t="str">
        <f t="shared" si="1"/>
        <v/>
      </c>
      <c r="EI58" s="416" t="str">
        <f t="shared" si="2"/>
        <v/>
      </c>
      <c r="EJ58" s="417" t="str">
        <f t="shared" si="3"/>
        <v/>
      </c>
      <c r="EK58" s="317" t="s">
        <v>11866</v>
      </c>
    </row>
    <row r="59" spans="1:141" x14ac:dyDescent="0.2">
      <c r="A59" s="559"/>
      <c r="B59" s="373">
        <v>57</v>
      </c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8"/>
      <c r="N59" s="378"/>
      <c r="O59" s="378"/>
      <c r="P59" s="378"/>
      <c r="Q59" s="378"/>
      <c r="R59" s="378" t="s">
        <v>9409</v>
      </c>
      <c r="S59" s="378"/>
      <c r="T59" s="378"/>
      <c r="U59" s="378"/>
      <c r="V59" s="378"/>
      <c r="W59" s="378"/>
      <c r="X59" s="378"/>
      <c r="Y59" s="378"/>
      <c r="Z59" s="378"/>
      <c r="AA59" s="378"/>
      <c r="AB59" s="378"/>
      <c r="AC59" s="424"/>
      <c r="AD59" s="389"/>
      <c r="AE59" s="428"/>
      <c r="AF59" s="389"/>
      <c r="AG59" s="389"/>
      <c r="AH59" s="389"/>
      <c r="AI59" s="428"/>
      <c r="AJ59" s="428"/>
      <c r="AK59" s="428"/>
      <c r="AL59" s="389"/>
      <c r="AM59" s="389"/>
      <c r="AN59" s="428"/>
      <c r="AO59" s="428"/>
      <c r="AP59" s="423"/>
      <c r="AQ59" s="345"/>
      <c r="AR59" s="345"/>
      <c r="AS59" s="345"/>
      <c r="AT59" s="345"/>
      <c r="AU59" s="345"/>
      <c r="AV59" s="345"/>
      <c r="AW59" s="345"/>
      <c r="AX59" s="345"/>
      <c r="AY59" s="345"/>
      <c r="AZ59" s="345"/>
      <c r="BA59" s="345"/>
      <c r="BB59" s="345"/>
      <c r="BC59" s="345"/>
      <c r="BD59" s="345"/>
      <c r="BE59" s="345"/>
      <c r="BF59" s="345"/>
      <c r="BG59" s="345"/>
      <c r="BH59" s="345"/>
      <c r="BI59" s="345"/>
      <c r="BJ59" s="345"/>
      <c r="BK59" s="345"/>
      <c r="BL59" s="345"/>
      <c r="BM59" s="345"/>
      <c r="BN59" s="345"/>
      <c r="BO59" s="345"/>
      <c r="BP59" s="345"/>
      <c r="BQ59" s="345"/>
      <c r="BR59" s="345"/>
      <c r="BS59" s="345"/>
      <c r="BT59" s="345"/>
      <c r="BU59" s="345"/>
      <c r="BV59" s="365"/>
      <c r="BW59" s="353" t="s">
        <v>9409</v>
      </c>
      <c r="BX59" s="353"/>
      <c r="BY59" s="353"/>
      <c r="BZ59" s="353"/>
      <c r="CA59" s="353"/>
      <c r="CB59" s="353"/>
      <c r="CC59" s="353"/>
      <c r="CD59" s="353"/>
      <c r="CE59" s="353"/>
      <c r="CF59" s="353"/>
      <c r="CG59" s="353"/>
      <c r="CH59" s="353"/>
      <c r="CI59" s="353"/>
      <c r="CJ59" s="353"/>
      <c r="CK59" s="353"/>
      <c r="CL59" s="353"/>
      <c r="CM59" s="353"/>
      <c r="CN59" s="353"/>
      <c r="CO59" s="353"/>
      <c r="CP59" s="353"/>
      <c r="CQ59" s="353"/>
      <c r="CR59" s="353"/>
      <c r="CS59" s="353"/>
      <c r="CT59" s="353"/>
      <c r="CU59" s="353"/>
      <c r="CV59" s="353"/>
      <c r="CW59" s="353"/>
      <c r="CX59" s="353"/>
      <c r="CY59" s="353"/>
      <c r="CZ59" s="353"/>
      <c r="DA59" s="353"/>
      <c r="DB59" s="353"/>
      <c r="DC59" s="353"/>
      <c r="DD59" s="353"/>
      <c r="DE59" s="353"/>
      <c r="DF59" s="353"/>
      <c r="DG59" s="353"/>
      <c r="DH59" s="353"/>
      <c r="DI59" s="353"/>
      <c r="DJ59" s="353"/>
      <c r="DK59" s="353"/>
      <c r="DL59" s="353"/>
      <c r="DM59" s="353"/>
      <c r="DN59" s="353"/>
      <c r="DO59" s="353"/>
      <c r="DP59" s="353"/>
      <c r="DQ59" s="353"/>
      <c r="DR59" s="353"/>
      <c r="DS59" s="353"/>
      <c r="DT59" s="353"/>
      <c r="DU59" s="353"/>
      <c r="DV59" s="353"/>
      <c r="DW59" s="353"/>
      <c r="DX59" s="353"/>
      <c r="DY59" s="353"/>
      <c r="DZ59" s="353"/>
      <c r="EA59" s="353"/>
      <c r="EB59" s="353"/>
      <c r="EC59" s="353"/>
      <c r="ED59" s="374"/>
      <c r="EE59" s="329" t="str">
        <f t="shared" si="4"/>
        <v>x</v>
      </c>
      <c r="EF59" s="330"/>
      <c r="EG59" s="330" t="str">
        <f t="shared" si="0"/>
        <v>x</v>
      </c>
      <c r="EH59" s="330" t="str">
        <f t="shared" si="1"/>
        <v/>
      </c>
      <c r="EI59" s="330" t="str">
        <f t="shared" si="2"/>
        <v/>
      </c>
      <c r="EJ59" s="331" t="str">
        <f t="shared" si="3"/>
        <v>x</v>
      </c>
    </row>
    <row r="60" spans="1:141" x14ac:dyDescent="0.2">
      <c r="A60" s="559"/>
      <c r="B60" s="373">
        <v>58</v>
      </c>
      <c r="C60" s="378"/>
      <c r="D60" s="378"/>
      <c r="E60" s="378"/>
      <c r="F60" s="378"/>
      <c r="G60" s="378"/>
      <c r="H60" s="378"/>
      <c r="I60" s="378"/>
      <c r="J60" s="378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424"/>
      <c r="AD60" s="389"/>
      <c r="AE60" s="428"/>
      <c r="AF60" s="389"/>
      <c r="AG60" s="389"/>
      <c r="AH60" s="389"/>
      <c r="AI60" s="428"/>
      <c r="AJ60" s="428"/>
      <c r="AK60" s="428"/>
      <c r="AL60" s="389"/>
      <c r="AM60" s="389"/>
      <c r="AN60" s="428"/>
      <c r="AO60" s="428"/>
      <c r="AP60" s="423"/>
      <c r="AQ60" s="345"/>
      <c r="AR60" s="345"/>
      <c r="AS60" s="345"/>
      <c r="AT60" s="345"/>
      <c r="AU60" s="345"/>
      <c r="AV60" s="345"/>
      <c r="AW60" s="345"/>
      <c r="AX60" s="345"/>
      <c r="AY60" s="345"/>
      <c r="AZ60" s="345"/>
      <c r="BA60" s="345"/>
      <c r="BB60" s="345"/>
      <c r="BC60" s="345"/>
      <c r="BD60" s="345"/>
      <c r="BE60" s="345"/>
      <c r="BF60" s="345"/>
      <c r="BG60" s="345"/>
      <c r="BH60" s="345"/>
      <c r="BI60" s="345"/>
      <c r="BJ60" s="345"/>
      <c r="BK60" s="345"/>
      <c r="BL60" s="345"/>
      <c r="BM60" s="345"/>
      <c r="BN60" s="345"/>
      <c r="BO60" s="345"/>
      <c r="BP60" s="345"/>
      <c r="BQ60" s="345"/>
      <c r="BR60" s="345"/>
      <c r="BS60" s="345"/>
      <c r="BT60" s="345"/>
      <c r="BU60" s="345"/>
      <c r="BV60" s="365"/>
      <c r="BW60" s="353"/>
      <c r="BX60" s="353"/>
      <c r="BY60" s="353"/>
      <c r="BZ60" s="353"/>
      <c r="CA60" s="353"/>
      <c r="CB60" s="353"/>
      <c r="CC60" s="353"/>
      <c r="CD60" s="353"/>
      <c r="CE60" s="353"/>
      <c r="CF60" s="353"/>
      <c r="CG60" s="353"/>
      <c r="CH60" s="353"/>
      <c r="CI60" s="353"/>
      <c r="CJ60" s="353"/>
      <c r="CK60" s="353"/>
      <c r="CL60" s="353"/>
      <c r="CM60" s="353"/>
      <c r="CN60" s="353"/>
      <c r="CO60" s="353"/>
      <c r="CP60" s="353"/>
      <c r="CQ60" s="353"/>
      <c r="CR60" s="353"/>
      <c r="CS60" s="353"/>
      <c r="CT60" s="353"/>
      <c r="CU60" s="353"/>
      <c r="CV60" s="353"/>
      <c r="CW60" s="353"/>
      <c r="CX60" s="353"/>
      <c r="CY60" s="353"/>
      <c r="CZ60" s="353"/>
      <c r="DA60" s="353"/>
      <c r="DB60" s="353"/>
      <c r="DC60" s="353"/>
      <c r="DD60" s="353"/>
      <c r="DE60" s="353"/>
      <c r="DF60" s="353"/>
      <c r="DG60" s="353"/>
      <c r="DH60" s="353"/>
      <c r="DI60" s="353"/>
      <c r="DJ60" s="353"/>
      <c r="DK60" s="353"/>
      <c r="DL60" s="353"/>
      <c r="DM60" s="353"/>
      <c r="DN60" s="353"/>
      <c r="DO60" s="353"/>
      <c r="DP60" s="353"/>
      <c r="DQ60" s="353"/>
      <c r="DR60" s="353"/>
      <c r="DS60" s="353"/>
      <c r="DT60" s="353"/>
      <c r="DU60" s="353"/>
      <c r="DV60" s="353"/>
      <c r="DW60" s="353"/>
      <c r="DX60" s="353"/>
      <c r="DY60" s="353"/>
      <c r="DZ60" s="353"/>
      <c r="EA60" s="353"/>
      <c r="EB60" s="353"/>
      <c r="EC60" s="353"/>
      <c r="ED60" s="374"/>
      <c r="EE60" s="329" t="str">
        <f t="shared" si="4"/>
        <v/>
      </c>
      <c r="EF60" s="330"/>
      <c r="EG60" s="330" t="str">
        <f t="shared" si="0"/>
        <v/>
      </c>
      <c r="EH60" s="330" t="str">
        <f t="shared" si="1"/>
        <v/>
      </c>
      <c r="EI60" s="330" t="str">
        <f t="shared" si="2"/>
        <v/>
      </c>
      <c r="EJ60" s="331" t="str">
        <f t="shared" si="3"/>
        <v/>
      </c>
    </row>
    <row r="61" spans="1:141" x14ac:dyDescent="0.2">
      <c r="A61" s="559"/>
      <c r="B61" s="373">
        <v>59</v>
      </c>
      <c r="C61" s="378"/>
      <c r="D61" s="378"/>
      <c r="E61" s="378"/>
      <c r="F61" s="378"/>
      <c r="G61" s="378"/>
      <c r="H61" s="378"/>
      <c r="I61" s="378"/>
      <c r="J61" s="378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424"/>
      <c r="AD61" s="389"/>
      <c r="AE61" s="428"/>
      <c r="AF61" s="389"/>
      <c r="AG61" s="389"/>
      <c r="AH61" s="389"/>
      <c r="AI61" s="428"/>
      <c r="AJ61" s="428"/>
      <c r="AK61" s="428"/>
      <c r="AL61" s="389"/>
      <c r="AM61" s="389"/>
      <c r="AN61" s="428"/>
      <c r="AO61" s="428"/>
      <c r="AP61" s="423"/>
      <c r="AQ61" s="345"/>
      <c r="AR61" s="345"/>
      <c r="AS61" s="345"/>
      <c r="AT61" s="345"/>
      <c r="AU61" s="345"/>
      <c r="AV61" s="345"/>
      <c r="AW61" s="345"/>
      <c r="AX61" s="345"/>
      <c r="AY61" s="345"/>
      <c r="AZ61" s="345"/>
      <c r="BA61" s="345"/>
      <c r="BB61" s="345"/>
      <c r="BC61" s="345"/>
      <c r="BD61" s="345"/>
      <c r="BE61" s="345"/>
      <c r="BF61" s="345"/>
      <c r="BG61" s="345"/>
      <c r="BH61" s="345"/>
      <c r="BI61" s="345"/>
      <c r="BJ61" s="345"/>
      <c r="BK61" s="345"/>
      <c r="BL61" s="345"/>
      <c r="BM61" s="345"/>
      <c r="BN61" s="345"/>
      <c r="BO61" s="345"/>
      <c r="BP61" s="345"/>
      <c r="BQ61" s="345"/>
      <c r="BR61" s="345"/>
      <c r="BS61" s="345"/>
      <c r="BT61" s="345"/>
      <c r="BU61" s="345"/>
      <c r="BV61" s="365"/>
      <c r="BW61" s="353"/>
      <c r="BX61" s="353"/>
      <c r="BY61" s="353"/>
      <c r="BZ61" s="353"/>
      <c r="CA61" s="353"/>
      <c r="CB61" s="353"/>
      <c r="CC61" s="353"/>
      <c r="CD61" s="353"/>
      <c r="CE61" s="353"/>
      <c r="CF61" s="353"/>
      <c r="CG61" s="353"/>
      <c r="CH61" s="353"/>
      <c r="CI61" s="353"/>
      <c r="CJ61" s="353"/>
      <c r="CK61" s="353"/>
      <c r="CL61" s="353"/>
      <c r="CM61" s="353"/>
      <c r="CN61" s="353"/>
      <c r="CO61" s="353"/>
      <c r="CP61" s="353"/>
      <c r="CQ61" s="353"/>
      <c r="CR61" s="353"/>
      <c r="CS61" s="353"/>
      <c r="CT61" s="353"/>
      <c r="CU61" s="353"/>
      <c r="CV61" s="353"/>
      <c r="CW61" s="353"/>
      <c r="CX61" s="353"/>
      <c r="CY61" s="353"/>
      <c r="CZ61" s="353"/>
      <c r="DA61" s="353"/>
      <c r="DB61" s="353"/>
      <c r="DC61" s="353"/>
      <c r="DD61" s="353"/>
      <c r="DE61" s="353"/>
      <c r="DF61" s="353"/>
      <c r="DG61" s="353"/>
      <c r="DH61" s="353"/>
      <c r="DI61" s="353"/>
      <c r="DJ61" s="353"/>
      <c r="DK61" s="353"/>
      <c r="DL61" s="353"/>
      <c r="DM61" s="353"/>
      <c r="DN61" s="353"/>
      <c r="DO61" s="353"/>
      <c r="DP61" s="353"/>
      <c r="DQ61" s="353"/>
      <c r="DR61" s="353"/>
      <c r="DS61" s="353"/>
      <c r="DT61" s="353"/>
      <c r="DU61" s="353"/>
      <c r="DV61" s="353"/>
      <c r="DW61" s="353"/>
      <c r="DX61" s="353"/>
      <c r="DY61" s="353"/>
      <c r="DZ61" s="353"/>
      <c r="EA61" s="353"/>
      <c r="EB61" s="353"/>
      <c r="EC61" s="353"/>
      <c r="ED61" s="374"/>
      <c r="EE61" s="329" t="str">
        <f t="shared" si="4"/>
        <v/>
      </c>
      <c r="EF61" s="330"/>
      <c r="EG61" s="330" t="str">
        <f t="shared" si="0"/>
        <v/>
      </c>
      <c r="EH61" s="330" t="str">
        <f t="shared" si="1"/>
        <v/>
      </c>
      <c r="EI61" s="330" t="str">
        <f t="shared" si="2"/>
        <v/>
      </c>
      <c r="EJ61" s="331" t="str">
        <f t="shared" si="3"/>
        <v/>
      </c>
    </row>
    <row r="62" spans="1:141" x14ac:dyDescent="0.2">
      <c r="A62" s="559"/>
      <c r="B62" s="373">
        <v>60</v>
      </c>
      <c r="C62" s="378"/>
      <c r="D62" s="378"/>
      <c r="E62" s="378"/>
      <c r="F62" s="378"/>
      <c r="G62" s="378"/>
      <c r="H62" s="378"/>
      <c r="I62" s="378"/>
      <c r="J62" s="378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 t="s">
        <v>9409</v>
      </c>
      <c r="AB62" s="378"/>
      <c r="AC62" s="424"/>
      <c r="AD62" s="389"/>
      <c r="AE62" s="428"/>
      <c r="AF62" s="389"/>
      <c r="AG62" s="389"/>
      <c r="AH62" s="389"/>
      <c r="AI62" s="428"/>
      <c r="AJ62" s="428"/>
      <c r="AK62" s="428"/>
      <c r="AL62" s="389"/>
      <c r="AM62" s="389"/>
      <c r="AN62" s="428"/>
      <c r="AO62" s="428"/>
      <c r="AP62" s="423"/>
      <c r="AQ62" s="345"/>
      <c r="AR62" s="345"/>
      <c r="AS62" s="345"/>
      <c r="AT62" s="345"/>
      <c r="AU62" s="345"/>
      <c r="AV62" s="345"/>
      <c r="AW62" s="345"/>
      <c r="AX62" s="345"/>
      <c r="AY62" s="345"/>
      <c r="AZ62" s="345"/>
      <c r="BA62" s="345"/>
      <c r="BB62" s="345"/>
      <c r="BC62" s="345"/>
      <c r="BD62" s="345"/>
      <c r="BE62" s="345"/>
      <c r="BF62" s="345"/>
      <c r="BG62" s="345"/>
      <c r="BH62" s="345"/>
      <c r="BI62" s="345"/>
      <c r="BJ62" s="345"/>
      <c r="BK62" s="345"/>
      <c r="BL62" s="345"/>
      <c r="BM62" s="345"/>
      <c r="BN62" s="345"/>
      <c r="BO62" s="345"/>
      <c r="BP62" s="345"/>
      <c r="BQ62" s="345"/>
      <c r="BR62" s="345"/>
      <c r="BS62" s="345"/>
      <c r="BT62" s="345"/>
      <c r="BU62" s="345"/>
      <c r="BV62" s="365"/>
      <c r="BW62" s="353"/>
      <c r="BX62" s="353"/>
      <c r="BY62" s="353"/>
      <c r="BZ62" s="353"/>
      <c r="CA62" s="353"/>
      <c r="CB62" s="353"/>
      <c r="CC62" s="353"/>
      <c r="CD62" s="353"/>
      <c r="CE62" s="353"/>
      <c r="CF62" s="353"/>
      <c r="CG62" s="353"/>
      <c r="CH62" s="353"/>
      <c r="CI62" s="353"/>
      <c r="CJ62" s="353"/>
      <c r="CK62" s="353"/>
      <c r="CL62" s="353"/>
      <c r="CM62" s="353"/>
      <c r="CN62" s="353"/>
      <c r="CO62" s="353"/>
      <c r="CP62" s="353"/>
      <c r="CQ62" s="353"/>
      <c r="CR62" s="353"/>
      <c r="CS62" s="353"/>
      <c r="CT62" s="353"/>
      <c r="CU62" s="353"/>
      <c r="CV62" s="353"/>
      <c r="CW62" s="353"/>
      <c r="CX62" s="353"/>
      <c r="CY62" s="353"/>
      <c r="CZ62" s="353"/>
      <c r="DA62" s="353"/>
      <c r="DB62" s="353"/>
      <c r="DC62" s="353"/>
      <c r="DD62" s="353"/>
      <c r="DE62" s="353"/>
      <c r="DF62" s="353"/>
      <c r="DG62" s="353"/>
      <c r="DH62" s="353"/>
      <c r="DI62" s="353"/>
      <c r="DJ62" s="353"/>
      <c r="DK62" s="353"/>
      <c r="DL62" s="353"/>
      <c r="DM62" s="353"/>
      <c r="DN62" s="353"/>
      <c r="DO62" s="353"/>
      <c r="DP62" s="353" t="s">
        <v>9409</v>
      </c>
      <c r="DQ62" s="353"/>
      <c r="DR62" s="353"/>
      <c r="DS62" s="353"/>
      <c r="DT62" s="353"/>
      <c r="DU62" s="353"/>
      <c r="DV62" s="353"/>
      <c r="DW62" s="353"/>
      <c r="DX62" s="353"/>
      <c r="DY62" s="353"/>
      <c r="DZ62" s="353"/>
      <c r="EA62" s="353"/>
      <c r="EB62" s="353"/>
      <c r="EC62" s="353"/>
      <c r="ED62" s="374"/>
      <c r="EE62" s="329" t="str">
        <f t="shared" si="4"/>
        <v>x</v>
      </c>
      <c r="EF62" s="330"/>
      <c r="EG62" s="330" t="str">
        <f t="shared" si="0"/>
        <v>x</v>
      </c>
      <c r="EH62" s="330" t="str">
        <f t="shared" si="1"/>
        <v/>
      </c>
      <c r="EI62" s="330" t="str">
        <f t="shared" si="2"/>
        <v/>
      </c>
      <c r="EJ62" s="331" t="str">
        <f t="shared" si="3"/>
        <v>x</v>
      </c>
    </row>
    <row r="63" spans="1:141" x14ac:dyDescent="0.2">
      <c r="A63" s="559"/>
      <c r="B63" s="373">
        <v>61</v>
      </c>
      <c r="C63" s="378"/>
      <c r="D63" s="378"/>
      <c r="E63" s="378"/>
      <c r="F63" s="378"/>
      <c r="G63" s="378"/>
      <c r="H63" s="378"/>
      <c r="I63" s="378"/>
      <c r="J63" s="378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424"/>
      <c r="AD63" s="389"/>
      <c r="AE63" s="428"/>
      <c r="AF63" s="389"/>
      <c r="AG63" s="389"/>
      <c r="AH63" s="389"/>
      <c r="AI63" s="428"/>
      <c r="AJ63" s="428"/>
      <c r="AK63" s="428"/>
      <c r="AL63" s="389"/>
      <c r="AM63" s="389"/>
      <c r="AN63" s="428"/>
      <c r="AO63" s="428"/>
      <c r="AP63" s="423"/>
      <c r="AQ63" s="345"/>
      <c r="AR63" s="345"/>
      <c r="AS63" s="345"/>
      <c r="AT63" s="345"/>
      <c r="AU63" s="345"/>
      <c r="AV63" s="345"/>
      <c r="AW63" s="345"/>
      <c r="AX63" s="345"/>
      <c r="AY63" s="345"/>
      <c r="AZ63" s="345"/>
      <c r="BA63" s="345"/>
      <c r="BB63" s="345"/>
      <c r="BC63" s="345"/>
      <c r="BD63" s="345"/>
      <c r="BE63" s="345"/>
      <c r="BF63" s="345"/>
      <c r="BG63" s="345"/>
      <c r="BH63" s="345"/>
      <c r="BI63" s="345"/>
      <c r="BJ63" s="345"/>
      <c r="BK63" s="345"/>
      <c r="BL63" s="345"/>
      <c r="BM63" s="345"/>
      <c r="BN63" s="345"/>
      <c r="BO63" s="345"/>
      <c r="BP63" s="345"/>
      <c r="BQ63" s="345"/>
      <c r="BR63" s="345"/>
      <c r="BS63" s="345"/>
      <c r="BT63" s="345"/>
      <c r="BU63" s="345"/>
      <c r="BV63" s="365"/>
      <c r="BW63" s="353"/>
      <c r="BX63" s="353"/>
      <c r="BY63" s="353"/>
      <c r="BZ63" s="353"/>
      <c r="CA63" s="353"/>
      <c r="CB63" s="353"/>
      <c r="CC63" s="353"/>
      <c r="CD63" s="353"/>
      <c r="CE63" s="353"/>
      <c r="CF63" s="353"/>
      <c r="CG63" s="353"/>
      <c r="CH63" s="353"/>
      <c r="CI63" s="353"/>
      <c r="CJ63" s="353"/>
      <c r="CK63" s="353"/>
      <c r="CL63" s="353"/>
      <c r="CM63" s="353"/>
      <c r="CN63" s="353"/>
      <c r="CO63" s="353"/>
      <c r="CP63" s="353"/>
      <c r="CQ63" s="353"/>
      <c r="CR63" s="353"/>
      <c r="CS63" s="353"/>
      <c r="CT63" s="353"/>
      <c r="CU63" s="353"/>
      <c r="CV63" s="353"/>
      <c r="CW63" s="353"/>
      <c r="CX63" s="353"/>
      <c r="CY63" s="353"/>
      <c r="CZ63" s="353"/>
      <c r="DA63" s="353"/>
      <c r="DB63" s="353"/>
      <c r="DC63" s="353"/>
      <c r="DD63" s="353"/>
      <c r="DE63" s="353"/>
      <c r="DF63" s="353"/>
      <c r="DG63" s="353"/>
      <c r="DH63" s="353"/>
      <c r="DI63" s="353"/>
      <c r="DJ63" s="353"/>
      <c r="DK63" s="353"/>
      <c r="DL63" s="353"/>
      <c r="DM63" s="353"/>
      <c r="DN63" s="353"/>
      <c r="DO63" s="353"/>
      <c r="DP63" s="353"/>
      <c r="DQ63" s="353"/>
      <c r="DR63" s="353"/>
      <c r="DS63" s="353"/>
      <c r="DT63" s="353"/>
      <c r="DU63" s="353"/>
      <c r="DV63" s="353"/>
      <c r="DW63" s="353"/>
      <c r="DX63" s="353"/>
      <c r="DY63" s="353"/>
      <c r="DZ63" s="353"/>
      <c r="EA63" s="353"/>
      <c r="EB63" s="353"/>
      <c r="EC63" s="353"/>
      <c r="ED63" s="374"/>
      <c r="EE63" s="329" t="str">
        <f t="shared" si="4"/>
        <v/>
      </c>
      <c r="EF63" s="330"/>
      <c r="EG63" s="330" t="str">
        <f t="shared" si="0"/>
        <v/>
      </c>
      <c r="EH63" s="330" t="str">
        <f t="shared" si="1"/>
        <v/>
      </c>
      <c r="EI63" s="330" t="str">
        <f t="shared" si="2"/>
        <v/>
      </c>
      <c r="EJ63" s="331" t="str">
        <f t="shared" si="3"/>
        <v/>
      </c>
    </row>
    <row r="64" spans="1:141" x14ac:dyDescent="0.2">
      <c r="A64" s="559"/>
      <c r="B64" s="373">
        <v>62</v>
      </c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429" t="s">
        <v>11865</v>
      </c>
      <c r="AC64" s="424"/>
      <c r="AD64" s="389"/>
      <c r="AE64" s="428"/>
      <c r="AF64" s="389"/>
      <c r="AG64" s="389"/>
      <c r="AH64" s="389"/>
      <c r="AI64" s="428"/>
      <c r="AJ64" s="428"/>
      <c r="AK64" s="428"/>
      <c r="AL64" s="389"/>
      <c r="AM64" s="389"/>
      <c r="AN64" s="428"/>
      <c r="AO64" s="428"/>
      <c r="AP64" s="423"/>
      <c r="AQ64" s="345"/>
      <c r="AR64" s="345"/>
      <c r="AS64" s="345"/>
      <c r="AT64" s="345"/>
      <c r="AU64" s="345"/>
      <c r="AV64" s="345"/>
      <c r="AW64" s="345"/>
      <c r="AX64" s="345"/>
      <c r="AY64" s="345"/>
      <c r="AZ64" s="345"/>
      <c r="BA64" s="345"/>
      <c r="BB64" s="345"/>
      <c r="BC64" s="345"/>
      <c r="BD64" s="345"/>
      <c r="BE64" s="345"/>
      <c r="BF64" s="345"/>
      <c r="BG64" s="345"/>
      <c r="BH64" s="345"/>
      <c r="BI64" s="345"/>
      <c r="BJ64" s="345"/>
      <c r="BK64" s="345"/>
      <c r="BL64" s="345"/>
      <c r="BM64" s="345"/>
      <c r="BN64" s="345"/>
      <c r="BO64" s="345"/>
      <c r="BP64" s="345"/>
      <c r="BQ64" s="345"/>
      <c r="BR64" s="345"/>
      <c r="BS64" s="345"/>
      <c r="BT64" s="345"/>
      <c r="BU64" s="345"/>
      <c r="BV64" s="365"/>
      <c r="BW64" s="353"/>
      <c r="BX64" s="353"/>
      <c r="BY64" s="353"/>
      <c r="BZ64" s="353"/>
      <c r="CA64" s="353"/>
      <c r="CB64" s="353"/>
      <c r="CC64" s="353"/>
      <c r="CD64" s="353"/>
      <c r="CE64" s="353"/>
      <c r="CF64" s="353"/>
      <c r="CG64" s="353"/>
      <c r="CH64" s="353"/>
      <c r="CI64" s="353"/>
      <c r="CJ64" s="353"/>
      <c r="CK64" s="353"/>
      <c r="CL64" s="353"/>
      <c r="CM64" s="353"/>
      <c r="CN64" s="353"/>
      <c r="CO64" s="353"/>
      <c r="CP64" s="353"/>
      <c r="CQ64" s="353"/>
      <c r="CR64" s="353"/>
      <c r="CS64" s="353"/>
      <c r="CT64" s="353"/>
      <c r="CU64" s="353"/>
      <c r="CV64" s="353"/>
      <c r="CW64" s="353"/>
      <c r="CX64" s="353"/>
      <c r="CY64" s="353"/>
      <c r="CZ64" s="353"/>
      <c r="DA64" s="353"/>
      <c r="DB64" s="353"/>
      <c r="DC64" s="353"/>
      <c r="DD64" s="353"/>
      <c r="DE64" s="353"/>
      <c r="DF64" s="353"/>
      <c r="DG64" s="353"/>
      <c r="DH64" s="353"/>
      <c r="DI64" s="353"/>
      <c r="DJ64" s="353"/>
      <c r="DK64" s="353"/>
      <c r="DL64" s="353"/>
      <c r="DM64" s="353"/>
      <c r="DN64" s="353"/>
      <c r="DO64" s="353"/>
      <c r="DP64" s="353"/>
      <c r="DQ64" s="353"/>
      <c r="DR64" s="353"/>
      <c r="DS64" s="353"/>
      <c r="DT64" s="353"/>
      <c r="DU64" s="353"/>
      <c r="DV64" s="353"/>
      <c r="DW64" s="353"/>
      <c r="DX64" s="353"/>
      <c r="DY64" s="353"/>
      <c r="DZ64" s="353"/>
      <c r="EA64" s="353"/>
      <c r="EB64" s="353"/>
      <c r="EC64" s="353"/>
      <c r="ED64" s="374"/>
      <c r="EE64" s="329" t="str">
        <f t="shared" si="4"/>
        <v/>
      </c>
      <c r="EF64" s="330"/>
      <c r="EG64" s="330" t="str">
        <f t="shared" si="0"/>
        <v/>
      </c>
      <c r="EH64" s="330" t="str">
        <f t="shared" si="1"/>
        <v/>
      </c>
      <c r="EI64" s="330" t="str">
        <f t="shared" si="2"/>
        <v/>
      </c>
      <c r="EJ64" s="331" t="str">
        <f t="shared" si="3"/>
        <v/>
      </c>
      <c r="EK64" s="317" t="s">
        <v>11870</v>
      </c>
    </row>
    <row r="65" spans="1:143" x14ac:dyDescent="0.2">
      <c r="A65" s="559"/>
      <c r="B65" s="373">
        <v>63</v>
      </c>
      <c r="C65" s="378"/>
      <c r="D65" s="378"/>
      <c r="E65" s="378"/>
      <c r="F65" s="378"/>
      <c r="G65" s="378"/>
      <c r="H65" s="378"/>
      <c r="I65" s="378"/>
      <c r="J65" s="378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424"/>
      <c r="AD65" s="389"/>
      <c r="AE65" s="428"/>
      <c r="AF65" s="389"/>
      <c r="AG65" s="389"/>
      <c r="AH65" s="389"/>
      <c r="AI65" s="428"/>
      <c r="AJ65" s="428"/>
      <c r="AK65" s="428"/>
      <c r="AL65" s="389"/>
      <c r="AM65" s="389"/>
      <c r="AN65" s="428"/>
      <c r="AO65" s="428"/>
      <c r="AP65" s="423"/>
      <c r="AQ65" s="345"/>
      <c r="AR65" s="345"/>
      <c r="AS65" s="345"/>
      <c r="AT65" s="345"/>
      <c r="AU65" s="345"/>
      <c r="AV65" s="345"/>
      <c r="AW65" s="345"/>
      <c r="AX65" s="345"/>
      <c r="AY65" s="345"/>
      <c r="AZ65" s="345"/>
      <c r="BA65" s="345"/>
      <c r="BB65" s="345"/>
      <c r="BC65" s="345"/>
      <c r="BD65" s="345"/>
      <c r="BE65" s="345"/>
      <c r="BF65" s="345"/>
      <c r="BG65" s="345"/>
      <c r="BH65" s="345"/>
      <c r="BI65" s="345"/>
      <c r="BJ65" s="345"/>
      <c r="BK65" s="345"/>
      <c r="BL65" s="345"/>
      <c r="BM65" s="345"/>
      <c r="BN65" s="345"/>
      <c r="BO65" s="345"/>
      <c r="BP65" s="345"/>
      <c r="BQ65" s="345"/>
      <c r="BR65" s="345"/>
      <c r="BS65" s="345"/>
      <c r="BT65" s="345"/>
      <c r="BU65" s="345"/>
      <c r="BV65" s="365"/>
      <c r="BW65" s="353"/>
      <c r="BX65" s="353"/>
      <c r="BY65" s="353"/>
      <c r="BZ65" s="353"/>
      <c r="CA65" s="353"/>
      <c r="CB65" s="353"/>
      <c r="CC65" s="353"/>
      <c r="CD65" s="353"/>
      <c r="CE65" s="353"/>
      <c r="CF65" s="353"/>
      <c r="CG65" s="353"/>
      <c r="CH65" s="353"/>
      <c r="CI65" s="353"/>
      <c r="CJ65" s="353"/>
      <c r="CK65" s="353"/>
      <c r="CL65" s="353"/>
      <c r="CM65" s="353"/>
      <c r="CN65" s="353"/>
      <c r="CO65" s="353"/>
      <c r="CP65" s="353"/>
      <c r="CQ65" s="353"/>
      <c r="CR65" s="353"/>
      <c r="CS65" s="353"/>
      <c r="CT65" s="353"/>
      <c r="CU65" s="353"/>
      <c r="CV65" s="353"/>
      <c r="CW65" s="353"/>
      <c r="CX65" s="353"/>
      <c r="CY65" s="353"/>
      <c r="CZ65" s="353"/>
      <c r="DA65" s="353"/>
      <c r="DB65" s="353"/>
      <c r="DC65" s="353"/>
      <c r="DD65" s="353"/>
      <c r="DE65" s="353"/>
      <c r="DF65" s="353"/>
      <c r="DG65" s="353"/>
      <c r="DH65" s="353"/>
      <c r="DI65" s="353"/>
      <c r="DJ65" s="353"/>
      <c r="DK65" s="353"/>
      <c r="DL65" s="353"/>
      <c r="DM65" s="353"/>
      <c r="DN65" s="353"/>
      <c r="DO65" s="353"/>
      <c r="DP65" s="353"/>
      <c r="DQ65" s="353"/>
      <c r="DR65" s="353"/>
      <c r="DS65" s="353"/>
      <c r="DT65" s="353"/>
      <c r="DU65" s="353"/>
      <c r="DV65" s="353"/>
      <c r="DW65" s="353"/>
      <c r="DX65" s="353"/>
      <c r="DY65" s="353"/>
      <c r="DZ65" s="353"/>
      <c r="EA65" s="353"/>
      <c r="EB65" s="353"/>
      <c r="EC65" s="353"/>
      <c r="ED65" s="374"/>
      <c r="EE65" s="329" t="str">
        <f t="shared" si="4"/>
        <v/>
      </c>
      <c r="EF65" s="330"/>
      <c r="EG65" s="330" t="str">
        <f t="shared" si="0"/>
        <v/>
      </c>
      <c r="EH65" s="330" t="str">
        <f t="shared" si="1"/>
        <v/>
      </c>
      <c r="EI65" s="330" t="str">
        <f t="shared" si="2"/>
        <v/>
      </c>
      <c r="EJ65" s="331" t="str">
        <f t="shared" si="3"/>
        <v/>
      </c>
    </row>
    <row r="66" spans="1:143" x14ac:dyDescent="0.2">
      <c r="A66" s="559"/>
      <c r="B66" s="305">
        <v>64</v>
      </c>
      <c r="C66" s="422"/>
      <c r="D66" s="422"/>
      <c r="E66" s="422"/>
      <c r="F66" s="422"/>
      <c r="G66" s="422"/>
      <c r="H66" s="422"/>
      <c r="I66" s="422"/>
      <c r="J66" s="422"/>
      <c r="K66" s="422"/>
      <c r="L66" s="422"/>
      <c r="M66" s="422"/>
      <c r="N66" s="422"/>
      <c r="O66" s="422"/>
      <c r="P66" s="422"/>
      <c r="Q66" s="422"/>
      <c r="R66" s="422"/>
      <c r="S66" s="422"/>
      <c r="T66" s="422"/>
      <c r="U66" s="422"/>
      <c r="V66" s="422"/>
      <c r="W66" s="422"/>
      <c r="X66" s="422"/>
      <c r="Y66" s="422"/>
      <c r="Z66" s="422"/>
      <c r="AA66" s="422"/>
      <c r="AB66" s="422"/>
      <c r="AC66" s="392" t="s">
        <v>11893</v>
      </c>
      <c r="AD66" s="428"/>
      <c r="AE66" s="428"/>
      <c r="AF66" s="428"/>
      <c r="AG66" s="428"/>
      <c r="AH66" s="428"/>
      <c r="AI66" s="428"/>
      <c r="AJ66" s="428"/>
      <c r="AK66" s="428"/>
      <c r="AL66" s="428"/>
      <c r="AM66" s="428"/>
      <c r="AN66" s="428"/>
      <c r="AO66" s="428"/>
      <c r="AP66" s="423"/>
      <c r="AQ66" s="345"/>
      <c r="AR66" s="345"/>
      <c r="AS66" s="345"/>
      <c r="AT66" s="345"/>
      <c r="AU66" s="345"/>
      <c r="AV66" s="345"/>
      <c r="AW66" s="345"/>
      <c r="AX66" s="345"/>
      <c r="AY66" s="345"/>
      <c r="AZ66" s="345"/>
      <c r="BA66" s="345"/>
      <c r="BB66" s="345"/>
      <c r="BC66" s="345"/>
      <c r="BD66" s="345"/>
      <c r="BE66" s="345"/>
      <c r="BF66" s="345"/>
      <c r="BG66" s="345"/>
      <c r="BH66" s="345"/>
      <c r="BI66" s="345"/>
      <c r="BJ66" s="345"/>
      <c r="BK66" s="345"/>
      <c r="BL66" s="345"/>
      <c r="BM66" s="345"/>
      <c r="BN66" s="345"/>
      <c r="BO66" s="345"/>
      <c r="BP66" s="345"/>
      <c r="BQ66" s="345"/>
      <c r="BR66" s="345"/>
      <c r="BS66" s="345"/>
      <c r="BT66" s="345"/>
      <c r="BU66" s="345"/>
      <c r="BV66" s="361"/>
      <c r="BW66" s="345"/>
      <c r="BX66" s="345"/>
      <c r="BY66" s="345"/>
      <c r="BZ66" s="345"/>
      <c r="CA66" s="345"/>
      <c r="CB66" s="345"/>
      <c r="CC66" s="345"/>
      <c r="CD66" s="345"/>
      <c r="CE66" s="345"/>
      <c r="CF66" s="345"/>
      <c r="CG66" s="345"/>
      <c r="CH66" s="345"/>
      <c r="CI66" s="345"/>
      <c r="CJ66" s="345"/>
      <c r="CK66" s="345"/>
      <c r="CL66" s="345"/>
      <c r="CM66" s="345"/>
      <c r="CN66" s="345"/>
      <c r="CO66" s="345"/>
      <c r="CP66" s="345"/>
      <c r="CQ66" s="345"/>
      <c r="CR66" s="345"/>
      <c r="CS66" s="345"/>
      <c r="CT66" s="345"/>
      <c r="CU66" s="345"/>
      <c r="CV66" s="345"/>
      <c r="CW66" s="345"/>
      <c r="CX66" s="345"/>
      <c r="CY66" s="345"/>
      <c r="CZ66" s="345"/>
      <c r="DA66" s="345"/>
      <c r="DB66" s="345"/>
      <c r="DC66" s="345"/>
      <c r="DD66" s="345"/>
      <c r="DE66" s="345"/>
      <c r="DF66" s="345"/>
      <c r="DG66" s="345"/>
      <c r="DH66" s="345"/>
      <c r="DI66" s="345"/>
      <c r="DJ66" s="345"/>
      <c r="DK66" s="345"/>
      <c r="DL66" s="345"/>
      <c r="DM66" s="345"/>
      <c r="DN66" s="345"/>
      <c r="DO66" s="345"/>
      <c r="DP66" s="345"/>
      <c r="DQ66" s="345"/>
      <c r="DR66" s="345"/>
      <c r="DS66" s="345"/>
      <c r="DT66" s="345"/>
      <c r="DU66" s="345"/>
      <c r="DV66" s="345"/>
      <c r="DW66" s="345"/>
      <c r="DX66" s="345"/>
      <c r="DY66" s="345"/>
      <c r="DZ66" s="345"/>
      <c r="EA66" s="345"/>
      <c r="EB66" s="345"/>
      <c r="EC66" s="345"/>
      <c r="ED66" s="346"/>
      <c r="EE66" s="415" t="str">
        <f t="shared" si="4"/>
        <v/>
      </c>
      <c r="EF66" s="416" t="s">
        <v>9409</v>
      </c>
      <c r="EG66" s="416" t="str">
        <f t="shared" si="0"/>
        <v/>
      </c>
      <c r="EH66" s="416" t="str">
        <f t="shared" si="1"/>
        <v/>
      </c>
      <c r="EI66" s="416" t="str">
        <f t="shared" si="2"/>
        <v/>
      </c>
      <c r="EJ66" s="417" t="str">
        <f t="shared" si="3"/>
        <v/>
      </c>
      <c r="EK66" s="47"/>
      <c r="EL66" s="47"/>
      <c r="EM66" s="47"/>
    </row>
    <row r="67" spans="1:143" x14ac:dyDescent="0.2">
      <c r="A67" s="559"/>
      <c r="B67" s="373">
        <v>65</v>
      </c>
      <c r="C67" s="378"/>
      <c r="D67" s="378"/>
      <c r="E67" s="378"/>
      <c r="F67" s="378"/>
      <c r="G67" s="378"/>
      <c r="H67" s="378"/>
      <c r="I67" s="378"/>
      <c r="J67" s="378"/>
      <c r="K67" s="378"/>
      <c r="L67" s="378"/>
      <c r="M67" s="378"/>
      <c r="N67" s="378"/>
      <c r="O67" s="378"/>
      <c r="P67" s="378"/>
      <c r="Q67" s="378"/>
      <c r="R67" s="378"/>
      <c r="S67" s="378"/>
      <c r="T67" s="378"/>
      <c r="U67" s="378"/>
      <c r="V67" s="378"/>
      <c r="W67" s="378"/>
      <c r="X67" s="378"/>
      <c r="Y67" s="378"/>
      <c r="Z67" s="378"/>
      <c r="AA67" s="378"/>
      <c r="AB67" s="378"/>
      <c r="AC67" s="424"/>
      <c r="AD67" s="391" t="s">
        <v>9409</v>
      </c>
      <c r="AE67" s="428"/>
      <c r="AF67" s="389"/>
      <c r="AG67" s="389"/>
      <c r="AH67" s="389"/>
      <c r="AI67" s="428"/>
      <c r="AJ67" s="428"/>
      <c r="AK67" s="428"/>
      <c r="AL67" s="389"/>
      <c r="AM67" s="389"/>
      <c r="AN67" s="428"/>
      <c r="AO67" s="428"/>
      <c r="AP67" s="423"/>
      <c r="AQ67" s="345"/>
      <c r="AR67" s="345"/>
      <c r="AS67" s="345"/>
      <c r="AT67" s="345"/>
      <c r="AU67" s="345"/>
      <c r="AV67" s="345"/>
      <c r="AW67" s="345"/>
      <c r="AX67" s="345"/>
      <c r="AY67" s="345"/>
      <c r="AZ67" s="345"/>
      <c r="BA67" s="345"/>
      <c r="BB67" s="345"/>
      <c r="BC67" s="345"/>
      <c r="BD67" s="345"/>
      <c r="BE67" s="345"/>
      <c r="BF67" s="345"/>
      <c r="BG67" s="345"/>
      <c r="BH67" s="345"/>
      <c r="BI67" s="345"/>
      <c r="BJ67" s="345"/>
      <c r="BK67" s="345"/>
      <c r="BL67" s="345"/>
      <c r="BM67" s="345"/>
      <c r="BN67" s="345"/>
      <c r="BO67" s="345"/>
      <c r="BP67" s="345"/>
      <c r="BQ67" s="345"/>
      <c r="BR67" s="345"/>
      <c r="BS67" s="345"/>
      <c r="BT67" s="345"/>
      <c r="BU67" s="345"/>
      <c r="BV67" s="365"/>
      <c r="BW67" s="353"/>
      <c r="BX67" s="353"/>
      <c r="BY67" s="353"/>
      <c r="BZ67" s="353"/>
      <c r="CA67" s="353"/>
      <c r="CB67" s="353"/>
      <c r="CC67" s="353"/>
      <c r="CD67" s="353"/>
      <c r="CE67" s="353"/>
      <c r="CF67" s="353"/>
      <c r="CG67" s="353"/>
      <c r="CH67" s="353"/>
      <c r="CI67" s="353"/>
      <c r="CJ67" s="353"/>
      <c r="CK67" s="353"/>
      <c r="CL67" s="353"/>
      <c r="CM67" s="353"/>
      <c r="CN67" s="353"/>
      <c r="CO67" s="353"/>
      <c r="CP67" s="353"/>
      <c r="CQ67" s="353"/>
      <c r="CR67" s="353"/>
      <c r="CS67" s="353"/>
      <c r="CT67" s="353"/>
      <c r="CU67" s="353"/>
      <c r="CV67" s="353"/>
      <c r="CW67" s="353"/>
      <c r="CX67" s="353"/>
      <c r="CY67" s="353"/>
      <c r="CZ67" s="353"/>
      <c r="DA67" s="353"/>
      <c r="DB67" s="353"/>
      <c r="DC67" s="353"/>
      <c r="DD67" s="353" t="s">
        <v>9409</v>
      </c>
      <c r="DE67" s="353"/>
      <c r="DF67" s="353"/>
      <c r="DG67" s="353"/>
      <c r="DH67" s="353"/>
      <c r="DI67" s="353"/>
      <c r="DJ67" s="353"/>
      <c r="DK67" s="353"/>
      <c r="DL67" s="353"/>
      <c r="DM67" s="353"/>
      <c r="DN67" s="353"/>
      <c r="DO67" s="353"/>
      <c r="DP67" s="353"/>
      <c r="DQ67" s="353"/>
      <c r="DR67" s="353"/>
      <c r="DS67" s="353"/>
      <c r="DT67" s="353"/>
      <c r="DU67" s="353"/>
      <c r="DV67" s="353"/>
      <c r="DW67" s="353"/>
      <c r="DX67" s="353"/>
      <c r="DY67" s="353"/>
      <c r="DZ67" s="353"/>
      <c r="EA67" s="353"/>
      <c r="EB67" s="353"/>
      <c r="EC67" s="353"/>
      <c r="ED67" s="374"/>
      <c r="EE67" s="329" t="str">
        <f t="shared" si="4"/>
        <v>x</v>
      </c>
      <c r="EF67" s="330"/>
      <c r="EG67" s="330" t="str">
        <f t="shared" si="0"/>
        <v/>
      </c>
      <c r="EH67" s="330" t="str">
        <f t="shared" si="1"/>
        <v>x</v>
      </c>
      <c r="EI67" s="330" t="str">
        <f t="shared" si="2"/>
        <v/>
      </c>
      <c r="EJ67" s="331" t="str">
        <f t="shared" si="3"/>
        <v>x</v>
      </c>
      <c r="EK67" s="47"/>
      <c r="EL67" s="47"/>
      <c r="EM67" s="47"/>
    </row>
    <row r="68" spans="1:143" x14ac:dyDescent="0.2">
      <c r="A68" s="559"/>
      <c r="B68" s="373">
        <v>66</v>
      </c>
      <c r="C68" s="378"/>
      <c r="D68" s="378"/>
      <c r="E68" s="378"/>
      <c r="F68" s="378"/>
      <c r="G68" s="378"/>
      <c r="H68" s="378"/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424"/>
      <c r="AD68" s="389"/>
      <c r="AE68" s="391" t="s">
        <v>11893</v>
      </c>
      <c r="AF68" s="389"/>
      <c r="AG68" s="389"/>
      <c r="AH68" s="389"/>
      <c r="AI68" s="428"/>
      <c r="AJ68" s="428"/>
      <c r="AK68" s="428"/>
      <c r="AL68" s="389"/>
      <c r="AM68" s="389"/>
      <c r="AN68" s="428"/>
      <c r="AO68" s="428"/>
      <c r="AP68" s="423"/>
      <c r="AQ68" s="345"/>
      <c r="AR68" s="345"/>
      <c r="AS68" s="345"/>
      <c r="AT68" s="345"/>
      <c r="AU68" s="345"/>
      <c r="AV68" s="345"/>
      <c r="AW68" s="345"/>
      <c r="AX68" s="345"/>
      <c r="AY68" s="345"/>
      <c r="AZ68" s="345"/>
      <c r="BA68" s="345"/>
      <c r="BB68" s="345"/>
      <c r="BC68" s="345"/>
      <c r="BD68" s="345"/>
      <c r="BE68" s="345"/>
      <c r="BF68" s="345"/>
      <c r="BG68" s="345"/>
      <c r="BH68" s="345"/>
      <c r="BI68" s="345"/>
      <c r="BJ68" s="345"/>
      <c r="BK68" s="345"/>
      <c r="BL68" s="345"/>
      <c r="BM68" s="345"/>
      <c r="BN68" s="345"/>
      <c r="BO68" s="345"/>
      <c r="BP68" s="345"/>
      <c r="BQ68" s="345"/>
      <c r="BR68" s="345"/>
      <c r="BS68" s="345"/>
      <c r="BT68" s="345"/>
      <c r="BU68" s="345"/>
      <c r="BV68" s="365"/>
      <c r="BW68" s="353"/>
      <c r="BX68" s="353"/>
      <c r="BY68" s="353"/>
      <c r="BZ68" s="353"/>
      <c r="CA68" s="353"/>
      <c r="CB68" s="353"/>
      <c r="CC68" s="353"/>
      <c r="CD68" s="353"/>
      <c r="CE68" s="353"/>
      <c r="CF68" s="353"/>
      <c r="CG68" s="353"/>
      <c r="CH68" s="353"/>
      <c r="CI68" s="353"/>
      <c r="CJ68" s="353"/>
      <c r="CK68" s="353"/>
      <c r="CL68" s="353"/>
      <c r="CM68" s="353"/>
      <c r="CN68" s="353"/>
      <c r="CO68" s="353"/>
      <c r="CP68" s="353"/>
      <c r="CQ68" s="353"/>
      <c r="CR68" s="353"/>
      <c r="CS68" s="353"/>
      <c r="CT68" s="353"/>
      <c r="CU68" s="353"/>
      <c r="CV68" s="353"/>
      <c r="CW68" s="353"/>
      <c r="CX68" s="353"/>
      <c r="CY68" s="353"/>
      <c r="CZ68" s="353"/>
      <c r="DA68" s="353"/>
      <c r="DB68" s="353"/>
      <c r="DC68" s="353"/>
      <c r="DD68" s="353"/>
      <c r="DE68" s="353"/>
      <c r="DF68" s="353"/>
      <c r="DG68" s="353"/>
      <c r="DH68" s="353"/>
      <c r="DI68" s="353"/>
      <c r="DJ68" s="353"/>
      <c r="DK68" s="353"/>
      <c r="DL68" s="353"/>
      <c r="DM68" s="353"/>
      <c r="DN68" s="353"/>
      <c r="DO68" s="353"/>
      <c r="DP68" s="353"/>
      <c r="DQ68" s="353"/>
      <c r="DR68" s="353"/>
      <c r="DS68" s="353"/>
      <c r="DT68" s="353"/>
      <c r="DU68" s="353"/>
      <c r="DV68" s="353"/>
      <c r="DW68" s="353"/>
      <c r="DX68" s="353"/>
      <c r="DY68" s="353"/>
      <c r="DZ68" s="353"/>
      <c r="EA68" s="353"/>
      <c r="EB68" s="353"/>
      <c r="EC68" s="353"/>
      <c r="ED68" s="374"/>
      <c r="EE68" s="329" t="str">
        <f t="shared" ref="EE68:EE74" si="5">IF(COUNTIF(C68:ED68, "x"), "x", "")</f>
        <v/>
      </c>
      <c r="EF68" s="330"/>
      <c r="EG68" s="330" t="str">
        <f t="shared" ref="EG68:EG77" si="6">IF(COUNTIF(C68:AB68, "x"), "x", "")</f>
        <v/>
      </c>
      <c r="EH68" s="330" t="str">
        <f t="shared" ref="EH68:EH71" si="7">IF(COUNTIF(AC68:AP68, "x"), "x", "")</f>
        <v/>
      </c>
      <c r="EI68" s="330" t="str">
        <f t="shared" ref="EI68:EI131" si="8">IF(COUNTIF(AQ68:BU68, "x"), "x", "")</f>
        <v/>
      </c>
      <c r="EJ68" s="331" t="str">
        <f t="shared" ref="EJ68:EJ74" si="9">IF(COUNTIF(BV68:ED68, "x"), "x", "")</f>
        <v/>
      </c>
      <c r="EK68" s="47"/>
      <c r="EL68" s="47"/>
      <c r="EM68" s="47"/>
    </row>
    <row r="69" spans="1:143" x14ac:dyDescent="0.2">
      <c r="A69" s="559"/>
      <c r="B69" s="373">
        <v>67</v>
      </c>
      <c r="C69" s="378"/>
      <c r="D69" s="378"/>
      <c r="E69" s="378"/>
      <c r="F69" s="378"/>
      <c r="G69" s="378"/>
      <c r="H69" s="378"/>
      <c r="I69" s="378"/>
      <c r="J69" s="378"/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424"/>
      <c r="AD69" s="389"/>
      <c r="AE69" s="428"/>
      <c r="AF69" s="389"/>
      <c r="AG69" s="389"/>
      <c r="AH69" s="391" t="s">
        <v>9409</v>
      </c>
      <c r="AI69" s="428"/>
      <c r="AJ69" s="428"/>
      <c r="AK69" s="428"/>
      <c r="AL69" s="389"/>
      <c r="AM69" s="389"/>
      <c r="AN69" s="428"/>
      <c r="AO69" s="428"/>
      <c r="AP69" s="423"/>
      <c r="AQ69" s="345"/>
      <c r="AR69" s="345"/>
      <c r="AS69" s="345"/>
      <c r="AT69" s="345"/>
      <c r="AU69" s="345"/>
      <c r="AV69" s="345"/>
      <c r="AW69" s="345"/>
      <c r="AX69" s="345"/>
      <c r="AY69" s="345"/>
      <c r="AZ69" s="345"/>
      <c r="BA69" s="345"/>
      <c r="BB69" s="345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5"/>
      <c r="BS69" s="345"/>
      <c r="BT69" s="345"/>
      <c r="BU69" s="345"/>
      <c r="BV69" s="365"/>
      <c r="BW69" s="353"/>
      <c r="BX69" s="353"/>
      <c r="BY69" s="353"/>
      <c r="BZ69" s="353"/>
      <c r="CA69" s="353"/>
      <c r="CB69" s="353"/>
      <c r="CC69" s="353"/>
      <c r="CD69" s="353"/>
      <c r="CE69" s="353"/>
      <c r="CF69" s="353"/>
      <c r="CG69" s="353"/>
      <c r="CH69" s="353"/>
      <c r="CI69" s="353"/>
      <c r="CJ69" s="353"/>
      <c r="CK69" s="353"/>
      <c r="CL69" s="353"/>
      <c r="CM69" s="353"/>
      <c r="CN69" s="353"/>
      <c r="CO69" s="353"/>
      <c r="CP69" s="353"/>
      <c r="CQ69" s="353"/>
      <c r="CR69" s="353"/>
      <c r="CS69" s="353"/>
      <c r="CT69" s="353"/>
      <c r="CU69" s="353"/>
      <c r="CV69" s="353"/>
      <c r="CW69" s="353"/>
      <c r="CX69" s="353"/>
      <c r="CY69" s="353"/>
      <c r="CZ69" s="353"/>
      <c r="DA69" s="353"/>
      <c r="DB69" s="353"/>
      <c r="DC69" s="353"/>
      <c r="DD69" s="353"/>
      <c r="DE69" s="353"/>
      <c r="DF69" s="353"/>
      <c r="DG69" s="353"/>
      <c r="DH69" s="353"/>
      <c r="DI69" s="353"/>
      <c r="DJ69" s="353"/>
      <c r="DK69" s="353"/>
      <c r="DL69" s="353"/>
      <c r="DM69" s="353"/>
      <c r="DN69" s="353"/>
      <c r="DO69" s="353"/>
      <c r="DP69" s="353"/>
      <c r="DQ69" s="353"/>
      <c r="DR69" s="353"/>
      <c r="DS69" s="353"/>
      <c r="DT69" s="353"/>
      <c r="DU69" s="353"/>
      <c r="DV69" s="353"/>
      <c r="DW69" s="353"/>
      <c r="DX69" s="353"/>
      <c r="DY69" s="353"/>
      <c r="DZ69" s="353"/>
      <c r="EA69" s="353"/>
      <c r="EB69" s="353"/>
      <c r="EC69" s="353"/>
      <c r="ED69" s="374"/>
      <c r="EE69" s="329" t="str">
        <f t="shared" si="5"/>
        <v>x</v>
      </c>
      <c r="EF69" s="330"/>
      <c r="EG69" s="330" t="str">
        <f t="shared" si="6"/>
        <v/>
      </c>
      <c r="EH69" s="330" t="str">
        <f t="shared" si="7"/>
        <v>x</v>
      </c>
      <c r="EI69" s="330" t="str">
        <f t="shared" si="8"/>
        <v/>
      </c>
      <c r="EJ69" s="331" t="str">
        <f t="shared" si="9"/>
        <v/>
      </c>
      <c r="EK69" s="47"/>
      <c r="EL69" s="47"/>
      <c r="EM69" s="47"/>
    </row>
    <row r="70" spans="1:143" x14ac:dyDescent="0.2">
      <c r="A70" s="559"/>
      <c r="B70" s="373">
        <v>68</v>
      </c>
      <c r="C70" s="378"/>
      <c r="D70" s="378"/>
      <c r="E70" s="378"/>
      <c r="F70" s="378"/>
      <c r="G70" s="378"/>
      <c r="H70" s="378"/>
      <c r="I70" s="378"/>
      <c r="J70" s="378"/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424"/>
      <c r="AD70" s="389"/>
      <c r="AE70" s="428"/>
      <c r="AF70" s="389"/>
      <c r="AG70" s="389"/>
      <c r="AH70" s="389"/>
      <c r="AI70" s="391" t="s">
        <v>11893</v>
      </c>
      <c r="AJ70" s="428"/>
      <c r="AK70" s="428"/>
      <c r="AL70" s="389"/>
      <c r="AM70" s="389"/>
      <c r="AN70" s="428"/>
      <c r="AO70" s="428"/>
      <c r="AP70" s="423"/>
      <c r="AQ70" s="345"/>
      <c r="AR70" s="345"/>
      <c r="AS70" s="345"/>
      <c r="AT70" s="345"/>
      <c r="AU70" s="345"/>
      <c r="AV70" s="345"/>
      <c r="AW70" s="345"/>
      <c r="AX70" s="345"/>
      <c r="AY70" s="345"/>
      <c r="AZ70" s="345"/>
      <c r="BA70" s="345"/>
      <c r="BB70" s="345"/>
      <c r="BC70" s="345"/>
      <c r="BD70" s="345"/>
      <c r="BE70" s="345"/>
      <c r="BF70" s="345"/>
      <c r="BG70" s="345"/>
      <c r="BH70" s="345"/>
      <c r="BI70" s="345"/>
      <c r="BJ70" s="345"/>
      <c r="BK70" s="345"/>
      <c r="BL70" s="345"/>
      <c r="BM70" s="345"/>
      <c r="BN70" s="345"/>
      <c r="BO70" s="345"/>
      <c r="BP70" s="345"/>
      <c r="BQ70" s="345"/>
      <c r="BR70" s="345"/>
      <c r="BS70" s="345"/>
      <c r="BT70" s="345"/>
      <c r="BU70" s="345"/>
      <c r="BV70" s="365"/>
      <c r="BW70" s="353"/>
      <c r="BX70" s="353"/>
      <c r="BY70" s="353"/>
      <c r="BZ70" s="353"/>
      <c r="CA70" s="353"/>
      <c r="CB70" s="353"/>
      <c r="CC70" s="353"/>
      <c r="CD70" s="353"/>
      <c r="CE70" s="353"/>
      <c r="CF70" s="353"/>
      <c r="CG70" s="353"/>
      <c r="CH70" s="353"/>
      <c r="CI70" s="353"/>
      <c r="CJ70" s="353"/>
      <c r="CK70" s="353"/>
      <c r="CL70" s="353"/>
      <c r="CM70" s="353"/>
      <c r="CN70" s="353"/>
      <c r="CO70" s="353"/>
      <c r="CP70" s="353"/>
      <c r="CQ70" s="353"/>
      <c r="CR70" s="353"/>
      <c r="CS70" s="353"/>
      <c r="CT70" s="353"/>
      <c r="CU70" s="353"/>
      <c r="CV70" s="353"/>
      <c r="CW70" s="353"/>
      <c r="CX70" s="353"/>
      <c r="CY70" s="353"/>
      <c r="CZ70" s="353"/>
      <c r="DA70" s="353"/>
      <c r="DB70" s="353"/>
      <c r="DC70" s="353"/>
      <c r="DD70" s="353"/>
      <c r="DE70" s="353"/>
      <c r="DF70" s="353"/>
      <c r="DG70" s="353"/>
      <c r="DH70" s="353"/>
      <c r="DI70" s="353"/>
      <c r="DJ70" s="353"/>
      <c r="DK70" s="353"/>
      <c r="DL70" s="353"/>
      <c r="DM70" s="353"/>
      <c r="DN70" s="353"/>
      <c r="DO70" s="353"/>
      <c r="DP70" s="353"/>
      <c r="DQ70" s="353"/>
      <c r="DR70" s="353"/>
      <c r="DS70" s="353"/>
      <c r="DT70" s="353"/>
      <c r="DU70" s="353"/>
      <c r="DV70" s="353"/>
      <c r="DW70" s="353"/>
      <c r="DX70" s="353"/>
      <c r="DY70" s="353"/>
      <c r="DZ70" s="353"/>
      <c r="EA70" s="353"/>
      <c r="EB70" s="353"/>
      <c r="EC70" s="353"/>
      <c r="ED70" s="374" t="s">
        <v>9409</v>
      </c>
      <c r="EE70" s="329" t="str">
        <f t="shared" si="5"/>
        <v>x</v>
      </c>
      <c r="EF70" s="330"/>
      <c r="EG70" s="330" t="str">
        <f t="shared" si="6"/>
        <v/>
      </c>
      <c r="EH70" s="330" t="str">
        <f t="shared" si="7"/>
        <v/>
      </c>
      <c r="EI70" s="330" t="str">
        <f t="shared" si="8"/>
        <v/>
      </c>
      <c r="EJ70" s="331" t="str">
        <f t="shared" si="9"/>
        <v>x</v>
      </c>
      <c r="EK70" s="47"/>
      <c r="EL70" s="47"/>
      <c r="EM70" s="47"/>
    </row>
    <row r="71" spans="1:143" x14ac:dyDescent="0.2">
      <c r="A71" s="559"/>
      <c r="B71" s="373">
        <v>69</v>
      </c>
      <c r="C71" s="378"/>
      <c r="D71" s="378"/>
      <c r="E71" s="378"/>
      <c r="F71" s="378"/>
      <c r="G71" s="378"/>
      <c r="H71" s="378"/>
      <c r="I71" s="378"/>
      <c r="J71" s="378"/>
      <c r="K71" s="378"/>
      <c r="L71" s="378"/>
      <c r="M71" s="378"/>
      <c r="N71" s="378"/>
      <c r="O71" s="378"/>
      <c r="P71" s="378"/>
      <c r="Q71" s="378"/>
      <c r="R71" s="378"/>
      <c r="S71" s="378"/>
      <c r="T71" s="378"/>
      <c r="U71" s="378"/>
      <c r="V71" s="378"/>
      <c r="W71" s="378"/>
      <c r="X71" s="378"/>
      <c r="Y71" s="378"/>
      <c r="Z71" s="378"/>
      <c r="AA71" s="378"/>
      <c r="AB71" s="378"/>
      <c r="AC71" s="424"/>
      <c r="AD71" s="389"/>
      <c r="AE71" s="428"/>
      <c r="AF71" s="389"/>
      <c r="AG71" s="389"/>
      <c r="AH71" s="389"/>
      <c r="AI71" s="428"/>
      <c r="AJ71" s="428"/>
      <c r="AK71" s="428"/>
      <c r="AL71" s="389"/>
      <c r="AM71" s="389"/>
      <c r="AN71" s="428"/>
      <c r="AO71" s="428"/>
      <c r="AP71" s="423"/>
      <c r="AQ71" s="345"/>
      <c r="AR71" s="345"/>
      <c r="AS71" s="345"/>
      <c r="AT71" s="345"/>
      <c r="AU71" s="345"/>
      <c r="AV71" s="345"/>
      <c r="AW71" s="345"/>
      <c r="AX71" s="345"/>
      <c r="AY71" s="345"/>
      <c r="AZ71" s="345"/>
      <c r="BA71" s="345"/>
      <c r="BB71" s="345"/>
      <c r="BC71" s="345"/>
      <c r="BD71" s="345"/>
      <c r="BE71" s="345"/>
      <c r="BF71" s="345"/>
      <c r="BG71" s="345"/>
      <c r="BH71" s="345"/>
      <c r="BI71" s="345"/>
      <c r="BJ71" s="345"/>
      <c r="BK71" s="345"/>
      <c r="BL71" s="345"/>
      <c r="BM71" s="345"/>
      <c r="BN71" s="345"/>
      <c r="BO71" s="345"/>
      <c r="BP71" s="345"/>
      <c r="BQ71" s="345"/>
      <c r="BR71" s="345"/>
      <c r="BS71" s="345"/>
      <c r="BT71" s="345"/>
      <c r="BU71" s="345"/>
      <c r="BV71" s="365"/>
      <c r="BW71" s="353"/>
      <c r="BX71" s="353"/>
      <c r="BY71" s="353"/>
      <c r="BZ71" s="353"/>
      <c r="CA71" s="353"/>
      <c r="CB71" s="353"/>
      <c r="CC71" s="353"/>
      <c r="CD71" s="353"/>
      <c r="CE71" s="353"/>
      <c r="CF71" s="353"/>
      <c r="CG71" s="353"/>
      <c r="CH71" s="353"/>
      <c r="CI71" s="353"/>
      <c r="CJ71" s="353"/>
      <c r="CK71" s="353"/>
      <c r="CL71" s="353"/>
      <c r="CM71" s="353"/>
      <c r="CN71" s="353"/>
      <c r="CO71" s="353"/>
      <c r="CP71" s="353"/>
      <c r="CQ71" s="353"/>
      <c r="CR71" s="353"/>
      <c r="CS71" s="353"/>
      <c r="CT71" s="353"/>
      <c r="CU71" s="353"/>
      <c r="CV71" s="353"/>
      <c r="CW71" s="353"/>
      <c r="CX71" s="353"/>
      <c r="CY71" s="353"/>
      <c r="CZ71" s="353"/>
      <c r="DA71" s="353"/>
      <c r="DB71" s="353"/>
      <c r="DC71" s="353"/>
      <c r="DD71" s="353"/>
      <c r="DE71" s="353"/>
      <c r="DF71" s="353"/>
      <c r="DG71" s="353"/>
      <c r="DH71" s="353"/>
      <c r="DI71" s="353"/>
      <c r="DJ71" s="353" t="s">
        <v>9409</v>
      </c>
      <c r="DK71" s="353"/>
      <c r="DL71" s="353"/>
      <c r="DM71" s="353"/>
      <c r="DN71" s="353"/>
      <c r="DO71" s="353"/>
      <c r="DP71" s="353"/>
      <c r="DQ71" s="353"/>
      <c r="DR71" s="353"/>
      <c r="DS71" s="353"/>
      <c r="DT71" s="353"/>
      <c r="DU71" s="353"/>
      <c r="DV71" s="353"/>
      <c r="DW71" s="353"/>
      <c r="DX71" s="353"/>
      <c r="DY71" s="353"/>
      <c r="DZ71" s="353"/>
      <c r="EA71" s="353"/>
      <c r="EB71" s="353"/>
      <c r="EC71" s="353"/>
      <c r="ED71" s="374"/>
      <c r="EE71" s="329" t="str">
        <f t="shared" si="5"/>
        <v>x</v>
      </c>
      <c r="EF71" s="330"/>
      <c r="EG71" s="330" t="str">
        <f t="shared" si="6"/>
        <v/>
      </c>
      <c r="EH71" s="330" t="str">
        <f t="shared" si="7"/>
        <v/>
      </c>
      <c r="EI71" s="330" t="str">
        <f t="shared" si="8"/>
        <v/>
      </c>
      <c r="EJ71" s="331" t="str">
        <f t="shared" si="9"/>
        <v>x</v>
      </c>
      <c r="EK71" s="47"/>
      <c r="EL71" s="47"/>
      <c r="EM71" s="47"/>
    </row>
    <row r="72" spans="1:143" x14ac:dyDescent="0.2">
      <c r="A72" s="559"/>
      <c r="B72" s="305">
        <v>70</v>
      </c>
      <c r="C72" s="422"/>
      <c r="D72" s="422"/>
      <c r="E72" s="422"/>
      <c r="F72" s="422"/>
      <c r="G72" s="422"/>
      <c r="H72" s="422"/>
      <c r="I72" s="422"/>
      <c r="J72" s="422"/>
      <c r="K72" s="422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22"/>
      <c r="W72" s="422"/>
      <c r="X72" s="422"/>
      <c r="Y72" s="422"/>
      <c r="Z72" s="422"/>
      <c r="AA72" s="422"/>
      <c r="AB72" s="422"/>
      <c r="AC72" s="392" t="s">
        <v>11893</v>
      </c>
      <c r="AD72" s="345"/>
      <c r="AE72" s="345"/>
      <c r="AF72" s="428"/>
      <c r="AG72" s="428"/>
      <c r="AH72" s="428"/>
      <c r="AI72" s="428"/>
      <c r="AJ72" s="428"/>
      <c r="AK72" s="428"/>
      <c r="AL72" s="428"/>
      <c r="AM72" s="428"/>
      <c r="AN72" s="428"/>
      <c r="AO72" s="428"/>
      <c r="AP72" s="423"/>
      <c r="AQ72" s="345"/>
      <c r="AR72" s="345"/>
      <c r="AS72" s="345"/>
      <c r="AT72" s="345"/>
      <c r="AU72" s="345"/>
      <c r="AV72" s="345"/>
      <c r="AW72" s="345"/>
      <c r="AX72" s="345"/>
      <c r="AY72" s="345"/>
      <c r="AZ72" s="345"/>
      <c r="BA72" s="345"/>
      <c r="BB72" s="345"/>
      <c r="BC72" s="345"/>
      <c r="BD72" s="345"/>
      <c r="BE72" s="345"/>
      <c r="BF72" s="345"/>
      <c r="BG72" s="345"/>
      <c r="BH72" s="345"/>
      <c r="BI72" s="345"/>
      <c r="BJ72" s="345"/>
      <c r="BK72" s="345"/>
      <c r="BL72" s="345"/>
      <c r="BM72" s="345"/>
      <c r="BN72" s="345"/>
      <c r="BO72" s="345"/>
      <c r="BP72" s="345"/>
      <c r="BQ72" s="345"/>
      <c r="BR72" s="345"/>
      <c r="BS72" s="345"/>
      <c r="BT72" s="345"/>
      <c r="BU72" s="345"/>
      <c r="BV72" s="361"/>
      <c r="BW72" s="345"/>
      <c r="BX72" s="345"/>
      <c r="BY72" s="345"/>
      <c r="BZ72" s="345"/>
      <c r="CA72" s="345"/>
      <c r="CB72" s="345"/>
      <c r="CC72" s="345"/>
      <c r="CD72" s="345"/>
      <c r="CE72" s="345"/>
      <c r="CF72" s="345"/>
      <c r="CG72" s="345"/>
      <c r="CH72" s="345"/>
      <c r="CI72" s="345"/>
      <c r="CJ72" s="345"/>
      <c r="CK72" s="345"/>
      <c r="CL72" s="345"/>
      <c r="CM72" s="345"/>
      <c r="CN72" s="345"/>
      <c r="CO72" s="345"/>
      <c r="CP72" s="345"/>
      <c r="CQ72" s="345"/>
      <c r="CR72" s="345"/>
      <c r="CS72" s="345"/>
      <c r="CT72" s="345"/>
      <c r="CU72" s="345"/>
      <c r="CV72" s="345"/>
      <c r="CW72" s="345"/>
      <c r="CX72" s="345"/>
      <c r="CY72" s="345"/>
      <c r="CZ72" s="345"/>
      <c r="DA72" s="345"/>
      <c r="DB72" s="345"/>
      <c r="DC72" s="345"/>
      <c r="DD72" s="345"/>
      <c r="DE72" s="345"/>
      <c r="DF72" s="345"/>
      <c r="DG72" s="345"/>
      <c r="DH72" s="345"/>
      <c r="DI72" s="345"/>
      <c r="DJ72" s="345"/>
      <c r="DK72" s="345"/>
      <c r="DL72" s="345"/>
      <c r="DM72" s="345"/>
      <c r="DN72" s="345"/>
      <c r="DO72" s="345"/>
      <c r="DP72" s="345"/>
      <c r="DQ72" s="345"/>
      <c r="DR72" s="345"/>
      <c r="DS72" s="345"/>
      <c r="DT72" s="345"/>
      <c r="DU72" s="345"/>
      <c r="DV72" s="345"/>
      <c r="DW72" s="345"/>
      <c r="DX72" s="345"/>
      <c r="DY72" s="345"/>
      <c r="DZ72" s="345"/>
      <c r="EA72" s="345"/>
      <c r="EB72" s="345"/>
      <c r="EC72" s="345"/>
      <c r="ED72" s="346"/>
      <c r="EE72" s="415" t="str">
        <f t="shared" si="5"/>
        <v/>
      </c>
      <c r="EF72" s="416" t="s">
        <v>9409</v>
      </c>
      <c r="EG72" s="416" t="str">
        <f t="shared" si="6"/>
        <v/>
      </c>
      <c r="EH72" s="416" t="str">
        <f>IF(COUNTIF(AC72:AP72, "x"), "x", "")</f>
        <v/>
      </c>
      <c r="EI72" s="416" t="str">
        <f t="shared" si="8"/>
        <v/>
      </c>
      <c r="EJ72" s="417" t="str">
        <f t="shared" si="9"/>
        <v/>
      </c>
      <c r="EK72" s="47"/>
      <c r="EL72" s="47"/>
      <c r="EM72" s="47"/>
    </row>
    <row r="73" spans="1:143" x14ac:dyDescent="0.2">
      <c r="A73" s="560"/>
      <c r="B73" s="373">
        <v>71</v>
      </c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92" t="s">
        <v>11893</v>
      </c>
      <c r="AD73" s="353"/>
      <c r="AE73" s="345"/>
      <c r="AF73" s="389"/>
      <c r="AG73" s="353"/>
      <c r="AH73" s="389"/>
      <c r="AI73" s="428"/>
      <c r="AJ73" s="428"/>
      <c r="AK73" s="428"/>
      <c r="AL73" s="389"/>
      <c r="AM73" s="389"/>
      <c r="AN73" s="428"/>
      <c r="AO73" s="428"/>
      <c r="AP73" s="423"/>
      <c r="AQ73" s="345"/>
      <c r="AR73" s="345"/>
      <c r="AS73" s="345"/>
      <c r="AT73" s="345"/>
      <c r="AU73" s="345"/>
      <c r="AV73" s="345"/>
      <c r="AW73" s="345"/>
      <c r="AX73" s="345"/>
      <c r="AY73" s="345"/>
      <c r="AZ73" s="345"/>
      <c r="BA73" s="345"/>
      <c r="BB73" s="345"/>
      <c r="BC73" s="345"/>
      <c r="BD73" s="345"/>
      <c r="BE73" s="345"/>
      <c r="BF73" s="345"/>
      <c r="BG73" s="345"/>
      <c r="BH73" s="345"/>
      <c r="BI73" s="345"/>
      <c r="BJ73" s="345"/>
      <c r="BK73" s="345"/>
      <c r="BL73" s="345"/>
      <c r="BM73" s="345"/>
      <c r="BN73" s="345"/>
      <c r="BO73" s="345"/>
      <c r="BP73" s="345"/>
      <c r="BQ73" s="345"/>
      <c r="BR73" s="345"/>
      <c r="BS73" s="345"/>
      <c r="BT73" s="345"/>
      <c r="BU73" s="345"/>
      <c r="BV73" s="377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  <c r="CG73" s="376"/>
      <c r="CH73" s="376"/>
      <c r="CI73" s="376"/>
      <c r="CJ73" s="376"/>
      <c r="CK73" s="376"/>
      <c r="CL73" s="376"/>
      <c r="CM73" s="376"/>
      <c r="CN73" s="376"/>
      <c r="CO73" s="376"/>
      <c r="CP73" s="376"/>
      <c r="CQ73" s="376"/>
      <c r="CR73" s="376"/>
      <c r="CS73" s="376"/>
      <c r="CT73" s="376"/>
      <c r="CU73" s="376"/>
      <c r="CV73" s="376"/>
      <c r="CW73" s="376"/>
      <c r="CX73" s="376"/>
      <c r="CY73" s="376"/>
      <c r="CZ73" s="376"/>
      <c r="DA73" s="376"/>
      <c r="DB73" s="376"/>
      <c r="DC73" s="376"/>
      <c r="DD73" s="376"/>
      <c r="DE73" s="376"/>
      <c r="DF73" s="376"/>
      <c r="DG73" s="376"/>
      <c r="DH73" s="376"/>
      <c r="DI73" s="376"/>
      <c r="DJ73" s="376"/>
      <c r="DK73" s="376"/>
      <c r="DL73" s="376"/>
      <c r="DM73" s="376"/>
      <c r="DN73" s="376"/>
      <c r="DO73" s="376"/>
      <c r="DP73" s="376"/>
      <c r="DQ73" s="376"/>
      <c r="DR73" s="376"/>
      <c r="DS73" s="376"/>
      <c r="DT73" s="376"/>
      <c r="DU73" s="376"/>
      <c r="DV73" s="376"/>
      <c r="DW73" s="376"/>
      <c r="DX73" s="376"/>
      <c r="DY73" s="376"/>
      <c r="DZ73" s="376"/>
      <c r="EA73" s="376"/>
      <c r="EB73" s="376"/>
      <c r="EC73" s="376"/>
      <c r="ED73" s="375"/>
      <c r="EE73" s="329" t="str">
        <f t="shared" si="5"/>
        <v/>
      </c>
      <c r="EF73" s="330"/>
      <c r="EG73" s="330" t="str">
        <f t="shared" si="6"/>
        <v/>
      </c>
      <c r="EH73" s="330" t="str">
        <f t="shared" ref="EH73:EH82" si="10">IF(COUNTIF(AC73:AP73, "x"), "x", "")</f>
        <v/>
      </c>
      <c r="EI73" s="330" t="str">
        <f t="shared" si="8"/>
        <v/>
      </c>
      <c r="EJ73" s="331" t="str">
        <f t="shared" si="9"/>
        <v/>
      </c>
      <c r="EK73" s="47"/>
      <c r="EL73" s="47"/>
    </row>
    <row r="74" spans="1:143" x14ac:dyDescent="0.2">
      <c r="A74" s="558" t="s">
        <v>11787</v>
      </c>
      <c r="B74" s="387">
        <v>72</v>
      </c>
      <c r="C74" s="379"/>
      <c r="D74" s="382"/>
      <c r="E74" s="382"/>
      <c r="F74" s="382"/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Z74" s="382"/>
      <c r="AA74" s="382"/>
      <c r="AB74" s="382"/>
      <c r="AC74" s="426"/>
      <c r="AD74" s="382"/>
      <c r="AE74" s="425"/>
      <c r="AF74" s="382"/>
      <c r="AG74" s="382"/>
      <c r="AH74" s="382"/>
      <c r="AI74" s="390" t="s">
        <v>11893</v>
      </c>
      <c r="AJ74" s="425"/>
      <c r="AK74" s="425"/>
      <c r="AL74" s="382"/>
      <c r="AM74" s="382"/>
      <c r="AN74" s="425"/>
      <c r="AO74" s="425"/>
      <c r="AP74" s="425"/>
      <c r="AQ74" s="379"/>
      <c r="AR74" s="382"/>
      <c r="AS74" s="382"/>
      <c r="AT74" s="382"/>
      <c r="AU74" s="382"/>
      <c r="AV74" s="382"/>
      <c r="AW74" s="382"/>
      <c r="AX74" s="425"/>
      <c r="AY74" s="382"/>
      <c r="AZ74" s="382"/>
      <c r="BA74" s="382"/>
      <c r="BB74" s="382"/>
      <c r="BC74" s="382"/>
      <c r="BD74" s="382"/>
      <c r="BE74" s="382"/>
      <c r="BF74" s="425"/>
      <c r="BG74" s="382"/>
      <c r="BH74" s="382"/>
      <c r="BI74" s="382"/>
      <c r="BJ74" s="382"/>
      <c r="BK74" s="382"/>
      <c r="BL74" s="382"/>
      <c r="BM74" s="382"/>
      <c r="BN74" s="425"/>
      <c r="BO74" s="382"/>
      <c r="BP74" s="382"/>
      <c r="BQ74" s="382"/>
      <c r="BR74" s="382"/>
      <c r="BS74" s="382"/>
      <c r="BT74" s="425"/>
      <c r="BU74" s="384"/>
      <c r="BV74" s="345"/>
      <c r="BW74" s="345"/>
      <c r="BX74" s="345"/>
      <c r="BY74" s="345"/>
      <c r="BZ74" s="345"/>
      <c r="CA74" s="345"/>
      <c r="CB74" s="345"/>
      <c r="CC74" s="345"/>
      <c r="CD74" s="345"/>
      <c r="CE74" s="345"/>
      <c r="CF74" s="345"/>
      <c r="CG74" s="345"/>
      <c r="CH74" s="345"/>
      <c r="CI74" s="345"/>
      <c r="CJ74" s="345"/>
      <c r="CK74" s="345"/>
      <c r="CL74" s="345"/>
      <c r="CM74" s="345"/>
      <c r="CN74" s="345"/>
      <c r="CO74" s="345"/>
      <c r="CP74" s="345"/>
      <c r="CQ74" s="345"/>
      <c r="CR74" s="345"/>
      <c r="CS74" s="345"/>
      <c r="CT74" s="345"/>
      <c r="CU74" s="345"/>
      <c r="CV74" s="345"/>
      <c r="CW74" s="345"/>
      <c r="CX74" s="345"/>
      <c r="CY74" s="345"/>
      <c r="CZ74" s="345"/>
      <c r="DA74" s="345"/>
      <c r="DB74" s="345"/>
      <c r="DC74" s="345"/>
      <c r="DD74" s="345"/>
      <c r="DE74" s="345"/>
      <c r="DF74" s="345"/>
      <c r="DG74" s="345"/>
      <c r="DH74" s="345"/>
      <c r="DI74" s="345"/>
      <c r="DJ74" s="345"/>
      <c r="DK74" s="345"/>
      <c r="DL74" s="345"/>
      <c r="DM74" s="345"/>
      <c r="DN74" s="345"/>
      <c r="DO74" s="345"/>
      <c r="DP74" s="345"/>
      <c r="DQ74" s="345"/>
      <c r="DR74" s="345"/>
      <c r="DS74" s="345"/>
      <c r="DT74" s="345"/>
      <c r="DU74" s="345"/>
      <c r="DV74" s="345"/>
      <c r="DW74" s="345"/>
      <c r="DX74" s="345"/>
      <c r="DY74" s="345"/>
      <c r="DZ74" s="345"/>
      <c r="EA74" s="345"/>
      <c r="EB74" s="345"/>
      <c r="EC74" s="345"/>
      <c r="ED74" s="346"/>
      <c r="EE74" s="334" t="str">
        <f t="shared" si="5"/>
        <v/>
      </c>
      <c r="EF74" s="335"/>
      <c r="EG74" s="335" t="str">
        <f t="shared" si="6"/>
        <v/>
      </c>
      <c r="EH74" s="335" t="str">
        <f t="shared" si="10"/>
        <v/>
      </c>
      <c r="EI74" s="335" t="str">
        <f t="shared" si="8"/>
        <v/>
      </c>
      <c r="EJ74" s="336" t="str">
        <f t="shared" si="9"/>
        <v/>
      </c>
      <c r="EK74" s="47"/>
    </row>
    <row r="75" spans="1:143" x14ac:dyDescent="0.2">
      <c r="A75" s="559"/>
      <c r="B75" s="311">
        <v>73</v>
      </c>
      <c r="C75" s="380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 t="s">
        <v>9409</v>
      </c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424"/>
      <c r="AD75" s="389"/>
      <c r="AE75" s="428"/>
      <c r="AF75" s="389"/>
      <c r="AG75" s="389"/>
      <c r="AH75" s="389"/>
      <c r="AI75" s="345"/>
      <c r="AJ75" s="428"/>
      <c r="AK75" s="428"/>
      <c r="AL75" s="389"/>
      <c r="AM75" s="389"/>
      <c r="AN75" s="428"/>
      <c r="AO75" s="428"/>
      <c r="AP75" s="428"/>
      <c r="AQ75" s="380"/>
      <c r="AR75" s="353"/>
      <c r="AS75" s="353"/>
      <c r="AT75" s="353"/>
      <c r="AU75" s="353"/>
      <c r="AV75" s="353"/>
      <c r="AW75" s="353"/>
      <c r="AX75" s="345"/>
      <c r="AY75" s="353"/>
      <c r="AZ75" s="353"/>
      <c r="BA75" s="353"/>
      <c r="BB75" s="353"/>
      <c r="BC75" s="353"/>
      <c r="BD75" s="353"/>
      <c r="BE75" s="353"/>
      <c r="BF75" s="345"/>
      <c r="BG75" s="353" t="s">
        <v>9409</v>
      </c>
      <c r="BH75" s="353"/>
      <c r="BI75" s="353"/>
      <c r="BJ75" s="353"/>
      <c r="BK75" s="353"/>
      <c r="BL75" s="353"/>
      <c r="BM75" s="353"/>
      <c r="BN75" s="345"/>
      <c r="BO75" s="353"/>
      <c r="BP75" s="353"/>
      <c r="BQ75" s="353"/>
      <c r="BR75" s="353"/>
      <c r="BS75" s="353"/>
      <c r="BT75" s="345"/>
      <c r="BU75" s="385"/>
      <c r="BV75" s="345"/>
      <c r="BW75" s="345"/>
      <c r="BX75" s="345"/>
      <c r="BY75" s="345"/>
      <c r="BZ75" s="345"/>
      <c r="CA75" s="345"/>
      <c r="CB75" s="345"/>
      <c r="CC75" s="345"/>
      <c r="CD75" s="345"/>
      <c r="CE75" s="345"/>
      <c r="CF75" s="345"/>
      <c r="CG75" s="345"/>
      <c r="CH75" s="345"/>
      <c r="CI75" s="345"/>
      <c r="CJ75" s="345"/>
      <c r="CK75" s="345"/>
      <c r="CL75" s="345"/>
      <c r="CM75" s="345"/>
      <c r="CN75" s="345"/>
      <c r="CO75" s="345"/>
      <c r="CP75" s="345"/>
      <c r="CQ75" s="345"/>
      <c r="CR75" s="345"/>
      <c r="CS75" s="345"/>
      <c r="CT75" s="345"/>
      <c r="CU75" s="345"/>
      <c r="CV75" s="345"/>
      <c r="CW75" s="345"/>
      <c r="CX75" s="345"/>
      <c r="CY75" s="345"/>
      <c r="CZ75" s="345"/>
      <c r="DA75" s="345"/>
      <c r="DB75" s="345"/>
      <c r="DC75" s="345"/>
      <c r="DD75" s="345"/>
      <c r="DE75" s="345"/>
      <c r="DF75" s="345"/>
      <c r="DG75" s="345"/>
      <c r="DH75" s="345"/>
      <c r="DI75" s="345"/>
      <c r="DJ75" s="345"/>
      <c r="DK75" s="345"/>
      <c r="DL75" s="345"/>
      <c r="DM75" s="345"/>
      <c r="DN75" s="345"/>
      <c r="DO75" s="345"/>
      <c r="DP75" s="345"/>
      <c r="DQ75" s="345"/>
      <c r="DR75" s="345"/>
      <c r="DS75" s="345"/>
      <c r="DT75" s="345"/>
      <c r="DU75" s="345"/>
      <c r="DV75" s="345"/>
      <c r="DW75" s="345"/>
      <c r="DX75" s="345"/>
      <c r="DY75" s="345"/>
      <c r="DZ75" s="345"/>
      <c r="EA75" s="345"/>
      <c r="EB75" s="345"/>
      <c r="EC75" s="345"/>
      <c r="ED75" s="346"/>
      <c r="EE75" s="329" t="str">
        <f>IF(COUNTIF(C75:ED75, "x"), "x", "")</f>
        <v>x</v>
      </c>
      <c r="EF75" s="330"/>
      <c r="EG75" s="330" t="str">
        <f t="shared" si="6"/>
        <v>x</v>
      </c>
      <c r="EH75" s="330" t="str">
        <f t="shared" si="10"/>
        <v/>
      </c>
      <c r="EI75" s="330" t="str">
        <f t="shared" si="8"/>
        <v>x</v>
      </c>
      <c r="EJ75" s="331" t="str">
        <f>IF(COUNTIF(BV75:ED75, "x"), "x", "")</f>
        <v/>
      </c>
      <c r="EK75" s="47"/>
    </row>
    <row r="76" spans="1:143" x14ac:dyDescent="0.2">
      <c r="A76" s="559"/>
      <c r="B76" s="311">
        <v>74</v>
      </c>
      <c r="C76" s="380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424"/>
      <c r="AD76" s="389"/>
      <c r="AE76" s="428"/>
      <c r="AF76" s="389"/>
      <c r="AG76" s="389"/>
      <c r="AH76" s="389"/>
      <c r="AI76" s="391" t="s">
        <v>11893</v>
      </c>
      <c r="AJ76" s="428"/>
      <c r="AK76" s="428"/>
      <c r="AL76" s="389"/>
      <c r="AM76" s="389"/>
      <c r="AN76" s="428"/>
      <c r="AO76" s="428"/>
      <c r="AP76" s="428"/>
      <c r="AQ76" s="380"/>
      <c r="AR76" s="353"/>
      <c r="AS76" s="353"/>
      <c r="AT76" s="353"/>
      <c r="AU76" s="353"/>
      <c r="AV76" s="353"/>
      <c r="AW76" s="353"/>
      <c r="AX76" s="345"/>
      <c r="AY76" s="353"/>
      <c r="AZ76" s="353"/>
      <c r="BA76" s="353"/>
      <c r="BB76" s="353"/>
      <c r="BC76" s="353"/>
      <c r="BD76" s="353"/>
      <c r="BE76" s="353"/>
      <c r="BF76" s="345"/>
      <c r="BG76" s="353"/>
      <c r="BH76" s="353"/>
      <c r="BI76" s="353"/>
      <c r="BJ76" s="353"/>
      <c r="BK76" s="353"/>
      <c r="BL76" s="353"/>
      <c r="BM76" s="353"/>
      <c r="BN76" s="345"/>
      <c r="BO76" s="353"/>
      <c r="BP76" s="353"/>
      <c r="BQ76" s="353"/>
      <c r="BR76" s="353"/>
      <c r="BS76" s="353"/>
      <c r="BT76" s="345"/>
      <c r="BU76" s="385"/>
      <c r="BV76" s="345"/>
      <c r="BW76" s="345"/>
      <c r="BX76" s="345"/>
      <c r="BY76" s="345"/>
      <c r="BZ76" s="345"/>
      <c r="CA76" s="345"/>
      <c r="CB76" s="345"/>
      <c r="CC76" s="345"/>
      <c r="CD76" s="345"/>
      <c r="CE76" s="345"/>
      <c r="CF76" s="345"/>
      <c r="CG76" s="345"/>
      <c r="CH76" s="345"/>
      <c r="CI76" s="345"/>
      <c r="CJ76" s="345"/>
      <c r="CK76" s="345"/>
      <c r="CL76" s="345"/>
      <c r="CM76" s="345"/>
      <c r="CN76" s="345"/>
      <c r="CO76" s="345"/>
      <c r="CP76" s="345"/>
      <c r="CQ76" s="345"/>
      <c r="CR76" s="345"/>
      <c r="CS76" s="345"/>
      <c r="CT76" s="345"/>
      <c r="CU76" s="345"/>
      <c r="CV76" s="345"/>
      <c r="CW76" s="345"/>
      <c r="CX76" s="345"/>
      <c r="CY76" s="345"/>
      <c r="CZ76" s="345"/>
      <c r="DA76" s="345"/>
      <c r="DB76" s="345"/>
      <c r="DC76" s="345"/>
      <c r="DD76" s="345"/>
      <c r="DE76" s="345"/>
      <c r="DF76" s="345"/>
      <c r="DG76" s="345"/>
      <c r="DH76" s="345"/>
      <c r="DI76" s="345"/>
      <c r="DJ76" s="345"/>
      <c r="DK76" s="345"/>
      <c r="DL76" s="345"/>
      <c r="DM76" s="345"/>
      <c r="DN76" s="345"/>
      <c r="DO76" s="345"/>
      <c r="DP76" s="345"/>
      <c r="DQ76" s="345"/>
      <c r="DR76" s="345"/>
      <c r="DS76" s="345"/>
      <c r="DT76" s="345"/>
      <c r="DU76" s="345"/>
      <c r="DV76" s="345"/>
      <c r="DW76" s="345"/>
      <c r="DX76" s="345"/>
      <c r="DY76" s="345"/>
      <c r="DZ76" s="345"/>
      <c r="EA76" s="345"/>
      <c r="EB76" s="345"/>
      <c r="EC76" s="345"/>
      <c r="ED76" s="346"/>
      <c r="EE76" s="329" t="str">
        <f t="shared" ref="EE76:EE91" si="11">IF(COUNTIF(C76:ED76, "x"), "x", "")</f>
        <v/>
      </c>
      <c r="EF76" s="330"/>
      <c r="EG76" s="330" t="str">
        <f t="shared" si="6"/>
        <v/>
      </c>
      <c r="EH76" s="330" t="str">
        <f t="shared" si="10"/>
        <v/>
      </c>
      <c r="EI76" s="330" t="str">
        <f t="shared" si="8"/>
        <v/>
      </c>
      <c r="EJ76" s="331" t="str">
        <f t="shared" ref="EJ76:EJ90" si="12">IF(COUNTIF(BV76:ED76, "x"), "x", "")</f>
        <v/>
      </c>
      <c r="EK76" s="47"/>
    </row>
    <row r="77" spans="1:143" x14ac:dyDescent="0.2">
      <c r="A77" s="559"/>
      <c r="B77" s="311">
        <v>75</v>
      </c>
      <c r="C77" s="380"/>
      <c r="D77" s="389"/>
      <c r="E77" s="389"/>
      <c r="F77" s="389"/>
      <c r="G77" s="389"/>
      <c r="H77" s="389"/>
      <c r="I77" s="389"/>
      <c r="J77" s="389"/>
      <c r="K77" s="389"/>
      <c r="L77" s="389"/>
      <c r="M77" s="389"/>
      <c r="N77" s="389"/>
      <c r="O77" s="389"/>
      <c r="P77" s="389"/>
      <c r="Q77" s="389"/>
      <c r="R77" s="389"/>
      <c r="S77" s="389"/>
      <c r="T77" s="389"/>
      <c r="U77" s="389"/>
      <c r="V77" s="389"/>
      <c r="W77" s="389"/>
      <c r="X77" s="389"/>
      <c r="Y77" s="389"/>
      <c r="Z77" s="389"/>
      <c r="AA77" s="389"/>
      <c r="AB77" s="389"/>
      <c r="AC77" s="424"/>
      <c r="AD77" s="389"/>
      <c r="AE77" s="428"/>
      <c r="AF77" s="389"/>
      <c r="AG77" s="389"/>
      <c r="AH77" s="389"/>
      <c r="AI77" s="391" t="s">
        <v>11893</v>
      </c>
      <c r="AJ77" s="428"/>
      <c r="AK77" s="428"/>
      <c r="AL77" s="389"/>
      <c r="AM77" s="389"/>
      <c r="AN77" s="428"/>
      <c r="AO77" s="428"/>
      <c r="AP77" s="428"/>
      <c r="AQ77" s="380"/>
      <c r="AR77" s="353"/>
      <c r="AS77" s="353"/>
      <c r="AT77" s="353"/>
      <c r="AU77" s="353"/>
      <c r="AV77" s="353"/>
      <c r="AW77" s="353"/>
      <c r="AX77" s="345"/>
      <c r="AY77" s="353"/>
      <c r="AZ77" s="353"/>
      <c r="BA77" s="353"/>
      <c r="BB77" s="353"/>
      <c r="BC77" s="353"/>
      <c r="BD77" s="353"/>
      <c r="BE77" s="353"/>
      <c r="BF77" s="345"/>
      <c r="BG77" s="353"/>
      <c r="BH77" s="353"/>
      <c r="BI77" s="353"/>
      <c r="BJ77" s="353"/>
      <c r="BK77" s="353"/>
      <c r="BL77" s="353"/>
      <c r="BM77" s="353"/>
      <c r="BN77" s="345"/>
      <c r="BO77" s="353"/>
      <c r="BP77" s="353"/>
      <c r="BQ77" s="353"/>
      <c r="BR77" s="353"/>
      <c r="BS77" s="353"/>
      <c r="BT77" s="345"/>
      <c r="BU77" s="385"/>
      <c r="BV77" s="345"/>
      <c r="BW77" s="345"/>
      <c r="BX77" s="345"/>
      <c r="BY77" s="345"/>
      <c r="BZ77" s="345"/>
      <c r="CA77" s="345"/>
      <c r="CB77" s="345"/>
      <c r="CC77" s="345"/>
      <c r="CD77" s="345"/>
      <c r="CE77" s="345"/>
      <c r="CF77" s="345"/>
      <c r="CG77" s="345"/>
      <c r="CH77" s="345"/>
      <c r="CI77" s="345"/>
      <c r="CJ77" s="345"/>
      <c r="CK77" s="345"/>
      <c r="CL77" s="345"/>
      <c r="CM77" s="345"/>
      <c r="CN77" s="345"/>
      <c r="CO77" s="345"/>
      <c r="CP77" s="345"/>
      <c r="CQ77" s="345"/>
      <c r="CR77" s="345"/>
      <c r="CS77" s="345"/>
      <c r="CT77" s="345"/>
      <c r="CU77" s="345"/>
      <c r="CV77" s="345"/>
      <c r="CW77" s="345"/>
      <c r="CX77" s="345"/>
      <c r="CY77" s="345"/>
      <c r="CZ77" s="345"/>
      <c r="DA77" s="345"/>
      <c r="DB77" s="345"/>
      <c r="DC77" s="345"/>
      <c r="DD77" s="345"/>
      <c r="DE77" s="345"/>
      <c r="DF77" s="345"/>
      <c r="DG77" s="345"/>
      <c r="DH77" s="345"/>
      <c r="DI77" s="345"/>
      <c r="DJ77" s="345"/>
      <c r="DK77" s="345"/>
      <c r="DL77" s="345"/>
      <c r="DM77" s="345"/>
      <c r="DN77" s="345"/>
      <c r="DO77" s="345"/>
      <c r="DP77" s="345"/>
      <c r="DQ77" s="345"/>
      <c r="DR77" s="345"/>
      <c r="DS77" s="345"/>
      <c r="DT77" s="345"/>
      <c r="DU77" s="345"/>
      <c r="DV77" s="345"/>
      <c r="DW77" s="345"/>
      <c r="DX77" s="345"/>
      <c r="DY77" s="345"/>
      <c r="DZ77" s="345"/>
      <c r="EA77" s="345"/>
      <c r="EB77" s="345"/>
      <c r="EC77" s="345"/>
      <c r="ED77" s="346"/>
      <c r="EE77" s="329" t="str">
        <f t="shared" si="11"/>
        <v/>
      </c>
      <c r="EF77" s="330"/>
      <c r="EG77" s="330" t="str">
        <f t="shared" si="6"/>
        <v/>
      </c>
      <c r="EH77" s="330" t="str">
        <f t="shared" si="10"/>
        <v/>
      </c>
      <c r="EI77" s="330" t="str">
        <f t="shared" si="8"/>
        <v/>
      </c>
      <c r="EJ77" s="331" t="str">
        <f t="shared" si="12"/>
        <v/>
      </c>
      <c r="EK77" s="47"/>
    </row>
    <row r="78" spans="1:143" x14ac:dyDescent="0.2">
      <c r="A78" s="559"/>
      <c r="B78" s="311">
        <v>76</v>
      </c>
      <c r="C78" s="380"/>
      <c r="D78" s="389"/>
      <c r="E78" s="389"/>
      <c r="F78" s="389"/>
      <c r="G78" s="389"/>
      <c r="H78" s="389"/>
      <c r="I78" s="389"/>
      <c r="J78" s="389"/>
      <c r="K78" s="389"/>
      <c r="L78" s="389"/>
      <c r="M78" s="389"/>
      <c r="N78" s="389"/>
      <c r="O78" s="389"/>
      <c r="P78" s="389"/>
      <c r="Q78" s="389" t="s">
        <v>9409</v>
      </c>
      <c r="R78" s="389"/>
      <c r="S78" s="389"/>
      <c r="T78" s="389"/>
      <c r="U78" s="389"/>
      <c r="V78" s="389"/>
      <c r="W78" s="389"/>
      <c r="X78" s="389"/>
      <c r="Y78" s="389"/>
      <c r="Z78" s="389"/>
      <c r="AA78" s="389"/>
      <c r="AB78" s="389"/>
      <c r="AC78" s="424"/>
      <c r="AD78" s="389"/>
      <c r="AE78" s="428"/>
      <c r="AF78" s="389"/>
      <c r="AG78" s="389"/>
      <c r="AH78" s="389"/>
      <c r="AI78" s="428"/>
      <c r="AJ78" s="428"/>
      <c r="AK78" s="428"/>
      <c r="AL78" s="389"/>
      <c r="AM78" s="389"/>
      <c r="AN78" s="428"/>
      <c r="AO78" s="428"/>
      <c r="AP78" s="428"/>
      <c r="AQ78" s="380"/>
      <c r="AR78" s="353"/>
      <c r="AS78" s="353"/>
      <c r="AT78" s="353"/>
      <c r="AU78" s="353"/>
      <c r="AV78" s="353"/>
      <c r="AW78" s="353"/>
      <c r="AX78" s="345"/>
      <c r="AY78" s="353"/>
      <c r="AZ78" s="353"/>
      <c r="BA78" s="353"/>
      <c r="BB78" s="353"/>
      <c r="BC78" s="353"/>
      <c r="BD78" s="353"/>
      <c r="BE78" s="353" t="s">
        <v>9409</v>
      </c>
      <c r="BF78" s="345"/>
      <c r="BG78" s="353"/>
      <c r="BH78" s="353"/>
      <c r="BI78" s="353"/>
      <c r="BJ78" s="353"/>
      <c r="BK78" s="353"/>
      <c r="BL78" s="353"/>
      <c r="BM78" s="353"/>
      <c r="BN78" s="345"/>
      <c r="BO78" s="353"/>
      <c r="BP78" s="353"/>
      <c r="BQ78" s="353"/>
      <c r="BR78" s="353"/>
      <c r="BS78" s="353"/>
      <c r="BT78" s="345"/>
      <c r="BU78" s="385"/>
      <c r="BV78" s="345"/>
      <c r="BW78" s="345"/>
      <c r="BX78" s="345"/>
      <c r="BY78" s="345"/>
      <c r="BZ78" s="345"/>
      <c r="CA78" s="345"/>
      <c r="CB78" s="345"/>
      <c r="CC78" s="345"/>
      <c r="CD78" s="345"/>
      <c r="CE78" s="345"/>
      <c r="CF78" s="345"/>
      <c r="CG78" s="345"/>
      <c r="CH78" s="345"/>
      <c r="CI78" s="345"/>
      <c r="CJ78" s="345"/>
      <c r="CK78" s="345"/>
      <c r="CL78" s="345"/>
      <c r="CM78" s="345"/>
      <c r="CN78" s="345"/>
      <c r="CO78" s="345"/>
      <c r="CP78" s="345"/>
      <c r="CQ78" s="345"/>
      <c r="CR78" s="345"/>
      <c r="CS78" s="345"/>
      <c r="CT78" s="345"/>
      <c r="CU78" s="345"/>
      <c r="CV78" s="345"/>
      <c r="CW78" s="345"/>
      <c r="CX78" s="345"/>
      <c r="CY78" s="345"/>
      <c r="CZ78" s="345"/>
      <c r="DA78" s="345"/>
      <c r="DB78" s="345"/>
      <c r="DC78" s="345"/>
      <c r="DD78" s="345"/>
      <c r="DE78" s="345"/>
      <c r="DF78" s="345"/>
      <c r="DG78" s="345"/>
      <c r="DH78" s="345"/>
      <c r="DI78" s="345"/>
      <c r="DJ78" s="345"/>
      <c r="DK78" s="345"/>
      <c r="DL78" s="345"/>
      <c r="DM78" s="345"/>
      <c r="DN78" s="345"/>
      <c r="DO78" s="345"/>
      <c r="DP78" s="345"/>
      <c r="DQ78" s="345"/>
      <c r="DR78" s="345"/>
      <c r="DS78" s="345"/>
      <c r="DT78" s="345"/>
      <c r="DU78" s="345"/>
      <c r="DV78" s="345"/>
      <c r="DW78" s="345"/>
      <c r="DX78" s="345"/>
      <c r="DY78" s="345"/>
      <c r="DZ78" s="345"/>
      <c r="EA78" s="345"/>
      <c r="EB78" s="345"/>
      <c r="EC78" s="345"/>
      <c r="ED78" s="346"/>
      <c r="EE78" s="329" t="str">
        <f t="shared" si="11"/>
        <v>x</v>
      </c>
      <c r="EF78" s="330"/>
      <c r="EG78" s="330" t="str">
        <f>IF(COUNTIF(C78:AB78, "x"), "x", "")</f>
        <v>x</v>
      </c>
      <c r="EH78" s="330" t="str">
        <f t="shared" si="10"/>
        <v/>
      </c>
      <c r="EI78" s="330" t="str">
        <f t="shared" si="8"/>
        <v>x</v>
      </c>
      <c r="EJ78" s="331" t="str">
        <f t="shared" si="12"/>
        <v/>
      </c>
      <c r="EK78" s="47"/>
    </row>
    <row r="79" spans="1:143" x14ac:dyDescent="0.2">
      <c r="A79" s="559"/>
      <c r="B79" s="311">
        <v>77</v>
      </c>
      <c r="C79" s="380"/>
      <c r="D79" s="389"/>
      <c r="E79" s="389"/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  <c r="AA79" s="389"/>
      <c r="AB79" s="389"/>
      <c r="AC79" s="424"/>
      <c r="AD79" s="389"/>
      <c r="AE79" s="428"/>
      <c r="AF79" s="389"/>
      <c r="AG79" s="389"/>
      <c r="AH79" s="389"/>
      <c r="AI79" s="428"/>
      <c r="AJ79" s="428"/>
      <c r="AK79" s="428"/>
      <c r="AL79" s="389"/>
      <c r="AM79" s="389"/>
      <c r="AN79" s="428"/>
      <c r="AO79" s="428"/>
      <c r="AP79" s="428"/>
      <c r="AQ79" s="380"/>
      <c r="AR79" s="353"/>
      <c r="AS79" s="353"/>
      <c r="AT79" s="353"/>
      <c r="AU79" s="353"/>
      <c r="AV79" s="353"/>
      <c r="AW79" s="353"/>
      <c r="AX79" s="345"/>
      <c r="AY79" s="353"/>
      <c r="AZ79" s="353"/>
      <c r="BA79" s="353"/>
      <c r="BB79" s="353"/>
      <c r="BC79" s="353"/>
      <c r="BD79" s="353"/>
      <c r="BE79" s="353"/>
      <c r="BF79" s="345"/>
      <c r="BG79" s="353"/>
      <c r="BH79" s="353"/>
      <c r="BI79" s="353"/>
      <c r="BJ79" s="353"/>
      <c r="BK79" s="353"/>
      <c r="BL79" s="353"/>
      <c r="BM79" s="353"/>
      <c r="BN79" s="345"/>
      <c r="BO79" s="353"/>
      <c r="BP79" s="353"/>
      <c r="BQ79" s="353"/>
      <c r="BR79" s="353"/>
      <c r="BS79" s="353"/>
      <c r="BT79" s="345"/>
      <c r="BU79" s="385"/>
      <c r="BV79" s="345"/>
      <c r="BW79" s="345"/>
      <c r="BX79" s="345"/>
      <c r="BY79" s="345"/>
      <c r="BZ79" s="345"/>
      <c r="CA79" s="345"/>
      <c r="CB79" s="345"/>
      <c r="CC79" s="345"/>
      <c r="CD79" s="345"/>
      <c r="CE79" s="345"/>
      <c r="CF79" s="345"/>
      <c r="CG79" s="345"/>
      <c r="CH79" s="345"/>
      <c r="CI79" s="345"/>
      <c r="CJ79" s="345"/>
      <c r="CK79" s="345"/>
      <c r="CL79" s="345"/>
      <c r="CM79" s="345"/>
      <c r="CN79" s="345"/>
      <c r="CO79" s="345"/>
      <c r="CP79" s="345"/>
      <c r="CQ79" s="345"/>
      <c r="CR79" s="345"/>
      <c r="CS79" s="345"/>
      <c r="CT79" s="345"/>
      <c r="CU79" s="345"/>
      <c r="CV79" s="345"/>
      <c r="CW79" s="345"/>
      <c r="CX79" s="345"/>
      <c r="CY79" s="345"/>
      <c r="CZ79" s="345"/>
      <c r="DA79" s="345"/>
      <c r="DB79" s="345"/>
      <c r="DC79" s="345"/>
      <c r="DD79" s="345"/>
      <c r="DE79" s="345"/>
      <c r="DF79" s="345"/>
      <c r="DG79" s="345"/>
      <c r="DH79" s="345"/>
      <c r="DI79" s="345"/>
      <c r="DJ79" s="345"/>
      <c r="DK79" s="345"/>
      <c r="DL79" s="345"/>
      <c r="DM79" s="345"/>
      <c r="DN79" s="345"/>
      <c r="DO79" s="345"/>
      <c r="DP79" s="345"/>
      <c r="DQ79" s="345"/>
      <c r="DR79" s="345"/>
      <c r="DS79" s="345"/>
      <c r="DT79" s="345"/>
      <c r="DU79" s="345"/>
      <c r="DV79" s="345"/>
      <c r="DW79" s="345"/>
      <c r="DX79" s="345"/>
      <c r="DY79" s="345"/>
      <c r="DZ79" s="345"/>
      <c r="EA79" s="345"/>
      <c r="EB79" s="345"/>
      <c r="EC79" s="345"/>
      <c r="ED79" s="346"/>
      <c r="EE79" s="329" t="str">
        <f t="shared" si="11"/>
        <v/>
      </c>
      <c r="EF79" s="330"/>
      <c r="EG79" s="330" t="str">
        <f t="shared" ref="EG79:EG87" si="13">IF(COUNTIF(C79:AB79, "x"), "x", "")</f>
        <v/>
      </c>
      <c r="EH79" s="330" t="str">
        <f t="shared" si="10"/>
        <v/>
      </c>
      <c r="EI79" s="330" t="str">
        <f t="shared" si="8"/>
        <v/>
      </c>
      <c r="EJ79" s="331" t="str">
        <f t="shared" si="12"/>
        <v/>
      </c>
      <c r="EK79" s="47"/>
    </row>
    <row r="80" spans="1:143" x14ac:dyDescent="0.2">
      <c r="A80" s="559"/>
      <c r="B80" s="311">
        <v>78</v>
      </c>
      <c r="C80" s="380"/>
      <c r="D80" s="389"/>
      <c r="E80" s="389"/>
      <c r="F80" s="389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424"/>
      <c r="AD80" s="389"/>
      <c r="AE80" s="428"/>
      <c r="AF80" s="389"/>
      <c r="AG80" s="389"/>
      <c r="AH80" s="389"/>
      <c r="AI80" s="428"/>
      <c r="AJ80" s="428"/>
      <c r="AK80" s="428"/>
      <c r="AL80" s="389"/>
      <c r="AM80" s="389"/>
      <c r="AN80" s="428"/>
      <c r="AO80" s="428"/>
      <c r="AP80" s="428"/>
      <c r="AQ80" s="380"/>
      <c r="AR80" s="353"/>
      <c r="AS80" s="353"/>
      <c r="AT80" s="353"/>
      <c r="AU80" s="353"/>
      <c r="AV80" s="353"/>
      <c r="AW80" s="353"/>
      <c r="AX80" s="345"/>
      <c r="AY80" s="353"/>
      <c r="AZ80" s="353"/>
      <c r="BA80" s="353"/>
      <c r="BB80" s="353"/>
      <c r="BC80" s="353"/>
      <c r="BD80" s="353"/>
      <c r="BE80" s="353"/>
      <c r="BF80" s="345"/>
      <c r="BG80" s="353"/>
      <c r="BH80" s="353"/>
      <c r="BI80" s="353"/>
      <c r="BJ80" s="353"/>
      <c r="BK80" s="353"/>
      <c r="BL80" s="353"/>
      <c r="BM80" s="353"/>
      <c r="BN80" s="345"/>
      <c r="BO80" s="353"/>
      <c r="BP80" s="353"/>
      <c r="BQ80" s="353"/>
      <c r="BR80" s="389"/>
      <c r="BS80" s="353"/>
      <c r="BT80" s="345"/>
      <c r="BU80" s="385"/>
      <c r="BV80" s="345"/>
      <c r="BW80" s="345"/>
      <c r="BX80" s="345"/>
      <c r="BY80" s="345"/>
      <c r="BZ80" s="345"/>
      <c r="CA80" s="345"/>
      <c r="CB80" s="345"/>
      <c r="CC80" s="345"/>
      <c r="CD80" s="345"/>
      <c r="CE80" s="345"/>
      <c r="CF80" s="345"/>
      <c r="CG80" s="345"/>
      <c r="CH80" s="345"/>
      <c r="CI80" s="345"/>
      <c r="CJ80" s="345"/>
      <c r="CK80" s="345"/>
      <c r="CL80" s="345"/>
      <c r="CM80" s="345"/>
      <c r="CN80" s="345"/>
      <c r="CO80" s="345"/>
      <c r="CP80" s="345"/>
      <c r="CQ80" s="345"/>
      <c r="CR80" s="345"/>
      <c r="CS80" s="345"/>
      <c r="CT80" s="345"/>
      <c r="CU80" s="345"/>
      <c r="CV80" s="345"/>
      <c r="CW80" s="345"/>
      <c r="CX80" s="345"/>
      <c r="CY80" s="345"/>
      <c r="CZ80" s="345"/>
      <c r="DA80" s="345"/>
      <c r="DB80" s="345"/>
      <c r="DC80" s="345"/>
      <c r="DD80" s="345"/>
      <c r="DE80" s="345"/>
      <c r="DF80" s="345"/>
      <c r="DG80" s="345"/>
      <c r="DH80" s="345"/>
      <c r="DI80" s="345"/>
      <c r="DJ80" s="345"/>
      <c r="DK80" s="345"/>
      <c r="DL80" s="345"/>
      <c r="DM80" s="345"/>
      <c r="DN80" s="345"/>
      <c r="DO80" s="345"/>
      <c r="DP80" s="345"/>
      <c r="DQ80" s="345"/>
      <c r="DR80" s="345"/>
      <c r="DS80" s="345"/>
      <c r="DT80" s="345"/>
      <c r="DU80" s="345"/>
      <c r="DV80" s="345"/>
      <c r="DW80" s="345"/>
      <c r="DX80" s="345"/>
      <c r="DY80" s="345"/>
      <c r="DZ80" s="345"/>
      <c r="EA80" s="345"/>
      <c r="EB80" s="345"/>
      <c r="EC80" s="345"/>
      <c r="ED80" s="346"/>
      <c r="EE80" s="329" t="str">
        <f t="shared" si="11"/>
        <v/>
      </c>
      <c r="EF80" s="330"/>
      <c r="EG80" s="330" t="str">
        <f t="shared" si="13"/>
        <v/>
      </c>
      <c r="EH80" s="330" t="str">
        <f t="shared" si="10"/>
        <v/>
      </c>
      <c r="EI80" s="330" t="str">
        <f t="shared" si="8"/>
        <v/>
      </c>
      <c r="EJ80" s="331" t="str">
        <f t="shared" si="12"/>
        <v/>
      </c>
      <c r="EK80" s="47"/>
    </row>
    <row r="81" spans="1:141" x14ac:dyDescent="0.2">
      <c r="A81" s="559"/>
      <c r="B81" s="311">
        <v>79</v>
      </c>
      <c r="C81" s="380"/>
      <c r="D81" s="389"/>
      <c r="E81" s="389"/>
      <c r="F81" s="389"/>
      <c r="G81" s="389"/>
      <c r="H81" s="389"/>
      <c r="I81" s="389"/>
      <c r="J81" s="389"/>
      <c r="K81" s="389"/>
      <c r="L81" s="389"/>
      <c r="M81" s="389"/>
      <c r="N81" s="389"/>
      <c r="O81" s="389"/>
      <c r="P81" s="389" t="s">
        <v>9409</v>
      </c>
      <c r="Q81" s="389"/>
      <c r="R81" s="389"/>
      <c r="S81" s="389"/>
      <c r="T81" s="389"/>
      <c r="U81" s="389"/>
      <c r="V81" s="389"/>
      <c r="W81" s="389"/>
      <c r="X81" s="389"/>
      <c r="Y81" s="389"/>
      <c r="Z81" s="389"/>
      <c r="AA81" s="389"/>
      <c r="AB81" s="389"/>
      <c r="AC81" s="424"/>
      <c r="AD81" s="389"/>
      <c r="AE81" s="428"/>
      <c r="AF81" s="389"/>
      <c r="AG81" s="389"/>
      <c r="AH81" s="389"/>
      <c r="AI81" s="428"/>
      <c r="AJ81" s="428"/>
      <c r="AK81" s="428"/>
      <c r="AL81" s="389"/>
      <c r="AM81" s="389"/>
      <c r="AN81" s="428"/>
      <c r="AO81" s="428"/>
      <c r="AP81" s="428"/>
      <c r="AQ81" s="380"/>
      <c r="AR81" s="353"/>
      <c r="AS81" s="353"/>
      <c r="AT81" s="353"/>
      <c r="AU81" s="353"/>
      <c r="AV81" s="353"/>
      <c r="AW81" s="353"/>
      <c r="AX81" s="345"/>
      <c r="AY81" s="353"/>
      <c r="AZ81" s="353"/>
      <c r="BA81" s="353"/>
      <c r="BB81" s="353"/>
      <c r="BC81" s="353"/>
      <c r="BD81" s="353" t="s">
        <v>9409</v>
      </c>
      <c r="BE81" s="353"/>
      <c r="BF81" s="345"/>
      <c r="BG81" s="353"/>
      <c r="BH81" s="353"/>
      <c r="BI81" s="353"/>
      <c r="BJ81" s="353"/>
      <c r="BK81" s="353"/>
      <c r="BL81" s="353"/>
      <c r="BM81" s="353"/>
      <c r="BN81" s="345"/>
      <c r="BO81" s="353"/>
      <c r="BP81" s="353"/>
      <c r="BQ81" s="353"/>
      <c r="BR81" s="353"/>
      <c r="BS81" s="353"/>
      <c r="BT81" s="345"/>
      <c r="BU81" s="385"/>
      <c r="BV81" s="345"/>
      <c r="BW81" s="345"/>
      <c r="BX81" s="345"/>
      <c r="BY81" s="345"/>
      <c r="BZ81" s="345"/>
      <c r="CA81" s="345"/>
      <c r="CB81" s="345"/>
      <c r="CC81" s="345"/>
      <c r="CD81" s="345"/>
      <c r="CE81" s="345"/>
      <c r="CF81" s="345"/>
      <c r="CG81" s="345"/>
      <c r="CH81" s="345"/>
      <c r="CI81" s="345"/>
      <c r="CJ81" s="345"/>
      <c r="CK81" s="345"/>
      <c r="CL81" s="345"/>
      <c r="CM81" s="345"/>
      <c r="CN81" s="345"/>
      <c r="CO81" s="345"/>
      <c r="CP81" s="345"/>
      <c r="CQ81" s="345"/>
      <c r="CR81" s="345"/>
      <c r="CS81" s="345"/>
      <c r="CT81" s="345"/>
      <c r="CU81" s="345"/>
      <c r="CV81" s="345"/>
      <c r="CW81" s="345"/>
      <c r="CX81" s="345"/>
      <c r="CY81" s="345"/>
      <c r="CZ81" s="345"/>
      <c r="DA81" s="345"/>
      <c r="DB81" s="345"/>
      <c r="DC81" s="345"/>
      <c r="DD81" s="345"/>
      <c r="DE81" s="345"/>
      <c r="DF81" s="345"/>
      <c r="DG81" s="345"/>
      <c r="DH81" s="345"/>
      <c r="DI81" s="345"/>
      <c r="DJ81" s="345"/>
      <c r="DK81" s="345"/>
      <c r="DL81" s="345"/>
      <c r="DM81" s="345"/>
      <c r="DN81" s="345"/>
      <c r="DO81" s="345"/>
      <c r="DP81" s="345"/>
      <c r="DQ81" s="345"/>
      <c r="DR81" s="345"/>
      <c r="DS81" s="345"/>
      <c r="DT81" s="345"/>
      <c r="DU81" s="345"/>
      <c r="DV81" s="345"/>
      <c r="DW81" s="345"/>
      <c r="DX81" s="345"/>
      <c r="DY81" s="345"/>
      <c r="DZ81" s="345"/>
      <c r="EA81" s="345"/>
      <c r="EB81" s="345"/>
      <c r="EC81" s="345"/>
      <c r="ED81" s="346"/>
      <c r="EE81" s="329" t="str">
        <f t="shared" si="11"/>
        <v>x</v>
      </c>
      <c r="EF81" s="330"/>
      <c r="EG81" s="330" t="str">
        <f t="shared" si="13"/>
        <v>x</v>
      </c>
      <c r="EH81" s="330" t="str">
        <f t="shared" si="10"/>
        <v/>
      </c>
      <c r="EI81" s="330" t="str">
        <f t="shared" si="8"/>
        <v>x</v>
      </c>
      <c r="EJ81" s="331" t="str">
        <f t="shared" si="12"/>
        <v/>
      </c>
      <c r="EK81" s="47"/>
    </row>
    <row r="82" spans="1:141" x14ac:dyDescent="0.2">
      <c r="A82" s="559"/>
      <c r="B82" s="311">
        <v>80</v>
      </c>
      <c r="C82" s="380"/>
      <c r="D82" s="389"/>
      <c r="E82" s="389"/>
      <c r="F82" s="389"/>
      <c r="G82" s="389"/>
      <c r="H82" s="389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  <c r="V82" s="389"/>
      <c r="W82" s="389"/>
      <c r="X82" s="389"/>
      <c r="Y82" s="389"/>
      <c r="Z82" s="389"/>
      <c r="AA82" s="389"/>
      <c r="AB82" s="389"/>
      <c r="AC82" s="424"/>
      <c r="AD82" s="389"/>
      <c r="AE82" s="428"/>
      <c r="AF82" s="389"/>
      <c r="AG82" s="389"/>
      <c r="AH82" s="391" t="s">
        <v>9409</v>
      </c>
      <c r="AI82" s="428"/>
      <c r="AJ82" s="428"/>
      <c r="AK82" s="428"/>
      <c r="AL82" s="389"/>
      <c r="AM82" s="389"/>
      <c r="AN82" s="428"/>
      <c r="AO82" s="428"/>
      <c r="AP82" s="428"/>
      <c r="AQ82" s="380"/>
      <c r="AR82" s="353"/>
      <c r="AS82" s="353"/>
      <c r="AT82" s="353"/>
      <c r="AU82" s="353"/>
      <c r="AV82" s="353"/>
      <c r="AW82" s="353"/>
      <c r="AX82" s="345"/>
      <c r="AY82" s="353"/>
      <c r="AZ82" s="353"/>
      <c r="BA82" s="353"/>
      <c r="BB82" s="353"/>
      <c r="BC82" s="353"/>
      <c r="BD82" s="353"/>
      <c r="BE82" s="353"/>
      <c r="BF82" s="345"/>
      <c r="BG82" s="353"/>
      <c r="BH82" s="353"/>
      <c r="BI82" s="353"/>
      <c r="BJ82" s="353"/>
      <c r="BK82" s="353"/>
      <c r="BL82" s="353"/>
      <c r="BM82" s="353"/>
      <c r="BN82" s="345"/>
      <c r="BO82" s="353"/>
      <c r="BP82" s="353"/>
      <c r="BQ82" s="353"/>
      <c r="BR82" s="353"/>
      <c r="BS82" s="353"/>
      <c r="BT82" s="345"/>
      <c r="BU82" s="385"/>
      <c r="BV82" s="345"/>
      <c r="BW82" s="345"/>
      <c r="BX82" s="345"/>
      <c r="BY82" s="345"/>
      <c r="BZ82" s="345"/>
      <c r="CA82" s="345"/>
      <c r="CB82" s="345"/>
      <c r="CC82" s="345"/>
      <c r="CD82" s="345"/>
      <c r="CE82" s="345"/>
      <c r="CF82" s="345"/>
      <c r="CG82" s="345"/>
      <c r="CH82" s="345"/>
      <c r="CI82" s="345"/>
      <c r="CJ82" s="345"/>
      <c r="CK82" s="345"/>
      <c r="CL82" s="345"/>
      <c r="CM82" s="345"/>
      <c r="CN82" s="345"/>
      <c r="CO82" s="345"/>
      <c r="CP82" s="345"/>
      <c r="CQ82" s="345"/>
      <c r="CR82" s="345"/>
      <c r="CS82" s="345"/>
      <c r="CT82" s="345"/>
      <c r="CU82" s="345"/>
      <c r="CV82" s="345"/>
      <c r="CW82" s="345"/>
      <c r="CX82" s="345"/>
      <c r="CY82" s="345"/>
      <c r="CZ82" s="345"/>
      <c r="DA82" s="345"/>
      <c r="DB82" s="345"/>
      <c r="DC82" s="345"/>
      <c r="DD82" s="345"/>
      <c r="DE82" s="345"/>
      <c r="DF82" s="345"/>
      <c r="DG82" s="345"/>
      <c r="DH82" s="345"/>
      <c r="DI82" s="345"/>
      <c r="DJ82" s="345"/>
      <c r="DK82" s="345"/>
      <c r="DL82" s="345"/>
      <c r="DM82" s="345"/>
      <c r="DN82" s="345"/>
      <c r="DO82" s="345"/>
      <c r="DP82" s="345"/>
      <c r="DQ82" s="345"/>
      <c r="DR82" s="345"/>
      <c r="DS82" s="345"/>
      <c r="DT82" s="345"/>
      <c r="DU82" s="345"/>
      <c r="DV82" s="345"/>
      <c r="DW82" s="345"/>
      <c r="DX82" s="345"/>
      <c r="DY82" s="345"/>
      <c r="DZ82" s="345"/>
      <c r="EA82" s="345"/>
      <c r="EB82" s="345"/>
      <c r="EC82" s="345"/>
      <c r="ED82" s="346"/>
      <c r="EE82" s="329" t="str">
        <f t="shared" si="11"/>
        <v>x</v>
      </c>
      <c r="EF82" s="330"/>
      <c r="EG82" s="330" t="str">
        <f t="shared" si="13"/>
        <v/>
      </c>
      <c r="EH82" s="330" t="str">
        <f t="shared" si="10"/>
        <v>x</v>
      </c>
      <c r="EI82" s="330" t="str">
        <f t="shared" si="8"/>
        <v/>
      </c>
      <c r="EJ82" s="331" t="str">
        <f t="shared" si="12"/>
        <v/>
      </c>
      <c r="EK82" s="47"/>
    </row>
    <row r="83" spans="1:141" x14ac:dyDescent="0.2">
      <c r="A83" s="559"/>
      <c r="B83" s="311">
        <v>81</v>
      </c>
      <c r="C83" s="380"/>
      <c r="D83" s="389"/>
      <c r="E83" s="389"/>
      <c r="F83" s="389"/>
      <c r="G83" s="389"/>
      <c r="H83" s="389"/>
      <c r="I83" s="389"/>
      <c r="J83" s="389"/>
      <c r="K83" s="389"/>
      <c r="L83" s="389"/>
      <c r="M83" s="389"/>
      <c r="N83" s="389"/>
      <c r="O83" s="389" t="s">
        <v>9409</v>
      </c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  <c r="AA83" s="389"/>
      <c r="AB83" s="389"/>
      <c r="AC83" s="424"/>
      <c r="AD83" s="389"/>
      <c r="AE83" s="428"/>
      <c r="AF83" s="389"/>
      <c r="AG83" s="389"/>
      <c r="AH83" s="389"/>
      <c r="AI83" s="428"/>
      <c r="AJ83" s="428"/>
      <c r="AK83" s="428"/>
      <c r="AL83" s="389"/>
      <c r="AM83" s="389"/>
      <c r="AN83" s="428"/>
      <c r="AO83" s="428"/>
      <c r="AP83" s="428"/>
      <c r="AQ83" s="380"/>
      <c r="AR83" s="353"/>
      <c r="AS83" s="353"/>
      <c r="AT83" s="353"/>
      <c r="AU83" s="353"/>
      <c r="AV83" s="353"/>
      <c r="AW83" s="353"/>
      <c r="AX83" s="345"/>
      <c r="AY83" s="353"/>
      <c r="AZ83" s="353"/>
      <c r="BA83" s="353"/>
      <c r="BB83" s="353"/>
      <c r="BC83" s="353"/>
      <c r="BD83" s="353"/>
      <c r="BE83" s="353"/>
      <c r="BF83" s="345"/>
      <c r="BG83" s="353"/>
      <c r="BH83" s="353"/>
      <c r="BI83" s="353"/>
      <c r="BJ83" s="353"/>
      <c r="BK83" s="353"/>
      <c r="BL83" s="353"/>
      <c r="BM83" s="353"/>
      <c r="BN83" s="345"/>
      <c r="BO83" s="353"/>
      <c r="BP83" s="353"/>
      <c r="BQ83" s="353"/>
      <c r="BR83" s="353"/>
      <c r="BS83" s="353"/>
      <c r="BT83" s="345"/>
      <c r="BU83" s="385"/>
      <c r="BV83" s="345"/>
      <c r="BW83" s="345"/>
      <c r="BX83" s="345"/>
      <c r="BY83" s="345"/>
      <c r="BZ83" s="345"/>
      <c r="CA83" s="345"/>
      <c r="CB83" s="345"/>
      <c r="CC83" s="345"/>
      <c r="CD83" s="345"/>
      <c r="CE83" s="345"/>
      <c r="CF83" s="345"/>
      <c r="CG83" s="345"/>
      <c r="CH83" s="345"/>
      <c r="CI83" s="345"/>
      <c r="CJ83" s="345"/>
      <c r="CK83" s="345"/>
      <c r="CL83" s="345"/>
      <c r="CM83" s="345"/>
      <c r="CN83" s="345"/>
      <c r="CO83" s="345"/>
      <c r="CP83" s="345"/>
      <c r="CQ83" s="345"/>
      <c r="CR83" s="345"/>
      <c r="CS83" s="345"/>
      <c r="CT83" s="345"/>
      <c r="CU83" s="345"/>
      <c r="CV83" s="345"/>
      <c r="CW83" s="345"/>
      <c r="CX83" s="345"/>
      <c r="CY83" s="345"/>
      <c r="CZ83" s="345"/>
      <c r="DA83" s="345"/>
      <c r="DB83" s="345"/>
      <c r="DC83" s="345"/>
      <c r="DD83" s="345"/>
      <c r="DE83" s="345"/>
      <c r="DF83" s="345"/>
      <c r="DG83" s="345"/>
      <c r="DH83" s="345"/>
      <c r="DI83" s="345"/>
      <c r="DJ83" s="345"/>
      <c r="DK83" s="345"/>
      <c r="DL83" s="345"/>
      <c r="DM83" s="345"/>
      <c r="DN83" s="345"/>
      <c r="DO83" s="345"/>
      <c r="DP83" s="345"/>
      <c r="DQ83" s="345"/>
      <c r="DR83" s="345"/>
      <c r="DS83" s="345"/>
      <c r="DT83" s="345"/>
      <c r="DU83" s="345"/>
      <c r="DV83" s="345"/>
      <c r="DW83" s="345"/>
      <c r="DX83" s="345"/>
      <c r="DY83" s="345"/>
      <c r="DZ83" s="345"/>
      <c r="EA83" s="345"/>
      <c r="EB83" s="345"/>
      <c r="EC83" s="345"/>
      <c r="ED83" s="346"/>
      <c r="EE83" s="329" t="str">
        <f t="shared" si="11"/>
        <v>x</v>
      </c>
      <c r="EF83" s="330"/>
      <c r="EG83" s="330" t="str">
        <f t="shared" si="13"/>
        <v>x</v>
      </c>
      <c r="EH83" s="330" t="str">
        <f>IF(COUNTIF(AC83:AP83, "x"), "x", "")</f>
        <v/>
      </c>
      <c r="EI83" s="330" t="str">
        <f t="shared" si="8"/>
        <v/>
      </c>
      <c r="EJ83" s="331" t="str">
        <f t="shared" si="12"/>
        <v/>
      </c>
      <c r="EK83" s="47"/>
    </row>
    <row r="84" spans="1:141" x14ac:dyDescent="0.2">
      <c r="A84" s="559"/>
      <c r="B84" s="311">
        <v>82</v>
      </c>
      <c r="C84" s="380"/>
      <c r="D84" s="389"/>
      <c r="E84" s="389"/>
      <c r="F84" s="389"/>
      <c r="G84" s="389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424"/>
      <c r="AD84" s="389"/>
      <c r="AE84" s="428"/>
      <c r="AF84" s="389"/>
      <c r="AG84" s="389"/>
      <c r="AH84" s="391" t="s">
        <v>9409</v>
      </c>
      <c r="AI84" s="428"/>
      <c r="AJ84" s="428"/>
      <c r="AK84" s="428"/>
      <c r="AL84" s="389"/>
      <c r="AM84" s="389"/>
      <c r="AN84" s="428"/>
      <c r="AO84" s="428"/>
      <c r="AP84" s="428"/>
      <c r="AQ84" s="380"/>
      <c r="AR84" s="353"/>
      <c r="AS84" s="353"/>
      <c r="AT84" s="353"/>
      <c r="AU84" s="353"/>
      <c r="AV84" s="353"/>
      <c r="AW84" s="353"/>
      <c r="AX84" s="345"/>
      <c r="AY84" s="353"/>
      <c r="AZ84" s="353"/>
      <c r="BA84" s="353"/>
      <c r="BB84" s="353"/>
      <c r="BC84" s="353"/>
      <c r="BD84" s="353"/>
      <c r="BE84" s="353"/>
      <c r="BF84" s="345"/>
      <c r="BG84" s="353"/>
      <c r="BH84" s="353"/>
      <c r="BI84" s="353"/>
      <c r="BJ84" s="353"/>
      <c r="BK84" s="353"/>
      <c r="BL84" s="353"/>
      <c r="BM84" s="353"/>
      <c r="BN84" s="345"/>
      <c r="BO84" s="353"/>
      <c r="BP84" s="353"/>
      <c r="BQ84" s="353"/>
      <c r="BR84" s="353"/>
      <c r="BS84" s="353"/>
      <c r="BT84" s="345"/>
      <c r="BU84" s="385"/>
      <c r="BV84" s="345"/>
      <c r="BW84" s="345"/>
      <c r="BX84" s="345"/>
      <c r="BY84" s="345"/>
      <c r="BZ84" s="345"/>
      <c r="CA84" s="345"/>
      <c r="CB84" s="345"/>
      <c r="CC84" s="345"/>
      <c r="CD84" s="345"/>
      <c r="CE84" s="345"/>
      <c r="CF84" s="345"/>
      <c r="CG84" s="345"/>
      <c r="CH84" s="345"/>
      <c r="CI84" s="345"/>
      <c r="CJ84" s="345"/>
      <c r="CK84" s="345"/>
      <c r="CL84" s="345"/>
      <c r="CM84" s="345"/>
      <c r="CN84" s="345"/>
      <c r="CO84" s="345"/>
      <c r="CP84" s="345"/>
      <c r="CQ84" s="345"/>
      <c r="CR84" s="345"/>
      <c r="CS84" s="345"/>
      <c r="CT84" s="345"/>
      <c r="CU84" s="345"/>
      <c r="CV84" s="345"/>
      <c r="CW84" s="345"/>
      <c r="CX84" s="345"/>
      <c r="CY84" s="345"/>
      <c r="CZ84" s="345"/>
      <c r="DA84" s="345"/>
      <c r="DB84" s="345"/>
      <c r="DC84" s="345"/>
      <c r="DD84" s="345"/>
      <c r="DE84" s="345"/>
      <c r="DF84" s="345"/>
      <c r="DG84" s="345"/>
      <c r="DH84" s="345"/>
      <c r="DI84" s="345"/>
      <c r="DJ84" s="345"/>
      <c r="DK84" s="345"/>
      <c r="DL84" s="345"/>
      <c r="DM84" s="345"/>
      <c r="DN84" s="345"/>
      <c r="DO84" s="345"/>
      <c r="DP84" s="345"/>
      <c r="DQ84" s="345"/>
      <c r="DR84" s="345"/>
      <c r="DS84" s="345"/>
      <c r="DT84" s="345"/>
      <c r="DU84" s="345"/>
      <c r="DV84" s="345"/>
      <c r="DW84" s="345"/>
      <c r="DX84" s="345"/>
      <c r="DY84" s="345"/>
      <c r="DZ84" s="345"/>
      <c r="EA84" s="345"/>
      <c r="EB84" s="345"/>
      <c r="EC84" s="345"/>
      <c r="ED84" s="346"/>
      <c r="EE84" s="329" t="str">
        <f t="shared" si="11"/>
        <v>x</v>
      </c>
      <c r="EF84" s="330"/>
      <c r="EG84" s="330" t="str">
        <f t="shared" si="13"/>
        <v/>
      </c>
      <c r="EH84" s="330" t="str">
        <f t="shared" ref="EH84:EH104" si="14">IF(COUNTIF(AC84:AP84, "x"), "x", "")</f>
        <v>x</v>
      </c>
      <c r="EI84" s="330" t="str">
        <f t="shared" si="8"/>
        <v/>
      </c>
      <c r="EJ84" s="331" t="str">
        <f t="shared" si="12"/>
        <v/>
      </c>
      <c r="EK84" s="47"/>
    </row>
    <row r="85" spans="1:141" x14ac:dyDescent="0.2">
      <c r="A85" s="559"/>
      <c r="B85" s="311">
        <v>83</v>
      </c>
      <c r="C85" s="380"/>
      <c r="D85" s="389"/>
      <c r="E85" s="389"/>
      <c r="F85" s="389"/>
      <c r="G85" s="389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  <c r="V85" s="389"/>
      <c r="W85" s="389"/>
      <c r="X85" s="389"/>
      <c r="Y85" s="389"/>
      <c r="Z85" s="389"/>
      <c r="AA85" s="389"/>
      <c r="AB85" s="389"/>
      <c r="AC85" s="424"/>
      <c r="AD85" s="389"/>
      <c r="AE85" s="428"/>
      <c r="AF85" s="389"/>
      <c r="AG85" s="389"/>
      <c r="AH85" s="391" t="s">
        <v>9409</v>
      </c>
      <c r="AI85" s="428"/>
      <c r="AJ85" s="428"/>
      <c r="AK85" s="428"/>
      <c r="AL85" s="389"/>
      <c r="AM85" s="389"/>
      <c r="AN85" s="428"/>
      <c r="AO85" s="428"/>
      <c r="AP85" s="428"/>
      <c r="AQ85" s="380"/>
      <c r="AR85" s="353"/>
      <c r="AS85" s="353"/>
      <c r="AT85" s="353"/>
      <c r="AU85" s="353"/>
      <c r="AV85" s="353"/>
      <c r="AW85" s="353"/>
      <c r="AX85" s="345"/>
      <c r="AY85" s="353"/>
      <c r="AZ85" s="353"/>
      <c r="BA85" s="353"/>
      <c r="BB85" s="353"/>
      <c r="BC85" s="353" t="s">
        <v>9409</v>
      </c>
      <c r="BD85" s="353"/>
      <c r="BE85" s="353"/>
      <c r="BF85" s="345"/>
      <c r="BG85" s="353"/>
      <c r="BH85" s="353"/>
      <c r="BI85" s="353"/>
      <c r="BJ85" s="353"/>
      <c r="BK85" s="353"/>
      <c r="BL85" s="353"/>
      <c r="BM85" s="353"/>
      <c r="BN85" s="345"/>
      <c r="BO85" s="353"/>
      <c r="BP85" s="353"/>
      <c r="BQ85" s="353"/>
      <c r="BR85" s="353"/>
      <c r="BS85" s="353"/>
      <c r="BT85" s="345"/>
      <c r="BU85" s="385"/>
      <c r="BV85" s="345"/>
      <c r="BW85" s="345"/>
      <c r="BX85" s="345"/>
      <c r="BY85" s="345"/>
      <c r="BZ85" s="345"/>
      <c r="CA85" s="345"/>
      <c r="CB85" s="345"/>
      <c r="CC85" s="345"/>
      <c r="CD85" s="345"/>
      <c r="CE85" s="345"/>
      <c r="CF85" s="345"/>
      <c r="CG85" s="345"/>
      <c r="CH85" s="345"/>
      <c r="CI85" s="345"/>
      <c r="CJ85" s="345"/>
      <c r="CK85" s="345"/>
      <c r="CL85" s="345"/>
      <c r="CM85" s="345"/>
      <c r="CN85" s="345"/>
      <c r="CO85" s="345"/>
      <c r="CP85" s="345"/>
      <c r="CQ85" s="345"/>
      <c r="CR85" s="345"/>
      <c r="CS85" s="345"/>
      <c r="CT85" s="345"/>
      <c r="CU85" s="345"/>
      <c r="CV85" s="345"/>
      <c r="CW85" s="345"/>
      <c r="CX85" s="345"/>
      <c r="CY85" s="345"/>
      <c r="CZ85" s="345"/>
      <c r="DA85" s="345"/>
      <c r="DB85" s="345"/>
      <c r="DC85" s="345"/>
      <c r="DD85" s="345"/>
      <c r="DE85" s="345"/>
      <c r="DF85" s="345"/>
      <c r="DG85" s="345"/>
      <c r="DH85" s="345"/>
      <c r="DI85" s="345"/>
      <c r="DJ85" s="345"/>
      <c r="DK85" s="345"/>
      <c r="DL85" s="345"/>
      <c r="DM85" s="345"/>
      <c r="DN85" s="345"/>
      <c r="DO85" s="345"/>
      <c r="DP85" s="345"/>
      <c r="DQ85" s="345"/>
      <c r="DR85" s="345"/>
      <c r="DS85" s="345"/>
      <c r="DT85" s="345"/>
      <c r="DU85" s="345"/>
      <c r="DV85" s="345"/>
      <c r="DW85" s="345"/>
      <c r="DX85" s="345"/>
      <c r="DY85" s="345"/>
      <c r="DZ85" s="345"/>
      <c r="EA85" s="345"/>
      <c r="EB85" s="345"/>
      <c r="EC85" s="345"/>
      <c r="ED85" s="346"/>
      <c r="EE85" s="329" t="str">
        <f t="shared" si="11"/>
        <v>x</v>
      </c>
      <c r="EF85" s="330"/>
      <c r="EG85" s="330" t="str">
        <f t="shared" si="13"/>
        <v/>
      </c>
      <c r="EH85" s="330" t="str">
        <f t="shared" si="14"/>
        <v>x</v>
      </c>
      <c r="EI85" s="330" t="str">
        <f t="shared" si="8"/>
        <v>x</v>
      </c>
      <c r="EJ85" s="331" t="str">
        <f t="shared" si="12"/>
        <v/>
      </c>
      <c r="EK85" s="47"/>
    </row>
    <row r="86" spans="1:141" x14ac:dyDescent="0.2">
      <c r="A86" s="559"/>
      <c r="B86" s="311">
        <v>84</v>
      </c>
      <c r="C86" s="380"/>
      <c r="D86" s="389"/>
      <c r="E86" s="389"/>
      <c r="F86" s="389"/>
      <c r="G86" s="389"/>
      <c r="H86" s="389"/>
      <c r="I86" s="389"/>
      <c r="J86" s="389"/>
      <c r="K86" s="389"/>
      <c r="L86" s="389"/>
      <c r="M86" s="389"/>
      <c r="N86" s="389" t="s">
        <v>9409</v>
      </c>
      <c r="O86" s="389"/>
      <c r="P86" s="389"/>
      <c r="Q86" s="389"/>
      <c r="R86" s="389"/>
      <c r="S86" s="389"/>
      <c r="T86" s="389"/>
      <c r="U86" s="389"/>
      <c r="V86" s="389"/>
      <c r="W86" s="389"/>
      <c r="X86" s="389"/>
      <c r="Y86" s="389"/>
      <c r="Z86" s="389"/>
      <c r="AA86" s="389"/>
      <c r="AB86" s="389"/>
      <c r="AC86" s="424"/>
      <c r="AD86" s="389"/>
      <c r="AE86" s="428"/>
      <c r="AF86" s="389"/>
      <c r="AG86" s="389"/>
      <c r="AH86" s="389"/>
      <c r="AI86" s="428"/>
      <c r="AJ86" s="428"/>
      <c r="AK86" s="428"/>
      <c r="AL86" s="389"/>
      <c r="AM86" s="389"/>
      <c r="AN86" s="428"/>
      <c r="AO86" s="428"/>
      <c r="AP86" s="428"/>
      <c r="AQ86" s="380"/>
      <c r="AR86" s="353"/>
      <c r="AS86" s="353"/>
      <c r="AT86" s="353"/>
      <c r="AU86" s="353"/>
      <c r="AV86" s="353"/>
      <c r="AW86" s="353"/>
      <c r="AX86" s="345"/>
      <c r="AY86" s="353"/>
      <c r="AZ86" s="353"/>
      <c r="BA86" s="353"/>
      <c r="BB86" s="353"/>
      <c r="BC86" s="353"/>
      <c r="BD86" s="353"/>
      <c r="BE86" s="353"/>
      <c r="BF86" s="345"/>
      <c r="BG86" s="353"/>
      <c r="BH86" s="353"/>
      <c r="BI86" s="353"/>
      <c r="BJ86" s="353"/>
      <c r="BK86" s="353"/>
      <c r="BL86" s="353"/>
      <c r="BM86" s="353"/>
      <c r="BN86" s="345"/>
      <c r="BO86" s="353"/>
      <c r="BP86" s="353"/>
      <c r="BQ86" s="353"/>
      <c r="BR86" s="353"/>
      <c r="BS86" s="353"/>
      <c r="BT86" s="345"/>
      <c r="BU86" s="385"/>
      <c r="BV86" s="345"/>
      <c r="BW86" s="345"/>
      <c r="BX86" s="345"/>
      <c r="BY86" s="345"/>
      <c r="BZ86" s="345"/>
      <c r="CA86" s="345"/>
      <c r="CB86" s="345"/>
      <c r="CC86" s="345"/>
      <c r="CD86" s="345"/>
      <c r="CE86" s="345"/>
      <c r="CF86" s="345"/>
      <c r="CG86" s="345"/>
      <c r="CH86" s="345"/>
      <c r="CI86" s="345"/>
      <c r="CJ86" s="345"/>
      <c r="CK86" s="345"/>
      <c r="CL86" s="345"/>
      <c r="CM86" s="345"/>
      <c r="CN86" s="345"/>
      <c r="CO86" s="345"/>
      <c r="CP86" s="345"/>
      <c r="CQ86" s="345"/>
      <c r="CR86" s="345"/>
      <c r="CS86" s="345"/>
      <c r="CT86" s="345"/>
      <c r="CU86" s="345"/>
      <c r="CV86" s="345"/>
      <c r="CW86" s="345"/>
      <c r="CX86" s="345"/>
      <c r="CY86" s="345"/>
      <c r="CZ86" s="345"/>
      <c r="DA86" s="345"/>
      <c r="DB86" s="345"/>
      <c r="DC86" s="345"/>
      <c r="DD86" s="345"/>
      <c r="DE86" s="345"/>
      <c r="DF86" s="345"/>
      <c r="DG86" s="345"/>
      <c r="DH86" s="345"/>
      <c r="DI86" s="345"/>
      <c r="DJ86" s="345"/>
      <c r="DK86" s="345"/>
      <c r="DL86" s="345"/>
      <c r="DM86" s="345"/>
      <c r="DN86" s="345"/>
      <c r="DO86" s="345"/>
      <c r="DP86" s="345"/>
      <c r="DQ86" s="345"/>
      <c r="DR86" s="345"/>
      <c r="DS86" s="345"/>
      <c r="DT86" s="345"/>
      <c r="DU86" s="345"/>
      <c r="DV86" s="345"/>
      <c r="DW86" s="345"/>
      <c r="DX86" s="345"/>
      <c r="DY86" s="345"/>
      <c r="DZ86" s="345"/>
      <c r="EA86" s="345"/>
      <c r="EB86" s="345"/>
      <c r="EC86" s="345"/>
      <c r="ED86" s="346"/>
      <c r="EE86" s="329" t="str">
        <f t="shared" si="11"/>
        <v>x</v>
      </c>
      <c r="EF86" s="330"/>
      <c r="EG86" s="330" t="str">
        <f t="shared" si="13"/>
        <v>x</v>
      </c>
      <c r="EH86" s="330" t="str">
        <f t="shared" si="14"/>
        <v/>
      </c>
      <c r="EI86" s="330" t="str">
        <f t="shared" si="8"/>
        <v/>
      </c>
      <c r="EJ86" s="331" t="str">
        <f t="shared" si="12"/>
        <v/>
      </c>
      <c r="EK86" s="47"/>
    </row>
    <row r="87" spans="1:141" x14ac:dyDescent="0.2">
      <c r="A87" s="559"/>
      <c r="B87" s="311">
        <v>85</v>
      </c>
      <c r="C87" s="380"/>
      <c r="D87" s="389"/>
      <c r="E87" s="389"/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  <c r="AA87" s="389"/>
      <c r="AB87" s="389"/>
      <c r="AC87" s="424"/>
      <c r="AD87" s="389"/>
      <c r="AE87" s="428"/>
      <c r="AF87" s="389"/>
      <c r="AG87" s="389"/>
      <c r="AH87" s="391" t="s">
        <v>9409</v>
      </c>
      <c r="AI87" s="428"/>
      <c r="AJ87" s="428"/>
      <c r="AK87" s="428"/>
      <c r="AL87" s="389"/>
      <c r="AM87" s="389"/>
      <c r="AN87" s="428"/>
      <c r="AO87" s="428"/>
      <c r="AP87" s="428"/>
      <c r="AQ87" s="380"/>
      <c r="AR87" s="353"/>
      <c r="AS87" s="353"/>
      <c r="AT87" s="353"/>
      <c r="AU87" s="353"/>
      <c r="AV87" s="353"/>
      <c r="AW87" s="353"/>
      <c r="AX87" s="345"/>
      <c r="AY87" s="353"/>
      <c r="AZ87" s="353"/>
      <c r="BA87" s="353"/>
      <c r="BB87" s="353"/>
      <c r="BC87" s="353"/>
      <c r="BD87" s="353"/>
      <c r="BE87" s="353"/>
      <c r="BF87" s="345"/>
      <c r="BG87" s="353"/>
      <c r="BH87" s="353"/>
      <c r="BI87" s="353"/>
      <c r="BJ87" s="353"/>
      <c r="BK87" s="353"/>
      <c r="BL87" s="353"/>
      <c r="BM87" s="353"/>
      <c r="BN87" s="345"/>
      <c r="BO87" s="353"/>
      <c r="BP87" s="353"/>
      <c r="BQ87" s="353"/>
      <c r="BR87" s="353"/>
      <c r="BS87" s="353"/>
      <c r="BT87" s="345"/>
      <c r="BU87" s="385"/>
      <c r="BV87" s="345"/>
      <c r="BW87" s="345"/>
      <c r="BX87" s="345"/>
      <c r="BY87" s="345"/>
      <c r="BZ87" s="345"/>
      <c r="CA87" s="345"/>
      <c r="CB87" s="345"/>
      <c r="CC87" s="345"/>
      <c r="CD87" s="345"/>
      <c r="CE87" s="345"/>
      <c r="CF87" s="345"/>
      <c r="CG87" s="345"/>
      <c r="CH87" s="345"/>
      <c r="CI87" s="345"/>
      <c r="CJ87" s="345"/>
      <c r="CK87" s="345"/>
      <c r="CL87" s="345"/>
      <c r="CM87" s="345"/>
      <c r="CN87" s="345"/>
      <c r="CO87" s="345"/>
      <c r="CP87" s="345"/>
      <c r="CQ87" s="345"/>
      <c r="CR87" s="345"/>
      <c r="CS87" s="345"/>
      <c r="CT87" s="345"/>
      <c r="CU87" s="345"/>
      <c r="CV87" s="345"/>
      <c r="CW87" s="345"/>
      <c r="CX87" s="345"/>
      <c r="CY87" s="345"/>
      <c r="CZ87" s="345"/>
      <c r="DA87" s="345"/>
      <c r="DB87" s="345"/>
      <c r="DC87" s="345"/>
      <c r="DD87" s="345"/>
      <c r="DE87" s="345"/>
      <c r="DF87" s="345"/>
      <c r="DG87" s="345"/>
      <c r="DH87" s="345"/>
      <c r="DI87" s="345"/>
      <c r="DJ87" s="345"/>
      <c r="DK87" s="345"/>
      <c r="DL87" s="345"/>
      <c r="DM87" s="345"/>
      <c r="DN87" s="345"/>
      <c r="DO87" s="345"/>
      <c r="DP87" s="345"/>
      <c r="DQ87" s="345"/>
      <c r="DR87" s="345"/>
      <c r="DS87" s="345"/>
      <c r="DT87" s="345"/>
      <c r="DU87" s="345"/>
      <c r="DV87" s="345"/>
      <c r="DW87" s="345"/>
      <c r="DX87" s="345"/>
      <c r="DY87" s="345"/>
      <c r="DZ87" s="345"/>
      <c r="EA87" s="345"/>
      <c r="EB87" s="345"/>
      <c r="EC87" s="345"/>
      <c r="ED87" s="346"/>
      <c r="EE87" s="329" t="str">
        <f t="shared" si="11"/>
        <v>x</v>
      </c>
      <c r="EF87" s="330"/>
      <c r="EG87" s="330" t="str">
        <f t="shared" si="13"/>
        <v/>
      </c>
      <c r="EH87" s="330" t="str">
        <f t="shared" si="14"/>
        <v>x</v>
      </c>
      <c r="EI87" s="330" t="str">
        <f t="shared" si="8"/>
        <v/>
      </c>
      <c r="EJ87" s="331" t="str">
        <f t="shared" si="12"/>
        <v/>
      </c>
      <c r="EK87" s="47"/>
    </row>
    <row r="88" spans="1:141" x14ac:dyDescent="0.2">
      <c r="A88" s="559"/>
      <c r="B88" s="311">
        <v>86</v>
      </c>
      <c r="C88" s="380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424"/>
      <c r="AD88" s="389"/>
      <c r="AE88" s="428"/>
      <c r="AF88" s="389"/>
      <c r="AG88" s="389"/>
      <c r="AH88" s="391" t="s">
        <v>9409</v>
      </c>
      <c r="AI88" s="428"/>
      <c r="AJ88" s="428"/>
      <c r="AK88" s="428"/>
      <c r="AL88" s="389"/>
      <c r="AM88" s="389"/>
      <c r="AN88" s="428"/>
      <c r="AO88" s="428"/>
      <c r="AP88" s="428"/>
      <c r="AQ88" s="380"/>
      <c r="AR88" s="353"/>
      <c r="AS88" s="353"/>
      <c r="AT88" s="353"/>
      <c r="AU88" s="353"/>
      <c r="AV88" s="353"/>
      <c r="AW88" s="353"/>
      <c r="AX88" s="345"/>
      <c r="AY88" s="353"/>
      <c r="AZ88" s="353"/>
      <c r="BA88" s="353"/>
      <c r="BB88" s="353"/>
      <c r="BC88" s="353"/>
      <c r="BD88" s="353"/>
      <c r="BE88" s="353"/>
      <c r="BF88" s="345"/>
      <c r="BG88" s="353"/>
      <c r="BH88" s="353"/>
      <c r="BI88" s="353"/>
      <c r="BJ88" s="353"/>
      <c r="BK88" s="353"/>
      <c r="BL88" s="353"/>
      <c r="BM88" s="353"/>
      <c r="BN88" s="345"/>
      <c r="BO88" s="353"/>
      <c r="BP88" s="353"/>
      <c r="BQ88" s="353"/>
      <c r="BR88" s="353"/>
      <c r="BS88" s="353"/>
      <c r="BT88" s="345"/>
      <c r="BU88" s="385"/>
      <c r="BV88" s="345"/>
      <c r="BW88" s="345"/>
      <c r="BX88" s="345"/>
      <c r="BY88" s="345"/>
      <c r="BZ88" s="345"/>
      <c r="CA88" s="345"/>
      <c r="CB88" s="345"/>
      <c r="CC88" s="345"/>
      <c r="CD88" s="345"/>
      <c r="CE88" s="345"/>
      <c r="CF88" s="345"/>
      <c r="CG88" s="345"/>
      <c r="CH88" s="345"/>
      <c r="CI88" s="345"/>
      <c r="CJ88" s="345"/>
      <c r="CK88" s="345"/>
      <c r="CL88" s="345"/>
      <c r="CM88" s="345"/>
      <c r="CN88" s="345"/>
      <c r="CO88" s="345"/>
      <c r="CP88" s="345"/>
      <c r="CQ88" s="345"/>
      <c r="CR88" s="345"/>
      <c r="CS88" s="345"/>
      <c r="CT88" s="345"/>
      <c r="CU88" s="345"/>
      <c r="CV88" s="345"/>
      <c r="CW88" s="345"/>
      <c r="CX88" s="345"/>
      <c r="CY88" s="345"/>
      <c r="CZ88" s="345"/>
      <c r="DA88" s="345"/>
      <c r="DB88" s="345"/>
      <c r="DC88" s="345"/>
      <c r="DD88" s="345"/>
      <c r="DE88" s="345"/>
      <c r="DF88" s="345"/>
      <c r="DG88" s="345"/>
      <c r="DH88" s="345"/>
      <c r="DI88" s="345"/>
      <c r="DJ88" s="345"/>
      <c r="DK88" s="345"/>
      <c r="DL88" s="345"/>
      <c r="DM88" s="345"/>
      <c r="DN88" s="345"/>
      <c r="DO88" s="345"/>
      <c r="DP88" s="345"/>
      <c r="DQ88" s="345"/>
      <c r="DR88" s="345"/>
      <c r="DS88" s="345"/>
      <c r="DT88" s="345"/>
      <c r="DU88" s="345"/>
      <c r="DV88" s="345"/>
      <c r="DW88" s="345"/>
      <c r="DX88" s="345"/>
      <c r="DY88" s="345"/>
      <c r="DZ88" s="345"/>
      <c r="EA88" s="345"/>
      <c r="EB88" s="345"/>
      <c r="EC88" s="345"/>
      <c r="ED88" s="346"/>
      <c r="EE88" s="329" t="str">
        <f t="shared" si="11"/>
        <v>x</v>
      </c>
      <c r="EF88" s="330"/>
      <c r="EG88" s="330" t="str">
        <f>IF(COUNTIF(C88:AB88, "x"), "x", "")</f>
        <v/>
      </c>
      <c r="EH88" s="330" t="str">
        <f t="shared" si="14"/>
        <v>x</v>
      </c>
      <c r="EI88" s="330" t="str">
        <f t="shared" si="8"/>
        <v/>
      </c>
      <c r="EJ88" s="331" t="str">
        <f t="shared" si="12"/>
        <v/>
      </c>
      <c r="EK88" s="47"/>
    </row>
    <row r="89" spans="1:141" x14ac:dyDescent="0.2">
      <c r="A89" s="559"/>
      <c r="B89" s="311">
        <v>87</v>
      </c>
      <c r="C89" s="380"/>
      <c r="D89" s="389"/>
      <c r="E89" s="389"/>
      <c r="F89" s="389"/>
      <c r="G89" s="389"/>
      <c r="H89" s="389"/>
      <c r="I89" s="389"/>
      <c r="J89" s="389"/>
      <c r="K89" s="389"/>
      <c r="L89" s="389"/>
      <c r="M89" s="389"/>
      <c r="N89" s="389"/>
      <c r="O89" s="389"/>
      <c r="P89" s="389"/>
      <c r="Q89" s="389"/>
      <c r="R89" s="389"/>
      <c r="S89" s="389"/>
      <c r="T89" s="389"/>
      <c r="U89" s="389"/>
      <c r="V89" s="389"/>
      <c r="W89" s="389"/>
      <c r="X89" s="389"/>
      <c r="Y89" s="389"/>
      <c r="Z89" s="389"/>
      <c r="AA89" s="389"/>
      <c r="AB89" s="389"/>
      <c r="AC89" s="424"/>
      <c r="AD89" s="389"/>
      <c r="AE89" s="428"/>
      <c r="AF89" s="389"/>
      <c r="AG89" s="389"/>
      <c r="AH89" s="389"/>
      <c r="AI89" s="428"/>
      <c r="AJ89" s="428"/>
      <c r="AK89" s="428"/>
      <c r="AL89" s="389"/>
      <c r="AM89" s="389"/>
      <c r="AN89" s="428"/>
      <c r="AO89" s="428"/>
      <c r="AP89" s="428"/>
      <c r="AQ89" s="380"/>
      <c r="AR89" s="353"/>
      <c r="AS89" s="353"/>
      <c r="AT89" s="353"/>
      <c r="AU89" s="353"/>
      <c r="AV89" s="353"/>
      <c r="AW89" s="353"/>
      <c r="AX89" s="345"/>
      <c r="AY89" s="353"/>
      <c r="AZ89" s="353"/>
      <c r="BA89" s="353"/>
      <c r="BB89" s="353"/>
      <c r="BC89" s="353"/>
      <c r="BD89" s="353"/>
      <c r="BE89" s="353"/>
      <c r="BF89" s="345"/>
      <c r="BG89" s="353"/>
      <c r="BH89" s="353"/>
      <c r="BI89" s="353"/>
      <c r="BJ89" s="353"/>
      <c r="BK89" s="353"/>
      <c r="BL89" s="353"/>
      <c r="BM89" s="353"/>
      <c r="BN89" s="345"/>
      <c r="BO89" s="353"/>
      <c r="BP89" s="353"/>
      <c r="BQ89" s="353"/>
      <c r="BR89" s="353"/>
      <c r="BS89" s="353"/>
      <c r="BT89" s="345"/>
      <c r="BU89" s="385"/>
      <c r="BV89" s="345"/>
      <c r="BW89" s="345"/>
      <c r="BX89" s="345"/>
      <c r="BY89" s="345"/>
      <c r="BZ89" s="345"/>
      <c r="CA89" s="345"/>
      <c r="CB89" s="345"/>
      <c r="CC89" s="345"/>
      <c r="CD89" s="345"/>
      <c r="CE89" s="345"/>
      <c r="CF89" s="345"/>
      <c r="CG89" s="345"/>
      <c r="CH89" s="345"/>
      <c r="CI89" s="345"/>
      <c r="CJ89" s="345"/>
      <c r="CK89" s="345"/>
      <c r="CL89" s="345"/>
      <c r="CM89" s="345"/>
      <c r="CN89" s="345"/>
      <c r="CO89" s="345"/>
      <c r="CP89" s="345"/>
      <c r="CQ89" s="345"/>
      <c r="CR89" s="345"/>
      <c r="CS89" s="345"/>
      <c r="CT89" s="345"/>
      <c r="CU89" s="345"/>
      <c r="CV89" s="345"/>
      <c r="CW89" s="345"/>
      <c r="CX89" s="345"/>
      <c r="CY89" s="345"/>
      <c r="CZ89" s="345"/>
      <c r="DA89" s="345"/>
      <c r="DB89" s="345"/>
      <c r="DC89" s="345"/>
      <c r="DD89" s="345"/>
      <c r="DE89" s="345"/>
      <c r="DF89" s="345"/>
      <c r="DG89" s="345"/>
      <c r="DH89" s="345"/>
      <c r="DI89" s="345"/>
      <c r="DJ89" s="345"/>
      <c r="DK89" s="345"/>
      <c r="DL89" s="345"/>
      <c r="DM89" s="345"/>
      <c r="DN89" s="345"/>
      <c r="DO89" s="345"/>
      <c r="DP89" s="345"/>
      <c r="DQ89" s="345"/>
      <c r="DR89" s="345"/>
      <c r="DS89" s="345"/>
      <c r="DT89" s="345"/>
      <c r="DU89" s="345"/>
      <c r="DV89" s="345"/>
      <c r="DW89" s="345"/>
      <c r="DX89" s="345"/>
      <c r="DY89" s="345"/>
      <c r="DZ89" s="345"/>
      <c r="EA89" s="345"/>
      <c r="EB89" s="345"/>
      <c r="EC89" s="345"/>
      <c r="ED89" s="346"/>
      <c r="EE89" s="329" t="str">
        <f t="shared" si="11"/>
        <v/>
      </c>
      <c r="EF89" s="330"/>
      <c r="EG89" s="330" t="str">
        <f t="shared" ref="EG89:EG103" si="15">IF(COUNTIF(C89:AB89, "x"), "x", "")</f>
        <v/>
      </c>
      <c r="EH89" s="330" t="str">
        <f t="shared" si="14"/>
        <v/>
      </c>
      <c r="EI89" s="330" t="str">
        <f t="shared" si="8"/>
        <v/>
      </c>
      <c r="EJ89" s="331" t="str">
        <f t="shared" si="12"/>
        <v/>
      </c>
      <c r="EK89" s="47"/>
    </row>
    <row r="90" spans="1:141" x14ac:dyDescent="0.2">
      <c r="A90" s="559"/>
      <c r="B90" s="311">
        <v>88</v>
      </c>
      <c r="C90" s="380"/>
      <c r="D90" s="389"/>
      <c r="E90" s="389"/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  <c r="AA90" s="389"/>
      <c r="AB90" s="389"/>
      <c r="AC90" s="424"/>
      <c r="AD90" s="389"/>
      <c r="AE90" s="428"/>
      <c r="AF90" s="389"/>
      <c r="AG90" s="389"/>
      <c r="AH90" s="391" t="s">
        <v>9409</v>
      </c>
      <c r="AI90" s="428"/>
      <c r="AJ90" s="428"/>
      <c r="AK90" s="428"/>
      <c r="AL90" s="389"/>
      <c r="AM90" s="389"/>
      <c r="AN90" s="428"/>
      <c r="AO90" s="428"/>
      <c r="AP90" s="428"/>
      <c r="AQ90" s="380"/>
      <c r="AR90" s="353"/>
      <c r="AS90" s="353"/>
      <c r="AT90" s="353"/>
      <c r="AU90" s="353"/>
      <c r="AV90" s="353"/>
      <c r="AW90" s="353"/>
      <c r="AX90" s="345"/>
      <c r="AY90" s="353"/>
      <c r="AZ90" s="353"/>
      <c r="BA90" s="353"/>
      <c r="BB90" s="353"/>
      <c r="BC90" s="353"/>
      <c r="BD90" s="353"/>
      <c r="BE90" s="353"/>
      <c r="BF90" s="345"/>
      <c r="BG90" s="353"/>
      <c r="BH90" s="353"/>
      <c r="BI90" s="353"/>
      <c r="BJ90" s="353"/>
      <c r="BK90" s="353"/>
      <c r="BL90" s="353"/>
      <c r="BM90" s="353"/>
      <c r="BN90" s="345"/>
      <c r="BO90" s="353"/>
      <c r="BP90" s="353"/>
      <c r="BQ90" s="353"/>
      <c r="BR90" s="353"/>
      <c r="BS90" s="353"/>
      <c r="BT90" s="345"/>
      <c r="BU90" s="385"/>
      <c r="BV90" s="345"/>
      <c r="BW90" s="345"/>
      <c r="BX90" s="345"/>
      <c r="BY90" s="345"/>
      <c r="BZ90" s="345"/>
      <c r="CA90" s="345"/>
      <c r="CB90" s="345"/>
      <c r="CC90" s="345"/>
      <c r="CD90" s="345"/>
      <c r="CE90" s="345"/>
      <c r="CF90" s="345"/>
      <c r="CG90" s="345"/>
      <c r="CH90" s="345"/>
      <c r="CI90" s="345"/>
      <c r="CJ90" s="345"/>
      <c r="CK90" s="345"/>
      <c r="CL90" s="345"/>
      <c r="CM90" s="345"/>
      <c r="CN90" s="345"/>
      <c r="CO90" s="345"/>
      <c r="CP90" s="345"/>
      <c r="CQ90" s="345"/>
      <c r="CR90" s="345"/>
      <c r="CS90" s="345"/>
      <c r="CT90" s="345"/>
      <c r="CU90" s="345"/>
      <c r="CV90" s="345"/>
      <c r="CW90" s="345"/>
      <c r="CX90" s="345"/>
      <c r="CY90" s="345"/>
      <c r="CZ90" s="345"/>
      <c r="DA90" s="345"/>
      <c r="DB90" s="345"/>
      <c r="DC90" s="345"/>
      <c r="DD90" s="345"/>
      <c r="DE90" s="345"/>
      <c r="DF90" s="345"/>
      <c r="DG90" s="345"/>
      <c r="DH90" s="345"/>
      <c r="DI90" s="345"/>
      <c r="DJ90" s="345"/>
      <c r="DK90" s="345"/>
      <c r="DL90" s="345"/>
      <c r="DM90" s="345"/>
      <c r="DN90" s="345"/>
      <c r="DO90" s="345"/>
      <c r="DP90" s="345"/>
      <c r="DQ90" s="345"/>
      <c r="DR90" s="345"/>
      <c r="DS90" s="345"/>
      <c r="DT90" s="345"/>
      <c r="DU90" s="345"/>
      <c r="DV90" s="345"/>
      <c r="DW90" s="345"/>
      <c r="DX90" s="345"/>
      <c r="DY90" s="345"/>
      <c r="DZ90" s="345"/>
      <c r="EA90" s="345"/>
      <c r="EB90" s="345"/>
      <c r="EC90" s="345"/>
      <c r="ED90" s="346"/>
      <c r="EE90" s="329" t="str">
        <f t="shared" si="11"/>
        <v>x</v>
      </c>
      <c r="EF90" s="330"/>
      <c r="EG90" s="330" t="str">
        <f t="shared" si="15"/>
        <v/>
      </c>
      <c r="EH90" s="330" t="str">
        <f t="shared" si="14"/>
        <v>x</v>
      </c>
      <c r="EI90" s="330" t="str">
        <f t="shared" si="8"/>
        <v/>
      </c>
      <c r="EJ90" s="331" t="str">
        <f t="shared" si="12"/>
        <v/>
      </c>
      <c r="EK90" s="47"/>
    </row>
    <row r="91" spans="1:141" x14ac:dyDescent="0.2">
      <c r="A91" s="559"/>
      <c r="B91" s="311">
        <v>89</v>
      </c>
      <c r="C91" s="380"/>
      <c r="D91" s="389"/>
      <c r="E91" s="389"/>
      <c r="F91" s="389"/>
      <c r="G91" s="389"/>
      <c r="H91" s="389"/>
      <c r="I91" s="389"/>
      <c r="J91" s="389"/>
      <c r="K91" s="389"/>
      <c r="L91" s="389" t="s">
        <v>9409</v>
      </c>
      <c r="M91" s="389"/>
      <c r="N91" s="389"/>
      <c r="O91" s="389"/>
      <c r="P91" s="389"/>
      <c r="Q91" s="389"/>
      <c r="R91" s="389"/>
      <c r="S91" s="389"/>
      <c r="T91" s="389"/>
      <c r="U91" s="389"/>
      <c r="V91" s="389"/>
      <c r="W91" s="389"/>
      <c r="X91" s="389"/>
      <c r="Y91" s="389"/>
      <c r="Z91" s="389"/>
      <c r="AA91" s="389"/>
      <c r="AB91" s="389"/>
      <c r="AC91" s="424"/>
      <c r="AD91" s="389"/>
      <c r="AE91" s="428"/>
      <c r="AF91" s="389"/>
      <c r="AG91" s="389"/>
      <c r="AH91" s="389"/>
      <c r="AI91" s="428"/>
      <c r="AJ91" s="428"/>
      <c r="AK91" s="428"/>
      <c r="AL91" s="389"/>
      <c r="AM91" s="389"/>
      <c r="AN91" s="428"/>
      <c r="AO91" s="428"/>
      <c r="AP91" s="428"/>
      <c r="AQ91" s="380"/>
      <c r="AR91" s="353"/>
      <c r="AS91" s="353"/>
      <c r="AT91" s="353"/>
      <c r="AU91" s="353"/>
      <c r="AV91" s="353"/>
      <c r="AW91" s="353"/>
      <c r="AX91" s="345"/>
      <c r="AY91" s="353"/>
      <c r="AZ91" s="353"/>
      <c r="BA91" s="353"/>
      <c r="BB91" s="353" t="s">
        <v>9409</v>
      </c>
      <c r="BC91" s="353"/>
      <c r="BD91" s="353"/>
      <c r="BE91" s="353"/>
      <c r="BF91" s="345"/>
      <c r="BG91" s="353"/>
      <c r="BH91" s="353"/>
      <c r="BI91" s="353"/>
      <c r="BJ91" s="353"/>
      <c r="BK91" s="353"/>
      <c r="BL91" s="353"/>
      <c r="BM91" s="353"/>
      <c r="BN91" s="345"/>
      <c r="BO91" s="353"/>
      <c r="BP91" s="353"/>
      <c r="BQ91" s="353"/>
      <c r="BR91" s="353"/>
      <c r="BS91" s="353"/>
      <c r="BT91" s="345"/>
      <c r="BU91" s="38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6"/>
      <c r="EE91" s="329" t="str">
        <f t="shared" si="11"/>
        <v>x</v>
      </c>
      <c r="EF91" s="330"/>
      <c r="EG91" s="330" t="str">
        <f t="shared" si="15"/>
        <v>x</v>
      </c>
      <c r="EH91" s="330" t="str">
        <f t="shared" si="14"/>
        <v/>
      </c>
      <c r="EI91" s="330" t="str">
        <f t="shared" si="8"/>
        <v>x</v>
      </c>
      <c r="EJ91" s="331" t="str">
        <f>IF(COUNTIF(BV91:ED91, "x"), "x", "")</f>
        <v/>
      </c>
    </row>
    <row r="92" spans="1:141" x14ac:dyDescent="0.2">
      <c r="A92" s="559"/>
      <c r="B92" s="311">
        <v>90</v>
      </c>
      <c r="C92" s="380"/>
      <c r="D92" s="389"/>
      <c r="E92" s="389"/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  <c r="AA92" s="389"/>
      <c r="AB92" s="389"/>
      <c r="AC92" s="424"/>
      <c r="AD92" s="389"/>
      <c r="AE92" s="428"/>
      <c r="AF92" s="389"/>
      <c r="AG92" s="389"/>
      <c r="AH92" s="389"/>
      <c r="AI92" s="428"/>
      <c r="AJ92" s="428"/>
      <c r="AK92" s="428"/>
      <c r="AL92" s="389"/>
      <c r="AM92" s="389"/>
      <c r="AN92" s="428"/>
      <c r="AO92" s="428"/>
      <c r="AP92" s="428"/>
      <c r="AQ92" s="380"/>
      <c r="AR92" s="353"/>
      <c r="AS92" s="353"/>
      <c r="AT92" s="353"/>
      <c r="AU92" s="353"/>
      <c r="AV92" s="353"/>
      <c r="AW92" s="353"/>
      <c r="AX92" s="345"/>
      <c r="AY92" s="353"/>
      <c r="AZ92" s="353"/>
      <c r="BA92" s="353"/>
      <c r="BB92" s="353"/>
      <c r="BC92" s="353"/>
      <c r="BD92" s="353"/>
      <c r="BE92" s="353"/>
      <c r="BF92" s="345"/>
      <c r="BG92" s="353"/>
      <c r="BH92" s="353"/>
      <c r="BI92" s="353"/>
      <c r="BJ92" s="353"/>
      <c r="BK92" s="353"/>
      <c r="BL92" s="353"/>
      <c r="BM92" s="353"/>
      <c r="BN92" s="345"/>
      <c r="BO92" s="353"/>
      <c r="BP92" s="353"/>
      <c r="BQ92" s="353"/>
      <c r="BR92" s="353"/>
      <c r="BS92" s="353"/>
      <c r="BT92" s="345"/>
      <c r="BU92" s="385"/>
      <c r="BV92" s="345"/>
      <c r="BW92" s="345"/>
      <c r="BX92" s="345"/>
      <c r="BY92" s="345"/>
      <c r="BZ92" s="345"/>
      <c r="CA92" s="345"/>
      <c r="CB92" s="345"/>
      <c r="CC92" s="345"/>
      <c r="CD92" s="345"/>
      <c r="CE92" s="345"/>
      <c r="CF92" s="345"/>
      <c r="CG92" s="345"/>
      <c r="CH92" s="345"/>
      <c r="CI92" s="345"/>
      <c r="CJ92" s="345"/>
      <c r="CK92" s="345"/>
      <c r="CL92" s="345"/>
      <c r="CM92" s="345"/>
      <c r="CN92" s="345"/>
      <c r="CO92" s="345"/>
      <c r="CP92" s="345"/>
      <c r="CQ92" s="345"/>
      <c r="CR92" s="345"/>
      <c r="CS92" s="345"/>
      <c r="CT92" s="345"/>
      <c r="CU92" s="345"/>
      <c r="CV92" s="345"/>
      <c r="CW92" s="345"/>
      <c r="CX92" s="345"/>
      <c r="CY92" s="345"/>
      <c r="CZ92" s="345"/>
      <c r="DA92" s="345"/>
      <c r="DB92" s="345"/>
      <c r="DC92" s="345"/>
      <c r="DD92" s="345"/>
      <c r="DE92" s="345"/>
      <c r="DF92" s="345"/>
      <c r="DG92" s="345"/>
      <c r="DH92" s="345"/>
      <c r="DI92" s="345"/>
      <c r="DJ92" s="345"/>
      <c r="DK92" s="345"/>
      <c r="DL92" s="345"/>
      <c r="DM92" s="345"/>
      <c r="DN92" s="345"/>
      <c r="DO92" s="345"/>
      <c r="DP92" s="345"/>
      <c r="DQ92" s="345"/>
      <c r="DR92" s="345"/>
      <c r="DS92" s="345"/>
      <c r="DT92" s="345"/>
      <c r="DU92" s="345"/>
      <c r="DV92" s="345"/>
      <c r="DW92" s="345"/>
      <c r="DX92" s="345"/>
      <c r="DY92" s="345"/>
      <c r="DZ92" s="345"/>
      <c r="EA92" s="345"/>
      <c r="EB92" s="345"/>
      <c r="EC92" s="345"/>
      <c r="ED92" s="346"/>
      <c r="EE92" s="329" t="str">
        <f>IF(COUNTIF(C92:ED92, "x"), "x", "")</f>
        <v/>
      </c>
      <c r="EF92" s="330"/>
      <c r="EG92" s="330" t="str">
        <f t="shared" si="15"/>
        <v/>
      </c>
      <c r="EH92" s="330" t="str">
        <f t="shared" si="14"/>
        <v/>
      </c>
      <c r="EI92" s="330" t="str">
        <f t="shared" si="8"/>
        <v/>
      </c>
      <c r="EJ92" s="331" t="str">
        <f t="shared" ref="EJ92:EJ108" si="16">IF(COUNTIF(BV92:ED92, "x"), "x", "")</f>
        <v/>
      </c>
    </row>
    <row r="93" spans="1:141" x14ac:dyDescent="0.2">
      <c r="A93" s="559"/>
      <c r="B93" s="311">
        <v>91</v>
      </c>
      <c r="C93" s="380"/>
      <c r="D93" s="389"/>
      <c r="E93" s="389"/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  <c r="AA93" s="389"/>
      <c r="AB93" s="389"/>
      <c r="AC93" s="424"/>
      <c r="AD93" s="389"/>
      <c r="AE93" s="430" t="s">
        <v>11893</v>
      </c>
      <c r="AF93" s="353"/>
      <c r="AG93" s="353"/>
      <c r="AH93" s="430" t="s">
        <v>9409</v>
      </c>
      <c r="AI93" s="345"/>
      <c r="AJ93" s="428"/>
      <c r="AK93" s="428"/>
      <c r="AL93" s="389"/>
      <c r="AM93" s="389"/>
      <c r="AN93" s="428"/>
      <c r="AO93" s="428"/>
      <c r="AP93" s="428"/>
      <c r="AQ93" s="380"/>
      <c r="AR93" s="353"/>
      <c r="AS93" s="353"/>
      <c r="AT93" s="353"/>
      <c r="AU93" s="353"/>
      <c r="AV93" s="353"/>
      <c r="AW93" s="353"/>
      <c r="AX93" s="345"/>
      <c r="AY93" s="353"/>
      <c r="AZ93" s="353"/>
      <c r="BA93" s="353"/>
      <c r="BB93" s="353"/>
      <c r="BC93" s="353"/>
      <c r="BD93" s="353"/>
      <c r="BE93" s="353"/>
      <c r="BF93" s="345"/>
      <c r="BG93" s="353"/>
      <c r="BH93" s="353"/>
      <c r="BI93" s="353"/>
      <c r="BJ93" s="353"/>
      <c r="BK93" s="353"/>
      <c r="BL93" s="353"/>
      <c r="BM93" s="353"/>
      <c r="BN93" s="345"/>
      <c r="BO93" s="353"/>
      <c r="BP93" s="353"/>
      <c r="BQ93" s="353"/>
      <c r="BR93" s="353"/>
      <c r="BS93" s="353"/>
      <c r="BT93" s="345"/>
      <c r="BU93" s="38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6"/>
      <c r="EE93" s="329" t="str">
        <f t="shared" ref="EE93:EE109" si="17">IF(COUNTIF(C93:ED93, "x"), "x", "")</f>
        <v>x</v>
      </c>
      <c r="EF93" s="330"/>
      <c r="EG93" s="330" t="str">
        <f t="shared" si="15"/>
        <v/>
      </c>
      <c r="EH93" s="330" t="str">
        <f t="shared" si="14"/>
        <v>x</v>
      </c>
      <c r="EI93" s="330" t="str">
        <f t="shared" si="8"/>
        <v/>
      </c>
      <c r="EJ93" s="331" t="str">
        <f t="shared" si="16"/>
        <v/>
      </c>
      <c r="EK93" s="33" t="s">
        <v>11888</v>
      </c>
    </row>
    <row r="94" spans="1:141" x14ac:dyDescent="0.2">
      <c r="A94" s="559"/>
      <c r="B94" s="311">
        <v>92</v>
      </c>
      <c r="C94" s="380"/>
      <c r="D94" s="389"/>
      <c r="E94" s="389"/>
      <c r="F94" s="389"/>
      <c r="G94" s="389"/>
      <c r="H94" s="389"/>
      <c r="I94" s="389"/>
      <c r="J94" s="389"/>
      <c r="K94" s="389" t="s">
        <v>9409</v>
      </c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424"/>
      <c r="AD94" s="389"/>
      <c r="AE94" s="428"/>
      <c r="AF94" s="389"/>
      <c r="AG94" s="389"/>
      <c r="AH94" s="389"/>
      <c r="AI94" s="428"/>
      <c r="AJ94" s="428"/>
      <c r="AK94" s="428"/>
      <c r="AL94" s="389"/>
      <c r="AM94" s="389"/>
      <c r="AN94" s="428"/>
      <c r="AO94" s="428"/>
      <c r="AP94" s="428"/>
      <c r="AQ94" s="380"/>
      <c r="AR94" s="353"/>
      <c r="AS94" s="353"/>
      <c r="AT94" s="353"/>
      <c r="AU94" s="353"/>
      <c r="AV94" s="353"/>
      <c r="AW94" s="353"/>
      <c r="AX94" s="345"/>
      <c r="AY94" s="353"/>
      <c r="AZ94" s="389" t="s">
        <v>9409</v>
      </c>
      <c r="BA94" s="353"/>
      <c r="BB94" s="353"/>
      <c r="BC94" s="353"/>
      <c r="BD94" s="353"/>
      <c r="BE94" s="353"/>
      <c r="BF94" s="345"/>
      <c r="BG94" s="353"/>
      <c r="BH94" s="353"/>
      <c r="BI94" s="353"/>
      <c r="BJ94" s="353"/>
      <c r="BK94" s="353"/>
      <c r="BL94" s="353"/>
      <c r="BM94" s="353"/>
      <c r="BN94" s="345"/>
      <c r="BO94" s="353"/>
      <c r="BP94" s="353"/>
      <c r="BQ94" s="353"/>
      <c r="BR94" s="353"/>
      <c r="BS94" s="353"/>
      <c r="BT94" s="345"/>
      <c r="BU94" s="385"/>
      <c r="BV94" s="345"/>
      <c r="BW94" s="345"/>
      <c r="BX94" s="345"/>
      <c r="BY94" s="345"/>
      <c r="BZ94" s="345"/>
      <c r="CA94" s="345"/>
      <c r="CB94" s="345"/>
      <c r="CC94" s="345"/>
      <c r="CD94" s="345"/>
      <c r="CE94" s="345"/>
      <c r="CF94" s="345"/>
      <c r="CG94" s="345"/>
      <c r="CH94" s="345"/>
      <c r="CI94" s="345"/>
      <c r="CJ94" s="345"/>
      <c r="CK94" s="345"/>
      <c r="CL94" s="345"/>
      <c r="CM94" s="345"/>
      <c r="CN94" s="345"/>
      <c r="CO94" s="345"/>
      <c r="CP94" s="345"/>
      <c r="CQ94" s="345"/>
      <c r="CR94" s="345"/>
      <c r="CS94" s="345"/>
      <c r="CT94" s="345"/>
      <c r="CU94" s="345"/>
      <c r="CV94" s="345"/>
      <c r="CW94" s="345"/>
      <c r="CX94" s="345"/>
      <c r="CY94" s="345"/>
      <c r="CZ94" s="345"/>
      <c r="DA94" s="345"/>
      <c r="DB94" s="345"/>
      <c r="DC94" s="345"/>
      <c r="DD94" s="345"/>
      <c r="DE94" s="345"/>
      <c r="DF94" s="345"/>
      <c r="DG94" s="345"/>
      <c r="DH94" s="345"/>
      <c r="DI94" s="345"/>
      <c r="DJ94" s="345"/>
      <c r="DK94" s="345"/>
      <c r="DL94" s="345"/>
      <c r="DM94" s="345"/>
      <c r="DN94" s="345"/>
      <c r="DO94" s="345"/>
      <c r="DP94" s="345"/>
      <c r="DQ94" s="345"/>
      <c r="DR94" s="345"/>
      <c r="DS94" s="345"/>
      <c r="DT94" s="345"/>
      <c r="DU94" s="345"/>
      <c r="DV94" s="345"/>
      <c r="DW94" s="345"/>
      <c r="DX94" s="345"/>
      <c r="DY94" s="345"/>
      <c r="DZ94" s="345"/>
      <c r="EA94" s="345"/>
      <c r="EB94" s="345"/>
      <c r="EC94" s="345"/>
      <c r="ED94" s="346"/>
      <c r="EE94" s="329" t="str">
        <f t="shared" si="17"/>
        <v>x</v>
      </c>
      <c r="EF94" s="330"/>
      <c r="EG94" s="330" t="str">
        <f t="shared" si="15"/>
        <v>x</v>
      </c>
      <c r="EH94" s="330" t="str">
        <f t="shared" si="14"/>
        <v/>
      </c>
      <c r="EI94" s="330" t="str">
        <f t="shared" si="8"/>
        <v>x</v>
      </c>
      <c r="EJ94" s="331" t="str">
        <f t="shared" si="16"/>
        <v/>
      </c>
      <c r="EK94" s="47"/>
    </row>
    <row r="95" spans="1:141" x14ac:dyDescent="0.2">
      <c r="A95" s="559"/>
      <c r="B95" s="311">
        <v>93</v>
      </c>
      <c r="C95" s="380"/>
      <c r="D95" s="389"/>
      <c r="E95" s="389"/>
      <c r="F95" s="389"/>
      <c r="G95" s="389"/>
      <c r="H95" s="389"/>
      <c r="I95" s="389"/>
      <c r="J95" s="389"/>
      <c r="K95" s="389" t="s">
        <v>9409</v>
      </c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  <c r="AA95" s="389"/>
      <c r="AB95" s="389"/>
      <c r="AC95" s="424"/>
      <c r="AD95" s="389"/>
      <c r="AE95" s="428"/>
      <c r="AF95" s="389"/>
      <c r="AG95" s="389"/>
      <c r="AH95" s="389"/>
      <c r="AI95" s="428"/>
      <c r="AJ95" s="428"/>
      <c r="AK95" s="428"/>
      <c r="AL95" s="389"/>
      <c r="AM95" s="389"/>
      <c r="AN95" s="428"/>
      <c r="AO95" s="428"/>
      <c r="AP95" s="428"/>
      <c r="AQ95" s="380"/>
      <c r="AR95" s="353"/>
      <c r="AS95" s="353"/>
      <c r="AT95" s="353"/>
      <c r="AU95" s="353"/>
      <c r="AV95" s="353"/>
      <c r="AW95" s="353"/>
      <c r="AX95" s="345"/>
      <c r="AY95" s="353"/>
      <c r="AZ95" s="353" t="s">
        <v>9409</v>
      </c>
      <c r="BA95" s="353"/>
      <c r="BB95" s="353"/>
      <c r="BC95" s="353"/>
      <c r="BD95" s="353"/>
      <c r="BE95" s="353"/>
      <c r="BF95" s="345"/>
      <c r="BG95" s="353"/>
      <c r="BH95" s="353"/>
      <c r="BI95" s="353"/>
      <c r="BJ95" s="353"/>
      <c r="BK95" s="353"/>
      <c r="BL95" s="353"/>
      <c r="BM95" s="353"/>
      <c r="BN95" s="345"/>
      <c r="BO95" s="353"/>
      <c r="BP95" s="353"/>
      <c r="BQ95" s="353"/>
      <c r="BR95" s="353"/>
      <c r="BS95" s="353"/>
      <c r="BT95" s="345"/>
      <c r="BU95" s="385"/>
      <c r="BV95" s="345"/>
      <c r="BW95" s="345"/>
      <c r="BX95" s="345"/>
      <c r="BY95" s="345"/>
      <c r="BZ95" s="345"/>
      <c r="CA95" s="345"/>
      <c r="CB95" s="345"/>
      <c r="CC95" s="345"/>
      <c r="CD95" s="345"/>
      <c r="CE95" s="345"/>
      <c r="CF95" s="345"/>
      <c r="CG95" s="345"/>
      <c r="CH95" s="345"/>
      <c r="CI95" s="345"/>
      <c r="CJ95" s="345"/>
      <c r="CK95" s="345"/>
      <c r="CL95" s="345"/>
      <c r="CM95" s="345"/>
      <c r="CN95" s="345"/>
      <c r="CO95" s="345"/>
      <c r="CP95" s="345"/>
      <c r="CQ95" s="345"/>
      <c r="CR95" s="345"/>
      <c r="CS95" s="345"/>
      <c r="CT95" s="345"/>
      <c r="CU95" s="345"/>
      <c r="CV95" s="345"/>
      <c r="CW95" s="345"/>
      <c r="CX95" s="345"/>
      <c r="CY95" s="345"/>
      <c r="CZ95" s="345"/>
      <c r="DA95" s="345"/>
      <c r="DB95" s="345"/>
      <c r="DC95" s="345"/>
      <c r="DD95" s="345"/>
      <c r="DE95" s="345"/>
      <c r="DF95" s="345"/>
      <c r="DG95" s="345"/>
      <c r="DH95" s="345"/>
      <c r="DI95" s="345"/>
      <c r="DJ95" s="345"/>
      <c r="DK95" s="345"/>
      <c r="DL95" s="345"/>
      <c r="DM95" s="345"/>
      <c r="DN95" s="345"/>
      <c r="DO95" s="345"/>
      <c r="DP95" s="345"/>
      <c r="DQ95" s="345"/>
      <c r="DR95" s="345"/>
      <c r="DS95" s="345"/>
      <c r="DT95" s="345"/>
      <c r="DU95" s="345"/>
      <c r="DV95" s="345"/>
      <c r="DW95" s="345"/>
      <c r="DX95" s="345"/>
      <c r="DY95" s="345"/>
      <c r="DZ95" s="345"/>
      <c r="EA95" s="345"/>
      <c r="EB95" s="345"/>
      <c r="EC95" s="345"/>
      <c r="ED95" s="346"/>
      <c r="EE95" s="329" t="str">
        <f t="shared" si="17"/>
        <v>x</v>
      </c>
      <c r="EF95" s="330"/>
      <c r="EG95" s="330" t="str">
        <f t="shared" si="15"/>
        <v>x</v>
      </c>
      <c r="EH95" s="330" t="str">
        <f t="shared" si="14"/>
        <v/>
      </c>
      <c r="EI95" s="330" t="str">
        <f t="shared" si="8"/>
        <v>x</v>
      </c>
      <c r="EJ95" s="331" t="str">
        <f t="shared" si="16"/>
        <v/>
      </c>
      <c r="EK95" s="47"/>
    </row>
    <row r="96" spans="1:141" x14ac:dyDescent="0.2">
      <c r="A96" s="559"/>
      <c r="B96" s="311">
        <v>94</v>
      </c>
      <c r="C96" s="380"/>
      <c r="D96" s="389"/>
      <c r="E96" s="389"/>
      <c r="F96" s="389"/>
      <c r="G96" s="389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424"/>
      <c r="AD96" s="389"/>
      <c r="AE96" s="428"/>
      <c r="AF96" s="389"/>
      <c r="AG96" s="389"/>
      <c r="AH96" s="389"/>
      <c r="AI96" s="428"/>
      <c r="AJ96" s="428"/>
      <c r="AK96" s="428"/>
      <c r="AL96" s="389"/>
      <c r="AM96" s="389"/>
      <c r="AN96" s="428"/>
      <c r="AO96" s="428"/>
      <c r="AP96" s="428"/>
      <c r="AQ96" s="380"/>
      <c r="AR96" s="353"/>
      <c r="AS96" s="353"/>
      <c r="AT96" s="353"/>
      <c r="AU96" s="353"/>
      <c r="AV96" s="353"/>
      <c r="AW96" s="353"/>
      <c r="AX96" s="345"/>
      <c r="AY96" s="353"/>
      <c r="AZ96" s="353"/>
      <c r="BA96" s="353"/>
      <c r="BB96" s="353"/>
      <c r="BC96" s="353"/>
      <c r="BD96" s="353"/>
      <c r="BE96" s="353"/>
      <c r="BF96" s="345"/>
      <c r="BG96" s="353"/>
      <c r="BH96" s="353"/>
      <c r="BI96" s="353"/>
      <c r="BJ96" s="353"/>
      <c r="BK96" s="353"/>
      <c r="BL96" s="353"/>
      <c r="BM96" s="353"/>
      <c r="BN96" s="345"/>
      <c r="BO96" s="353"/>
      <c r="BP96" s="353"/>
      <c r="BQ96" s="353"/>
      <c r="BR96" s="353"/>
      <c r="BS96" s="353"/>
      <c r="BT96" s="345"/>
      <c r="BU96" s="385"/>
      <c r="BV96" s="345"/>
      <c r="BW96" s="345"/>
      <c r="BX96" s="345"/>
      <c r="BY96" s="345"/>
      <c r="BZ96" s="345"/>
      <c r="CA96" s="345"/>
      <c r="CB96" s="345"/>
      <c r="CC96" s="345"/>
      <c r="CD96" s="345"/>
      <c r="CE96" s="345"/>
      <c r="CF96" s="345"/>
      <c r="CG96" s="345"/>
      <c r="CH96" s="345"/>
      <c r="CI96" s="345"/>
      <c r="CJ96" s="345"/>
      <c r="CK96" s="345"/>
      <c r="CL96" s="345"/>
      <c r="CM96" s="345"/>
      <c r="CN96" s="345"/>
      <c r="CO96" s="345"/>
      <c r="CP96" s="345"/>
      <c r="CQ96" s="345"/>
      <c r="CR96" s="345"/>
      <c r="CS96" s="345"/>
      <c r="CT96" s="345"/>
      <c r="CU96" s="345"/>
      <c r="CV96" s="345"/>
      <c r="CW96" s="345"/>
      <c r="CX96" s="345"/>
      <c r="CY96" s="345"/>
      <c r="CZ96" s="345"/>
      <c r="DA96" s="345"/>
      <c r="DB96" s="345"/>
      <c r="DC96" s="345"/>
      <c r="DD96" s="345"/>
      <c r="DE96" s="345"/>
      <c r="DF96" s="345"/>
      <c r="DG96" s="345"/>
      <c r="DH96" s="345"/>
      <c r="DI96" s="345"/>
      <c r="DJ96" s="345"/>
      <c r="DK96" s="345"/>
      <c r="DL96" s="345"/>
      <c r="DM96" s="345"/>
      <c r="DN96" s="345"/>
      <c r="DO96" s="345"/>
      <c r="DP96" s="345"/>
      <c r="DQ96" s="345"/>
      <c r="DR96" s="345"/>
      <c r="DS96" s="345"/>
      <c r="DT96" s="345"/>
      <c r="DU96" s="345"/>
      <c r="DV96" s="345"/>
      <c r="DW96" s="345"/>
      <c r="DX96" s="345"/>
      <c r="DY96" s="345"/>
      <c r="DZ96" s="345"/>
      <c r="EA96" s="345"/>
      <c r="EB96" s="345"/>
      <c r="EC96" s="345"/>
      <c r="ED96" s="346"/>
      <c r="EE96" s="329" t="str">
        <f t="shared" si="17"/>
        <v/>
      </c>
      <c r="EF96" s="330"/>
      <c r="EG96" s="330" t="str">
        <f t="shared" si="15"/>
        <v/>
      </c>
      <c r="EH96" s="330" t="str">
        <f t="shared" si="14"/>
        <v/>
      </c>
      <c r="EI96" s="330" t="str">
        <f t="shared" si="8"/>
        <v/>
      </c>
      <c r="EJ96" s="331" t="str">
        <f t="shared" si="16"/>
        <v/>
      </c>
      <c r="EK96" s="47"/>
    </row>
    <row r="97" spans="1:142" x14ac:dyDescent="0.2">
      <c r="A97" s="559"/>
      <c r="B97" s="311">
        <v>95</v>
      </c>
      <c r="C97" s="380"/>
      <c r="D97" s="389"/>
      <c r="E97" s="389"/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  <c r="AA97" s="389"/>
      <c r="AB97" s="389"/>
      <c r="AC97" s="424"/>
      <c r="AD97" s="389"/>
      <c r="AE97" s="391" t="s">
        <v>11893</v>
      </c>
      <c r="AF97" s="389"/>
      <c r="AG97" s="389"/>
      <c r="AH97" s="389"/>
      <c r="AI97" s="428"/>
      <c r="AJ97" s="428"/>
      <c r="AK97" s="428"/>
      <c r="AL97" s="389"/>
      <c r="AM97" s="389"/>
      <c r="AN97" s="428"/>
      <c r="AO97" s="428"/>
      <c r="AP97" s="428"/>
      <c r="AQ97" s="380"/>
      <c r="AR97" s="353"/>
      <c r="AS97" s="353"/>
      <c r="AT97" s="353"/>
      <c r="AU97" s="353"/>
      <c r="AV97" s="353"/>
      <c r="AW97" s="353"/>
      <c r="AX97" s="345"/>
      <c r="AY97" s="353"/>
      <c r="AZ97" s="353"/>
      <c r="BA97" s="353"/>
      <c r="BB97" s="353"/>
      <c r="BC97" s="353"/>
      <c r="BD97" s="353"/>
      <c r="BE97" s="353"/>
      <c r="BF97" s="345"/>
      <c r="BG97" s="353"/>
      <c r="BH97" s="353"/>
      <c r="BI97" s="353"/>
      <c r="BJ97" s="353"/>
      <c r="BK97" s="353"/>
      <c r="BL97" s="353"/>
      <c r="BM97" s="353"/>
      <c r="BN97" s="345"/>
      <c r="BO97" s="353"/>
      <c r="BP97" s="353"/>
      <c r="BQ97" s="353"/>
      <c r="BR97" s="353"/>
      <c r="BS97" s="353"/>
      <c r="BT97" s="345"/>
      <c r="BU97" s="385"/>
      <c r="BV97" s="345"/>
      <c r="BW97" s="345"/>
      <c r="BX97" s="345"/>
      <c r="BY97" s="345"/>
      <c r="BZ97" s="345"/>
      <c r="CA97" s="345"/>
      <c r="CB97" s="345"/>
      <c r="CC97" s="345"/>
      <c r="CD97" s="345"/>
      <c r="CE97" s="345"/>
      <c r="CF97" s="345"/>
      <c r="CG97" s="345"/>
      <c r="CH97" s="345"/>
      <c r="CI97" s="345"/>
      <c r="CJ97" s="345"/>
      <c r="CK97" s="345"/>
      <c r="CL97" s="345"/>
      <c r="CM97" s="345"/>
      <c r="CN97" s="345"/>
      <c r="CO97" s="345"/>
      <c r="CP97" s="345"/>
      <c r="CQ97" s="345"/>
      <c r="CR97" s="345"/>
      <c r="CS97" s="345"/>
      <c r="CT97" s="345"/>
      <c r="CU97" s="345"/>
      <c r="CV97" s="345"/>
      <c r="CW97" s="345"/>
      <c r="CX97" s="345"/>
      <c r="CY97" s="345"/>
      <c r="CZ97" s="345"/>
      <c r="DA97" s="345"/>
      <c r="DB97" s="345"/>
      <c r="DC97" s="345"/>
      <c r="DD97" s="345"/>
      <c r="DE97" s="345"/>
      <c r="DF97" s="345"/>
      <c r="DG97" s="345"/>
      <c r="DH97" s="345"/>
      <c r="DI97" s="345"/>
      <c r="DJ97" s="345"/>
      <c r="DK97" s="345"/>
      <c r="DL97" s="345"/>
      <c r="DM97" s="345"/>
      <c r="DN97" s="345"/>
      <c r="DO97" s="345"/>
      <c r="DP97" s="345"/>
      <c r="DQ97" s="345"/>
      <c r="DR97" s="345"/>
      <c r="DS97" s="345"/>
      <c r="DT97" s="345"/>
      <c r="DU97" s="345"/>
      <c r="DV97" s="345"/>
      <c r="DW97" s="345"/>
      <c r="DX97" s="345"/>
      <c r="DY97" s="345"/>
      <c r="DZ97" s="345"/>
      <c r="EA97" s="345"/>
      <c r="EB97" s="345"/>
      <c r="EC97" s="345"/>
      <c r="ED97" s="346"/>
      <c r="EE97" s="329" t="str">
        <f t="shared" si="17"/>
        <v/>
      </c>
      <c r="EF97" s="330"/>
      <c r="EG97" s="330" t="str">
        <f t="shared" si="15"/>
        <v/>
      </c>
      <c r="EH97" s="330" t="str">
        <f t="shared" si="14"/>
        <v/>
      </c>
      <c r="EI97" s="330" t="str">
        <f t="shared" si="8"/>
        <v/>
      </c>
      <c r="EJ97" s="331" t="str">
        <f t="shared" si="16"/>
        <v/>
      </c>
      <c r="EK97" s="47"/>
    </row>
    <row r="98" spans="1:142" x14ac:dyDescent="0.2">
      <c r="A98" s="559"/>
      <c r="B98" s="311">
        <v>96</v>
      </c>
      <c r="C98" s="380"/>
      <c r="D98" s="389"/>
      <c r="E98" s="389"/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424"/>
      <c r="AD98" s="389"/>
      <c r="AE98" s="391" t="s">
        <v>11893</v>
      </c>
      <c r="AF98" s="389"/>
      <c r="AG98" s="389"/>
      <c r="AH98" s="389"/>
      <c r="AI98" s="428"/>
      <c r="AJ98" s="428"/>
      <c r="AK98" s="428"/>
      <c r="AL98" s="389"/>
      <c r="AM98" s="389"/>
      <c r="AN98" s="428"/>
      <c r="AO98" s="428"/>
      <c r="AP98" s="428"/>
      <c r="AQ98" s="380"/>
      <c r="AR98" s="353"/>
      <c r="AS98" s="353"/>
      <c r="AT98" s="353"/>
      <c r="AU98" s="353"/>
      <c r="AV98" s="353"/>
      <c r="AW98" s="353"/>
      <c r="AX98" s="345"/>
      <c r="AY98" s="353"/>
      <c r="AZ98" s="353"/>
      <c r="BA98" s="353"/>
      <c r="BB98" s="353"/>
      <c r="BC98" s="353"/>
      <c r="BD98" s="353"/>
      <c r="BE98" s="353"/>
      <c r="BF98" s="345"/>
      <c r="BG98" s="353"/>
      <c r="BH98" s="353"/>
      <c r="BI98" s="353"/>
      <c r="BJ98" s="353"/>
      <c r="BK98" s="353"/>
      <c r="BL98" s="353"/>
      <c r="BM98" s="353"/>
      <c r="BN98" s="345"/>
      <c r="BO98" s="353"/>
      <c r="BP98" s="353"/>
      <c r="BQ98" s="353"/>
      <c r="BR98" s="353"/>
      <c r="BS98" s="353"/>
      <c r="BT98" s="345"/>
      <c r="BU98" s="385"/>
      <c r="BV98" s="345"/>
      <c r="BW98" s="345"/>
      <c r="BX98" s="345"/>
      <c r="BY98" s="345"/>
      <c r="BZ98" s="345"/>
      <c r="CA98" s="345"/>
      <c r="CB98" s="345"/>
      <c r="CC98" s="345"/>
      <c r="CD98" s="345"/>
      <c r="CE98" s="345"/>
      <c r="CF98" s="345"/>
      <c r="CG98" s="345"/>
      <c r="CH98" s="345"/>
      <c r="CI98" s="345"/>
      <c r="CJ98" s="345"/>
      <c r="CK98" s="345"/>
      <c r="CL98" s="345"/>
      <c r="CM98" s="345"/>
      <c r="CN98" s="345"/>
      <c r="CO98" s="345"/>
      <c r="CP98" s="345"/>
      <c r="CQ98" s="345"/>
      <c r="CR98" s="345"/>
      <c r="CS98" s="345"/>
      <c r="CT98" s="345"/>
      <c r="CU98" s="345"/>
      <c r="CV98" s="345"/>
      <c r="CW98" s="345"/>
      <c r="CX98" s="345"/>
      <c r="CY98" s="345"/>
      <c r="CZ98" s="345"/>
      <c r="DA98" s="345"/>
      <c r="DB98" s="345"/>
      <c r="DC98" s="345"/>
      <c r="DD98" s="345"/>
      <c r="DE98" s="345"/>
      <c r="DF98" s="345"/>
      <c r="DG98" s="345"/>
      <c r="DH98" s="345"/>
      <c r="DI98" s="345"/>
      <c r="DJ98" s="345"/>
      <c r="DK98" s="345"/>
      <c r="DL98" s="345"/>
      <c r="DM98" s="345"/>
      <c r="DN98" s="345"/>
      <c r="DO98" s="345"/>
      <c r="DP98" s="345"/>
      <c r="DQ98" s="345"/>
      <c r="DR98" s="345"/>
      <c r="DS98" s="345"/>
      <c r="DT98" s="345"/>
      <c r="DU98" s="345"/>
      <c r="DV98" s="345"/>
      <c r="DW98" s="345"/>
      <c r="DX98" s="345"/>
      <c r="DY98" s="345"/>
      <c r="DZ98" s="345"/>
      <c r="EA98" s="345"/>
      <c r="EB98" s="345"/>
      <c r="EC98" s="345"/>
      <c r="ED98" s="346"/>
      <c r="EE98" s="329" t="str">
        <f t="shared" si="17"/>
        <v/>
      </c>
      <c r="EF98" s="330"/>
      <c r="EG98" s="330" t="str">
        <f t="shared" si="15"/>
        <v/>
      </c>
      <c r="EH98" s="330" t="str">
        <f t="shared" si="14"/>
        <v/>
      </c>
      <c r="EI98" s="330" t="str">
        <f t="shared" si="8"/>
        <v/>
      </c>
      <c r="EJ98" s="331" t="str">
        <f t="shared" si="16"/>
        <v/>
      </c>
      <c r="EK98" s="47"/>
    </row>
    <row r="99" spans="1:142" x14ac:dyDescent="0.2">
      <c r="A99" s="559"/>
      <c r="B99" s="311">
        <v>97</v>
      </c>
      <c r="C99" s="380"/>
      <c r="D99" s="389"/>
      <c r="E99" s="389"/>
      <c r="F99" s="389"/>
      <c r="G99" s="389"/>
      <c r="H99" s="389"/>
      <c r="I99" s="389"/>
      <c r="J99" s="389" t="s">
        <v>9409</v>
      </c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9"/>
      <c r="X99" s="389"/>
      <c r="Y99" s="389"/>
      <c r="Z99" s="389"/>
      <c r="AA99" s="389"/>
      <c r="AB99" s="389"/>
      <c r="AC99" s="424"/>
      <c r="AD99" s="389"/>
      <c r="AE99" s="428"/>
      <c r="AF99" s="389"/>
      <c r="AG99" s="389"/>
      <c r="AH99" s="389"/>
      <c r="AI99" s="428"/>
      <c r="AJ99" s="428"/>
      <c r="AK99" s="428"/>
      <c r="AL99" s="389"/>
      <c r="AM99" s="389"/>
      <c r="AN99" s="428"/>
      <c r="AO99" s="428"/>
      <c r="AP99" s="428"/>
      <c r="AQ99" s="380"/>
      <c r="AR99" s="353"/>
      <c r="AS99" s="353"/>
      <c r="AT99" s="353"/>
      <c r="AU99" s="353"/>
      <c r="AV99" s="353"/>
      <c r="AW99" s="353"/>
      <c r="AX99" s="345"/>
      <c r="AY99" s="389" t="s">
        <v>9409</v>
      </c>
      <c r="AZ99" s="353"/>
      <c r="BA99" s="353"/>
      <c r="BB99" s="353"/>
      <c r="BC99" s="353"/>
      <c r="BD99" s="353"/>
      <c r="BE99" s="353"/>
      <c r="BF99" s="345"/>
      <c r="BG99" s="353"/>
      <c r="BH99" s="353"/>
      <c r="BI99" s="353"/>
      <c r="BJ99" s="353"/>
      <c r="BK99" s="353"/>
      <c r="BL99" s="353"/>
      <c r="BM99" s="353"/>
      <c r="BN99" s="345"/>
      <c r="BO99" s="353"/>
      <c r="BP99" s="353"/>
      <c r="BQ99" s="353"/>
      <c r="BR99" s="353"/>
      <c r="BS99" s="353"/>
      <c r="BT99" s="345"/>
      <c r="BU99" s="385"/>
      <c r="BV99" s="345"/>
      <c r="BW99" s="345"/>
      <c r="BX99" s="345"/>
      <c r="BY99" s="345"/>
      <c r="BZ99" s="345"/>
      <c r="CA99" s="345"/>
      <c r="CB99" s="345"/>
      <c r="CC99" s="345"/>
      <c r="CD99" s="345"/>
      <c r="CE99" s="345"/>
      <c r="CF99" s="345"/>
      <c r="CG99" s="345"/>
      <c r="CH99" s="345"/>
      <c r="CI99" s="345"/>
      <c r="CJ99" s="345"/>
      <c r="CK99" s="345"/>
      <c r="CL99" s="345"/>
      <c r="CM99" s="345"/>
      <c r="CN99" s="345"/>
      <c r="CO99" s="345"/>
      <c r="CP99" s="345"/>
      <c r="CQ99" s="345"/>
      <c r="CR99" s="345"/>
      <c r="CS99" s="345"/>
      <c r="CT99" s="345"/>
      <c r="CU99" s="345"/>
      <c r="CV99" s="345"/>
      <c r="CW99" s="345"/>
      <c r="CX99" s="345"/>
      <c r="CY99" s="345"/>
      <c r="CZ99" s="345"/>
      <c r="DA99" s="345"/>
      <c r="DB99" s="345"/>
      <c r="DC99" s="345"/>
      <c r="DD99" s="345"/>
      <c r="DE99" s="345"/>
      <c r="DF99" s="345"/>
      <c r="DG99" s="345"/>
      <c r="DH99" s="345"/>
      <c r="DI99" s="345"/>
      <c r="DJ99" s="345"/>
      <c r="DK99" s="345"/>
      <c r="DL99" s="345"/>
      <c r="DM99" s="345"/>
      <c r="DN99" s="345"/>
      <c r="DO99" s="345"/>
      <c r="DP99" s="345"/>
      <c r="DQ99" s="345"/>
      <c r="DR99" s="345"/>
      <c r="DS99" s="345"/>
      <c r="DT99" s="345"/>
      <c r="DU99" s="345"/>
      <c r="DV99" s="345"/>
      <c r="DW99" s="345"/>
      <c r="DX99" s="345"/>
      <c r="DY99" s="345"/>
      <c r="DZ99" s="345"/>
      <c r="EA99" s="345"/>
      <c r="EB99" s="345"/>
      <c r="EC99" s="345"/>
      <c r="ED99" s="346"/>
      <c r="EE99" s="329" t="str">
        <f t="shared" si="17"/>
        <v>x</v>
      </c>
      <c r="EF99" s="330"/>
      <c r="EG99" s="330" t="str">
        <f t="shared" si="15"/>
        <v>x</v>
      </c>
      <c r="EH99" s="330" t="str">
        <f t="shared" si="14"/>
        <v/>
      </c>
      <c r="EI99" s="330" t="str">
        <f t="shared" si="8"/>
        <v>x</v>
      </c>
      <c r="EJ99" s="331" t="str">
        <f t="shared" si="16"/>
        <v/>
      </c>
      <c r="EK99" s="47"/>
    </row>
    <row r="100" spans="1:142" x14ac:dyDescent="0.2">
      <c r="A100" s="559"/>
      <c r="B100" s="311">
        <v>98</v>
      </c>
      <c r="C100" s="380"/>
      <c r="D100" s="389"/>
      <c r="E100" s="389"/>
      <c r="F100" s="389"/>
      <c r="G100" s="389"/>
      <c r="H100" s="389"/>
      <c r="I100" s="389"/>
      <c r="J100" s="389" t="s">
        <v>9409</v>
      </c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9"/>
      <c r="X100" s="389"/>
      <c r="Y100" s="389"/>
      <c r="Z100" s="389"/>
      <c r="AA100" s="389"/>
      <c r="AB100" s="389"/>
      <c r="AC100" s="424"/>
      <c r="AD100" s="389"/>
      <c r="AE100" s="428"/>
      <c r="AF100" s="389"/>
      <c r="AG100" s="389"/>
      <c r="AH100" s="389"/>
      <c r="AI100" s="428"/>
      <c r="AJ100" s="428"/>
      <c r="AK100" s="428"/>
      <c r="AL100" s="389"/>
      <c r="AM100" s="389"/>
      <c r="AN100" s="428"/>
      <c r="AO100" s="428"/>
      <c r="AP100" s="428"/>
      <c r="AQ100" s="380"/>
      <c r="AR100" s="353"/>
      <c r="AS100" s="353"/>
      <c r="AT100" s="353"/>
      <c r="AU100" s="353"/>
      <c r="AV100" s="353"/>
      <c r="AW100" s="353"/>
      <c r="AX100" s="345"/>
      <c r="AY100" s="353" t="s">
        <v>9409</v>
      </c>
      <c r="AZ100" s="353"/>
      <c r="BA100" s="353"/>
      <c r="BB100" s="353"/>
      <c r="BC100" s="353"/>
      <c r="BD100" s="353"/>
      <c r="BE100" s="353"/>
      <c r="BF100" s="345"/>
      <c r="BG100" s="353"/>
      <c r="BH100" s="353"/>
      <c r="BI100" s="353"/>
      <c r="BJ100" s="353"/>
      <c r="BK100" s="353"/>
      <c r="BL100" s="353"/>
      <c r="BM100" s="353"/>
      <c r="BN100" s="345"/>
      <c r="BO100" s="353"/>
      <c r="BP100" s="353"/>
      <c r="BQ100" s="353"/>
      <c r="BR100" s="353"/>
      <c r="BS100" s="353"/>
      <c r="BT100" s="345"/>
      <c r="BU100" s="385"/>
      <c r="BV100" s="345"/>
      <c r="BW100" s="345"/>
      <c r="BX100" s="345"/>
      <c r="BY100" s="345"/>
      <c r="BZ100" s="345"/>
      <c r="CA100" s="345"/>
      <c r="CB100" s="345"/>
      <c r="CC100" s="345"/>
      <c r="CD100" s="345"/>
      <c r="CE100" s="345"/>
      <c r="CF100" s="345"/>
      <c r="CG100" s="345"/>
      <c r="CH100" s="345"/>
      <c r="CI100" s="345"/>
      <c r="CJ100" s="345"/>
      <c r="CK100" s="345"/>
      <c r="CL100" s="345"/>
      <c r="CM100" s="345"/>
      <c r="CN100" s="345"/>
      <c r="CO100" s="345"/>
      <c r="CP100" s="345"/>
      <c r="CQ100" s="345"/>
      <c r="CR100" s="345"/>
      <c r="CS100" s="345"/>
      <c r="CT100" s="345"/>
      <c r="CU100" s="345"/>
      <c r="CV100" s="345"/>
      <c r="CW100" s="345"/>
      <c r="CX100" s="345"/>
      <c r="CY100" s="345"/>
      <c r="CZ100" s="345"/>
      <c r="DA100" s="345"/>
      <c r="DB100" s="345"/>
      <c r="DC100" s="345"/>
      <c r="DD100" s="345"/>
      <c r="DE100" s="345"/>
      <c r="DF100" s="345"/>
      <c r="DG100" s="345"/>
      <c r="DH100" s="345"/>
      <c r="DI100" s="345"/>
      <c r="DJ100" s="345"/>
      <c r="DK100" s="345"/>
      <c r="DL100" s="345"/>
      <c r="DM100" s="345"/>
      <c r="DN100" s="345"/>
      <c r="DO100" s="345"/>
      <c r="DP100" s="345"/>
      <c r="DQ100" s="345"/>
      <c r="DR100" s="345"/>
      <c r="DS100" s="345"/>
      <c r="DT100" s="345"/>
      <c r="DU100" s="345"/>
      <c r="DV100" s="345"/>
      <c r="DW100" s="345"/>
      <c r="DX100" s="345"/>
      <c r="DY100" s="345"/>
      <c r="DZ100" s="345"/>
      <c r="EA100" s="345"/>
      <c r="EB100" s="345"/>
      <c r="EC100" s="345"/>
      <c r="ED100" s="346"/>
      <c r="EE100" s="329" t="str">
        <f t="shared" si="17"/>
        <v>x</v>
      </c>
      <c r="EF100" s="330"/>
      <c r="EG100" s="330" t="str">
        <f t="shared" si="15"/>
        <v>x</v>
      </c>
      <c r="EH100" s="330" t="str">
        <f t="shared" si="14"/>
        <v/>
      </c>
      <c r="EI100" s="330" t="str">
        <f t="shared" si="8"/>
        <v>x</v>
      </c>
      <c r="EJ100" s="331" t="str">
        <f t="shared" si="16"/>
        <v/>
      </c>
      <c r="EK100" s="47"/>
    </row>
    <row r="101" spans="1:142" x14ac:dyDescent="0.2">
      <c r="A101" s="559"/>
      <c r="B101" s="311">
        <v>99</v>
      </c>
      <c r="C101" s="380"/>
      <c r="D101" s="389"/>
      <c r="E101" s="389"/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  <c r="AA101" s="389"/>
      <c r="AB101" s="389"/>
      <c r="AC101" s="424"/>
      <c r="AD101" s="389"/>
      <c r="AE101" s="428"/>
      <c r="AF101" s="389"/>
      <c r="AG101" s="389"/>
      <c r="AH101" s="389"/>
      <c r="AI101" s="428"/>
      <c r="AJ101" s="428"/>
      <c r="AK101" s="428"/>
      <c r="AL101" s="389"/>
      <c r="AM101" s="389"/>
      <c r="AN101" s="428"/>
      <c r="AO101" s="428"/>
      <c r="AP101" s="428"/>
      <c r="AQ101" s="380"/>
      <c r="AR101" s="353"/>
      <c r="AS101" s="353"/>
      <c r="AT101" s="353"/>
      <c r="AU101" s="353"/>
      <c r="AV101" s="353"/>
      <c r="AW101" s="353"/>
      <c r="AX101" s="345"/>
      <c r="AY101" s="353"/>
      <c r="AZ101" s="353"/>
      <c r="BA101" s="353"/>
      <c r="BB101" s="353"/>
      <c r="BC101" s="353"/>
      <c r="BD101" s="353"/>
      <c r="BE101" s="353"/>
      <c r="BF101" s="345"/>
      <c r="BG101" s="353"/>
      <c r="BH101" s="353"/>
      <c r="BI101" s="353"/>
      <c r="BJ101" s="353"/>
      <c r="BK101" s="353"/>
      <c r="BL101" s="353"/>
      <c r="BM101" s="353"/>
      <c r="BN101" s="345"/>
      <c r="BO101" s="353"/>
      <c r="BP101" s="353"/>
      <c r="BQ101" s="353"/>
      <c r="BR101" s="353"/>
      <c r="BS101" s="353"/>
      <c r="BT101" s="345"/>
      <c r="BU101" s="385"/>
      <c r="BV101" s="345"/>
      <c r="BW101" s="345"/>
      <c r="BX101" s="345"/>
      <c r="BY101" s="345"/>
      <c r="BZ101" s="345"/>
      <c r="CA101" s="345"/>
      <c r="CB101" s="345"/>
      <c r="CC101" s="345"/>
      <c r="CD101" s="345"/>
      <c r="CE101" s="345"/>
      <c r="CF101" s="345"/>
      <c r="CG101" s="345"/>
      <c r="CH101" s="345"/>
      <c r="CI101" s="345"/>
      <c r="CJ101" s="345"/>
      <c r="CK101" s="345"/>
      <c r="CL101" s="345"/>
      <c r="CM101" s="345"/>
      <c r="CN101" s="345"/>
      <c r="CO101" s="345"/>
      <c r="CP101" s="345"/>
      <c r="CQ101" s="345"/>
      <c r="CR101" s="345"/>
      <c r="CS101" s="345"/>
      <c r="CT101" s="345"/>
      <c r="CU101" s="345"/>
      <c r="CV101" s="345"/>
      <c r="CW101" s="345"/>
      <c r="CX101" s="345"/>
      <c r="CY101" s="345"/>
      <c r="CZ101" s="345"/>
      <c r="DA101" s="345"/>
      <c r="DB101" s="345"/>
      <c r="DC101" s="345"/>
      <c r="DD101" s="345"/>
      <c r="DE101" s="345"/>
      <c r="DF101" s="345"/>
      <c r="DG101" s="345"/>
      <c r="DH101" s="345"/>
      <c r="DI101" s="345"/>
      <c r="DJ101" s="345"/>
      <c r="DK101" s="345"/>
      <c r="DL101" s="345"/>
      <c r="DM101" s="345"/>
      <c r="DN101" s="345"/>
      <c r="DO101" s="345"/>
      <c r="DP101" s="345"/>
      <c r="DQ101" s="345"/>
      <c r="DR101" s="345"/>
      <c r="DS101" s="345"/>
      <c r="DT101" s="345"/>
      <c r="DU101" s="345"/>
      <c r="DV101" s="345"/>
      <c r="DW101" s="345"/>
      <c r="DX101" s="345"/>
      <c r="DY101" s="345"/>
      <c r="DZ101" s="345"/>
      <c r="EA101" s="345"/>
      <c r="EB101" s="345"/>
      <c r="EC101" s="345"/>
      <c r="ED101" s="346"/>
      <c r="EE101" s="329" t="str">
        <f t="shared" si="17"/>
        <v/>
      </c>
      <c r="EF101" s="330"/>
      <c r="EG101" s="330" t="str">
        <f t="shared" si="15"/>
        <v/>
      </c>
      <c r="EH101" s="330" t="str">
        <f t="shared" si="14"/>
        <v/>
      </c>
      <c r="EI101" s="330" t="str">
        <f t="shared" si="8"/>
        <v/>
      </c>
      <c r="EJ101" s="331" t="str">
        <f t="shared" si="16"/>
        <v/>
      </c>
      <c r="EK101" s="47"/>
    </row>
    <row r="102" spans="1:142" x14ac:dyDescent="0.2">
      <c r="A102" s="559"/>
      <c r="B102" s="311">
        <v>100</v>
      </c>
      <c r="C102" s="380"/>
      <c r="D102" s="389"/>
      <c r="E102" s="389"/>
      <c r="F102" s="389"/>
      <c r="G102" s="389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89"/>
      <c r="AC102" s="424"/>
      <c r="AD102" s="389"/>
      <c r="AE102" s="391" t="s">
        <v>11893</v>
      </c>
      <c r="AF102" s="389"/>
      <c r="AG102" s="389"/>
      <c r="AH102" s="389"/>
      <c r="AI102" s="428"/>
      <c r="AJ102" s="428"/>
      <c r="AK102" s="428"/>
      <c r="AL102" s="389"/>
      <c r="AM102" s="389"/>
      <c r="AN102" s="428"/>
      <c r="AO102" s="428"/>
      <c r="AP102" s="428"/>
      <c r="AQ102" s="380"/>
      <c r="AR102" s="353"/>
      <c r="AS102" s="353"/>
      <c r="AT102" s="353"/>
      <c r="AU102" s="353"/>
      <c r="AV102" s="353"/>
      <c r="AW102" s="353"/>
      <c r="AX102" s="345"/>
      <c r="AY102" s="353"/>
      <c r="AZ102" s="353"/>
      <c r="BA102" s="353"/>
      <c r="BB102" s="353"/>
      <c r="BC102" s="353"/>
      <c r="BD102" s="353"/>
      <c r="BE102" s="353"/>
      <c r="BF102" s="345"/>
      <c r="BG102" s="353"/>
      <c r="BH102" s="353"/>
      <c r="BI102" s="353"/>
      <c r="BJ102" s="353"/>
      <c r="BK102" s="353"/>
      <c r="BL102" s="353"/>
      <c r="BM102" s="353"/>
      <c r="BN102" s="345"/>
      <c r="BO102" s="353"/>
      <c r="BP102" s="353"/>
      <c r="BQ102" s="353"/>
      <c r="BR102" s="353"/>
      <c r="BS102" s="353"/>
      <c r="BT102" s="345"/>
      <c r="BU102" s="385"/>
      <c r="BV102" s="345"/>
      <c r="BW102" s="345"/>
      <c r="BX102" s="345"/>
      <c r="BY102" s="345"/>
      <c r="BZ102" s="345"/>
      <c r="CA102" s="345"/>
      <c r="CB102" s="345"/>
      <c r="CC102" s="345"/>
      <c r="CD102" s="345"/>
      <c r="CE102" s="345"/>
      <c r="CF102" s="345"/>
      <c r="CG102" s="345"/>
      <c r="CH102" s="345"/>
      <c r="CI102" s="345"/>
      <c r="CJ102" s="345"/>
      <c r="CK102" s="345"/>
      <c r="CL102" s="345"/>
      <c r="CM102" s="345"/>
      <c r="CN102" s="345"/>
      <c r="CO102" s="345"/>
      <c r="CP102" s="345"/>
      <c r="CQ102" s="345"/>
      <c r="CR102" s="345"/>
      <c r="CS102" s="345"/>
      <c r="CT102" s="345"/>
      <c r="CU102" s="345"/>
      <c r="CV102" s="345"/>
      <c r="CW102" s="345"/>
      <c r="CX102" s="345"/>
      <c r="CY102" s="345"/>
      <c r="CZ102" s="345"/>
      <c r="DA102" s="345"/>
      <c r="DB102" s="345"/>
      <c r="DC102" s="345"/>
      <c r="DD102" s="345"/>
      <c r="DE102" s="345"/>
      <c r="DF102" s="345"/>
      <c r="DG102" s="345"/>
      <c r="DH102" s="345"/>
      <c r="DI102" s="345"/>
      <c r="DJ102" s="345"/>
      <c r="DK102" s="345"/>
      <c r="DL102" s="345"/>
      <c r="DM102" s="345"/>
      <c r="DN102" s="345"/>
      <c r="DO102" s="345"/>
      <c r="DP102" s="345"/>
      <c r="DQ102" s="345"/>
      <c r="DR102" s="345"/>
      <c r="DS102" s="345"/>
      <c r="DT102" s="345"/>
      <c r="DU102" s="345"/>
      <c r="DV102" s="345"/>
      <c r="DW102" s="345"/>
      <c r="DX102" s="345"/>
      <c r="DY102" s="345"/>
      <c r="DZ102" s="345"/>
      <c r="EA102" s="345"/>
      <c r="EB102" s="345"/>
      <c r="EC102" s="345"/>
      <c r="ED102" s="346"/>
      <c r="EE102" s="329" t="str">
        <f t="shared" si="17"/>
        <v/>
      </c>
      <c r="EF102" s="330"/>
      <c r="EG102" s="330" t="str">
        <f t="shared" si="15"/>
        <v/>
      </c>
      <c r="EH102" s="330" t="str">
        <f t="shared" si="14"/>
        <v/>
      </c>
      <c r="EI102" s="330" t="str">
        <f t="shared" si="8"/>
        <v/>
      </c>
      <c r="EJ102" s="331" t="str">
        <f t="shared" si="16"/>
        <v/>
      </c>
      <c r="EK102" s="47"/>
    </row>
    <row r="103" spans="1:142" x14ac:dyDescent="0.2">
      <c r="A103" s="559"/>
      <c r="B103" s="311">
        <v>101</v>
      </c>
      <c r="C103" s="380"/>
      <c r="D103" s="389"/>
      <c r="E103" s="389"/>
      <c r="F103" s="389"/>
      <c r="G103" s="389"/>
      <c r="H103" s="389"/>
      <c r="I103" s="389" t="s">
        <v>9409</v>
      </c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  <c r="X103" s="389"/>
      <c r="Y103" s="389"/>
      <c r="Z103" s="389"/>
      <c r="AA103" s="389"/>
      <c r="AB103" s="389"/>
      <c r="AC103" s="424"/>
      <c r="AD103" s="389"/>
      <c r="AE103" s="428"/>
      <c r="AF103" s="389"/>
      <c r="AG103" s="389"/>
      <c r="AH103" s="389"/>
      <c r="AI103" s="428"/>
      <c r="AJ103" s="428"/>
      <c r="AK103" s="428"/>
      <c r="AL103" s="389"/>
      <c r="AM103" s="389"/>
      <c r="AN103" s="428"/>
      <c r="AO103" s="428"/>
      <c r="AP103" s="428"/>
      <c r="AQ103" s="380"/>
      <c r="AR103" s="353"/>
      <c r="AS103" s="353"/>
      <c r="AT103" s="353"/>
      <c r="AU103" s="353"/>
      <c r="AV103" s="353"/>
      <c r="AW103" s="353" t="s">
        <v>9409</v>
      </c>
      <c r="AX103" s="345"/>
      <c r="AY103" s="353"/>
      <c r="AZ103" s="353"/>
      <c r="BA103" s="353"/>
      <c r="BB103" s="353"/>
      <c r="BC103" s="353"/>
      <c r="BD103" s="353"/>
      <c r="BE103" s="353"/>
      <c r="BF103" s="345"/>
      <c r="BG103" s="353"/>
      <c r="BH103" s="353"/>
      <c r="BI103" s="353"/>
      <c r="BJ103" s="353"/>
      <c r="BK103" s="353"/>
      <c r="BL103" s="353"/>
      <c r="BM103" s="353"/>
      <c r="BN103" s="345"/>
      <c r="BO103" s="353"/>
      <c r="BP103" s="353"/>
      <c r="BQ103" s="353"/>
      <c r="BR103" s="353"/>
      <c r="BS103" s="353"/>
      <c r="BT103" s="345"/>
      <c r="BU103" s="385"/>
      <c r="BV103" s="345"/>
      <c r="BW103" s="345"/>
      <c r="BX103" s="345"/>
      <c r="BY103" s="345"/>
      <c r="BZ103" s="345"/>
      <c r="CA103" s="345"/>
      <c r="CB103" s="345"/>
      <c r="CC103" s="345"/>
      <c r="CD103" s="345"/>
      <c r="CE103" s="345"/>
      <c r="CF103" s="345"/>
      <c r="CG103" s="345"/>
      <c r="CH103" s="345"/>
      <c r="CI103" s="345"/>
      <c r="CJ103" s="345"/>
      <c r="CK103" s="345"/>
      <c r="CL103" s="345"/>
      <c r="CM103" s="345"/>
      <c r="CN103" s="345"/>
      <c r="CO103" s="345"/>
      <c r="CP103" s="345"/>
      <c r="CQ103" s="345"/>
      <c r="CR103" s="345"/>
      <c r="CS103" s="345"/>
      <c r="CT103" s="345"/>
      <c r="CU103" s="345"/>
      <c r="CV103" s="345"/>
      <c r="CW103" s="345"/>
      <c r="CX103" s="345"/>
      <c r="CY103" s="345"/>
      <c r="CZ103" s="345"/>
      <c r="DA103" s="345"/>
      <c r="DB103" s="345"/>
      <c r="DC103" s="345"/>
      <c r="DD103" s="345"/>
      <c r="DE103" s="345"/>
      <c r="DF103" s="345"/>
      <c r="DG103" s="345"/>
      <c r="DH103" s="345"/>
      <c r="DI103" s="345"/>
      <c r="DJ103" s="345"/>
      <c r="DK103" s="345"/>
      <c r="DL103" s="345"/>
      <c r="DM103" s="345"/>
      <c r="DN103" s="345"/>
      <c r="DO103" s="345"/>
      <c r="DP103" s="345"/>
      <c r="DQ103" s="345"/>
      <c r="DR103" s="345"/>
      <c r="DS103" s="345"/>
      <c r="DT103" s="345"/>
      <c r="DU103" s="345"/>
      <c r="DV103" s="345"/>
      <c r="DW103" s="345"/>
      <c r="DX103" s="345"/>
      <c r="DY103" s="345"/>
      <c r="DZ103" s="345"/>
      <c r="EA103" s="345"/>
      <c r="EB103" s="345"/>
      <c r="EC103" s="345"/>
      <c r="ED103" s="346"/>
      <c r="EE103" s="329" t="str">
        <f t="shared" si="17"/>
        <v>x</v>
      </c>
      <c r="EF103" s="330"/>
      <c r="EG103" s="330" t="str">
        <f t="shared" si="15"/>
        <v>x</v>
      </c>
      <c r="EH103" s="330" t="str">
        <f t="shared" si="14"/>
        <v/>
      </c>
      <c r="EI103" s="330" t="str">
        <f t="shared" si="8"/>
        <v>x</v>
      </c>
      <c r="EJ103" s="331" t="str">
        <f t="shared" si="16"/>
        <v/>
      </c>
      <c r="EK103" s="47"/>
    </row>
    <row r="104" spans="1:142" x14ac:dyDescent="0.2">
      <c r="A104" s="559"/>
      <c r="B104" s="311">
        <v>102</v>
      </c>
      <c r="C104" s="380"/>
      <c r="D104" s="389"/>
      <c r="E104" s="389"/>
      <c r="F104" s="389"/>
      <c r="G104" s="389"/>
      <c r="H104" s="389" t="s">
        <v>9409</v>
      </c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89"/>
      <c r="AC104" s="424"/>
      <c r="AD104" s="389"/>
      <c r="AE104" s="428"/>
      <c r="AF104" s="389"/>
      <c r="AG104" s="389"/>
      <c r="AH104" s="389"/>
      <c r="AI104" s="428"/>
      <c r="AJ104" s="428"/>
      <c r="AK104" s="428"/>
      <c r="AL104" s="389"/>
      <c r="AM104" s="389"/>
      <c r="AN104" s="428"/>
      <c r="AO104" s="428"/>
      <c r="AP104" s="428"/>
      <c r="AQ104" s="380"/>
      <c r="AR104" s="353"/>
      <c r="AS104" s="353"/>
      <c r="AT104" s="353"/>
      <c r="AU104" s="353"/>
      <c r="AV104" s="353" t="s">
        <v>9409</v>
      </c>
      <c r="AW104" s="353"/>
      <c r="AX104" s="345"/>
      <c r="AY104" s="353"/>
      <c r="AZ104" s="353"/>
      <c r="BA104" s="353"/>
      <c r="BB104" s="353"/>
      <c r="BC104" s="353"/>
      <c r="BD104" s="353"/>
      <c r="BE104" s="353"/>
      <c r="BF104" s="345"/>
      <c r="BG104" s="353"/>
      <c r="BH104" s="353"/>
      <c r="BI104" s="353"/>
      <c r="BJ104" s="353"/>
      <c r="BK104" s="353"/>
      <c r="BL104" s="353"/>
      <c r="BM104" s="353"/>
      <c r="BN104" s="345"/>
      <c r="BO104" s="353"/>
      <c r="BP104" s="353"/>
      <c r="BQ104" s="353"/>
      <c r="BR104" s="353"/>
      <c r="BS104" s="353"/>
      <c r="BT104" s="345"/>
      <c r="BU104" s="385"/>
      <c r="BV104" s="345"/>
      <c r="BW104" s="345"/>
      <c r="BX104" s="345"/>
      <c r="BY104" s="345"/>
      <c r="BZ104" s="345"/>
      <c r="CA104" s="345"/>
      <c r="CB104" s="345"/>
      <c r="CC104" s="345"/>
      <c r="CD104" s="345"/>
      <c r="CE104" s="345"/>
      <c r="CF104" s="345"/>
      <c r="CG104" s="345"/>
      <c r="CH104" s="345"/>
      <c r="CI104" s="345"/>
      <c r="CJ104" s="345"/>
      <c r="CK104" s="345"/>
      <c r="CL104" s="345"/>
      <c r="CM104" s="345"/>
      <c r="CN104" s="345"/>
      <c r="CO104" s="345"/>
      <c r="CP104" s="345"/>
      <c r="CQ104" s="345"/>
      <c r="CR104" s="345"/>
      <c r="CS104" s="345"/>
      <c r="CT104" s="345"/>
      <c r="CU104" s="345"/>
      <c r="CV104" s="345"/>
      <c r="CW104" s="345"/>
      <c r="CX104" s="345"/>
      <c r="CY104" s="345"/>
      <c r="CZ104" s="345"/>
      <c r="DA104" s="345"/>
      <c r="DB104" s="345"/>
      <c r="DC104" s="345"/>
      <c r="DD104" s="345"/>
      <c r="DE104" s="345"/>
      <c r="DF104" s="345"/>
      <c r="DG104" s="345"/>
      <c r="DH104" s="345"/>
      <c r="DI104" s="345"/>
      <c r="DJ104" s="345"/>
      <c r="DK104" s="345"/>
      <c r="DL104" s="345"/>
      <c r="DM104" s="345"/>
      <c r="DN104" s="345"/>
      <c r="DO104" s="345"/>
      <c r="DP104" s="345"/>
      <c r="DQ104" s="345"/>
      <c r="DR104" s="345"/>
      <c r="DS104" s="345"/>
      <c r="DT104" s="345"/>
      <c r="DU104" s="345"/>
      <c r="DV104" s="345"/>
      <c r="DW104" s="345"/>
      <c r="DX104" s="345"/>
      <c r="DY104" s="345"/>
      <c r="DZ104" s="345"/>
      <c r="EA104" s="345"/>
      <c r="EB104" s="345"/>
      <c r="EC104" s="345"/>
      <c r="ED104" s="346"/>
      <c r="EE104" s="329" t="str">
        <f t="shared" si="17"/>
        <v>x</v>
      </c>
      <c r="EF104" s="330"/>
      <c r="EG104" s="330" t="str">
        <f>IF(COUNTIF(C104:AB104, "x"), "x", "")</f>
        <v>x</v>
      </c>
      <c r="EH104" s="330" t="str">
        <f t="shared" si="14"/>
        <v/>
      </c>
      <c r="EI104" s="330" t="str">
        <f t="shared" si="8"/>
        <v>x</v>
      </c>
      <c r="EJ104" s="331" t="str">
        <f t="shared" si="16"/>
        <v/>
      </c>
      <c r="EK104" s="47"/>
    </row>
    <row r="105" spans="1:142" x14ac:dyDescent="0.2">
      <c r="A105" s="559"/>
      <c r="B105" s="311">
        <v>103</v>
      </c>
      <c r="C105" s="380"/>
      <c r="D105" s="389"/>
      <c r="E105" s="389"/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  <c r="AA105" s="389"/>
      <c r="AB105" s="389"/>
      <c r="AC105" s="424"/>
      <c r="AD105" s="389"/>
      <c r="AE105" s="428"/>
      <c r="AF105" s="389"/>
      <c r="AG105" s="389"/>
      <c r="AH105" s="389"/>
      <c r="AI105" s="428"/>
      <c r="AJ105" s="428"/>
      <c r="AK105" s="428"/>
      <c r="AL105" s="389"/>
      <c r="AM105" s="389"/>
      <c r="AN105" s="428"/>
      <c r="AO105" s="428"/>
      <c r="AP105" s="428"/>
      <c r="AQ105" s="380"/>
      <c r="AR105" s="353"/>
      <c r="AS105" s="353"/>
      <c r="AT105" s="353"/>
      <c r="AU105" s="353"/>
      <c r="AV105" s="353"/>
      <c r="AW105" s="353"/>
      <c r="AX105" s="345"/>
      <c r="AY105" s="353"/>
      <c r="AZ105" s="353"/>
      <c r="BA105" s="353"/>
      <c r="BB105" s="353"/>
      <c r="BC105" s="353"/>
      <c r="BD105" s="353"/>
      <c r="BE105" s="353"/>
      <c r="BF105" s="345"/>
      <c r="BG105" s="353"/>
      <c r="BH105" s="353"/>
      <c r="BI105" s="353"/>
      <c r="BJ105" s="353"/>
      <c r="BK105" s="353"/>
      <c r="BL105" s="353"/>
      <c r="BM105" s="353"/>
      <c r="BN105" s="345"/>
      <c r="BO105" s="353"/>
      <c r="BP105" s="353"/>
      <c r="BQ105" s="353"/>
      <c r="BR105" s="353"/>
      <c r="BS105" s="353"/>
      <c r="BT105" s="345"/>
      <c r="BU105" s="385"/>
      <c r="BV105" s="345"/>
      <c r="BW105" s="345"/>
      <c r="BX105" s="345"/>
      <c r="BY105" s="345"/>
      <c r="BZ105" s="345"/>
      <c r="CA105" s="345"/>
      <c r="CB105" s="345"/>
      <c r="CC105" s="345"/>
      <c r="CD105" s="345"/>
      <c r="CE105" s="345"/>
      <c r="CF105" s="345"/>
      <c r="CG105" s="345"/>
      <c r="CH105" s="345"/>
      <c r="CI105" s="345"/>
      <c r="CJ105" s="345"/>
      <c r="CK105" s="345"/>
      <c r="CL105" s="345"/>
      <c r="CM105" s="345"/>
      <c r="CN105" s="345"/>
      <c r="CO105" s="345"/>
      <c r="CP105" s="345"/>
      <c r="CQ105" s="345"/>
      <c r="CR105" s="345"/>
      <c r="CS105" s="345"/>
      <c r="CT105" s="345"/>
      <c r="CU105" s="345"/>
      <c r="CV105" s="345"/>
      <c r="CW105" s="345"/>
      <c r="CX105" s="345"/>
      <c r="CY105" s="345"/>
      <c r="CZ105" s="345"/>
      <c r="DA105" s="345"/>
      <c r="DB105" s="345"/>
      <c r="DC105" s="345"/>
      <c r="DD105" s="345"/>
      <c r="DE105" s="345"/>
      <c r="DF105" s="345"/>
      <c r="DG105" s="345"/>
      <c r="DH105" s="345"/>
      <c r="DI105" s="345"/>
      <c r="DJ105" s="345"/>
      <c r="DK105" s="345"/>
      <c r="DL105" s="345"/>
      <c r="DM105" s="345"/>
      <c r="DN105" s="345"/>
      <c r="DO105" s="345"/>
      <c r="DP105" s="345"/>
      <c r="DQ105" s="345"/>
      <c r="DR105" s="345"/>
      <c r="DS105" s="345"/>
      <c r="DT105" s="345"/>
      <c r="DU105" s="345"/>
      <c r="DV105" s="345"/>
      <c r="DW105" s="345"/>
      <c r="DX105" s="345"/>
      <c r="DY105" s="345"/>
      <c r="DZ105" s="345"/>
      <c r="EA105" s="345"/>
      <c r="EB105" s="345"/>
      <c r="EC105" s="345"/>
      <c r="ED105" s="346"/>
      <c r="EE105" s="329" t="str">
        <f t="shared" si="17"/>
        <v/>
      </c>
      <c r="EF105" s="330"/>
      <c r="EG105" s="330" t="str">
        <f t="shared" ref="EG105:EG117" si="18">IF(COUNTIF(C105:AB105, "x"), "x", "")</f>
        <v/>
      </c>
      <c r="EH105" s="330" t="str">
        <f>IF(COUNTIF(AC105:AP105, "x"), "x", "")</f>
        <v/>
      </c>
      <c r="EI105" s="330" t="str">
        <f t="shared" si="8"/>
        <v/>
      </c>
      <c r="EJ105" s="331" t="str">
        <f t="shared" si="16"/>
        <v/>
      </c>
      <c r="EK105" s="47"/>
    </row>
    <row r="106" spans="1:142" x14ac:dyDescent="0.2">
      <c r="A106" s="559"/>
      <c r="B106" s="311">
        <v>104</v>
      </c>
      <c r="C106" s="380"/>
      <c r="D106" s="389"/>
      <c r="E106" s="389"/>
      <c r="F106" s="389"/>
      <c r="G106" s="389" t="s">
        <v>9409</v>
      </c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  <c r="AA106" s="389"/>
      <c r="AB106" s="389"/>
      <c r="AC106" s="424"/>
      <c r="AD106" s="389"/>
      <c r="AE106" s="428"/>
      <c r="AF106" s="389"/>
      <c r="AG106" s="389"/>
      <c r="AH106" s="389"/>
      <c r="AI106" s="428"/>
      <c r="AJ106" s="428"/>
      <c r="AK106" s="428"/>
      <c r="AL106" s="389"/>
      <c r="AM106" s="389"/>
      <c r="AN106" s="428"/>
      <c r="AO106" s="428"/>
      <c r="AP106" s="428"/>
      <c r="AQ106" s="380"/>
      <c r="AR106" s="353"/>
      <c r="AS106" s="353"/>
      <c r="AT106" s="353" t="s">
        <v>9409</v>
      </c>
      <c r="AU106" s="353"/>
      <c r="AV106" s="353"/>
      <c r="AW106" s="353"/>
      <c r="AX106" s="345"/>
      <c r="AY106" s="353"/>
      <c r="AZ106" s="353"/>
      <c r="BA106" s="353"/>
      <c r="BB106" s="353"/>
      <c r="BC106" s="353"/>
      <c r="BD106" s="353"/>
      <c r="BE106" s="353"/>
      <c r="BF106" s="345"/>
      <c r="BG106" s="353"/>
      <c r="BH106" s="353"/>
      <c r="BI106" s="353"/>
      <c r="BJ106" s="353"/>
      <c r="BK106" s="353"/>
      <c r="BL106" s="353"/>
      <c r="BM106" s="353"/>
      <c r="BN106" s="345"/>
      <c r="BO106" s="353"/>
      <c r="BP106" s="353"/>
      <c r="BQ106" s="353"/>
      <c r="BR106" s="353"/>
      <c r="BS106" s="353"/>
      <c r="BT106" s="345"/>
      <c r="BU106" s="385"/>
      <c r="BV106" s="345"/>
      <c r="BW106" s="345"/>
      <c r="BX106" s="345"/>
      <c r="BY106" s="345"/>
      <c r="BZ106" s="345"/>
      <c r="CA106" s="345"/>
      <c r="CB106" s="345"/>
      <c r="CC106" s="345"/>
      <c r="CD106" s="345"/>
      <c r="CE106" s="345"/>
      <c r="CF106" s="345"/>
      <c r="CG106" s="345"/>
      <c r="CH106" s="345"/>
      <c r="CI106" s="345"/>
      <c r="CJ106" s="345"/>
      <c r="CK106" s="345"/>
      <c r="CL106" s="345"/>
      <c r="CM106" s="345"/>
      <c r="CN106" s="345"/>
      <c r="CO106" s="345"/>
      <c r="CP106" s="345"/>
      <c r="CQ106" s="345"/>
      <c r="CR106" s="345"/>
      <c r="CS106" s="345"/>
      <c r="CT106" s="345"/>
      <c r="CU106" s="345"/>
      <c r="CV106" s="345"/>
      <c r="CW106" s="345"/>
      <c r="CX106" s="345"/>
      <c r="CY106" s="345"/>
      <c r="CZ106" s="345"/>
      <c r="DA106" s="345"/>
      <c r="DB106" s="345"/>
      <c r="DC106" s="345"/>
      <c r="DD106" s="345"/>
      <c r="DE106" s="345"/>
      <c r="DF106" s="345"/>
      <c r="DG106" s="345"/>
      <c r="DH106" s="345"/>
      <c r="DI106" s="345"/>
      <c r="DJ106" s="345"/>
      <c r="DK106" s="345"/>
      <c r="DL106" s="345"/>
      <c r="DM106" s="345"/>
      <c r="DN106" s="345"/>
      <c r="DO106" s="345"/>
      <c r="DP106" s="345"/>
      <c r="DQ106" s="345"/>
      <c r="DR106" s="345"/>
      <c r="DS106" s="345"/>
      <c r="DT106" s="345"/>
      <c r="DU106" s="345"/>
      <c r="DV106" s="345"/>
      <c r="DW106" s="345"/>
      <c r="DX106" s="345"/>
      <c r="DY106" s="345"/>
      <c r="DZ106" s="345"/>
      <c r="EA106" s="345"/>
      <c r="EB106" s="345"/>
      <c r="EC106" s="345"/>
      <c r="ED106" s="346"/>
      <c r="EE106" s="329" t="str">
        <f t="shared" si="17"/>
        <v>x</v>
      </c>
      <c r="EF106" s="330"/>
      <c r="EG106" s="330" t="str">
        <f t="shared" si="18"/>
        <v>x</v>
      </c>
      <c r="EH106" s="330" t="str">
        <f t="shared" ref="EH106:EH114" si="19">IF(COUNTIF(AC106:AP106, "x"), "x", "")</f>
        <v/>
      </c>
      <c r="EI106" s="330" t="str">
        <f t="shared" si="8"/>
        <v>x</v>
      </c>
      <c r="EJ106" s="331" t="str">
        <f t="shared" si="16"/>
        <v/>
      </c>
      <c r="EK106" s="47"/>
    </row>
    <row r="107" spans="1:142" x14ac:dyDescent="0.2">
      <c r="A107" s="559"/>
      <c r="B107" s="311">
        <v>105</v>
      </c>
      <c r="C107" s="380"/>
      <c r="D107" s="389"/>
      <c r="E107" s="389"/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424"/>
      <c r="AD107" s="389"/>
      <c r="AE107" s="428"/>
      <c r="AF107" s="389"/>
      <c r="AG107" s="389"/>
      <c r="AH107" s="389"/>
      <c r="AI107" s="428"/>
      <c r="AJ107" s="428"/>
      <c r="AK107" s="428"/>
      <c r="AL107" s="389"/>
      <c r="AM107" s="389"/>
      <c r="AN107" s="428"/>
      <c r="AO107" s="428"/>
      <c r="AP107" s="428"/>
      <c r="AQ107" s="380"/>
      <c r="AR107" s="353"/>
      <c r="AS107" s="353"/>
      <c r="AT107" s="353"/>
      <c r="AU107" s="353"/>
      <c r="AV107" s="353"/>
      <c r="AW107" s="353"/>
      <c r="AX107" s="345"/>
      <c r="AY107" s="353"/>
      <c r="AZ107" s="353"/>
      <c r="BA107" s="353"/>
      <c r="BB107" s="353"/>
      <c r="BC107" s="353"/>
      <c r="BD107" s="353"/>
      <c r="BE107" s="353"/>
      <c r="BF107" s="345"/>
      <c r="BG107" s="353"/>
      <c r="BH107" s="353"/>
      <c r="BI107" s="353"/>
      <c r="BJ107" s="353"/>
      <c r="BK107" s="353"/>
      <c r="BL107" s="353"/>
      <c r="BM107" s="353"/>
      <c r="BN107" s="345"/>
      <c r="BO107" s="353"/>
      <c r="BP107" s="353"/>
      <c r="BQ107" s="353"/>
      <c r="BR107" s="353"/>
      <c r="BS107" s="353"/>
      <c r="BT107" s="345"/>
      <c r="BU107" s="385"/>
      <c r="BV107" s="345"/>
      <c r="BW107" s="345"/>
      <c r="BX107" s="345"/>
      <c r="BY107" s="345"/>
      <c r="BZ107" s="345"/>
      <c r="CA107" s="345"/>
      <c r="CB107" s="345"/>
      <c r="CC107" s="345"/>
      <c r="CD107" s="345"/>
      <c r="CE107" s="345"/>
      <c r="CF107" s="345"/>
      <c r="CG107" s="345"/>
      <c r="CH107" s="345"/>
      <c r="CI107" s="345"/>
      <c r="CJ107" s="345"/>
      <c r="CK107" s="345"/>
      <c r="CL107" s="345"/>
      <c r="CM107" s="345"/>
      <c r="CN107" s="345"/>
      <c r="CO107" s="345"/>
      <c r="CP107" s="345"/>
      <c r="CQ107" s="345"/>
      <c r="CR107" s="345"/>
      <c r="CS107" s="345"/>
      <c r="CT107" s="345"/>
      <c r="CU107" s="345"/>
      <c r="CV107" s="345"/>
      <c r="CW107" s="345"/>
      <c r="CX107" s="345"/>
      <c r="CY107" s="345"/>
      <c r="CZ107" s="345"/>
      <c r="DA107" s="345"/>
      <c r="DB107" s="345"/>
      <c r="DC107" s="345"/>
      <c r="DD107" s="345"/>
      <c r="DE107" s="345"/>
      <c r="DF107" s="345"/>
      <c r="DG107" s="345"/>
      <c r="DH107" s="345"/>
      <c r="DI107" s="345"/>
      <c r="DJ107" s="345"/>
      <c r="DK107" s="345"/>
      <c r="DL107" s="345"/>
      <c r="DM107" s="345"/>
      <c r="DN107" s="345"/>
      <c r="DO107" s="345"/>
      <c r="DP107" s="345"/>
      <c r="DQ107" s="345"/>
      <c r="DR107" s="345"/>
      <c r="DS107" s="345"/>
      <c r="DT107" s="345"/>
      <c r="DU107" s="345"/>
      <c r="DV107" s="345"/>
      <c r="DW107" s="345"/>
      <c r="DX107" s="345"/>
      <c r="DY107" s="345"/>
      <c r="DZ107" s="345"/>
      <c r="EA107" s="345"/>
      <c r="EB107" s="345"/>
      <c r="EC107" s="345"/>
      <c r="ED107" s="346"/>
      <c r="EE107" s="329" t="str">
        <f t="shared" si="17"/>
        <v/>
      </c>
      <c r="EF107" s="330"/>
      <c r="EG107" s="330" t="str">
        <f t="shared" si="18"/>
        <v/>
      </c>
      <c r="EH107" s="330" t="str">
        <f t="shared" si="19"/>
        <v/>
      </c>
      <c r="EI107" s="330" t="str">
        <f t="shared" si="8"/>
        <v/>
      </c>
      <c r="EJ107" s="331" t="str">
        <f t="shared" si="16"/>
        <v/>
      </c>
      <c r="EK107" s="47"/>
    </row>
    <row r="108" spans="1:142" x14ac:dyDescent="0.2">
      <c r="A108" s="559"/>
      <c r="B108" s="311">
        <v>106</v>
      </c>
      <c r="C108" s="380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89"/>
      <c r="AC108" s="424"/>
      <c r="AD108" s="391" t="s">
        <v>9409</v>
      </c>
      <c r="AE108" s="428"/>
      <c r="AF108" s="389"/>
      <c r="AG108" s="389"/>
      <c r="AH108" s="389"/>
      <c r="AI108" s="428"/>
      <c r="AJ108" s="428"/>
      <c r="AK108" s="428"/>
      <c r="AL108" s="389"/>
      <c r="AM108" s="389"/>
      <c r="AN108" s="428"/>
      <c r="AO108" s="428"/>
      <c r="AP108" s="428"/>
      <c r="AQ108" s="380"/>
      <c r="AR108" s="353"/>
      <c r="AS108" s="353"/>
      <c r="AT108" s="353"/>
      <c r="AU108" s="353"/>
      <c r="AV108" s="353"/>
      <c r="AW108" s="353"/>
      <c r="AX108" s="345"/>
      <c r="AY108" s="353"/>
      <c r="AZ108" s="353"/>
      <c r="BA108" s="353"/>
      <c r="BB108" s="353"/>
      <c r="BC108" s="353"/>
      <c r="BD108" s="353"/>
      <c r="BE108" s="353"/>
      <c r="BF108" s="345"/>
      <c r="BG108" s="353"/>
      <c r="BH108" s="353"/>
      <c r="BI108" s="353"/>
      <c r="BJ108" s="353"/>
      <c r="BK108" s="353"/>
      <c r="BL108" s="353"/>
      <c r="BM108" s="353"/>
      <c r="BN108" s="345"/>
      <c r="BO108" s="353" t="s">
        <v>9409</v>
      </c>
      <c r="BP108" s="353"/>
      <c r="BQ108" s="353"/>
      <c r="BR108" s="353"/>
      <c r="BS108" s="353"/>
      <c r="BT108" s="345"/>
      <c r="BU108" s="385"/>
      <c r="BV108" s="345"/>
      <c r="BW108" s="345"/>
      <c r="BX108" s="345"/>
      <c r="BY108" s="345"/>
      <c r="BZ108" s="345"/>
      <c r="CA108" s="345"/>
      <c r="CB108" s="345"/>
      <c r="CC108" s="345"/>
      <c r="CD108" s="345"/>
      <c r="CE108" s="345"/>
      <c r="CF108" s="345"/>
      <c r="CG108" s="345"/>
      <c r="CH108" s="345"/>
      <c r="CI108" s="345"/>
      <c r="CJ108" s="345"/>
      <c r="CK108" s="345"/>
      <c r="CL108" s="345"/>
      <c r="CM108" s="345"/>
      <c r="CN108" s="345"/>
      <c r="CO108" s="345"/>
      <c r="CP108" s="345"/>
      <c r="CQ108" s="345"/>
      <c r="CR108" s="345"/>
      <c r="CS108" s="345"/>
      <c r="CT108" s="345"/>
      <c r="CU108" s="345"/>
      <c r="CV108" s="345"/>
      <c r="CW108" s="345"/>
      <c r="CX108" s="345"/>
      <c r="CY108" s="345"/>
      <c r="CZ108" s="345"/>
      <c r="DA108" s="345"/>
      <c r="DB108" s="345"/>
      <c r="DC108" s="345"/>
      <c r="DD108" s="345"/>
      <c r="DE108" s="345"/>
      <c r="DF108" s="345"/>
      <c r="DG108" s="345"/>
      <c r="DH108" s="345"/>
      <c r="DI108" s="345"/>
      <c r="DJ108" s="345"/>
      <c r="DK108" s="345"/>
      <c r="DL108" s="345"/>
      <c r="DM108" s="345"/>
      <c r="DN108" s="345"/>
      <c r="DO108" s="345"/>
      <c r="DP108" s="345"/>
      <c r="DQ108" s="345"/>
      <c r="DR108" s="345"/>
      <c r="DS108" s="345"/>
      <c r="DT108" s="345"/>
      <c r="DU108" s="345"/>
      <c r="DV108" s="345"/>
      <c r="DW108" s="345"/>
      <c r="DX108" s="345"/>
      <c r="DY108" s="345"/>
      <c r="DZ108" s="345"/>
      <c r="EA108" s="345"/>
      <c r="EB108" s="345"/>
      <c r="EC108" s="345"/>
      <c r="ED108" s="346"/>
      <c r="EE108" s="329" t="str">
        <f t="shared" si="17"/>
        <v>x</v>
      </c>
      <c r="EF108" s="330"/>
      <c r="EG108" s="330" t="str">
        <f t="shared" si="18"/>
        <v/>
      </c>
      <c r="EH108" s="330" t="str">
        <f t="shared" si="19"/>
        <v>x</v>
      </c>
      <c r="EI108" s="330" t="str">
        <f t="shared" si="8"/>
        <v>x</v>
      </c>
      <c r="EJ108" s="331" t="str">
        <f t="shared" si="16"/>
        <v/>
      </c>
      <c r="EK108" s="47"/>
    </row>
    <row r="109" spans="1:142" x14ac:dyDescent="0.2">
      <c r="A109" s="559"/>
      <c r="B109" s="311">
        <v>107</v>
      </c>
      <c r="C109" s="380"/>
      <c r="D109" s="389"/>
      <c r="E109" s="389"/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389"/>
      <c r="V109" s="389"/>
      <c r="W109" s="389"/>
      <c r="X109" s="389"/>
      <c r="Y109" s="389"/>
      <c r="Z109" s="389"/>
      <c r="AA109" s="389"/>
      <c r="AB109" s="389"/>
      <c r="AC109" s="431" t="s">
        <v>11893</v>
      </c>
      <c r="AD109" s="430" t="s">
        <v>9409</v>
      </c>
      <c r="AE109" s="428"/>
      <c r="AF109" s="389"/>
      <c r="AG109" s="389"/>
      <c r="AH109" s="389"/>
      <c r="AI109" s="428"/>
      <c r="AJ109" s="428"/>
      <c r="AK109" s="428"/>
      <c r="AL109" s="389"/>
      <c r="AM109" s="389"/>
      <c r="AN109" s="428"/>
      <c r="AO109" s="428"/>
      <c r="AP109" s="428"/>
      <c r="AQ109" s="380"/>
      <c r="AR109" s="353"/>
      <c r="AS109" s="353"/>
      <c r="AT109" s="353"/>
      <c r="AU109" s="353"/>
      <c r="AV109" s="353"/>
      <c r="AW109" s="353"/>
      <c r="AX109" s="345"/>
      <c r="AY109" s="353"/>
      <c r="AZ109" s="353"/>
      <c r="BA109" s="353"/>
      <c r="BB109" s="353"/>
      <c r="BC109" s="353"/>
      <c r="BD109" s="353"/>
      <c r="BE109" s="353"/>
      <c r="BF109" s="345"/>
      <c r="BG109" s="353"/>
      <c r="BH109" s="353"/>
      <c r="BI109" s="353"/>
      <c r="BJ109" s="353"/>
      <c r="BK109" s="353"/>
      <c r="BL109" s="353"/>
      <c r="BM109" s="353"/>
      <c r="BN109" s="345"/>
      <c r="BO109" s="353"/>
      <c r="BP109" s="353"/>
      <c r="BQ109" s="353"/>
      <c r="BR109" s="353"/>
      <c r="BS109" s="353"/>
      <c r="BT109" s="345"/>
      <c r="BU109" s="385"/>
      <c r="BV109" s="345"/>
      <c r="BW109" s="345"/>
      <c r="BX109" s="345"/>
      <c r="BY109" s="345"/>
      <c r="BZ109" s="345"/>
      <c r="CA109" s="345"/>
      <c r="CB109" s="345"/>
      <c r="CC109" s="345"/>
      <c r="CD109" s="345"/>
      <c r="CE109" s="345"/>
      <c r="CF109" s="345"/>
      <c r="CG109" s="345"/>
      <c r="CH109" s="345"/>
      <c r="CI109" s="345"/>
      <c r="CJ109" s="345"/>
      <c r="CK109" s="345"/>
      <c r="CL109" s="345"/>
      <c r="CM109" s="345"/>
      <c r="CN109" s="345"/>
      <c r="CO109" s="345"/>
      <c r="CP109" s="345"/>
      <c r="CQ109" s="345"/>
      <c r="CR109" s="345"/>
      <c r="CS109" s="345"/>
      <c r="CT109" s="345"/>
      <c r="CU109" s="345"/>
      <c r="CV109" s="345"/>
      <c r="CW109" s="345"/>
      <c r="CX109" s="345"/>
      <c r="CY109" s="345"/>
      <c r="CZ109" s="345"/>
      <c r="DA109" s="345"/>
      <c r="DB109" s="345"/>
      <c r="DC109" s="345"/>
      <c r="DD109" s="345"/>
      <c r="DE109" s="345"/>
      <c r="DF109" s="345"/>
      <c r="DG109" s="345"/>
      <c r="DH109" s="345"/>
      <c r="DI109" s="345"/>
      <c r="DJ109" s="345"/>
      <c r="DK109" s="345"/>
      <c r="DL109" s="345"/>
      <c r="DM109" s="345"/>
      <c r="DN109" s="345"/>
      <c r="DO109" s="345"/>
      <c r="DP109" s="345"/>
      <c r="DQ109" s="345"/>
      <c r="DR109" s="345"/>
      <c r="DS109" s="345"/>
      <c r="DT109" s="345"/>
      <c r="DU109" s="345"/>
      <c r="DV109" s="345"/>
      <c r="DW109" s="345"/>
      <c r="DX109" s="345"/>
      <c r="DY109" s="345"/>
      <c r="DZ109" s="345"/>
      <c r="EA109" s="345"/>
      <c r="EB109" s="345"/>
      <c r="EC109" s="345"/>
      <c r="ED109" s="346"/>
      <c r="EE109" s="329" t="str">
        <f t="shared" si="17"/>
        <v>x</v>
      </c>
      <c r="EF109" s="330"/>
      <c r="EG109" s="330" t="str">
        <f t="shared" si="18"/>
        <v/>
      </c>
      <c r="EH109" s="330" t="str">
        <f t="shared" si="19"/>
        <v>x</v>
      </c>
      <c r="EI109" s="330" t="str">
        <f t="shared" si="8"/>
        <v/>
      </c>
      <c r="EJ109" s="331" t="str">
        <f>IF(COUNTIF(BV109:ED109, "x"), "x", "")</f>
        <v/>
      </c>
      <c r="EK109" s="33" t="s">
        <v>11887</v>
      </c>
      <c r="EL109" s="33"/>
    </row>
    <row r="110" spans="1:142" x14ac:dyDescent="0.2">
      <c r="A110" s="559"/>
      <c r="B110" s="311">
        <v>108</v>
      </c>
      <c r="C110" s="380"/>
      <c r="D110" s="389"/>
      <c r="E110" s="389"/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  <c r="AA110" s="389"/>
      <c r="AB110" s="389"/>
      <c r="AC110" s="424"/>
      <c r="AD110" s="389"/>
      <c r="AE110" s="428"/>
      <c r="AF110" s="389"/>
      <c r="AG110" s="389"/>
      <c r="AH110" s="389"/>
      <c r="AI110" s="428"/>
      <c r="AJ110" s="428"/>
      <c r="AK110" s="428"/>
      <c r="AL110" s="389"/>
      <c r="AM110" s="389"/>
      <c r="AN110" s="428"/>
      <c r="AO110" s="428"/>
      <c r="AP110" s="428"/>
      <c r="AQ110" s="380"/>
      <c r="AR110" s="353"/>
      <c r="AS110" s="353"/>
      <c r="AT110" s="353"/>
      <c r="AU110" s="353"/>
      <c r="AV110" s="353"/>
      <c r="AW110" s="353"/>
      <c r="AX110" s="345"/>
      <c r="AY110" s="353"/>
      <c r="AZ110" s="353"/>
      <c r="BA110" s="353"/>
      <c r="BB110" s="353"/>
      <c r="BC110" s="353"/>
      <c r="BD110" s="353"/>
      <c r="BE110" s="353"/>
      <c r="BF110" s="345"/>
      <c r="BG110" s="353"/>
      <c r="BH110" s="353"/>
      <c r="BI110" s="353"/>
      <c r="BJ110" s="353"/>
      <c r="BK110" s="353"/>
      <c r="BL110" s="353"/>
      <c r="BM110" s="353"/>
      <c r="BN110" s="345"/>
      <c r="BO110" s="353"/>
      <c r="BP110" s="353"/>
      <c r="BQ110" s="353"/>
      <c r="BR110" s="353"/>
      <c r="BS110" s="353"/>
      <c r="BT110" s="345"/>
      <c r="BU110" s="385"/>
      <c r="BV110" s="345"/>
      <c r="BW110" s="345"/>
      <c r="BX110" s="345"/>
      <c r="BY110" s="345"/>
      <c r="BZ110" s="345"/>
      <c r="CA110" s="345"/>
      <c r="CB110" s="345"/>
      <c r="CC110" s="345"/>
      <c r="CD110" s="345"/>
      <c r="CE110" s="345"/>
      <c r="CF110" s="345"/>
      <c r="CG110" s="345"/>
      <c r="CH110" s="345"/>
      <c r="CI110" s="345"/>
      <c r="CJ110" s="345"/>
      <c r="CK110" s="345"/>
      <c r="CL110" s="345"/>
      <c r="CM110" s="345"/>
      <c r="CN110" s="345"/>
      <c r="CO110" s="345"/>
      <c r="CP110" s="345"/>
      <c r="CQ110" s="345"/>
      <c r="CR110" s="345"/>
      <c r="CS110" s="345"/>
      <c r="CT110" s="345"/>
      <c r="CU110" s="345"/>
      <c r="CV110" s="345"/>
      <c r="CW110" s="345"/>
      <c r="CX110" s="345"/>
      <c r="CY110" s="345"/>
      <c r="CZ110" s="345"/>
      <c r="DA110" s="345"/>
      <c r="DB110" s="345"/>
      <c r="DC110" s="345"/>
      <c r="DD110" s="345"/>
      <c r="DE110" s="345"/>
      <c r="DF110" s="345"/>
      <c r="DG110" s="345"/>
      <c r="DH110" s="345"/>
      <c r="DI110" s="345"/>
      <c r="DJ110" s="345"/>
      <c r="DK110" s="345"/>
      <c r="DL110" s="345"/>
      <c r="DM110" s="345"/>
      <c r="DN110" s="345"/>
      <c r="DO110" s="345"/>
      <c r="DP110" s="345"/>
      <c r="DQ110" s="345"/>
      <c r="DR110" s="345"/>
      <c r="DS110" s="345"/>
      <c r="DT110" s="345"/>
      <c r="DU110" s="345"/>
      <c r="DV110" s="345"/>
      <c r="DW110" s="345"/>
      <c r="DX110" s="345"/>
      <c r="DY110" s="345"/>
      <c r="DZ110" s="345"/>
      <c r="EA110" s="345"/>
      <c r="EB110" s="345"/>
      <c r="EC110" s="345"/>
      <c r="ED110" s="346"/>
      <c r="EE110" s="329" t="str">
        <f>IF(COUNTIF(C110:ED110, "x"), "x", "")</f>
        <v/>
      </c>
      <c r="EF110" s="330"/>
      <c r="EG110" s="330" t="str">
        <f t="shared" si="18"/>
        <v/>
      </c>
      <c r="EH110" s="330" t="str">
        <f t="shared" si="19"/>
        <v/>
      </c>
      <c r="EI110" s="330" t="str">
        <f t="shared" si="8"/>
        <v/>
      </c>
      <c r="EJ110" s="331" t="str">
        <f t="shared" ref="EJ110:EJ124" si="20">IF(COUNTIF(BV110:ED110, "x"), "x", "")</f>
        <v/>
      </c>
      <c r="EK110" s="47"/>
    </row>
    <row r="111" spans="1:142" x14ac:dyDescent="0.2">
      <c r="A111" s="559"/>
      <c r="B111" s="311">
        <v>109</v>
      </c>
      <c r="C111" s="380"/>
      <c r="D111" s="389"/>
      <c r="E111" s="389"/>
      <c r="F111" s="389"/>
      <c r="G111" s="389"/>
      <c r="H111" s="389"/>
      <c r="I111" s="389"/>
      <c r="J111" s="389"/>
      <c r="K111" s="389"/>
      <c r="L111" s="389"/>
      <c r="M111" s="389"/>
      <c r="N111" s="389"/>
      <c r="O111" s="389"/>
      <c r="P111" s="389"/>
      <c r="Q111" s="389"/>
      <c r="R111" s="389"/>
      <c r="S111" s="389"/>
      <c r="T111" s="389"/>
      <c r="U111" s="389"/>
      <c r="V111" s="389"/>
      <c r="W111" s="389"/>
      <c r="X111" s="389"/>
      <c r="Y111" s="389"/>
      <c r="Z111" s="389"/>
      <c r="AA111" s="389"/>
      <c r="AB111" s="389"/>
      <c r="AC111" s="392" t="s">
        <v>11893</v>
      </c>
      <c r="AD111" s="389"/>
      <c r="AE111" s="428"/>
      <c r="AF111" s="389"/>
      <c r="AG111" s="389"/>
      <c r="AH111" s="389"/>
      <c r="AI111" s="428"/>
      <c r="AJ111" s="428"/>
      <c r="AK111" s="428"/>
      <c r="AL111" s="389"/>
      <c r="AM111" s="389"/>
      <c r="AN111" s="428"/>
      <c r="AO111" s="428"/>
      <c r="AP111" s="428"/>
      <c r="AQ111" s="380"/>
      <c r="AR111" s="353"/>
      <c r="AS111" s="353"/>
      <c r="AT111" s="353"/>
      <c r="AU111" s="353"/>
      <c r="AV111" s="353"/>
      <c r="AW111" s="353"/>
      <c r="AX111" s="345"/>
      <c r="AY111" s="353"/>
      <c r="AZ111" s="353"/>
      <c r="BA111" s="353"/>
      <c r="BB111" s="353"/>
      <c r="BC111" s="353"/>
      <c r="BD111" s="353"/>
      <c r="BE111" s="353"/>
      <c r="BF111" s="345"/>
      <c r="BG111" s="353"/>
      <c r="BH111" s="353"/>
      <c r="BI111" s="353"/>
      <c r="BJ111" s="353"/>
      <c r="BK111" s="353"/>
      <c r="BL111" s="353"/>
      <c r="BM111" s="353"/>
      <c r="BN111" s="345"/>
      <c r="BO111" s="353"/>
      <c r="BP111" s="353"/>
      <c r="BQ111" s="353"/>
      <c r="BR111" s="353"/>
      <c r="BS111" s="353"/>
      <c r="BT111" s="345"/>
      <c r="BU111" s="385"/>
      <c r="BV111" s="345"/>
      <c r="BW111" s="345"/>
      <c r="BX111" s="345"/>
      <c r="BY111" s="345"/>
      <c r="BZ111" s="345"/>
      <c r="CA111" s="345"/>
      <c r="CB111" s="345"/>
      <c r="CC111" s="345"/>
      <c r="CD111" s="345"/>
      <c r="CE111" s="345"/>
      <c r="CF111" s="345"/>
      <c r="CG111" s="345"/>
      <c r="CH111" s="345"/>
      <c r="CI111" s="345"/>
      <c r="CJ111" s="345"/>
      <c r="CK111" s="345"/>
      <c r="CL111" s="345"/>
      <c r="CM111" s="345"/>
      <c r="CN111" s="345"/>
      <c r="CO111" s="345"/>
      <c r="CP111" s="345"/>
      <c r="CQ111" s="345"/>
      <c r="CR111" s="345"/>
      <c r="CS111" s="345"/>
      <c r="CT111" s="345"/>
      <c r="CU111" s="345"/>
      <c r="CV111" s="345"/>
      <c r="CW111" s="345"/>
      <c r="CX111" s="345"/>
      <c r="CY111" s="345"/>
      <c r="CZ111" s="345"/>
      <c r="DA111" s="345"/>
      <c r="DB111" s="345"/>
      <c r="DC111" s="345"/>
      <c r="DD111" s="345"/>
      <c r="DE111" s="345"/>
      <c r="DF111" s="345"/>
      <c r="DG111" s="345"/>
      <c r="DH111" s="345"/>
      <c r="DI111" s="345"/>
      <c r="DJ111" s="345"/>
      <c r="DK111" s="345"/>
      <c r="DL111" s="345"/>
      <c r="DM111" s="345"/>
      <c r="DN111" s="345"/>
      <c r="DO111" s="345"/>
      <c r="DP111" s="345"/>
      <c r="DQ111" s="345"/>
      <c r="DR111" s="345"/>
      <c r="DS111" s="345"/>
      <c r="DT111" s="345"/>
      <c r="DU111" s="345"/>
      <c r="DV111" s="345"/>
      <c r="DW111" s="345"/>
      <c r="DX111" s="345"/>
      <c r="DY111" s="345"/>
      <c r="DZ111" s="345"/>
      <c r="EA111" s="345"/>
      <c r="EB111" s="345"/>
      <c r="EC111" s="345"/>
      <c r="ED111" s="346"/>
      <c r="EE111" s="329" t="str">
        <f t="shared" ref="EE111:EE126" si="21">IF(COUNTIF(C111:ED111, "x"), "x", "")</f>
        <v/>
      </c>
      <c r="EF111" s="330"/>
      <c r="EG111" s="330" t="str">
        <f t="shared" si="18"/>
        <v/>
      </c>
      <c r="EH111" s="330" t="str">
        <f t="shared" si="19"/>
        <v/>
      </c>
      <c r="EI111" s="330" t="str">
        <f t="shared" si="8"/>
        <v/>
      </c>
      <c r="EJ111" s="331" t="str">
        <f t="shared" si="20"/>
        <v/>
      </c>
      <c r="EK111" s="47"/>
    </row>
    <row r="112" spans="1:142" x14ac:dyDescent="0.2">
      <c r="A112" s="559"/>
      <c r="B112" s="311">
        <v>110</v>
      </c>
      <c r="C112" s="380"/>
      <c r="D112" s="389"/>
      <c r="E112" s="389"/>
      <c r="F112" s="389" t="s">
        <v>9409</v>
      </c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424"/>
      <c r="AD112" s="389"/>
      <c r="AE112" s="428"/>
      <c r="AF112" s="389"/>
      <c r="AG112" s="389"/>
      <c r="AH112" s="389"/>
      <c r="AI112" s="428"/>
      <c r="AJ112" s="428"/>
      <c r="AK112" s="428"/>
      <c r="AL112" s="389"/>
      <c r="AM112" s="389"/>
      <c r="AN112" s="428"/>
      <c r="AO112" s="428"/>
      <c r="AP112" s="428"/>
      <c r="AQ112" s="380"/>
      <c r="AR112" s="353" t="s">
        <v>9409</v>
      </c>
      <c r="AS112" s="353"/>
      <c r="AT112" s="353"/>
      <c r="AU112" s="353"/>
      <c r="AV112" s="353"/>
      <c r="AW112" s="353"/>
      <c r="AX112" s="345"/>
      <c r="AY112" s="353"/>
      <c r="AZ112" s="353"/>
      <c r="BA112" s="353"/>
      <c r="BB112" s="353"/>
      <c r="BC112" s="353"/>
      <c r="BD112" s="353"/>
      <c r="BE112" s="353"/>
      <c r="BF112" s="345"/>
      <c r="BG112" s="353"/>
      <c r="BH112" s="353"/>
      <c r="BI112" s="353"/>
      <c r="BJ112" s="353"/>
      <c r="BK112" s="353"/>
      <c r="BL112" s="353"/>
      <c r="BM112" s="353"/>
      <c r="BN112" s="345"/>
      <c r="BO112" s="353"/>
      <c r="BP112" s="353"/>
      <c r="BQ112" s="353"/>
      <c r="BR112" s="353"/>
      <c r="BS112" s="353"/>
      <c r="BT112" s="345"/>
      <c r="BU112" s="385"/>
      <c r="BV112" s="345"/>
      <c r="BW112" s="345"/>
      <c r="BX112" s="345"/>
      <c r="BY112" s="345"/>
      <c r="BZ112" s="345"/>
      <c r="CA112" s="345"/>
      <c r="CB112" s="345"/>
      <c r="CC112" s="345"/>
      <c r="CD112" s="345"/>
      <c r="CE112" s="345"/>
      <c r="CF112" s="345"/>
      <c r="CG112" s="345"/>
      <c r="CH112" s="345"/>
      <c r="CI112" s="345"/>
      <c r="CJ112" s="345"/>
      <c r="CK112" s="345"/>
      <c r="CL112" s="345"/>
      <c r="CM112" s="345"/>
      <c r="CN112" s="345"/>
      <c r="CO112" s="345"/>
      <c r="CP112" s="345"/>
      <c r="CQ112" s="345"/>
      <c r="CR112" s="345"/>
      <c r="CS112" s="345"/>
      <c r="CT112" s="345"/>
      <c r="CU112" s="345"/>
      <c r="CV112" s="345"/>
      <c r="CW112" s="345"/>
      <c r="CX112" s="345"/>
      <c r="CY112" s="345"/>
      <c r="CZ112" s="345"/>
      <c r="DA112" s="345"/>
      <c r="DB112" s="345"/>
      <c r="DC112" s="345"/>
      <c r="DD112" s="345"/>
      <c r="DE112" s="345"/>
      <c r="DF112" s="345"/>
      <c r="DG112" s="345"/>
      <c r="DH112" s="345"/>
      <c r="DI112" s="345"/>
      <c r="DJ112" s="345"/>
      <c r="DK112" s="345"/>
      <c r="DL112" s="345"/>
      <c r="DM112" s="345"/>
      <c r="DN112" s="345"/>
      <c r="DO112" s="345"/>
      <c r="DP112" s="345"/>
      <c r="DQ112" s="345"/>
      <c r="DR112" s="345"/>
      <c r="DS112" s="345"/>
      <c r="DT112" s="345"/>
      <c r="DU112" s="345"/>
      <c r="DV112" s="345"/>
      <c r="DW112" s="345"/>
      <c r="DX112" s="345"/>
      <c r="DY112" s="345"/>
      <c r="DZ112" s="345"/>
      <c r="EA112" s="345"/>
      <c r="EB112" s="345"/>
      <c r="EC112" s="345"/>
      <c r="ED112" s="346"/>
      <c r="EE112" s="329" t="str">
        <f t="shared" si="21"/>
        <v>x</v>
      </c>
      <c r="EF112" s="330"/>
      <c r="EG112" s="330" t="str">
        <f t="shared" si="18"/>
        <v>x</v>
      </c>
      <c r="EH112" s="330" t="str">
        <f t="shared" si="19"/>
        <v/>
      </c>
      <c r="EI112" s="330" t="str">
        <f t="shared" si="8"/>
        <v>x</v>
      </c>
      <c r="EJ112" s="331" t="str">
        <f t="shared" si="20"/>
        <v/>
      </c>
      <c r="EK112" s="47"/>
    </row>
    <row r="113" spans="1:141" x14ac:dyDescent="0.2">
      <c r="A113" s="559"/>
      <c r="B113" s="311">
        <v>111</v>
      </c>
      <c r="C113" s="380"/>
      <c r="D113" s="389"/>
      <c r="E113" s="389"/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  <c r="AA113" s="389"/>
      <c r="AB113" s="389"/>
      <c r="AC113" s="361"/>
      <c r="AD113" s="389"/>
      <c r="AE113" s="428"/>
      <c r="AF113" s="389"/>
      <c r="AG113" s="389"/>
      <c r="AH113" s="389"/>
      <c r="AI113" s="428"/>
      <c r="AJ113" s="428"/>
      <c r="AK113" s="428"/>
      <c r="AL113" s="389"/>
      <c r="AM113" s="389"/>
      <c r="AN113" s="428"/>
      <c r="AO113" s="428"/>
      <c r="AP113" s="428"/>
      <c r="AQ113" s="380"/>
      <c r="AR113" s="353"/>
      <c r="AS113" s="353"/>
      <c r="AT113" s="353"/>
      <c r="AU113" s="353"/>
      <c r="AV113" s="353"/>
      <c r="AW113" s="353"/>
      <c r="AX113" s="345"/>
      <c r="AY113" s="353"/>
      <c r="AZ113" s="353"/>
      <c r="BA113" s="353"/>
      <c r="BB113" s="353"/>
      <c r="BC113" s="353"/>
      <c r="BD113" s="353"/>
      <c r="BE113" s="353"/>
      <c r="BF113" s="345"/>
      <c r="BG113" s="353"/>
      <c r="BH113" s="353"/>
      <c r="BI113" s="353"/>
      <c r="BJ113" s="353"/>
      <c r="BK113" s="353"/>
      <c r="BL113" s="353"/>
      <c r="BM113" s="353"/>
      <c r="BN113" s="345"/>
      <c r="BO113" s="353"/>
      <c r="BP113" s="353"/>
      <c r="BQ113" s="353"/>
      <c r="BR113" s="353"/>
      <c r="BS113" s="353"/>
      <c r="BT113" s="345"/>
      <c r="BU113" s="385"/>
      <c r="BV113" s="345"/>
      <c r="BW113" s="345"/>
      <c r="BX113" s="345"/>
      <c r="BY113" s="345"/>
      <c r="BZ113" s="345"/>
      <c r="CA113" s="345"/>
      <c r="CB113" s="345"/>
      <c r="CC113" s="345"/>
      <c r="CD113" s="345"/>
      <c r="CE113" s="345"/>
      <c r="CF113" s="345"/>
      <c r="CG113" s="345"/>
      <c r="CH113" s="345"/>
      <c r="CI113" s="345"/>
      <c r="CJ113" s="345"/>
      <c r="CK113" s="345"/>
      <c r="CL113" s="345"/>
      <c r="CM113" s="345"/>
      <c r="CN113" s="345"/>
      <c r="CO113" s="345"/>
      <c r="CP113" s="345"/>
      <c r="CQ113" s="345"/>
      <c r="CR113" s="345"/>
      <c r="CS113" s="345"/>
      <c r="CT113" s="345"/>
      <c r="CU113" s="345"/>
      <c r="CV113" s="345"/>
      <c r="CW113" s="345"/>
      <c r="CX113" s="345"/>
      <c r="CY113" s="345"/>
      <c r="CZ113" s="345"/>
      <c r="DA113" s="345"/>
      <c r="DB113" s="345"/>
      <c r="DC113" s="345"/>
      <c r="DD113" s="345"/>
      <c r="DE113" s="345"/>
      <c r="DF113" s="345"/>
      <c r="DG113" s="345"/>
      <c r="DH113" s="345"/>
      <c r="DI113" s="345"/>
      <c r="DJ113" s="345"/>
      <c r="DK113" s="345"/>
      <c r="DL113" s="345"/>
      <c r="DM113" s="345"/>
      <c r="DN113" s="345"/>
      <c r="DO113" s="345"/>
      <c r="DP113" s="345"/>
      <c r="DQ113" s="345"/>
      <c r="DR113" s="345"/>
      <c r="DS113" s="345"/>
      <c r="DT113" s="345"/>
      <c r="DU113" s="345"/>
      <c r="DV113" s="345"/>
      <c r="DW113" s="345"/>
      <c r="DX113" s="345"/>
      <c r="DY113" s="345"/>
      <c r="DZ113" s="345"/>
      <c r="EA113" s="345"/>
      <c r="EB113" s="345"/>
      <c r="EC113" s="345"/>
      <c r="ED113" s="346"/>
      <c r="EE113" s="329" t="str">
        <f t="shared" si="21"/>
        <v/>
      </c>
      <c r="EF113" s="330"/>
      <c r="EG113" s="330" t="str">
        <f t="shared" si="18"/>
        <v/>
      </c>
      <c r="EH113" s="330" t="str">
        <f t="shared" si="19"/>
        <v/>
      </c>
      <c r="EI113" s="330" t="str">
        <f t="shared" si="8"/>
        <v/>
      </c>
      <c r="EJ113" s="331" t="str">
        <f t="shared" si="20"/>
        <v/>
      </c>
      <c r="EK113" s="47"/>
    </row>
    <row r="114" spans="1:141" x14ac:dyDescent="0.2">
      <c r="A114" s="559"/>
      <c r="B114" s="311">
        <v>112</v>
      </c>
      <c r="C114" s="380"/>
      <c r="D114" s="389"/>
      <c r="E114" s="389"/>
      <c r="F114" s="389"/>
      <c r="G114" s="389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  <c r="AA114" s="389"/>
      <c r="AB114" s="389"/>
      <c r="AC114" s="424"/>
      <c r="AD114" s="389"/>
      <c r="AE114" s="428"/>
      <c r="AF114" s="389"/>
      <c r="AG114" s="389"/>
      <c r="AH114" s="389"/>
      <c r="AI114" s="428"/>
      <c r="AJ114" s="428"/>
      <c r="AK114" s="428"/>
      <c r="AL114" s="389"/>
      <c r="AM114" s="389"/>
      <c r="AN114" s="428"/>
      <c r="AO114" s="428"/>
      <c r="AP114" s="428"/>
      <c r="AQ114" s="380"/>
      <c r="AR114" s="353"/>
      <c r="AS114" s="353"/>
      <c r="AT114" s="353"/>
      <c r="AU114" s="353"/>
      <c r="AV114" s="353"/>
      <c r="AW114" s="353"/>
      <c r="AX114" s="345"/>
      <c r="AY114" s="353"/>
      <c r="AZ114" s="353"/>
      <c r="BA114" s="353"/>
      <c r="BB114" s="353"/>
      <c r="BC114" s="353"/>
      <c r="BD114" s="353"/>
      <c r="BE114" s="353"/>
      <c r="BF114" s="345"/>
      <c r="BG114" s="353"/>
      <c r="BH114" s="353"/>
      <c r="BI114" s="353"/>
      <c r="BJ114" s="353"/>
      <c r="BK114" s="353"/>
      <c r="BL114" s="353"/>
      <c r="BM114" s="353"/>
      <c r="BN114" s="345"/>
      <c r="BO114" s="353"/>
      <c r="BP114" s="353"/>
      <c r="BQ114" s="353"/>
      <c r="BR114" s="353"/>
      <c r="BS114" s="353" t="s">
        <v>9409</v>
      </c>
      <c r="BT114" s="345"/>
      <c r="BU114" s="385"/>
      <c r="BV114" s="345"/>
      <c r="BW114" s="345"/>
      <c r="BX114" s="345"/>
      <c r="BY114" s="345"/>
      <c r="BZ114" s="345"/>
      <c r="CA114" s="345"/>
      <c r="CB114" s="345"/>
      <c r="CC114" s="345"/>
      <c r="CD114" s="345"/>
      <c r="CE114" s="345"/>
      <c r="CF114" s="345"/>
      <c r="CG114" s="345"/>
      <c r="CH114" s="345"/>
      <c r="CI114" s="345"/>
      <c r="CJ114" s="345"/>
      <c r="CK114" s="345"/>
      <c r="CL114" s="345"/>
      <c r="CM114" s="345"/>
      <c r="CN114" s="345"/>
      <c r="CO114" s="345"/>
      <c r="CP114" s="345"/>
      <c r="CQ114" s="345"/>
      <c r="CR114" s="345"/>
      <c r="CS114" s="345"/>
      <c r="CT114" s="345"/>
      <c r="CU114" s="345"/>
      <c r="CV114" s="345"/>
      <c r="CW114" s="345"/>
      <c r="CX114" s="345"/>
      <c r="CY114" s="345"/>
      <c r="CZ114" s="345"/>
      <c r="DA114" s="345"/>
      <c r="DB114" s="345"/>
      <c r="DC114" s="345"/>
      <c r="DD114" s="345"/>
      <c r="DE114" s="345"/>
      <c r="DF114" s="345"/>
      <c r="DG114" s="345"/>
      <c r="DH114" s="345"/>
      <c r="DI114" s="345"/>
      <c r="DJ114" s="345"/>
      <c r="DK114" s="345"/>
      <c r="DL114" s="345"/>
      <c r="DM114" s="345"/>
      <c r="DN114" s="345"/>
      <c r="DO114" s="345"/>
      <c r="DP114" s="345"/>
      <c r="DQ114" s="345"/>
      <c r="DR114" s="345"/>
      <c r="DS114" s="345"/>
      <c r="DT114" s="345"/>
      <c r="DU114" s="345"/>
      <c r="DV114" s="345"/>
      <c r="DW114" s="345"/>
      <c r="DX114" s="345"/>
      <c r="DY114" s="345"/>
      <c r="DZ114" s="345"/>
      <c r="EA114" s="345"/>
      <c r="EB114" s="345"/>
      <c r="EC114" s="345"/>
      <c r="ED114" s="346"/>
      <c r="EE114" s="329" t="str">
        <f t="shared" si="21"/>
        <v>x</v>
      </c>
      <c r="EF114" s="330"/>
      <c r="EG114" s="330" t="str">
        <f t="shared" si="18"/>
        <v/>
      </c>
      <c r="EH114" s="330" t="str">
        <f t="shared" si="19"/>
        <v/>
      </c>
      <c r="EI114" s="330" t="str">
        <f t="shared" si="8"/>
        <v>x</v>
      </c>
      <c r="EJ114" s="331" t="str">
        <f t="shared" si="20"/>
        <v/>
      </c>
      <c r="EK114" s="47"/>
    </row>
    <row r="115" spans="1:141" x14ac:dyDescent="0.2">
      <c r="A115" s="559"/>
      <c r="B115" s="311">
        <v>113</v>
      </c>
      <c r="C115" s="380"/>
      <c r="D115" s="389"/>
      <c r="E115" s="389"/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  <c r="AA115" s="389"/>
      <c r="AB115" s="389"/>
      <c r="AC115" s="424"/>
      <c r="AD115" s="389"/>
      <c r="AE115" s="428"/>
      <c r="AF115" s="389"/>
      <c r="AG115" s="389"/>
      <c r="AH115" s="389"/>
      <c r="AI115" s="428"/>
      <c r="AJ115" s="428"/>
      <c r="AK115" s="428"/>
      <c r="AL115" s="389"/>
      <c r="AM115" s="389"/>
      <c r="AN115" s="428"/>
      <c r="AO115" s="428"/>
      <c r="AP115" s="428"/>
      <c r="AQ115" s="380"/>
      <c r="AR115" s="353"/>
      <c r="AS115" s="353"/>
      <c r="AT115" s="353"/>
      <c r="AU115" s="353"/>
      <c r="AV115" s="353"/>
      <c r="AW115" s="353"/>
      <c r="AX115" s="345"/>
      <c r="AY115" s="353"/>
      <c r="AZ115" s="353"/>
      <c r="BA115" s="353"/>
      <c r="BB115" s="353"/>
      <c r="BC115" s="353"/>
      <c r="BD115" s="353"/>
      <c r="BE115" s="353"/>
      <c r="BF115" s="345"/>
      <c r="BG115" s="353"/>
      <c r="BH115" s="353"/>
      <c r="BI115" s="353"/>
      <c r="BJ115" s="353"/>
      <c r="BK115" s="353"/>
      <c r="BL115" s="353"/>
      <c r="BM115" s="353"/>
      <c r="BN115" s="345"/>
      <c r="BO115" s="353"/>
      <c r="BP115" s="353"/>
      <c r="BQ115" s="353"/>
      <c r="BR115" s="353"/>
      <c r="BS115" s="353"/>
      <c r="BT115" s="345"/>
      <c r="BU115" s="385"/>
      <c r="BV115" s="345"/>
      <c r="BW115" s="345"/>
      <c r="BX115" s="345"/>
      <c r="BY115" s="345"/>
      <c r="BZ115" s="345"/>
      <c r="CA115" s="345"/>
      <c r="CB115" s="345"/>
      <c r="CC115" s="345"/>
      <c r="CD115" s="345"/>
      <c r="CE115" s="345"/>
      <c r="CF115" s="345"/>
      <c r="CG115" s="345"/>
      <c r="CH115" s="345"/>
      <c r="CI115" s="345"/>
      <c r="CJ115" s="345"/>
      <c r="CK115" s="345"/>
      <c r="CL115" s="345"/>
      <c r="CM115" s="345"/>
      <c r="CN115" s="345"/>
      <c r="CO115" s="345"/>
      <c r="CP115" s="345"/>
      <c r="CQ115" s="345"/>
      <c r="CR115" s="345"/>
      <c r="CS115" s="345"/>
      <c r="CT115" s="345"/>
      <c r="CU115" s="345"/>
      <c r="CV115" s="345"/>
      <c r="CW115" s="345"/>
      <c r="CX115" s="345"/>
      <c r="CY115" s="345"/>
      <c r="CZ115" s="345"/>
      <c r="DA115" s="345"/>
      <c r="DB115" s="345"/>
      <c r="DC115" s="345"/>
      <c r="DD115" s="345"/>
      <c r="DE115" s="345"/>
      <c r="DF115" s="345"/>
      <c r="DG115" s="345"/>
      <c r="DH115" s="345"/>
      <c r="DI115" s="345"/>
      <c r="DJ115" s="345"/>
      <c r="DK115" s="345"/>
      <c r="DL115" s="345"/>
      <c r="DM115" s="345"/>
      <c r="DN115" s="345"/>
      <c r="DO115" s="345"/>
      <c r="DP115" s="345"/>
      <c r="DQ115" s="345"/>
      <c r="DR115" s="345"/>
      <c r="DS115" s="345"/>
      <c r="DT115" s="345"/>
      <c r="DU115" s="345"/>
      <c r="DV115" s="345"/>
      <c r="DW115" s="345"/>
      <c r="DX115" s="345"/>
      <c r="DY115" s="345"/>
      <c r="DZ115" s="345"/>
      <c r="EA115" s="345"/>
      <c r="EB115" s="345"/>
      <c r="EC115" s="345"/>
      <c r="ED115" s="346"/>
      <c r="EE115" s="329" t="str">
        <f t="shared" si="21"/>
        <v/>
      </c>
      <c r="EF115" s="330"/>
      <c r="EG115" s="330" t="str">
        <f t="shared" si="18"/>
        <v/>
      </c>
      <c r="EH115" s="330" t="str">
        <f>IF(COUNTIF(AC115:AP115, "x"), "x", "")</f>
        <v/>
      </c>
      <c r="EI115" s="330" t="str">
        <f t="shared" si="8"/>
        <v/>
      </c>
      <c r="EJ115" s="331" t="str">
        <f t="shared" si="20"/>
        <v/>
      </c>
      <c r="EK115" s="47"/>
    </row>
    <row r="116" spans="1:141" x14ac:dyDescent="0.2">
      <c r="A116" s="559"/>
      <c r="B116" s="311">
        <v>114</v>
      </c>
      <c r="C116" s="380"/>
      <c r="D116" s="353"/>
      <c r="E116" s="353" t="s">
        <v>9409</v>
      </c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424"/>
      <c r="AD116" s="389"/>
      <c r="AE116" s="428"/>
      <c r="AF116" s="389"/>
      <c r="AG116" s="389"/>
      <c r="AH116" s="389"/>
      <c r="AI116" s="428"/>
      <c r="AJ116" s="428"/>
      <c r="AK116" s="428"/>
      <c r="AL116" s="389"/>
      <c r="AM116" s="389"/>
      <c r="AN116" s="428"/>
      <c r="AO116" s="428"/>
      <c r="AP116" s="428"/>
      <c r="AQ116" s="380"/>
      <c r="AR116" s="353"/>
      <c r="AS116" s="353" t="s">
        <v>9409</v>
      </c>
      <c r="AT116" s="353"/>
      <c r="AU116" s="353"/>
      <c r="AV116" s="353"/>
      <c r="AW116" s="353"/>
      <c r="AX116" s="345"/>
      <c r="AY116" s="353"/>
      <c r="AZ116" s="353"/>
      <c r="BA116" s="353"/>
      <c r="BB116" s="353"/>
      <c r="BC116" s="353"/>
      <c r="BD116" s="353"/>
      <c r="BE116" s="353"/>
      <c r="BF116" s="345"/>
      <c r="BG116" s="353"/>
      <c r="BH116" s="353"/>
      <c r="BI116" s="353"/>
      <c r="BJ116" s="353"/>
      <c r="BK116" s="353"/>
      <c r="BL116" s="353"/>
      <c r="BM116" s="353"/>
      <c r="BN116" s="345"/>
      <c r="BO116" s="353"/>
      <c r="BP116" s="353"/>
      <c r="BQ116" s="353"/>
      <c r="BR116" s="353"/>
      <c r="BS116" s="353"/>
      <c r="BT116" s="345"/>
      <c r="BU116" s="385"/>
      <c r="BV116" s="345"/>
      <c r="BW116" s="345"/>
      <c r="BX116" s="345"/>
      <c r="BY116" s="345"/>
      <c r="BZ116" s="345"/>
      <c r="CA116" s="345"/>
      <c r="CB116" s="345"/>
      <c r="CC116" s="345"/>
      <c r="CD116" s="345"/>
      <c r="CE116" s="345"/>
      <c r="CF116" s="345"/>
      <c r="CG116" s="345"/>
      <c r="CH116" s="345"/>
      <c r="CI116" s="345"/>
      <c r="CJ116" s="345"/>
      <c r="CK116" s="345"/>
      <c r="CL116" s="345"/>
      <c r="CM116" s="345"/>
      <c r="CN116" s="345"/>
      <c r="CO116" s="345"/>
      <c r="CP116" s="345"/>
      <c r="CQ116" s="345"/>
      <c r="CR116" s="345"/>
      <c r="CS116" s="345"/>
      <c r="CT116" s="345"/>
      <c r="CU116" s="345"/>
      <c r="CV116" s="345"/>
      <c r="CW116" s="345"/>
      <c r="CX116" s="345"/>
      <c r="CY116" s="345"/>
      <c r="CZ116" s="345"/>
      <c r="DA116" s="345"/>
      <c r="DB116" s="345"/>
      <c r="DC116" s="345"/>
      <c r="DD116" s="345"/>
      <c r="DE116" s="345"/>
      <c r="DF116" s="345"/>
      <c r="DG116" s="345"/>
      <c r="DH116" s="345"/>
      <c r="DI116" s="345"/>
      <c r="DJ116" s="345"/>
      <c r="DK116" s="345"/>
      <c r="DL116" s="345"/>
      <c r="DM116" s="345"/>
      <c r="DN116" s="345"/>
      <c r="DO116" s="345"/>
      <c r="DP116" s="345"/>
      <c r="DQ116" s="345"/>
      <c r="DR116" s="345"/>
      <c r="DS116" s="345"/>
      <c r="DT116" s="345"/>
      <c r="DU116" s="345"/>
      <c r="DV116" s="345"/>
      <c r="DW116" s="345"/>
      <c r="DX116" s="345"/>
      <c r="DY116" s="345"/>
      <c r="DZ116" s="345"/>
      <c r="EA116" s="345"/>
      <c r="EB116" s="345"/>
      <c r="EC116" s="345"/>
      <c r="ED116" s="346"/>
      <c r="EE116" s="329" t="str">
        <f t="shared" si="21"/>
        <v>x</v>
      </c>
      <c r="EF116" s="330"/>
      <c r="EG116" s="330" t="str">
        <f t="shared" si="18"/>
        <v>x</v>
      </c>
      <c r="EH116" s="330" t="str">
        <f t="shared" ref="EH116:EH124" si="22">IF(COUNTIF(AC116:AP116, "x"), "x", "")</f>
        <v/>
      </c>
      <c r="EI116" s="330" t="str">
        <f t="shared" si="8"/>
        <v>x</v>
      </c>
      <c r="EJ116" s="331" t="str">
        <f t="shared" si="20"/>
        <v/>
      </c>
      <c r="EK116" s="47"/>
    </row>
    <row r="117" spans="1:141" x14ac:dyDescent="0.2">
      <c r="A117" s="559"/>
      <c r="B117" s="311">
        <v>115</v>
      </c>
      <c r="C117" s="380"/>
      <c r="D117" s="353" t="s">
        <v>9409</v>
      </c>
      <c r="E117" s="353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424"/>
      <c r="AD117" s="389"/>
      <c r="AE117" s="428"/>
      <c r="AF117" s="389"/>
      <c r="AG117" s="389"/>
      <c r="AH117" s="389"/>
      <c r="AI117" s="428"/>
      <c r="AJ117" s="428"/>
      <c r="AK117" s="428"/>
      <c r="AL117" s="389"/>
      <c r="AM117" s="389"/>
      <c r="AN117" s="428"/>
      <c r="AO117" s="428"/>
      <c r="AP117" s="428"/>
      <c r="AQ117" s="380" t="s">
        <v>9409</v>
      </c>
      <c r="AR117" s="353"/>
      <c r="AS117" s="353"/>
      <c r="AT117" s="353"/>
      <c r="AU117" s="353"/>
      <c r="AV117" s="353"/>
      <c r="AW117" s="353"/>
      <c r="AX117" s="345"/>
      <c r="AY117" s="353"/>
      <c r="AZ117" s="353"/>
      <c r="BA117" s="353"/>
      <c r="BB117" s="353"/>
      <c r="BC117" s="353"/>
      <c r="BD117" s="353"/>
      <c r="BE117" s="353"/>
      <c r="BF117" s="345"/>
      <c r="BG117" s="353"/>
      <c r="BH117" s="353"/>
      <c r="BI117" s="353"/>
      <c r="BJ117" s="353"/>
      <c r="BK117" s="353"/>
      <c r="BL117" s="353"/>
      <c r="BM117" s="353"/>
      <c r="BN117" s="345"/>
      <c r="BO117" s="353"/>
      <c r="BP117" s="353"/>
      <c r="BQ117" s="353"/>
      <c r="BR117" s="353"/>
      <c r="BS117" s="353"/>
      <c r="BT117" s="345"/>
      <c r="BU117" s="385"/>
      <c r="BV117" s="345"/>
      <c r="BW117" s="345"/>
      <c r="BX117" s="345"/>
      <c r="BY117" s="345"/>
      <c r="BZ117" s="345"/>
      <c r="CA117" s="345"/>
      <c r="CB117" s="345"/>
      <c r="CC117" s="345"/>
      <c r="CD117" s="345"/>
      <c r="CE117" s="345"/>
      <c r="CF117" s="345"/>
      <c r="CG117" s="345"/>
      <c r="CH117" s="345"/>
      <c r="CI117" s="345"/>
      <c r="CJ117" s="345"/>
      <c r="CK117" s="345"/>
      <c r="CL117" s="345"/>
      <c r="CM117" s="345"/>
      <c r="CN117" s="345"/>
      <c r="CO117" s="345"/>
      <c r="CP117" s="345"/>
      <c r="CQ117" s="345"/>
      <c r="CR117" s="345"/>
      <c r="CS117" s="345"/>
      <c r="CT117" s="345"/>
      <c r="CU117" s="345"/>
      <c r="CV117" s="345"/>
      <c r="CW117" s="345"/>
      <c r="CX117" s="345"/>
      <c r="CY117" s="345"/>
      <c r="CZ117" s="345"/>
      <c r="DA117" s="345"/>
      <c r="DB117" s="345"/>
      <c r="DC117" s="345"/>
      <c r="DD117" s="345"/>
      <c r="DE117" s="345"/>
      <c r="DF117" s="345"/>
      <c r="DG117" s="345"/>
      <c r="DH117" s="345"/>
      <c r="DI117" s="345"/>
      <c r="DJ117" s="345"/>
      <c r="DK117" s="345"/>
      <c r="DL117" s="345"/>
      <c r="DM117" s="345"/>
      <c r="DN117" s="345"/>
      <c r="DO117" s="345"/>
      <c r="DP117" s="345"/>
      <c r="DQ117" s="345"/>
      <c r="DR117" s="345"/>
      <c r="DS117" s="345"/>
      <c r="DT117" s="345"/>
      <c r="DU117" s="345"/>
      <c r="DV117" s="345"/>
      <c r="DW117" s="345"/>
      <c r="DX117" s="345"/>
      <c r="DY117" s="345"/>
      <c r="DZ117" s="345"/>
      <c r="EA117" s="345"/>
      <c r="EB117" s="345"/>
      <c r="EC117" s="345"/>
      <c r="ED117" s="346"/>
      <c r="EE117" s="329" t="str">
        <f t="shared" si="21"/>
        <v>x</v>
      </c>
      <c r="EF117" s="330"/>
      <c r="EG117" s="330" t="str">
        <f t="shared" si="18"/>
        <v>x</v>
      </c>
      <c r="EH117" s="330" t="str">
        <f t="shared" si="22"/>
        <v/>
      </c>
      <c r="EI117" s="330" t="str">
        <f t="shared" si="8"/>
        <v>x</v>
      </c>
      <c r="EJ117" s="331" t="str">
        <f t="shared" si="20"/>
        <v/>
      </c>
      <c r="EK117" s="47"/>
    </row>
    <row r="118" spans="1:141" x14ac:dyDescent="0.2">
      <c r="A118" s="559"/>
      <c r="B118" s="311">
        <v>116</v>
      </c>
      <c r="C118" s="380"/>
      <c r="D118" s="353"/>
      <c r="E118" s="353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92" t="s">
        <v>11893</v>
      </c>
      <c r="AD118" s="389"/>
      <c r="AE118" s="428"/>
      <c r="AF118" s="389"/>
      <c r="AG118" s="389"/>
      <c r="AH118" s="389"/>
      <c r="AI118" s="428"/>
      <c r="AJ118" s="428"/>
      <c r="AK118" s="428"/>
      <c r="AL118" s="389"/>
      <c r="AM118" s="389"/>
      <c r="AN118" s="428"/>
      <c r="AO118" s="428"/>
      <c r="AP118" s="428"/>
      <c r="AQ118" s="380"/>
      <c r="AR118" s="353"/>
      <c r="AS118" s="353"/>
      <c r="AT118" s="353"/>
      <c r="AU118" s="353"/>
      <c r="AV118" s="353"/>
      <c r="AW118" s="353"/>
      <c r="AX118" s="345"/>
      <c r="AY118" s="353"/>
      <c r="AZ118" s="353"/>
      <c r="BA118" s="353"/>
      <c r="BB118" s="353"/>
      <c r="BC118" s="353"/>
      <c r="BD118" s="353"/>
      <c r="BE118" s="353"/>
      <c r="BF118" s="345"/>
      <c r="BG118" s="353"/>
      <c r="BH118" s="353"/>
      <c r="BI118" s="353"/>
      <c r="BJ118" s="353"/>
      <c r="BK118" s="353"/>
      <c r="BL118" s="353"/>
      <c r="BM118" s="353"/>
      <c r="BN118" s="345"/>
      <c r="BO118" s="353"/>
      <c r="BP118" s="353"/>
      <c r="BQ118" s="353"/>
      <c r="BR118" s="353"/>
      <c r="BS118" s="353"/>
      <c r="BT118" s="345"/>
      <c r="BU118" s="385"/>
      <c r="BV118" s="345"/>
      <c r="BW118" s="345"/>
      <c r="BX118" s="345"/>
      <c r="BY118" s="345"/>
      <c r="BZ118" s="345"/>
      <c r="CA118" s="345"/>
      <c r="CB118" s="345"/>
      <c r="CC118" s="345"/>
      <c r="CD118" s="345"/>
      <c r="CE118" s="345"/>
      <c r="CF118" s="345"/>
      <c r="CG118" s="345"/>
      <c r="CH118" s="345"/>
      <c r="CI118" s="345"/>
      <c r="CJ118" s="345"/>
      <c r="CK118" s="345"/>
      <c r="CL118" s="345"/>
      <c r="CM118" s="345"/>
      <c r="CN118" s="345"/>
      <c r="CO118" s="345"/>
      <c r="CP118" s="345"/>
      <c r="CQ118" s="345"/>
      <c r="CR118" s="345"/>
      <c r="CS118" s="345"/>
      <c r="CT118" s="345"/>
      <c r="CU118" s="345"/>
      <c r="CV118" s="345"/>
      <c r="CW118" s="345"/>
      <c r="CX118" s="345"/>
      <c r="CY118" s="345"/>
      <c r="CZ118" s="345"/>
      <c r="DA118" s="345"/>
      <c r="DB118" s="345"/>
      <c r="DC118" s="345"/>
      <c r="DD118" s="345"/>
      <c r="DE118" s="345"/>
      <c r="DF118" s="345"/>
      <c r="DG118" s="345"/>
      <c r="DH118" s="345"/>
      <c r="DI118" s="345"/>
      <c r="DJ118" s="345"/>
      <c r="DK118" s="345"/>
      <c r="DL118" s="345"/>
      <c r="DM118" s="345"/>
      <c r="DN118" s="345"/>
      <c r="DO118" s="345"/>
      <c r="DP118" s="345"/>
      <c r="DQ118" s="345"/>
      <c r="DR118" s="345"/>
      <c r="DS118" s="345"/>
      <c r="DT118" s="345"/>
      <c r="DU118" s="345"/>
      <c r="DV118" s="345"/>
      <c r="DW118" s="345"/>
      <c r="DX118" s="345"/>
      <c r="DY118" s="345"/>
      <c r="DZ118" s="345"/>
      <c r="EA118" s="345"/>
      <c r="EB118" s="345"/>
      <c r="EC118" s="345"/>
      <c r="ED118" s="346"/>
      <c r="EE118" s="329" t="str">
        <f t="shared" si="21"/>
        <v/>
      </c>
      <c r="EF118" s="330"/>
      <c r="EG118" s="330" t="str">
        <f>IF(COUNTIF(C118:AB118, "x"), "x", "")</f>
        <v/>
      </c>
      <c r="EH118" s="330" t="str">
        <f t="shared" si="22"/>
        <v/>
      </c>
      <c r="EI118" s="330" t="str">
        <f t="shared" si="8"/>
        <v/>
      </c>
      <c r="EJ118" s="331" t="str">
        <f t="shared" si="20"/>
        <v/>
      </c>
      <c r="EK118" s="47"/>
    </row>
    <row r="119" spans="1:141" x14ac:dyDescent="0.2">
      <c r="A119" s="559"/>
      <c r="B119" s="311">
        <v>117</v>
      </c>
      <c r="C119" s="380"/>
      <c r="D119" s="353"/>
      <c r="E119" s="353"/>
      <c r="F119" s="389"/>
      <c r="G119" s="389"/>
      <c r="H119" s="389"/>
      <c r="I119" s="389"/>
      <c r="J119" s="389"/>
      <c r="K119" s="389"/>
      <c r="L119" s="389"/>
      <c r="M119" s="389"/>
      <c r="N119" s="389"/>
      <c r="O119" s="389"/>
      <c r="P119" s="389"/>
      <c r="Q119" s="389"/>
      <c r="R119" s="389"/>
      <c r="S119" s="389"/>
      <c r="T119" s="389"/>
      <c r="U119" s="389"/>
      <c r="V119" s="389"/>
      <c r="W119" s="389"/>
      <c r="X119" s="389"/>
      <c r="Y119" s="389"/>
      <c r="Z119" s="389"/>
      <c r="AA119" s="389"/>
      <c r="AB119" s="389"/>
      <c r="AC119" s="424"/>
      <c r="AD119" s="389"/>
      <c r="AE119" s="428"/>
      <c r="AF119" s="389" t="s">
        <v>9409</v>
      </c>
      <c r="AG119" s="389"/>
      <c r="AH119" s="389"/>
      <c r="AI119" s="428"/>
      <c r="AJ119" s="428"/>
      <c r="AK119" s="428"/>
      <c r="AL119" s="389"/>
      <c r="AM119" s="389"/>
      <c r="AN119" s="428"/>
      <c r="AO119" s="428"/>
      <c r="AP119" s="428"/>
      <c r="AQ119" s="380"/>
      <c r="AR119" s="353"/>
      <c r="AS119" s="353"/>
      <c r="AT119" s="353"/>
      <c r="AU119" s="353"/>
      <c r="AV119" s="353"/>
      <c r="AW119" s="353"/>
      <c r="AX119" s="345"/>
      <c r="AY119" s="353"/>
      <c r="AZ119" s="353"/>
      <c r="BA119" s="353"/>
      <c r="BB119" s="353"/>
      <c r="BC119" s="353"/>
      <c r="BD119" s="353"/>
      <c r="BE119" s="353"/>
      <c r="BF119" s="345"/>
      <c r="BG119" s="353"/>
      <c r="BH119" s="353"/>
      <c r="BI119" s="353"/>
      <c r="BJ119" s="353"/>
      <c r="BK119" s="353"/>
      <c r="BL119" s="353"/>
      <c r="BM119" s="353"/>
      <c r="BN119" s="345"/>
      <c r="BO119" s="353"/>
      <c r="BP119" s="353"/>
      <c r="BQ119" s="353"/>
      <c r="BR119" s="353"/>
      <c r="BS119" s="353"/>
      <c r="BT119" s="345"/>
      <c r="BU119" s="385"/>
      <c r="BV119" s="345"/>
      <c r="BW119" s="345"/>
      <c r="BX119" s="345"/>
      <c r="BY119" s="345"/>
      <c r="BZ119" s="345"/>
      <c r="CA119" s="345"/>
      <c r="CB119" s="345"/>
      <c r="CC119" s="345"/>
      <c r="CD119" s="345"/>
      <c r="CE119" s="345"/>
      <c r="CF119" s="345"/>
      <c r="CG119" s="345"/>
      <c r="CH119" s="345"/>
      <c r="CI119" s="345"/>
      <c r="CJ119" s="345"/>
      <c r="CK119" s="345"/>
      <c r="CL119" s="345"/>
      <c r="CM119" s="345"/>
      <c r="CN119" s="345"/>
      <c r="CO119" s="345"/>
      <c r="CP119" s="345"/>
      <c r="CQ119" s="345"/>
      <c r="CR119" s="345"/>
      <c r="CS119" s="345"/>
      <c r="CT119" s="345"/>
      <c r="CU119" s="345"/>
      <c r="CV119" s="345"/>
      <c r="CW119" s="345"/>
      <c r="CX119" s="345"/>
      <c r="CY119" s="345"/>
      <c r="CZ119" s="345"/>
      <c r="DA119" s="345"/>
      <c r="DB119" s="345"/>
      <c r="DC119" s="345"/>
      <c r="DD119" s="345"/>
      <c r="DE119" s="345"/>
      <c r="DF119" s="345"/>
      <c r="DG119" s="345"/>
      <c r="DH119" s="345"/>
      <c r="DI119" s="345"/>
      <c r="DJ119" s="345"/>
      <c r="DK119" s="345"/>
      <c r="DL119" s="345"/>
      <c r="DM119" s="345"/>
      <c r="DN119" s="345"/>
      <c r="DO119" s="345"/>
      <c r="DP119" s="345"/>
      <c r="DQ119" s="345"/>
      <c r="DR119" s="345"/>
      <c r="DS119" s="345"/>
      <c r="DT119" s="345"/>
      <c r="DU119" s="345"/>
      <c r="DV119" s="345"/>
      <c r="DW119" s="345"/>
      <c r="DX119" s="345"/>
      <c r="DY119" s="345"/>
      <c r="DZ119" s="345"/>
      <c r="EA119" s="345"/>
      <c r="EB119" s="345"/>
      <c r="EC119" s="345"/>
      <c r="ED119" s="346"/>
      <c r="EE119" s="329" t="str">
        <f t="shared" si="21"/>
        <v>x</v>
      </c>
      <c r="EF119" s="330"/>
      <c r="EG119" s="330" t="str">
        <f t="shared" ref="EG119:EG134" si="23">IF(COUNTIF(C119:AB119, "x"), "x", "")</f>
        <v/>
      </c>
      <c r="EH119" s="330" t="str">
        <f t="shared" si="22"/>
        <v>x</v>
      </c>
      <c r="EI119" s="330" t="str">
        <f t="shared" si="8"/>
        <v/>
      </c>
      <c r="EJ119" s="331" t="str">
        <f t="shared" si="20"/>
        <v/>
      </c>
      <c r="EK119" s="47"/>
    </row>
    <row r="120" spans="1:141" x14ac:dyDescent="0.2">
      <c r="A120" s="559"/>
      <c r="B120" s="311">
        <v>118</v>
      </c>
      <c r="C120" s="380"/>
      <c r="D120" s="353"/>
      <c r="E120" s="353"/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 t="s">
        <v>9409</v>
      </c>
      <c r="AB120" s="389"/>
      <c r="AC120" s="424"/>
      <c r="AD120" s="389"/>
      <c r="AE120" s="428"/>
      <c r="AF120" s="389"/>
      <c r="AG120" s="389"/>
      <c r="AH120" s="389"/>
      <c r="AI120" s="428"/>
      <c r="AJ120" s="428"/>
      <c r="AK120" s="428"/>
      <c r="AL120" s="389"/>
      <c r="AM120" s="389"/>
      <c r="AN120" s="428"/>
      <c r="AO120" s="428"/>
      <c r="AP120" s="428"/>
      <c r="AQ120" s="380"/>
      <c r="AR120" s="353"/>
      <c r="AS120" s="353"/>
      <c r="AT120" s="353"/>
      <c r="AU120" s="353"/>
      <c r="AV120" s="353"/>
      <c r="AW120" s="353"/>
      <c r="AX120" s="345"/>
      <c r="AY120" s="353"/>
      <c r="AZ120" s="353"/>
      <c r="BA120" s="353"/>
      <c r="BB120" s="353"/>
      <c r="BC120" s="353"/>
      <c r="BD120" s="353"/>
      <c r="BE120" s="353"/>
      <c r="BF120" s="345"/>
      <c r="BG120" s="353"/>
      <c r="BH120" s="353"/>
      <c r="BI120" s="353"/>
      <c r="BJ120" s="353" t="s">
        <v>9409</v>
      </c>
      <c r="BK120" s="353"/>
      <c r="BL120" s="353"/>
      <c r="BM120" s="353"/>
      <c r="BN120" s="345"/>
      <c r="BO120" s="353"/>
      <c r="BP120" s="353"/>
      <c r="BQ120" s="353"/>
      <c r="BR120" s="353"/>
      <c r="BS120" s="353"/>
      <c r="BT120" s="345"/>
      <c r="BU120" s="385"/>
      <c r="BV120" s="345"/>
      <c r="BW120" s="345"/>
      <c r="BX120" s="345"/>
      <c r="BY120" s="345"/>
      <c r="BZ120" s="345"/>
      <c r="CA120" s="345"/>
      <c r="CB120" s="345"/>
      <c r="CC120" s="345"/>
      <c r="CD120" s="345"/>
      <c r="CE120" s="345"/>
      <c r="CF120" s="345"/>
      <c r="CG120" s="345"/>
      <c r="CH120" s="345"/>
      <c r="CI120" s="345"/>
      <c r="CJ120" s="345"/>
      <c r="CK120" s="345"/>
      <c r="CL120" s="345"/>
      <c r="CM120" s="345"/>
      <c r="CN120" s="345"/>
      <c r="CO120" s="345"/>
      <c r="CP120" s="345"/>
      <c r="CQ120" s="345"/>
      <c r="CR120" s="345"/>
      <c r="CS120" s="345"/>
      <c r="CT120" s="345"/>
      <c r="CU120" s="345"/>
      <c r="CV120" s="345"/>
      <c r="CW120" s="345"/>
      <c r="CX120" s="345"/>
      <c r="CY120" s="345"/>
      <c r="CZ120" s="345"/>
      <c r="DA120" s="345"/>
      <c r="DB120" s="345"/>
      <c r="DC120" s="345"/>
      <c r="DD120" s="345"/>
      <c r="DE120" s="345"/>
      <c r="DF120" s="345"/>
      <c r="DG120" s="345"/>
      <c r="DH120" s="345"/>
      <c r="DI120" s="345"/>
      <c r="DJ120" s="345"/>
      <c r="DK120" s="345"/>
      <c r="DL120" s="345"/>
      <c r="DM120" s="345"/>
      <c r="DN120" s="345"/>
      <c r="DO120" s="345"/>
      <c r="DP120" s="345"/>
      <c r="DQ120" s="345"/>
      <c r="DR120" s="345"/>
      <c r="DS120" s="345"/>
      <c r="DT120" s="345"/>
      <c r="DU120" s="345"/>
      <c r="DV120" s="345"/>
      <c r="DW120" s="345"/>
      <c r="DX120" s="345"/>
      <c r="DY120" s="345"/>
      <c r="DZ120" s="345"/>
      <c r="EA120" s="345"/>
      <c r="EB120" s="345"/>
      <c r="EC120" s="345"/>
      <c r="ED120" s="346"/>
      <c r="EE120" s="329" t="str">
        <f t="shared" si="21"/>
        <v>x</v>
      </c>
      <c r="EF120" s="330"/>
      <c r="EG120" s="330" t="str">
        <f t="shared" si="23"/>
        <v>x</v>
      </c>
      <c r="EH120" s="330" t="str">
        <f t="shared" si="22"/>
        <v/>
      </c>
      <c r="EI120" s="330" t="str">
        <f t="shared" si="8"/>
        <v>x</v>
      </c>
      <c r="EJ120" s="331" t="str">
        <f t="shared" si="20"/>
        <v/>
      </c>
      <c r="EK120" s="47"/>
    </row>
    <row r="121" spans="1:141" x14ac:dyDescent="0.2">
      <c r="A121" s="559"/>
      <c r="B121" s="311">
        <v>119</v>
      </c>
      <c r="C121" s="380"/>
      <c r="D121" s="389"/>
      <c r="E121" s="389"/>
      <c r="F121" s="389"/>
      <c r="G121" s="389"/>
      <c r="H121" s="389"/>
      <c r="I121" s="389"/>
      <c r="J121" s="389"/>
      <c r="K121" s="389"/>
      <c r="L121" s="389"/>
      <c r="M121" s="389"/>
      <c r="N121" s="389"/>
      <c r="O121" s="389"/>
      <c r="P121" s="389"/>
      <c r="Q121" s="389"/>
      <c r="R121" s="389"/>
      <c r="S121" s="389"/>
      <c r="T121" s="389"/>
      <c r="U121" s="389"/>
      <c r="V121" s="389"/>
      <c r="W121" s="389"/>
      <c r="X121" s="389"/>
      <c r="Y121" s="389"/>
      <c r="Z121" s="389"/>
      <c r="AA121" s="389"/>
      <c r="AB121" s="389"/>
      <c r="AC121" s="392" t="s">
        <v>11893</v>
      </c>
      <c r="AD121" s="389"/>
      <c r="AE121" s="428"/>
      <c r="AF121" s="389"/>
      <c r="AG121" s="389"/>
      <c r="AH121" s="389"/>
      <c r="AI121" s="428"/>
      <c r="AJ121" s="428"/>
      <c r="AK121" s="428"/>
      <c r="AL121" s="389"/>
      <c r="AM121" s="389"/>
      <c r="AN121" s="428"/>
      <c r="AO121" s="428"/>
      <c r="AP121" s="428"/>
      <c r="AQ121" s="380"/>
      <c r="AR121" s="353"/>
      <c r="AS121" s="353"/>
      <c r="AT121" s="353"/>
      <c r="AU121" s="353"/>
      <c r="AV121" s="353"/>
      <c r="AW121" s="353"/>
      <c r="AX121" s="345"/>
      <c r="AY121" s="353"/>
      <c r="AZ121" s="353"/>
      <c r="BA121" s="353"/>
      <c r="BB121" s="353"/>
      <c r="BC121" s="353"/>
      <c r="BD121" s="353"/>
      <c r="BE121" s="353"/>
      <c r="BF121" s="345"/>
      <c r="BG121" s="353"/>
      <c r="BH121" s="353"/>
      <c r="BI121" s="353"/>
      <c r="BJ121" s="353"/>
      <c r="BK121" s="353"/>
      <c r="BL121" s="353"/>
      <c r="BM121" s="353"/>
      <c r="BN121" s="345"/>
      <c r="BO121" s="353"/>
      <c r="BP121" s="353"/>
      <c r="BQ121" s="353"/>
      <c r="BR121" s="353"/>
      <c r="BS121" s="353"/>
      <c r="BT121" s="345"/>
      <c r="BU121" s="385"/>
      <c r="BV121" s="345"/>
      <c r="BW121" s="345"/>
      <c r="BX121" s="345"/>
      <c r="BY121" s="345"/>
      <c r="BZ121" s="345"/>
      <c r="CA121" s="345"/>
      <c r="CB121" s="345"/>
      <c r="CC121" s="345"/>
      <c r="CD121" s="345"/>
      <c r="CE121" s="345"/>
      <c r="CF121" s="345"/>
      <c r="CG121" s="345"/>
      <c r="CH121" s="345"/>
      <c r="CI121" s="345"/>
      <c r="CJ121" s="345"/>
      <c r="CK121" s="345"/>
      <c r="CL121" s="345"/>
      <c r="CM121" s="345"/>
      <c r="CN121" s="345"/>
      <c r="CO121" s="345"/>
      <c r="CP121" s="345"/>
      <c r="CQ121" s="345"/>
      <c r="CR121" s="345"/>
      <c r="CS121" s="345"/>
      <c r="CT121" s="345"/>
      <c r="CU121" s="345"/>
      <c r="CV121" s="345"/>
      <c r="CW121" s="345"/>
      <c r="CX121" s="345"/>
      <c r="CY121" s="345"/>
      <c r="CZ121" s="345"/>
      <c r="DA121" s="345"/>
      <c r="DB121" s="345"/>
      <c r="DC121" s="345"/>
      <c r="DD121" s="345"/>
      <c r="DE121" s="345"/>
      <c r="DF121" s="345"/>
      <c r="DG121" s="345"/>
      <c r="DH121" s="345"/>
      <c r="DI121" s="345"/>
      <c r="DJ121" s="345"/>
      <c r="DK121" s="345"/>
      <c r="DL121" s="345"/>
      <c r="DM121" s="345"/>
      <c r="DN121" s="345"/>
      <c r="DO121" s="345"/>
      <c r="DP121" s="345"/>
      <c r="DQ121" s="345"/>
      <c r="DR121" s="345"/>
      <c r="DS121" s="345"/>
      <c r="DT121" s="345"/>
      <c r="DU121" s="345"/>
      <c r="DV121" s="345"/>
      <c r="DW121" s="345"/>
      <c r="DX121" s="345"/>
      <c r="DY121" s="345"/>
      <c r="DZ121" s="345"/>
      <c r="EA121" s="345"/>
      <c r="EB121" s="345"/>
      <c r="EC121" s="345"/>
      <c r="ED121" s="346"/>
      <c r="EE121" s="329" t="str">
        <f t="shared" si="21"/>
        <v/>
      </c>
      <c r="EF121" s="330"/>
      <c r="EG121" s="330" t="str">
        <f t="shared" si="23"/>
        <v/>
      </c>
      <c r="EH121" s="330" t="str">
        <f t="shared" si="22"/>
        <v/>
      </c>
      <c r="EI121" s="330" t="str">
        <f t="shared" si="8"/>
        <v/>
      </c>
      <c r="EJ121" s="331" t="str">
        <f t="shared" si="20"/>
        <v/>
      </c>
      <c r="EK121" s="47"/>
    </row>
    <row r="122" spans="1:141" x14ac:dyDescent="0.2">
      <c r="A122" s="559"/>
      <c r="B122" s="311">
        <v>120</v>
      </c>
      <c r="C122" s="380"/>
      <c r="D122" s="389"/>
      <c r="E122" s="389"/>
      <c r="F122" s="389"/>
      <c r="G122" s="389"/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432" t="s">
        <v>11865</v>
      </c>
      <c r="Z122" s="389"/>
      <c r="AA122" s="389"/>
      <c r="AB122" s="389"/>
      <c r="AC122" s="424"/>
      <c r="AD122" s="389"/>
      <c r="AE122" s="428"/>
      <c r="AF122" s="389"/>
      <c r="AG122" s="389"/>
      <c r="AH122" s="389"/>
      <c r="AI122" s="428"/>
      <c r="AJ122" s="428"/>
      <c r="AK122" s="428"/>
      <c r="AL122" s="389"/>
      <c r="AM122" s="389"/>
      <c r="AN122" s="428"/>
      <c r="AO122" s="428"/>
      <c r="AP122" s="428"/>
      <c r="AQ122" s="380"/>
      <c r="AR122" s="353"/>
      <c r="AS122" s="353"/>
      <c r="AT122" s="353"/>
      <c r="AU122" s="353"/>
      <c r="AV122" s="353"/>
      <c r="AW122" s="353"/>
      <c r="AX122" s="345"/>
      <c r="AY122" s="353"/>
      <c r="AZ122" s="353"/>
      <c r="BA122" s="353"/>
      <c r="BB122" s="353"/>
      <c r="BC122" s="353"/>
      <c r="BD122" s="353"/>
      <c r="BE122" s="353"/>
      <c r="BF122" s="345"/>
      <c r="BG122" s="353"/>
      <c r="BH122" s="353"/>
      <c r="BI122" s="353"/>
      <c r="BJ122" s="353"/>
      <c r="BK122" s="353"/>
      <c r="BL122" s="353"/>
      <c r="BM122" s="353"/>
      <c r="BN122" s="345"/>
      <c r="BO122" s="353"/>
      <c r="BP122" s="353"/>
      <c r="BQ122" s="353"/>
      <c r="BR122" s="353"/>
      <c r="BS122" s="353"/>
      <c r="BT122" s="345"/>
      <c r="BU122" s="385"/>
      <c r="BV122" s="345"/>
      <c r="BW122" s="345"/>
      <c r="BX122" s="345"/>
      <c r="BY122" s="345"/>
      <c r="BZ122" s="345"/>
      <c r="CA122" s="345"/>
      <c r="CB122" s="345"/>
      <c r="CC122" s="345"/>
      <c r="CD122" s="345"/>
      <c r="CE122" s="345"/>
      <c r="CF122" s="345"/>
      <c r="CG122" s="345"/>
      <c r="CH122" s="345"/>
      <c r="CI122" s="345"/>
      <c r="CJ122" s="345"/>
      <c r="CK122" s="345"/>
      <c r="CL122" s="345"/>
      <c r="CM122" s="345"/>
      <c r="CN122" s="345"/>
      <c r="CO122" s="345"/>
      <c r="CP122" s="345"/>
      <c r="CQ122" s="345"/>
      <c r="CR122" s="345"/>
      <c r="CS122" s="345"/>
      <c r="CT122" s="345"/>
      <c r="CU122" s="345"/>
      <c r="CV122" s="345"/>
      <c r="CW122" s="345"/>
      <c r="CX122" s="345"/>
      <c r="CY122" s="345"/>
      <c r="CZ122" s="345"/>
      <c r="DA122" s="345"/>
      <c r="DB122" s="345"/>
      <c r="DC122" s="345"/>
      <c r="DD122" s="345"/>
      <c r="DE122" s="345"/>
      <c r="DF122" s="345"/>
      <c r="DG122" s="345"/>
      <c r="DH122" s="345"/>
      <c r="DI122" s="345"/>
      <c r="DJ122" s="345"/>
      <c r="DK122" s="345"/>
      <c r="DL122" s="345"/>
      <c r="DM122" s="345"/>
      <c r="DN122" s="345"/>
      <c r="DO122" s="345"/>
      <c r="DP122" s="345"/>
      <c r="DQ122" s="345"/>
      <c r="DR122" s="345"/>
      <c r="DS122" s="345"/>
      <c r="DT122" s="345"/>
      <c r="DU122" s="345"/>
      <c r="DV122" s="345"/>
      <c r="DW122" s="345"/>
      <c r="DX122" s="345"/>
      <c r="DY122" s="345"/>
      <c r="DZ122" s="345"/>
      <c r="EA122" s="345"/>
      <c r="EB122" s="345"/>
      <c r="EC122" s="345"/>
      <c r="ED122" s="346"/>
      <c r="EE122" s="329" t="str">
        <f t="shared" si="21"/>
        <v/>
      </c>
      <c r="EF122" s="330"/>
      <c r="EG122" s="330" t="str">
        <f t="shared" si="23"/>
        <v/>
      </c>
      <c r="EH122" s="330" t="str">
        <f t="shared" si="22"/>
        <v/>
      </c>
      <c r="EI122" s="330" t="str">
        <f t="shared" si="8"/>
        <v/>
      </c>
      <c r="EJ122" s="331" t="str">
        <f t="shared" si="20"/>
        <v/>
      </c>
      <c r="EK122" s="317" t="s">
        <v>11867</v>
      </c>
    </row>
    <row r="123" spans="1:141" x14ac:dyDescent="0.2">
      <c r="A123" s="559"/>
      <c r="B123" s="311">
        <v>121</v>
      </c>
      <c r="C123" s="380"/>
      <c r="D123" s="389"/>
      <c r="E123" s="389"/>
      <c r="F123" s="389"/>
      <c r="G123" s="389"/>
      <c r="H123" s="389"/>
      <c r="I123" s="389"/>
      <c r="J123" s="389"/>
      <c r="K123" s="389"/>
      <c r="L123" s="389"/>
      <c r="M123" s="389"/>
      <c r="N123" s="389"/>
      <c r="O123" s="389"/>
      <c r="P123" s="389"/>
      <c r="Q123" s="389"/>
      <c r="R123" s="389"/>
      <c r="S123" s="389"/>
      <c r="T123" s="389"/>
      <c r="U123" s="389"/>
      <c r="V123" s="389"/>
      <c r="W123" s="389"/>
      <c r="X123" s="389"/>
      <c r="Y123" s="389"/>
      <c r="Z123" s="389"/>
      <c r="AA123" s="389"/>
      <c r="AB123" s="389"/>
      <c r="AC123" s="424"/>
      <c r="AD123" s="389"/>
      <c r="AE123" s="428"/>
      <c r="AF123" s="389"/>
      <c r="AG123" s="389"/>
      <c r="AH123" s="389"/>
      <c r="AI123" s="428"/>
      <c r="AJ123" s="428"/>
      <c r="AK123" s="428"/>
      <c r="AL123" s="389"/>
      <c r="AM123" s="389"/>
      <c r="AN123" s="428"/>
      <c r="AO123" s="428"/>
      <c r="AP123" s="428"/>
      <c r="AQ123" s="380"/>
      <c r="AR123" s="353"/>
      <c r="AS123" s="353"/>
      <c r="AT123" s="353"/>
      <c r="AU123" s="353"/>
      <c r="AV123" s="353"/>
      <c r="AW123" s="353"/>
      <c r="AX123" s="345"/>
      <c r="AY123" s="353"/>
      <c r="AZ123" s="353"/>
      <c r="BA123" s="353"/>
      <c r="BB123" s="353"/>
      <c r="BC123" s="353"/>
      <c r="BD123" s="353"/>
      <c r="BE123" s="353"/>
      <c r="BF123" s="345"/>
      <c r="BG123" s="353"/>
      <c r="BH123" s="353"/>
      <c r="BI123" s="353"/>
      <c r="BJ123" s="353"/>
      <c r="BK123" s="353"/>
      <c r="BL123" s="353"/>
      <c r="BM123" s="353"/>
      <c r="BN123" s="345"/>
      <c r="BO123" s="353"/>
      <c r="BP123" s="353"/>
      <c r="BQ123" s="353"/>
      <c r="BR123" s="353"/>
      <c r="BS123" s="353"/>
      <c r="BT123" s="345"/>
      <c r="BU123" s="385"/>
      <c r="BV123" s="345"/>
      <c r="BW123" s="345"/>
      <c r="BX123" s="345"/>
      <c r="BY123" s="345"/>
      <c r="BZ123" s="345"/>
      <c r="CA123" s="345"/>
      <c r="CB123" s="345"/>
      <c r="CC123" s="345"/>
      <c r="CD123" s="345"/>
      <c r="CE123" s="345"/>
      <c r="CF123" s="345"/>
      <c r="CG123" s="345"/>
      <c r="CH123" s="345"/>
      <c r="CI123" s="345"/>
      <c r="CJ123" s="345"/>
      <c r="CK123" s="345"/>
      <c r="CL123" s="345"/>
      <c r="CM123" s="345"/>
      <c r="CN123" s="345"/>
      <c r="CO123" s="345"/>
      <c r="CP123" s="345"/>
      <c r="CQ123" s="345"/>
      <c r="CR123" s="345"/>
      <c r="CS123" s="345"/>
      <c r="CT123" s="345"/>
      <c r="CU123" s="345"/>
      <c r="CV123" s="345"/>
      <c r="CW123" s="345"/>
      <c r="CX123" s="345"/>
      <c r="CY123" s="345"/>
      <c r="CZ123" s="345"/>
      <c r="DA123" s="345"/>
      <c r="DB123" s="345"/>
      <c r="DC123" s="345"/>
      <c r="DD123" s="345"/>
      <c r="DE123" s="345"/>
      <c r="DF123" s="345"/>
      <c r="DG123" s="345"/>
      <c r="DH123" s="345"/>
      <c r="DI123" s="345"/>
      <c r="DJ123" s="345"/>
      <c r="DK123" s="345"/>
      <c r="DL123" s="345"/>
      <c r="DM123" s="345"/>
      <c r="DN123" s="345"/>
      <c r="DO123" s="345"/>
      <c r="DP123" s="345"/>
      <c r="DQ123" s="345"/>
      <c r="DR123" s="345"/>
      <c r="DS123" s="345"/>
      <c r="DT123" s="345"/>
      <c r="DU123" s="345"/>
      <c r="DV123" s="345"/>
      <c r="DW123" s="345"/>
      <c r="DX123" s="345"/>
      <c r="DY123" s="345"/>
      <c r="DZ123" s="345"/>
      <c r="EA123" s="345"/>
      <c r="EB123" s="345"/>
      <c r="EC123" s="345"/>
      <c r="ED123" s="346"/>
      <c r="EE123" s="329" t="str">
        <f t="shared" si="21"/>
        <v/>
      </c>
      <c r="EF123" s="330"/>
      <c r="EG123" s="330" t="str">
        <f t="shared" si="23"/>
        <v/>
      </c>
      <c r="EH123" s="330" t="str">
        <f t="shared" si="22"/>
        <v/>
      </c>
      <c r="EI123" s="330" t="str">
        <f t="shared" si="8"/>
        <v/>
      </c>
      <c r="EJ123" s="331" t="str">
        <f t="shared" si="20"/>
        <v/>
      </c>
    </row>
    <row r="124" spans="1:141" x14ac:dyDescent="0.2">
      <c r="A124" s="559"/>
      <c r="B124" s="311">
        <v>122</v>
      </c>
      <c r="C124" s="380"/>
      <c r="D124" s="389"/>
      <c r="E124" s="389"/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424"/>
      <c r="AD124" s="389"/>
      <c r="AE124" s="391" t="s">
        <v>11893</v>
      </c>
      <c r="AF124" s="389"/>
      <c r="AG124" s="389"/>
      <c r="AH124" s="389"/>
      <c r="AI124" s="428"/>
      <c r="AJ124" s="428"/>
      <c r="AK124" s="428"/>
      <c r="AL124" s="389"/>
      <c r="AM124" s="389"/>
      <c r="AN124" s="428"/>
      <c r="AO124" s="428"/>
      <c r="AP124" s="428"/>
      <c r="AQ124" s="380"/>
      <c r="AR124" s="353"/>
      <c r="AS124" s="353"/>
      <c r="AT124" s="353"/>
      <c r="AU124" s="353"/>
      <c r="AV124" s="353"/>
      <c r="AW124" s="353"/>
      <c r="AX124" s="345"/>
      <c r="AY124" s="353"/>
      <c r="AZ124" s="353"/>
      <c r="BA124" s="353"/>
      <c r="BB124" s="353"/>
      <c r="BC124" s="353"/>
      <c r="BD124" s="353"/>
      <c r="BE124" s="353"/>
      <c r="BF124" s="345"/>
      <c r="BG124" s="353"/>
      <c r="BH124" s="353"/>
      <c r="BI124" s="353"/>
      <c r="BJ124" s="353"/>
      <c r="BK124" s="353"/>
      <c r="BL124" s="353"/>
      <c r="BM124" s="353"/>
      <c r="BN124" s="345"/>
      <c r="BO124" s="353"/>
      <c r="BP124" s="353"/>
      <c r="BQ124" s="353"/>
      <c r="BR124" s="353"/>
      <c r="BS124" s="353"/>
      <c r="BT124" s="345"/>
      <c r="BU124" s="385"/>
      <c r="BV124" s="345"/>
      <c r="BW124" s="345"/>
      <c r="BX124" s="345"/>
      <c r="BY124" s="345"/>
      <c r="BZ124" s="345"/>
      <c r="CA124" s="345"/>
      <c r="CB124" s="345"/>
      <c r="CC124" s="345"/>
      <c r="CD124" s="345"/>
      <c r="CE124" s="345"/>
      <c r="CF124" s="345"/>
      <c r="CG124" s="345"/>
      <c r="CH124" s="345"/>
      <c r="CI124" s="345"/>
      <c r="CJ124" s="345"/>
      <c r="CK124" s="345"/>
      <c r="CL124" s="345"/>
      <c r="CM124" s="345"/>
      <c r="CN124" s="345"/>
      <c r="CO124" s="345"/>
      <c r="CP124" s="345"/>
      <c r="CQ124" s="345"/>
      <c r="CR124" s="345"/>
      <c r="CS124" s="345"/>
      <c r="CT124" s="345"/>
      <c r="CU124" s="345"/>
      <c r="CV124" s="345"/>
      <c r="CW124" s="345"/>
      <c r="CX124" s="345"/>
      <c r="CY124" s="345"/>
      <c r="CZ124" s="345"/>
      <c r="DA124" s="345"/>
      <c r="DB124" s="345"/>
      <c r="DC124" s="345"/>
      <c r="DD124" s="345"/>
      <c r="DE124" s="345"/>
      <c r="DF124" s="345"/>
      <c r="DG124" s="345"/>
      <c r="DH124" s="345"/>
      <c r="DI124" s="345"/>
      <c r="DJ124" s="345"/>
      <c r="DK124" s="345"/>
      <c r="DL124" s="345"/>
      <c r="DM124" s="345"/>
      <c r="DN124" s="345"/>
      <c r="DO124" s="345"/>
      <c r="DP124" s="345"/>
      <c r="DQ124" s="345"/>
      <c r="DR124" s="345"/>
      <c r="DS124" s="345"/>
      <c r="DT124" s="345"/>
      <c r="DU124" s="345"/>
      <c r="DV124" s="345"/>
      <c r="DW124" s="345"/>
      <c r="DX124" s="345"/>
      <c r="DY124" s="345"/>
      <c r="DZ124" s="345"/>
      <c r="EA124" s="345"/>
      <c r="EB124" s="345"/>
      <c r="EC124" s="345"/>
      <c r="ED124" s="346"/>
      <c r="EE124" s="329" t="str">
        <f t="shared" si="21"/>
        <v/>
      </c>
      <c r="EF124" s="330"/>
      <c r="EG124" s="330" t="str">
        <f t="shared" si="23"/>
        <v/>
      </c>
      <c r="EH124" s="330" t="str">
        <f t="shared" si="22"/>
        <v/>
      </c>
      <c r="EI124" s="330" t="str">
        <f t="shared" si="8"/>
        <v/>
      </c>
      <c r="EJ124" s="331" t="str">
        <f t="shared" si="20"/>
        <v/>
      </c>
      <c r="EK124" s="47"/>
    </row>
    <row r="125" spans="1:141" x14ac:dyDescent="0.2">
      <c r="A125" s="559"/>
      <c r="B125" s="311">
        <v>123</v>
      </c>
      <c r="C125" s="380"/>
      <c r="D125" s="389"/>
      <c r="E125" s="389"/>
      <c r="F125" s="389"/>
      <c r="G125" s="389"/>
      <c r="H125" s="389"/>
      <c r="I125" s="389"/>
      <c r="J125" s="389"/>
      <c r="K125" s="389"/>
      <c r="L125" s="389"/>
      <c r="M125" s="389"/>
      <c r="N125" s="389"/>
      <c r="O125" s="389"/>
      <c r="P125" s="389"/>
      <c r="Q125" s="389"/>
      <c r="R125" s="389"/>
      <c r="S125" s="389"/>
      <c r="T125" s="389"/>
      <c r="U125" s="389"/>
      <c r="V125" s="389"/>
      <c r="W125" s="389"/>
      <c r="X125" s="389"/>
      <c r="Y125" s="389"/>
      <c r="Z125" s="389"/>
      <c r="AA125" s="389"/>
      <c r="AB125" s="389"/>
      <c r="AC125" s="424"/>
      <c r="AD125" s="389"/>
      <c r="AE125" s="391" t="s">
        <v>11893</v>
      </c>
      <c r="AF125" s="389"/>
      <c r="AG125" s="389"/>
      <c r="AH125" s="389"/>
      <c r="AI125" s="428"/>
      <c r="AJ125" s="428"/>
      <c r="AK125" s="428"/>
      <c r="AL125" s="389"/>
      <c r="AM125" s="389"/>
      <c r="AN125" s="428"/>
      <c r="AO125" s="428"/>
      <c r="AP125" s="428"/>
      <c r="AQ125" s="380"/>
      <c r="AR125" s="353"/>
      <c r="AS125" s="353"/>
      <c r="AT125" s="353"/>
      <c r="AU125" s="353"/>
      <c r="AV125" s="353"/>
      <c r="AW125" s="353"/>
      <c r="AX125" s="345"/>
      <c r="AY125" s="353"/>
      <c r="AZ125" s="353"/>
      <c r="BA125" s="353"/>
      <c r="BB125" s="353"/>
      <c r="BC125" s="353"/>
      <c r="BD125" s="353"/>
      <c r="BE125" s="353"/>
      <c r="BF125" s="345"/>
      <c r="BG125" s="353"/>
      <c r="BH125" s="353"/>
      <c r="BI125" s="353"/>
      <c r="BJ125" s="353"/>
      <c r="BK125" s="353"/>
      <c r="BL125" s="353"/>
      <c r="BM125" s="353"/>
      <c r="BN125" s="345"/>
      <c r="BO125" s="353"/>
      <c r="BP125" s="353"/>
      <c r="BQ125" s="353"/>
      <c r="BR125" s="353"/>
      <c r="BS125" s="353"/>
      <c r="BT125" s="345"/>
      <c r="BU125" s="385"/>
      <c r="BV125" s="345"/>
      <c r="BW125" s="345"/>
      <c r="BX125" s="345"/>
      <c r="BY125" s="345"/>
      <c r="BZ125" s="345"/>
      <c r="CA125" s="345"/>
      <c r="CB125" s="345"/>
      <c r="CC125" s="345"/>
      <c r="CD125" s="345"/>
      <c r="CE125" s="345"/>
      <c r="CF125" s="345"/>
      <c r="CG125" s="345"/>
      <c r="CH125" s="345"/>
      <c r="CI125" s="345"/>
      <c r="CJ125" s="345"/>
      <c r="CK125" s="345"/>
      <c r="CL125" s="345"/>
      <c r="CM125" s="345"/>
      <c r="CN125" s="345"/>
      <c r="CO125" s="345"/>
      <c r="CP125" s="345"/>
      <c r="CQ125" s="345"/>
      <c r="CR125" s="345"/>
      <c r="CS125" s="345"/>
      <c r="CT125" s="345"/>
      <c r="CU125" s="345"/>
      <c r="CV125" s="345"/>
      <c r="CW125" s="345"/>
      <c r="CX125" s="345"/>
      <c r="CY125" s="345"/>
      <c r="CZ125" s="345"/>
      <c r="DA125" s="345"/>
      <c r="DB125" s="345"/>
      <c r="DC125" s="345"/>
      <c r="DD125" s="345"/>
      <c r="DE125" s="345"/>
      <c r="DF125" s="345"/>
      <c r="DG125" s="345"/>
      <c r="DH125" s="345"/>
      <c r="DI125" s="345"/>
      <c r="DJ125" s="345"/>
      <c r="DK125" s="345"/>
      <c r="DL125" s="345"/>
      <c r="DM125" s="345"/>
      <c r="DN125" s="345"/>
      <c r="DO125" s="345"/>
      <c r="DP125" s="345"/>
      <c r="DQ125" s="345"/>
      <c r="DR125" s="345"/>
      <c r="DS125" s="345"/>
      <c r="DT125" s="345"/>
      <c r="DU125" s="345"/>
      <c r="DV125" s="345"/>
      <c r="DW125" s="345"/>
      <c r="DX125" s="345"/>
      <c r="DY125" s="345"/>
      <c r="DZ125" s="345"/>
      <c r="EA125" s="345"/>
      <c r="EB125" s="345"/>
      <c r="EC125" s="345"/>
      <c r="ED125" s="346"/>
      <c r="EE125" s="329" t="str">
        <f t="shared" si="21"/>
        <v/>
      </c>
      <c r="EF125" s="330"/>
      <c r="EG125" s="330" t="str">
        <f t="shared" si="23"/>
        <v/>
      </c>
      <c r="EH125" s="330" t="str">
        <f>IF(COUNTIF(AC125:AP125, "x"), "x", "")</f>
        <v/>
      </c>
      <c r="EI125" s="330" t="str">
        <f t="shared" si="8"/>
        <v/>
      </c>
      <c r="EJ125" s="331" t="str">
        <f>IF(COUNTIF(BV125:ED125, "x"), "x", "")</f>
        <v/>
      </c>
      <c r="EK125" s="47"/>
    </row>
    <row r="126" spans="1:141" x14ac:dyDescent="0.2">
      <c r="A126" s="559"/>
      <c r="B126" s="311">
        <v>124</v>
      </c>
      <c r="C126" s="380"/>
      <c r="D126" s="389"/>
      <c r="E126" s="389"/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  <c r="AA126" s="389"/>
      <c r="AB126" s="389"/>
      <c r="AC126" s="424"/>
      <c r="AD126" s="389"/>
      <c r="AE126" s="428"/>
      <c r="AF126" s="389"/>
      <c r="AG126" s="389"/>
      <c r="AH126" s="389"/>
      <c r="AI126" s="428"/>
      <c r="AJ126" s="428"/>
      <c r="AK126" s="428"/>
      <c r="AL126" s="389"/>
      <c r="AM126" s="389"/>
      <c r="AN126" s="428"/>
      <c r="AO126" s="428"/>
      <c r="AP126" s="428"/>
      <c r="AQ126" s="380"/>
      <c r="AR126" s="353"/>
      <c r="AS126" s="353"/>
      <c r="AT126" s="353"/>
      <c r="AU126" s="353"/>
      <c r="AV126" s="353"/>
      <c r="AW126" s="353"/>
      <c r="AX126" s="345"/>
      <c r="AY126" s="353"/>
      <c r="AZ126" s="353"/>
      <c r="BA126" s="353"/>
      <c r="BB126" s="353"/>
      <c r="BC126" s="353"/>
      <c r="BD126" s="353"/>
      <c r="BE126" s="353"/>
      <c r="BF126" s="345"/>
      <c r="BG126" s="353"/>
      <c r="BH126" s="353"/>
      <c r="BI126" s="353"/>
      <c r="BJ126" s="353"/>
      <c r="BK126" s="353"/>
      <c r="BL126" s="353"/>
      <c r="BM126" s="353"/>
      <c r="BN126" s="345"/>
      <c r="BO126" s="353"/>
      <c r="BP126" s="353"/>
      <c r="BQ126" s="353"/>
      <c r="BR126" s="353"/>
      <c r="BS126" s="353"/>
      <c r="BT126" s="345"/>
      <c r="BU126" s="385"/>
      <c r="BV126" s="345"/>
      <c r="BW126" s="345"/>
      <c r="BX126" s="345"/>
      <c r="BY126" s="345"/>
      <c r="BZ126" s="345"/>
      <c r="CA126" s="345"/>
      <c r="CB126" s="345"/>
      <c r="CC126" s="345"/>
      <c r="CD126" s="345"/>
      <c r="CE126" s="345"/>
      <c r="CF126" s="345"/>
      <c r="CG126" s="345"/>
      <c r="CH126" s="345"/>
      <c r="CI126" s="345"/>
      <c r="CJ126" s="345"/>
      <c r="CK126" s="345"/>
      <c r="CL126" s="345"/>
      <c r="CM126" s="345"/>
      <c r="CN126" s="345"/>
      <c r="CO126" s="345"/>
      <c r="CP126" s="345"/>
      <c r="CQ126" s="345"/>
      <c r="CR126" s="345"/>
      <c r="CS126" s="345"/>
      <c r="CT126" s="345"/>
      <c r="CU126" s="345"/>
      <c r="CV126" s="345"/>
      <c r="CW126" s="345"/>
      <c r="CX126" s="345"/>
      <c r="CY126" s="345"/>
      <c r="CZ126" s="345"/>
      <c r="DA126" s="345"/>
      <c r="DB126" s="345"/>
      <c r="DC126" s="345"/>
      <c r="DD126" s="345"/>
      <c r="DE126" s="345"/>
      <c r="DF126" s="345"/>
      <c r="DG126" s="345"/>
      <c r="DH126" s="345"/>
      <c r="DI126" s="345"/>
      <c r="DJ126" s="345"/>
      <c r="DK126" s="345"/>
      <c r="DL126" s="345"/>
      <c r="DM126" s="345"/>
      <c r="DN126" s="345"/>
      <c r="DO126" s="345"/>
      <c r="DP126" s="345"/>
      <c r="DQ126" s="345"/>
      <c r="DR126" s="345"/>
      <c r="DS126" s="345"/>
      <c r="DT126" s="345"/>
      <c r="DU126" s="345"/>
      <c r="DV126" s="345"/>
      <c r="DW126" s="345"/>
      <c r="DX126" s="345"/>
      <c r="DY126" s="345"/>
      <c r="DZ126" s="345"/>
      <c r="EA126" s="345"/>
      <c r="EB126" s="345"/>
      <c r="EC126" s="345"/>
      <c r="ED126" s="346"/>
      <c r="EE126" s="329" t="str">
        <f t="shared" si="21"/>
        <v/>
      </c>
      <c r="EF126" s="330"/>
      <c r="EG126" s="330" t="str">
        <f t="shared" si="23"/>
        <v/>
      </c>
      <c r="EH126" s="330" t="str">
        <f t="shared" ref="EH126:EH134" si="24">IF(COUNTIF(AC126:AP126, "x"), "x", "")</f>
        <v/>
      </c>
      <c r="EI126" s="330" t="str">
        <f t="shared" si="8"/>
        <v/>
      </c>
      <c r="EJ126" s="331" t="str">
        <f t="shared" ref="EJ126:EJ134" si="25">IF(COUNTIF(BV126:ED126, "x"), "x", "")</f>
        <v/>
      </c>
      <c r="EK126" s="47"/>
    </row>
    <row r="127" spans="1:141" x14ac:dyDescent="0.2">
      <c r="A127" s="559"/>
      <c r="B127" s="311">
        <v>125</v>
      </c>
      <c r="C127" s="380"/>
      <c r="D127" s="389"/>
      <c r="E127" s="389"/>
      <c r="F127" s="389"/>
      <c r="G127" s="389"/>
      <c r="H127" s="389"/>
      <c r="I127" s="389"/>
      <c r="J127" s="389"/>
      <c r="K127" s="389"/>
      <c r="L127" s="389"/>
      <c r="M127" s="389"/>
      <c r="N127" s="389"/>
      <c r="O127" s="389"/>
      <c r="P127" s="389"/>
      <c r="Q127" s="389"/>
      <c r="R127" s="389"/>
      <c r="S127" s="389"/>
      <c r="T127" s="389"/>
      <c r="U127" s="389"/>
      <c r="V127" s="389"/>
      <c r="W127" s="389"/>
      <c r="X127" s="389"/>
      <c r="Y127" s="389"/>
      <c r="Z127" s="389"/>
      <c r="AA127" s="389"/>
      <c r="AB127" s="389"/>
      <c r="AC127" s="424"/>
      <c r="AD127" s="389"/>
      <c r="AE127" s="428"/>
      <c r="AF127" s="389"/>
      <c r="AG127" s="389"/>
      <c r="AH127" s="391" t="s">
        <v>9409</v>
      </c>
      <c r="AI127" s="428"/>
      <c r="AJ127" s="428"/>
      <c r="AK127" s="428"/>
      <c r="AL127" s="389"/>
      <c r="AM127" s="389"/>
      <c r="AN127" s="428"/>
      <c r="AO127" s="428"/>
      <c r="AP127" s="428"/>
      <c r="AQ127" s="380"/>
      <c r="AR127" s="353"/>
      <c r="AS127" s="353"/>
      <c r="AT127" s="353"/>
      <c r="AU127" s="353"/>
      <c r="AV127" s="353"/>
      <c r="AW127" s="353"/>
      <c r="AX127" s="345"/>
      <c r="AY127" s="353"/>
      <c r="AZ127" s="353"/>
      <c r="BA127" s="353"/>
      <c r="BB127" s="353"/>
      <c r="BC127" s="353"/>
      <c r="BD127" s="353"/>
      <c r="BE127" s="353"/>
      <c r="BF127" s="345"/>
      <c r="BG127" s="353"/>
      <c r="BH127" s="353"/>
      <c r="BI127" s="353"/>
      <c r="BJ127" s="353"/>
      <c r="BK127" s="353"/>
      <c r="BL127" s="353"/>
      <c r="BM127" s="353"/>
      <c r="BN127" s="345"/>
      <c r="BO127" s="353"/>
      <c r="BP127" s="353"/>
      <c r="BQ127" s="353"/>
      <c r="BR127" s="353"/>
      <c r="BS127" s="353"/>
      <c r="BT127" s="345"/>
      <c r="BU127" s="385"/>
      <c r="BV127" s="345"/>
      <c r="BW127" s="345"/>
      <c r="BX127" s="345"/>
      <c r="BY127" s="345"/>
      <c r="BZ127" s="345"/>
      <c r="CA127" s="345"/>
      <c r="CB127" s="345"/>
      <c r="CC127" s="345"/>
      <c r="CD127" s="345"/>
      <c r="CE127" s="345"/>
      <c r="CF127" s="345"/>
      <c r="CG127" s="345"/>
      <c r="CH127" s="345"/>
      <c r="CI127" s="345"/>
      <c r="CJ127" s="345"/>
      <c r="CK127" s="345"/>
      <c r="CL127" s="345"/>
      <c r="CM127" s="345"/>
      <c r="CN127" s="345"/>
      <c r="CO127" s="345"/>
      <c r="CP127" s="345"/>
      <c r="CQ127" s="345"/>
      <c r="CR127" s="345"/>
      <c r="CS127" s="345"/>
      <c r="CT127" s="345"/>
      <c r="CU127" s="345"/>
      <c r="CV127" s="345"/>
      <c r="CW127" s="345"/>
      <c r="CX127" s="345"/>
      <c r="CY127" s="345"/>
      <c r="CZ127" s="345"/>
      <c r="DA127" s="345"/>
      <c r="DB127" s="345"/>
      <c r="DC127" s="345"/>
      <c r="DD127" s="345"/>
      <c r="DE127" s="345"/>
      <c r="DF127" s="345"/>
      <c r="DG127" s="345"/>
      <c r="DH127" s="345"/>
      <c r="DI127" s="345"/>
      <c r="DJ127" s="345"/>
      <c r="DK127" s="345"/>
      <c r="DL127" s="345"/>
      <c r="DM127" s="345"/>
      <c r="DN127" s="345"/>
      <c r="DO127" s="345"/>
      <c r="DP127" s="345"/>
      <c r="DQ127" s="345"/>
      <c r="DR127" s="345"/>
      <c r="DS127" s="345"/>
      <c r="DT127" s="345"/>
      <c r="DU127" s="345"/>
      <c r="DV127" s="345"/>
      <c r="DW127" s="345"/>
      <c r="DX127" s="345"/>
      <c r="DY127" s="345"/>
      <c r="DZ127" s="345"/>
      <c r="EA127" s="345"/>
      <c r="EB127" s="345"/>
      <c r="EC127" s="345"/>
      <c r="ED127" s="346"/>
      <c r="EE127" s="329" t="str">
        <f>IF(COUNTIF(C127:ED127, "x"), "x", "")</f>
        <v>x</v>
      </c>
      <c r="EF127" s="330"/>
      <c r="EG127" s="330" t="str">
        <f t="shared" si="23"/>
        <v/>
      </c>
      <c r="EH127" s="330" t="str">
        <f t="shared" si="24"/>
        <v>x</v>
      </c>
      <c r="EI127" s="330" t="str">
        <f t="shared" si="8"/>
        <v/>
      </c>
      <c r="EJ127" s="331" t="str">
        <f t="shared" si="25"/>
        <v/>
      </c>
      <c r="EK127" s="47"/>
    </row>
    <row r="128" spans="1:141" x14ac:dyDescent="0.2">
      <c r="A128" s="559"/>
      <c r="B128" s="311">
        <v>126</v>
      </c>
      <c r="C128" s="380"/>
      <c r="D128" s="389"/>
      <c r="E128" s="389"/>
      <c r="F128" s="389"/>
      <c r="G128" s="389"/>
      <c r="H128" s="389"/>
      <c r="I128" s="389"/>
      <c r="J128" s="389"/>
      <c r="K128" s="389"/>
      <c r="L128" s="389"/>
      <c r="M128" s="389"/>
      <c r="N128" s="389"/>
      <c r="O128" s="389"/>
      <c r="P128" s="389"/>
      <c r="Q128" s="389"/>
      <c r="R128" s="389"/>
      <c r="S128" s="389"/>
      <c r="T128" s="389"/>
      <c r="U128" s="389"/>
      <c r="V128" s="389"/>
      <c r="W128" s="389"/>
      <c r="X128" s="389"/>
      <c r="Y128" s="389"/>
      <c r="Z128" s="389"/>
      <c r="AA128" s="389"/>
      <c r="AB128" s="389"/>
      <c r="AC128" s="424"/>
      <c r="AD128" s="389"/>
      <c r="AE128" s="428"/>
      <c r="AF128" s="389"/>
      <c r="AG128" s="389"/>
      <c r="AH128" s="391" t="s">
        <v>9409</v>
      </c>
      <c r="AI128" s="428"/>
      <c r="AJ128" s="428"/>
      <c r="AK128" s="428"/>
      <c r="AL128" s="389"/>
      <c r="AM128" s="389"/>
      <c r="AN128" s="428"/>
      <c r="AO128" s="428"/>
      <c r="AP128" s="428"/>
      <c r="AQ128" s="380"/>
      <c r="AR128" s="353"/>
      <c r="AS128" s="353"/>
      <c r="AT128" s="353"/>
      <c r="AU128" s="353"/>
      <c r="AV128" s="353"/>
      <c r="AW128" s="353"/>
      <c r="AX128" s="345"/>
      <c r="AY128" s="353"/>
      <c r="AZ128" s="353"/>
      <c r="BA128" s="353"/>
      <c r="BB128" s="353"/>
      <c r="BC128" s="353"/>
      <c r="BD128" s="353"/>
      <c r="BE128" s="353"/>
      <c r="BF128" s="345"/>
      <c r="BG128" s="353"/>
      <c r="BH128" s="353"/>
      <c r="BI128" s="353"/>
      <c r="BJ128" s="353"/>
      <c r="BK128" s="353"/>
      <c r="BL128" s="353"/>
      <c r="BM128" s="353"/>
      <c r="BN128" s="345"/>
      <c r="BO128" s="353"/>
      <c r="BP128" s="353"/>
      <c r="BQ128" s="353"/>
      <c r="BR128" s="353"/>
      <c r="BS128" s="353"/>
      <c r="BT128" s="345"/>
      <c r="BU128" s="385"/>
      <c r="BV128" s="345"/>
      <c r="BW128" s="345"/>
      <c r="BX128" s="345"/>
      <c r="BY128" s="345"/>
      <c r="BZ128" s="345"/>
      <c r="CA128" s="345"/>
      <c r="CB128" s="345"/>
      <c r="CC128" s="345"/>
      <c r="CD128" s="345"/>
      <c r="CE128" s="345"/>
      <c r="CF128" s="345"/>
      <c r="CG128" s="345"/>
      <c r="CH128" s="345"/>
      <c r="CI128" s="345"/>
      <c r="CJ128" s="345"/>
      <c r="CK128" s="345"/>
      <c r="CL128" s="345"/>
      <c r="CM128" s="345"/>
      <c r="CN128" s="345"/>
      <c r="CO128" s="345"/>
      <c r="CP128" s="345"/>
      <c r="CQ128" s="345"/>
      <c r="CR128" s="345"/>
      <c r="CS128" s="345"/>
      <c r="CT128" s="345"/>
      <c r="CU128" s="345"/>
      <c r="CV128" s="345"/>
      <c r="CW128" s="345"/>
      <c r="CX128" s="345"/>
      <c r="CY128" s="345"/>
      <c r="CZ128" s="345"/>
      <c r="DA128" s="345"/>
      <c r="DB128" s="345"/>
      <c r="DC128" s="345"/>
      <c r="DD128" s="345"/>
      <c r="DE128" s="345"/>
      <c r="DF128" s="345"/>
      <c r="DG128" s="345"/>
      <c r="DH128" s="345"/>
      <c r="DI128" s="345"/>
      <c r="DJ128" s="345"/>
      <c r="DK128" s="345"/>
      <c r="DL128" s="345"/>
      <c r="DM128" s="345"/>
      <c r="DN128" s="345"/>
      <c r="DO128" s="345"/>
      <c r="DP128" s="345"/>
      <c r="DQ128" s="345"/>
      <c r="DR128" s="345"/>
      <c r="DS128" s="345"/>
      <c r="DT128" s="345"/>
      <c r="DU128" s="345"/>
      <c r="DV128" s="345"/>
      <c r="DW128" s="345"/>
      <c r="DX128" s="345"/>
      <c r="DY128" s="345"/>
      <c r="DZ128" s="345"/>
      <c r="EA128" s="345"/>
      <c r="EB128" s="345"/>
      <c r="EC128" s="345"/>
      <c r="ED128" s="346"/>
      <c r="EE128" s="329" t="str">
        <f t="shared" ref="EE128:EE134" si="26">IF(COUNTIF(C128:ED128, "x"), "x", "")</f>
        <v>x</v>
      </c>
      <c r="EF128" s="330"/>
      <c r="EG128" s="330" t="str">
        <f t="shared" si="23"/>
        <v/>
      </c>
      <c r="EH128" s="330" t="str">
        <f t="shared" si="24"/>
        <v>x</v>
      </c>
      <c r="EI128" s="330" t="str">
        <f t="shared" si="8"/>
        <v/>
      </c>
      <c r="EJ128" s="331" t="str">
        <f t="shared" si="25"/>
        <v/>
      </c>
      <c r="EK128" s="47"/>
    </row>
    <row r="129" spans="1:142" x14ac:dyDescent="0.2">
      <c r="A129" s="559"/>
      <c r="B129" s="311">
        <v>127</v>
      </c>
      <c r="C129" s="380"/>
      <c r="D129" s="389"/>
      <c r="E129" s="389"/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  <c r="AA129" s="389"/>
      <c r="AB129" s="389"/>
      <c r="AC129" s="424"/>
      <c r="AD129" s="389"/>
      <c r="AE129" s="428"/>
      <c r="AF129" s="389"/>
      <c r="AG129" s="389"/>
      <c r="AH129" s="389"/>
      <c r="AI129" s="428"/>
      <c r="AJ129" s="428"/>
      <c r="AK129" s="428"/>
      <c r="AL129" s="389"/>
      <c r="AM129" s="389"/>
      <c r="AN129" s="428"/>
      <c r="AO129" s="428"/>
      <c r="AP129" s="428"/>
      <c r="AQ129" s="380"/>
      <c r="AR129" s="353"/>
      <c r="AS129" s="353"/>
      <c r="AT129" s="353"/>
      <c r="AU129" s="353"/>
      <c r="AV129" s="353"/>
      <c r="AW129" s="353"/>
      <c r="AX129" s="345"/>
      <c r="AY129" s="353"/>
      <c r="AZ129" s="353"/>
      <c r="BA129" s="353"/>
      <c r="BB129" s="353"/>
      <c r="BC129" s="353"/>
      <c r="BD129" s="353"/>
      <c r="BE129" s="353"/>
      <c r="BF129" s="345"/>
      <c r="BG129" s="353"/>
      <c r="BH129" s="353"/>
      <c r="BI129" s="353"/>
      <c r="BJ129" s="353"/>
      <c r="BK129" s="353"/>
      <c r="BL129" s="353"/>
      <c r="BM129" s="353"/>
      <c r="BN129" s="345"/>
      <c r="BO129" s="353"/>
      <c r="BP129" s="353"/>
      <c r="BQ129" s="353"/>
      <c r="BR129" s="353"/>
      <c r="BS129" s="353"/>
      <c r="BT129" s="345"/>
      <c r="BU129" s="385"/>
      <c r="BV129" s="345"/>
      <c r="BW129" s="345"/>
      <c r="BX129" s="345"/>
      <c r="BY129" s="345"/>
      <c r="BZ129" s="345"/>
      <c r="CA129" s="345"/>
      <c r="CB129" s="345"/>
      <c r="CC129" s="345"/>
      <c r="CD129" s="345"/>
      <c r="CE129" s="345"/>
      <c r="CF129" s="345"/>
      <c r="CG129" s="345"/>
      <c r="CH129" s="345"/>
      <c r="CI129" s="345"/>
      <c r="CJ129" s="345"/>
      <c r="CK129" s="345"/>
      <c r="CL129" s="345"/>
      <c r="CM129" s="345"/>
      <c r="CN129" s="345"/>
      <c r="CO129" s="345"/>
      <c r="CP129" s="345"/>
      <c r="CQ129" s="345"/>
      <c r="CR129" s="345"/>
      <c r="CS129" s="345"/>
      <c r="CT129" s="345"/>
      <c r="CU129" s="345"/>
      <c r="CV129" s="345"/>
      <c r="CW129" s="345"/>
      <c r="CX129" s="345"/>
      <c r="CY129" s="345"/>
      <c r="CZ129" s="345"/>
      <c r="DA129" s="345"/>
      <c r="DB129" s="345"/>
      <c r="DC129" s="345"/>
      <c r="DD129" s="345"/>
      <c r="DE129" s="345"/>
      <c r="DF129" s="345"/>
      <c r="DG129" s="345"/>
      <c r="DH129" s="345"/>
      <c r="DI129" s="345"/>
      <c r="DJ129" s="345"/>
      <c r="DK129" s="345"/>
      <c r="DL129" s="345"/>
      <c r="DM129" s="345"/>
      <c r="DN129" s="345"/>
      <c r="DO129" s="345"/>
      <c r="DP129" s="345"/>
      <c r="DQ129" s="345"/>
      <c r="DR129" s="345"/>
      <c r="DS129" s="345"/>
      <c r="DT129" s="345"/>
      <c r="DU129" s="345"/>
      <c r="DV129" s="345"/>
      <c r="DW129" s="345"/>
      <c r="DX129" s="345"/>
      <c r="DY129" s="345"/>
      <c r="DZ129" s="345"/>
      <c r="EA129" s="345"/>
      <c r="EB129" s="345"/>
      <c r="EC129" s="345"/>
      <c r="ED129" s="346"/>
      <c r="EE129" s="329" t="str">
        <f t="shared" si="26"/>
        <v/>
      </c>
      <c r="EF129" s="330"/>
      <c r="EG129" s="330" t="str">
        <f t="shared" si="23"/>
        <v/>
      </c>
      <c r="EH129" s="330" t="str">
        <f t="shared" si="24"/>
        <v/>
      </c>
      <c r="EI129" s="330" t="str">
        <f t="shared" si="8"/>
        <v/>
      </c>
      <c r="EJ129" s="331" t="str">
        <f t="shared" si="25"/>
        <v/>
      </c>
      <c r="EK129" s="47"/>
    </row>
    <row r="130" spans="1:142" x14ac:dyDescent="0.2">
      <c r="A130" s="559"/>
      <c r="B130" s="311">
        <v>128</v>
      </c>
      <c r="C130" s="380"/>
      <c r="D130" s="389"/>
      <c r="E130" s="389"/>
      <c r="F130" s="389"/>
      <c r="G130" s="389"/>
      <c r="H130" s="389"/>
      <c r="I130" s="389"/>
      <c r="J130" s="389"/>
      <c r="K130" s="389"/>
      <c r="L130" s="389"/>
      <c r="M130" s="389"/>
      <c r="N130" s="389"/>
      <c r="O130" s="389"/>
      <c r="P130" s="389"/>
      <c r="Q130" s="389"/>
      <c r="R130" s="389"/>
      <c r="S130" s="389"/>
      <c r="T130" s="389"/>
      <c r="U130" s="389"/>
      <c r="V130" s="389"/>
      <c r="W130" s="389"/>
      <c r="X130" s="389"/>
      <c r="Y130" s="389"/>
      <c r="Z130" s="389"/>
      <c r="AA130" s="389"/>
      <c r="AB130" s="389"/>
      <c r="AC130" s="424"/>
      <c r="AD130" s="389"/>
      <c r="AE130" s="428"/>
      <c r="AF130" s="389"/>
      <c r="AG130" s="389"/>
      <c r="AH130" s="391" t="s">
        <v>9409</v>
      </c>
      <c r="AI130" s="428"/>
      <c r="AJ130" s="428"/>
      <c r="AK130" s="428"/>
      <c r="AL130" s="389"/>
      <c r="AM130" s="389"/>
      <c r="AN130" s="428"/>
      <c r="AO130" s="428"/>
      <c r="AP130" s="428"/>
      <c r="AQ130" s="380"/>
      <c r="AR130" s="353"/>
      <c r="AS130" s="353"/>
      <c r="AT130" s="353"/>
      <c r="AU130" s="353"/>
      <c r="AV130" s="353"/>
      <c r="AW130" s="353"/>
      <c r="AX130" s="345"/>
      <c r="AY130" s="353"/>
      <c r="AZ130" s="353"/>
      <c r="BA130" s="353"/>
      <c r="BB130" s="353"/>
      <c r="BC130" s="353"/>
      <c r="BD130" s="353"/>
      <c r="BE130" s="353"/>
      <c r="BF130" s="345"/>
      <c r="BG130" s="353"/>
      <c r="BH130" s="353"/>
      <c r="BI130" s="353"/>
      <c r="BJ130" s="353"/>
      <c r="BK130" s="353"/>
      <c r="BL130" s="353"/>
      <c r="BM130" s="353"/>
      <c r="BN130" s="345"/>
      <c r="BO130" s="353"/>
      <c r="BP130" s="353"/>
      <c r="BQ130" s="353"/>
      <c r="BR130" s="353"/>
      <c r="BS130" s="353"/>
      <c r="BT130" s="345"/>
      <c r="BU130" s="385"/>
      <c r="BV130" s="345"/>
      <c r="BW130" s="345"/>
      <c r="BX130" s="345"/>
      <c r="BY130" s="345"/>
      <c r="BZ130" s="345"/>
      <c r="CA130" s="345"/>
      <c r="CB130" s="345"/>
      <c r="CC130" s="345"/>
      <c r="CD130" s="345"/>
      <c r="CE130" s="345"/>
      <c r="CF130" s="345"/>
      <c r="CG130" s="345"/>
      <c r="CH130" s="345"/>
      <c r="CI130" s="345"/>
      <c r="CJ130" s="345"/>
      <c r="CK130" s="345"/>
      <c r="CL130" s="345"/>
      <c r="CM130" s="345"/>
      <c r="CN130" s="345"/>
      <c r="CO130" s="345"/>
      <c r="CP130" s="345"/>
      <c r="CQ130" s="345"/>
      <c r="CR130" s="345"/>
      <c r="CS130" s="345"/>
      <c r="CT130" s="345"/>
      <c r="CU130" s="345"/>
      <c r="CV130" s="345"/>
      <c r="CW130" s="345"/>
      <c r="CX130" s="345"/>
      <c r="CY130" s="345"/>
      <c r="CZ130" s="345"/>
      <c r="DA130" s="345"/>
      <c r="DB130" s="345"/>
      <c r="DC130" s="345"/>
      <c r="DD130" s="345"/>
      <c r="DE130" s="345"/>
      <c r="DF130" s="345"/>
      <c r="DG130" s="345"/>
      <c r="DH130" s="345"/>
      <c r="DI130" s="345"/>
      <c r="DJ130" s="345"/>
      <c r="DK130" s="345"/>
      <c r="DL130" s="345"/>
      <c r="DM130" s="345"/>
      <c r="DN130" s="345"/>
      <c r="DO130" s="345"/>
      <c r="DP130" s="345"/>
      <c r="DQ130" s="345"/>
      <c r="DR130" s="345"/>
      <c r="DS130" s="345"/>
      <c r="DT130" s="345"/>
      <c r="DU130" s="345"/>
      <c r="DV130" s="345"/>
      <c r="DW130" s="345"/>
      <c r="DX130" s="345"/>
      <c r="DY130" s="345"/>
      <c r="DZ130" s="345"/>
      <c r="EA130" s="345"/>
      <c r="EB130" s="345"/>
      <c r="EC130" s="345"/>
      <c r="ED130" s="346"/>
      <c r="EE130" s="329" t="str">
        <f t="shared" si="26"/>
        <v>x</v>
      </c>
      <c r="EF130" s="330"/>
      <c r="EG130" s="330" t="str">
        <f t="shared" si="23"/>
        <v/>
      </c>
      <c r="EH130" s="330" t="str">
        <f t="shared" si="24"/>
        <v>x</v>
      </c>
      <c r="EI130" s="330" t="str">
        <f t="shared" si="8"/>
        <v/>
      </c>
      <c r="EJ130" s="331" t="str">
        <f t="shared" si="25"/>
        <v/>
      </c>
      <c r="EK130" s="47"/>
    </row>
    <row r="131" spans="1:142" x14ac:dyDescent="0.2">
      <c r="A131" s="559"/>
      <c r="B131" s="311">
        <v>129</v>
      </c>
      <c r="C131" s="380"/>
      <c r="D131" s="389"/>
      <c r="E131" s="389"/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  <c r="AA131" s="389"/>
      <c r="AB131" s="389"/>
      <c r="AC131" s="424"/>
      <c r="AD131" s="389"/>
      <c r="AE131" s="428"/>
      <c r="AF131" s="389"/>
      <c r="AG131" s="389"/>
      <c r="AH131" s="389"/>
      <c r="AI131" s="428"/>
      <c r="AJ131" s="428"/>
      <c r="AK131" s="428"/>
      <c r="AL131" s="389"/>
      <c r="AM131" s="389"/>
      <c r="AN131" s="428"/>
      <c r="AO131" s="428"/>
      <c r="AP131" s="428"/>
      <c r="AQ131" s="380"/>
      <c r="AR131" s="353"/>
      <c r="AS131" s="353"/>
      <c r="AT131" s="353"/>
      <c r="AU131" s="353"/>
      <c r="AV131" s="353"/>
      <c r="AW131" s="353"/>
      <c r="AX131" s="345"/>
      <c r="AY131" s="353"/>
      <c r="AZ131" s="353"/>
      <c r="BA131" s="353"/>
      <c r="BB131" s="353"/>
      <c r="BC131" s="353"/>
      <c r="BD131" s="353"/>
      <c r="BE131" s="353"/>
      <c r="BF131" s="345"/>
      <c r="BG131" s="353"/>
      <c r="BH131" s="353"/>
      <c r="BI131" s="353"/>
      <c r="BJ131" s="353"/>
      <c r="BK131" s="353"/>
      <c r="BL131" s="353"/>
      <c r="BM131" s="353"/>
      <c r="BN131" s="345"/>
      <c r="BO131" s="353"/>
      <c r="BP131" s="353"/>
      <c r="BQ131" s="353"/>
      <c r="BR131" s="353"/>
      <c r="BS131" s="353"/>
      <c r="BT131" s="345"/>
      <c r="BU131" s="385"/>
      <c r="BV131" s="345"/>
      <c r="BW131" s="345"/>
      <c r="BX131" s="345"/>
      <c r="BY131" s="345"/>
      <c r="BZ131" s="345"/>
      <c r="CA131" s="345"/>
      <c r="CB131" s="345"/>
      <c r="CC131" s="345"/>
      <c r="CD131" s="345"/>
      <c r="CE131" s="345"/>
      <c r="CF131" s="345"/>
      <c r="CG131" s="345"/>
      <c r="CH131" s="345"/>
      <c r="CI131" s="345"/>
      <c r="CJ131" s="345"/>
      <c r="CK131" s="345"/>
      <c r="CL131" s="345"/>
      <c r="CM131" s="345"/>
      <c r="CN131" s="345"/>
      <c r="CO131" s="345"/>
      <c r="CP131" s="345"/>
      <c r="CQ131" s="345"/>
      <c r="CR131" s="345"/>
      <c r="CS131" s="345"/>
      <c r="CT131" s="345"/>
      <c r="CU131" s="345"/>
      <c r="CV131" s="345"/>
      <c r="CW131" s="345"/>
      <c r="CX131" s="345"/>
      <c r="CY131" s="345"/>
      <c r="CZ131" s="345"/>
      <c r="DA131" s="345"/>
      <c r="DB131" s="345"/>
      <c r="DC131" s="345"/>
      <c r="DD131" s="345"/>
      <c r="DE131" s="345"/>
      <c r="DF131" s="345"/>
      <c r="DG131" s="345"/>
      <c r="DH131" s="345"/>
      <c r="DI131" s="345"/>
      <c r="DJ131" s="345"/>
      <c r="DK131" s="345"/>
      <c r="DL131" s="345"/>
      <c r="DM131" s="345"/>
      <c r="DN131" s="345"/>
      <c r="DO131" s="345"/>
      <c r="DP131" s="345"/>
      <c r="DQ131" s="345"/>
      <c r="DR131" s="345"/>
      <c r="DS131" s="345"/>
      <c r="DT131" s="345"/>
      <c r="DU131" s="345"/>
      <c r="DV131" s="345"/>
      <c r="DW131" s="345"/>
      <c r="DX131" s="345"/>
      <c r="DY131" s="345"/>
      <c r="DZ131" s="345"/>
      <c r="EA131" s="345"/>
      <c r="EB131" s="345"/>
      <c r="EC131" s="345"/>
      <c r="ED131" s="346"/>
      <c r="EE131" s="329" t="str">
        <f t="shared" si="26"/>
        <v/>
      </c>
      <c r="EF131" s="330"/>
      <c r="EG131" s="330" t="str">
        <f t="shared" si="23"/>
        <v/>
      </c>
      <c r="EH131" s="330" t="str">
        <f t="shared" si="24"/>
        <v/>
      </c>
      <c r="EI131" s="330" t="str">
        <f t="shared" si="8"/>
        <v/>
      </c>
      <c r="EJ131" s="331" t="str">
        <f t="shared" si="25"/>
        <v/>
      </c>
      <c r="EK131" s="47"/>
    </row>
    <row r="132" spans="1:142" x14ac:dyDescent="0.2">
      <c r="A132" s="559"/>
      <c r="B132" s="311">
        <v>130</v>
      </c>
      <c r="C132" s="380"/>
      <c r="D132" s="389"/>
      <c r="E132" s="389"/>
      <c r="F132" s="389"/>
      <c r="G132" s="389"/>
      <c r="H132" s="389"/>
      <c r="I132" s="389"/>
      <c r="J132" s="389"/>
      <c r="K132" s="389"/>
      <c r="L132" s="389"/>
      <c r="M132" s="389"/>
      <c r="N132" s="389"/>
      <c r="O132" s="389"/>
      <c r="P132" s="389"/>
      <c r="Q132" s="389"/>
      <c r="R132" s="389"/>
      <c r="S132" s="389"/>
      <c r="T132" s="389"/>
      <c r="U132" s="389"/>
      <c r="V132" s="389"/>
      <c r="W132" s="389"/>
      <c r="X132" s="389"/>
      <c r="Y132" s="389"/>
      <c r="Z132" s="389"/>
      <c r="AA132" s="389"/>
      <c r="AB132" s="389"/>
      <c r="AC132" s="424"/>
      <c r="AD132" s="389"/>
      <c r="AE132" s="428"/>
      <c r="AF132" s="389"/>
      <c r="AG132" s="389"/>
      <c r="AH132" s="389"/>
      <c r="AI132" s="428"/>
      <c r="AJ132" s="428"/>
      <c r="AK132" s="428"/>
      <c r="AL132" s="389"/>
      <c r="AM132" s="389"/>
      <c r="AN132" s="428"/>
      <c r="AO132" s="428"/>
      <c r="AP132" s="428"/>
      <c r="AQ132" s="380"/>
      <c r="AR132" s="353"/>
      <c r="AS132" s="353"/>
      <c r="AT132" s="353"/>
      <c r="AU132" s="353"/>
      <c r="AV132" s="353"/>
      <c r="AW132" s="353"/>
      <c r="AX132" s="345"/>
      <c r="AY132" s="353"/>
      <c r="AZ132" s="353"/>
      <c r="BA132" s="353"/>
      <c r="BB132" s="353"/>
      <c r="BC132" s="353"/>
      <c r="BD132" s="353"/>
      <c r="BE132" s="353"/>
      <c r="BF132" s="345"/>
      <c r="BG132" s="353"/>
      <c r="BH132" s="353"/>
      <c r="BI132" s="353"/>
      <c r="BJ132" s="353"/>
      <c r="BK132" s="353"/>
      <c r="BL132" s="353"/>
      <c r="BM132" s="353"/>
      <c r="BN132" s="345"/>
      <c r="BO132" s="353"/>
      <c r="BP132" s="353"/>
      <c r="BQ132" s="353"/>
      <c r="BR132" s="353"/>
      <c r="BS132" s="353"/>
      <c r="BT132" s="345"/>
      <c r="BU132" s="385"/>
      <c r="BV132" s="345"/>
      <c r="BW132" s="345"/>
      <c r="BX132" s="345"/>
      <c r="BY132" s="345"/>
      <c r="BZ132" s="345"/>
      <c r="CA132" s="345"/>
      <c r="CB132" s="345"/>
      <c r="CC132" s="345"/>
      <c r="CD132" s="345"/>
      <c r="CE132" s="345"/>
      <c r="CF132" s="345"/>
      <c r="CG132" s="345"/>
      <c r="CH132" s="345"/>
      <c r="CI132" s="345"/>
      <c r="CJ132" s="345"/>
      <c r="CK132" s="345"/>
      <c r="CL132" s="345"/>
      <c r="CM132" s="345"/>
      <c r="CN132" s="345"/>
      <c r="CO132" s="345"/>
      <c r="CP132" s="345"/>
      <c r="CQ132" s="345"/>
      <c r="CR132" s="345"/>
      <c r="CS132" s="345"/>
      <c r="CT132" s="345"/>
      <c r="CU132" s="345"/>
      <c r="CV132" s="345"/>
      <c r="CW132" s="345"/>
      <c r="CX132" s="345"/>
      <c r="CY132" s="345"/>
      <c r="CZ132" s="345"/>
      <c r="DA132" s="345"/>
      <c r="DB132" s="345"/>
      <c r="DC132" s="345"/>
      <c r="DD132" s="345"/>
      <c r="DE132" s="345"/>
      <c r="DF132" s="345"/>
      <c r="DG132" s="345"/>
      <c r="DH132" s="345"/>
      <c r="DI132" s="345"/>
      <c r="DJ132" s="345"/>
      <c r="DK132" s="345"/>
      <c r="DL132" s="345"/>
      <c r="DM132" s="345"/>
      <c r="DN132" s="345"/>
      <c r="DO132" s="345"/>
      <c r="DP132" s="345"/>
      <c r="DQ132" s="345"/>
      <c r="DR132" s="345"/>
      <c r="DS132" s="345"/>
      <c r="DT132" s="345"/>
      <c r="DU132" s="345"/>
      <c r="DV132" s="345"/>
      <c r="DW132" s="345"/>
      <c r="DX132" s="345"/>
      <c r="DY132" s="345"/>
      <c r="DZ132" s="345"/>
      <c r="EA132" s="345"/>
      <c r="EB132" s="345"/>
      <c r="EC132" s="345"/>
      <c r="ED132" s="346"/>
      <c r="EE132" s="329" t="str">
        <f t="shared" si="26"/>
        <v/>
      </c>
      <c r="EF132" s="330"/>
      <c r="EG132" s="330" t="str">
        <f t="shared" si="23"/>
        <v/>
      </c>
      <c r="EH132" s="330" t="str">
        <f t="shared" si="24"/>
        <v/>
      </c>
      <c r="EI132" s="330" t="str">
        <f t="shared" ref="EI132:EI134" si="27">IF(COUNTIF(AQ132:BU132, "x"), "x", "")</f>
        <v/>
      </c>
      <c r="EJ132" s="331" t="str">
        <f t="shared" si="25"/>
        <v/>
      </c>
    </row>
    <row r="133" spans="1:142" x14ac:dyDescent="0.2">
      <c r="A133" s="559"/>
      <c r="B133" s="311">
        <v>131</v>
      </c>
      <c r="C133" s="380"/>
      <c r="D133" s="389"/>
      <c r="E133" s="389"/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  <c r="AA133" s="389"/>
      <c r="AB133" s="389"/>
      <c r="AC133" s="424"/>
      <c r="AD133" s="389"/>
      <c r="AE133" s="428"/>
      <c r="AF133" s="389"/>
      <c r="AG133" s="389"/>
      <c r="AH133" s="430" t="s">
        <v>9409</v>
      </c>
      <c r="AI133" s="430" t="s">
        <v>11893</v>
      </c>
      <c r="AJ133" s="428"/>
      <c r="AK133" s="428"/>
      <c r="AL133" s="389"/>
      <c r="AM133" s="389"/>
      <c r="AN133" s="428"/>
      <c r="AO133" s="428"/>
      <c r="AP133" s="428"/>
      <c r="AQ133" s="380"/>
      <c r="AR133" s="353"/>
      <c r="AS133" s="353"/>
      <c r="AT133" s="353"/>
      <c r="AU133" s="353"/>
      <c r="AV133" s="353"/>
      <c r="AW133" s="353"/>
      <c r="AX133" s="345"/>
      <c r="AY133" s="353"/>
      <c r="AZ133" s="353"/>
      <c r="BA133" s="353"/>
      <c r="BB133" s="353"/>
      <c r="BC133" s="353"/>
      <c r="BD133" s="353"/>
      <c r="BE133" s="353"/>
      <c r="BF133" s="345"/>
      <c r="BG133" s="353"/>
      <c r="BH133" s="353"/>
      <c r="BI133" s="353"/>
      <c r="BJ133" s="353"/>
      <c r="BK133" s="353"/>
      <c r="BL133" s="353"/>
      <c r="BM133" s="353"/>
      <c r="BN133" s="345"/>
      <c r="BO133" s="353"/>
      <c r="BP133" s="353"/>
      <c r="BQ133" s="353"/>
      <c r="BR133" s="353"/>
      <c r="BS133" s="353"/>
      <c r="BT133" s="345"/>
      <c r="BU133" s="385"/>
      <c r="BV133" s="345"/>
      <c r="BW133" s="345"/>
      <c r="BX133" s="345"/>
      <c r="BY133" s="345"/>
      <c r="BZ133" s="345"/>
      <c r="CA133" s="345"/>
      <c r="CB133" s="345"/>
      <c r="CC133" s="345"/>
      <c r="CD133" s="345"/>
      <c r="CE133" s="345"/>
      <c r="CF133" s="345"/>
      <c r="CG133" s="345"/>
      <c r="CH133" s="345"/>
      <c r="CI133" s="345"/>
      <c r="CJ133" s="345"/>
      <c r="CK133" s="345"/>
      <c r="CL133" s="345"/>
      <c r="CM133" s="345"/>
      <c r="CN133" s="345"/>
      <c r="CO133" s="345"/>
      <c r="CP133" s="345"/>
      <c r="CQ133" s="345"/>
      <c r="CR133" s="345"/>
      <c r="CS133" s="345"/>
      <c r="CT133" s="345"/>
      <c r="CU133" s="345"/>
      <c r="CV133" s="345"/>
      <c r="CW133" s="345"/>
      <c r="CX133" s="345"/>
      <c r="CY133" s="345"/>
      <c r="CZ133" s="345"/>
      <c r="DA133" s="345"/>
      <c r="DB133" s="345"/>
      <c r="DC133" s="345"/>
      <c r="DD133" s="345"/>
      <c r="DE133" s="345"/>
      <c r="DF133" s="345"/>
      <c r="DG133" s="345"/>
      <c r="DH133" s="345"/>
      <c r="DI133" s="345"/>
      <c r="DJ133" s="345"/>
      <c r="DK133" s="345"/>
      <c r="DL133" s="345"/>
      <c r="DM133" s="345"/>
      <c r="DN133" s="345"/>
      <c r="DO133" s="345"/>
      <c r="DP133" s="345"/>
      <c r="DQ133" s="345"/>
      <c r="DR133" s="345"/>
      <c r="DS133" s="345"/>
      <c r="DT133" s="345"/>
      <c r="DU133" s="345"/>
      <c r="DV133" s="345"/>
      <c r="DW133" s="345"/>
      <c r="DX133" s="345"/>
      <c r="DY133" s="345"/>
      <c r="DZ133" s="345"/>
      <c r="EA133" s="345"/>
      <c r="EB133" s="345"/>
      <c r="EC133" s="345"/>
      <c r="ED133" s="346"/>
      <c r="EE133" s="329" t="str">
        <f t="shared" si="26"/>
        <v>x</v>
      </c>
      <c r="EF133" s="330"/>
      <c r="EG133" s="330" t="str">
        <f t="shared" si="23"/>
        <v/>
      </c>
      <c r="EH133" s="330" t="str">
        <f t="shared" si="24"/>
        <v>x</v>
      </c>
      <c r="EI133" s="330" t="str">
        <f t="shared" si="27"/>
        <v/>
      </c>
      <c r="EJ133" s="331" t="str">
        <f t="shared" si="25"/>
        <v/>
      </c>
      <c r="EK133" s="33" t="s">
        <v>11886</v>
      </c>
    </row>
    <row r="134" spans="1:142" x14ac:dyDescent="0.2">
      <c r="A134" s="560"/>
      <c r="B134" s="388">
        <v>132</v>
      </c>
      <c r="C134" s="381"/>
      <c r="D134" s="383"/>
      <c r="E134" s="383"/>
      <c r="F134" s="383"/>
      <c r="G134" s="383"/>
      <c r="H134" s="383"/>
      <c r="I134" s="383"/>
      <c r="J134" s="383"/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 s="383"/>
      <c r="V134" s="383"/>
      <c r="W134" s="383"/>
      <c r="X134" s="383"/>
      <c r="Y134" s="383"/>
      <c r="Z134" s="383"/>
      <c r="AA134" s="383"/>
      <c r="AB134" s="383"/>
      <c r="AC134" s="433"/>
      <c r="AD134" s="383"/>
      <c r="AE134" s="434"/>
      <c r="AF134" s="383"/>
      <c r="AG134" s="383"/>
      <c r="AH134" s="383"/>
      <c r="AI134" s="454" t="s">
        <v>11893</v>
      </c>
      <c r="AJ134" s="434"/>
      <c r="AK134" s="434"/>
      <c r="AL134" s="383"/>
      <c r="AM134" s="383"/>
      <c r="AN134" s="434"/>
      <c r="AO134" s="434"/>
      <c r="AP134" s="434"/>
      <c r="AQ134" s="381"/>
      <c r="AR134" s="383"/>
      <c r="AS134" s="383"/>
      <c r="AT134" s="383"/>
      <c r="AU134" s="383"/>
      <c r="AV134" s="383"/>
      <c r="AW134" s="383"/>
      <c r="AX134" s="434"/>
      <c r="AY134" s="383"/>
      <c r="AZ134" s="383"/>
      <c r="BA134" s="383"/>
      <c r="BB134" s="383"/>
      <c r="BC134" s="383"/>
      <c r="BD134" s="383"/>
      <c r="BE134" s="383"/>
      <c r="BF134" s="434"/>
      <c r="BG134" s="383"/>
      <c r="BH134" s="383"/>
      <c r="BI134" s="383"/>
      <c r="BJ134" s="383"/>
      <c r="BK134" s="383"/>
      <c r="BL134" s="383"/>
      <c r="BM134" s="383"/>
      <c r="BN134" s="434"/>
      <c r="BO134" s="383"/>
      <c r="BP134" s="383"/>
      <c r="BQ134" s="383"/>
      <c r="BR134" s="383" t="s">
        <v>9409</v>
      </c>
      <c r="BS134" s="383"/>
      <c r="BT134" s="434"/>
      <c r="BU134" s="386"/>
      <c r="BV134" s="354"/>
      <c r="BW134" s="354"/>
      <c r="BX134" s="354"/>
      <c r="BY134" s="354"/>
      <c r="BZ134" s="354"/>
      <c r="CA134" s="354"/>
      <c r="CB134" s="354"/>
      <c r="CC134" s="354"/>
      <c r="CD134" s="354"/>
      <c r="CE134" s="354"/>
      <c r="CF134" s="354"/>
      <c r="CG134" s="354"/>
      <c r="CH134" s="354"/>
      <c r="CI134" s="354"/>
      <c r="CJ134" s="354"/>
      <c r="CK134" s="354"/>
      <c r="CL134" s="354"/>
      <c r="CM134" s="354"/>
      <c r="CN134" s="354"/>
      <c r="CO134" s="354"/>
      <c r="CP134" s="354"/>
      <c r="CQ134" s="354"/>
      <c r="CR134" s="354"/>
      <c r="CS134" s="354"/>
      <c r="CT134" s="354"/>
      <c r="CU134" s="354"/>
      <c r="CV134" s="354"/>
      <c r="CW134" s="354"/>
      <c r="CX134" s="354"/>
      <c r="CY134" s="354"/>
      <c r="CZ134" s="354"/>
      <c r="DA134" s="354"/>
      <c r="DB134" s="354"/>
      <c r="DC134" s="354"/>
      <c r="DD134" s="354"/>
      <c r="DE134" s="354"/>
      <c r="DF134" s="354"/>
      <c r="DG134" s="354"/>
      <c r="DH134" s="354"/>
      <c r="DI134" s="354"/>
      <c r="DJ134" s="354"/>
      <c r="DK134" s="354"/>
      <c r="DL134" s="354"/>
      <c r="DM134" s="354"/>
      <c r="DN134" s="354"/>
      <c r="DO134" s="354"/>
      <c r="DP134" s="354"/>
      <c r="DQ134" s="354"/>
      <c r="DR134" s="354"/>
      <c r="DS134" s="354"/>
      <c r="DT134" s="354"/>
      <c r="DU134" s="354"/>
      <c r="DV134" s="354"/>
      <c r="DW134" s="354"/>
      <c r="DX134" s="354"/>
      <c r="DY134" s="354"/>
      <c r="DZ134" s="354"/>
      <c r="EA134" s="354"/>
      <c r="EB134" s="354"/>
      <c r="EC134" s="354"/>
      <c r="ED134" s="355"/>
      <c r="EE134" s="332" t="str">
        <f t="shared" si="26"/>
        <v>x</v>
      </c>
      <c r="EF134" s="169"/>
      <c r="EG134" s="169" t="str">
        <f t="shared" si="23"/>
        <v/>
      </c>
      <c r="EH134" s="169" t="str">
        <f t="shared" si="24"/>
        <v/>
      </c>
      <c r="EI134" s="169" t="str">
        <f t="shared" si="27"/>
        <v>x</v>
      </c>
      <c r="EJ134" s="333" t="str">
        <f t="shared" si="25"/>
        <v/>
      </c>
      <c r="EK134" s="47"/>
      <c r="EL134" s="47"/>
    </row>
  </sheetData>
  <mergeCells count="14">
    <mergeCell ref="A74:A134"/>
    <mergeCell ref="C1:AB1"/>
    <mergeCell ref="A3:A28"/>
    <mergeCell ref="EE1:EE2"/>
    <mergeCell ref="AC1:AP1"/>
    <mergeCell ref="BV1:ED1"/>
    <mergeCell ref="AQ1:BU1"/>
    <mergeCell ref="A29:A42"/>
    <mergeCell ref="EG1:EG2"/>
    <mergeCell ref="EH1:EH2"/>
    <mergeCell ref="EI1:EI2"/>
    <mergeCell ref="EJ1:EJ2"/>
    <mergeCell ref="A43:A73"/>
    <mergeCell ref="EF1:EF2"/>
  </mergeCells>
  <pageMargins left="0.7" right="0.7" top="0.75" bottom="0.75" header="0.3" footer="0.3"/>
  <ignoredErrors>
    <ignoredError sqref="EG3:EG28 EE3:EE28 EG29:EG30 EE80:EE132 EE36:EE79 EG32:EG134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8AAE0-B650-8E49-BF18-71CE7446B054}">
  <dimension ref="A1:F37"/>
  <sheetViews>
    <sheetView workbookViewId="0">
      <selection activeCell="H31" sqref="H31"/>
    </sheetView>
  </sheetViews>
  <sheetFormatPr baseColWidth="10" defaultRowHeight="15" x14ac:dyDescent="0.2"/>
  <cols>
    <col min="2" max="2" width="26.1640625" customWidth="1"/>
    <col min="5" max="5" width="13.5" customWidth="1"/>
    <col min="6" max="6" width="12.6640625" customWidth="1"/>
  </cols>
  <sheetData>
    <row r="1" spans="1:6" x14ac:dyDescent="0.2">
      <c r="A1" t="s">
        <v>11949</v>
      </c>
      <c r="B1" t="s">
        <v>11950</v>
      </c>
      <c r="C1" t="s">
        <v>9427</v>
      </c>
      <c r="D1" t="s">
        <v>9428</v>
      </c>
      <c r="E1" t="s">
        <v>11951</v>
      </c>
      <c r="F1" t="s">
        <v>11952</v>
      </c>
    </row>
    <row r="2" spans="1:6" x14ac:dyDescent="0.2">
      <c r="B2" t="s">
        <v>2381</v>
      </c>
      <c r="C2">
        <v>1</v>
      </c>
      <c r="D2">
        <v>1</v>
      </c>
      <c r="E2">
        <v>0</v>
      </c>
      <c r="F2">
        <v>0</v>
      </c>
    </row>
    <row r="3" spans="1:6" x14ac:dyDescent="0.2">
      <c r="B3" t="s">
        <v>11953</v>
      </c>
      <c r="C3">
        <v>0</v>
      </c>
      <c r="D3">
        <v>1</v>
      </c>
      <c r="E3">
        <v>0</v>
      </c>
      <c r="F3">
        <v>0</v>
      </c>
    </row>
    <row r="4" spans="1:6" x14ac:dyDescent="0.2">
      <c r="B4" t="s">
        <v>11954</v>
      </c>
      <c r="C4">
        <v>1</v>
      </c>
      <c r="D4">
        <v>1</v>
      </c>
      <c r="E4">
        <v>0</v>
      </c>
      <c r="F4">
        <v>0</v>
      </c>
    </row>
    <row r="5" spans="1:6" x14ac:dyDescent="0.2">
      <c r="B5" t="s">
        <v>101</v>
      </c>
      <c r="C5">
        <v>0</v>
      </c>
      <c r="D5">
        <v>1</v>
      </c>
      <c r="E5">
        <v>0</v>
      </c>
      <c r="F5">
        <v>0</v>
      </c>
    </row>
    <row r="6" spans="1:6" x14ac:dyDescent="0.2">
      <c r="B6" t="s">
        <v>11955</v>
      </c>
      <c r="C6">
        <v>1</v>
      </c>
      <c r="D6">
        <v>1</v>
      </c>
      <c r="E6">
        <v>0</v>
      </c>
      <c r="F6">
        <v>0</v>
      </c>
    </row>
    <row r="7" spans="1:6" x14ac:dyDescent="0.2">
      <c r="B7" t="s">
        <v>11956</v>
      </c>
      <c r="C7">
        <v>0</v>
      </c>
      <c r="D7">
        <v>1</v>
      </c>
      <c r="E7">
        <v>0</v>
      </c>
      <c r="F7">
        <v>0</v>
      </c>
    </row>
    <row r="8" spans="1:6" x14ac:dyDescent="0.2">
      <c r="B8" t="s">
        <v>11957</v>
      </c>
      <c r="C8">
        <v>1</v>
      </c>
      <c r="D8">
        <v>1</v>
      </c>
      <c r="E8">
        <v>0</v>
      </c>
      <c r="F8">
        <v>0</v>
      </c>
    </row>
    <row r="9" spans="1:6" x14ac:dyDescent="0.2">
      <c r="B9" t="s">
        <v>3158</v>
      </c>
      <c r="C9">
        <v>0</v>
      </c>
      <c r="D9">
        <v>1</v>
      </c>
      <c r="E9">
        <v>1</v>
      </c>
      <c r="F9">
        <v>0</v>
      </c>
    </row>
    <row r="10" spans="1:6" x14ac:dyDescent="0.2">
      <c r="B10" t="s">
        <v>11958</v>
      </c>
      <c r="C10">
        <v>1</v>
      </c>
      <c r="D10">
        <v>1</v>
      </c>
      <c r="E10">
        <v>0</v>
      </c>
      <c r="F10">
        <v>0</v>
      </c>
    </row>
    <row r="11" spans="1:6" x14ac:dyDescent="0.2">
      <c r="B11" t="s">
        <v>11959</v>
      </c>
      <c r="C11">
        <v>0</v>
      </c>
      <c r="D11">
        <v>1</v>
      </c>
      <c r="E11">
        <v>0</v>
      </c>
      <c r="F11">
        <v>0</v>
      </c>
    </row>
    <row r="12" spans="1:6" x14ac:dyDescent="0.2">
      <c r="B12" t="s">
        <v>11960</v>
      </c>
      <c r="C12">
        <v>1</v>
      </c>
      <c r="D12">
        <v>1</v>
      </c>
      <c r="E12">
        <v>0</v>
      </c>
      <c r="F12">
        <v>0</v>
      </c>
    </row>
    <row r="13" spans="1:6" x14ac:dyDescent="0.2">
      <c r="B13" t="s">
        <v>11961</v>
      </c>
      <c r="C13">
        <v>1</v>
      </c>
      <c r="D13">
        <v>1</v>
      </c>
      <c r="E13">
        <v>0</v>
      </c>
      <c r="F13">
        <v>0</v>
      </c>
    </row>
    <row r="14" spans="1:6" x14ac:dyDescent="0.2">
      <c r="B14" t="s">
        <v>11962</v>
      </c>
      <c r="C14">
        <v>1</v>
      </c>
      <c r="D14">
        <v>1</v>
      </c>
      <c r="E14">
        <v>0</v>
      </c>
      <c r="F14">
        <v>0</v>
      </c>
    </row>
    <row r="15" spans="1:6" x14ac:dyDescent="0.2">
      <c r="B15" t="s">
        <v>11963</v>
      </c>
      <c r="C15">
        <v>0</v>
      </c>
      <c r="D15">
        <v>1</v>
      </c>
      <c r="E15">
        <v>0</v>
      </c>
      <c r="F15">
        <v>0</v>
      </c>
    </row>
    <row r="16" spans="1:6" x14ac:dyDescent="0.2">
      <c r="B16" t="s">
        <v>11964</v>
      </c>
      <c r="C16">
        <v>1</v>
      </c>
      <c r="D16">
        <v>1</v>
      </c>
      <c r="E16">
        <v>0</v>
      </c>
      <c r="F16">
        <v>0</v>
      </c>
    </row>
    <row r="17" spans="1:6" x14ac:dyDescent="0.2">
      <c r="B17" t="s">
        <v>417</v>
      </c>
      <c r="C17">
        <v>0</v>
      </c>
      <c r="D17">
        <v>1</v>
      </c>
      <c r="E17">
        <v>0</v>
      </c>
      <c r="F17">
        <v>0</v>
      </c>
    </row>
    <row r="18" spans="1:6" x14ac:dyDescent="0.2">
      <c r="B18" t="s">
        <v>11965</v>
      </c>
      <c r="C18">
        <v>0</v>
      </c>
      <c r="D18">
        <v>0</v>
      </c>
      <c r="E18">
        <v>0</v>
      </c>
      <c r="F18">
        <v>1</v>
      </c>
    </row>
    <row r="20" spans="1:6" x14ac:dyDescent="0.2">
      <c r="A20" t="s">
        <v>11966</v>
      </c>
      <c r="B20" t="s">
        <v>11950</v>
      </c>
      <c r="C20" t="s">
        <v>9427</v>
      </c>
      <c r="D20" t="s">
        <v>9428</v>
      </c>
      <c r="E20" t="s">
        <v>11951</v>
      </c>
      <c r="F20" t="s">
        <v>11952</v>
      </c>
    </row>
    <row r="21" spans="1:6" x14ac:dyDescent="0.2">
      <c r="B21" t="s">
        <v>2381</v>
      </c>
      <c r="C21">
        <v>0</v>
      </c>
      <c r="D21">
        <v>1</v>
      </c>
      <c r="E21">
        <v>0</v>
      </c>
      <c r="F21">
        <v>0</v>
      </c>
    </row>
    <row r="22" spans="1:6" x14ac:dyDescent="0.2">
      <c r="B22" t="s">
        <v>11953</v>
      </c>
      <c r="C22">
        <v>0</v>
      </c>
      <c r="D22">
        <v>1</v>
      </c>
      <c r="E22">
        <v>0</v>
      </c>
      <c r="F22">
        <v>0</v>
      </c>
    </row>
    <row r="23" spans="1:6" x14ac:dyDescent="0.2">
      <c r="B23" t="s">
        <v>11954</v>
      </c>
      <c r="C23">
        <v>0</v>
      </c>
      <c r="D23">
        <v>1</v>
      </c>
      <c r="E23">
        <v>0</v>
      </c>
      <c r="F23">
        <v>0</v>
      </c>
    </row>
    <row r="24" spans="1:6" x14ac:dyDescent="0.2">
      <c r="B24" t="s">
        <v>101</v>
      </c>
      <c r="C24">
        <v>0</v>
      </c>
      <c r="D24">
        <v>1</v>
      </c>
      <c r="E24">
        <v>0</v>
      </c>
      <c r="F24">
        <v>0</v>
      </c>
    </row>
    <row r="25" spans="1:6" x14ac:dyDescent="0.2">
      <c r="B25" t="s">
        <v>11955</v>
      </c>
      <c r="C25">
        <v>0</v>
      </c>
      <c r="D25">
        <v>1</v>
      </c>
      <c r="E25">
        <v>0</v>
      </c>
      <c r="F25">
        <v>0</v>
      </c>
    </row>
    <row r="26" spans="1:6" x14ac:dyDescent="0.2">
      <c r="B26" t="s">
        <v>11956</v>
      </c>
      <c r="C26">
        <v>0</v>
      </c>
      <c r="D26">
        <v>1</v>
      </c>
      <c r="E26">
        <v>0</v>
      </c>
      <c r="F26">
        <v>0</v>
      </c>
    </row>
    <row r="27" spans="1:6" x14ac:dyDescent="0.2">
      <c r="B27" t="s">
        <v>11957</v>
      </c>
      <c r="C27">
        <v>0</v>
      </c>
      <c r="D27">
        <v>1</v>
      </c>
      <c r="E27">
        <v>0</v>
      </c>
      <c r="F27">
        <v>0</v>
      </c>
    </row>
    <row r="28" spans="1:6" x14ac:dyDescent="0.2">
      <c r="B28" t="s">
        <v>3158</v>
      </c>
      <c r="C28">
        <v>0</v>
      </c>
      <c r="D28">
        <v>1</v>
      </c>
      <c r="E28">
        <v>0</v>
      </c>
      <c r="F28">
        <v>0</v>
      </c>
    </row>
    <row r="29" spans="1:6" x14ac:dyDescent="0.2">
      <c r="B29" t="s">
        <v>11958</v>
      </c>
      <c r="C29">
        <v>0</v>
      </c>
      <c r="D29">
        <v>1</v>
      </c>
      <c r="E29">
        <v>0</v>
      </c>
      <c r="F29">
        <v>0</v>
      </c>
    </row>
    <row r="30" spans="1:6" x14ac:dyDescent="0.2">
      <c r="B30" t="s">
        <v>11959</v>
      </c>
      <c r="C30">
        <v>0</v>
      </c>
      <c r="D30">
        <v>1</v>
      </c>
      <c r="E30">
        <v>0</v>
      </c>
      <c r="F30">
        <v>0</v>
      </c>
    </row>
    <row r="31" spans="1:6" x14ac:dyDescent="0.2">
      <c r="B31" t="s">
        <v>11960</v>
      </c>
      <c r="C31">
        <v>0</v>
      </c>
      <c r="D31">
        <v>1</v>
      </c>
      <c r="E31">
        <v>0</v>
      </c>
      <c r="F31">
        <v>0</v>
      </c>
    </row>
    <row r="32" spans="1:6" x14ac:dyDescent="0.2">
      <c r="B32" t="s">
        <v>11961</v>
      </c>
      <c r="C32">
        <v>0</v>
      </c>
      <c r="D32">
        <v>1</v>
      </c>
      <c r="E32">
        <v>1</v>
      </c>
      <c r="F32">
        <v>0</v>
      </c>
    </row>
    <row r="33" spans="2:6" x14ac:dyDescent="0.2">
      <c r="B33" t="s">
        <v>11962</v>
      </c>
      <c r="C33">
        <v>0</v>
      </c>
      <c r="D33">
        <v>1</v>
      </c>
      <c r="E33">
        <v>1</v>
      </c>
      <c r="F33">
        <v>0</v>
      </c>
    </row>
    <row r="34" spans="2:6" x14ac:dyDescent="0.2">
      <c r="B34" t="s">
        <v>11963</v>
      </c>
      <c r="C34">
        <v>0</v>
      </c>
      <c r="D34">
        <v>1</v>
      </c>
      <c r="E34">
        <v>0</v>
      </c>
      <c r="F34">
        <v>0</v>
      </c>
    </row>
    <row r="35" spans="2:6" x14ac:dyDescent="0.2">
      <c r="B35" t="s">
        <v>11964</v>
      </c>
      <c r="C35">
        <v>0</v>
      </c>
      <c r="D35">
        <v>1</v>
      </c>
      <c r="E35">
        <v>0</v>
      </c>
      <c r="F35">
        <v>0</v>
      </c>
    </row>
    <row r="36" spans="2:6" x14ac:dyDescent="0.2">
      <c r="B36" t="s">
        <v>417</v>
      </c>
      <c r="C36">
        <v>0</v>
      </c>
      <c r="D36">
        <v>1</v>
      </c>
      <c r="E36">
        <v>0</v>
      </c>
      <c r="F36">
        <v>0</v>
      </c>
    </row>
    <row r="37" spans="2:6" x14ac:dyDescent="0.2">
      <c r="B37" t="s">
        <v>11965</v>
      </c>
      <c r="C37">
        <v>0</v>
      </c>
      <c r="D37">
        <v>0</v>
      </c>
      <c r="E37">
        <v>0</v>
      </c>
      <c r="F37">
        <v>0</v>
      </c>
    </row>
  </sheetData>
  <conditionalFormatting sqref="C2:F18 C21:C37 D25:D27 E34:E36 D21:F23 E24:F31 F32:F36">
    <cfRule type="cellIs" dxfId="9" priority="3" operator="equal">
      <formula>0</formula>
    </cfRule>
    <cfRule type="cellIs" dxfId="8" priority="4" operator="equal">
      <formula>1</formula>
    </cfRule>
  </conditionalFormatting>
  <conditionalFormatting sqref="C21:F37">
    <cfRule type="cellIs" dxfId="7" priority="1" operator="equal">
      <formula>0</formula>
    </cfRule>
    <cfRule type="cellIs" dxfId="6" priority="2" operator="equal">
      <formula>1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8153-7323-1348-BB36-7044D0A0C9FC}">
  <dimension ref="A1:DX100"/>
  <sheetViews>
    <sheetView workbookViewId="0">
      <pane xSplit="2" ySplit="1" topLeftCell="AK2" activePane="bottomRight" state="frozen"/>
      <selection pane="topRight" activeCell="C1" sqref="C1"/>
      <selection pane="bottomLeft" activeCell="A2" sqref="A2"/>
      <selection pane="bottomRight" activeCell="AX49" sqref="AX49"/>
    </sheetView>
  </sheetViews>
  <sheetFormatPr baseColWidth="10" defaultRowHeight="15" x14ac:dyDescent="0.2"/>
  <cols>
    <col min="1" max="1" width="8.6640625" style="338" customWidth="1"/>
    <col min="2" max="2" width="8.6640625" bestFit="1" customWidth="1"/>
    <col min="3" max="3" width="12" bestFit="1" customWidth="1"/>
    <col min="4" max="4" width="16" bestFit="1" customWidth="1"/>
    <col min="5" max="5" width="5.33203125" bestFit="1" customWidth="1"/>
    <col min="6" max="6" width="14.33203125" bestFit="1" customWidth="1"/>
    <col min="7" max="7" width="8.5" bestFit="1" customWidth="1"/>
    <col min="8" max="8" width="6.1640625" bestFit="1" customWidth="1"/>
    <col min="9" max="9" width="26.6640625" bestFit="1" customWidth="1"/>
    <col min="10" max="10" width="13.1640625" bestFit="1" customWidth="1"/>
    <col min="11" max="11" width="18.1640625" bestFit="1" customWidth="1"/>
    <col min="12" max="12" width="9.6640625" bestFit="1" customWidth="1"/>
    <col min="13" max="13" width="14.5" bestFit="1" customWidth="1"/>
    <col min="14" max="14" width="12.33203125" bestFit="1" customWidth="1"/>
    <col min="15" max="15" width="13.1640625" bestFit="1" customWidth="1"/>
    <col min="16" max="16" width="5.6640625" bestFit="1" customWidth="1"/>
    <col min="17" max="17" width="10.5" bestFit="1" customWidth="1"/>
    <col min="18" max="18" width="6.5" bestFit="1" customWidth="1"/>
    <col min="19" max="19" width="10.5" bestFit="1" customWidth="1"/>
    <col min="20" max="20" width="11.5" bestFit="1" customWidth="1"/>
    <col min="21" max="21" width="14.5" bestFit="1" customWidth="1"/>
    <col min="22" max="22" width="16.5" bestFit="1" customWidth="1"/>
    <col min="23" max="23" width="22.6640625" bestFit="1" customWidth="1"/>
    <col min="24" max="24" width="23.83203125" bestFit="1" customWidth="1"/>
    <col min="25" max="25" width="8.1640625" bestFit="1" customWidth="1"/>
    <col min="26" max="26" width="32.83203125" bestFit="1" customWidth="1"/>
    <col min="27" max="27" width="44.5" bestFit="1" customWidth="1"/>
    <col min="28" max="28" width="9.5" bestFit="1" customWidth="1"/>
    <col min="29" max="29" width="6.1640625" bestFit="1" customWidth="1"/>
    <col min="30" max="30" width="24.83203125" bestFit="1" customWidth="1"/>
    <col min="31" max="32" width="13" bestFit="1" customWidth="1"/>
    <col min="33" max="33" width="3.6640625" bestFit="1" customWidth="1"/>
    <col min="34" max="34" width="10" bestFit="1" customWidth="1"/>
    <col min="35" max="35" width="13.5" bestFit="1" customWidth="1"/>
    <col min="36" max="36" width="13" bestFit="1" customWidth="1"/>
    <col min="37" max="37" width="70.6640625" bestFit="1" customWidth="1"/>
    <col min="38" max="38" width="10.5" bestFit="1" customWidth="1"/>
    <col min="39" max="39" width="11.6640625" bestFit="1" customWidth="1"/>
    <col min="40" max="40" width="10.6640625" bestFit="1" customWidth="1"/>
    <col min="41" max="41" width="10.33203125" bestFit="1" customWidth="1"/>
    <col min="42" max="42" width="9.33203125" bestFit="1" customWidth="1"/>
    <col min="43" max="43" width="8.1640625" bestFit="1" customWidth="1"/>
    <col min="44" max="44" width="10.5" bestFit="1" customWidth="1"/>
    <col min="45" max="45" width="6.5" bestFit="1" customWidth="1"/>
    <col min="46" max="46" width="10.33203125" bestFit="1" customWidth="1"/>
    <col min="47" max="47" width="10" bestFit="1" customWidth="1"/>
    <col min="49" max="49" width="10.83203125" style="327"/>
    <col min="51" max="51" width="10.6640625" bestFit="1" customWidth="1"/>
    <col min="52" max="53" width="10.6640625" customWidth="1"/>
    <col min="55" max="55" width="10.5" bestFit="1" customWidth="1"/>
    <col min="56" max="56" width="10.33203125" bestFit="1" customWidth="1"/>
    <col min="57" max="57" width="10.6640625" bestFit="1" customWidth="1"/>
    <col min="87" max="89" width="10.83203125" style="47"/>
  </cols>
  <sheetData>
    <row r="1" spans="1:128" x14ac:dyDescent="0.2">
      <c r="A1" s="567" t="s">
        <v>11787</v>
      </c>
      <c r="B1" s="567"/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C1" s="567"/>
      <c r="AD1" s="567"/>
      <c r="AE1" s="567"/>
      <c r="AF1" s="567"/>
      <c r="AG1" s="567"/>
      <c r="AH1" s="567"/>
      <c r="AI1" s="567"/>
      <c r="AJ1" s="567"/>
      <c r="AK1" s="567"/>
      <c r="AL1" s="567" t="s">
        <v>9427</v>
      </c>
      <c r="AM1" s="567"/>
      <c r="AN1" s="567"/>
      <c r="AO1" s="567"/>
      <c r="AP1" s="567"/>
      <c r="AQ1" s="567"/>
      <c r="AR1" s="567"/>
      <c r="AS1" s="567"/>
      <c r="AT1" s="567"/>
      <c r="AU1" s="567"/>
      <c r="AV1" s="567"/>
      <c r="AW1" s="567"/>
      <c r="AX1" s="567"/>
      <c r="AY1" s="567"/>
      <c r="AZ1" s="567"/>
      <c r="BA1" s="567"/>
      <c r="BB1" s="567"/>
      <c r="BC1" s="567"/>
      <c r="BD1" s="567"/>
      <c r="BE1" s="567"/>
      <c r="BF1" s="567"/>
      <c r="BG1" s="567"/>
      <c r="BH1" s="567"/>
      <c r="BI1" s="567"/>
      <c r="BJ1" s="567"/>
      <c r="BK1" s="567"/>
      <c r="BL1" s="567"/>
      <c r="BM1" s="567"/>
      <c r="BN1" s="567"/>
      <c r="BO1" s="567" t="s">
        <v>9429</v>
      </c>
      <c r="BP1" s="567"/>
      <c r="BQ1" s="567"/>
      <c r="BR1" s="567"/>
      <c r="BS1" s="567"/>
      <c r="BT1" s="567"/>
      <c r="BU1" s="567"/>
      <c r="BV1" s="567"/>
      <c r="BW1" s="567"/>
      <c r="BX1" s="567"/>
      <c r="BY1" s="567"/>
      <c r="BZ1" s="567"/>
      <c r="CA1" s="567"/>
      <c r="CB1" s="567"/>
      <c r="CC1" s="567"/>
      <c r="CD1" s="567"/>
      <c r="CE1" s="567"/>
      <c r="CF1" s="567"/>
      <c r="CG1" s="567"/>
      <c r="CH1" s="567"/>
      <c r="CI1" s="567"/>
      <c r="CJ1" s="567"/>
      <c r="CK1" s="567"/>
      <c r="CL1" s="567"/>
      <c r="CM1" s="567"/>
      <c r="CN1" s="567"/>
      <c r="CO1" s="567"/>
      <c r="CP1" s="567" t="s">
        <v>9428</v>
      </c>
      <c r="CQ1" s="567"/>
      <c r="CR1" s="567"/>
      <c r="CS1" s="567"/>
      <c r="CT1" s="567"/>
      <c r="CU1" s="567"/>
      <c r="CV1" s="567"/>
      <c r="CW1" s="567"/>
      <c r="CX1" s="567"/>
      <c r="CY1" s="567"/>
      <c r="CZ1" s="567"/>
      <c r="DA1" s="567"/>
      <c r="DB1" s="567"/>
      <c r="DC1" s="567"/>
      <c r="DD1" s="567"/>
      <c r="DE1" s="567"/>
      <c r="DF1" s="567"/>
      <c r="DG1" s="567"/>
      <c r="DH1" s="567"/>
      <c r="DI1" s="567"/>
      <c r="DJ1" s="567"/>
      <c r="DK1" s="567"/>
      <c r="DL1" s="567"/>
      <c r="DM1" s="567"/>
      <c r="DN1" s="567"/>
      <c r="DO1" s="567"/>
      <c r="DP1" s="567"/>
      <c r="DQ1" s="567"/>
      <c r="DR1" s="567"/>
      <c r="DS1" s="567"/>
      <c r="DT1" s="567"/>
      <c r="DU1" s="567"/>
      <c r="DV1" s="567"/>
      <c r="DW1" s="567"/>
    </row>
    <row r="2" spans="1:128" ht="64" x14ac:dyDescent="0.2">
      <c r="A2" s="395" t="s">
        <v>0</v>
      </c>
      <c r="B2" s="395" t="s">
        <v>9452</v>
      </c>
      <c r="C2" s="1" t="s">
        <v>11911</v>
      </c>
      <c r="D2" s="395" t="s">
        <v>11785</v>
      </c>
      <c r="E2" s="395" t="s">
        <v>9847</v>
      </c>
      <c r="F2" s="395" t="s">
        <v>11784</v>
      </c>
      <c r="G2" s="395" t="s">
        <v>20</v>
      </c>
      <c r="H2" s="395" t="s">
        <v>10</v>
      </c>
      <c r="I2" s="395" t="s">
        <v>8</v>
      </c>
      <c r="J2" s="395" t="s">
        <v>11</v>
      </c>
      <c r="K2" s="1" t="s">
        <v>11912</v>
      </c>
      <c r="L2" s="395" t="s">
        <v>12</v>
      </c>
      <c r="M2" s="1" t="s">
        <v>11913</v>
      </c>
      <c r="N2" s="395" t="s">
        <v>26</v>
      </c>
      <c r="O2" s="1" t="s">
        <v>11914</v>
      </c>
      <c r="P2" s="395" t="s">
        <v>24</v>
      </c>
      <c r="Q2" s="1" t="s">
        <v>11915</v>
      </c>
      <c r="R2" s="395" t="s">
        <v>4</v>
      </c>
      <c r="S2" s="395" t="s">
        <v>23</v>
      </c>
      <c r="T2" s="1" t="s">
        <v>11916</v>
      </c>
      <c r="U2" s="395" t="s">
        <v>25</v>
      </c>
      <c r="V2" s="1" t="s">
        <v>11917</v>
      </c>
      <c r="W2" s="396" t="s">
        <v>21</v>
      </c>
      <c r="X2" s="395" t="s">
        <v>11783</v>
      </c>
      <c r="Y2" s="395" t="s">
        <v>5</v>
      </c>
      <c r="Z2" s="395" t="s">
        <v>11782</v>
      </c>
      <c r="AA2" s="395" t="s">
        <v>11781</v>
      </c>
      <c r="AB2" s="395" t="s">
        <v>11780</v>
      </c>
      <c r="AC2" s="395" t="s">
        <v>11779</v>
      </c>
      <c r="AD2" s="395" t="s">
        <v>0</v>
      </c>
      <c r="AE2" s="397" t="s">
        <v>13</v>
      </c>
      <c r="AF2" s="397" t="s">
        <v>14</v>
      </c>
      <c r="AG2" s="398" t="s">
        <v>15</v>
      </c>
      <c r="AH2" s="399" t="s">
        <v>11778</v>
      </c>
      <c r="AI2" s="400" t="s">
        <v>11777</v>
      </c>
      <c r="AJ2" s="281" t="s">
        <v>28</v>
      </c>
      <c r="AK2" s="281" t="s">
        <v>11776</v>
      </c>
      <c r="AL2" s="401" t="s">
        <v>9452</v>
      </c>
      <c r="AM2" s="401" t="s">
        <v>11482</v>
      </c>
      <c r="AN2" s="401" t="s">
        <v>7</v>
      </c>
      <c r="AO2" s="401" t="s">
        <v>17</v>
      </c>
      <c r="AP2" s="401" t="s">
        <v>11436</v>
      </c>
      <c r="AQ2" s="401" t="s">
        <v>21</v>
      </c>
      <c r="AR2" s="401" t="s">
        <v>11437</v>
      </c>
      <c r="AS2" s="401" t="s">
        <v>11438</v>
      </c>
      <c r="AT2" s="401" t="s">
        <v>8</v>
      </c>
      <c r="AU2" s="401" t="s">
        <v>11440</v>
      </c>
      <c r="AV2" s="401" t="s">
        <v>11441</v>
      </c>
      <c r="AW2" s="410" t="s">
        <v>11880</v>
      </c>
      <c r="AX2" s="401" t="s">
        <v>11881</v>
      </c>
      <c r="AY2" s="401" t="s">
        <v>11442</v>
      </c>
      <c r="AZ2" s="81" t="s">
        <v>11900</v>
      </c>
      <c r="BA2" s="81" t="s">
        <v>11901</v>
      </c>
      <c r="BB2" s="402" t="s">
        <v>20</v>
      </c>
      <c r="BC2" s="401" t="s">
        <v>11443</v>
      </c>
      <c r="BD2" s="401" t="s">
        <v>23</v>
      </c>
      <c r="BE2" s="401" t="s">
        <v>11444</v>
      </c>
      <c r="BF2" s="401" t="s">
        <v>11873</v>
      </c>
      <c r="BG2" s="401" t="s">
        <v>11874</v>
      </c>
      <c r="BH2" s="401" t="s">
        <v>11446</v>
      </c>
      <c r="BI2" s="401" t="s">
        <v>11445</v>
      </c>
      <c r="BJ2" s="401" t="s">
        <v>11447</v>
      </c>
      <c r="BK2" s="403" t="s">
        <v>11448</v>
      </c>
      <c r="BL2" s="404" t="s">
        <v>25</v>
      </c>
      <c r="BM2" s="405" t="s">
        <v>26</v>
      </c>
      <c r="BN2" s="406" t="s">
        <v>9414</v>
      </c>
      <c r="BO2" s="401" t="s">
        <v>9452</v>
      </c>
      <c r="BP2" s="401" t="s">
        <v>11482</v>
      </c>
      <c r="BQ2" s="401" t="s">
        <v>7</v>
      </c>
      <c r="BR2" s="401" t="s">
        <v>17</v>
      </c>
      <c r="BS2" s="401" t="s">
        <v>11436</v>
      </c>
      <c r="BT2" s="401" t="s">
        <v>21</v>
      </c>
      <c r="BU2" s="401" t="s">
        <v>11437</v>
      </c>
      <c r="BV2" s="401" t="s">
        <v>11438</v>
      </c>
      <c r="BW2" s="401" t="s">
        <v>8</v>
      </c>
      <c r="BX2" s="401" t="s">
        <v>11440</v>
      </c>
      <c r="BY2" s="401" t="s">
        <v>11441</v>
      </c>
      <c r="BZ2" s="401" t="s">
        <v>11442</v>
      </c>
      <c r="CA2" s="402" t="s">
        <v>20</v>
      </c>
      <c r="CB2" s="401" t="s">
        <v>11443</v>
      </c>
      <c r="CC2" s="401" t="s">
        <v>23</v>
      </c>
      <c r="CD2" s="401" t="s">
        <v>11444</v>
      </c>
      <c r="CE2" s="401" t="s">
        <v>11446</v>
      </c>
      <c r="CF2" s="401" t="s">
        <v>11445</v>
      </c>
      <c r="CG2" s="401" t="s">
        <v>11447</v>
      </c>
      <c r="CH2" s="403" t="s">
        <v>11448</v>
      </c>
      <c r="CI2" s="451" t="s">
        <v>25</v>
      </c>
      <c r="CJ2" s="451" t="s">
        <v>11894</v>
      </c>
      <c r="CK2" s="451" t="s">
        <v>11895</v>
      </c>
      <c r="CL2" s="405" t="s">
        <v>26</v>
      </c>
      <c r="CM2" s="405" t="s">
        <v>11896</v>
      </c>
      <c r="CN2" s="405" t="s">
        <v>11897</v>
      </c>
      <c r="CO2" s="406" t="s">
        <v>9414</v>
      </c>
      <c r="CP2" s="442" t="s">
        <v>9452</v>
      </c>
      <c r="CQ2" s="401" t="s">
        <v>11482</v>
      </c>
      <c r="CR2" s="401" t="s">
        <v>7</v>
      </c>
      <c r="CS2" s="401" t="s">
        <v>17</v>
      </c>
      <c r="CT2" s="401" t="s">
        <v>11436</v>
      </c>
      <c r="CU2" s="401" t="s">
        <v>21</v>
      </c>
      <c r="CV2" s="401" t="s">
        <v>11437</v>
      </c>
      <c r="CW2" s="401" t="s">
        <v>11438</v>
      </c>
      <c r="CX2" s="401" t="s">
        <v>8</v>
      </c>
      <c r="CY2" s="401" t="s">
        <v>11440</v>
      </c>
      <c r="CZ2" s="401" t="s">
        <v>11441</v>
      </c>
      <c r="DA2" s="401" t="s">
        <v>11882</v>
      </c>
      <c r="DB2" s="401" t="s">
        <v>11881</v>
      </c>
      <c r="DC2" s="401" t="s">
        <v>11442</v>
      </c>
      <c r="DD2" s="401" t="s">
        <v>11900</v>
      </c>
      <c r="DE2" s="401" t="s">
        <v>11901</v>
      </c>
      <c r="DF2" s="402" t="s">
        <v>20</v>
      </c>
      <c r="DG2" s="401" t="s">
        <v>11443</v>
      </c>
      <c r="DH2" s="401" t="s">
        <v>23</v>
      </c>
      <c r="DI2" s="401" t="s">
        <v>11899</v>
      </c>
      <c r="DJ2" s="401" t="s">
        <v>11444</v>
      </c>
      <c r="DK2" s="401" t="s">
        <v>11873</v>
      </c>
      <c r="DL2" s="401" t="s">
        <v>11874</v>
      </c>
      <c r="DM2" s="401" t="s">
        <v>11446</v>
      </c>
      <c r="DN2" s="401" t="s">
        <v>11445</v>
      </c>
      <c r="DO2" s="401" t="s">
        <v>11447</v>
      </c>
      <c r="DP2" s="403" t="s">
        <v>11448</v>
      </c>
      <c r="DQ2" s="404" t="s">
        <v>25</v>
      </c>
      <c r="DR2" s="404" t="s">
        <v>11898</v>
      </c>
      <c r="DS2" s="404" t="s">
        <v>11895</v>
      </c>
      <c r="DT2" s="405" t="s">
        <v>26</v>
      </c>
      <c r="DU2" s="465" t="s">
        <v>11896</v>
      </c>
      <c r="DV2" s="465" t="s">
        <v>11897</v>
      </c>
      <c r="DW2" s="464" t="s">
        <v>9414</v>
      </c>
      <c r="DX2" s="329"/>
    </row>
    <row r="3" spans="1:128" ht="16" x14ac:dyDescent="0.2">
      <c r="A3" s="2" t="s">
        <v>11775</v>
      </c>
      <c r="B3" s="2">
        <v>72</v>
      </c>
      <c r="C3" s="2" t="str">
        <f>IF(OR(AL3&lt;&gt;"", BO3&lt;&gt;"",CP3&lt;&gt;""), "x", "")</f>
        <v/>
      </c>
      <c r="D3" s="2" t="s">
        <v>11790</v>
      </c>
      <c r="E3" s="2" t="s">
        <v>11536</v>
      </c>
      <c r="F3" s="2" t="s">
        <v>37</v>
      </c>
      <c r="G3" s="2" t="s">
        <v>35</v>
      </c>
      <c r="H3" s="2" t="s">
        <v>35</v>
      </c>
      <c r="I3" s="2" t="s">
        <v>35</v>
      </c>
      <c r="J3" s="2" t="s">
        <v>35</v>
      </c>
      <c r="K3" s="2" t="str">
        <f>IF(OR(AW3&lt;&gt;"-", BY3&lt;&gt;"", DA3&lt;&gt;"-"), "x", "")</f>
        <v/>
      </c>
      <c r="L3" s="2" t="s">
        <v>35</v>
      </c>
      <c r="M3" s="2" t="str">
        <f>IF(OR(AZ3&lt;&gt;"-", BZ3&lt;&gt;"", DD3&lt;&gt;"-"), "x", "")</f>
        <v/>
      </c>
      <c r="N3" s="2">
        <v>4</v>
      </c>
      <c r="O3" s="2" t="str">
        <f>IF(OR(BM3&lt;&gt;"", CM3&lt;&gt;"-", DU3&lt;&gt;"-"), "x", "")</f>
        <v/>
      </c>
      <c r="P3" s="2" t="s">
        <v>35</v>
      </c>
      <c r="Q3" s="2" t="str">
        <f>IF(OR(BF3&lt;&gt;"-", CD3&lt;&gt;"", DK3&lt;&gt;"-"), "x", "")</f>
        <v/>
      </c>
      <c r="R3" s="2" t="s">
        <v>35</v>
      </c>
      <c r="S3" s="2"/>
      <c r="T3" s="2" t="str">
        <f>IF(OR(BD3&lt;&gt;"", CC3&lt;&gt;"", DH3&lt;&gt;""), "x", "")</f>
        <v/>
      </c>
      <c r="U3" s="2" t="s">
        <v>35</v>
      </c>
      <c r="V3" s="2" t="str">
        <f>IF(OR(BL3&lt;&gt;"", CJ3&lt;&gt;"-", DR3&lt;&gt;"-"), "x", "")</f>
        <v/>
      </c>
      <c r="W3" s="3"/>
      <c r="X3" s="2" t="s">
        <v>11535</v>
      </c>
      <c r="Y3" s="2" t="s">
        <v>31</v>
      </c>
      <c r="Z3" s="2" t="s">
        <v>11774</v>
      </c>
      <c r="AA3" s="2" t="s">
        <v>11773</v>
      </c>
      <c r="AB3" s="2" t="s">
        <v>11532</v>
      </c>
      <c r="AC3" s="2">
        <v>51150</v>
      </c>
      <c r="AD3" s="2" t="s">
        <v>11772</v>
      </c>
      <c r="AE3" s="11">
        <v>43352.455821759257</v>
      </c>
      <c r="AF3" s="11">
        <v>43352.455937500003</v>
      </c>
      <c r="AG3" s="278">
        <v>0</v>
      </c>
      <c r="AH3" s="277">
        <f t="shared" ref="AH3:AH34" si="0">AF3-AE3</f>
        <v>1.1574074596865103E-4</v>
      </c>
      <c r="AI3" s="277">
        <f>AF3-AJ3</f>
        <v>1.0763888931251131E-3</v>
      </c>
      <c r="AJ3" s="276">
        <v>43352.454861111109</v>
      </c>
      <c r="AK3" s="275" t="str">
        <f t="shared" ref="AK3:AK27" si="1">HYPERLINK("https://captureandgo.cloudlab.zhaw.ch/images/"&amp;Z3)</f>
        <v>https://captureandgo.cloudlab.zhaw.ch/images/images-1662800192981-355976436.jpg</v>
      </c>
      <c r="AL3" s="342"/>
      <c r="AM3" s="342"/>
      <c r="AN3" s="342"/>
      <c r="AO3" s="342"/>
      <c r="AP3" s="342"/>
      <c r="AQ3" s="343"/>
      <c r="AR3" s="342"/>
      <c r="AS3" s="342"/>
      <c r="AT3" s="342"/>
      <c r="AU3" s="342"/>
      <c r="AV3" s="342"/>
      <c r="AW3" s="408" t="str">
        <f t="shared" ref="AW3:AW34" si="2">IF(AND(J3&lt;&gt;"",AV3&lt;&gt;"N/A"), ABS(AV3/J3-1), "-")</f>
        <v>-</v>
      </c>
      <c r="AX3" s="408" t="str">
        <f t="shared" ref="AX3:AX34" si="3">IF(AW3&lt;&gt;"-", 1-AW3, "-")</f>
        <v>-</v>
      </c>
      <c r="AY3" s="342"/>
      <c r="AZ3" s="342" t="str">
        <f t="shared" ref="AZ3:AZ34" si="4">IF(AND(L3&lt;&gt;"",AY3&lt;&gt;"N/A"), ABS(AY3/L3-1), "-")</f>
        <v>-</v>
      </c>
      <c r="BA3" s="408" t="str">
        <f t="shared" ref="BA3:BA34" si="5">IF(AZ3&lt;&gt;"-", 1-AZ3, "-")</f>
        <v>-</v>
      </c>
      <c r="BB3" s="342"/>
      <c r="BC3" s="342"/>
      <c r="BD3" s="342"/>
      <c r="BE3" s="344"/>
      <c r="BF3" s="408" t="str">
        <f t="shared" ref="BF3:BF34" si="6">IF(AND(P3&lt;&gt;"",BE3&lt;&gt;""), ABS(BE3/P3-1), "-")</f>
        <v>-</v>
      </c>
      <c r="BG3" s="408" t="str">
        <f t="shared" ref="BG3:BG34" si="7">IF(BF3&lt;&gt;"-", 1-BF3, "-")</f>
        <v>-</v>
      </c>
      <c r="BO3" s="334"/>
      <c r="CJ3" s="452" t="str">
        <f t="shared" ref="CJ3:CJ36" si="8">IF(AND(U3&lt;&gt;"",CI3&lt;&gt;""), ABS(CI3/U3-1), "-")</f>
        <v>-</v>
      </c>
      <c r="CK3" s="452" t="str">
        <f t="shared" ref="CK3:CK53" si="9">IF(CJ3&lt;&gt;"-", 1-CJ3, "-")</f>
        <v>-</v>
      </c>
      <c r="CM3" s="327" t="str">
        <f t="shared" ref="CM3:CM34" si="10">IF(AND(N3&lt;&gt;"",CL3&lt;&gt;""), ABS(CL3/N3-1), "-")</f>
        <v>-</v>
      </c>
      <c r="CN3" s="453" t="str">
        <f t="shared" ref="CN3:CN34" si="11">IF(CM3&lt;&gt;"-", 1-CM3, "-")</f>
        <v>-</v>
      </c>
      <c r="CP3" s="334"/>
      <c r="DA3" s="408" t="str">
        <f t="shared" ref="DA3:DA34" si="12">IF(AND(J3&lt;&gt;"",CZ3&lt;&gt;"N/A"), ABS(CZ3/J3-1), "-")</f>
        <v>-</v>
      </c>
      <c r="DB3" s="408" t="str">
        <f t="shared" ref="DB3:DB63" si="13">IF(DA3&lt;&gt;"-", 1-DA3, "-")</f>
        <v>-</v>
      </c>
      <c r="DD3" s="408" t="str">
        <f t="shared" ref="DD3:DD34" si="14">IF(AND(L3&lt;&gt;"",DC3&lt;&gt;"N/A"), ABS(DC3/L3-1), "-")</f>
        <v>-</v>
      </c>
      <c r="DE3" s="408" t="str">
        <f t="shared" ref="DE3:DE63" si="15">IF(DD3&lt;&gt;"-", 1-DD3, "-")</f>
        <v>-</v>
      </c>
      <c r="DI3" t="s">
        <v>9801</v>
      </c>
      <c r="DK3" s="408" t="str">
        <f t="shared" ref="DK3:DK34" si="16">IF(AND(P3&lt;&gt;"",DJ3&lt;&gt;""), ABS(DJ3/P3-1), "-")</f>
        <v>-</v>
      </c>
      <c r="DL3" s="408" t="str">
        <f t="shared" ref="DL3:DL63" si="17">IF(DK3&lt;&gt;"-", 1-DK3, "-")</f>
        <v>-</v>
      </c>
      <c r="DR3" s="452" t="str">
        <f>IF(AND(U3&lt;&gt;"",DQ3&lt;&gt;""), ABS(DQ3/U3-1), "-")</f>
        <v>-</v>
      </c>
      <c r="DS3" s="452" t="str">
        <f t="shared" ref="DS3:DS63" si="18">IF(DR3&lt;&gt;"-", 1-DR3, "-")</f>
        <v>-</v>
      </c>
      <c r="DU3" s="452" t="str">
        <f t="shared" ref="DU3:DU34" si="19">IF(AND(N3&lt;&gt;"",DT3&lt;&gt;""), ABS(DT3/N3-1), "-")</f>
        <v>-</v>
      </c>
      <c r="DV3" s="452" t="str">
        <f t="shared" ref="DV3:DV63" si="20">IF(DU3&lt;&gt;"-", 1-DU3, "-")</f>
        <v>-</v>
      </c>
      <c r="DX3" s="329"/>
    </row>
    <row r="4" spans="1:128" ht="16" x14ac:dyDescent="0.2">
      <c r="A4" s="2" t="s">
        <v>11771</v>
      </c>
      <c r="B4" s="2">
        <v>73</v>
      </c>
      <c r="C4" s="2" t="str">
        <f t="shared" ref="C4:C63" si="21">IF(OR(AL4&lt;&gt;"", BO4&lt;&gt;"",CP4&lt;&gt;""), "x", "")</f>
        <v>x</v>
      </c>
      <c r="D4" s="2" t="s">
        <v>11791</v>
      </c>
      <c r="E4" s="2" t="s">
        <v>11536</v>
      </c>
      <c r="F4" s="2" t="s">
        <v>125</v>
      </c>
      <c r="G4" s="2" t="s">
        <v>35</v>
      </c>
      <c r="H4" s="2" t="s">
        <v>35</v>
      </c>
      <c r="I4" s="2" t="s">
        <v>675</v>
      </c>
      <c r="J4" s="2" t="s">
        <v>35</v>
      </c>
      <c r="K4" s="2" t="str">
        <f t="shared" ref="K4:K63" si="22">IF(OR(AW4&lt;&gt;"-", BY4&lt;&gt;"", DA4&lt;&gt;"-"), "x", "")</f>
        <v/>
      </c>
      <c r="L4" s="2" t="s">
        <v>35</v>
      </c>
      <c r="M4" s="2" t="str">
        <f t="shared" ref="M4:M63" si="23">IF(OR(AZ4&lt;&gt;"-", BZ4&lt;&gt;"", DD4&lt;&gt;"-"), "x", "")</f>
        <v/>
      </c>
      <c r="N4" s="2" t="s">
        <v>35</v>
      </c>
      <c r="O4" s="2" t="str">
        <f t="shared" ref="O4:O63" si="24">IF(OR(BM4&lt;&gt;"", CM4&lt;&gt;"-", DU4&lt;&gt;"-"), "x", "")</f>
        <v/>
      </c>
      <c r="P4" s="2">
        <v>4</v>
      </c>
      <c r="Q4" s="2" t="str">
        <f t="shared" ref="Q4:Q63" si="25">IF(OR(BF4&lt;&gt;"-", CD4&lt;&gt;"", DK4&lt;&gt;"-"), "x", "")</f>
        <v>x</v>
      </c>
      <c r="R4" s="2" t="s">
        <v>35</v>
      </c>
      <c r="S4" s="2"/>
      <c r="T4" s="2" t="str">
        <f t="shared" ref="T4:T63" si="26">IF(OR(BD4&lt;&gt;"", CC4&lt;&gt;"", DH4&lt;&gt;""), "x", "")</f>
        <v/>
      </c>
      <c r="U4" s="2" t="s">
        <v>35</v>
      </c>
      <c r="V4" s="2" t="str">
        <f t="shared" ref="V4:V63" si="27">IF(OR(BL4&lt;&gt;"", CJ4&lt;&gt;"-", DR4&lt;&gt;"-"), "x", "")</f>
        <v/>
      </c>
      <c r="W4" s="3"/>
      <c r="X4" s="2" t="s">
        <v>11535</v>
      </c>
      <c r="Y4" s="2" t="s">
        <v>31</v>
      </c>
      <c r="Z4" s="2" t="s">
        <v>11770</v>
      </c>
      <c r="AA4" s="2" t="s">
        <v>11769</v>
      </c>
      <c r="AB4" s="2" t="s">
        <v>11532</v>
      </c>
      <c r="AC4" s="2">
        <v>55727</v>
      </c>
      <c r="AD4" s="2" t="s">
        <v>11768</v>
      </c>
      <c r="AE4" s="11">
        <v>43352.456180555557</v>
      </c>
      <c r="AF4" s="11">
        <v>43352.456446759257</v>
      </c>
      <c r="AG4" s="278">
        <v>0</v>
      </c>
      <c r="AH4" s="277">
        <f t="shared" si="0"/>
        <v>2.6620370044838637E-4</v>
      </c>
      <c r="AI4" s="277">
        <f t="shared" ref="AI4:AI35" si="28">MIN(AF4-AF3, AF4-AJ4)</f>
        <v>5.0925925461342558E-4</v>
      </c>
      <c r="AJ4" s="276">
        <v>43352.454861111109</v>
      </c>
      <c r="AK4" s="275" t="str">
        <f t="shared" si="1"/>
        <v>https://captureandgo.cloudlab.zhaw.ch/images/images-1662800220999-279324634.jpg</v>
      </c>
      <c r="AL4">
        <v>16</v>
      </c>
      <c r="AM4" s="7">
        <v>1.712962962962963E-3</v>
      </c>
      <c r="AN4" s="110" t="s">
        <v>11465</v>
      </c>
      <c r="AO4" t="s">
        <v>125</v>
      </c>
      <c r="AP4" t="b">
        <v>0</v>
      </c>
      <c r="AR4" t="b">
        <v>0</v>
      </c>
      <c r="AS4" t="s">
        <v>11384</v>
      </c>
      <c r="AT4" t="s">
        <v>940</v>
      </c>
      <c r="AW4" s="408" t="str">
        <f t="shared" si="2"/>
        <v>-</v>
      </c>
      <c r="AX4" s="408" t="str">
        <f t="shared" si="3"/>
        <v>-</v>
      </c>
      <c r="AZ4" s="342" t="str">
        <f t="shared" si="4"/>
        <v>-</v>
      </c>
      <c r="BA4" s="408" t="str">
        <f t="shared" si="5"/>
        <v>-</v>
      </c>
      <c r="BB4" s="28"/>
      <c r="BE4">
        <v>4</v>
      </c>
      <c r="BF4" s="408">
        <f t="shared" si="6"/>
        <v>0</v>
      </c>
      <c r="BG4" s="408">
        <f t="shared" si="7"/>
        <v>1</v>
      </c>
      <c r="BH4" s="337"/>
      <c r="BI4" s="337"/>
      <c r="BJ4" s="337"/>
      <c r="BK4" s="337"/>
      <c r="BL4" s="341"/>
      <c r="BM4" s="341"/>
      <c r="BN4" s="7">
        <v>1.5046296296296297E-4</v>
      </c>
      <c r="BO4" s="329"/>
      <c r="CJ4" s="452" t="str">
        <f t="shared" si="8"/>
        <v>-</v>
      </c>
      <c r="CK4" s="452" t="str">
        <f t="shared" si="9"/>
        <v>-</v>
      </c>
      <c r="CM4" s="327" t="str">
        <f t="shared" si="10"/>
        <v>-</v>
      </c>
      <c r="CN4" s="453" t="str">
        <f t="shared" si="11"/>
        <v>-</v>
      </c>
      <c r="CP4" s="441">
        <v>57</v>
      </c>
      <c r="CQ4" s="339">
        <v>2.3148148148148146E-4</v>
      </c>
      <c r="CR4" s="337" t="s">
        <v>11511</v>
      </c>
      <c r="CS4" s="337" t="s">
        <v>125</v>
      </c>
      <c r="CT4" s="337" t="b">
        <v>0</v>
      </c>
      <c r="CU4" s="337"/>
      <c r="CV4" s="337" t="b">
        <v>0</v>
      </c>
      <c r="CW4" s="337" t="b">
        <v>0</v>
      </c>
      <c r="CX4" t="s">
        <v>940</v>
      </c>
      <c r="CZ4" s="337"/>
      <c r="DA4" s="408" t="str">
        <f t="shared" si="12"/>
        <v>-</v>
      </c>
      <c r="DB4" s="408" t="str">
        <f t="shared" si="13"/>
        <v>-</v>
      </c>
      <c r="DC4" s="337"/>
      <c r="DD4" s="408" t="str">
        <f t="shared" si="14"/>
        <v>-</v>
      </c>
      <c r="DE4" s="408" t="str">
        <f t="shared" si="15"/>
        <v>-</v>
      </c>
      <c r="DF4" s="340"/>
      <c r="DG4" s="337"/>
      <c r="DH4" s="337"/>
      <c r="DI4" t="s">
        <v>9801</v>
      </c>
      <c r="DJ4" s="337">
        <v>10</v>
      </c>
      <c r="DK4" s="408">
        <f t="shared" si="16"/>
        <v>1.5</v>
      </c>
      <c r="DL4" s="468">
        <f t="shared" si="17"/>
        <v>-0.5</v>
      </c>
      <c r="DM4" s="337"/>
      <c r="DN4" s="337"/>
      <c r="DO4" s="337"/>
      <c r="DP4" s="337"/>
      <c r="DQ4" s="341"/>
      <c r="DR4" s="452" t="str">
        <f t="shared" ref="DR4:DR63" si="29">IF(AND(U4&lt;&gt;"",DQ4&lt;&gt;""), ABS(DQ4/U4-1), "-")</f>
        <v>-</v>
      </c>
      <c r="DS4" s="452" t="str">
        <f t="shared" si="18"/>
        <v>-</v>
      </c>
      <c r="DT4" s="341"/>
      <c r="DU4" s="452" t="str">
        <f t="shared" si="19"/>
        <v>-</v>
      </c>
      <c r="DV4" s="452" t="str">
        <f t="shared" si="20"/>
        <v>-</v>
      </c>
      <c r="DW4" s="339">
        <v>2.4305555555555552E-4</v>
      </c>
      <c r="DX4" s="329"/>
    </row>
    <row r="5" spans="1:128" ht="16" x14ac:dyDescent="0.2">
      <c r="A5" s="2" t="s">
        <v>11767</v>
      </c>
      <c r="B5" s="2">
        <v>74</v>
      </c>
      <c r="C5" s="2" t="str">
        <f t="shared" si="21"/>
        <v/>
      </c>
      <c r="D5" s="2" t="s">
        <v>11792</v>
      </c>
      <c r="E5" s="2" t="s">
        <v>11536</v>
      </c>
      <c r="F5" s="2" t="s">
        <v>37</v>
      </c>
      <c r="G5" s="2" t="s">
        <v>35</v>
      </c>
      <c r="H5" s="2" t="s">
        <v>35</v>
      </c>
      <c r="I5" s="2" t="s">
        <v>35</v>
      </c>
      <c r="J5" s="2" t="s">
        <v>35</v>
      </c>
      <c r="K5" s="2" t="str">
        <f t="shared" si="22"/>
        <v/>
      </c>
      <c r="L5" s="2" t="s">
        <v>35</v>
      </c>
      <c r="M5" s="2" t="str">
        <f t="shared" si="23"/>
        <v/>
      </c>
      <c r="N5" s="2">
        <v>4</v>
      </c>
      <c r="O5" s="2" t="str">
        <f t="shared" si="24"/>
        <v/>
      </c>
      <c r="P5" s="2" t="s">
        <v>35</v>
      </c>
      <c r="Q5" s="2" t="str">
        <f t="shared" si="25"/>
        <v/>
      </c>
      <c r="R5" s="2" t="s">
        <v>35</v>
      </c>
      <c r="S5" s="2"/>
      <c r="T5" s="2" t="str">
        <f t="shared" si="26"/>
        <v/>
      </c>
      <c r="U5" s="2" t="s">
        <v>35</v>
      </c>
      <c r="V5" s="2" t="str">
        <f t="shared" si="27"/>
        <v/>
      </c>
      <c r="W5" s="3"/>
      <c r="X5" s="2" t="s">
        <v>11535</v>
      </c>
      <c r="Y5" s="2" t="s">
        <v>31</v>
      </c>
      <c r="Z5" s="2" t="s">
        <v>11766</v>
      </c>
      <c r="AA5" s="2" t="s">
        <v>11765</v>
      </c>
      <c r="AB5" s="2" t="s">
        <v>11532</v>
      </c>
      <c r="AC5" s="2">
        <v>58046</v>
      </c>
      <c r="AD5" s="2" t="s">
        <v>11764</v>
      </c>
      <c r="AE5" s="11">
        <v>43352.457175925927</v>
      </c>
      <c r="AF5" s="11">
        <v>43352.457395833335</v>
      </c>
      <c r="AG5" s="278">
        <v>0</v>
      </c>
      <c r="AH5" s="277">
        <f t="shared" si="0"/>
        <v>2.1990740788169205E-4</v>
      </c>
      <c r="AI5" s="277">
        <f t="shared" si="28"/>
        <v>9.490740776527673E-4</v>
      </c>
      <c r="AJ5" s="276">
        <v>43352.454861111109</v>
      </c>
      <c r="AK5" s="275" t="str">
        <f t="shared" si="1"/>
        <v>https://captureandgo.cloudlab.zhaw.ch/images/images-1662800310116-687746128.jpg</v>
      </c>
      <c r="AQ5" s="28"/>
      <c r="AW5" s="408" t="str">
        <f t="shared" si="2"/>
        <v>-</v>
      </c>
      <c r="AX5" s="408" t="str">
        <f t="shared" si="3"/>
        <v>-</v>
      </c>
      <c r="AZ5" s="342" t="str">
        <f t="shared" si="4"/>
        <v>-</v>
      </c>
      <c r="BA5" s="408" t="str">
        <f t="shared" si="5"/>
        <v>-</v>
      </c>
      <c r="BC5" s="407"/>
      <c r="BD5" s="407"/>
      <c r="BE5" s="7"/>
      <c r="BF5" s="408" t="str">
        <f t="shared" si="6"/>
        <v>-</v>
      </c>
      <c r="BG5" s="408" t="str">
        <f t="shared" si="7"/>
        <v>-</v>
      </c>
      <c r="BO5" s="329"/>
      <c r="CJ5" s="452" t="str">
        <f t="shared" si="8"/>
        <v>-</v>
      </c>
      <c r="CK5" s="452" t="str">
        <f t="shared" si="9"/>
        <v>-</v>
      </c>
      <c r="CM5" s="327" t="str">
        <f t="shared" si="10"/>
        <v>-</v>
      </c>
      <c r="CN5" s="453" t="str">
        <f t="shared" si="11"/>
        <v>-</v>
      </c>
      <c r="CP5" s="329"/>
      <c r="DA5" s="408" t="str">
        <f t="shared" si="12"/>
        <v>-</v>
      </c>
      <c r="DB5" s="408" t="str">
        <f t="shared" si="13"/>
        <v>-</v>
      </c>
      <c r="DD5" s="408" t="str">
        <f t="shared" si="14"/>
        <v>-</v>
      </c>
      <c r="DE5" s="408" t="str">
        <f t="shared" si="15"/>
        <v>-</v>
      </c>
      <c r="DI5" t="s">
        <v>9801</v>
      </c>
      <c r="DK5" s="408" t="str">
        <f t="shared" si="16"/>
        <v>-</v>
      </c>
      <c r="DL5" s="408" t="str">
        <f t="shared" si="17"/>
        <v>-</v>
      </c>
      <c r="DR5" s="452" t="str">
        <f t="shared" si="29"/>
        <v>-</v>
      </c>
      <c r="DS5" s="452" t="str">
        <f t="shared" si="18"/>
        <v>-</v>
      </c>
      <c r="DU5" s="452" t="str">
        <f t="shared" si="19"/>
        <v>-</v>
      </c>
      <c r="DV5" s="452" t="str">
        <f t="shared" si="20"/>
        <v>-</v>
      </c>
      <c r="DX5" s="329"/>
    </row>
    <row r="6" spans="1:128" ht="16" x14ac:dyDescent="0.2">
      <c r="A6" s="2" t="s">
        <v>11763</v>
      </c>
      <c r="B6" s="2">
        <v>75</v>
      </c>
      <c r="C6" s="2" t="str">
        <f t="shared" si="21"/>
        <v/>
      </c>
      <c r="D6" s="2" t="s">
        <v>11793</v>
      </c>
      <c r="E6" s="2" t="s">
        <v>11536</v>
      </c>
      <c r="F6" s="2" t="s">
        <v>37</v>
      </c>
      <c r="G6" s="2" t="s">
        <v>35</v>
      </c>
      <c r="H6" s="2" t="s">
        <v>35</v>
      </c>
      <c r="I6" s="2" t="s">
        <v>35</v>
      </c>
      <c r="J6" s="2" t="s">
        <v>35</v>
      </c>
      <c r="K6" s="2" t="str">
        <f t="shared" si="22"/>
        <v/>
      </c>
      <c r="L6" s="2" t="s">
        <v>35</v>
      </c>
      <c r="M6" s="2" t="str">
        <f t="shared" si="23"/>
        <v/>
      </c>
      <c r="N6" s="2">
        <v>4</v>
      </c>
      <c r="O6" s="2" t="str">
        <f t="shared" si="24"/>
        <v/>
      </c>
      <c r="P6" s="2" t="s">
        <v>35</v>
      </c>
      <c r="Q6" s="2" t="str">
        <f t="shared" si="25"/>
        <v/>
      </c>
      <c r="R6" s="2" t="s">
        <v>35</v>
      </c>
      <c r="S6" s="2"/>
      <c r="T6" s="2" t="str">
        <f t="shared" si="26"/>
        <v/>
      </c>
      <c r="U6" s="2" t="s">
        <v>35</v>
      </c>
      <c r="V6" s="2" t="str">
        <f t="shared" si="27"/>
        <v/>
      </c>
      <c r="W6" s="3"/>
      <c r="X6" s="2" t="s">
        <v>11535</v>
      </c>
      <c r="Y6" s="2" t="s">
        <v>31</v>
      </c>
      <c r="Z6" s="2" t="s">
        <v>11762</v>
      </c>
      <c r="AA6" s="2" t="s">
        <v>11761</v>
      </c>
      <c r="AB6" s="2" t="s">
        <v>11532</v>
      </c>
      <c r="AC6" s="2">
        <v>49056</v>
      </c>
      <c r="AD6" s="2" t="s">
        <v>11760</v>
      </c>
      <c r="AE6" s="11">
        <v>43352.45815972222</v>
      </c>
      <c r="AF6" s="11">
        <v>43352.458298611113</v>
      </c>
      <c r="AG6" s="278">
        <v>0</v>
      </c>
      <c r="AH6" s="277">
        <f t="shared" si="0"/>
        <v>1.3888889225199819E-4</v>
      </c>
      <c r="AI6" s="277">
        <f t="shared" si="28"/>
        <v>9.0277777781011537E-4</v>
      </c>
      <c r="AJ6" s="276">
        <v>43352.454861111109</v>
      </c>
      <c r="AK6" s="275" t="str">
        <f t="shared" si="1"/>
        <v>https://captureandgo.cloudlab.zhaw.ch/images/images-1662800393294-321765738.jpg</v>
      </c>
      <c r="AW6" s="408" t="str">
        <f t="shared" si="2"/>
        <v>-</v>
      </c>
      <c r="AX6" s="408" t="str">
        <f t="shared" si="3"/>
        <v>-</v>
      </c>
      <c r="AZ6" s="342" t="str">
        <f t="shared" si="4"/>
        <v>-</v>
      </c>
      <c r="BA6" s="408" t="str">
        <f t="shared" si="5"/>
        <v>-</v>
      </c>
      <c r="BF6" s="408" t="str">
        <f t="shared" si="6"/>
        <v>-</v>
      </c>
      <c r="BG6" s="408" t="str">
        <f t="shared" si="7"/>
        <v>-</v>
      </c>
      <c r="BO6" s="329"/>
      <c r="CJ6" s="452" t="str">
        <f t="shared" si="8"/>
        <v>-</v>
      </c>
      <c r="CK6" s="452" t="str">
        <f t="shared" si="9"/>
        <v>-</v>
      </c>
      <c r="CM6" s="327" t="str">
        <f t="shared" si="10"/>
        <v>-</v>
      </c>
      <c r="CN6" s="453" t="str">
        <f t="shared" si="11"/>
        <v>-</v>
      </c>
      <c r="CP6" s="329"/>
      <c r="DA6" s="408" t="str">
        <f t="shared" si="12"/>
        <v>-</v>
      </c>
      <c r="DB6" s="408" t="str">
        <f t="shared" si="13"/>
        <v>-</v>
      </c>
      <c r="DD6" s="408" t="str">
        <f t="shared" si="14"/>
        <v>-</v>
      </c>
      <c r="DE6" s="408" t="str">
        <f t="shared" si="15"/>
        <v>-</v>
      </c>
      <c r="DI6" t="s">
        <v>9801</v>
      </c>
      <c r="DK6" s="408" t="str">
        <f t="shared" si="16"/>
        <v>-</v>
      </c>
      <c r="DL6" s="408" t="str">
        <f t="shared" si="17"/>
        <v>-</v>
      </c>
      <c r="DR6" s="452" t="str">
        <f t="shared" si="29"/>
        <v>-</v>
      </c>
      <c r="DS6" s="452" t="str">
        <f t="shared" si="18"/>
        <v>-</v>
      </c>
      <c r="DU6" s="452" t="str">
        <f t="shared" si="19"/>
        <v>-</v>
      </c>
      <c r="DV6" s="452" t="str">
        <f t="shared" si="20"/>
        <v>-</v>
      </c>
      <c r="DX6" s="329"/>
    </row>
    <row r="7" spans="1:128" ht="16" x14ac:dyDescent="0.2">
      <c r="A7" s="2" t="s">
        <v>11759</v>
      </c>
      <c r="B7" s="2">
        <v>76</v>
      </c>
      <c r="C7" s="2" t="str">
        <f t="shared" si="21"/>
        <v>x</v>
      </c>
      <c r="D7" s="2" t="s">
        <v>11794</v>
      </c>
      <c r="E7" s="2" t="s">
        <v>11536</v>
      </c>
      <c r="F7" s="2" t="s">
        <v>125</v>
      </c>
      <c r="G7" s="2" t="s">
        <v>35</v>
      </c>
      <c r="H7" s="2" t="s">
        <v>35</v>
      </c>
      <c r="I7" s="2" t="s">
        <v>675</v>
      </c>
      <c r="J7" s="2" t="s">
        <v>35</v>
      </c>
      <c r="K7" s="2" t="str">
        <f t="shared" si="22"/>
        <v/>
      </c>
      <c r="L7" s="2" t="s">
        <v>35</v>
      </c>
      <c r="M7" s="2" t="str">
        <f t="shared" si="23"/>
        <v/>
      </c>
      <c r="N7" s="2" t="s">
        <v>35</v>
      </c>
      <c r="O7" s="2" t="str">
        <f t="shared" si="24"/>
        <v/>
      </c>
      <c r="P7" s="2">
        <v>4</v>
      </c>
      <c r="Q7" s="2" t="str">
        <f t="shared" si="25"/>
        <v>x</v>
      </c>
      <c r="R7" s="2" t="s">
        <v>35</v>
      </c>
      <c r="S7" s="2"/>
      <c r="T7" s="2" t="str">
        <f t="shared" si="26"/>
        <v/>
      </c>
      <c r="U7" s="2" t="s">
        <v>35</v>
      </c>
      <c r="V7" s="2" t="str">
        <f t="shared" si="27"/>
        <v/>
      </c>
      <c r="W7" s="3"/>
      <c r="X7" s="2" t="s">
        <v>11535</v>
      </c>
      <c r="Y7" s="2" t="s">
        <v>31</v>
      </c>
      <c r="Z7" s="2" t="s">
        <v>11758</v>
      </c>
      <c r="AA7" s="2" t="s">
        <v>11757</v>
      </c>
      <c r="AB7" s="2" t="s">
        <v>11532</v>
      </c>
      <c r="AC7" s="2">
        <v>55090</v>
      </c>
      <c r="AD7" s="2" t="s">
        <v>11756</v>
      </c>
      <c r="AE7" s="11">
        <v>43352.458506944444</v>
      </c>
      <c r="AF7" s="11">
        <v>43352.458703703705</v>
      </c>
      <c r="AG7" s="278">
        <v>0</v>
      </c>
      <c r="AH7" s="277">
        <f t="shared" si="0"/>
        <v>1.9675926159834489E-4</v>
      </c>
      <c r="AI7" s="277">
        <f t="shared" si="28"/>
        <v>4.0509259270038456E-4</v>
      </c>
      <c r="AJ7" s="276">
        <v>43352.454861111109</v>
      </c>
      <c r="AK7" s="275" t="str">
        <f t="shared" si="1"/>
        <v>https://captureandgo.cloudlab.zhaw.ch/images/images-1662800423672-136490792.jpg</v>
      </c>
      <c r="AL7">
        <v>15</v>
      </c>
      <c r="AM7" s="7">
        <v>7.7546296296296304E-4</v>
      </c>
      <c r="AN7" s="110" t="s">
        <v>11464</v>
      </c>
      <c r="AO7" t="s">
        <v>125</v>
      </c>
      <c r="AP7" t="b">
        <v>0</v>
      </c>
      <c r="AR7" t="b">
        <v>0</v>
      </c>
      <c r="AS7" t="s">
        <v>11384</v>
      </c>
      <c r="AT7" t="s">
        <v>940</v>
      </c>
      <c r="AW7" s="408" t="str">
        <f t="shared" si="2"/>
        <v>-</v>
      </c>
      <c r="AX7" s="408" t="str">
        <f t="shared" si="3"/>
        <v>-</v>
      </c>
      <c r="AZ7" s="342" t="str">
        <f t="shared" si="4"/>
        <v>-</v>
      </c>
      <c r="BA7" s="408" t="str">
        <f t="shared" si="5"/>
        <v>-</v>
      </c>
      <c r="BB7" s="28"/>
      <c r="BE7">
        <v>4</v>
      </c>
      <c r="BF7" s="408">
        <f t="shared" si="6"/>
        <v>0</v>
      </c>
      <c r="BG7" s="408">
        <f t="shared" si="7"/>
        <v>1</v>
      </c>
      <c r="BH7" s="337"/>
      <c r="BI7" s="337"/>
      <c r="BJ7" s="337"/>
      <c r="BK7" s="337"/>
      <c r="BL7" s="341"/>
      <c r="BM7" s="341"/>
      <c r="BN7" s="7">
        <v>1.9675925925925926E-4</v>
      </c>
      <c r="BO7" s="329"/>
      <c r="CJ7" s="452" t="str">
        <f t="shared" si="8"/>
        <v>-</v>
      </c>
      <c r="CK7" s="452" t="str">
        <f t="shared" si="9"/>
        <v>-</v>
      </c>
      <c r="CM7" s="327" t="str">
        <f t="shared" si="10"/>
        <v>-</v>
      </c>
      <c r="CN7" s="453" t="str">
        <f t="shared" si="11"/>
        <v>-</v>
      </c>
      <c r="CP7" s="441">
        <v>55</v>
      </c>
      <c r="CQ7" s="339">
        <v>3.3564814814814812E-4</v>
      </c>
      <c r="CR7" s="337" t="s">
        <v>11509</v>
      </c>
      <c r="CS7" s="337" t="s">
        <v>125</v>
      </c>
      <c r="CT7" s="337" t="b">
        <v>0</v>
      </c>
      <c r="CU7" s="337"/>
      <c r="CV7" s="337" t="b">
        <v>0</v>
      </c>
      <c r="CW7" s="337" t="b">
        <v>0</v>
      </c>
      <c r="CX7" t="s">
        <v>940</v>
      </c>
      <c r="CZ7" s="337"/>
      <c r="DA7" s="408" t="str">
        <f t="shared" si="12"/>
        <v>-</v>
      </c>
      <c r="DB7" s="408" t="str">
        <f t="shared" si="13"/>
        <v>-</v>
      </c>
      <c r="DC7" s="337"/>
      <c r="DD7" s="408" t="str">
        <f t="shared" si="14"/>
        <v>-</v>
      </c>
      <c r="DE7" s="408" t="str">
        <f t="shared" si="15"/>
        <v>-</v>
      </c>
      <c r="DF7" s="340"/>
      <c r="DG7" s="337"/>
      <c r="DH7" s="337"/>
      <c r="DI7" t="s">
        <v>9801</v>
      </c>
      <c r="DJ7" s="337">
        <v>4</v>
      </c>
      <c r="DK7" s="408">
        <f t="shared" si="16"/>
        <v>0</v>
      </c>
      <c r="DL7" s="408">
        <f t="shared" si="17"/>
        <v>1</v>
      </c>
      <c r="DM7" s="337"/>
      <c r="DN7" s="337"/>
      <c r="DO7" s="337"/>
      <c r="DP7" s="337"/>
      <c r="DQ7" s="341"/>
      <c r="DR7" s="452" t="str">
        <f t="shared" si="29"/>
        <v>-</v>
      </c>
      <c r="DS7" s="452" t="str">
        <f t="shared" si="18"/>
        <v>-</v>
      </c>
      <c r="DT7" s="341"/>
      <c r="DU7" s="452" t="str">
        <f t="shared" si="19"/>
        <v>-</v>
      </c>
      <c r="DV7" s="452" t="str">
        <f t="shared" si="20"/>
        <v>-</v>
      </c>
      <c r="DW7" s="339">
        <v>5.9027777777777778E-4</v>
      </c>
      <c r="DX7" s="329"/>
    </row>
    <row r="8" spans="1:128" ht="16" x14ac:dyDescent="0.2">
      <c r="A8" s="2" t="s">
        <v>11755</v>
      </c>
      <c r="B8" s="2">
        <v>77</v>
      </c>
      <c r="C8" s="2" t="str">
        <f t="shared" si="21"/>
        <v/>
      </c>
      <c r="D8" s="2" t="s">
        <v>11795</v>
      </c>
      <c r="E8" s="2" t="s">
        <v>11536</v>
      </c>
      <c r="F8" s="2" t="s">
        <v>266</v>
      </c>
      <c r="G8" s="2" t="s">
        <v>35</v>
      </c>
      <c r="H8" s="2">
        <v>3.5</v>
      </c>
      <c r="I8" s="2" t="s">
        <v>11754</v>
      </c>
      <c r="J8" s="2" t="s">
        <v>35</v>
      </c>
      <c r="K8" s="2" t="str">
        <f t="shared" si="22"/>
        <v/>
      </c>
      <c r="L8" s="2" t="s">
        <v>35</v>
      </c>
      <c r="M8" s="2" t="str">
        <f t="shared" si="23"/>
        <v/>
      </c>
      <c r="N8" s="2" t="s">
        <v>35</v>
      </c>
      <c r="O8" s="2" t="str">
        <f t="shared" si="24"/>
        <v/>
      </c>
      <c r="P8" s="2" t="s">
        <v>35</v>
      </c>
      <c r="Q8" s="2" t="str">
        <f t="shared" si="25"/>
        <v/>
      </c>
      <c r="R8" s="2" t="s">
        <v>11753</v>
      </c>
      <c r="S8" s="2"/>
      <c r="T8" s="2" t="str">
        <f t="shared" si="26"/>
        <v/>
      </c>
      <c r="U8" s="2" t="s">
        <v>35</v>
      </c>
      <c r="V8" s="2" t="str">
        <f t="shared" si="27"/>
        <v/>
      </c>
      <c r="W8" s="3"/>
      <c r="X8" s="2" t="s">
        <v>11535</v>
      </c>
      <c r="Y8" s="2" t="s">
        <v>31</v>
      </c>
      <c r="Z8" s="2" t="s">
        <v>11752</v>
      </c>
      <c r="AA8" s="2" t="s">
        <v>11751</v>
      </c>
      <c r="AB8" s="2" t="s">
        <v>11532</v>
      </c>
      <c r="AC8" s="2">
        <v>58117</v>
      </c>
      <c r="AD8" s="2" t="s">
        <v>11750</v>
      </c>
      <c r="AE8" s="11">
        <v>43352.45894675926</v>
      </c>
      <c r="AF8" s="11">
        <v>43352.459386574075</v>
      </c>
      <c r="AG8" s="278">
        <v>0</v>
      </c>
      <c r="AH8" s="277">
        <f t="shared" si="0"/>
        <v>4.398148157633841E-4</v>
      </c>
      <c r="AI8" s="277">
        <f t="shared" si="28"/>
        <v>6.8287036992842332E-4</v>
      </c>
      <c r="AJ8" s="276">
        <v>43352.454861111109</v>
      </c>
      <c r="AK8" s="275" t="str">
        <f t="shared" si="1"/>
        <v>https://captureandgo.cloudlab.zhaw.ch/images/images-1662800467845-100003888.jpg</v>
      </c>
      <c r="AW8" s="408" t="str">
        <f t="shared" si="2"/>
        <v>-</v>
      </c>
      <c r="AX8" s="408" t="str">
        <f t="shared" si="3"/>
        <v>-</v>
      </c>
      <c r="AZ8" s="342" t="str">
        <f t="shared" si="4"/>
        <v>-</v>
      </c>
      <c r="BA8" s="408" t="str">
        <f t="shared" si="5"/>
        <v>-</v>
      </c>
      <c r="BF8" s="408" t="str">
        <f t="shared" si="6"/>
        <v>-</v>
      </c>
      <c r="BG8" s="408" t="str">
        <f t="shared" si="7"/>
        <v>-</v>
      </c>
      <c r="BO8" s="329"/>
      <c r="CJ8" s="452" t="str">
        <f t="shared" si="8"/>
        <v>-</v>
      </c>
      <c r="CK8" s="452" t="str">
        <f t="shared" si="9"/>
        <v>-</v>
      </c>
      <c r="CM8" s="327" t="str">
        <f t="shared" si="10"/>
        <v>-</v>
      </c>
      <c r="CN8" s="453" t="str">
        <f t="shared" si="11"/>
        <v>-</v>
      </c>
      <c r="CP8" s="329"/>
      <c r="DA8" s="408" t="str">
        <f t="shared" si="12"/>
        <v>-</v>
      </c>
      <c r="DB8" s="408" t="str">
        <f t="shared" si="13"/>
        <v>-</v>
      </c>
      <c r="DD8" s="408" t="str">
        <f t="shared" si="14"/>
        <v>-</v>
      </c>
      <c r="DE8" s="408" t="str">
        <f t="shared" si="15"/>
        <v>-</v>
      </c>
      <c r="DI8" t="s">
        <v>9801</v>
      </c>
      <c r="DK8" s="408" t="str">
        <f t="shared" si="16"/>
        <v>-</v>
      </c>
      <c r="DL8" s="408" t="str">
        <f t="shared" si="17"/>
        <v>-</v>
      </c>
      <c r="DR8" s="452" t="str">
        <f t="shared" si="29"/>
        <v>-</v>
      </c>
      <c r="DS8" s="452" t="str">
        <f t="shared" si="18"/>
        <v>-</v>
      </c>
      <c r="DU8" s="452" t="str">
        <f t="shared" si="19"/>
        <v>-</v>
      </c>
      <c r="DV8" s="452" t="str">
        <f t="shared" si="20"/>
        <v>-</v>
      </c>
      <c r="DX8" s="329"/>
    </row>
    <row r="9" spans="1:128" ht="16" x14ac:dyDescent="0.2">
      <c r="A9" s="2" t="s">
        <v>11749</v>
      </c>
      <c r="B9" s="2">
        <v>78</v>
      </c>
      <c r="C9" s="2" t="str">
        <f t="shared" si="21"/>
        <v/>
      </c>
      <c r="D9" s="2" t="s">
        <v>11796</v>
      </c>
      <c r="E9" s="2" t="s">
        <v>11536</v>
      </c>
      <c r="F9" s="2" t="s">
        <v>37</v>
      </c>
      <c r="G9" s="2" t="s">
        <v>35</v>
      </c>
      <c r="H9" s="2" t="s">
        <v>35</v>
      </c>
      <c r="I9" s="2" t="s">
        <v>35</v>
      </c>
      <c r="J9" s="2" t="s">
        <v>35</v>
      </c>
      <c r="K9" s="2" t="str">
        <f t="shared" si="22"/>
        <v/>
      </c>
      <c r="L9" s="2" t="s">
        <v>35</v>
      </c>
      <c r="M9" s="2" t="str">
        <f t="shared" si="23"/>
        <v/>
      </c>
      <c r="N9" s="2">
        <v>2</v>
      </c>
      <c r="O9" s="2" t="str">
        <f t="shared" si="24"/>
        <v/>
      </c>
      <c r="P9" s="2" t="s">
        <v>35</v>
      </c>
      <c r="Q9" s="2" t="str">
        <f t="shared" si="25"/>
        <v/>
      </c>
      <c r="R9" s="2" t="s">
        <v>35</v>
      </c>
      <c r="S9" s="2"/>
      <c r="T9" s="2" t="str">
        <f t="shared" si="26"/>
        <v/>
      </c>
      <c r="U9" s="2" t="s">
        <v>35</v>
      </c>
      <c r="V9" s="2" t="str">
        <f t="shared" si="27"/>
        <v/>
      </c>
      <c r="W9" s="3"/>
      <c r="X9" s="2" t="s">
        <v>11535</v>
      </c>
      <c r="Y9" s="2" t="s">
        <v>31</v>
      </c>
      <c r="Z9" s="2" t="s">
        <v>11748</v>
      </c>
      <c r="AA9" s="2" t="s">
        <v>11747</v>
      </c>
      <c r="AB9" s="2" t="s">
        <v>11532</v>
      </c>
      <c r="AC9" s="2">
        <v>52682</v>
      </c>
      <c r="AD9" s="2" t="s">
        <v>11746</v>
      </c>
      <c r="AE9" s="11">
        <v>43352.460034722222</v>
      </c>
      <c r="AF9" s="11">
        <v>43352.460243055553</v>
      </c>
      <c r="AG9" s="278">
        <v>0</v>
      </c>
      <c r="AH9" s="277">
        <f t="shared" si="0"/>
        <v>2.0833333110203966E-4</v>
      </c>
      <c r="AI9" s="277">
        <f t="shared" si="28"/>
        <v>8.5648147796746343E-4</v>
      </c>
      <c r="AJ9" s="276">
        <v>43352.454861111109</v>
      </c>
      <c r="AK9" s="275" t="str">
        <f t="shared" si="1"/>
        <v>https://captureandgo.cloudlab.zhaw.ch/images/images-1662800555113-715358323.jpg</v>
      </c>
      <c r="AW9" s="408" t="str">
        <f t="shared" si="2"/>
        <v>-</v>
      </c>
      <c r="AX9" s="408" t="str">
        <f t="shared" si="3"/>
        <v>-</v>
      </c>
      <c r="AZ9" s="342" t="str">
        <f t="shared" si="4"/>
        <v>-</v>
      </c>
      <c r="BA9" s="408" t="str">
        <f t="shared" si="5"/>
        <v>-</v>
      </c>
      <c r="BF9" s="408" t="str">
        <f t="shared" si="6"/>
        <v>-</v>
      </c>
      <c r="BG9" s="408" t="str">
        <f t="shared" si="7"/>
        <v>-</v>
      </c>
      <c r="BO9" s="329"/>
      <c r="CJ9" s="452" t="str">
        <f t="shared" si="8"/>
        <v>-</v>
      </c>
      <c r="CK9" s="452" t="str">
        <f t="shared" si="9"/>
        <v>-</v>
      </c>
      <c r="CM9" s="327" t="str">
        <f t="shared" si="10"/>
        <v>-</v>
      </c>
      <c r="CN9" s="453" t="str">
        <f t="shared" si="11"/>
        <v>-</v>
      </c>
      <c r="CP9" s="329"/>
      <c r="DA9" s="408" t="str">
        <f t="shared" si="12"/>
        <v>-</v>
      </c>
      <c r="DB9" s="408" t="str">
        <f t="shared" si="13"/>
        <v>-</v>
      </c>
      <c r="DD9" s="408" t="str">
        <f t="shared" si="14"/>
        <v>-</v>
      </c>
      <c r="DE9" s="408" t="str">
        <f t="shared" si="15"/>
        <v>-</v>
      </c>
      <c r="DI9" t="s">
        <v>9801</v>
      </c>
      <c r="DK9" s="408" t="str">
        <f t="shared" si="16"/>
        <v>-</v>
      </c>
      <c r="DL9" s="408" t="str">
        <f t="shared" si="17"/>
        <v>-</v>
      </c>
      <c r="DR9" s="452" t="str">
        <f t="shared" si="29"/>
        <v>-</v>
      </c>
      <c r="DS9" s="452" t="str">
        <f t="shared" si="18"/>
        <v>-</v>
      </c>
      <c r="DU9" s="452" t="str">
        <f t="shared" si="19"/>
        <v>-</v>
      </c>
      <c r="DV9" s="452" t="str">
        <f t="shared" si="20"/>
        <v>-</v>
      </c>
      <c r="DX9" s="329"/>
    </row>
    <row r="10" spans="1:128" ht="16" x14ac:dyDescent="0.2">
      <c r="A10" s="2" t="s">
        <v>11745</v>
      </c>
      <c r="B10" s="2">
        <v>79</v>
      </c>
      <c r="C10" s="2" t="str">
        <f t="shared" si="21"/>
        <v>x</v>
      </c>
      <c r="D10" s="2" t="s">
        <v>11797</v>
      </c>
      <c r="E10" s="2" t="s">
        <v>11536</v>
      </c>
      <c r="F10" s="2" t="s">
        <v>125</v>
      </c>
      <c r="G10" s="2" t="s">
        <v>35</v>
      </c>
      <c r="H10" s="2" t="s">
        <v>35</v>
      </c>
      <c r="I10" s="2" t="s">
        <v>675</v>
      </c>
      <c r="J10" s="2" t="s">
        <v>35</v>
      </c>
      <c r="K10" s="2" t="str">
        <f t="shared" si="22"/>
        <v/>
      </c>
      <c r="L10" s="2" t="s">
        <v>35</v>
      </c>
      <c r="M10" s="2" t="str">
        <f t="shared" si="23"/>
        <v/>
      </c>
      <c r="N10" s="2" t="s">
        <v>35</v>
      </c>
      <c r="O10" s="2" t="str">
        <f t="shared" si="24"/>
        <v/>
      </c>
      <c r="P10" s="2">
        <v>4</v>
      </c>
      <c r="Q10" s="2" t="str">
        <f t="shared" si="25"/>
        <v>x</v>
      </c>
      <c r="R10" s="2" t="s">
        <v>35</v>
      </c>
      <c r="S10" s="2"/>
      <c r="T10" s="2" t="str">
        <f t="shared" si="26"/>
        <v/>
      </c>
      <c r="U10" s="2" t="s">
        <v>35</v>
      </c>
      <c r="V10" s="2" t="str">
        <f t="shared" si="27"/>
        <v/>
      </c>
      <c r="W10" s="3"/>
      <c r="X10" s="2" t="s">
        <v>11535</v>
      </c>
      <c r="Y10" s="2" t="s">
        <v>31</v>
      </c>
      <c r="Z10" s="2" t="s">
        <v>11744</v>
      </c>
      <c r="AA10" s="2" t="s">
        <v>11743</v>
      </c>
      <c r="AB10" s="2" t="s">
        <v>11532</v>
      </c>
      <c r="AC10" s="2">
        <v>60364</v>
      </c>
      <c r="AD10" s="2" t="s">
        <v>11742</v>
      </c>
      <c r="AE10" s="11">
        <v>43352.462743055556</v>
      </c>
      <c r="AF10" s="11">
        <v>43352.46292824074</v>
      </c>
      <c r="AG10" s="278">
        <v>0</v>
      </c>
      <c r="AH10" s="277">
        <f t="shared" si="0"/>
        <v>1.8518518481869251E-4</v>
      </c>
      <c r="AI10" s="277">
        <f t="shared" si="28"/>
        <v>2.6851851871469989E-3</v>
      </c>
      <c r="AJ10" s="276">
        <v>43352.454861111109</v>
      </c>
      <c r="AK10" s="275" t="str">
        <f t="shared" si="1"/>
        <v>https://captureandgo.cloudlab.zhaw.ch/images/images-1662800788208-844036873.jpg</v>
      </c>
      <c r="AL10">
        <v>14</v>
      </c>
      <c r="AM10" s="7">
        <v>1.5277777777777779E-3</v>
      </c>
      <c r="AN10" s="110" t="s">
        <v>11463</v>
      </c>
      <c r="AO10" t="s">
        <v>125</v>
      </c>
      <c r="AP10" t="b">
        <v>0</v>
      </c>
      <c r="AR10" t="b">
        <v>0</v>
      </c>
      <c r="AS10" t="s">
        <v>11384</v>
      </c>
      <c r="AT10" t="s">
        <v>940</v>
      </c>
      <c r="AW10" s="408" t="str">
        <f t="shared" si="2"/>
        <v>-</v>
      </c>
      <c r="AX10" s="408" t="str">
        <f t="shared" si="3"/>
        <v>-</v>
      </c>
      <c r="AZ10" s="342" t="str">
        <f t="shared" si="4"/>
        <v>-</v>
      </c>
      <c r="BA10" s="408" t="str">
        <f t="shared" si="5"/>
        <v>-</v>
      </c>
      <c r="BB10" s="28"/>
      <c r="BE10">
        <v>4</v>
      </c>
      <c r="BF10" s="408">
        <f t="shared" si="6"/>
        <v>0</v>
      </c>
      <c r="BG10" s="408">
        <f t="shared" si="7"/>
        <v>1</v>
      </c>
      <c r="BH10" s="337"/>
      <c r="BI10" s="337"/>
      <c r="BJ10" s="337"/>
      <c r="BK10" s="337"/>
      <c r="BL10" s="341"/>
      <c r="BM10" s="341"/>
      <c r="BN10" s="7">
        <v>1.8518518518518518E-4</v>
      </c>
      <c r="BO10" s="329"/>
      <c r="CJ10" s="452" t="str">
        <f t="shared" si="8"/>
        <v>-</v>
      </c>
      <c r="CK10" s="452" t="str">
        <f t="shared" si="9"/>
        <v>-</v>
      </c>
      <c r="CM10" s="327" t="str">
        <f t="shared" si="10"/>
        <v>-</v>
      </c>
      <c r="CN10" s="453" t="str">
        <f t="shared" si="11"/>
        <v>-</v>
      </c>
      <c r="CP10" s="441">
        <v>54</v>
      </c>
      <c r="CQ10" s="339">
        <v>5.4398148148148144E-4</v>
      </c>
      <c r="CR10" s="337" t="s">
        <v>11508</v>
      </c>
      <c r="CS10" s="337" t="s">
        <v>125</v>
      </c>
      <c r="CT10" s="337" t="b">
        <v>0</v>
      </c>
      <c r="CU10" s="337"/>
      <c r="CV10" s="337" t="b">
        <v>0</v>
      </c>
      <c r="CW10" s="337" t="b">
        <v>0</v>
      </c>
      <c r="CX10" t="s">
        <v>940</v>
      </c>
      <c r="CZ10" s="337"/>
      <c r="DA10" s="408" t="str">
        <f t="shared" si="12"/>
        <v>-</v>
      </c>
      <c r="DB10" s="408" t="str">
        <f t="shared" si="13"/>
        <v>-</v>
      </c>
      <c r="DC10" s="337"/>
      <c r="DD10" s="408" t="str">
        <f t="shared" si="14"/>
        <v>-</v>
      </c>
      <c r="DE10" s="408" t="str">
        <f t="shared" si="15"/>
        <v>-</v>
      </c>
      <c r="DF10" s="340"/>
      <c r="DG10" s="337"/>
      <c r="DH10" s="337"/>
      <c r="DI10" t="s">
        <v>9801</v>
      </c>
      <c r="DJ10" s="337">
        <v>5</v>
      </c>
      <c r="DK10" s="408">
        <f t="shared" si="16"/>
        <v>0.25</v>
      </c>
      <c r="DL10" s="408">
        <f t="shared" si="17"/>
        <v>0.75</v>
      </c>
      <c r="DM10" s="337"/>
      <c r="DN10" s="337"/>
      <c r="DO10" s="337"/>
      <c r="DP10" s="337"/>
      <c r="DQ10" s="341"/>
      <c r="DR10" s="452" t="str">
        <f t="shared" si="29"/>
        <v>-</v>
      </c>
      <c r="DS10" s="452" t="str">
        <f t="shared" si="18"/>
        <v>-</v>
      </c>
      <c r="DT10" s="341"/>
      <c r="DU10" s="452" t="str">
        <f t="shared" si="19"/>
        <v>-</v>
      </c>
      <c r="DV10" s="452" t="str">
        <f t="shared" si="20"/>
        <v>-</v>
      </c>
      <c r="DW10" s="339">
        <v>2.5462962962962961E-4</v>
      </c>
      <c r="DX10" s="329"/>
    </row>
    <row r="11" spans="1:128" ht="16" x14ac:dyDescent="0.2">
      <c r="A11" s="2" t="s">
        <v>11741</v>
      </c>
      <c r="B11" s="2">
        <v>80</v>
      </c>
      <c r="C11" s="2" t="str">
        <f t="shared" si="21"/>
        <v>x</v>
      </c>
      <c r="D11" s="2" t="s">
        <v>11798</v>
      </c>
      <c r="E11" s="2" t="s">
        <v>11536</v>
      </c>
      <c r="F11" s="2" t="s">
        <v>37</v>
      </c>
      <c r="G11" s="2" t="s">
        <v>35</v>
      </c>
      <c r="H11" s="2" t="s">
        <v>35</v>
      </c>
      <c r="I11" s="2" t="s">
        <v>35</v>
      </c>
      <c r="J11" s="2" t="s">
        <v>35</v>
      </c>
      <c r="K11" s="2" t="str">
        <f t="shared" si="22"/>
        <v/>
      </c>
      <c r="L11" s="2" t="s">
        <v>35</v>
      </c>
      <c r="M11" s="2" t="str">
        <f t="shared" si="23"/>
        <v/>
      </c>
      <c r="N11" s="2">
        <v>4</v>
      </c>
      <c r="O11" s="2" t="str">
        <f t="shared" si="24"/>
        <v>x</v>
      </c>
      <c r="P11" s="2" t="s">
        <v>35</v>
      </c>
      <c r="Q11" s="2" t="str">
        <f t="shared" si="25"/>
        <v/>
      </c>
      <c r="R11" s="2" t="s">
        <v>35</v>
      </c>
      <c r="S11" s="2"/>
      <c r="T11" s="2" t="str">
        <f t="shared" si="26"/>
        <v/>
      </c>
      <c r="U11" s="2" t="s">
        <v>35</v>
      </c>
      <c r="V11" s="2" t="str">
        <f t="shared" si="27"/>
        <v/>
      </c>
      <c r="W11" s="3"/>
      <c r="X11" s="2" t="s">
        <v>11535</v>
      </c>
      <c r="Y11" s="2" t="s">
        <v>31</v>
      </c>
      <c r="Z11" s="2" t="s">
        <v>11740</v>
      </c>
      <c r="AA11" s="2" t="s">
        <v>11739</v>
      </c>
      <c r="AB11" s="2" t="s">
        <v>11532</v>
      </c>
      <c r="AC11" s="2">
        <v>55066</v>
      </c>
      <c r="AD11" s="2" t="s">
        <v>11738</v>
      </c>
      <c r="AE11" s="11">
        <v>43352.463645833333</v>
      </c>
      <c r="AF11" s="11">
        <v>43352.463773148149</v>
      </c>
      <c r="AG11" s="278">
        <v>0</v>
      </c>
      <c r="AH11" s="277">
        <f t="shared" si="0"/>
        <v>1.273148154723458E-4</v>
      </c>
      <c r="AI11" s="277">
        <f t="shared" si="28"/>
        <v>8.4490740846376866E-4</v>
      </c>
      <c r="AJ11" s="276">
        <v>43352.454861111109</v>
      </c>
      <c r="AK11" s="275" t="str">
        <f t="shared" si="1"/>
        <v>https://captureandgo.cloudlab.zhaw.ch/images/images-1662800867136-91709431.jpg</v>
      </c>
      <c r="AW11" s="408" t="str">
        <f t="shared" si="2"/>
        <v>-</v>
      </c>
      <c r="AX11" s="408" t="str">
        <f t="shared" si="3"/>
        <v>-</v>
      </c>
      <c r="AZ11" s="342" t="str">
        <f t="shared" si="4"/>
        <v>-</v>
      </c>
      <c r="BA11" s="408" t="str">
        <f t="shared" si="5"/>
        <v>-</v>
      </c>
      <c r="BF11" s="408" t="str">
        <f t="shared" si="6"/>
        <v>-</v>
      </c>
      <c r="BG11" s="408" t="str">
        <f t="shared" si="7"/>
        <v>-</v>
      </c>
      <c r="BO11" s="441">
        <v>32</v>
      </c>
      <c r="BP11" s="339">
        <v>0</v>
      </c>
      <c r="BQ11" s="337" t="s">
        <v>11488</v>
      </c>
      <c r="BR11" t="s">
        <v>37</v>
      </c>
      <c r="BS11" s="337"/>
      <c r="BT11" s="337"/>
      <c r="BU11" s="337"/>
      <c r="BV11" s="337"/>
      <c r="BW11" s="337"/>
      <c r="BX11" s="337"/>
      <c r="BY11" s="337"/>
      <c r="BZ11" s="337"/>
      <c r="CA11" s="340"/>
      <c r="CB11" s="337"/>
      <c r="CC11" s="337"/>
      <c r="CD11" s="337"/>
      <c r="CE11" s="337">
        <v>348.77</v>
      </c>
      <c r="CF11" s="337">
        <v>13.82</v>
      </c>
      <c r="CG11" s="337">
        <v>13.88</v>
      </c>
      <c r="CH11" s="337">
        <v>0.52</v>
      </c>
      <c r="CI11" s="467">
        <v>2</v>
      </c>
      <c r="CJ11" s="327" t="str">
        <f t="shared" si="8"/>
        <v>-</v>
      </c>
      <c r="CK11" s="327" t="str">
        <f t="shared" si="9"/>
        <v>-</v>
      </c>
      <c r="CL11" s="341">
        <v>2</v>
      </c>
      <c r="CM11" s="327">
        <f t="shared" si="10"/>
        <v>0.5</v>
      </c>
      <c r="CN11" s="453">
        <f t="shared" si="11"/>
        <v>0.5</v>
      </c>
      <c r="CO11" s="339">
        <v>4.9768518518518521E-4</v>
      </c>
      <c r="CP11" s="329"/>
      <c r="DA11" s="408" t="str">
        <f t="shared" si="12"/>
        <v>-</v>
      </c>
      <c r="DB11" s="408" t="str">
        <f t="shared" si="13"/>
        <v>-</v>
      </c>
      <c r="DD11" s="408" t="str">
        <f t="shared" si="14"/>
        <v>-</v>
      </c>
      <c r="DE11" s="408" t="str">
        <f t="shared" si="15"/>
        <v>-</v>
      </c>
      <c r="DI11" t="s">
        <v>9801</v>
      </c>
      <c r="DK11" s="408" t="str">
        <f t="shared" si="16"/>
        <v>-</v>
      </c>
      <c r="DL11" s="408" t="str">
        <f t="shared" si="17"/>
        <v>-</v>
      </c>
      <c r="DR11" s="452" t="str">
        <f t="shared" si="29"/>
        <v>-</v>
      </c>
      <c r="DS11" s="452" t="str">
        <f t="shared" si="18"/>
        <v>-</v>
      </c>
      <c r="DU11" s="452" t="str">
        <f t="shared" si="19"/>
        <v>-</v>
      </c>
      <c r="DV11" s="452" t="str">
        <f t="shared" si="20"/>
        <v>-</v>
      </c>
      <c r="DX11" s="329"/>
    </row>
    <row r="12" spans="1:128" ht="16" x14ac:dyDescent="0.2">
      <c r="A12" s="2" t="s">
        <v>11737</v>
      </c>
      <c r="B12" s="2">
        <v>81</v>
      </c>
      <c r="C12" s="2" t="str">
        <f t="shared" si="21"/>
        <v>x</v>
      </c>
      <c r="D12" s="2" t="s">
        <v>11799</v>
      </c>
      <c r="E12" s="2" t="s">
        <v>11536</v>
      </c>
      <c r="F12" s="2" t="s">
        <v>125</v>
      </c>
      <c r="G12" s="2" t="s">
        <v>35</v>
      </c>
      <c r="H12" s="2" t="s">
        <v>35</v>
      </c>
      <c r="I12" s="2" t="s">
        <v>675</v>
      </c>
      <c r="J12" s="2" t="s">
        <v>35</v>
      </c>
      <c r="K12" s="2" t="str">
        <f t="shared" si="22"/>
        <v/>
      </c>
      <c r="L12" s="2" t="s">
        <v>35</v>
      </c>
      <c r="M12" s="2" t="str">
        <f t="shared" si="23"/>
        <v/>
      </c>
      <c r="N12" s="2" t="s">
        <v>35</v>
      </c>
      <c r="O12" s="2" t="str">
        <f t="shared" si="24"/>
        <v/>
      </c>
      <c r="P12" s="2">
        <v>4</v>
      </c>
      <c r="Q12" s="2" t="str">
        <f t="shared" si="25"/>
        <v>x</v>
      </c>
      <c r="R12" s="2" t="s">
        <v>35</v>
      </c>
      <c r="S12" s="2"/>
      <c r="T12" s="2" t="str">
        <f t="shared" si="26"/>
        <v/>
      </c>
      <c r="U12" s="2" t="s">
        <v>35</v>
      </c>
      <c r="V12" s="2" t="str">
        <f t="shared" si="27"/>
        <v/>
      </c>
      <c r="W12" s="3"/>
      <c r="X12" s="2" t="s">
        <v>11535</v>
      </c>
      <c r="Y12" s="2" t="s">
        <v>31</v>
      </c>
      <c r="Z12" s="2" t="s">
        <v>11736</v>
      </c>
      <c r="AA12" s="2" t="s">
        <v>11735</v>
      </c>
      <c r="AB12" s="2" t="s">
        <v>11532</v>
      </c>
      <c r="AC12" s="2">
        <v>50533</v>
      </c>
      <c r="AD12" s="2" t="s">
        <v>11734</v>
      </c>
      <c r="AE12" s="11">
        <v>43352.464305555557</v>
      </c>
      <c r="AF12" s="11">
        <v>43352.464456018519</v>
      </c>
      <c r="AG12" s="278">
        <v>0</v>
      </c>
      <c r="AH12" s="277">
        <f t="shared" si="0"/>
        <v>1.5046296175569296E-4</v>
      </c>
      <c r="AI12" s="277">
        <f t="shared" si="28"/>
        <v>6.8287036992842332E-4</v>
      </c>
      <c r="AJ12" s="276">
        <v>43352.454861111109</v>
      </c>
      <c r="AK12" s="275" t="str">
        <f t="shared" si="1"/>
        <v>https://captureandgo.cloudlab.zhaw.ch/images/images-1662800922841-647536447.jpg</v>
      </c>
      <c r="AL12">
        <v>13</v>
      </c>
      <c r="AM12" s="7">
        <v>7.8703703703703705E-4</v>
      </c>
      <c r="AN12" s="110" t="s">
        <v>11462</v>
      </c>
      <c r="AO12" t="s">
        <v>125</v>
      </c>
      <c r="AP12" t="b">
        <v>0</v>
      </c>
      <c r="AR12" t="b">
        <v>0</v>
      </c>
      <c r="AS12" t="s">
        <v>11384</v>
      </c>
      <c r="AT12" t="s">
        <v>940</v>
      </c>
      <c r="AW12" s="408" t="str">
        <f t="shared" si="2"/>
        <v>-</v>
      </c>
      <c r="AX12" s="408" t="str">
        <f t="shared" si="3"/>
        <v>-</v>
      </c>
      <c r="AZ12" s="342" t="str">
        <f t="shared" si="4"/>
        <v>-</v>
      </c>
      <c r="BA12" s="408" t="str">
        <f t="shared" si="5"/>
        <v>-</v>
      </c>
      <c r="BB12" s="28"/>
      <c r="BE12">
        <v>4</v>
      </c>
      <c r="BF12" s="408">
        <f t="shared" si="6"/>
        <v>0</v>
      </c>
      <c r="BG12" s="408">
        <f t="shared" si="7"/>
        <v>1</v>
      </c>
      <c r="BN12" s="7">
        <v>1.9675925925925926E-4</v>
      </c>
      <c r="BO12" s="329"/>
      <c r="CJ12" s="452" t="str">
        <f t="shared" si="8"/>
        <v>-</v>
      </c>
      <c r="CK12" s="452" t="str">
        <f t="shared" si="9"/>
        <v>-</v>
      </c>
      <c r="CM12" s="327" t="str">
        <f t="shared" si="10"/>
        <v>-</v>
      </c>
      <c r="CN12" s="453" t="str">
        <f t="shared" si="11"/>
        <v>-</v>
      </c>
      <c r="CP12" s="329"/>
      <c r="DA12" s="408" t="str">
        <f t="shared" si="12"/>
        <v>-</v>
      </c>
      <c r="DB12" s="408" t="str">
        <f t="shared" si="13"/>
        <v>-</v>
      </c>
      <c r="DD12" s="408" t="str">
        <f t="shared" si="14"/>
        <v>-</v>
      </c>
      <c r="DE12" s="408" t="str">
        <f t="shared" si="15"/>
        <v>-</v>
      </c>
      <c r="DI12" t="s">
        <v>9801</v>
      </c>
      <c r="DK12" s="408" t="str">
        <f t="shared" si="16"/>
        <v>-</v>
      </c>
      <c r="DL12" s="408" t="str">
        <f t="shared" si="17"/>
        <v>-</v>
      </c>
      <c r="DR12" s="452" t="str">
        <f t="shared" si="29"/>
        <v>-</v>
      </c>
      <c r="DS12" s="452" t="str">
        <f t="shared" si="18"/>
        <v>-</v>
      </c>
      <c r="DU12" s="452" t="str">
        <f t="shared" si="19"/>
        <v>-</v>
      </c>
      <c r="DV12" s="452" t="str">
        <f t="shared" si="20"/>
        <v>-</v>
      </c>
      <c r="DX12" s="329"/>
    </row>
    <row r="13" spans="1:128" ht="16" x14ac:dyDescent="0.2">
      <c r="A13" s="2" t="s">
        <v>11733</v>
      </c>
      <c r="B13" s="2">
        <v>82</v>
      </c>
      <c r="C13" s="2" t="str">
        <f t="shared" si="21"/>
        <v>x</v>
      </c>
      <c r="D13" s="2" t="s">
        <v>11800</v>
      </c>
      <c r="E13" s="2" t="s">
        <v>11536</v>
      </c>
      <c r="F13" s="2" t="s">
        <v>37</v>
      </c>
      <c r="G13" s="2" t="s">
        <v>35</v>
      </c>
      <c r="H13" s="2" t="s">
        <v>35</v>
      </c>
      <c r="I13" s="2" t="s">
        <v>35</v>
      </c>
      <c r="J13" s="2" t="s">
        <v>35</v>
      </c>
      <c r="K13" s="2" t="str">
        <f t="shared" si="22"/>
        <v/>
      </c>
      <c r="L13" s="2" t="s">
        <v>35</v>
      </c>
      <c r="M13" s="2" t="str">
        <f t="shared" si="23"/>
        <v/>
      </c>
      <c r="N13" s="2">
        <v>4</v>
      </c>
      <c r="O13" s="2" t="str">
        <f t="shared" si="24"/>
        <v>x</v>
      </c>
      <c r="P13" s="2" t="s">
        <v>35</v>
      </c>
      <c r="Q13" s="2" t="str">
        <f t="shared" si="25"/>
        <v/>
      </c>
      <c r="R13" s="2" t="s">
        <v>35</v>
      </c>
      <c r="S13" s="2"/>
      <c r="T13" s="2" t="str">
        <f t="shared" si="26"/>
        <v/>
      </c>
      <c r="U13" s="2" t="s">
        <v>35</v>
      </c>
      <c r="V13" s="2" t="str">
        <f t="shared" si="27"/>
        <v/>
      </c>
      <c r="W13" s="3"/>
      <c r="X13" s="2" t="s">
        <v>11535</v>
      </c>
      <c r="Y13" s="2" t="s">
        <v>31</v>
      </c>
      <c r="Z13" s="2" t="s">
        <v>11732</v>
      </c>
      <c r="AA13" s="2" t="s">
        <v>11731</v>
      </c>
      <c r="AB13" s="2" t="s">
        <v>11532</v>
      </c>
      <c r="AC13" s="2">
        <v>48583</v>
      </c>
      <c r="AD13" s="2" t="s">
        <v>11730</v>
      </c>
      <c r="AE13" s="11">
        <v>43352.465092592596</v>
      </c>
      <c r="AF13" s="11">
        <v>43352.465208333335</v>
      </c>
      <c r="AG13" s="278">
        <v>0</v>
      </c>
      <c r="AH13" s="277">
        <f t="shared" si="0"/>
        <v>1.1574073869269341E-4</v>
      </c>
      <c r="AI13" s="277">
        <f t="shared" si="28"/>
        <v>7.5231481605442241E-4</v>
      </c>
      <c r="AJ13" s="276">
        <v>43352.454861111109</v>
      </c>
      <c r="AK13" s="275" t="str">
        <f t="shared" si="1"/>
        <v>https://captureandgo.cloudlab.zhaw.ch/images/images-1662800989810-650306592.jpg</v>
      </c>
      <c r="AW13" s="408" t="str">
        <f t="shared" si="2"/>
        <v>-</v>
      </c>
      <c r="AX13" s="408" t="str">
        <f t="shared" si="3"/>
        <v>-</v>
      </c>
      <c r="AZ13" s="342" t="str">
        <f t="shared" si="4"/>
        <v>-</v>
      </c>
      <c r="BA13" s="408" t="str">
        <f t="shared" si="5"/>
        <v>-</v>
      </c>
      <c r="BF13" s="408" t="str">
        <f t="shared" si="6"/>
        <v>-</v>
      </c>
      <c r="BG13" s="408" t="str">
        <f t="shared" si="7"/>
        <v>-</v>
      </c>
      <c r="BO13" s="441">
        <v>32</v>
      </c>
      <c r="BP13" s="339">
        <v>0</v>
      </c>
      <c r="BQ13" s="337" t="s">
        <v>11488</v>
      </c>
      <c r="BR13" t="s">
        <v>37</v>
      </c>
      <c r="BS13" s="337"/>
      <c r="BT13" s="337"/>
      <c r="BU13" s="337"/>
      <c r="BV13" s="337"/>
      <c r="BW13" s="337"/>
      <c r="BX13" s="337"/>
      <c r="BY13" s="337"/>
      <c r="BZ13" s="337"/>
      <c r="CA13" s="340"/>
      <c r="CB13" s="337"/>
      <c r="CC13" s="337"/>
      <c r="CD13" s="337"/>
      <c r="CE13" s="337">
        <v>348.77</v>
      </c>
      <c r="CF13" s="337">
        <v>13.82</v>
      </c>
      <c r="CG13" s="337">
        <v>13.88</v>
      </c>
      <c r="CH13" s="337">
        <v>0.52</v>
      </c>
      <c r="CI13" s="467">
        <v>2</v>
      </c>
      <c r="CJ13" s="327" t="str">
        <f t="shared" si="8"/>
        <v>-</v>
      </c>
      <c r="CK13" s="327" t="str">
        <f t="shared" si="9"/>
        <v>-</v>
      </c>
      <c r="CL13" s="341">
        <v>2</v>
      </c>
      <c r="CM13" s="327">
        <f t="shared" si="10"/>
        <v>0.5</v>
      </c>
      <c r="CN13" s="453">
        <f t="shared" si="11"/>
        <v>0.5</v>
      </c>
      <c r="CO13" s="339">
        <v>4.9768518518518521E-4</v>
      </c>
      <c r="CP13" s="329"/>
      <c r="DA13" s="408" t="str">
        <f t="shared" si="12"/>
        <v>-</v>
      </c>
      <c r="DB13" s="408" t="str">
        <f t="shared" si="13"/>
        <v>-</v>
      </c>
      <c r="DD13" s="408" t="str">
        <f t="shared" si="14"/>
        <v>-</v>
      </c>
      <c r="DE13" s="408" t="str">
        <f t="shared" si="15"/>
        <v>-</v>
      </c>
      <c r="DI13" t="s">
        <v>9801</v>
      </c>
      <c r="DK13" s="408" t="str">
        <f t="shared" si="16"/>
        <v>-</v>
      </c>
      <c r="DL13" s="408" t="str">
        <f t="shared" si="17"/>
        <v>-</v>
      </c>
      <c r="DR13" s="452" t="str">
        <f t="shared" si="29"/>
        <v>-</v>
      </c>
      <c r="DS13" s="452" t="str">
        <f t="shared" si="18"/>
        <v>-</v>
      </c>
      <c r="DU13" s="452" t="str">
        <f t="shared" si="19"/>
        <v>-</v>
      </c>
      <c r="DV13" s="452" t="str">
        <f t="shared" si="20"/>
        <v>-</v>
      </c>
      <c r="DX13" s="329"/>
    </row>
    <row r="14" spans="1:128" ht="16" x14ac:dyDescent="0.2">
      <c r="A14" s="2" t="s">
        <v>11729</v>
      </c>
      <c r="B14" s="2">
        <v>83</v>
      </c>
      <c r="C14" s="2" t="str">
        <f t="shared" si="21"/>
        <v>x</v>
      </c>
      <c r="D14" s="2" t="s">
        <v>11801</v>
      </c>
      <c r="E14" s="2" t="s">
        <v>11536</v>
      </c>
      <c r="F14" s="2" t="s">
        <v>37</v>
      </c>
      <c r="G14" s="2" t="s">
        <v>35</v>
      </c>
      <c r="H14" s="2" t="s">
        <v>35</v>
      </c>
      <c r="I14" s="2" t="s">
        <v>35</v>
      </c>
      <c r="J14" s="2" t="s">
        <v>35</v>
      </c>
      <c r="K14" s="2" t="str">
        <f t="shared" si="22"/>
        <v/>
      </c>
      <c r="L14" s="2" t="s">
        <v>35</v>
      </c>
      <c r="M14" s="2" t="str">
        <f t="shared" si="23"/>
        <v/>
      </c>
      <c r="N14" s="2">
        <v>2</v>
      </c>
      <c r="O14" s="2" t="str">
        <f t="shared" si="24"/>
        <v>x</v>
      </c>
      <c r="P14" s="2" t="s">
        <v>35</v>
      </c>
      <c r="Q14" s="2" t="str">
        <f t="shared" si="25"/>
        <v/>
      </c>
      <c r="R14" s="2" t="s">
        <v>35</v>
      </c>
      <c r="S14" s="2" t="s">
        <v>3516</v>
      </c>
      <c r="T14" s="2" t="str">
        <f t="shared" si="26"/>
        <v>x</v>
      </c>
      <c r="U14" s="2" t="s">
        <v>35</v>
      </c>
      <c r="V14" s="2" t="str">
        <f t="shared" si="27"/>
        <v/>
      </c>
      <c r="W14" s="3"/>
      <c r="X14" s="2" t="s">
        <v>11535</v>
      </c>
      <c r="Y14" s="2" t="s">
        <v>31</v>
      </c>
      <c r="Z14" s="2" t="s">
        <v>11728</v>
      </c>
      <c r="AA14" s="2" t="s">
        <v>11727</v>
      </c>
      <c r="AB14" s="2" t="s">
        <v>11532</v>
      </c>
      <c r="AC14" s="2">
        <v>69320</v>
      </c>
      <c r="AD14" s="2" t="s">
        <v>11726</v>
      </c>
      <c r="AE14" s="11">
        <v>43352.465844907405</v>
      </c>
      <c r="AF14" s="11">
        <v>43352.466354166667</v>
      </c>
      <c r="AG14" s="278">
        <v>0</v>
      </c>
      <c r="AH14" s="277">
        <f t="shared" si="0"/>
        <v>5.092592618893832E-4</v>
      </c>
      <c r="AI14" s="277">
        <f t="shared" si="28"/>
        <v>1.1458333319751546E-3</v>
      </c>
      <c r="AJ14" s="276">
        <v>43352.454861111109</v>
      </c>
      <c r="AK14" s="275" t="str">
        <f t="shared" si="1"/>
        <v>https://captureandgo.cloudlab.zhaw.ch/images/images-1662801085296-143482942.jpg</v>
      </c>
      <c r="AW14" s="408" t="str">
        <f t="shared" si="2"/>
        <v>-</v>
      </c>
      <c r="AX14" s="408" t="str">
        <f t="shared" si="3"/>
        <v>-</v>
      </c>
      <c r="AZ14" s="342" t="str">
        <f t="shared" si="4"/>
        <v>-</v>
      </c>
      <c r="BA14" s="408" t="str">
        <f t="shared" si="5"/>
        <v>-</v>
      </c>
      <c r="BF14" s="408" t="str">
        <f t="shared" si="6"/>
        <v>-</v>
      </c>
      <c r="BG14" s="408" t="str">
        <f t="shared" si="7"/>
        <v>-</v>
      </c>
      <c r="BH14" s="337"/>
      <c r="BI14" s="337"/>
      <c r="BJ14" s="337"/>
      <c r="BK14" s="337"/>
      <c r="BL14" s="341"/>
      <c r="BM14" s="341"/>
      <c r="BO14" s="441">
        <v>32</v>
      </c>
      <c r="BP14" s="339">
        <v>0</v>
      </c>
      <c r="BQ14" s="337" t="s">
        <v>11488</v>
      </c>
      <c r="BR14" t="s">
        <v>37</v>
      </c>
      <c r="BS14" s="337"/>
      <c r="BT14" s="337"/>
      <c r="BU14" s="337"/>
      <c r="BV14" s="337"/>
      <c r="BW14" s="337"/>
      <c r="BX14" s="337"/>
      <c r="BY14" s="337"/>
      <c r="BZ14" s="337"/>
      <c r="CA14" s="340"/>
      <c r="CB14" s="337"/>
      <c r="CC14" s="337"/>
      <c r="CD14" s="337"/>
      <c r="CE14" s="337">
        <v>348.77</v>
      </c>
      <c r="CF14" s="337">
        <v>13.82</v>
      </c>
      <c r="CG14" s="337">
        <v>13.88</v>
      </c>
      <c r="CH14" s="337">
        <v>0.52</v>
      </c>
      <c r="CI14" s="467">
        <v>2</v>
      </c>
      <c r="CJ14" s="327" t="str">
        <f t="shared" si="8"/>
        <v>-</v>
      </c>
      <c r="CK14" s="327" t="str">
        <f t="shared" si="9"/>
        <v>-</v>
      </c>
      <c r="CL14" s="341">
        <v>2</v>
      </c>
      <c r="CM14" s="327">
        <f t="shared" si="10"/>
        <v>0</v>
      </c>
      <c r="CN14" s="453">
        <f t="shared" si="11"/>
        <v>1</v>
      </c>
      <c r="CO14" s="339">
        <v>4.9768518518518521E-4</v>
      </c>
      <c r="CP14" s="441">
        <v>53</v>
      </c>
      <c r="CQ14" s="339">
        <v>6.5972222222222213E-4</v>
      </c>
      <c r="CR14" s="337" t="s">
        <v>11507</v>
      </c>
      <c r="CS14" s="337" t="s">
        <v>37</v>
      </c>
      <c r="CT14" s="337" t="b">
        <v>0</v>
      </c>
      <c r="CU14" s="337"/>
      <c r="CV14" s="337" t="b">
        <v>0</v>
      </c>
      <c r="CW14" s="337" t="b">
        <v>0</v>
      </c>
      <c r="CX14" s="337"/>
      <c r="CY14" s="337"/>
      <c r="CZ14" s="337"/>
      <c r="DA14" s="408" t="str">
        <f t="shared" si="12"/>
        <v>-</v>
      </c>
      <c r="DB14" s="408" t="str">
        <f t="shared" si="13"/>
        <v>-</v>
      </c>
      <c r="DC14" s="337"/>
      <c r="DD14" s="408" t="str">
        <f t="shared" si="14"/>
        <v>-</v>
      </c>
      <c r="DE14" s="408" t="str">
        <f t="shared" si="15"/>
        <v>-</v>
      </c>
      <c r="DF14" s="340"/>
      <c r="DG14" s="337"/>
      <c r="DH14" s="337" t="s">
        <v>9146</v>
      </c>
      <c r="DI14" s="453">
        <v>1</v>
      </c>
      <c r="DJ14" s="337"/>
      <c r="DK14" s="408" t="str">
        <f t="shared" si="16"/>
        <v>-</v>
      </c>
      <c r="DL14" s="408" t="str">
        <f t="shared" si="17"/>
        <v>-</v>
      </c>
      <c r="DM14" s="337"/>
      <c r="DN14" s="337"/>
      <c r="DO14" s="337"/>
      <c r="DP14" s="337"/>
      <c r="DQ14" s="341"/>
      <c r="DR14" s="452" t="str">
        <f t="shared" si="29"/>
        <v>-</v>
      </c>
      <c r="DS14" s="452" t="str">
        <f t="shared" si="18"/>
        <v>-</v>
      </c>
      <c r="DT14" s="341"/>
      <c r="DU14" s="452" t="str">
        <f t="shared" si="19"/>
        <v>-</v>
      </c>
      <c r="DV14" s="452" t="str">
        <f t="shared" si="20"/>
        <v>-</v>
      </c>
      <c r="DW14" s="339">
        <v>2.0833333333333335E-4</v>
      </c>
      <c r="DX14" s="329"/>
    </row>
    <row r="15" spans="1:128" ht="16" x14ac:dyDescent="0.2">
      <c r="A15" s="2" t="s">
        <v>11725</v>
      </c>
      <c r="B15" s="2">
        <v>84</v>
      </c>
      <c r="C15" s="2" t="str">
        <f t="shared" si="21"/>
        <v>x</v>
      </c>
      <c r="D15" s="2" t="s">
        <v>11802</v>
      </c>
      <c r="E15" s="2" t="s">
        <v>11536</v>
      </c>
      <c r="F15" s="2" t="s">
        <v>125</v>
      </c>
      <c r="G15" s="2" t="s">
        <v>35</v>
      </c>
      <c r="H15" s="2" t="s">
        <v>35</v>
      </c>
      <c r="I15" s="2" t="s">
        <v>675</v>
      </c>
      <c r="J15" s="2" t="s">
        <v>35</v>
      </c>
      <c r="K15" s="2" t="str">
        <f t="shared" si="22"/>
        <v/>
      </c>
      <c r="L15" s="2" t="s">
        <v>35</v>
      </c>
      <c r="M15" s="2" t="str">
        <f t="shared" si="23"/>
        <v/>
      </c>
      <c r="N15" s="2" t="s">
        <v>35</v>
      </c>
      <c r="O15" s="2" t="str">
        <f t="shared" si="24"/>
        <v/>
      </c>
      <c r="P15" s="2">
        <v>4</v>
      </c>
      <c r="Q15" s="2" t="str">
        <f t="shared" si="25"/>
        <v>x</v>
      </c>
      <c r="R15" s="2" t="s">
        <v>35</v>
      </c>
      <c r="S15" s="2"/>
      <c r="T15" s="2" t="str">
        <f t="shared" si="26"/>
        <v/>
      </c>
      <c r="U15" s="2" t="s">
        <v>35</v>
      </c>
      <c r="V15" s="2" t="str">
        <f t="shared" si="27"/>
        <v/>
      </c>
      <c r="W15" s="3"/>
      <c r="X15" s="2" t="s">
        <v>11535</v>
      </c>
      <c r="Y15" s="2" t="s">
        <v>31</v>
      </c>
      <c r="Z15" s="2" t="s">
        <v>11724</v>
      </c>
      <c r="AA15" s="2" t="s">
        <v>11723</v>
      </c>
      <c r="AB15" s="2" t="s">
        <v>11532</v>
      </c>
      <c r="AC15" s="2">
        <v>73808</v>
      </c>
      <c r="AD15" s="2" t="s">
        <v>11722</v>
      </c>
      <c r="AE15" s="11">
        <v>43352.466666666667</v>
      </c>
      <c r="AF15" s="11">
        <v>43352.466863425929</v>
      </c>
      <c r="AG15" s="278">
        <v>0</v>
      </c>
      <c r="AH15" s="277">
        <f t="shared" si="0"/>
        <v>1.9675926159834489E-4</v>
      </c>
      <c r="AI15" s="277">
        <f t="shared" si="28"/>
        <v>5.092592618893832E-4</v>
      </c>
      <c r="AJ15" s="276">
        <v>43352.454861111109</v>
      </c>
      <c r="AK15" s="275" t="str">
        <f t="shared" si="1"/>
        <v>https://captureandgo.cloudlab.zhaw.ch/images/images-1662801127326-112152650.jpg</v>
      </c>
      <c r="AL15">
        <v>12</v>
      </c>
      <c r="AM15" s="7">
        <v>4.0509259259259258E-4</v>
      </c>
      <c r="AN15" s="110" t="s">
        <v>11461</v>
      </c>
      <c r="AO15" t="s">
        <v>125</v>
      </c>
      <c r="AP15" t="b">
        <v>0</v>
      </c>
      <c r="AR15" t="b">
        <v>0</v>
      </c>
      <c r="AS15" t="s">
        <v>11384</v>
      </c>
      <c r="AT15" t="s">
        <v>940</v>
      </c>
      <c r="AW15" s="408" t="str">
        <f t="shared" si="2"/>
        <v>-</v>
      </c>
      <c r="AX15" s="408" t="str">
        <f t="shared" si="3"/>
        <v>-</v>
      </c>
      <c r="AZ15" s="342" t="str">
        <f t="shared" si="4"/>
        <v>-</v>
      </c>
      <c r="BA15" s="408" t="str">
        <f t="shared" si="5"/>
        <v>-</v>
      </c>
      <c r="BB15" s="28"/>
      <c r="BE15">
        <v>4</v>
      </c>
      <c r="BF15" s="408">
        <f t="shared" si="6"/>
        <v>0</v>
      </c>
      <c r="BG15" s="408">
        <f t="shared" si="7"/>
        <v>1</v>
      </c>
      <c r="BN15" s="7">
        <v>3.0092592592592595E-4</v>
      </c>
      <c r="BO15" s="329"/>
      <c r="CJ15" s="452" t="str">
        <f t="shared" si="8"/>
        <v>-</v>
      </c>
      <c r="CK15" s="452" t="str">
        <f t="shared" si="9"/>
        <v>-</v>
      </c>
      <c r="CM15" s="327" t="str">
        <f t="shared" si="10"/>
        <v>-</v>
      </c>
      <c r="CN15" s="453" t="str">
        <f t="shared" si="11"/>
        <v>-</v>
      </c>
      <c r="CP15" s="329"/>
      <c r="DA15" s="408" t="str">
        <f t="shared" si="12"/>
        <v>-</v>
      </c>
      <c r="DB15" s="408" t="str">
        <f t="shared" si="13"/>
        <v>-</v>
      </c>
      <c r="DD15" s="408" t="str">
        <f t="shared" si="14"/>
        <v>-</v>
      </c>
      <c r="DE15" s="408" t="str">
        <f t="shared" si="15"/>
        <v>-</v>
      </c>
      <c r="DI15" t="s">
        <v>9801</v>
      </c>
      <c r="DK15" s="408" t="str">
        <f t="shared" si="16"/>
        <v>-</v>
      </c>
      <c r="DL15" s="408" t="str">
        <f t="shared" si="17"/>
        <v>-</v>
      </c>
      <c r="DR15" s="452" t="str">
        <f t="shared" si="29"/>
        <v>-</v>
      </c>
      <c r="DS15" s="452" t="str">
        <f t="shared" si="18"/>
        <v>-</v>
      </c>
      <c r="DU15" s="452" t="str">
        <f t="shared" si="19"/>
        <v>-</v>
      </c>
      <c r="DV15" s="452" t="str">
        <f t="shared" si="20"/>
        <v>-</v>
      </c>
      <c r="DX15" s="329"/>
    </row>
    <row r="16" spans="1:128" ht="16" x14ac:dyDescent="0.2">
      <c r="A16" s="2" t="s">
        <v>11721</v>
      </c>
      <c r="B16" s="2">
        <v>85</v>
      </c>
      <c r="C16" s="2" t="str">
        <f t="shared" si="21"/>
        <v>x</v>
      </c>
      <c r="D16" s="2" t="s">
        <v>11803</v>
      </c>
      <c r="E16" s="2" t="s">
        <v>11536</v>
      </c>
      <c r="F16" s="2" t="s">
        <v>37</v>
      </c>
      <c r="G16" s="2" t="s">
        <v>35</v>
      </c>
      <c r="H16" s="2" t="s">
        <v>35</v>
      </c>
      <c r="I16" s="2" t="s">
        <v>35</v>
      </c>
      <c r="J16" s="2" t="s">
        <v>35</v>
      </c>
      <c r="K16" s="2" t="str">
        <f t="shared" si="22"/>
        <v/>
      </c>
      <c r="L16" s="2" t="s">
        <v>35</v>
      </c>
      <c r="M16" s="2" t="str">
        <f t="shared" si="23"/>
        <v/>
      </c>
      <c r="N16" s="2">
        <v>2</v>
      </c>
      <c r="O16" s="2" t="str">
        <f t="shared" si="24"/>
        <v>x</v>
      </c>
      <c r="P16" s="2" t="s">
        <v>35</v>
      </c>
      <c r="Q16" s="2" t="str">
        <f t="shared" si="25"/>
        <v/>
      </c>
      <c r="R16" s="2" t="s">
        <v>35</v>
      </c>
      <c r="S16" s="2"/>
      <c r="T16" s="2" t="str">
        <f t="shared" si="26"/>
        <v/>
      </c>
      <c r="U16" s="2" t="s">
        <v>35</v>
      </c>
      <c r="V16" s="2" t="str">
        <f t="shared" si="27"/>
        <v/>
      </c>
      <c r="W16" s="3"/>
      <c r="X16" s="2" t="s">
        <v>11535</v>
      </c>
      <c r="Y16" s="2" t="s">
        <v>31</v>
      </c>
      <c r="Z16" s="2" t="s">
        <v>11720</v>
      </c>
      <c r="AA16" s="2" t="s">
        <v>11719</v>
      </c>
      <c r="AB16" s="2" t="s">
        <v>11532</v>
      </c>
      <c r="AC16" s="2">
        <v>59155</v>
      </c>
      <c r="AD16" s="2" t="s">
        <v>11718</v>
      </c>
      <c r="AE16" s="11">
        <v>43352.467372685183</v>
      </c>
      <c r="AF16" s="11">
        <v>43352.467557870368</v>
      </c>
      <c r="AG16" s="278">
        <v>0</v>
      </c>
      <c r="AH16" s="277">
        <f t="shared" si="0"/>
        <v>1.8518518481869251E-4</v>
      </c>
      <c r="AI16" s="277">
        <f t="shared" si="28"/>
        <v>6.9444443943211809E-4</v>
      </c>
      <c r="AJ16" s="276">
        <v>43352.454861111109</v>
      </c>
      <c r="AK16" s="275" t="str">
        <f t="shared" si="1"/>
        <v>https://captureandgo.cloudlab.zhaw.ch/images/images-1662801189400-771560668.jpg</v>
      </c>
      <c r="AW16" s="408" t="str">
        <f t="shared" si="2"/>
        <v>-</v>
      </c>
      <c r="AX16" s="408" t="str">
        <f t="shared" si="3"/>
        <v>-</v>
      </c>
      <c r="AZ16" s="342" t="str">
        <f t="shared" si="4"/>
        <v>-</v>
      </c>
      <c r="BA16" s="408" t="str">
        <f t="shared" si="5"/>
        <v>-</v>
      </c>
      <c r="BF16" s="408" t="str">
        <f t="shared" si="6"/>
        <v>-</v>
      </c>
      <c r="BG16" s="408" t="str">
        <f t="shared" si="7"/>
        <v>-</v>
      </c>
      <c r="BO16" s="441">
        <v>32</v>
      </c>
      <c r="BP16" s="339">
        <v>0</v>
      </c>
      <c r="BQ16" s="337" t="s">
        <v>11488</v>
      </c>
      <c r="BR16" t="s">
        <v>37</v>
      </c>
      <c r="BS16" s="337"/>
      <c r="BT16" s="337"/>
      <c r="BU16" s="337"/>
      <c r="BV16" s="337"/>
      <c r="BW16" s="337"/>
      <c r="BX16" s="337"/>
      <c r="BY16" s="337"/>
      <c r="BZ16" s="337"/>
      <c r="CA16" s="340"/>
      <c r="CB16" s="337"/>
      <c r="CC16" s="337"/>
      <c r="CD16" s="337"/>
      <c r="CE16" s="337">
        <v>348.77</v>
      </c>
      <c r="CF16" s="337">
        <v>13.82</v>
      </c>
      <c r="CG16" s="337">
        <v>13.88</v>
      </c>
      <c r="CH16" s="337">
        <v>0.52</v>
      </c>
      <c r="CI16" s="467">
        <v>2</v>
      </c>
      <c r="CJ16" s="327" t="str">
        <f t="shared" si="8"/>
        <v>-</v>
      </c>
      <c r="CK16" s="327" t="str">
        <f t="shared" si="9"/>
        <v>-</v>
      </c>
      <c r="CL16" s="341">
        <v>2</v>
      </c>
      <c r="CM16" s="327">
        <f t="shared" si="10"/>
        <v>0</v>
      </c>
      <c r="CN16" s="453">
        <f t="shared" si="11"/>
        <v>1</v>
      </c>
      <c r="CO16" s="339">
        <v>4.9768518518518521E-4</v>
      </c>
      <c r="CP16" s="329"/>
      <c r="DA16" s="408" t="str">
        <f t="shared" si="12"/>
        <v>-</v>
      </c>
      <c r="DB16" s="408" t="str">
        <f t="shared" si="13"/>
        <v>-</v>
      </c>
      <c r="DD16" s="408" t="str">
        <f t="shared" si="14"/>
        <v>-</v>
      </c>
      <c r="DE16" s="408" t="str">
        <f t="shared" si="15"/>
        <v>-</v>
      </c>
      <c r="DI16" t="s">
        <v>9801</v>
      </c>
      <c r="DK16" s="408" t="str">
        <f t="shared" si="16"/>
        <v>-</v>
      </c>
      <c r="DL16" s="408" t="str">
        <f t="shared" si="17"/>
        <v>-</v>
      </c>
      <c r="DR16" s="452" t="str">
        <f t="shared" si="29"/>
        <v>-</v>
      </c>
      <c r="DS16" s="452" t="str">
        <f t="shared" si="18"/>
        <v>-</v>
      </c>
      <c r="DU16" s="452" t="str">
        <f t="shared" si="19"/>
        <v>-</v>
      </c>
      <c r="DV16" s="452" t="str">
        <f t="shared" si="20"/>
        <v>-</v>
      </c>
      <c r="DX16" s="329"/>
    </row>
    <row r="17" spans="1:128" ht="16" x14ac:dyDescent="0.2">
      <c r="A17" s="2" t="s">
        <v>11717</v>
      </c>
      <c r="B17" s="2">
        <v>86</v>
      </c>
      <c r="C17" s="2" t="str">
        <f t="shared" si="21"/>
        <v>x</v>
      </c>
      <c r="D17" s="2" t="s">
        <v>11804</v>
      </c>
      <c r="E17" s="2" t="s">
        <v>11536</v>
      </c>
      <c r="F17" s="2" t="s">
        <v>37</v>
      </c>
      <c r="G17" s="2" t="s">
        <v>35</v>
      </c>
      <c r="H17" s="2" t="s">
        <v>35</v>
      </c>
      <c r="I17" s="2" t="s">
        <v>11716</v>
      </c>
      <c r="J17" s="2" t="s">
        <v>35</v>
      </c>
      <c r="K17" s="2" t="str">
        <f t="shared" si="22"/>
        <v/>
      </c>
      <c r="L17" s="2" t="s">
        <v>35</v>
      </c>
      <c r="M17" s="2" t="str">
        <f t="shared" si="23"/>
        <v/>
      </c>
      <c r="N17" s="2" t="s">
        <v>35</v>
      </c>
      <c r="O17" s="2" t="str">
        <f t="shared" si="24"/>
        <v/>
      </c>
      <c r="P17" s="2" t="s">
        <v>35</v>
      </c>
      <c r="Q17" s="2" t="str">
        <f t="shared" si="25"/>
        <v/>
      </c>
      <c r="R17" s="2" t="s">
        <v>35</v>
      </c>
      <c r="S17" s="2"/>
      <c r="T17" s="2" t="str">
        <f t="shared" si="26"/>
        <v/>
      </c>
      <c r="U17" s="2">
        <v>4</v>
      </c>
      <c r="V17" s="2" t="str">
        <f t="shared" si="27"/>
        <v>x</v>
      </c>
      <c r="W17" s="3"/>
      <c r="X17" s="2" t="s">
        <v>11535</v>
      </c>
      <c r="Y17" s="2" t="s">
        <v>31</v>
      </c>
      <c r="Z17" s="2" t="s">
        <v>11715</v>
      </c>
      <c r="AA17" s="2" t="s">
        <v>11714</v>
      </c>
      <c r="AB17" s="2" t="s">
        <v>11532</v>
      </c>
      <c r="AC17" s="2">
        <v>58953</v>
      </c>
      <c r="AD17" s="2" t="s">
        <v>11713</v>
      </c>
      <c r="AE17" s="11">
        <v>43352.468252314815</v>
      </c>
      <c r="AF17" s="11">
        <v>43352.468506944446</v>
      </c>
      <c r="AG17" s="278">
        <v>0</v>
      </c>
      <c r="AH17" s="277">
        <f t="shared" si="0"/>
        <v>2.546296309446916E-4</v>
      </c>
      <c r="AI17" s="277">
        <f t="shared" si="28"/>
        <v>9.490740776527673E-4</v>
      </c>
      <c r="AJ17" s="276">
        <v>43352.454861111109</v>
      </c>
      <c r="AK17" s="275" t="str">
        <f t="shared" si="1"/>
        <v>https://captureandgo.cloudlab.zhaw.ch/images/images-1662801264837-711353473.jpg</v>
      </c>
      <c r="AW17" s="408" t="str">
        <f t="shared" si="2"/>
        <v>-</v>
      </c>
      <c r="AX17" s="408" t="str">
        <f t="shared" si="3"/>
        <v>-</v>
      </c>
      <c r="AZ17" s="342" t="str">
        <f t="shared" si="4"/>
        <v>-</v>
      </c>
      <c r="BA17" s="408" t="str">
        <f t="shared" si="5"/>
        <v>-</v>
      </c>
      <c r="BF17" s="408" t="str">
        <f t="shared" si="6"/>
        <v>-</v>
      </c>
      <c r="BG17" s="408" t="str">
        <f t="shared" si="7"/>
        <v>-</v>
      </c>
      <c r="BO17" s="441">
        <v>32</v>
      </c>
      <c r="BP17" s="339">
        <v>0</v>
      </c>
      <c r="BQ17" s="337" t="s">
        <v>11488</v>
      </c>
      <c r="BR17" t="s">
        <v>37</v>
      </c>
      <c r="BS17" s="337"/>
      <c r="BT17" s="337"/>
      <c r="BU17" s="337"/>
      <c r="BV17" s="337"/>
      <c r="BW17" s="337"/>
      <c r="BX17" s="337"/>
      <c r="BY17" s="337"/>
      <c r="BZ17" s="337"/>
      <c r="CA17" s="340"/>
      <c r="CB17" s="337"/>
      <c r="CC17" s="337"/>
      <c r="CD17" s="337"/>
      <c r="CE17" s="337">
        <v>348.77</v>
      </c>
      <c r="CF17" s="337">
        <v>13.82</v>
      </c>
      <c r="CG17" s="337">
        <v>13.88</v>
      </c>
      <c r="CH17" s="337">
        <v>0.52</v>
      </c>
      <c r="CI17" s="467">
        <v>2</v>
      </c>
      <c r="CJ17" s="327">
        <f t="shared" si="8"/>
        <v>0.5</v>
      </c>
      <c r="CK17" s="327">
        <f t="shared" si="9"/>
        <v>0.5</v>
      </c>
      <c r="CL17" s="341">
        <v>2</v>
      </c>
      <c r="CM17" s="327" t="str">
        <f t="shared" si="10"/>
        <v>-</v>
      </c>
      <c r="CN17" s="453" t="str">
        <f t="shared" si="11"/>
        <v>-</v>
      </c>
      <c r="CO17" s="339">
        <v>4.9768518518518521E-4</v>
      </c>
      <c r="CP17" s="329"/>
      <c r="DA17" s="408" t="str">
        <f t="shared" si="12"/>
        <v>-</v>
      </c>
      <c r="DB17" s="408" t="str">
        <f t="shared" si="13"/>
        <v>-</v>
      </c>
      <c r="DD17" s="408" t="str">
        <f t="shared" si="14"/>
        <v>-</v>
      </c>
      <c r="DE17" s="408" t="str">
        <f t="shared" si="15"/>
        <v>-</v>
      </c>
      <c r="DI17" t="s">
        <v>9801</v>
      </c>
      <c r="DK17" s="408" t="str">
        <f t="shared" si="16"/>
        <v>-</v>
      </c>
      <c r="DL17" s="408" t="str">
        <f t="shared" si="17"/>
        <v>-</v>
      </c>
      <c r="DR17" s="452" t="str">
        <f t="shared" si="29"/>
        <v>-</v>
      </c>
      <c r="DS17" s="452" t="str">
        <f t="shared" si="18"/>
        <v>-</v>
      </c>
      <c r="DU17" s="452" t="str">
        <f t="shared" si="19"/>
        <v>-</v>
      </c>
      <c r="DV17" s="452" t="str">
        <f t="shared" si="20"/>
        <v>-</v>
      </c>
      <c r="DX17" s="329"/>
    </row>
    <row r="18" spans="1:128" ht="16" x14ac:dyDescent="0.2">
      <c r="A18" s="2" t="s">
        <v>11712</v>
      </c>
      <c r="B18" s="2">
        <v>87</v>
      </c>
      <c r="C18" s="2" t="str">
        <f t="shared" si="21"/>
        <v/>
      </c>
      <c r="D18" s="2" t="s">
        <v>11805</v>
      </c>
      <c r="E18" s="2" t="s">
        <v>11536</v>
      </c>
      <c r="F18" s="2" t="s">
        <v>37</v>
      </c>
      <c r="G18" s="2" t="s">
        <v>35</v>
      </c>
      <c r="H18" s="2" t="s">
        <v>35</v>
      </c>
      <c r="I18" s="2" t="s">
        <v>35</v>
      </c>
      <c r="J18" s="2" t="s">
        <v>35</v>
      </c>
      <c r="K18" s="2" t="str">
        <f t="shared" si="22"/>
        <v/>
      </c>
      <c r="L18" s="2" t="s">
        <v>35</v>
      </c>
      <c r="M18" s="2" t="str">
        <f t="shared" si="23"/>
        <v/>
      </c>
      <c r="N18" s="2" t="s">
        <v>35</v>
      </c>
      <c r="O18" s="2" t="str">
        <f t="shared" si="24"/>
        <v/>
      </c>
      <c r="P18" s="2" t="s">
        <v>35</v>
      </c>
      <c r="Q18" s="2" t="str">
        <f>IF(OR(BF18&lt;&gt;"-", CD18&lt;&gt;"", DK18&lt;&gt;"-"), "x", "")</f>
        <v/>
      </c>
      <c r="R18" s="2" t="s">
        <v>35</v>
      </c>
      <c r="S18" s="2" t="s">
        <v>3516</v>
      </c>
      <c r="T18" s="2" t="str">
        <f t="shared" si="26"/>
        <v/>
      </c>
      <c r="U18" s="2" t="s">
        <v>35</v>
      </c>
      <c r="V18" s="2" t="str">
        <f t="shared" si="27"/>
        <v/>
      </c>
      <c r="W18" s="3"/>
      <c r="X18" s="2" t="s">
        <v>11535</v>
      </c>
      <c r="Y18" s="2" t="s">
        <v>31</v>
      </c>
      <c r="Z18" s="2" t="s">
        <v>11711</v>
      </c>
      <c r="AA18" s="2" t="s">
        <v>11710</v>
      </c>
      <c r="AB18" s="2" t="s">
        <v>11532</v>
      </c>
      <c r="AC18" s="2">
        <v>63502</v>
      </c>
      <c r="AD18" s="2" t="s">
        <v>11709</v>
      </c>
      <c r="AE18" s="11">
        <v>43352.468784722223</v>
      </c>
      <c r="AF18" s="11">
        <v>43352.468969907408</v>
      </c>
      <c r="AG18" s="278">
        <v>0</v>
      </c>
      <c r="AH18" s="277">
        <f t="shared" si="0"/>
        <v>1.8518518481869251E-4</v>
      </c>
      <c r="AI18" s="277">
        <f t="shared" si="28"/>
        <v>4.6296296204673126E-4</v>
      </c>
      <c r="AJ18" s="276">
        <v>43352.454861111109</v>
      </c>
      <c r="AK18" s="275" t="str">
        <f t="shared" si="1"/>
        <v>https://captureandgo.cloudlab.zhaw.ch/images/images-1662801310153-756040775.jpg</v>
      </c>
      <c r="AW18" s="408" t="str">
        <f t="shared" si="2"/>
        <v>-</v>
      </c>
      <c r="AX18" s="408" t="str">
        <f t="shared" si="3"/>
        <v>-</v>
      </c>
      <c r="AZ18" s="342" t="str">
        <f t="shared" si="4"/>
        <v>-</v>
      </c>
      <c r="BA18" s="408" t="str">
        <f t="shared" si="5"/>
        <v>-</v>
      </c>
      <c r="BF18" s="408" t="str">
        <f t="shared" si="6"/>
        <v>-</v>
      </c>
      <c r="BG18" s="408" t="str">
        <f t="shared" si="7"/>
        <v>-</v>
      </c>
      <c r="BO18" s="329"/>
      <c r="CJ18" s="452" t="str">
        <f t="shared" si="8"/>
        <v>-</v>
      </c>
      <c r="CK18" s="452" t="str">
        <f t="shared" si="9"/>
        <v>-</v>
      </c>
      <c r="CM18" s="327" t="str">
        <f t="shared" si="10"/>
        <v>-</v>
      </c>
      <c r="CN18" s="453" t="str">
        <f t="shared" si="11"/>
        <v>-</v>
      </c>
      <c r="CP18" s="329"/>
      <c r="DA18" s="408" t="str">
        <f t="shared" si="12"/>
        <v>-</v>
      </c>
      <c r="DB18" s="408" t="str">
        <f t="shared" si="13"/>
        <v>-</v>
      </c>
      <c r="DD18" s="408" t="str">
        <f t="shared" si="14"/>
        <v>-</v>
      </c>
      <c r="DE18" s="408" t="str">
        <f t="shared" si="15"/>
        <v>-</v>
      </c>
      <c r="DI18" t="s">
        <v>9801</v>
      </c>
      <c r="DK18" s="408" t="str">
        <f t="shared" si="16"/>
        <v>-</v>
      </c>
      <c r="DL18" s="408" t="str">
        <f t="shared" si="17"/>
        <v>-</v>
      </c>
      <c r="DR18" s="452" t="str">
        <f t="shared" si="29"/>
        <v>-</v>
      </c>
      <c r="DS18" s="452" t="str">
        <f t="shared" si="18"/>
        <v>-</v>
      </c>
      <c r="DU18" s="452" t="str">
        <f t="shared" si="19"/>
        <v>-</v>
      </c>
      <c r="DV18" s="452" t="str">
        <f t="shared" si="20"/>
        <v>-</v>
      </c>
      <c r="DX18" s="329"/>
    </row>
    <row r="19" spans="1:128" ht="16" x14ac:dyDescent="0.2">
      <c r="A19" s="2" t="s">
        <v>11708</v>
      </c>
      <c r="B19" s="2">
        <v>88</v>
      </c>
      <c r="C19" s="2" t="str">
        <f t="shared" si="21"/>
        <v>x</v>
      </c>
      <c r="D19" s="2" t="s">
        <v>11806</v>
      </c>
      <c r="E19" s="2" t="s">
        <v>11536</v>
      </c>
      <c r="F19" s="2" t="s">
        <v>37</v>
      </c>
      <c r="G19" s="2" t="s">
        <v>35</v>
      </c>
      <c r="H19" s="2" t="s">
        <v>35</v>
      </c>
      <c r="I19" s="2" t="s">
        <v>35</v>
      </c>
      <c r="J19" s="2" t="s">
        <v>35</v>
      </c>
      <c r="K19" s="2" t="str">
        <f t="shared" si="22"/>
        <v/>
      </c>
      <c r="L19" s="2" t="s">
        <v>35</v>
      </c>
      <c r="M19" s="2" t="str">
        <f t="shared" si="23"/>
        <v/>
      </c>
      <c r="N19" s="2">
        <v>3</v>
      </c>
      <c r="O19" s="2" t="str">
        <f t="shared" si="24"/>
        <v>x</v>
      </c>
      <c r="P19" s="2" t="s">
        <v>35</v>
      </c>
      <c r="Q19" s="2" t="str">
        <f t="shared" si="25"/>
        <v/>
      </c>
      <c r="R19" s="2" t="s">
        <v>35</v>
      </c>
      <c r="S19" s="2"/>
      <c r="T19" s="2" t="str">
        <f t="shared" si="26"/>
        <v/>
      </c>
      <c r="U19" s="2" t="s">
        <v>35</v>
      </c>
      <c r="V19" s="2" t="str">
        <f t="shared" si="27"/>
        <v/>
      </c>
      <c r="W19" s="3"/>
      <c r="X19" s="2" t="s">
        <v>11535</v>
      </c>
      <c r="Y19" s="2" t="s">
        <v>31</v>
      </c>
      <c r="Z19" s="2" t="s">
        <v>11707</v>
      </c>
      <c r="AA19" s="2" t="s">
        <v>11706</v>
      </c>
      <c r="AB19" s="2" t="s">
        <v>11532</v>
      </c>
      <c r="AC19" s="2">
        <v>45574</v>
      </c>
      <c r="AD19" s="2" t="s">
        <v>11705</v>
      </c>
      <c r="AE19" s="11">
        <v>43352.470127314817</v>
      </c>
      <c r="AF19" s="11">
        <v>43352.470231481479</v>
      </c>
      <c r="AG19" s="278">
        <v>0</v>
      </c>
      <c r="AH19" s="277">
        <f t="shared" si="0"/>
        <v>1.0416666191304103E-4</v>
      </c>
      <c r="AI19" s="277">
        <f t="shared" si="28"/>
        <v>1.261574070667848E-3</v>
      </c>
      <c r="AJ19" s="276">
        <v>43352.454861111109</v>
      </c>
      <c r="AK19" s="275" t="str">
        <f t="shared" si="1"/>
        <v>https://captureandgo.cloudlab.zhaw.ch/images/images-1662801425168-637631039.jpg</v>
      </c>
      <c r="AW19" s="408" t="str">
        <f t="shared" si="2"/>
        <v>-</v>
      </c>
      <c r="AX19" s="408" t="str">
        <f t="shared" si="3"/>
        <v>-</v>
      </c>
      <c r="AZ19" s="342" t="str">
        <f t="shared" si="4"/>
        <v>-</v>
      </c>
      <c r="BA19" s="408" t="str">
        <f t="shared" si="5"/>
        <v>-</v>
      </c>
      <c r="BF19" s="408" t="str">
        <f t="shared" si="6"/>
        <v>-</v>
      </c>
      <c r="BG19" s="408" t="str">
        <f t="shared" si="7"/>
        <v>-</v>
      </c>
      <c r="BO19" s="441">
        <v>32</v>
      </c>
      <c r="BP19" s="339">
        <v>0</v>
      </c>
      <c r="BQ19" s="337" t="s">
        <v>11488</v>
      </c>
      <c r="BR19" t="s">
        <v>37</v>
      </c>
      <c r="BS19" s="337"/>
      <c r="BT19" s="337"/>
      <c r="BU19" s="337"/>
      <c r="BV19" s="337"/>
      <c r="BW19" s="337"/>
      <c r="BX19" s="337"/>
      <c r="BY19" s="337"/>
      <c r="BZ19" s="337"/>
      <c r="CA19" s="340"/>
      <c r="CB19" s="337"/>
      <c r="CC19" s="337"/>
      <c r="CD19" s="337"/>
      <c r="CE19" s="337">
        <v>348.77</v>
      </c>
      <c r="CF19" s="337">
        <v>13.82</v>
      </c>
      <c r="CG19" s="337">
        <v>13.88</v>
      </c>
      <c r="CH19" s="337">
        <v>0.52</v>
      </c>
      <c r="CI19" s="467">
        <v>2</v>
      </c>
      <c r="CJ19" s="327" t="str">
        <f t="shared" si="8"/>
        <v>-</v>
      </c>
      <c r="CK19" s="327" t="str">
        <f t="shared" si="9"/>
        <v>-</v>
      </c>
      <c r="CL19" s="341">
        <v>2</v>
      </c>
      <c r="CM19" s="327">
        <f t="shared" si="10"/>
        <v>0.33333333333333337</v>
      </c>
      <c r="CN19" s="453">
        <f t="shared" si="11"/>
        <v>0.66666666666666663</v>
      </c>
      <c r="CO19" s="339">
        <v>4.9768518518518521E-4</v>
      </c>
      <c r="CP19" s="329"/>
      <c r="DA19" s="408" t="str">
        <f t="shared" si="12"/>
        <v>-</v>
      </c>
      <c r="DB19" s="408" t="str">
        <f t="shared" si="13"/>
        <v>-</v>
      </c>
      <c r="DD19" s="408" t="str">
        <f t="shared" si="14"/>
        <v>-</v>
      </c>
      <c r="DE19" s="408" t="str">
        <f t="shared" si="15"/>
        <v>-</v>
      </c>
      <c r="DI19" t="s">
        <v>9801</v>
      </c>
      <c r="DK19" s="408" t="str">
        <f t="shared" si="16"/>
        <v>-</v>
      </c>
      <c r="DL19" s="408" t="str">
        <f t="shared" si="17"/>
        <v>-</v>
      </c>
      <c r="DR19" s="452" t="str">
        <f t="shared" si="29"/>
        <v>-</v>
      </c>
      <c r="DS19" s="452" t="str">
        <f t="shared" si="18"/>
        <v>-</v>
      </c>
      <c r="DU19" s="452" t="str">
        <f t="shared" si="19"/>
        <v>-</v>
      </c>
      <c r="DV19" s="452" t="str">
        <f t="shared" si="20"/>
        <v>-</v>
      </c>
      <c r="DX19" s="329"/>
    </row>
    <row r="20" spans="1:128" ht="16" x14ac:dyDescent="0.2">
      <c r="A20" s="2" t="s">
        <v>11704</v>
      </c>
      <c r="B20" s="2">
        <v>89</v>
      </c>
      <c r="C20" s="2" t="str">
        <f t="shared" si="21"/>
        <v>x</v>
      </c>
      <c r="D20" s="2" t="s">
        <v>11807</v>
      </c>
      <c r="E20" s="2" t="s">
        <v>11536</v>
      </c>
      <c r="F20" s="2" t="s">
        <v>125</v>
      </c>
      <c r="G20" s="2" t="s">
        <v>35</v>
      </c>
      <c r="H20" s="2" t="s">
        <v>35</v>
      </c>
      <c r="I20" s="2" t="s">
        <v>675</v>
      </c>
      <c r="J20" s="2" t="s">
        <v>35</v>
      </c>
      <c r="K20" s="2" t="str">
        <f>IF(OR(AW20&lt;&gt;"-", BY20&lt;&gt;"", DA20&lt;&gt;"-"), "x", "")</f>
        <v/>
      </c>
      <c r="L20" s="2" t="s">
        <v>35</v>
      </c>
      <c r="M20" s="2" t="str">
        <f t="shared" si="23"/>
        <v/>
      </c>
      <c r="N20" s="2" t="s">
        <v>35</v>
      </c>
      <c r="O20" s="2" t="str">
        <f>IF(OR(BM20&lt;&gt;"", CM20&lt;&gt;"-", DU20&lt;&gt;"-"), "x", "")</f>
        <v/>
      </c>
      <c r="P20" s="2">
        <v>4</v>
      </c>
      <c r="Q20" s="2" t="str">
        <f t="shared" si="25"/>
        <v>x</v>
      </c>
      <c r="R20" s="2" t="s">
        <v>35</v>
      </c>
      <c r="S20" s="2"/>
      <c r="T20" s="2" t="str">
        <f t="shared" si="26"/>
        <v/>
      </c>
      <c r="U20" s="2" t="s">
        <v>35</v>
      </c>
      <c r="V20" s="2" t="str">
        <f t="shared" si="27"/>
        <v/>
      </c>
      <c r="W20" s="3"/>
      <c r="X20" s="2" t="s">
        <v>11535</v>
      </c>
      <c r="Y20" s="2" t="s">
        <v>31</v>
      </c>
      <c r="Z20" s="2" t="s">
        <v>11703</v>
      </c>
      <c r="AA20" s="2" t="s">
        <v>11702</v>
      </c>
      <c r="AB20" s="2" t="s">
        <v>11532</v>
      </c>
      <c r="AC20" s="2">
        <v>54556</v>
      </c>
      <c r="AD20" s="2" t="s">
        <v>11701</v>
      </c>
      <c r="AE20" s="11">
        <v>43352.470405092594</v>
      </c>
      <c r="AF20" s="11">
        <v>43352.470613425925</v>
      </c>
      <c r="AG20" s="278">
        <v>0</v>
      </c>
      <c r="AH20" s="277">
        <f t="shared" si="0"/>
        <v>2.0833333110203966E-4</v>
      </c>
      <c r="AI20" s="277">
        <f t="shared" si="28"/>
        <v>3.819444464170374E-4</v>
      </c>
      <c r="AJ20" s="276">
        <v>43352.454861111109</v>
      </c>
      <c r="AK20" s="275" t="str">
        <f t="shared" si="1"/>
        <v>https://captureandgo.cloudlab.zhaw.ch/images/images-1662801453404-708072286.jpg</v>
      </c>
      <c r="AL20">
        <v>10</v>
      </c>
      <c r="AM20" s="7">
        <v>1.1574074074074073E-3</v>
      </c>
      <c r="AN20" s="110" t="s">
        <v>11459</v>
      </c>
      <c r="AO20" t="s">
        <v>125</v>
      </c>
      <c r="AP20" t="b">
        <v>0</v>
      </c>
      <c r="AR20" t="b">
        <v>0</v>
      </c>
      <c r="AS20" t="s">
        <v>11384</v>
      </c>
      <c r="AT20" t="s">
        <v>940</v>
      </c>
      <c r="AW20" s="408" t="str">
        <f t="shared" si="2"/>
        <v>-</v>
      </c>
      <c r="AX20" s="408" t="str">
        <f t="shared" si="3"/>
        <v>-</v>
      </c>
      <c r="AZ20" s="342" t="str">
        <f t="shared" si="4"/>
        <v>-</v>
      </c>
      <c r="BA20" s="408" t="str">
        <f t="shared" si="5"/>
        <v>-</v>
      </c>
      <c r="BB20" s="28"/>
      <c r="BE20">
        <v>4</v>
      </c>
      <c r="BF20" s="408">
        <f t="shared" si="6"/>
        <v>0</v>
      </c>
      <c r="BG20" s="408">
        <f t="shared" si="7"/>
        <v>1</v>
      </c>
      <c r="BH20" s="337"/>
      <c r="BI20" s="337"/>
      <c r="BJ20" s="337"/>
      <c r="BK20" s="337"/>
      <c r="BL20" s="341"/>
      <c r="BM20" s="341"/>
      <c r="BN20" s="7">
        <v>1.5046296296296297E-4</v>
      </c>
      <c r="BO20" s="329"/>
      <c r="CJ20" s="452" t="str">
        <f t="shared" si="8"/>
        <v>-</v>
      </c>
      <c r="CK20" s="452" t="str">
        <f t="shared" si="9"/>
        <v>-</v>
      </c>
      <c r="CM20" s="327" t="str">
        <f t="shared" si="10"/>
        <v>-</v>
      </c>
      <c r="CN20" s="453" t="str">
        <f t="shared" si="11"/>
        <v>-</v>
      </c>
      <c r="CP20" s="441">
        <v>52</v>
      </c>
      <c r="CQ20" s="339">
        <v>3.4722222222222222E-5</v>
      </c>
      <c r="CR20" s="337" t="s">
        <v>11506</v>
      </c>
      <c r="CS20" s="337" t="s">
        <v>125</v>
      </c>
      <c r="CT20" s="337" t="b">
        <v>0</v>
      </c>
      <c r="CU20" s="337"/>
      <c r="CV20" s="337" t="b">
        <v>0</v>
      </c>
      <c r="CW20" s="337" t="b">
        <v>0</v>
      </c>
      <c r="CX20" t="s">
        <v>940</v>
      </c>
      <c r="CZ20" s="337"/>
      <c r="DA20" s="408" t="str">
        <f t="shared" si="12"/>
        <v>-</v>
      </c>
      <c r="DB20" s="408" t="str">
        <f t="shared" si="13"/>
        <v>-</v>
      </c>
      <c r="DC20" s="337"/>
      <c r="DD20" s="408" t="str">
        <f t="shared" si="14"/>
        <v>-</v>
      </c>
      <c r="DE20" s="408" t="str">
        <f t="shared" si="15"/>
        <v>-</v>
      </c>
      <c r="DF20" s="340"/>
      <c r="DG20" s="337"/>
      <c r="DH20" s="337"/>
      <c r="DI20" t="s">
        <v>9801</v>
      </c>
      <c r="DJ20" s="337">
        <v>8</v>
      </c>
      <c r="DK20" s="408">
        <f t="shared" si="16"/>
        <v>1</v>
      </c>
      <c r="DL20" s="408">
        <f t="shared" si="17"/>
        <v>0</v>
      </c>
      <c r="DM20" s="337"/>
      <c r="DN20" s="337"/>
      <c r="DO20" s="337"/>
      <c r="DP20" s="337"/>
      <c r="DQ20" s="341"/>
      <c r="DR20" s="452" t="str">
        <f t="shared" si="29"/>
        <v>-</v>
      </c>
      <c r="DS20" s="452" t="str">
        <f t="shared" si="18"/>
        <v>-</v>
      </c>
      <c r="DT20" s="341"/>
      <c r="DU20" s="452" t="str">
        <f t="shared" si="19"/>
        <v>-</v>
      </c>
      <c r="DV20" s="452" t="str">
        <f t="shared" si="20"/>
        <v>-</v>
      </c>
      <c r="DW20" s="339">
        <v>3.5879629629629635E-4</v>
      </c>
      <c r="DX20" s="329"/>
    </row>
    <row r="21" spans="1:128" ht="16" x14ac:dyDescent="0.2">
      <c r="A21" s="2" t="s">
        <v>11700</v>
      </c>
      <c r="B21" s="2">
        <v>90</v>
      </c>
      <c r="C21" s="2" t="str">
        <f t="shared" si="21"/>
        <v/>
      </c>
      <c r="D21" s="2" t="s">
        <v>11808</v>
      </c>
      <c r="E21" s="2" t="s">
        <v>11536</v>
      </c>
      <c r="F21" s="2" t="s">
        <v>37</v>
      </c>
      <c r="G21" s="2" t="s">
        <v>35</v>
      </c>
      <c r="H21" s="2" t="s">
        <v>35</v>
      </c>
      <c r="I21" s="2" t="s">
        <v>11699</v>
      </c>
      <c r="J21" s="2" t="s">
        <v>35</v>
      </c>
      <c r="K21" s="2" t="str">
        <f t="shared" si="22"/>
        <v/>
      </c>
      <c r="L21" s="2" t="s">
        <v>35</v>
      </c>
      <c r="M21" s="2" t="str">
        <f t="shared" si="23"/>
        <v/>
      </c>
      <c r="N21" s="2">
        <v>3</v>
      </c>
      <c r="O21" s="2" t="str">
        <f t="shared" si="24"/>
        <v/>
      </c>
      <c r="P21" s="2" t="s">
        <v>35</v>
      </c>
      <c r="Q21" s="2" t="str">
        <f t="shared" si="25"/>
        <v/>
      </c>
      <c r="R21" s="2" t="s">
        <v>35</v>
      </c>
      <c r="S21" s="2"/>
      <c r="T21" s="2" t="str">
        <f>IF(OR(BD21&lt;&gt;"", CC21&lt;&gt;"", DH21&lt;&gt;""), "x", "")</f>
        <v/>
      </c>
      <c r="U21" s="2" t="s">
        <v>35</v>
      </c>
      <c r="V21" s="2" t="str">
        <f t="shared" si="27"/>
        <v/>
      </c>
      <c r="W21" s="3"/>
      <c r="X21" s="2" t="s">
        <v>11535</v>
      </c>
      <c r="Y21" s="2" t="s">
        <v>31</v>
      </c>
      <c r="Z21" s="2" t="s">
        <v>11698</v>
      </c>
      <c r="AA21" s="2" t="s">
        <v>11697</v>
      </c>
      <c r="AB21" s="2" t="s">
        <v>11532</v>
      </c>
      <c r="AC21" s="2">
        <v>54883</v>
      </c>
      <c r="AD21" s="2" t="s">
        <v>11696</v>
      </c>
      <c r="AE21" s="11">
        <v>43352.470960648148</v>
      </c>
      <c r="AF21" s="11">
        <v>43352.471226851849</v>
      </c>
      <c r="AG21" s="278">
        <v>0</v>
      </c>
      <c r="AH21" s="277">
        <f t="shared" si="0"/>
        <v>2.6620370044838637E-4</v>
      </c>
      <c r="AI21" s="277">
        <f t="shared" si="28"/>
        <v>6.1342592380242422E-4</v>
      </c>
      <c r="AJ21" s="276">
        <v>43352.454861111109</v>
      </c>
      <c r="AK21" s="275" t="str">
        <f t="shared" si="1"/>
        <v>https://captureandgo.cloudlab.zhaw.ch/images/images-1662801501364-470444254.jpg</v>
      </c>
      <c r="AW21" s="408" t="str">
        <f t="shared" si="2"/>
        <v>-</v>
      </c>
      <c r="AX21" s="408" t="str">
        <f t="shared" si="3"/>
        <v>-</v>
      </c>
      <c r="AZ21" s="342" t="str">
        <f t="shared" si="4"/>
        <v>-</v>
      </c>
      <c r="BA21" s="408" t="str">
        <f t="shared" si="5"/>
        <v>-</v>
      </c>
      <c r="BF21" s="408" t="str">
        <f t="shared" si="6"/>
        <v>-</v>
      </c>
      <c r="BG21" s="408" t="str">
        <f t="shared" si="7"/>
        <v>-</v>
      </c>
      <c r="BO21" s="329"/>
      <c r="CJ21" s="452" t="str">
        <f t="shared" si="8"/>
        <v>-</v>
      </c>
      <c r="CK21" s="452" t="str">
        <f t="shared" si="9"/>
        <v>-</v>
      </c>
      <c r="CM21" s="327" t="str">
        <f t="shared" si="10"/>
        <v>-</v>
      </c>
      <c r="CN21" s="453" t="str">
        <f t="shared" si="11"/>
        <v>-</v>
      </c>
      <c r="CP21" s="329"/>
      <c r="DA21" s="408" t="str">
        <f t="shared" si="12"/>
        <v>-</v>
      </c>
      <c r="DB21" s="408" t="str">
        <f t="shared" si="13"/>
        <v>-</v>
      </c>
      <c r="DD21" s="408" t="str">
        <f t="shared" si="14"/>
        <v>-</v>
      </c>
      <c r="DE21" s="408" t="str">
        <f t="shared" si="15"/>
        <v>-</v>
      </c>
      <c r="DI21" t="s">
        <v>9801</v>
      </c>
      <c r="DK21" s="408" t="str">
        <f t="shared" si="16"/>
        <v>-</v>
      </c>
      <c r="DL21" s="408" t="str">
        <f t="shared" si="17"/>
        <v>-</v>
      </c>
      <c r="DR21" s="452" t="str">
        <f>IF(AND(U21&lt;&gt;"",DQ21&lt;&gt;""), ABS(DQ21/U21-1), "-")</f>
        <v>-</v>
      </c>
      <c r="DS21" s="452" t="str">
        <f t="shared" si="18"/>
        <v>-</v>
      </c>
      <c r="DU21" s="452" t="str">
        <f t="shared" si="19"/>
        <v>-</v>
      </c>
      <c r="DV21" s="452" t="str">
        <f t="shared" si="20"/>
        <v>-</v>
      </c>
      <c r="DX21" s="329"/>
    </row>
    <row r="22" spans="1:128" ht="16" x14ac:dyDescent="0.2">
      <c r="A22" s="2" t="s">
        <v>11695</v>
      </c>
      <c r="B22" s="2">
        <v>91</v>
      </c>
      <c r="C22" s="2" t="str">
        <f t="shared" si="21"/>
        <v>x</v>
      </c>
      <c r="D22" s="2" t="s">
        <v>11809</v>
      </c>
      <c r="E22" s="2" t="s">
        <v>11536</v>
      </c>
      <c r="F22" s="2" t="s">
        <v>37</v>
      </c>
      <c r="G22" s="2" t="s">
        <v>35</v>
      </c>
      <c r="H22" s="2" t="s">
        <v>35</v>
      </c>
      <c r="I22" s="2" t="s">
        <v>35</v>
      </c>
      <c r="J22" s="2" t="s">
        <v>35</v>
      </c>
      <c r="K22" s="2" t="str">
        <f t="shared" si="22"/>
        <v/>
      </c>
      <c r="L22" s="2" t="s">
        <v>35</v>
      </c>
      <c r="M22" s="2" t="str">
        <f t="shared" si="23"/>
        <v/>
      </c>
      <c r="N22" s="2">
        <v>4</v>
      </c>
      <c r="O22" s="2" t="str">
        <f t="shared" si="24"/>
        <v>x</v>
      </c>
      <c r="P22" s="2" t="s">
        <v>35</v>
      </c>
      <c r="Q22" s="2" t="str">
        <f t="shared" si="25"/>
        <v/>
      </c>
      <c r="R22" s="2" t="s">
        <v>35</v>
      </c>
      <c r="S22" s="2"/>
      <c r="T22" s="2" t="str">
        <f t="shared" si="26"/>
        <v/>
      </c>
      <c r="U22" s="2" t="s">
        <v>35</v>
      </c>
      <c r="V22" s="2" t="str">
        <f t="shared" si="27"/>
        <v/>
      </c>
      <c r="W22" s="3"/>
      <c r="X22" s="2" t="s">
        <v>11535</v>
      </c>
      <c r="Y22" s="2" t="s">
        <v>31</v>
      </c>
      <c r="Z22" s="2" t="s">
        <v>11694</v>
      </c>
      <c r="AA22" s="2" t="s">
        <v>11693</v>
      </c>
      <c r="AB22" s="2" t="s">
        <v>11532</v>
      </c>
      <c r="AC22" s="2">
        <v>49889</v>
      </c>
      <c r="AD22" s="2" t="s">
        <v>11692</v>
      </c>
      <c r="AE22" s="11">
        <v>43352.472453703704</v>
      </c>
      <c r="AF22" s="11">
        <v>43352.472569444442</v>
      </c>
      <c r="AG22" s="278">
        <v>0</v>
      </c>
      <c r="AH22" s="277">
        <f t="shared" si="0"/>
        <v>1.1574073869269341E-4</v>
      </c>
      <c r="AI22" s="277">
        <f t="shared" si="28"/>
        <v>1.3425925935734995E-3</v>
      </c>
      <c r="AJ22" s="276">
        <v>43352.454861111109</v>
      </c>
      <c r="AK22" s="275" t="str">
        <f t="shared" si="1"/>
        <v>https://captureandgo.cloudlab.zhaw.ch/images/images-1662801626194-370442936.jpg</v>
      </c>
      <c r="AW22" s="408" t="str">
        <f t="shared" si="2"/>
        <v>-</v>
      </c>
      <c r="AX22" s="408" t="str">
        <f t="shared" si="3"/>
        <v>-</v>
      </c>
      <c r="AZ22" s="342" t="str">
        <f t="shared" si="4"/>
        <v>-</v>
      </c>
      <c r="BA22" s="408" t="str">
        <f t="shared" si="5"/>
        <v>-</v>
      </c>
      <c r="BF22" s="408" t="str">
        <f t="shared" si="6"/>
        <v>-</v>
      </c>
      <c r="BG22" s="408" t="str">
        <f t="shared" si="7"/>
        <v>-</v>
      </c>
      <c r="BO22" s="441">
        <v>32</v>
      </c>
      <c r="BP22" s="339">
        <v>0</v>
      </c>
      <c r="BQ22" s="337" t="s">
        <v>11488</v>
      </c>
      <c r="BR22" t="s">
        <v>37</v>
      </c>
      <c r="BS22" s="337"/>
      <c r="BT22" s="337"/>
      <c r="BU22" s="337"/>
      <c r="BV22" s="337"/>
      <c r="BW22" s="337"/>
      <c r="BX22" s="337"/>
      <c r="BY22" s="337"/>
      <c r="BZ22" s="337"/>
      <c r="CA22" s="340"/>
      <c r="CB22" s="337"/>
      <c r="CC22" s="337"/>
      <c r="CD22" s="337"/>
      <c r="CE22" s="337">
        <v>348.77</v>
      </c>
      <c r="CF22" s="337">
        <v>13.82</v>
      </c>
      <c r="CG22" s="337">
        <v>13.88</v>
      </c>
      <c r="CH22" s="337">
        <v>0.52</v>
      </c>
      <c r="CI22" s="467">
        <v>2</v>
      </c>
      <c r="CJ22" s="327" t="str">
        <f t="shared" si="8"/>
        <v>-</v>
      </c>
      <c r="CK22" s="327" t="str">
        <f t="shared" si="9"/>
        <v>-</v>
      </c>
      <c r="CL22" s="341">
        <v>2</v>
      </c>
      <c r="CM22" s="327">
        <f t="shared" si="10"/>
        <v>0.5</v>
      </c>
      <c r="CN22" s="453">
        <f t="shared" si="11"/>
        <v>0.5</v>
      </c>
      <c r="CO22" s="339">
        <v>4.9768518518518521E-4</v>
      </c>
      <c r="CP22" s="329"/>
      <c r="DA22" s="408" t="str">
        <f t="shared" si="12"/>
        <v>-</v>
      </c>
      <c r="DB22" s="408" t="str">
        <f t="shared" si="13"/>
        <v>-</v>
      </c>
      <c r="DD22" s="408" t="str">
        <f t="shared" si="14"/>
        <v>-</v>
      </c>
      <c r="DE22" s="408" t="str">
        <f t="shared" si="15"/>
        <v>-</v>
      </c>
      <c r="DI22" t="s">
        <v>9801</v>
      </c>
      <c r="DK22" s="408" t="str">
        <f t="shared" si="16"/>
        <v>-</v>
      </c>
      <c r="DL22" s="408" t="str">
        <f t="shared" si="17"/>
        <v>-</v>
      </c>
      <c r="DR22" s="452" t="str">
        <f t="shared" si="29"/>
        <v>-</v>
      </c>
      <c r="DS22" s="452" t="str">
        <f t="shared" si="18"/>
        <v>-</v>
      </c>
      <c r="DU22" s="452" t="str">
        <f t="shared" si="19"/>
        <v>-</v>
      </c>
      <c r="DV22" s="452" t="str">
        <f t="shared" si="20"/>
        <v>-</v>
      </c>
      <c r="DX22" s="329"/>
    </row>
    <row r="23" spans="1:128" ht="16" x14ac:dyDescent="0.2">
      <c r="A23" s="2" t="s">
        <v>11691</v>
      </c>
      <c r="B23" s="2">
        <v>92</v>
      </c>
      <c r="C23" s="2" t="str">
        <f t="shared" si="21"/>
        <v>x</v>
      </c>
      <c r="D23" s="2" t="s">
        <v>11810</v>
      </c>
      <c r="E23" s="2" t="s">
        <v>11536</v>
      </c>
      <c r="F23" s="2" t="s">
        <v>125</v>
      </c>
      <c r="G23" s="2" t="s">
        <v>35</v>
      </c>
      <c r="H23" s="2" t="s">
        <v>35</v>
      </c>
      <c r="I23" s="2" t="s">
        <v>675</v>
      </c>
      <c r="J23" s="2" t="s">
        <v>35</v>
      </c>
      <c r="K23" s="2" t="str">
        <f t="shared" si="22"/>
        <v/>
      </c>
      <c r="L23" s="2" t="s">
        <v>35</v>
      </c>
      <c r="M23" s="2" t="str">
        <f t="shared" si="23"/>
        <v/>
      </c>
      <c r="N23" s="2" t="s">
        <v>35</v>
      </c>
      <c r="O23" s="2" t="str">
        <f t="shared" si="24"/>
        <v/>
      </c>
      <c r="P23" s="2">
        <v>4</v>
      </c>
      <c r="Q23" s="2" t="str">
        <f t="shared" si="25"/>
        <v>x</v>
      </c>
      <c r="R23" s="2" t="s">
        <v>35</v>
      </c>
      <c r="S23" s="2"/>
      <c r="T23" s="2" t="str">
        <f t="shared" si="26"/>
        <v/>
      </c>
      <c r="U23" s="2" t="s">
        <v>35</v>
      </c>
      <c r="V23" s="2" t="str">
        <f>IF(OR(BL23&lt;&gt;"", CJ23&lt;&gt;"-", DR23&lt;&gt;"-"), "x", "")</f>
        <v/>
      </c>
      <c r="W23" s="3"/>
      <c r="X23" s="2" t="s">
        <v>11535</v>
      </c>
      <c r="Y23" s="2" t="s">
        <v>31</v>
      </c>
      <c r="Z23" s="2" t="s">
        <v>11690</v>
      </c>
      <c r="AA23" s="2" t="s">
        <v>11689</v>
      </c>
      <c r="AB23" s="2" t="s">
        <v>11532</v>
      </c>
      <c r="AC23" s="2">
        <v>55924</v>
      </c>
      <c r="AD23" s="2" t="s">
        <v>11688</v>
      </c>
      <c r="AE23" s="11">
        <v>43352.473136574074</v>
      </c>
      <c r="AF23" s="11">
        <v>43352.473275462966</v>
      </c>
      <c r="AG23" s="278">
        <v>0</v>
      </c>
      <c r="AH23" s="277">
        <f t="shared" si="0"/>
        <v>1.3888889225199819E-4</v>
      </c>
      <c r="AI23" s="277">
        <f t="shared" si="28"/>
        <v>7.0601852348772809E-4</v>
      </c>
      <c r="AJ23" s="276">
        <v>43352.454861111109</v>
      </c>
      <c r="AK23" s="275" t="str">
        <f t="shared" si="1"/>
        <v>https://captureandgo.cloudlab.zhaw.ch/images/images-1662801684514-306716491.jpg</v>
      </c>
      <c r="AL23">
        <v>9</v>
      </c>
      <c r="AM23" s="7">
        <v>8.9120370370370362E-4</v>
      </c>
      <c r="AN23" s="110" t="s">
        <v>11458</v>
      </c>
      <c r="AO23" t="s">
        <v>125</v>
      </c>
      <c r="AP23" t="b">
        <v>0</v>
      </c>
      <c r="AR23" t="b">
        <v>0</v>
      </c>
      <c r="AS23" t="s">
        <v>11384</v>
      </c>
      <c r="AT23" t="s">
        <v>940</v>
      </c>
      <c r="AW23" s="408" t="str">
        <f t="shared" si="2"/>
        <v>-</v>
      </c>
      <c r="AX23" s="408" t="str">
        <f t="shared" si="3"/>
        <v>-</v>
      </c>
      <c r="AZ23" s="342" t="str">
        <f t="shared" si="4"/>
        <v>-</v>
      </c>
      <c r="BA23" s="408" t="str">
        <f t="shared" si="5"/>
        <v>-</v>
      </c>
      <c r="BB23" s="28"/>
      <c r="BE23">
        <v>4</v>
      </c>
      <c r="BF23" s="408">
        <f t="shared" si="6"/>
        <v>0</v>
      </c>
      <c r="BG23" s="408">
        <f t="shared" si="7"/>
        <v>1</v>
      </c>
      <c r="BH23" s="337"/>
      <c r="BI23" s="337"/>
      <c r="BJ23" s="337"/>
      <c r="BK23" s="337"/>
      <c r="BL23" s="341"/>
      <c r="BM23" s="341"/>
      <c r="BN23" s="7">
        <v>2.5462962962962961E-4</v>
      </c>
      <c r="BO23" s="329"/>
      <c r="CJ23" s="452" t="str">
        <f t="shared" si="8"/>
        <v>-</v>
      </c>
      <c r="CK23" s="452" t="str">
        <f t="shared" si="9"/>
        <v>-</v>
      </c>
      <c r="CM23" s="327" t="str">
        <f t="shared" si="10"/>
        <v>-</v>
      </c>
      <c r="CN23" s="453" t="str">
        <f t="shared" si="11"/>
        <v>-</v>
      </c>
      <c r="CP23" s="441">
        <v>50</v>
      </c>
      <c r="CQ23" s="339">
        <v>2.3148148148148146E-4</v>
      </c>
      <c r="CR23" s="337" t="s">
        <v>11503</v>
      </c>
      <c r="CS23" s="337" t="s">
        <v>125</v>
      </c>
      <c r="CT23" s="337" t="b">
        <v>0</v>
      </c>
      <c r="CU23" s="337"/>
      <c r="CV23" s="337" t="b">
        <v>0</v>
      </c>
      <c r="CW23" s="337" t="b">
        <v>0</v>
      </c>
      <c r="CX23" t="s">
        <v>940</v>
      </c>
      <c r="CZ23" s="337"/>
      <c r="DA23" s="408" t="str">
        <f t="shared" si="12"/>
        <v>-</v>
      </c>
      <c r="DB23" s="408" t="str">
        <f t="shared" si="13"/>
        <v>-</v>
      </c>
      <c r="DC23" s="337"/>
      <c r="DD23" s="408" t="str">
        <f t="shared" si="14"/>
        <v>-</v>
      </c>
      <c r="DE23" s="408" t="str">
        <f t="shared" si="15"/>
        <v>-</v>
      </c>
      <c r="DF23" s="340"/>
      <c r="DG23" s="337"/>
      <c r="DH23" s="337"/>
      <c r="DI23" t="s">
        <v>9801</v>
      </c>
      <c r="DJ23" s="337">
        <v>7</v>
      </c>
      <c r="DK23" s="408">
        <f t="shared" si="16"/>
        <v>0.75</v>
      </c>
      <c r="DL23" s="408">
        <f t="shared" si="17"/>
        <v>0.25</v>
      </c>
      <c r="DM23" s="337"/>
      <c r="DN23" s="337"/>
      <c r="DO23" s="337"/>
      <c r="DP23" s="337"/>
      <c r="DQ23" s="341"/>
      <c r="DR23" s="452" t="str">
        <f t="shared" si="29"/>
        <v>-</v>
      </c>
      <c r="DS23" s="452" t="str">
        <f t="shared" si="18"/>
        <v>-</v>
      </c>
      <c r="DT23" s="341"/>
      <c r="DU23" s="452" t="str">
        <f t="shared" si="19"/>
        <v>-</v>
      </c>
      <c r="DV23" s="452" t="str">
        <f t="shared" si="20"/>
        <v>-</v>
      </c>
      <c r="DW23" s="339">
        <v>2.6620370370370372E-4</v>
      </c>
      <c r="DX23" s="329"/>
    </row>
    <row r="24" spans="1:128" ht="16" x14ac:dyDescent="0.2">
      <c r="A24" s="2" t="s">
        <v>11687</v>
      </c>
      <c r="B24" s="2">
        <v>93</v>
      </c>
      <c r="C24" s="2" t="str">
        <f t="shared" si="21"/>
        <v>x</v>
      </c>
      <c r="D24" s="2" t="s">
        <v>11811</v>
      </c>
      <c r="E24" s="2" t="s">
        <v>11536</v>
      </c>
      <c r="F24" s="2" t="s">
        <v>125</v>
      </c>
      <c r="G24" s="2" t="s">
        <v>35</v>
      </c>
      <c r="H24" s="2" t="s">
        <v>35</v>
      </c>
      <c r="I24" s="2" t="s">
        <v>675</v>
      </c>
      <c r="J24" s="2" t="s">
        <v>35</v>
      </c>
      <c r="K24" s="2" t="str">
        <f t="shared" si="22"/>
        <v/>
      </c>
      <c r="L24" s="2" t="s">
        <v>35</v>
      </c>
      <c r="M24" s="2" t="str">
        <f t="shared" si="23"/>
        <v/>
      </c>
      <c r="N24" s="2" t="s">
        <v>35</v>
      </c>
      <c r="O24" s="2" t="str">
        <f t="shared" si="24"/>
        <v/>
      </c>
      <c r="P24" s="2">
        <v>4</v>
      </c>
      <c r="Q24" s="2" t="str">
        <f t="shared" si="25"/>
        <v>x</v>
      </c>
      <c r="R24" s="2" t="s">
        <v>35</v>
      </c>
      <c r="S24" s="2"/>
      <c r="T24" s="2" t="str">
        <f t="shared" si="26"/>
        <v/>
      </c>
      <c r="U24" s="2" t="s">
        <v>35</v>
      </c>
      <c r="V24" s="2" t="str">
        <f t="shared" si="27"/>
        <v/>
      </c>
      <c r="W24" s="3"/>
      <c r="X24" s="2" t="s">
        <v>11535</v>
      </c>
      <c r="Y24" s="2" t="s">
        <v>31</v>
      </c>
      <c r="Z24" s="2" t="s">
        <v>11686</v>
      </c>
      <c r="AA24" s="2" t="s">
        <v>11685</v>
      </c>
      <c r="AB24" s="2" t="s">
        <v>11532</v>
      </c>
      <c r="AC24" s="2">
        <v>54394</v>
      </c>
      <c r="AD24" s="2" t="s">
        <v>11684</v>
      </c>
      <c r="AE24" s="11">
        <v>43352.473668981482</v>
      </c>
      <c r="AF24" s="11">
        <v>43352.47384259259</v>
      </c>
      <c r="AG24" s="278">
        <v>0</v>
      </c>
      <c r="AH24" s="277">
        <f t="shared" si="0"/>
        <v>1.7361110803904012E-4</v>
      </c>
      <c r="AI24" s="277">
        <f t="shared" si="28"/>
        <v>5.6712962395977229E-4</v>
      </c>
      <c r="AJ24" s="276">
        <v>43352.454861111109</v>
      </c>
      <c r="AK24" s="275" t="str">
        <f t="shared" si="1"/>
        <v>https://captureandgo.cloudlab.zhaw.ch/images/images-1662801733232-730021556.jpg</v>
      </c>
      <c r="AL24">
        <v>9</v>
      </c>
      <c r="AM24" s="7">
        <v>8.9120370370370362E-4</v>
      </c>
      <c r="AN24" s="110" t="s">
        <v>11458</v>
      </c>
      <c r="AO24" t="s">
        <v>125</v>
      </c>
      <c r="AP24" t="b">
        <v>0</v>
      </c>
      <c r="AR24" t="b">
        <v>0</v>
      </c>
      <c r="AS24" t="s">
        <v>11384</v>
      </c>
      <c r="AT24" t="s">
        <v>940</v>
      </c>
      <c r="AW24" s="408" t="str">
        <f t="shared" si="2"/>
        <v>-</v>
      </c>
      <c r="AX24" s="408" t="str">
        <f t="shared" ref="AX24" si="30">IF(AW24&lt;&gt;"-", 1-AW24, "-")</f>
        <v>-</v>
      </c>
      <c r="AZ24" s="342" t="str">
        <f t="shared" si="4"/>
        <v>-</v>
      </c>
      <c r="BA24" s="408" t="str">
        <f t="shared" ref="BA24" si="31">IF(AZ24&lt;&gt;"-", 1-AZ24, "-")</f>
        <v>-</v>
      </c>
      <c r="BB24" s="28"/>
      <c r="BE24">
        <v>4</v>
      </c>
      <c r="BF24" s="408">
        <f t="shared" si="6"/>
        <v>0</v>
      </c>
      <c r="BG24" s="408">
        <f t="shared" si="7"/>
        <v>1</v>
      </c>
      <c r="BH24" s="337"/>
      <c r="BI24" s="337"/>
      <c r="BJ24" s="337"/>
      <c r="BK24" s="337"/>
      <c r="BL24" s="341"/>
      <c r="BM24" s="341"/>
      <c r="BN24" s="7">
        <v>2.5462962962962961E-4</v>
      </c>
      <c r="BO24" s="329"/>
      <c r="CJ24" s="452" t="str">
        <f t="shared" si="8"/>
        <v>-</v>
      </c>
      <c r="CK24" s="452" t="str">
        <f t="shared" si="9"/>
        <v>-</v>
      </c>
      <c r="CM24" s="327" t="str">
        <f t="shared" si="10"/>
        <v>-</v>
      </c>
      <c r="CN24" s="453" t="str">
        <f t="shared" si="11"/>
        <v>-</v>
      </c>
      <c r="CP24" s="441">
        <v>50</v>
      </c>
      <c r="CQ24" s="339">
        <v>2.3148148148148146E-4</v>
      </c>
      <c r="CR24" s="337" t="s">
        <v>11503</v>
      </c>
      <c r="CS24" s="337" t="s">
        <v>125</v>
      </c>
      <c r="CT24" s="337" t="b">
        <v>0</v>
      </c>
      <c r="CU24" s="337"/>
      <c r="CV24" s="337" t="b">
        <v>0</v>
      </c>
      <c r="CW24" s="337" t="b">
        <v>0</v>
      </c>
      <c r="CX24" t="s">
        <v>940</v>
      </c>
      <c r="CZ24" s="337"/>
      <c r="DA24" s="408" t="str">
        <f t="shared" si="12"/>
        <v>-</v>
      </c>
      <c r="DB24" s="408" t="str">
        <f t="shared" si="13"/>
        <v>-</v>
      </c>
      <c r="DC24" s="337"/>
      <c r="DD24" s="408" t="str">
        <f t="shared" si="14"/>
        <v>-</v>
      </c>
      <c r="DE24" s="408" t="str">
        <f t="shared" si="15"/>
        <v>-</v>
      </c>
      <c r="DF24" s="340"/>
      <c r="DG24" s="337"/>
      <c r="DH24" s="337"/>
      <c r="DI24" t="s">
        <v>9801</v>
      </c>
      <c r="DJ24" s="337">
        <v>7</v>
      </c>
      <c r="DK24" s="408">
        <f t="shared" si="16"/>
        <v>0.75</v>
      </c>
      <c r="DL24" s="408">
        <f t="shared" si="17"/>
        <v>0.25</v>
      </c>
      <c r="DM24" s="337"/>
      <c r="DN24" s="337"/>
      <c r="DO24" s="337"/>
      <c r="DP24" s="337"/>
      <c r="DQ24" s="341"/>
      <c r="DR24" s="452" t="str">
        <f t="shared" si="29"/>
        <v>-</v>
      </c>
      <c r="DS24" s="452" t="str">
        <f t="shared" si="18"/>
        <v>-</v>
      </c>
      <c r="DT24" s="341"/>
      <c r="DU24" s="452" t="str">
        <f t="shared" si="19"/>
        <v>-</v>
      </c>
      <c r="DV24" s="452" t="str">
        <f t="shared" si="20"/>
        <v>-</v>
      </c>
      <c r="DW24" s="339">
        <v>2.6620370370370372E-4</v>
      </c>
      <c r="DX24" s="329"/>
    </row>
    <row r="25" spans="1:128" ht="16" x14ac:dyDescent="0.2">
      <c r="A25" s="2" t="s">
        <v>11683</v>
      </c>
      <c r="B25" s="2">
        <v>94</v>
      </c>
      <c r="C25" s="2" t="str">
        <f t="shared" si="21"/>
        <v/>
      </c>
      <c r="D25" s="2" t="s">
        <v>11812</v>
      </c>
      <c r="E25" s="2" t="s">
        <v>11536</v>
      </c>
      <c r="F25" s="2" t="s">
        <v>37</v>
      </c>
      <c r="G25" s="2" t="s">
        <v>35</v>
      </c>
      <c r="H25" s="2" t="s">
        <v>35</v>
      </c>
      <c r="I25" s="2" t="s">
        <v>35</v>
      </c>
      <c r="J25" s="2" t="s">
        <v>35</v>
      </c>
      <c r="K25" s="2" t="str">
        <f t="shared" si="22"/>
        <v/>
      </c>
      <c r="L25" s="2" t="s">
        <v>35</v>
      </c>
      <c r="M25" s="2" t="str">
        <f t="shared" si="23"/>
        <v/>
      </c>
      <c r="N25" s="2">
        <v>3</v>
      </c>
      <c r="O25" s="2" t="str">
        <f t="shared" si="24"/>
        <v/>
      </c>
      <c r="P25" s="2" t="s">
        <v>35</v>
      </c>
      <c r="Q25" s="2" t="str">
        <f t="shared" si="25"/>
        <v/>
      </c>
      <c r="R25" s="2" t="s">
        <v>35</v>
      </c>
      <c r="S25" s="2"/>
      <c r="T25" s="2" t="str">
        <f t="shared" si="26"/>
        <v/>
      </c>
      <c r="U25" s="2" t="s">
        <v>35</v>
      </c>
      <c r="V25" s="2" t="str">
        <f t="shared" si="27"/>
        <v/>
      </c>
      <c r="W25" s="3"/>
      <c r="X25" s="2" t="s">
        <v>11535</v>
      </c>
      <c r="Y25" s="2" t="s">
        <v>31</v>
      </c>
      <c r="Z25" s="2" t="s">
        <v>11682</v>
      </c>
      <c r="AA25" s="2" t="s">
        <v>11681</v>
      </c>
      <c r="AB25" s="2" t="s">
        <v>11532</v>
      </c>
      <c r="AC25" s="2">
        <v>54766</v>
      </c>
      <c r="AD25" s="2" t="s">
        <v>11680</v>
      </c>
      <c r="AE25" s="11">
        <v>43352.474386574075</v>
      </c>
      <c r="AF25" s="11">
        <v>43352.47451388889</v>
      </c>
      <c r="AG25" s="278">
        <v>0</v>
      </c>
      <c r="AH25" s="277">
        <f t="shared" si="0"/>
        <v>1.273148154723458E-4</v>
      </c>
      <c r="AI25" s="277">
        <f t="shared" si="28"/>
        <v>6.7129630042472854E-4</v>
      </c>
      <c r="AJ25" s="276">
        <v>43352.454861111109</v>
      </c>
      <c r="AK25" s="275" t="str">
        <f t="shared" si="1"/>
        <v>https://captureandgo.cloudlab.zhaw.ch/images/images-1662801791772-275312507.jpg</v>
      </c>
      <c r="AW25" s="408" t="str">
        <f t="shared" si="2"/>
        <v>-</v>
      </c>
      <c r="AX25" s="408" t="str">
        <f t="shared" si="3"/>
        <v>-</v>
      </c>
      <c r="AZ25" s="342" t="str">
        <f t="shared" si="4"/>
        <v>-</v>
      </c>
      <c r="BA25" s="408" t="str">
        <f t="shared" si="5"/>
        <v>-</v>
      </c>
      <c r="BF25" s="408" t="str">
        <f t="shared" si="6"/>
        <v>-</v>
      </c>
      <c r="BG25" s="408" t="str">
        <f t="shared" si="7"/>
        <v>-</v>
      </c>
      <c r="BO25" s="329"/>
      <c r="CJ25" s="452" t="str">
        <f t="shared" si="8"/>
        <v>-</v>
      </c>
      <c r="CK25" s="452" t="str">
        <f t="shared" si="9"/>
        <v>-</v>
      </c>
      <c r="CM25" s="327" t="str">
        <f t="shared" si="10"/>
        <v>-</v>
      </c>
      <c r="CN25" s="453" t="str">
        <f t="shared" si="11"/>
        <v>-</v>
      </c>
      <c r="CP25" s="329"/>
      <c r="DA25" s="408" t="str">
        <f t="shared" si="12"/>
        <v>-</v>
      </c>
      <c r="DB25" s="408" t="str">
        <f t="shared" si="13"/>
        <v>-</v>
      </c>
      <c r="DD25" s="408" t="str">
        <f t="shared" si="14"/>
        <v>-</v>
      </c>
      <c r="DE25" s="408" t="str">
        <f t="shared" si="15"/>
        <v>-</v>
      </c>
      <c r="DI25" t="s">
        <v>9801</v>
      </c>
      <c r="DK25" s="408" t="str">
        <f t="shared" si="16"/>
        <v>-</v>
      </c>
      <c r="DL25" s="408" t="str">
        <f t="shared" si="17"/>
        <v>-</v>
      </c>
      <c r="DR25" s="452" t="str">
        <f t="shared" si="29"/>
        <v>-</v>
      </c>
      <c r="DS25" s="452" t="str">
        <f t="shared" si="18"/>
        <v>-</v>
      </c>
      <c r="DU25" s="452" t="str">
        <f t="shared" si="19"/>
        <v>-</v>
      </c>
      <c r="DV25" s="452" t="str">
        <f t="shared" si="20"/>
        <v>-</v>
      </c>
      <c r="DX25" s="329"/>
    </row>
    <row r="26" spans="1:128" ht="16" x14ac:dyDescent="0.2">
      <c r="A26" s="2" t="s">
        <v>11679</v>
      </c>
      <c r="B26" s="2">
        <v>95</v>
      </c>
      <c r="C26" s="2" t="str">
        <f t="shared" si="21"/>
        <v/>
      </c>
      <c r="D26" s="2" t="s">
        <v>11813</v>
      </c>
      <c r="E26" s="2" t="s">
        <v>11536</v>
      </c>
      <c r="F26" s="2" t="s">
        <v>37</v>
      </c>
      <c r="G26" s="2" t="s">
        <v>35</v>
      </c>
      <c r="H26" s="2" t="s">
        <v>35</v>
      </c>
      <c r="I26" s="2" t="s">
        <v>35</v>
      </c>
      <c r="J26" s="2" t="s">
        <v>35</v>
      </c>
      <c r="K26" s="2" t="str">
        <f t="shared" si="22"/>
        <v/>
      </c>
      <c r="L26" s="2" t="s">
        <v>35</v>
      </c>
      <c r="M26" s="2" t="str">
        <f t="shared" si="23"/>
        <v/>
      </c>
      <c r="N26" s="2">
        <v>4</v>
      </c>
      <c r="O26" s="2" t="str">
        <f t="shared" si="24"/>
        <v/>
      </c>
      <c r="P26" s="2" t="s">
        <v>35</v>
      </c>
      <c r="Q26" s="2" t="str">
        <f t="shared" si="25"/>
        <v/>
      </c>
      <c r="R26" s="2" t="s">
        <v>35</v>
      </c>
      <c r="S26" s="2"/>
      <c r="T26" s="2" t="str">
        <f t="shared" si="26"/>
        <v/>
      </c>
      <c r="U26" s="2" t="s">
        <v>35</v>
      </c>
      <c r="V26" s="2" t="str">
        <f t="shared" si="27"/>
        <v/>
      </c>
      <c r="W26" s="3"/>
      <c r="X26" s="2" t="s">
        <v>11535</v>
      </c>
      <c r="Y26" s="2" t="s">
        <v>31</v>
      </c>
      <c r="Z26" s="2" t="s">
        <v>11678</v>
      </c>
      <c r="AA26" s="2" t="s">
        <v>11677</v>
      </c>
      <c r="AB26" s="2" t="s">
        <v>11532</v>
      </c>
      <c r="AC26" s="2">
        <v>53143</v>
      </c>
      <c r="AD26" s="2" t="s">
        <v>11676</v>
      </c>
      <c r="AE26" s="11">
        <v>43352.475115740737</v>
      </c>
      <c r="AF26" s="11">
        <v>43352.475266203706</v>
      </c>
      <c r="AG26" s="278">
        <v>0</v>
      </c>
      <c r="AH26" s="277">
        <f t="shared" si="0"/>
        <v>1.5046296903165057E-4</v>
      </c>
      <c r="AI26" s="277">
        <f t="shared" si="28"/>
        <v>7.5231481605442241E-4</v>
      </c>
      <c r="AJ26" s="276">
        <v>43352.454861111109</v>
      </c>
      <c r="AK26" s="275" t="str">
        <f t="shared" si="1"/>
        <v>https://captureandgo.cloudlab.zhaw.ch/images/images-1662801855044-456960861.jpg</v>
      </c>
      <c r="AW26" s="408" t="str">
        <f t="shared" si="2"/>
        <v>-</v>
      </c>
      <c r="AX26" s="408" t="str">
        <f t="shared" si="3"/>
        <v>-</v>
      </c>
      <c r="AZ26" s="342" t="str">
        <f t="shared" si="4"/>
        <v>-</v>
      </c>
      <c r="BA26" s="408" t="str">
        <f t="shared" si="5"/>
        <v>-</v>
      </c>
      <c r="BF26" s="408" t="str">
        <f t="shared" si="6"/>
        <v>-</v>
      </c>
      <c r="BG26" s="408" t="str">
        <f t="shared" si="7"/>
        <v>-</v>
      </c>
      <c r="BO26" s="329"/>
      <c r="CJ26" s="452" t="str">
        <f t="shared" si="8"/>
        <v>-</v>
      </c>
      <c r="CK26" s="452" t="str">
        <f t="shared" si="9"/>
        <v>-</v>
      </c>
      <c r="CM26" s="327" t="str">
        <f t="shared" si="10"/>
        <v>-</v>
      </c>
      <c r="CN26" s="453" t="str">
        <f t="shared" si="11"/>
        <v>-</v>
      </c>
      <c r="CP26" s="329"/>
      <c r="DA26" s="408" t="str">
        <f t="shared" si="12"/>
        <v>-</v>
      </c>
      <c r="DB26" s="408" t="str">
        <f t="shared" si="13"/>
        <v>-</v>
      </c>
      <c r="DD26" s="408" t="str">
        <f t="shared" si="14"/>
        <v>-</v>
      </c>
      <c r="DE26" s="408" t="str">
        <f t="shared" si="15"/>
        <v>-</v>
      </c>
      <c r="DI26" t="s">
        <v>9801</v>
      </c>
      <c r="DK26" s="408" t="str">
        <f t="shared" si="16"/>
        <v>-</v>
      </c>
      <c r="DL26" s="408" t="str">
        <f t="shared" si="17"/>
        <v>-</v>
      </c>
      <c r="DR26" s="452" t="str">
        <f t="shared" si="29"/>
        <v>-</v>
      </c>
      <c r="DS26" s="452" t="str">
        <f t="shared" si="18"/>
        <v>-</v>
      </c>
      <c r="DU26" s="452" t="str">
        <f t="shared" si="19"/>
        <v>-</v>
      </c>
      <c r="DV26" s="452" t="str">
        <f t="shared" si="20"/>
        <v>-</v>
      </c>
      <c r="DX26" s="329"/>
    </row>
    <row r="27" spans="1:128" ht="16" x14ac:dyDescent="0.2">
      <c r="A27" s="2" t="s">
        <v>11675</v>
      </c>
      <c r="B27" s="2">
        <v>96</v>
      </c>
      <c r="C27" s="2" t="str">
        <f t="shared" si="21"/>
        <v/>
      </c>
      <c r="D27" s="2" t="s">
        <v>11814</v>
      </c>
      <c r="E27" s="2" t="s">
        <v>11536</v>
      </c>
      <c r="F27" s="2" t="s">
        <v>37</v>
      </c>
      <c r="G27" s="2" t="s">
        <v>35</v>
      </c>
      <c r="H27" s="2" t="s">
        <v>35</v>
      </c>
      <c r="I27" s="2" t="s">
        <v>35</v>
      </c>
      <c r="J27" s="2" t="s">
        <v>35</v>
      </c>
      <c r="K27" s="2" t="str">
        <f t="shared" si="22"/>
        <v/>
      </c>
      <c r="L27" s="2" t="s">
        <v>35</v>
      </c>
      <c r="M27" s="2" t="str">
        <f t="shared" si="23"/>
        <v/>
      </c>
      <c r="N27" s="2">
        <v>3</v>
      </c>
      <c r="O27" s="2" t="str">
        <f t="shared" si="24"/>
        <v/>
      </c>
      <c r="P27" s="2" t="s">
        <v>35</v>
      </c>
      <c r="Q27" s="2" t="str">
        <f t="shared" si="25"/>
        <v/>
      </c>
      <c r="R27" s="2" t="s">
        <v>35</v>
      </c>
      <c r="S27" s="2"/>
      <c r="T27" s="2" t="str">
        <f t="shared" si="26"/>
        <v/>
      </c>
      <c r="U27" s="2" t="s">
        <v>35</v>
      </c>
      <c r="V27" s="2" t="str">
        <f t="shared" si="27"/>
        <v/>
      </c>
      <c r="W27" s="3"/>
      <c r="X27" s="2" t="s">
        <v>11535</v>
      </c>
      <c r="Y27" s="2" t="s">
        <v>31</v>
      </c>
      <c r="Z27" s="2" t="s">
        <v>11674</v>
      </c>
      <c r="AA27" s="2" t="s">
        <v>11673</v>
      </c>
      <c r="AB27" s="2" t="s">
        <v>11532</v>
      </c>
      <c r="AC27" s="2">
        <v>51188</v>
      </c>
      <c r="AD27" s="2" t="s">
        <v>11672</v>
      </c>
      <c r="AE27" s="11">
        <v>43352.475983796299</v>
      </c>
      <c r="AF27" s="11">
        <v>43352.476099537038</v>
      </c>
      <c r="AG27" s="278">
        <v>0</v>
      </c>
      <c r="AH27" s="277">
        <f t="shared" si="0"/>
        <v>1.1574073869269341E-4</v>
      </c>
      <c r="AI27" s="277">
        <f t="shared" si="28"/>
        <v>8.3333333168411627E-4</v>
      </c>
      <c r="AJ27" s="276">
        <v>43352.454861111109</v>
      </c>
      <c r="AK27" s="275" t="str">
        <f t="shared" si="1"/>
        <v>https://captureandgo.cloudlab.zhaw.ch/images/images-1662801932097-464052351.jpg</v>
      </c>
      <c r="AW27" s="408" t="str">
        <f t="shared" si="2"/>
        <v>-</v>
      </c>
      <c r="AX27" s="408" t="str">
        <f t="shared" si="3"/>
        <v>-</v>
      </c>
      <c r="AZ27" s="342" t="str">
        <f t="shared" si="4"/>
        <v>-</v>
      </c>
      <c r="BA27" s="408" t="str">
        <f t="shared" si="5"/>
        <v>-</v>
      </c>
      <c r="BF27" s="408" t="str">
        <f t="shared" si="6"/>
        <v>-</v>
      </c>
      <c r="BG27" s="408" t="str">
        <f t="shared" si="7"/>
        <v>-</v>
      </c>
      <c r="BO27" s="329"/>
      <c r="CJ27" s="452" t="str">
        <f t="shared" si="8"/>
        <v>-</v>
      </c>
      <c r="CK27" s="452" t="str">
        <f t="shared" si="9"/>
        <v>-</v>
      </c>
      <c r="CM27" s="327" t="str">
        <f t="shared" si="10"/>
        <v>-</v>
      </c>
      <c r="CN27" s="453" t="str">
        <f t="shared" si="11"/>
        <v>-</v>
      </c>
      <c r="CP27" s="329"/>
      <c r="DA27" s="408" t="str">
        <f t="shared" si="12"/>
        <v>-</v>
      </c>
      <c r="DB27" s="408" t="str">
        <f t="shared" si="13"/>
        <v>-</v>
      </c>
      <c r="DD27" s="408" t="str">
        <f t="shared" si="14"/>
        <v>-</v>
      </c>
      <c r="DE27" s="408" t="str">
        <f t="shared" si="15"/>
        <v>-</v>
      </c>
      <c r="DI27" t="s">
        <v>9801</v>
      </c>
      <c r="DK27" s="408" t="str">
        <f t="shared" si="16"/>
        <v>-</v>
      </c>
      <c r="DL27" s="408" t="str">
        <f t="shared" si="17"/>
        <v>-</v>
      </c>
      <c r="DR27" s="452" t="str">
        <f t="shared" si="29"/>
        <v>-</v>
      </c>
      <c r="DS27" s="452" t="str">
        <f t="shared" si="18"/>
        <v>-</v>
      </c>
      <c r="DU27" s="452" t="str">
        <f t="shared" si="19"/>
        <v>-</v>
      </c>
      <c r="DV27" s="452" t="str">
        <f t="shared" si="20"/>
        <v>-</v>
      </c>
      <c r="DX27" s="329"/>
    </row>
    <row r="28" spans="1:128" ht="16" x14ac:dyDescent="0.2">
      <c r="A28" s="2" t="s">
        <v>11671</v>
      </c>
      <c r="B28" s="2">
        <v>97</v>
      </c>
      <c r="C28" s="2" t="str">
        <f t="shared" si="21"/>
        <v>x</v>
      </c>
      <c r="D28" s="2" t="s">
        <v>11815</v>
      </c>
      <c r="E28" s="2" t="s">
        <v>11536</v>
      </c>
      <c r="F28" s="2" t="s">
        <v>125</v>
      </c>
      <c r="G28" s="2" t="s">
        <v>35</v>
      </c>
      <c r="H28" s="2" t="s">
        <v>35</v>
      </c>
      <c r="I28" s="2" t="s">
        <v>675</v>
      </c>
      <c r="J28" s="2" t="s">
        <v>35</v>
      </c>
      <c r="K28" s="2" t="str">
        <f t="shared" si="22"/>
        <v/>
      </c>
      <c r="L28" s="2" t="s">
        <v>35</v>
      </c>
      <c r="M28" s="2" t="str">
        <f t="shared" si="23"/>
        <v/>
      </c>
      <c r="N28" s="2" t="s">
        <v>35</v>
      </c>
      <c r="O28" s="2" t="str">
        <f t="shared" si="24"/>
        <v/>
      </c>
      <c r="P28" s="2">
        <v>4</v>
      </c>
      <c r="Q28" s="2" t="str">
        <f t="shared" si="25"/>
        <v>x</v>
      </c>
      <c r="R28" s="2" t="s">
        <v>35</v>
      </c>
      <c r="S28" s="2"/>
      <c r="T28" s="2" t="str">
        <f t="shared" si="26"/>
        <v/>
      </c>
      <c r="U28" s="2" t="s">
        <v>35</v>
      </c>
      <c r="V28" s="2" t="str">
        <f t="shared" si="27"/>
        <v/>
      </c>
      <c r="W28" s="3"/>
      <c r="X28" s="2" t="s">
        <v>11535</v>
      </c>
      <c r="Y28" s="2" t="s">
        <v>31</v>
      </c>
      <c r="Z28" s="2" t="s">
        <v>35</v>
      </c>
      <c r="AA28" s="2" t="s">
        <v>35</v>
      </c>
      <c r="AB28" s="2" t="s">
        <v>35</v>
      </c>
      <c r="AC28" s="2" t="s">
        <v>35</v>
      </c>
      <c r="AD28" s="2" t="s">
        <v>35</v>
      </c>
      <c r="AE28" s="11">
        <v>43352.476215277777</v>
      </c>
      <c r="AF28" s="11">
        <v>43352.476342592592</v>
      </c>
      <c r="AG28" s="278">
        <v>0</v>
      </c>
      <c r="AH28" s="277">
        <f t="shared" si="0"/>
        <v>1.273148154723458E-4</v>
      </c>
      <c r="AI28" s="277">
        <f t="shared" si="28"/>
        <v>2.4305555416503921E-4</v>
      </c>
      <c r="AJ28" s="276">
        <v>43352.454861111109</v>
      </c>
      <c r="AK28" s="275"/>
      <c r="AL28">
        <v>8</v>
      </c>
      <c r="AM28" s="7">
        <v>7.8703703703703705E-4</v>
      </c>
      <c r="AN28" s="110" t="s">
        <v>11457</v>
      </c>
      <c r="AO28" t="s">
        <v>125</v>
      </c>
      <c r="AP28" t="b">
        <v>0</v>
      </c>
      <c r="AR28" t="b">
        <v>0</v>
      </c>
      <c r="AS28" t="s">
        <v>11384</v>
      </c>
      <c r="AT28" t="s">
        <v>940</v>
      </c>
      <c r="AW28" s="408" t="str">
        <f t="shared" si="2"/>
        <v>-</v>
      </c>
      <c r="AX28" s="408" t="str">
        <f t="shared" si="3"/>
        <v>-</v>
      </c>
      <c r="AZ28" s="342" t="str">
        <f t="shared" si="4"/>
        <v>-</v>
      </c>
      <c r="BA28" s="408" t="str">
        <f t="shared" si="5"/>
        <v>-</v>
      </c>
      <c r="BB28" s="28"/>
      <c r="BE28">
        <v>4</v>
      </c>
      <c r="BF28" s="408">
        <f t="shared" si="6"/>
        <v>0</v>
      </c>
      <c r="BG28" s="408">
        <f t="shared" si="7"/>
        <v>1</v>
      </c>
      <c r="BH28" s="337"/>
      <c r="BI28" s="337"/>
      <c r="BJ28" s="337"/>
      <c r="BK28" s="337"/>
      <c r="BL28" s="341"/>
      <c r="BM28" s="341"/>
      <c r="BN28" s="7">
        <v>4.8611111111111104E-4</v>
      </c>
      <c r="BO28" s="329"/>
      <c r="CJ28" s="452" t="str">
        <f t="shared" si="8"/>
        <v>-</v>
      </c>
      <c r="CK28" s="452" t="str">
        <f t="shared" si="9"/>
        <v>-</v>
      </c>
      <c r="CM28" s="327" t="str">
        <f t="shared" si="10"/>
        <v>-</v>
      </c>
      <c r="CN28" s="453" t="str">
        <f t="shared" si="11"/>
        <v>-</v>
      </c>
      <c r="CP28" s="441">
        <v>49</v>
      </c>
      <c r="CQ28" s="339">
        <v>2.0833333333333335E-4</v>
      </c>
      <c r="CR28" s="337" t="s">
        <v>11502</v>
      </c>
      <c r="CS28" s="337" t="s">
        <v>125</v>
      </c>
      <c r="CT28" s="337" t="b">
        <v>0</v>
      </c>
      <c r="CU28" s="337"/>
      <c r="CV28" s="337" t="b">
        <v>0</v>
      </c>
      <c r="CW28" s="337" t="b">
        <v>0</v>
      </c>
      <c r="CX28" t="s">
        <v>940</v>
      </c>
      <c r="CZ28" s="337"/>
      <c r="DA28" s="408" t="str">
        <f t="shared" si="12"/>
        <v>-</v>
      </c>
      <c r="DB28" s="408" t="str">
        <f t="shared" si="13"/>
        <v>-</v>
      </c>
      <c r="DC28" s="337"/>
      <c r="DD28" s="408" t="str">
        <f t="shared" si="14"/>
        <v>-</v>
      </c>
      <c r="DE28" s="408" t="str">
        <f t="shared" si="15"/>
        <v>-</v>
      </c>
      <c r="DF28" s="340"/>
      <c r="DG28" s="337"/>
      <c r="DH28" s="337"/>
      <c r="DI28" t="s">
        <v>9801</v>
      </c>
      <c r="DJ28" s="337">
        <v>12</v>
      </c>
      <c r="DK28" s="408">
        <f t="shared" si="16"/>
        <v>2</v>
      </c>
      <c r="DL28" s="468">
        <f t="shared" si="17"/>
        <v>-1</v>
      </c>
      <c r="DM28" s="337"/>
      <c r="DN28" s="337"/>
      <c r="DO28" s="337"/>
      <c r="DP28" s="337"/>
      <c r="DQ28" s="341"/>
      <c r="DR28" s="452" t="str">
        <f t="shared" si="29"/>
        <v>-</v>
      </c>
      <c r="DS28" s="452" t="str">
        <f t="shared" si="18"/>
        <v>-</v>
      </c>
      <c r="DT28" s="341"/>
      <c r="DU28" s="452" t="str">
        <f t="shared" si="19"/>
        <v>-</v>
      </c>
      <c r="DV28" s="452" t="str">
        <f t="shared" si="20"/>
        <v>-</v>
      </c>
      <c r="DW28" s="339">
        <v>3.3564814814814812E-4</v>
      </c>
      <c r="DX28" s="329"/>
    </row>
    <row r="29" spans="1:128" ht="16" x14ac:dyDescent="0.2">
      <c r="A29" s="2" t="s">
        <v>11670</v>
      </c>
      <c r="B29" s="2">
        <v>98</v>
      </c>
      <c r="C29" s="2" t="str">
        <f t="shared" si="21"/>
        <v>x</v>
      </c>
      <c r="D29" s="2" t="s">
        <v>11816</v>
      </c>
      <c r="E29" s="2" t="s">
        <v>11536</v>
      </c>
      <c r="F29" s="2" t="s">
        <v>125</v>
      </c>
      <c r="G29" s="2" t="s">
        <v>35</v>
      </c>
      <c r="H29" s="2" t="s">
        <v>35</v>
      </c>
      <c r="I29" s="2" t="s">
        <v>675</v>
      </c>
      <c r="J29" s="2" t="s">
        <v>35</v>
      </c>
      <c r="K29" s="2" t="str">
        <f t="shared" si="22"/>
        <v/>
      </c>
      <c r="L29" s="2" t="s">
        <v>35</v>
      </c>
      <c r="M29" s="2" t="str">
        <f t="shared" si="23"/>
        <v/>
      </c>
      <c r="N29" s="2" t="s">
        <v>35</v>
      </c>
      <c r="O29" s="2" t="str">
        <f>IF(OR(BM29&lt;&gt;"", CM29&lt;&gt;"-", DU29&lt;&gt;"-"), "x", "")</f>
        <v/>
      </c>
      <c r="P29" s="2">
        <v>4</v>
      </c>
      <c r="Q29" s="2" t="str">
        <f>IF(OR(BF29&lt;&gt;"-", CD29&lt;&gt;"", DK29&lt;&gt;"-"), "x", "")</f>
        <v>x</v>
      </c>
      <c r="R29" s="2" t="s">
        <v>35</v>
      </c>
      <c r="S29" s="2"/>
      <c r="T29" s="2" t="str">
        <f t="shared" si="26"/>
        <v/>
      </c>
      <c r="U29" s="2" t="s">
        <v>35</v>
      </c>
      <c r="V29" s="2" t="str">
        <f t="shared" si="27"/>
        <v/>
      </c>
      <c r="W29" s="3"/>
      <c r="X29" s="2" t="s">
        <v>11535</v>
      </c>
      <c r="Y29" s="2" t="s">
        <v>31</v>
      </c>
      <c r="Z29" s="2" t="s">
        <v>11669</v>
      </c>
      <c r="AA29" s="2" t="s">
        <v>11668</v>
      </c>
      <c r="AB29" s="2" t="s">
        <v>11532</v>
      </c>
      <c r="AC29" s="2">
        <v>60570</v>
      </c>
      <c r="AD29" s="2" t="s">
        <v>11667</v>
      </c>
      <c r="AE29" s="11">
        <v>43352.476435185185</v>
      </c>
      <c r="AF29" s="11">
        <v>43352.476620370369</v>
      </c>
      <c r="AG29" s="278">
        <v>0</v>
      </c>
      <c r="AH29" s="277">
        <f t="shared" si="0"/>
        <v>1.8518518481869251E-4</v>
      </c>
      <c r="AI29" s="277">
        <f t="shared" si="28"/>
        <v>2.7777777722803876E-4</v>
      </c>
      <c r="AJ29" s="276">
        <v>43352.454861111109</v>
      </c>
      <c r="AK29" s="275" t="str">
        <f>HYPERLINK("https://captureandgo.cloudlab.zhaw.ch/images/"&amp;Z29)</f>
        <v>https://captureandgo.cloudlab.zhaw.ch/images/images-1662801971902-760003537.jpg</v>
      </c>
      <c r="AL29">
        <v>8</v>
      </c>
      <c r="AM29" s="7">
        <v>7.8703703703703705E-4</v>
      </c>
      <c r="AN29" s="110" t="s">
        <v>11457</v>
      </c>
      <c r="AO29" t="s">
        <v>125</v>
      </c>
      <c r="AP29" t="b">
        <v>0</v>
      </c>
      <c r="AR29" t="b">
        <v>0</v>
      </c>
      <c r="AS29" t="s">
        <v>11384</v>
      </c>
      <c r="AT29" t="s">
        <v>940</v>
      </c>
      <c r="AW29" s="408" t="str">
        <f t="shared" si="2"/>
        <v>-</v>
      </c>
      <c r="AX29" s="408" t="str">
        <f t="shared" ref="AX29" si="32">IF(AW29&lt;&gt;"-", 1-AW29, "-")</f>
        <v>-</v>
      </c>
      <c r="AZ29" s="342" t="str">
        <f t="shared" si="4"/>
        <v>-</v>
      </c>
      <c r="BA29" s="408" t="str">
        <f t="shared" ref="BA29" si="33">IF(AZ29&lt;&gt;"-", 1-AZ29, "-")</f>
        <v>-</v>
      </c>
      <c r="BB29" s="28"/>
      <c r="BE29">
        <v>4</v>
      </c>
      <c r="BF29" s="408">
        <f t="shared" si="6"/>
        <v>0</v>
      </c>
      <c r="BG29" s="408">
        <f t="shared" si="7"/>
        <v>1</v>
      </c>
      <c r="BH29" s="337"/>
      <c r="BI29" s="337"/>
      <c r="BJ29" s="337"/>
      <c r="BK29" s="337"/>
      <c r="BL29" s="341"/>
      <c r="BM29" s="341"/>
      <c r="BN29" s="7">
        <v>4.8611111111111104E-4</v>
      </c>
      <c r="BO29" s="329"/>
      <c r="CJ29" s="452" t="str">
        <f t="shared" si="8"/>
        <v>-</v>
      </c>
      <c r="CK29" s="452" t="str">
        <f t="shared" si="9"/>
        <v>-</v>
      </c>
      <c r="CM29" s="327" t="str">
        <f t="shared" si="10"/>
        <v>-</v>
      </c>
      <c r="CN29" s="453" t="str">
        <f t="shared" si="11"/>
        <v>-</v>
      </c>
      <c r="CP29" s="441">
        <v>49</v>
      </c>
      <c r="CQ29" s="339">
        <v>2.0833333333333335E-4</v>
      </c>
      <c r="CR29" s="337" t="s">
        <v>11502</v>
      </c>
      <c r="CS29" s="337" t="s">
        <v>125</v>
      </c>
      <c r="CT29" s="337" t="b">
        <v>0</v>
      </c>
      <c r="CU29" s="337"/>
      <c r="CV29" s="337" t="b">
        <v>0</v>
      </c>
      <c r="CW29" s="337" t="b">
        <v>0</v>
      </c>
      <c r="CX29" t="s">
        <v>940</v>
      </c>
      <c r="CZ29" s="337"/>
      <c r="DA29" s="408" t="str">
        <f t="shared" si="12"/>
        <v>-</v>
      </c>
      <c r="DB29" s="408" t="str">
        <f t="shared" si="13"/>
        <v>-</v>
      </c>
      <c r="DC29" s="337"/>
      <c r="DD29" s="408" t="str">
        <f t="shared" si="14"/>
        <v>-</v>
      </c>
      <c r="DE29" s="408" t="str">
        <f t="shared" si="15"/>
        <v>-</v>
      </c>
      <c r="DF29" s="340"/>
      <c r="DG29" s="337"/>
      <c r="DH29" s="337"/>
      <c r="DI29" t="s">
        <v>9801</v>
      </c>
      <c r="DJ29" s="337">
        <v>12</v>
      </c>
      <c r="DK29" s="408">
        <f t="shared" si="16"/>
        <v>2</v>
      </c>
      <c r="DL29" s="468">
        <f t="shared" si="17"/>
        <v>-1</v>
      </c>
      <c r="DM29" s="337"/>
      <c r="DN29" s="337"/>
      <c r="DO29" s="337"/>
      <c r="DP29" s="337"/>
      <c r="DQ29" s="341"/>
      <c r="DR29" s="452" t="str">
        <f t="shared" si="29"/>
        <v>-</v>
      </c>
      <c r="DS29" s="452" t="str">
        <f t="shared" si="18"/>
        <v>-</v>
      </c>
      <c r="DT29" s="341"/>
      <c r="DU29" s="452" t="str">
        <f t="shared" si="19"/>
        <v>-</v>
      </c>
      <c r="DV29" s="452" t="str">
        <f t="shared" si="20"/>
        <v>-</v>
      </c>
      <c r="DW29" s="339">
        <v>3.3564814814814812E-4</v>
      </c>
      <c r="DX29" s="329"/>
    </row>
    <row r="30" spans="1:128" ht="16" x14ac:dyDescent="0.2">
      <c r="A30" s="2" t="s">
        <v>11666</v>
      </c>
      <c r="B30" s="2">
        <v>99</v>
      </c>
      <c r="C30" s="2" t="str">
        <f t="shared" si="21"/>
        <v/>
      </c>
      <c r="D30" s="2" t="s">
        <v>11817</v>
      </c>
      <c r="E30" s="2" t="s">
        <v>11536</v>
      </c>
      <c r="F30" s="2" t="s">
        <v>266</v>
      </c>
      <c r="G30" s="2" t="s">
        <v>35</v>
      </c>
      <c r="H30" s="2">
        <v>3.5</v>
      </c>
      <c r="I30" s="2" t="s">
        <v>35</v>
      </c>
      <c r="J30" s="2" t="s">
        <v>35</v>
      </c>
      <c r="K30" s="2" t="str">
        <f>IF(OR(AW30&lt;&gt;"-", BY30&lt;&gt;"", DA30&lt;&gt;"-"), "x", "")</f>
        <v/>
      </c>
      <c r="L30" s="2" t="s">
        <v>35</v>
      </c>
      <c r="M30" s="2" t="str">
        <f t="shared" si="23"/>
        <v/>
      </c>
      <c r="N30" s="2" t="s">
        <v>35</v>
      </c>
      <c r="O30" s="2" t="str">
        <f t="shared" si="24"/>
        <v/>
      </c>
      <c r="P30" s="2" t="s">
        <v>35</v>
      </c>
      <c r="Q30" s="2" t="str">
        <f t="shared" si="25"/>
        <v/>
      </c>
      <c r="R30" s="2" t="s">
        <v>35</v>
      </c>
      <c r="S30" s="2" t="s">
        <v>35</v>
      </c>
      <c r="T30" s="2" t="str">
        <f t="shared" si="26"/>
        <v/>
      </c>
      <c r="U30" s="2" t="s">
        <v>35</v>
      </c>
      <c r="V30" s="2" t="str">
        <f t="shared" si="27"/>
        <v/>
      </c>
      <c r="W30" s="3"/>
      <c r="X30" s="2" t="s">
        <v>11535</v>
      </c>
      <c r="Y30" s="2" t="s">
        <v>31</v>
      </c>
      <c r="Z30" s="2" t="s">
        <v>11665</v>
      </c>
      <c r="AA30" s="2" t="s">
        <v>11664</v>
      </c>
      <c r="AB30" s="2" t="s">
        <v>11532</v>
      </c>
      <c r="AC30" s="2">
        <v>56175</v>
      </c>
      <c r="AD30" s="2" t="s">
        <v>11663</v>
      </c>
      <c r="AE30" s="11">
        <v>43352.477094907408</v>
      </c>
      <c r="AF30" s="11">
        <v>43352.477326388886</v>
      </c>
      <c r="AG30" s="278">
        <v>0</v>
      </c>
      <c r="AH30" s="277">
        <f t="shared" si="0"/>
        <v>2.3148147738538682E-4</v>
      </c>
      <c r="AI30" s="277">
        <f t="shared" si="28"/>
        <v>7.0601851621177047E-4</v>
      </c>
      <c r="AJ30" s="276">
        <v>43352.454861111109</v>
      </c>
      <c r="AK30" s="275" t="str">
        <f>HYPERLINK("https://captureandgo.cloudlab.zhaw.ch/images/"&amp;Z30)</f>
        <v>https://captureandgo.cloudlab.zhaw.ch/images/images-1662802031652-33343641.jpg</v>
      </c>
      <c r="AW30" s="408" t="str">
        <f t="shared" si="2"/>
        <v>-</v>
      </c>
      <c r="AX30" s="408" t="str">
        <f t="shared" si="3"/>
        <v>-</v>
      </c>
      <c r="AZ30" s="342" t="str">
        <f t="shared" si="4"/>
        <v>-</v>
      </c>
      <c r="BA30" s="408" t="str">
        <f t="shared" si="5"/>
        <v>-</v>
      </c>
      <c r="BF30" s="408" t="str">
        <f t="shared" si="6"/>
        <v>-</v>
      </c>
      <c r="BG30" s="408" t="str">
        <f t="shared" si="7"/>
        <v>-</v>
      </c>
      <c r="BO30" s="329"/>
      <c r="CJ30" s="452" t="str">
        <f t="shared" si="8"/>
        <v>-</v>
      </c>
      <c r="CK30" s="452" t="str">
        <f t="shared" si="9"/>
        <v>-</v>
      </c>
      <c r="CM30" s="327" t="str">
        <f t="shared" si="10"/>
        <v>-</v>
      </c>
      <c r="CN30" s="453" t="str">
        <f t="shared" si="11"/>
        <v>-</v>
      </c>
      <c r="CP30" s="329"/>
      <c r="DA30" s="408" t="str">
        <f t="shared" si="12"/>
        <v>-</v>
      </c>
      <c r="DB30" s="408" t="str">
        <f t="shared" si="13"/>
        <v>-</v>
      </c>
      <c r="DD30" s="408" t="str">
        <f t="shared" si="14"/>
        <v>-</v>
      </c>
      <c r="DE30" s="408" t="str">
        <f t="shared" si="15"/>
        <v>-</v>
      </c>
      <c r="DI30" t="s">
        <v>9801</v>
      </c>
      <c r="DK30" s="408" t="str">
        <f t="shared" si="16"/>
        <v>-</v>
      </c>
      <c r="DL30" s="408" t="str">
        <f t="shared" si="17"/>
        <v>-</v>
      </c>
      <c r="DR30" s="452" t="str">
        <f t="shared" si="29"/>
        <v>-</v>
      </c>
      <c r="DS30" s="452" t="str">
        <f t="shared" si="18"/>
        <v>-</v>
      </c>
      <c r="DU30" s="452" t="str">
        <f t="shared" si="19"/>
        <v>-</v>
      </c>
      <c r="DV30" s="452" t="str">
        <f t="shared" si="20"/>
        <v>-</v>
      </c>
      <c r="DX30" s="329"/>
    </row>
    <row r="31" spans="1:128" ht="16" x14ac:dyDescent="0.2">
      <c r="A31" s="2" t="s">
        <v>11662</v>
      </c>
      <c r="B31" s="2">
        <v>100</v>
      </c>
      <c r="C31" s="2" t="str">
        <f t="shared" si="21"/>
        <v/>
      </c>
      <c r="D31" s="2" t="s">
        <v>11818</v>
      </c>
      <c r="E31" s="2" t="s">
        <v>11536</v>
      </c>
      <c r="F31" s="2" t="s">
        <v>37</v>
      </c>
      <c r="G31" s="2" t="s">
        <v>35</v>
      </c>
      <c r="H31" s="2" t="s">
        <v>35</v>
      </c>
      <c r="I31" s="2" t="s">
        <v>35</v>
      </c>
      <c r="J31" s="2" t="s">
        <v>35</v>
      </c>
      <c r="K31" s="2" t="str">
        <f t="shared" si="22"/>
        <v/>
      </c>
      <c r="L31" s="2" t="s">
        <v>35</v>
      </c>
      <c r="M31" s="2" t="str">
        <f t="shared" si="23"/>
        <v/>
      </c>
      <c r="N31" s="2">
        <v>5</v>
      </c>
      <c r="O31" s="2" t="str">
        <f t="shared" si="24"/>
        <v/>
      </c>
      <c r="P31" s="2" t="s">
        <v>35</v>
      </c>
      <c r="Q31" s="2" t="str">
        <f t="shared" si="25"/>
        <v/>
      </c>
      <c r="R31" s="2" t="s">
        <v>35</v>
      </c>
      <c r="S31" s="2"/>
      <c r="T31" s="2" t="str">
        <f t="shared" si="26"/>
        <v/>
      </c>
      <c r="U31" s="2" t="s">
        <v>35</v>
      </c>
      <c r="V31" s="2" t="str">
        <f t="shared" si="27"/>
        <v/>
      </c>
      <c r="W31" s="3"/>
      <c r="X31" s="2" t="s">
        <v>11535</v>
      </c>
      <c r="Y31" s="2" t="s">
        <v>31</v>
      </c>
      <c r="Z31" s="2" t="s">
        <v>11661</v>
      </c>
      <c r="AA31" s="2" t="s">
        <v>11660</v>
      </c>
      <c r="AB31" s="2" t="s">
        <v>11532</v>
      </c>
      <c r="AC31" s="2">
        <v>60943</v>
      </c>
      <c r="AD31" s="2" t="s">
        <v>11659</v>
      </c>
      <c r="AE31" s="11">
        <v>43352.479039351849</v>
      </c>
      <c r="AF31" s="11">
        <v>43352.479375000003</v>
      </c>
      <c r="AG31" s="278">
        <v>0</v>
      </c>
      <c r="AH31" s="277">
        <f t="shared" si="0"/>
        <v>3.3564815385034308E-4</v>
      </c>
      <c r="AI31" s="277">
        <f t="shared" si="28"/>
        <v>2.0486111170612276E-3</v>
      </c>
      <c r="AJ31" s="276">
        <v>43352.454861111109</v>
      </c>
      <c r="AK31" s="275" t="str">
        <f>HYPERLINK("https://captureandgo.cloudlab.zhaw.ch/images/"&amp;Z31)</f>
        <v>https://captureandgo.cloudlab.zhaw.ch/images/images-1662802203672-917756215.jpg</v>
      </c>
      <c r="AW31" s="408" t="str">
        <f t="shared" si="2"/>
        <v>-</v>
      </c>
      <c r="AX31" s="408" t="str">
        <f t="shared" si="3"/>
        <v>-</v>
      </c>
      <c r="AZ31" s="342" t="str">
        <f t="shared" si="4"/>
        <v>-</v>
      </c>
      <c r="BA31" s="408" t="str">
        <f t="shared" si="5"/>
        <v>-</v>
      </c>
      <c r="BF31" s="408" t="str">
        <f t="shared" si="6"/>
        <v>-</v>
      </c>
      <c r="BG31" s="408" t="str">
        <f t="shared" si="7"/>
        <v>-</v>
      </c>
      <c r="BO31" s="329"/>
      <c r="CJ31" s="452" t="str">
        <f t="shared" si="8"/>
        <v>-</v>
      </c>
      <c r="CK31" s="452" t="str">
        <f t="shared" si="9"/>
        <v>-</v>
      </c>
      <c r="CM31" s="327" t="str">
        <f t="shared" si="10"/>
        <v>-</v>
      </c>
      <c r="CN31" s="453" t="str">
        <f t="shared" si="11"/>
        <v>-</v>
      </c>
      <c r="CP31" s="329"/>
      <c r="DA31" s="408" t="str">
        <f t="shared" si="12"/>
        <v>-</v>
      </c>
      <c r="DB31" s="408" t="str">
        <f t="shared" si="13"/>
        <v>-</v>
      </c>
      <c r="DD31" s="408" t="str">
        <f t="shared" si="14"/>
        <v>-</v>
      </c>
      <c r="DE31" s="408" t="str">
        <f t="shared" si="15"/>
        <v>-</v>
      </c>
      <c r="DI31" t="s">
        <v>9801</v>
      </c>
      <c r="DK31" s="408" t="str">
        <f t="shared" si="16"/>
        <v>-</v>
      </c>
      <c r="DL31" s="408" t="str">
        <f t="shared" si="17"/>
        <v>-</v>
      </c>
      <c r="DR31" s="452" t="str">
        <f t="shared" si="29"/>
        <v>-</v>
      </c>
      <c r="DS31" s="452" t="str">
        <f t="shared" si="18"/>
        <v>-</v>
      </c>
      <c r="DU31" s="452" t="str">
        <f t="shared" si="19"/>
        <v>-</v>
      </c>
      <c r="DV31" s="452" t="str">
        <f t="shared" si="20"/>
        <v>-</v>
      </c>
      <c r="DX31" s="329"/>
    </row>
    <row r="32" spans="1:128" ht="16" x14ac:dyDescent="0.2">
      <c r="A32" s="2" t="s">
        <v>11658</v>
      </c>
      <c r="B32" s="2">
        <v>101</v>
      </c>
      <c r="C32" s="2" t="str">
        <f t="shared" si="21"/>
        <v>x</v>
      </c>
      <c r="D32" s="2" t="s">
        <v>11819</v>
      </c>
      <c r="E32" s="2" t="s">
        <v>11536</v>
      </c>
      <c r="F32" s="2" t="s">
        <v>125</v>
      </c>
      <c r="G32" s="2" t="s">
        <v>35</v>
      </c>
      <c r="H32" s="2" t="s">
        <v>35</v>
      </c>
      <c r="I32" s="2" t="s">
        <v>675</v>
      </c>
      <c r="J32" s="2" t="s">
        <v>35</v>
      </c>
      <c r="K32" s="2" t="str">
        <f t="shared" si="22"/>
        <v/>
      </c>
      <c r="L32" s="2" t="s">
        <v>35</v>
      </c>
      <c r="M32" s="2" t="str">
        <f t="shared" si="23"/>
        <v/>
      </c>
      <c r="N32" s="2" t="s">
        <v>35</v>
      </c>
      <c r="O32" s="2" t="str">
        <f t="shared" si="24"/>
        <v/>
      </c>
      <c r="P32" s="2">
        <v>4</v>
      </c>
      <c r="Q32" s="2" t="str">
        <f t="shared" si="25"/>
        <v>x</v>
      </c>
      <c r="R32" s="2" t="s">
        <v>35</v>
      </c>
      <c r="S32" s="2"/>
      <c r="T32" s="2" t="str">
        <f t="shared" si="26"/>
        <v/>
      </c>
      <c r="U32" s="2" t="s">
        <v>35</v>
      </c>
      <c r="V32" s="2" t="str">
        <f t="shared" si="27"/>
        <v/>
      </c>
      <c r="W32" s="3"/>
      <c r="X32" s="2" t="s">
        <v>11535</v>
      </c>
      <c r="Y32" s="2" t="s">
        <v>31</v>
      </c>
      <c r="Z32" s="2" t="s">
        <v>35</v>
      </c>
      <c r="AA32" s="2" t="s">
        <v>35</v>
      </c>
      <c r="AB32" s="2" t="s">
        <v>35</v>
      </c>
      <c r="AC32" s="2" t="s">
        <v>35</v>
      </c>
      <c r="AD32" s="2" t="s">
        <v>35</v>
      </c>
      <c r="AE32" s="11">
        <v>43352.480405092596</v>
      </c>
      <c r="AF32" s="11">
        <v>43352.480497685188</v>
      </c>
      <c r="AG32" s="278">
        <v>0</v>
      </c>
      <c r="AH32" s="277">
        <f t="shared" si="0"/>
        <v>9.2592592409346253E-5</v>
      </c>
      <c r="AI32" s="277">
        <f t="shared" si="28"/>
        <v>1.1226851856918074E-3</v>
      </c>
      <c r="AJ32" s="276">
        <v>43352.454861111109</v>
      </c>
      <c r="AK32" s="275"/>
      <c r="AL32">
        <v>7</v>
      </c>
      <c r="AM32" s="7">
        <v>4.7453703703703704E-4</v>
      </c>
      <c r="AN32" s="110" t="s">
        <v>11456</v>
      </c>
      <c r="AO32" t="s">
        <v>125</v>
      </c>
      <c r="AP32" t="b">
        <v>0</v>
      </c>
      <c r="AR32" t="b">
        <v>0</v>
      </c>
      <c r="AS32" t="s">
        <v>11384</v>
      </c>
      <c r="AT32" t="s">
        <v>940</v>
      </c>
      <c r="AW32" s="408" t="str">
        <f t="shared" si="2"/>
        <v>-</v>
      </c>
      <c r="AX32" s="408" t="str">
        <f t="shared" si="3"/>
        <v>-</v>
      </c>
      <c r="AZ32" s="342" t="str">
        <f t="shared" si="4"/>
        <v>-</v>
      </c>
      <c r="BA32" s="408" t="str">
        <f t="shared" si="5"/>
        <v>-</v>
      </c>
      <c r="BB32" s="28"/>
      <c r="BE32">
        <v>4</v>
      </c>
      <c r="BF32" s="408">
        <f t="shared" si="6"/>
        <v>0</v>
      </c>
      <c r="BG32" s="408">
        <f t="shared" si="7"/>
        <v>1</v>
      </c>
      <c r="BH32" s="337"/>
      <c r="BI32" s="337"/>
      <c r="BJ32" s="337"/>
      <c r="BK32" s="337"/>
      <c r="BL32" s="341"/>
      <c r="BM32" s="341"/>
      <c r="BN32" s="7">
        <v>2.0833333333333335E-4</v>
      </c>
      <c r="BO32" s="329"/>
      <c r="CJ32" s="452" t="str">
        <f t="shared" si="8"/>
        <v>-</v>
      </c>
      <c r="CK32" s="452" t="str">
        <f t="shared" si="9"/>
        <v>-</v>
      </c>
      <c r="CM32" s="327" t="str">
        <f t="shared" si="10"/>
        <v>-</v>
      </c>
      <c r="CN32" s="453" t="str">
        <f t="shared" si="11"/>
        <v>-</v>
      </c>
      <c r="CP32" s="441">
        <v>47</v>
      </c>
      <c r="CQ32" s="339">
        <v>1.6203703703703703E-4</v>
      </c>
      <c r="CR32" s="337" t="s">
        <v>11500</v>
      </c>
      <c r="CS32" s="337" t="s">
        <v>125</v>
      </c>
      <c r="CT32" s="337" t="b">
        <v>0</v>
      </c>
      <c r="CU32" s="337"/>
      <c r="CV32" s="337" t="b">
        <v>0</v>
      </c>
      <c r="CW32" s="337" t="b">
        <v>0</v>
      </c>
      <c r="CX32" t="s">
        <v>940</v>
      </c>
      <c r="CZ32" s="337"/>
      <c r="DA32" s="408" t="str">
        <f t="shared" si="12"/>
        <v>-</v>
      </c>
      <c r="DB32" s="408" t="str">
        <f t="shared" si="13"/>
        <v>-</v>
      </c>
      <c r="DC32" s="337"/>
      <c r="DD32" s="408" t="str">
        <f t="shared" si="14"/>
        <v>-</v>
      </c>
      <c r="DE32" s="408" t="str">
        <f t="shared" si="15"/>
        <v>-</v>
      </c>
      <c r="DF32" s="340"/>
      <c r="DG32" s="337"/>
      <c r="DH32" s="337"/>
      <c r="DI32" t="s">
        <v>9801</v>
      </c>
      <c r="DJ32" s="337">
        <v>5</v>
      </c>
      <c r="DK32" s="408">
        <f t="shared" si="16"/>
        <v>0.25</v>
      </c>
      <c r="DL32" s="408">
        <f t="shared" si="17"/>
        <v>0.75</v>
      </c>
      <c r="DM32" s="337"/>
      <c r="DN32" s="337"/>
      <c r="DO32" s="337"/>
      <c r="DP32" s="337"/>
      <c r="DQ32" s="341"/>
      <c r="DR32" s="452" t="str">
        <f t="shared" si="29"/>
        <v>-</v>
      </c>
      <c r="DS32" s="452" t="str">
        <f t="shared" si="18"/>
        <v>-</v>
      </c>
      <c r="DT32" s="341"/>
      <c r="DU32" s="452" t="str">
        <f t="shared" si="19"/>
        <v>-</v>
      </c>
      <c r="DV32" s="452" t="str">
        <f t="shared" si="20"/>
        <v>-</v>
      </c>
      <c r="DW32" s="339">
        <v>5.3240740740740744E-4</v>
      </c>
      <c r="DX32" s="329"/>
    </row>
    <row r="33" spans="1:128" ht="16" x14ac:dyDescent="0.2">
      <c r="A33" s="2" t="s">
        <v>11657</v>
      </c>
      <c r="B33" s="2">
        <v>102</v>
      </c>
      <c r="C33" s="2" t="str">
        <f t="shared" si="21"/>
        <v>x</v>
      </c>
      <c r="D33" s="2" t="s">
        <v>11820</v>
      </c>
      <c r="E33" s="2" t="s">
        <v>11536</v>
      </c>
      <c r="F33" s="2" t="s">
        <v>125</v>
      </c>
      <c r="G33" s="2" t="s">
        <v>35</v>
      </c>
      <c r="H33" s="2" t="s">
        <v>35</v>
      </c>
      <c r="I33" s="2" t="s">
        <v>675</v>
      </c>
      <c r="J33" s="2" t="s">
        <v>35</v>
      </c>
      <c r="K33" s="2" t="str">
        <f t="shared" si="22"/>
        <v/>
      </c>
      <c r="L33" s="2" t="s">
        <v>35</v>
      </c>
      <c r="M33" s="2" t="str">
        <f t="shared" si="23"/>
        <v/>
      </c>
      <c r="N33" s="2" t="s">
        <v>35</v>
      </c>
      <c r="O33" s="2" t="str">
        <f t="shared" si="24"/>
        <v/>
      </c>
      <c r="P33" s="2">
        <v>4</v>
      </c>
      <c r="Q33" s="2" t="str">
        <f t="shared" si="25"/>
        <v>x</v>
      </c>
      <c r="R33" s="2" t="s">
        <v>35</v>
      </c>
      <c r="S33" s="2"/>
      <c r="T33" s="2" t="str">
        <f t="shared" si="26"/>
        <v/>
      </c>
      <c r="U33" s="2" t="s">
        <v>35</v>
      </c>
      <c r="V33" s="2" t="str">
        <f t="shared" si="27"/>
        <v/>
      </c>
      <c r="W33" s="3"/>
      <c r="X33" s="2" t="s">
        <v>11535</v>
      </c>
      <c r="Y33" s="2" t="s">
        <v>31</v>
      </c>
      <c r="Z33" s="2" t="s">
        <v>35</v>
      </c>
      <c r="AA33" s="2" t="s">
        <v>35</v>
      </c>
      <c r="AB33" s="2" t="s">
        <v>35</v>
      </c>
      <c r="AC33" s="2" t="s">
        <v>35</v>
      </c>
      <c r="AD33" s="2" t="s">
        <v>35</v>
      </c>
      <c r="AE33" s="11">
        <v>43352.481400462966</v>
      </c>
      <c r="AF33" s="11">
        <v>43352.481793981482</v>
      </c>
      <c r="AG33" s="278">
        <v>0</v>
      </c>
      <c r="AH33" s="277">
        <f t="shared" si="0"/>
        <v>3.9351851592073217E-4</v>
      </c>
      <c r="AI33" s="277">
        <f t="shared" si="28"/>
        <v>1.2962962937308475E-3</v>
      </c>
      <c r="AJ33" s="276">
        <v>43352.454861111109</v>
      </c>
      <c r="AK33" s="275"/>
      <c r="AL33">
        <v>6</v>
      </c>
      <c r="AM33" s="7">
        <v>4.7453703703703704E-4</v>
      </c>
      <c r="AN33" s="110" t="s">
        <v>11455</v>
      </c>
      <c r="AO33" t="s">
        <v>125</v>
      </c>
      <c r="AP33" t="b">
        <v>0</v>
      </c>
      <c r="AR33" t="b">
        <v>0</v>
      </c>
      <c r="AS33" t="s">
        <v>11384</v>
      </c>
      <c r="AT33" t="s">
        <v>940</v>
      </c>
      <c r="AW33" s="408" t="str">
        <f t="shared" si="2"/>
        <v>-</v>
      </c>
      <c r="AX33" s="408" t="str">
        <f t="shared" si="3"/>
        <v>-</v>
      </c>
      <c r="AZ33" s="342" t="str">
        <f t="shared" si="4"/>
        <v>-</v>
      </c>
      <c r="BA33" s="408" t="str">
        <f t="shared" si="5"/>
        <v>-</v>
      </c>
      <c r="BB33" s="28"/>
      <c r="BE33">
        <v>4</v>
      </c>
      <c r="BF33" s="408">
        <f t="shared" si="6"/>
        <v>0</v>
      </c>
      <c r="BG33" s="408">
        <f t="shared" si="7"/>
        <v>1</v>
      </c>
      <c r="BH33" s="337"/>
      <c r="BI33" s="337"/>
      <c r="BJ33" s="337"/>
      <c r="BK33" s="337"/>
      <c r="BL33" s="341"/>
      <c r="BM33" s="341"/>
      <c r="BN33" s="7">
        <v>3.7037037037037035E-4</v>
      </c>
      <c r="BO33" s="329"/>
      <c r="CJ33" s="452" t="str">
        <f t="shared" si="8"/>
        <v>-</v>
      </c>
      <c r="CK33" s="452" t="str">
        <f t="shared" si="9"/>
        <v>-</v>
      </c>
      <c r="CM33" s="327" t="str">
        <f t="shared" si="10"/>
        <v>-</v>
      </c>
      <c r="CN33" s="453" t="str">
        <f t="shared" si="11"/>
        <v>-</v>
      </c>
      <c r="CP33" s="441">
        <v>46</v>
      </c>
      <c r="CQ33" s="339">
        <v>4.2824074074074075E-4</v>
      </c>
      <c r="CR33" s="337" t="s">
        <v>11499</v>
      </c>
      <c r="CS33" s="337" t="s">
        <v>125</v>
      </c>
      <c r="CT33" s="337" t="b">
        <v>0</v>
      </c>
      <c r="CU33" s="337"/>
      <c r="CV33" s="337" t="b">
        <v>0</v>
      </c>
      <c r="CW33" s="337" t="b">
        <v>0</v>
      </c>
      <c r="CX33" t="s">
        <v>940</v>
      </c>
      <c r="CZ33" s="337"/>
      <c r="DA33" s="408" t="str">
        <f t="shared" si="12"/>
        <v>-</v>
      </c>
      <c r="DB33" s="408" t="str">
        <f t="shared" si="13"/>
        <v>-</v>
      </c>
      <c r="DC33" s="337"/>
      <c r="DD33" s="408" t="str">
        <f t="shared" si="14"/>
        <v>-</v>
      </c>
      <c r="DE33" s="408" t="str">
        <f t="shared" si="15"/>
        <v>-</v>
      </c>
      <c r="DF33" s="340"/>
      <c r="DG33" s="337"/>
      <c r="DH33" s="337"/>
      <c r="DI33" t="s">
        <v>9801</v>
      </c>
      <c r="DJ33" s="337">
        <v>9</v>
      </c>
      <c r="DK33" s="408">
        <f t="shared" si="16"/>
        <v>1.25</v>
      </c>
      <c r="DL33" s="468">
        <f t="shared" si="17"/>
        <v>-0.25</v>
      </c>
      <c r="DM33" s="337"/>
      <c r="DN33" s="337"/>
      <c r="DO33" s="337"/>
      <c r="DP33" s="337"/>
      <c r="DQ33" s="341"/>
      <c r="DR33" s="452" t="str">
        <f t="shared" si="29"/>
        <v>-</v>
      </c>
      <c r="DS33" s="452" t="str">
        <f t="shared" si="18"/>
        <v>-</v>
      </c>
      <c r="DT33" s="341"/>
      <c r="DU33" s="452" t="str">
        <f t="shared" si="19"/>
        <v>-</v>
      </c>
      <c r="DV33" s="452" t="str">
        <f t="shared" si="20"/>
        <v>-</v>
      </c>
      <c r="DW33" s="339">
        <v>2.6620370370370372E-4</v>
      </c>
      <c r="DX33" s="329"/>
    </row>
    <row r="34" spans="1:128" ht="16" x14ac:dyDescent="0.2">
      <c r="A34" s="2" t="s">
        <v>11656</v>
      </c>
      <c r="B34" s="2">
        <v>103</v>
      </c>
      <c r="C34" s="2" t="str">
        <f t="shared" si="21"/>
        <v/>
      </c>
      <c r="D34" s="2" t="s">
        <v>11821</v>
      </c>
      <c r="E34" s="2" t="s">
        <v>11536</v>
      </c>
      <c r="F34" s="2" t="s">
        <v>37</v>
      </c>
      <c r="G34" s="2" t="s">
        <v>35</v>
      </c>
      <c r="H34" s="2" t="s">
        <v>35</v>
      </c>
      <c r="I34" s="2" t="s">
        <v>35</v>
      </c>
      <c r="J34" s="2" t="s">
        <v>35</v>
      </c>
      <c r="K34" s="2" t="str">
        <f t="shared" si="22"/>
        <v/>
      </c>
      <c r="L34" s="2" t="s">
        <v>35</v>
      </c>
      <c r="M34" s="2" t="str">
        <f t="shared" si="23"/>
        <v/>
      </c>
      <c r="N34" s="2">
        <v>2</v>
      </c>
      <c r="O34" s="2" t="str">
        <f t="shared" si="24"/>
        <v/>
      </c>
      <c r="P34" s="2" t="s">
        <v>35</v>
      </c>
      <c r="Q34" s="2" t="str">
        <f t="shared" si="25"/>
        <v/>
      </c>
      <c r="R34" s="2" t="s">
        <v>35</v>
      </c>
      <c r="S34" s="2"/>
      <c r="T34" s="2" t="str">
        <f t="shared" si="26"/>
        <v/>
      </c>
      <c r="U34" s="2" t="s">
        <v>35</v>
      </c>
      <c r="V34" s="2" t="str">
        <f t="shared" si="27"/>
        <v/>
      </c>
      <c r="W34" s="3"/>
      <c r="X34" s="2" t="s">
        <v>11535</v>
      </c>
      <c r="Y34" s="2" t="s">
        <v>31</v>
      </c>
      <c r="Z34" s="2" t="s">
        <v>11655</v>
      </c>
      <c r="AA34" s="2" t="s">
        <v>11654</v>
      </c>
      <c r="AB34" s="2" t="s">
        <v>11532</v>
      </c>
      <c r="AC34" s="2">
        <v>66697</v>
      </c>
      <c r="AD34" s="2" t="s">
        <v>11653</v>
      </c>
      <c r="AE34" s="11">
        <v>43352.48201388889</v>
      </c>
      <c r="AF34" s="11">
        <v>43352.482152777775</v>
      </c>
      <c r="AG34" s="278">
        <v>0</v>
      </c>
      <c r="AH34" s="277">
        <f t="shared" si="0"/>
        <v>1.3888888497604057E-4</v>
      </c>
      <c r="AI34" s="277">
        <f t="shared" si="28"/>
        <v>3.5879629285773262E-4</v>
      </c>
      <c r="AJ34" s="276">
        <v>43352.454861111109</v>
      </c>
      <c r="AK34" s="275" t="str">
        <f t="shared" ref="AK34:AK53" si="34">HYPERLINK("https://captureandgo.cloudlab.zhaw.ch/images/"&amp;Z34)</f>
        <v>https://captureandgo.cloudlab.zhaw.ch/images/images-1662802452566-503912495.jpg</v>
      </c>
      <c r="AW34" s="408" t="str">
        <f t="shared" si="2"/>
        <v>-</v>
      </c>
      <c r="AX34" s="408" t="str">
        <f t="shared" si="3"/>
        <v>-</v>
      </c>
      <c r="AZ34" s="342" t="str">
        <f t="shared" si="4"/>
        <v>-</v>
      </c>
      <c r="BA34" s="408" t="str">
        <f t="shared" si="5"/>
        <v>-</v>
      </c>
      <c r="BF34" s="408" t="str">
        <f t="shared" si="6"/>
        <v>-</v>
      </c>
      <c r="BG34" s="408" t="str">
        <f t="shared" si="7"/>
        <v>-</v>
      </c>
      <c r="BO34" s="329"/>
      <c r="CJ34" s="452" t="str">
        <f t="shared" si="8"/>
        <v>-</v>
      </c>
      <c r="CK34" s="452" t="str">
        <f t="shared" si="9"/>
        <v>-</v>
      </c>
      <c r="CM34" s="327" t="str">
        <f t="shared" si="10"/>
        <v>-</v>
      </c>
      <c r="CN34" s="453" t="str">
        <f t="shared" si="11"/>
        <v>-</v>
      </c>
      <c r="CP34" s="329"/>
      <c r="DA34" s="408" t="str">
        <f t="shared" si="12"/>
        <v>-</v>
      </c>
      <c r="DB34" s="408" t="str">
        <f t="shared" si="13"/>
        <v>-</v>
      </c>
      <c r="DD34" s="408" t="str">
        <f t="shared" si="14"/>
        <v>-</v>
      </c>
      <c r="DE34" s="408" t="str">
        <f t="shared" si="15"/>
        <v>-</v>
      </c>
      <c r="DI34" t="s">
        <v>9801</v>
      </c>
      <c r="DK34" s="408" t="str">
        <f t="shared" si="16"/>
        <v>-</v>
      </c>
      <c r="DL34" s="408" t="str">
        <f t="shared" si="17"/>
        <v>-</v>
      </c>
      <c r="DR34" s="452" t="str">
        <f t="shared" si="29"/>
        <v>-</v>
      </c>
      <c r="DS34" s="452" t="str">
        <f t="shared" si="18"/>
        <v>-</v>
      </c>
      <c r="DU34" s="452" t="str">
        <f t="shared" si="19"/>
        <v>-</v>
      </c>
      <c r="DV34" s="452" t="str">
        <f t="shared" si="20"/>
        <v>-</v>
      </c>
      <c r="DX34" s="329"/>
    </row>
    <row r="35" spans="1:128" ht="16" x14ac:dyDescent="0.2">
      <c r="A35" s="2" t="s">
        <v>11652</v>
      </c>
      <c r="B35" s="2">
        <v>104</v>
      </c>
      <c r="C35" s="2" t="str">
        <f t="shared" si="21"/>
        <v>x</v>
      </c>
      <c r="D35" s="2" t="s">
        <v>11822</v>
      </c>
      <c r="E35" s="2" t="s">
        <v>11536</v>
      </c>
      <c r="F35" s="2" t="s">
        <v>125</v>
      </c>
      <c r="G35" s="2" t="s">
        <v>35</v>
      </c>
      <c r="H35" s="2" t="s">
        <v>35</v>
      </c>
      <c r="I35" s="2" t="s">
        <v>675</v>
      </c>
      <c r="J35" s="2" t="s">
        <v>35</v>
      </c>
      <c r="K35" s="2" t="str">
        <f t="shared" si="22"/>
        <v/>
      </c>
      <c r="L35" s="2" t="s">
        <v>35</v>
      </c>
      <c r="M35" s="2" t="str">
        <f t="shared" si="23"/>
        <v/>
      </c>
      <c r="N35" s="2" t="s">
        <v>35</v>
      </c>
      <c r="O35" s="2" t="str">
        <f t="shared" si="24"/>
        <v/>
      </c>
      <c r="P35" s="2">
        <v>4</v>
      </c>
      <c r="Q35" s="2" t="str">
        <f t="shared" si="25"/>
        <v>x</v>
      </c>
      <c r="R35" s="2" t="s">
        <v>35</v>
      </c>
      <c r="S35" s="2"/>
      <c r="T35" s="2" t="str">
        <f t="shared" si="26"/>
        <v/>
      </c>
      <c r="U35" s="2" t="s">
        <v>35</v>
      </c>
      <c r="V35" s="2" t="str">
        <f t="shared" si="27"/>
        <v/>
      </c>
      <c r="W35" s="3"/>
      <c r="X35" s="2" t="s">
        <v>11535</v>
      </c>
      <c r="Y35" s="2" t="s">
        <v>31</v>
      </c>
      <c r="Z35" s="2" t="s">
        <v>11651</v>
      </c>
      <c r="AA35" s="2" t="s">
        <v>11650</v>
      </c>
      <c r="AB35" s="2" t="s">
        <v>11532</v>
      </c>
      <c r="AC35" s="2">
        <v>59329</v>
      </c>
      <c r="AD35" s="2" t="s">
        <v>11649</v>
      </c>
      <c r="AE35" s="11">
        <v>43352.483437499999</v>
      </c>
      <c r="AF35" s="11">
        <v>43352.483599537038</v>
      </c>
      <c r="AG35" s="278">
        <v>0</v>
      </c>
      <c r="AH35" s="277">
        <f t="shared" ref="AH35:AH63" si="35">AF35-AE35</f>
        <v>1.6203703853534535E-4</v>
      </c>
      <c r="AI35" s="277">
        <f t="shared" si="28"/>
        <v>1.4467592627624981E-3</v>
      </c>
      <c r="AJ35" s="276">
        <v>43352.454861111109</v>
      </c>
      <c r="AK35" s="275" t="str">
        <f t="shared" si="34"/>
        <v>https://captureandgo.cloudlab.zhaw.ch/images/images-1662802575605-330405651.jpg</v>
      </c>
      <c r="AL35">
        <v>5</v>
      </c>
      <c r="AM35" s="7">
        <v>2.3148148148148151E-3</v>
      </c>
      <c r="AN35" s="110" t="s">
        <v>11454</v>
      </c>
      <c r="AO35" t="s">
        <v>125</v>
      </c>
      <c r="AP35" t="b">
        <v>0</v>
      </c>
      <c r="AR35" t="b">
        <v>0</v>
      </c>
      <c r="AS35" t="s">
        <v>11384</v>
      </c>
      <c r="AT35" t="s">
        <v>940</v>
      </c>
      <c r="AW35" s="408" t="str">
        <f t="shared" ref="AW35:AW63" si="36">IF(AND(J35&lt;&gt;"",AV35&lt;&gt;"N/A"), ABS(AV35/J35-1), "-")</f>
        <v>-</v>
      </c>
      <c r="AX35" s="408" t="str">
        <f t="shared" ref="AX35:AX63" si="37">IF(AW35&lt;&gt;"-", 1-AW35, "-")</f>
        <v>-</v>
      </c>
      <c r="AZ35" s="342" t="str">
        <f t="shared" ref="AZ35:AZ63" si="38">IF(AND(L35&lt;&gt;"",AY35&lt;&gt;"N/A"), ABS(AY35/L35-1), "-")</f>
        <v>-</v>
      </c>
      <c r="BA35" s="408" t="str">
        <f t="shared" ref="BA35:BA63" si="39">IF(AZ35&lt;&gt;"-", 1-AZ35, "-")</f>
        <v>-</v>
      </c>
      <c r="BB35" s="28"/>
      <c r="BE35">
        <v>4</v>
      </c>
      <c r="BF35" s="408">
        <f t="shared" ref="BF35:BF63" si="40">IF(AND(P35&lt;&gt;"",BE35&lt;&gt;""), ABS(BE35/P35-1), "-")</f>
        <v>0</v>
      </c>
      <c r="BG35" s="408">
        <f t="shared" ref="BG35:BG63" si="41">IF(BF35&lt;&gt;"-", 1-BF35, "-")</f>
        <v>1</v>
      </c>
      <c r="BH35" s="411"/>
      <c r="BI35" s="411"/>
      <c r="BJ35" s="411"/>
      <c r="BK35" s="411"/>
      <c r="BL35" s="440"/>
      <c r="BM35" s="440"/>
      <c r="BN35" s="7">
        <v>3.8194444444444446E-4</v>
      </c>
      <c r="BO35" s="329"/>
      <c r="CJ35" s="452" t="str">
        <f t="shared" si="8"/>
        <v>-</v>
      </c>
      <c r="CK35" s="452" t="str">
        <f t="shared" si="9"/>
        <v>-</v>
      </c>
      <c r="CM35" s="327" t="str">
        <f t="shared" ref="CM35:CM63" si="42">IF(AND(N35&lt;&gt;"",CL35&lt;&gt;""), ABS(CL35/N35-1), "-")</f>
        <v>-</v>
      </c>
      <c r="CN35" s="453" t="str">
        <f t="shared" ref="CN35:CN63" si="43">IF(CM35&lt;&gt;"-", 1-CM35, "-")</f>
        <v>-</v>
      </c>
      <c r="CP35" s="443">
        <v>44</v>
      </c>
      <c r="CQ35" s="437">
        <v>8.1018518518518516E-4</v>
      </c>
      <c r="CR35" s="438" t="s">
        <v>11851</v>
      </c>
      <c r="CS35" s="411" t="s">
        <v>125</v>
      </c>
      <c r="CT35" s="411" t="b">
        <v>0</v>
      </c>
      <c r="CU35" s="411"/>
      <c r="CV35" s="411" t="b">
        <v>0</v>
      </c>
      <c r="CW35" s="411" t="b">
        <v>0</v>
      </c>
      <c r="CX35" t="s">
        <v>940</v>
      </c>
      <c r="CZ35" s="411"/>
      <c r="DA35" s="408" t="str">
        <f t="shared" ref="DA35:DA63" si="44">IF(AND(J35&lt;&gt;"",CZ35&lt;&gt;"N/A"), ABS(CZ35/J35-1), "-")</f>
        <v>-</v>
      </c>
      <c r="DB35" s="408" t="str">
        <f t="shared" si="13"/>
        <v>-</v>
      </c>
      <c r="DC35" s="411"/>
      <c r="DD35" s="408" t="str">
        <f t="shared" ref="DD35:DD63" si="45">IF(AND(L35&lt;&gt;"",DC35&lt;&gt;"N/A"), ABS(DC35/L35-1), "-")</f>
        <v>-</v>
      </c>
      <c r="DE35" s="408" t="str">
        <f t="shared" si="15"/>
        <v>-</v>
      </c>
      <c r="DF35" s="439"/>
      <c r="DG35" s="411"/>
      <c r="DH35" s="411"/>
      <c r="DI35" t="s">
        <v>9801</v>
      </c>
      <c r="DJ35" s="411">
        <v>6</v>
      </c>
      <c r="DK35" s="408">
        <f t="shared" ref="DK35:DK63" si="46">IF(AND(P35&lt;&gt;"",DJ35&lt;&gt;""), ABS(DJ35/P35-1), "-")</f>
        <v>0.5</v>
      </c>
      <c r="DL35" s="408">
        <f t="shared" si="17"/>
        <v>0.5</v>
      </c>
      <c r="DM35" s="411"/>
      <c r="DN35" s="411"/>
      <c r="DO35" s="411"/>
      <c r="DP35" s="411"/>
      <c r="DQ35" s="440"/>
      <c r="DR35" s="452" t="str">
        <f t="shared" si="29"/>
        <v>-</v>
      </c>
      <c r="DS35" s="452" t="str">
        <f t="shared" si="18"/>
        <v>-</v>
      </c>
      <c r="DT35" s="440"/>
      <c r="DU35" s="452" t="str">
        <f t="shared" ref="DU35:DU63" si="47">IF(AND(N35&lt;&gt;"",DT35&lt;&gt;""), ABS(DT35/N35-1), "-")</f>
        <v>-</v>
      </c>
      <c r="DV35" s="452" t="str">
        <f t="shared" si="20"/>
        <v>-</v>
      </c>
      <c r="DW35" s="437">
        <v>3.4722222222222224E-4</v>
      </c>
      <c r="DX35" s="329"/>
    </row>
    <row r="36" spans="1:128" ht="16" x14ac:dyDescent="0.2">
      <c r="A36" s="2" t="s">
        <v>11648</v>
      </c>
      <c r="B36" s="2">
        <v>105</v>
      </c>
      <c r="C36" s="2" t="str">
        <f>IF(OR(AL36&lt;&gt;"", BO36&lt;&gt;"",CP36&lt;&gt;""), "x", "")</f>
        <v/>
      </c>
      <c r="D36" s="2" t="s">
        <v>11823</v>
      </c>
      <c r="E36" s="2" t="s">
        <v>11536</v>
      </c>
      <c r="F36" s="2" t="s">
        <v>37</v>
      </c>
      <c r="G36" s="2" t="s">
        <v>35</v>
      </c>
      <c r="H36" s="2" t="s">
        <v>35</v>
      </c>
      <c r="I36" s="2" t="s">
        <v>35</v>
      </c>
      <c r="J36" s="2" t="s">
        <v>35</v>
      </c>
      <c r="K36" s="2" t="str">
        <f t="shared" si="22"/>
        <v/>
      </c>
      <c r="L36" s="2" t="s">
        <v>35</v>
      </c>
      <c r="M36" s="2" t="str">
        <f t="shared" si="23"/>
        <v/>
      </c>
      <c r="N36" s="2">
        <v>3</v>
      </c>
      <c r="O36" s="2" t="str">
        <f t="shared" si="24"/>
        <v/>
      </c>
      <c r="P36" s="2" t="s">
        <v>35</v>
      </c>
      <c r="Q36" s="2" t="str">
        <f t="shared" si="25"/>
        <v/>
      </c>
      <c r="R36" s="2" t="s">
        <v>35</v>
      </c>
      <c r="S36" s="2"/>
      <c r="T36" s="2" t="str">
        <f t="shared" si="26"/>
        <v/>
      </c>
      <c r="U36" s="2" t="s">
        <v>35</v>
      </c>
      <c r="V36" s="2" t="str">
        <f t="shared" si="27"/>
        <v/>
      </c>
      <c r="W36" s="3"/>
      <c r="X36" s="2" t="s">
        <v>11535</v>
      </c>
      <c r="Y36" s="2" t="s">
        <v>31</v>
      </c>
      <c r="Z36" s="2" t="s">
        <v>11647</v>
      </c>
      <c r="AA36" s="2" t="s">
        <v>11646</v>
      </c>
      <c r="AB36" s="2" t="s">
        <v>11532</v>
      </c>
      <c r="AC36" s="2">
        <v>54217</v>
      </c>
      <c r="AD36" s="2" t="s">
        <v>11645</v>
      </c>
      <c r="AE36" s="11">
        <v>43352.483900462961</v>
      </c>
      <c r="AF36" s="11">
        <v>43352.484027777777</v>
      </c>
      <c r="AG36" s="278">
        <v>0</v>
      </c>
      <c r="AH36" s="277">
        <f t="shared" si="35"/>
        <v>1.273148154723458E-4</v>
      </c>
      <c r="AI36" s="277">
        <f t="shared" ref="AI36:AI63" si="48">MIN(AF36-AF35, AF36-AJ36)</f>
        <v>4.2824073898373172E-4</v>
      </c>
      <c r="AJ36" s="276">
        <v>43352.454861111109</v>
      </c>
      <c r="AK36" s="275" t="str">
        <f t="shared" si="34"/>
        <v>https://captureandgo.cloudlab.zhaw.ch/images/images-1662802615500-465395288.jpg</v>
      </c>
      <c r="AW36" s="408" t="str">
        <f t="shared" si="36"/>
        <v>-</v>
      </c>
      <c r="AX36" s="408" t="str">
        <f t="shared" si="37"/>
        <v>-</v>
      </c>
      <c r="AZ36" s="342" t="str">
        <f t="shared" si="38"/>
        <v>-</v>
      </c>
      <c r="BA36" s="408" t="str">
        <f t="shared" si="39"/>
        <v>-</v>
      </c>
      <c r="BF36" s="408" t="str">
        <f t="shared" si="40"/>
        <v>-</v>
      </c>
      <c r="BG36" s="408" t="str">
        <f t="shared" si="41"/>
        <v>-</v>
      </c>
      <c r="BO36" s="329"/>
      <c r="CJ36" s="452" t="str">
        <f t="shared" si="8"/>
        <v>-</v>
      </c>
      <c r="CK36" s="452" t="str">
        <f t="shared" si="9"/>
        <v>-</v>
      </c>
      <c r="CM36" s="327" t="str">
        <f t="shared" si="42"/>
        <v>-</v>
      </c>
      <c r="CN36" s="453" t="str">
        <f t="shared" si="43"/>
        <v>-</v>
      </c>
      <c r="CP36" s="329"/>
      <c r="DA36" s="408" t="str">
        <f t="shared" si="44"/>
        <v>-</v>
      </c>
      <c r="DB36" s="408" t="str">
        <f t="shared" si="13"/>
        <v>-</v>
      </c>
      <c r="DD36" s="408" t="str">
        <f t="shared" si="45"/>
        <v>-</v>
      </c>
      <c r="DE36" s="408" t="str">
        <f t="shared" si="15"/>
        <v>-</v>
      </c>
      <c r="DI36" t="s">
        <v>9801</v>
      </c>
      <c r="DK36" s="408" t="str">
        <f t="shared" si="46"/>
        <v>-</v>
      </c>
      <c r="DL36" s="408" t="str">
        <f t="shared" si="17"/>
        <v>-</v>
      </c>
      <c r="DR36" s="452" t="str">
        <f>IF(AND(U36&lt;&gt;"",DQ36&lt;&gt;""), ABS(DQ36/U36-1), "-")</f>
        <v>-</v>
      </c>
      <c r="DS36" s="452" t="str">
        <f t="shared" si="18"/>
        <v>-</v>
      </c>
      <c r="DU36" s="452" t="str">
        <f t="shared" si="47"/>
        <v>-</v>
      </c>
      <c r="DV36" s="452" t="str">
        <f t="shared" si="20"/>
        <v>-</v>
      </c>
      <c r="DX36" s="329"/>
    </row>
    <row r="37" spans="1:128" ht="16" x14ac:dyDescent="0.2">
      <c r="A37" s="2" t="s">
        <v>11644</v>
      </c>
      <c r="B37" s="2">
        <v>106</v>
      </c>
      <c r="C37" s="2" t="str">
        <f t="shared" si="21"/>
        <v>x</v>
      </c>
      <c r="D37" s="2" t="s">
        <v>11824</v>
      </c>
      <c r="E37" s="2" t="s">
        <v>11536</v>
      </c>
      <c r="F37" s="2" t="s">
        <v>37</v>
      </c>
      <c r="G37" s="2" t="s">
        <v>35</v>
      </c>
      <c r="H37" s="2" t="s">
        <v>35</v>
      </c>
      <c r="I37" s="2" t="s">
        <v>11643</v>
      </c>
      <c r="J37" s="2" t="s">
        <v>35</v>
      </c>
      <c r="K37" s="2" t="str">
        <f t="shared" si="22"/>
        <v/>
      </c>
      <c r="L37" s="2" t="s">
        <v>35</v>
      </c>
      <c r="M37" s="2" t="str">
        <f t="shared" si="23"/>
        <v/>
      </c>
      <c r="N37" s="2" t="s">
        <v>35</v>
      </c>
      <c r="O37" s="2" t="str">
        <f t="shared" si="24"/>
        <v/>
      </c>
      <c r="P37" s="2" t="s">
        <v>35</v>
      </c>
      <c r="Q37" s="2" t="str">
        <f t="shared" si="25"/>
        <v/>
      </c>
      <c r="R37" s="2" t="s">
        <v>35</v>
      </c>
      <c r="S37" s="2"/>
      <c r="T37" s="2" t="str">
        <f t="shared" si="26"/>
        <v/>
      </c>
      <c r="U37" s="2">
        <v>7</v>
      </c>
      <c r="V37" s="2" t="str">
        <f t="shared" si="27"/>
        <v>x</v>
      </c>
      <c r="W37" s="3"/>
      <c r="X37" s="2" t="s">
        <v>11535</v>
      </c>
      <c r="Y37" s="2" t="s">
        <v>31</v>
      </c>
      <c r="Z37" s="2" t="s">
        <v>11642</v>
      </c>
      <c r="AA37" s="2" t="s">
        <v>11641</v>
      </c>
      <c r="AB37" s="2" t="s">
        <v>11532</v>
      </c>
      <c r="AC37" s="2">
        <v>58463</v>
      </c>
      <c r="AD37" s="2" t="s">
        <v>11640</v>
      </c>
      <c r="AE37" s="11">
        <v>43352.484479166669</v>
      </c>
      <c r="AF37" s="11">
        <v>43352.484722222223</v>
      </c>
      <c r="AG37" s="278">
        <v>0</v>
      </c>
      <c r="AH37" s="277">
        <f t="shared" si="35"/>
        <v>2.4305555416503921E-4</v>
      </c>
      <c r="AI37" s="277">
        <f t="shared" si="48"/>
        <v>6.944444467080757E-4</v>
      </c>
      <c r="AJ37" s="276">
        <v>43352.454861111109</v>
      </c>
      <c r="AK37" s="275" t="str">
        <f t="shared" si="34"/>
        <v>https://captureandgo.cloudlab.zhaw.ch/images/images-1662802668019-272118258.jpg</v>
      </c>
      <c r="AW37" s="408" t="str">
        <f t="shared" si="36"/>
        <v>-</v>
      </c>
      <c r="AX37" s="408" t="str">
        <f t="shared" si="37"/>
        <v>-</v>
      </c>
      <c r="AZ37" s="342" t="str">
        <f t="shared" si="38"/>
        <v>-</v>
      </c>
      <c r="BA37" s="408" t="str">
        <f t="shared" si="39"/>
        <v>-</v>
      </c>
      <c r="BF37" s="408" t="str">
        <f t="shared" si="40"/>
        <v>-</v>
      </c>
      <c r="BG37" s="408" t="str">
        <f t="shared" si="41"/>
        <v>-</v>
      </c>
      <c r="BH37" s="337"/>
      <c r="BI37" s="337"/>
      <c r="BJ37" s="337"/>
      <c r="BK37" s="337"/>
      <c r="BL37" s="436"/>
      <c r="BM37" s="436"/>
      <c r="BO37" s="441">
        <v>28</v>
      </c>
      <c r="BP37" s="339">
        <v>0</v>
      </c>
      <c r="BQ37" s="337" t="s">
        <v>11484</v>
      </c>
      <c r="BR37" t="s">
        <v>37</v>
      </c>
      <c r="BS37" s="337"/>
      <c r="BT37" s="337"/>
      <c r="BU37" s="337"/>
      <c r="BV37" s="337"/>
      <c r="BW37" s="337"/>
      <c r="BX37" s="337"/>
      <c r="BY37" s="337"/>
      <c r="BZ37" s="337"/>
      <c r="CA37" s="340"/>
      <c r="CB37" s="337"/>
      <c r="CC37" s="337"/>
      <c r="CD37" s="337"/>
      <c r="CE37" s="337">
        <v>76.040000000000006</v>
      </c>
      <c r="CF37" s="337">
        <v>3.33</v>
      </c>
      <c r="CG37" s="337">
        <v>18.72</v>
      </c>
      <c r="CH37" s="337">
        <v>2.68</v>
      </c>
      <c r="CI37" s="446">
        <v>3</v>
      </c>
      <c r="CJ37" s="452">
        <f t="shared" ref="CJ37:CJ49" si="49">IF(AND(U37&lt;&gt;"",CI37&lt;&gt;""), ABS(CI37/U37-1), "-")</f>
        <v>0.5714285714285714</v>
      </c>
      <c r="CK37" s="452">
        <f t="shared" si="9"/>
        <v>0.4285714285714286</v>
      </c>
      <c r="CL37" s="341">
        <v>8</v>
      </c>
      <c r="CM37" s="327" t="str">
        <f t="shared" si="42"/>
        <v>-</v>
      </c>
      <c r="CN37" s="453" t="str">
        <f t="shared" si="43"/>
        <v>-</v>
      </c>
      <c r="CO37" s="339">
        <v>6.7129629629629625E-4</v>
      </c>
      <c r="CP37" s="441">
        <v>65</v>
      </c>
      <c r="CQ37" s="339">
        <v>1.7361111111111112E-4</v>
      </c>
      <c r="CR37" s="337" t="s">
        <v>11523</v>
      </c>
      <c r="CS37" s="337" t="s">
        <v>37</v>
      </c>
      <c r="CT37" s="337" t="b">
        <v>0</v>
      </c>
      <c r="CU37" s="337"/>
      <c r="CV37" s="337" t="b">
        <v>0</v>
      </c>
      <c r="CW37" s="337" t="b">
        <v>0</v>
      </c>
      <c r="CX37" s="337"/>
      <c r="CY37" s="337"/>
      <c r="CZ37" s="337"/>
      <c r="DA37" s="408" t="str">
        <f t="shared" si="44"/>
        <v>-</v>
      </c>
      <c r="DB37" s="408" t="str">
        <f t="shared" si="13"/>
        <v>-</v>
      </c>
      <c r="DC37" s="337"/>
      <c r="DD37" s="408" t="str">
        <f t="shared" si="45"/>
        <v>-</v>
      </c>
      <c r="DE37" s="408" t="str">
        <f t="shared" si="15"/>
        <v>-</v>
      </c>
      <c r="DF37" s="340"/>
      <c r="DG37" s="337"/>
      <c r="DH37" s="337"/>
      <c r="DI37" t="s">
        <v>9801</v>
      </c>
      <c r="DJ37" s="337"/>
      <c r="DK37" s="408" t="str">
        <f t="shared" si="46"/>
        <v>-</v>
      </c>
      <c r="DL37" s="408" t="str">
        <f t="shared" si="17"/>
        <v>-</v>
      </c>
      <c r="DM37" s="337">
        <v>7.43</v>
      </c>
      <c r="DN37" s="337">
        <v>0.37</v>
      </c>
      <c r="DO37" s="337">
        <v>2.68</v>
      </c>
      <c r="DP37" s="337">
        <v>0.11</v>
      </c>
      <c r="DQ37" s="436">
        <v>3</v>
      </c>
      <c r="DR37" s="452">
        <f t="shared" si="29"/>
        <v>0.5714285714285714</v>
      </c>
      <c r="DS37" s="452">
        <f t="shared" si="18"/>
        <v>0.4285714285714286</v>
      </c>
      <c r="DT37" s="436">
        <v>2</v>
      </c>
      <c r="DU37" s="452" t="str">
        <f t="shared" si="47"/>
        <v>-</v>
      </c>
      <c r="DV37" s="452" t="str">
        <f t="shared" si="20"/>
        <v>-</v>
      </c>
      <c r="DW37" s="339">
        <v>6.3657407407407402E-4</v>
      </c>
      <c r="DX37" s="329"/>
    </row>
    <row r="38" spans="1:128" ht="16" x14ac:dyDescent="0.2">
      <c r="A38" s="2" t="s">
        <v>11639</v>
      </c>
      <c r="B38" s="2">
        <v>107</v>
      </c>
      <c r="C38" s="2" t="str">
        <f t="shared" si="21"/>
        <v>x</v>
      </c>
      <c r="D38" s="2" t="s">
        <v>11825</v>
      </c>
      <c r="E38" s="2" t="s">
        <v>11536</v>
      </c>
      <c r="F38" s="2" t="s">
        <v>37</v>
      </c>
      <c r="G38" s="2" t="s">
        <v>35</v>
      </c>
      <c r="H38" s="2" t="s">
        <v>35</v>
      </c>
      <c r="I38" s="2" t="s">
        <v>35</v>
      </c>
      <c r="J38" s="2" t="s">
        <v>35</v>
      </c>
      <c r="K38" s="2" t="str">
        <f t="shared" si="22"/>
        <v/>
      </c>
      <c r="L38" s="2" t="s">
        <v>35</v>
      </c>
      <c r="M38" s="2" t="str">
        <f t="shared" si="23"/>
        <v/>
      </c>
      <c r="N38" s="2">
        <v>6</v>
      </c>
      <c r="O38" s="2" t="str">
        <f t="shared" si="24"/>
        <v>x</v>
      </c>
      <c r="P38" s="2" t="s">
        <v>35</v>
      </c>
      <c r="Q38" s="2" t="str">
        <f t="shared" si="25"/>
        <v/>
      </c>
      <c r="R38" s="2" t="s">
        <v>35</v>
      </c>
      <c r="S38" s="2"/>
      <c r="T38" s="2" t="str">
        <f t="shared" si="26"/>
        <v/>
      </c>
      <c r="U38" s="2" t="s">
        <v>35</v>
      </c>
      <c r="V38" s="2" t="str">
        <f>IF(OR(BL38&lt;&gt;"", CJ38&lt;&gt;"-", DR38&lt;&gt;"-"), "x", "")</f>
        <v/>
      </c>
      <c r="W38" s="3"/>
      <c r="X38" s="2" t="s">
        <v>11535</v>
      </c>
      <c r="Y38" s="2" t="s">
        <v>31</v>
      </c>
      <c r="Z38" s="2" t="s">
        <v>11638</v>
      </c>
      <c r="AA38" s="2" t="s">
        <v>11637</v>
      </c>
      <c r="AB38" s="2" t="s">
        <v>11532</v>
      </c>
      <c r="AC38" s="2">
        <v>61661</v>
      </c>
      <c r="AD38" s="2" t="s">
        <v>11636</v>
      </c>
      <c r="AE38" s="11">
        <v>43352.605925925927</v>
      </c>
      <c r="AF38" s="11">
        <v>43352.606053240743</v>
      </c>
      <c r="AG38" s="278">
        <v>0</v>
      </c>
      <c r="AH38" s="277">
        <f t="shared" si="35"/>
        <v>1.273148154723458E-4</v>
      </c>
      <c r="AI38" s="277">
        <f t="shared" si="48"/>
        <v>1.1921296318178065E-3</v>
      </c>
      <c r="AJ38" s="276">
        <v>43352.604861111111</v>
      </c>
      <c r="AK38" s="275" t="str">
        <f t="shared" si="34"/>
        <v>https://captureandgo.cloudlab.zhaw.ch/images/images-1662813158903-424744505.jpg</v>
      </c>
      <c r="AW38" s="408" t="str">
        <f t="shared" si="36"/>
        <v>-</v>
      </c>
      <c r="AX38" s="408" t="str">
        <f t="shared" si="37"/>
        <v>-</v>
      </c>
      <c r="AZ38" s="342" t="str">
        <f t="shared" si="38"/>
        <v>-</v>
      </c>
      <c r="BA38" s="408" t="str">
        <f t="shared" si="39"/>
        <v>-</v>
      </c>
      <c r="BF38" s="408" t="str">
        <f t="shared" si="40"/>
        <v>-</v>
      </c>
      <c r="BG38" s="408" t="str">
        <f t="shared" si="41"/>
        <v>-</v>
      </c>
      <c r="BO38" s="441">
        <v>28</v>
      </c>
      <c r="BP38" s="339">
        <v>0</v>
      </c>
      <c r="BQ38" s="337" t="s">
        <v>11484</v>
      </c>
      <c r="BR38" t="s">
        <v>37</v>
      </c>
      <c r="BS38" s="337"/>
      <c r="BT38" s="337"/>
      <c r="BU38" s="337"/>
      <c r="BV38" s="337"/>
      <c r="BW38" s="337"/>
      <c r="BX38" s="337"/>
      <c r="BY38" s="337"/>
      <c r="BZ38" s="337"/>
      <c r="CA38" s="340"/>
      <c r="CB38" s="337"/>
      <c r="CC38" s="337"/>
      <c r="CD38" s="337"/>
      <c r="CE38" s="337">
        <v>76.040000000000006</v>
      </c>
      <c r="CF38" s="337">
        <v>3.33</v>
      </c>
      <c r="CG38" s="337">
        <v>18.72</v>
      </c>
      <c r="CH38" s="337">
        <v>2.68</v>
      </c>
      <c r="CI38" s="446">
        <v>3</v>
      </c>
      <c r="CJ38" s="452" t="str">
        <f t="shared" si="49"/>
        <v>-</v>
      </c>
      <c r="CK38" s="452" t="str">
        <f t="shared" si="9"/>
        <v>-</v>
      </c>
      <c r="CL38" s="341">
        <v>8</v>
      </c>
      <c r="CM38" s="327">
        <f t="shared" si="42"/>
        <v>0.33333333333333326</v>
      </c>
      <c r="CN38" s="453">
        <f t="shared" si="43"/>
        <v>0.66666666666666674</v>
      </c>
      <c r="CO38" s="339">
        <v>6.7129629629629625E-4</v>
      </c>
      <c r="CP38" s="329"/>
      <c r="DA38" s="408" t="str">
        <f t="shared" si="44"/>
        <v>-</v>
      </c>
      <c r="DB38" s="408" t="str">
        <f t="shared" si="13"/>
        <v>-</v>
      </c>
      <c r="DD38" s="408" t="str">
        <f t="shared" si="45"/>
        <v>-</v>
      </c>
      <c r="DE38" s="408" t="str">
        <f t="shared" si="15"/>
        <v>-</v>
      </c>
      <c r="DI38" t="s">
        <v>9801</v>
      </c>
      <c r="DK38" s="408" t="str">
        <f t="shared" si="46"/>
        <v>-</v>
      </c>
      <c r="DL38" s="408" t="str">
        <f t="shared" si="17"/>
        <v>-</v>
      </c>
      <c r="DR38" s="452" t="str">
        <f t="shared" si="29"/>
        <v>-</v>
      </c>
      <c r="DS38" s="452" t="str">
        <f t="shared" si="18"/>
        <v>-</v>
      </c>
      <c r="DU38" s="452" t="str">
        <f t="shared" si="47"/>
        <v>-</v>
      </c>
      <c r="DV38" s="452" t="str">
        <f t="shared" si="20"/>
        <v>-</v>
      </c>
      <c r="DX38" s="329"/>
    </row>
    <row r="39" spans="1:128" ht="16" x14ac:dyDescent="0.2">
      <c r="A39" s="2" t="s">
        <v>11635</v>
      </c>
      <c r="B39" s="2">
        <v>108</v>
      </c>
      <c r="C39" s="2" t="str">
        <f t="shared" si="21"/>
        <v/>
      </c>
      <c r="D39" s="2" t="s">
        <v>11826</v>
      </c>
      <c r="E39" s="2" t="s">
        <v>11536</v>
      </c>
      <c r="F39" s="2" t="s">
        <v>266</v>
      </c>
      <c r="G39" s="2" t="s">
        <v>35</v>
      </c>
      <c r="H39" s="2">
        <v>3.5</v>
      </c>
      <c r="I39" s="2" t="s">
        <v>35</v>
      </c>
      <c r="J39" s="2" t="s">
        <v>35</v>
      </c>
      <c r="K39" s="2" t="str">
        <f t="shared" si="22"/>
        <v/>
      </c>
      <c r="L39" s="2" t="s">
        <v>35</v>
      </c>
      <c r="M39" s="2" t="str">
        <f t="shared" si="23"/>
        <v/>
      </c>
      <c r="N39" s="2" t="s">
        <v>35</v>
      </c>
      <c r="O39" s="2" t="str">
        <f t="shared" si="24"/>
        <v/>
      </c>
      <c r="P39" s="2" t="s">
        <v>35</v>
      </c>
      <c r="Q39" s="2" t="str">
        <f t="shared" si="25"/>
        <v/>
      </c>
      <c r="R39" s="2" t="s">
        <v>35</v>
      </c>
      <c r="S39" s="2"/>
      <c r="T39" s="2" t="str">
        <f>IF(OR(BD39&lt;&gt;"", CC39&lt;&gt;"", DH39&lt;&gt;""), "x", "")</f>
        <v/>
      </c>
      <c r="U39" s="2" t="s">
        <v>35</v>
      </c>
      <c r="V39" s="2" t="str">
        <f t="shared" si="27"/>
        <v/>
      </c>
      <c r="W39" s="3"/>
      <c r="X39" s="2" t="s">
        <v>11535</v>
      </c>
      <c r="Y39" s="2" t="s">
        <v>31</v>
      </c>
      <c r="Z39" s="2" t="s">
        <v>11634</v>
      </c>
      <c r="AA39" s="2" t="s">
        <v>11633</v>
      </c>
      <c r="AB39" s="2" t="s">
        <v>11532</v>
      </c>
      <c r="AC39" s="2">
        <v>58793</v>
      </c>
      <c r="AD39" s="2" t="s">
        <v>11632</v>
      </c>
      <c r="AE39" s="11">
        <v>43352.606678240743</v>
      </c>
      <c r="AF39" s="11">
        <v>43352.607094907406</v>
      </c>
      <c r="AG39" s="278">
        <v>0</v>
      </c>
      <c r="AH39" s="277">
        <f t="shared" si="35"/>
        <v>4.1666666220407933E-4</v>
      </c>
      <c r="AI39" s="277">
        <f t="shared" si="48"/>
        <v>1.0416666627861559E-3</v>
      </c>
      <c r="AJ39" s="276">
        <v>43352.604861111111</v>
      </c>
      <c r="AK39" s="275" t="str">
        <f t="shared" si="34"/>
        <v>https://captureandgo.cloudlab.zhaw.ch/images/images-1662813245315-62807936.jpg</v>
      </c>
      <c r="AW39" s="408" t="str">
        <f t="shared" si="36"/>
        <v>-</v>
      </c>
      <c r="AX39" s="408" t="str">
        <f t="shared" si="37"/>
        <v>-</v>
      </c>
      <c r="AZ39" s="342" t="str">
        <f t="shared" si="38"/>
        <v>-</v>
      </c>
      <c r="BA39" s="408" t="str">
        <f t="shared" si="39"/>
        <v>-</v>
      </c>
      <c r="BF39" s="408" t="str">
        <f t="shared" si="40"/>
        <v>-</v>
      </c>
      <c r="BG39" s="408" t="str">
        <f t="shared" si="41"/>
        <v>-</v>
      </c>
      <c r="BO39" s="329"/>
      <c r="CJ39" s="452" t="str">
        <f t="shared" si="49"/>
        <v>-</v>
      </c>
      <c r="CK39" s="452" t="str">
        <f t="shared" si="9"/>
        <v>-</v>
      </c>
      <c r="CM39" s="327" t="str">
        <f t="shared" si="42"/>
        <v>-</v>
      </c>
      <c r="CN39" s="453" t="str">
        <f t="shared" si="43"/>
        <v>-</v>
      </c>
      <c r="CP39" s="329"/>
      <c r="DA39" s="408" t="str">
        <f t="shared" si="44"/>
        <v>-</v>
      </c>
      <c r="DB39" s="408" t="str">
        <f t="shared" si="13"/>
        <v>-</v>
      </c>
      <c r="DD39" s="408" t="str">
        <f t="shared" si="45"/>
        <v>-</v>
      </c>
      <c r="DE39" s="408" t="str">
        <f t="shared" si="15"/>
        <v>-</v>
      </c>
      <c r="DI39" t="s">
        <v>9801</v>
      </c>
      <c r="DK39" s="408" t="str">
        <f t="shared" si="46"/>
        <v>-</v>
      </c>
      <c r="DL39" s="408" t="str">
        <f t="shared" si="17"/>
        <v>-</v>
      </c>
      <c r="DR39" s="452" t="str">
        <f t="shared" si="29"/>
        <v>-</v>
      </c>
      <c r="DS39" s="452" t="str">
        <f t="shared" si="18"/>
        <v>-</v>
      </c>
      <c r="DU39" s="452" t="str">
        <f t="shared" si="47"/>
        <v>-</v>
      </c>
      <c r="DV39" s="452" t="str">
        <f t="shared" si="20"/>
        <v>-</v>
      </c>
      <c r="DX39" s="329"/>
    </row>
    <row r="40" spans="1:128" ht="16" x14ac:dyDescent="0.2">
      <c r="A40" s="2" t="s">
        <v>11631</v>
      </c>
      <c r="B40" s="2">
        <v>109</v>
      </c>
      <c r="C40" s="2" t="str">
        <f t="shared" si="21"/>
        <v/>
      </c>
      <c r="D40" s="2" t="s">
        <v>11827</v>
      </c>
      <c r="E40" s="2" t="s">
        <v>11536</v>
      </c>
      <c r="F40" s="2" t="s">
        <v>37</v>
      </c>
      <c r="G40" s="2" t="s">
        <v>35</v>
      </c>
      <c r="H40" s="2" t="s">
        <v>35</v>
      </c>
      <c r="I40" s="2" t="s">
        <v>35</v>
      </c>
      <c r="J40" s="2" t="s">
        <v>35</v>
      </c>
      <c r="K40" s="2" t="str">
        <f t="shared" si="22"/>
        <v/>
      </c>
      <c r="L40" s="2" t="s">
        <v>35</v>
      </c>
      <c r="M40" s="2" t="str">
        <f t="shared" si="23"/>
        <v/>
      </c>
      <c r="N40" s="2">
        <v>3</v>
      </c>
      <c r="O40" s="2" t="str">
        <f t="shared" si="24"/>
        <v/>
      </c>
      <c r="P40" s="2" t="s">
        <v>35</v>
      </c>
      <c r="Q40" s="2" t="str">
        <f t="shared" si="25"/>
        <v/>
      </c>
      <c r="R40" s="2" t="s">
        <v>35</v>
      </c>
      <c r="S40" s="2"/>
      <c r="T40" s="2" t="str">
        <f t="shared" si="26"/>
        <v/>
      </c>
      <c r="U40" s="2" t="s">
        <v>35</v>
      </c>
      <c r="V40" s="2" t="str">
        <f t="shared" si="27"/>
        <v/>
      </c>
      <c r="W40" s="3"/>
      <c r="X40" s="2" t="s">
        <v>11535</v>
      </c>
      <c r="Y40" s="2" t="s">
        <v>31</v>
      </c>
      <c r="Z40" s="2" t="s">
        <v>11630</v>
      </c>
      <c r="AA40" s="2" t="s">
        <v>11629</v>
      </c>
      <c r="AB40" s="2" t="s">
        <v>11532</v>
      </c>
      <c r="AC40" s="2">
        <v>52016</v>
      </c>
      <c r="AD40" s="2" t="s">
        <v>11628</v>
      </c>
      <c r="AE40" s="11">
        <v>43352.607719907406</v>
      </c>
      <c r="AF40" s="11">
        <v>43352.607847222222</v>
      </c>
      <c r="AG40" s="278">
        <v>0</v>
      </c>
      <c r="AH40" s="277">
        <f t="shared" si="35"/>
        <v>1.273148154723458E-4</v>
      </c>
      <c r="AI40" s="277">
        <f t="shared" si="48"/>
        <v>7.5231481605442241E-4</v>
      </c>
      <c r="AJ40" s="276">
        <v>43352.604861111111</v>
      </c>
      <c r="AK40" s="275" t="str">
        <f t="shared" si="34"/>
        <v>https://captureandgo.cloudlab.zhaw.ch/images/images-1662813315145-736696929.jpg</v>
      </c>
      <c r="AW40" s="408" t="str">
        <f t="shared" si="36"/>
        <v>-</v>
      </c>
      <c r="AX40" s="408" t="str">
        <f t="shared" si="37"/>
        <v>-</v>
      </c>
      <c r="AZ40" s="342" t="str">
        <f t="shared" si="38"/>
        <v>-</v>
      </c>
      <c r="BA40" s="408" t="str">
        <f t="shared" si="39"/>
        <v>-</v>
      </c>
      <c r="BF40" s="408" t="str">
        <f t="shared" si="40"/>
        <v>-</v>
      </c>
      <c r="BG40" s="408" t="str">
        <f t="shared" si="41"/>
        <v>-</v>
      </c>
      <c r="BO40" s="329"/>
      <c r="CJ40" s="452" t="str">
        <f t="shared" si="49"/>
        <v>-</v>
      </c>
      <c r="CK40" s="452" t="str">
        <f t="shared" si="9"/>
        <v>-</v>
      </c>
      <c r="CM40" s="327" t="str">
        <f t="shared" si="42"/>
        <v>-</v>
      </c>
      <c r="CN40" s="453" t="str">
        <f t="shared" si="43"/>
        <v>-</v>
      </c>
      <c r="CP40" s="329"/>
      <c r="DA40" s="408" t="str">
        <f t="shared" si="44"/>
        <v>-</v>
      </c>
      <c r="DB40" s="408" t="str">
        <f t="shared" si="13"/>
        <v>-</v>
      </c>
      <c r="DD40" s="408" t="str">
        <f t="shared" si="45"/>
        <v>-</v>
      </c>
      <c r="DE40" s="408" t="str">
        <f t="shared" si="15"/>
        <v>-</v>
      </c>
      <c r="DI40" t="s">
        <v>9801</v>
      </c>
      <c r="DK40" s="408" t="str">
        <f t="shared" si="46"/>
        <v>-</v>
      </c>
      <c r="DL40" s="408" t="str">
        <f t="shared" si="17"/>
        <v>-</v>
      </c>
      <c r="DR40" s="452" t="str">
        <f t="shared" si="29"/>
        <v>-</v>
      </c>
      <c r="DS40" s="452" t="str">
        <f t="shared" si="18"/>
        <v>-</v>
      </c>
      <c r="DU40" s="452" t="str">
        <f t="shared" si="47"/>
        <v>-</v>
      </c>
      <c r="DV40" s="452" t="str">
        <f t="shared" si="20"/>
        <v>-</v>
      </c>
      <c r="DX40" s="329"/>
    </row>
    <row r="41" spans="1:128" ht="16" x14ac:dyDescent="0.2">
      <c r="A41" s="2" t="s">
        <v>11627</v>
      </c>
      <c r="B41" s="2">
        <v>110</v>
      </c>
      <c r="C41" s="2" t="str">
        <f t="shared" si="21"/>
        <v>x</v>
      </c>
      <c r="D41" s="2" t="s">
        <v>11828</v>
      </c>
      <c r="E41" s="2" t="s">
        <v>11536</v>
      </c>
      <c r="F41" s="2" t="s">
        <v>125</v>
      </c>
      <c r="G41" s="2" t="s">
        <v>35</v>
      </c>
      <c r="H41" s="2" t="s">
        <v>35</v>
      </c>
      <c r="I41" s="2" t="s">
        <v>675</v>
      </c>
      <c r="J41" s="2" t="s">
        <v>35</v>
      </c>
      <c r="K41" s="2" t="str">
        <f t="shared" si="22"/>
        <v/>
      </c>
      <c r="L41" s="2" t="s">
        <v>35</v>
      </c>
      <c r="M41" s="2" t="str">
        <f t="shared" si="23"/>
        <v/>
      </c>
      <c r="N41" s="2" t="s">
        <v>35</v>
      </c>
      <c r="O41" s="2" t="str">
        <f t="shared" si="24"/>
        <v/>
      </c>
      <c r="P41" s="2">
        <v>4</v>
      </c>
      <c r="Q41" s="2" t="str">
        <f t="shared" si="25"/>
        <v>x</v>
      </c>
      <c r="R41" s="2" t="s">
        <v>35</v>
      </c>
      <c r="S41" s="2"/>
      <c r="T41" s="2" t="str">
        <f t="shared" si="26"/>
        <v/>
      </c>
      <c r="U41" s="2" t="s">
        <v>35</v>
      </c>
      <c r="V41" s="2" t="str">
        <f t="shared" si="27"/>
        <v/>
      </c>
      <c r="W41" s="3"/>
      <c r="X41" s="2" t="s">
        <v>11535</v>
      </c>
      <c r="Y41" s="2" t="s">
        <v>31</v>
      </c>
      <c r="Z41" s="2" t="s">
        <v>11626</v>
      </c>
      <c r="AA41" s="2" t="s">
        <v>11625</v>
      </c>
      <c r="AB41" s="2" t="s">
        <v>11532</v>
      </c>
      <c r="AC41" s="2">
        <v>54939</v>
      </c>
      <c r="AD41" s="2" t="s">
        <v>11624</v>
      </c>
      <c r="AE41" s="11">
        <v>43352.608182870368</v>
      </c>
      <c r="AF41" s="11">
        <v>43352.608402777776</v>
      </c>
      <c r="AG41" s="278">
        <v>0</v>
      </c>
      <c r="AH41" s="277">
        <f t="shared" si="35"/>
        <v>2.1990740788169205E-4</v>
      </c>
      <c r="AI41" s="277">
        <f t="shared" si="48"/>
        <v>5.5555555445607752E-4</v>
      </c>
      <c r="AJ41" s="276">
        <v>43352.604861111111</v>
      </c>
      <c r="AK41" s="275" t="str">
        <f t="shared" si="34"/>
        <v>https://captureandgo.cloudlab.zhaw.ch/images/images-1662813354747-545073289.jpg</v>
      </c>
      <c r="AL41">
        <v>4</v>
      </c>
      <c r="AM41" s="7">
        <v>2.199074074074074E-4</v>
      </c>
      <c r="AN41" s="110" t="s">
        <v>11453</v>
      </c>
      <c r="AO41" t="s">
        <v>125</v>
      </c>
      <c r="AP41" t="b">
        <v>0</v>
      </c>
      <c r="AR41" t="b">
        <v>0</v>
      </c>
      <c r="AS41" t="s">
        <v>11384</v>
      </c>
      <c r="AT41" t="s">
        <v>940</v>
      </c>
      <c r="AW41" s="408" t="str">
        <f t="shared" si="36"/>
        <v>-</v>
      </c>
      <c r="AX41" s="408" t="str">
        <f t="shared" si="37"/>
        <v>-</v>
      </c>
      <c r="AZ41" s="342" t="str">
        <f t="shared" si="38"/>
        <v>-</v>
      </c>
      <c r="BA41" s="408" t="str">
        <f t="shared" si="39"/>
        <v>-</v>
      </c>
      <c r="BB41" s="28"/>
      <c r="BE41">
        <v>4</v>
      </c>
      <c r="BF41" s="408">
        <f t="shared" si="40"/>
        <v>0</v>
      </c>
      <c r="BG41" s="408">
        <f t="shared" si="41"/>
        <v>1</v>
      </c>
      <c r="BH41" s="337"/>
      <c r="BI41" s="337"/>
      <c r="BJ41" s="337"/>
      <c r="BK41" s="337"/>
      <c r="BL41" s="341"/>
      <c r="BM41" s="341"/>
      <c r="BN41" s="7">
        <v>4.1666666666666669E-4</v>
      </c>
      <c r="BO41" s="329"/>
      <c r="CJ41" s="452" t="str">
        <f t="shared" si="49"/>
        <v>-</v>
      </c>
      <c r="CK41" s="452" t="str">
        <f t="shared" si="9"/>
        <v>-</v>
      </c>
      <c r="CM41" s="327" t="str">
        <f t="shared" si="42"/>
        <v>-</v>
      </c>
      <c r="CN41" s="453" t="str">
        <f t="shared" si="43"/>
        <v>-</v>
      </c>
      <c r="CP41" s="441">
        <v>42</v>
      </c>
      <c r="CQ41" s="339">
        <v>1.6435185185185183E-3</v>
      </c>
      <c r="CR41" s="110" t="s">
        <v>11495</v>
      </c>
      <c r="CS41" s="337" t="s">
        <v>125</v>
      </c>
      <c r="CT41" s="337" t="b">
        <v>0</v>
      </c>
      <c r="CU41" s="337"/>
      <c r="CV41" s="337" t="b">
        <v>0</v>
      </c>
      <c r="CW41" s="337" t="b">
        <v>0</v>
      </c>
      <c r="CX41" t="s">
        <v>940</v>
      </c>
      <c r="CZ41" s="337"/>
      <c r="DA41" s="408" t="str">
        <f t="shared" si="44"/>
        <v>-</v>
      </c>
      <c r="DB41" s="408" t="str">
        <f t="shared" si="13"/>
        <v>-</v>
      </c>
      <c r="DC41" s="337"/>
      <c r="DD41" s="408" t="str">
        <f t="shared" si="45"/>
        <v>-</v>
      </c>
      <c r="DE41" s="408" t="str">
        <f t="shared" si="15"/>
        <v>-</v>
      </c>
      <c r="DF41" s="340"/>
      <c r="DG41" s="337"/>
      <c r="DH41" s="337"/>
      <c r="DI41" t="s">
        <v>9801</v>
      </c>
      <c r="DJ41" s="337">
        <v>13</v>
      </c>
      <c r="DK41" s="408">
        <f t="shared" si="46"/>
        <v>2.25</v>
      </c>
      <c r="DL41" s="468">
        <f t="shared" si="17"/>
        <v>-1.25</v>
      </c>
      <c r="DM41" s="337"/>
      <c r="DN41" s="337"/>
      <c r="DO41" s="337"/>
      <c r="DP41" s="337"/>
      <c r="DQ41" s="341"/>
      <c r="DR41" s="452" t="str">
        <f t="shared" si="29"/>
        <v>-</v>
      </c>
      <c r="DS41" s="452" t="str">
        <f t="shared" si="18"/>
        <v>-</v>
      </c>
      <c r="DT41" s="341"/>
      <c r="DU41" s="452" t="str">
        <f t="shared" si="47"/>
        <v>-</v>
      </c>
      <c r="DV41" s="452" t="str">
        <f t="shared" si="20"/>
        <v>-</v>
      </c>
      <c r="DW41" s="339">
        <v>4.1666666666666669E-4</v>
      </c>
      <c r="DX41" s="329"/>
    </row>
    <row r="42" spans="1:128" ht="16" x14ac:dyDescent="0.2">
      <c r="A42" s="2" t="s">
        <v>11623</v>
      </c>
      <c r="B42" s="2">
        <v>111</v>
      </c>
      <c r="C42" s="2" t="str">
        <f t="shared" si="21"/>
        <v/>
      </c>
      <c r="D42" s="2" t="s">
        <v>11829</v>
      </c>
      <c r="E42" s="2" t="s">
        <v>11536</v>
      </c>
      <c r="F42" s="2" t="s">
        <v>37</v>
      </c>
      <c r="G42" s="2" t="s">
        <v>35</v>
      </c>
      <c r="H42" s="2" t="s">
        <v>35</v>
      </c>
      <c r="I42" s="2" t="s">
        <v>35</v>
      </c>
      <c r="J42" s="2" t="s">
        <v>35</v>
      </c>
      <c r="K42" s="2" t="str">
        <f t="shared" si="22"/>
        <v/>
      </c>
      <c r="L42" s="2" t="s">
        <v>35</v>
      </c>
      <c r="M42" s="2" t="str">
        <f t="shared" si="23"/>
        <v/>
      </c>
      <c r="N42" s="2" t="s">
        <v>35</v>
      </c>
      <c r="O42" s="2" t="str">
        <f t="shared" si="24"/>
        <v/>
      </c>
      <c r="P42" s="2" t="s">
        <v>35</v>
      </c>
      <c r="Q42" s="2" t="str">
        <f t="shared" si="25"/>
        <v/>
      </c>
      <c r="R42" s="2" t="s">
        <v>35</v>
      </c>
      <c r="S42" s="2"/>
      <c r="T42" s="2" t="str">
        <f t="shared" si="26"/>
        <v/>
      </c>
      <c r="U42" s="2">
        <v>3</v>
      </c>
      <c r="V42" s="2" t="str">
        <f t="shared" si="27"/>
        <v/>
      </c>
      <c r="W42" s="3"/>
      <c r="X42" s="2" t="s">
        <v>11535</v>
      </c>
      <c r="Y42" s="2" t="s">
        <v>31</v>
      </c>
      <c r="Z42" s="2" t="s">
        <v>11622</v>
      </c>
      <c r="AA42" s="2" t="s">
        <v>11621</v>
      </c>
      <c r="AB42" s="2" t="s">
        <v>11532</v>
      </c>
      <c r="AC42" s="2">
        <v>62840</v>
      </c>
      <c r="AD42" s="2" t="s">
        <v>11620</v>
      </c>
      <c r="AE42" s="11">
        <v>43352.608749999999</v>
      </c>
      <c r="AF42" s="11">
        <v>43352.608854166669</v>
      </c>
      <c r="AG42" s="278">
        <v>0</v>
      </c>
      <c r="AH42" s="277">
        <f t="shared" si="35"/>
        <v>1.0416666918899864E-4</v>
      </c>
      <c r="AI42" s="277">
        <f t="shared" si="48"/>
        <v>4.5138889254303649E-4</v>
      </c>
      <c r="AJ42" s="276">
        <v>43352.604861111111</v>
      </c>
      <c r="AK42" s="275" t="str">
        <f t="shared" si="34"/>
        <v>https://captureandgo.cloudlab.zhaw.ch/images/images-1662813402326-319605994.jpg</v>
      </c>
      <c r="AW42" s="408" t="str">
        <f t="shared" si="36"/>
        <v>-</v>
      </c>
      <c r="AX42" s="408" t="str">
        <f t="shared" si="37"/>
        <v>-</v>
      </c>
      <c r="AZ42" s="342" t="str">
        <f t="shared" si="38"/>
        <v>-</v>
      </c>
      <c r="BA42" s="408" t="str">
        <f t="shared" si="39"/>
        <v>-</v>
      </c>
      <c r="BF42" s="408" t="str">
        <f t="shared" si="40"/>
        <v>-</v>
      </c>
      <c r="BG42" s="408" t="str">
        <f t="shared" si="41"/>
        <v>-</v>
      </c>
      <c r="BO42" s="329"/>
      <c r="CJ42" s="452" t="str">
        <f t="shared" si="49"/>
        <v>-</v>
      </c>
      <c r="CK42" s="452" t="str">
        <f t="shared" si="9"/>
        <v>-</v>
      </c>
      <c r="CM42" s="327" t="str">
        <f t="shared" si="42"/>
        <v>-</v>
      </c>
      <c r="CN42" s="453" t="str">
        <f t="shared" si="43"/>
        <v>-</v>
      </c>
      <c r="CP42" s="329"/>
      <c r="DA42" s="408" t="str">
        <f t="shared" si="44"/>
        <v>-</v>
      </c>
      <c r="DB42" s="408" t="str">
        <f t="shared" si="13"/>
        <v>-</v>
      </c>
      <c r="DD42" s="408" t="str">
        <f t="shared" si="45"/>
        <v>-</v>
      </c>
      <c r="DE42" s="408" t="str">
        <f t="shared" si="15"/>
        <v>-</v>
      </c>
      <c r="DI42" t="s">
        <v>9801</v>
      </c>
      <c r="DK42" s="408" t="str">
        <f t="shared" si="46"/>
        <v>-</v>
      </c>
      <c r="DL42" s="408" t="str">
        <f t="shared" si="17"/>
        <v>-</v>
      </c>
      <c r="DR42" s="452" t="str">
        <f t="shared" si="29"/>
        <v>-</v>
      </c>
      <c r="DS42" s="452" t="str">
        <f t="shared" si="18"/>
        <v>-</v>
      </c>
      <c r="DU42" s="452" t="str">
        <f t="shared" si="47"/>
        <v>-</v>
      </c>
      <c r="DV42" s="452" t="str">
        <f t="shared" si="20"/>
        <v>-</v>
      </c>
      <c r="DX42" s="329"/>
    </row>
    <row r="43" spans="1:128" ht="16" x14ac:dyDescent="0.2">
      <c r="A43" s="2" t="s">
        <v>11619</v>
      </c>
      <c r="B43" s="2">
        <v>112</v>
      </c>
      <c r="C43" s="2" t="str">
        <f t="shared" si="21"/>
        <v>x</v>
      </c>
      <c r="D43" s="2" t="s">
        <v>11830</v>
      </c>
      <c r="E43" s="2" t="s">
        <v>11536</v>
      </c>
      <c r="F43" s="2" t="s">
        <v>37</v>
      </c>
      <c r="G43" s="2" t="s">
        <v>35</v>
      </c>
      <c r="H43" s="2" t="s">
        <v>35</v>
      </c>
      <c r="I43" s="2" t="s">
        <v>35</v>
      </c>
      <c r="J43" s="2" t="s">
        <v>35</v>
      </c>
      <c r="K43" s="2" t="str">
        <f t="shared" si="22"/>
        <v/>
      </c>
      <c r="L43" s="2" t="s">
        <v>35</v>
      </c>
      <c r="M43" s="2" t="str">
        <f t="shared" si="23"/>
        <v/>
      </c>
      <c r="N43" s="2" t="s">
        <v>35</v>
      </c>
      <c r="O43" s="2" t="str">
        <f t="shared" si="24"/>
        <v/>
      </c>
      <c r="P43" s="2" t="s">
        <v>35</v>
      </c>
      <c r="Q43" s="2" t="str">
        <f>IF(OR(BF43&lt;&gt;"-", CD43&lt;&gt;"", DK43&lt;&gt;"-"), "x", "")</f>
        <v/>
      </c>
      <c r="R43" s="2" t="s">
        <v>35</v>
      </c>
      <c r="S43" s="2" t="s">
        <v>3516</v>
      </c>
      <c r="T43" s="2" t="str">
        <f t="shared" si="26"/>
        <v>x</v>
      </c>
      <c r="U43" s="2" t="s">
        <v>35</v>
      </c>
      <c r="V43" s="2" t="str">
        <f t="shared" si="27"/>
        <v/>
      </c>
      <c r="W43" s="3"/>
      <c r="X43" s="2" t="s">
        <v>11535</v>
      </c>
      <c r="Y43" s="2" t="s">
        <v>31</v>
      </c>
      <c r="Z43" s="2" t="s">
        <v>11618</v>
      </c>
      <c r="AA43" s="2" t="s">
        <v>11617</v>
      </c>
      <c r="AB43" s="2" t="s">
        <v>11532</v>
      </c>
      <c r="AC43" s="2">
        <v>70556</v>
      </c>
      <c r="AD43" s="2" t="s">
        <v>11616</v>
      </c>
      <c r="AE43" s="11">
        <v>43352.608946759261</v>
      </c>
      <c r="AF43" s="11">
        <v>43352.609166666669</v>
      </c>
      <c r="AG43" s="278">
        <v>0</v>
      </c>
      <c r="AH43" s="277">
        <f t="shared" si="35"/>
        <v>2.1990740788169205E-4</v>
      </c>
      <c r="AI43" s="277">
        <f t="shared" si="48"/>
        <v>3.125000002910383E-4</v>
      </c>
      <c r="AJ43" s="276">
        <v>43352.604861111111</v>
      </c>
      <c r="AK43" s="275" t="str">
        <f t="shared" si="34"/>
        <v>https://captureandgo.cloudlab.zhaw.ch/images/images-1662813418891-967624328.jpg</v>
      </c>
      <c r="AW43" s="408" t="str">
        <f t="shared" si="36"/>
        <v>-</v>
      </c>
      <c r="AX43" s="408" t="str">
        <f t="shared" si="37"/>
        <v>-</v>
      </c>
      <c r="AZ43" s="342" t="str">
        <f t="shared" si="38"/>
        <v>-</v>
      </c>
      <c r="BA43" s="408" t="str">
        <f t="shared" si="39"/>
        <v>-</v>
      </c>
      <c r="BF43" s="408" t="str">
        <f t="shared" si="40"/>
        <v>-</v>
      </c>
      <c r="BG43" s="408" t="str">
        <f t="shared" si="41"/>
        <v>-</v>
      </c>
      <c r="BH43" s="337"/>
      <c r="BI43" s="337"/>
      <c r="BJ43" s="337"/>
      <c r="BK43" s="337"/>
      <c r="BL43" s="341"/>
      <c r="BM43" s="341"/>
      <c r="BO43" s="329"/>
      <c r="CJ43" s="452" t="str">
        <f t="shared" si="49"/>
        <v>-</v>
      </c>
      <c r="CK43" s="452" t="str">
        <f t="shared" si="9"/>
        <v>-</v>
      </c>
      <c r="CM43" s="327" t="str">
        <f t="shared" si="42"/>
        <v>-</v>
      </c>
      <c r="CN43" s="453" t="str">
        <f t="shared" si="43"/>
        <v>-</v>
      </c>
      <c r="CP43" s="441">
        <v>69</v>
      </c>
      <c r="CQ43" s="339">
        <v>1.1574074074074073E-4</v>
      </c>
      <c r="CR43" s="337" t="s">
        <v>11527</v>
      </c>
      <c r="CS43" s="337" t="s">
        <v>37</v>
      </c>
      <c r="CT43" s="337" t="b">
        <v>0</v>
      </c>
      <c r="CU43" s="337"/>
      <c r="CV43" s="337" t="b">
        <v>0</v>
      </c>
      <c r="CW43" s="337" t="b">
        <v>0</v>
      </c>
      <c r="CX43" s="337"/>
      <c r="CY43" s="337"/>
      <c r="CZ43" s="337"/>
      <c r="DA43" s="408" t="str">
        <f t="shared" si="44"/>
        <v>-</v>
      </c>
      <c r="DB43" s="408" t="str">
        <f t="shared" si="13"/>
        <v>-</v>
      </c>
      <c r="DC43" s="337"/>
      <c r="DD43" s="408" t="str">
        <f t="shared" si="45"/>
        <v>-</v>
      </c>
      <c r="DE43" s="408" t="str">
        <f t="shared" si="15"/>
        <v>-</v>
      </c>
      <c r="DF43" s="340"/>
      <c r="DG43" s="337"/>
      <c r="DH43" s="337" t="s">
        <v>9146</v>
      </c>
      <c r="DI43" s="469">
        <v>1</v>
      </c>
      <c r="DJ43" s="337"/>
      <c r="DK43" s="408" t="str">
        <f t="shared" si="46"/>
        <v>-</v>
      </c>
      <c r="DL43" s="408" t="str">
        <f t="shared" si="17"/>
        <v>-</v>
      </c>
      <c r="DM43" s="337"/>
      <c r="DN43" s="337"/>
      <c r="DO43" s="337"/>
      <c r="DP43" s="337"/>
      <c r="DQ43" s="341"/>
      <c r="DR43" s="452" t="str">
        <f t="shared" si="29"/>
        <v>-</v>
      </c>
      <c r="DS43" s="452" t="str">
        <f t="shared" si="18"/>
        <v>-</v>
      </c>
      <c r="DT43" s="341"/>
      <c r="DU43" s="452" t="str">
        <f t="shared" si="47"/>
        <v>-</v>
      </c>
      <c r="DV43" s="452" t="str">
        <f t="shared" si="20"/>
        <v>-</v>
      </c>
      <c r="DW43" s="339">
        <v>2.6620370370370372E-4</v>
      </c>
      <c r="DX43" s="329"/>
    </row>
    <row r="44" spans="1:128" ht="16" x14ac:dyDescent="0.2">
      <c r="A44" s="2" t="s">
        <v>11615</v>
      </c>
      <c r="B44" s="2">
        <v>113</v>
      </c>
      <c r="C44" s="2" t="str">
        <f t="shared" si="21"/>
        <v/>
      </c>
      <c r="D44" s="2" t="s">
        <v>11831</v>
      </c>
      <c r="E44" s="2" t="s">
        <v>11536</v>
      </c>
      <c r="F44" s="2" t="s">
        <v>37</v>
      </c>
      <c r="G44" s="2" t="s">
        <v>35</v>
      </c>
      <c r="H44" s="2" t="s">
        <v>35</v>
      </c>
      <c r="I44" s="2" t="s">
        <v>35</v>
      </c>
      <c r="J44" s="2" t="s">
        <v>35</v>
      </c>
      <c r="K44" s="2" t="str">
        <f t="shared" si="22"/>
        <v/>
      </c>
      <c r="L44" s="2" t="s">
        <v>35</v>
      </c>
      <c r="M44" s="2" t="str">
        <f t="shared" si="23"/>
        <v/>
      </c>
      <c r="N44" s="2" t="s">
        <v>35</v>
      </c>
      <c r="O44" s="2" t="str">
        <f t="shared" si="24"/>
        <v/>
      </c>
      <c r="P44" s="2" t="s">
        <v>35</v>
      </c>
      <c r="Q44" s="2" t="str">
        <f t="shared" si="25"/>
        <v/>
      </c>
      <c r="R44" s="2" t="s">
        <v>35</v>
      </c>
      <c r="S44" s="2" t="s">
        <v>3516</v>
      </c>
      <c r="T44" s="2" t="str">
        <f t="shared" si="26"/>
        <v/>
      </c>
      <c r="U44" s="2" t="s">
        <v>35</v>
      </c>
      <c r="V44" s="2" t="str">
        <f t="shared" si="27"/>
        <v/>
      </c>
      <c r="W44" s="3"/>
      <c r="X44" s="2" t="s">
        <v>11535</v>
      </c>
      <c r="Y44" s="2" t="s">
        <v>31</v>
      </c>
      <c r="Z44" s="2" t="s">
        <v>11614</v>
      </c>
      <c r="AA44" s="2" t="s">
        <v>11613</v>
      </c>
      <c r="AB44" s="2" t="s">
        <v>11532</v>
      </c>
      <c r="AC44" s="2">
        <v>67993</v>
      </c>
      <c r="AD44" s="2" t="s">
        <v>11612</v>
      </c>
      <c r="AE44" s="11">
        <v>43352.609247685185</v>
      </c>
      <c r="AF44" s="11">
        <v>43352.609444444446</v>
      </c>
      <c r="AG44" s="278">
        <v>0</v>
      </c>
      <c r="AH44" s="277">
        <f t="shared" si="35"/>
        <v>1.9675926159834489E-4</v>
      </c>
      <c r="AI44" s="277">
        <f t="shared" si="48"/>
        <v>2.7777777722803876E-4</v>
      </c>
      <c r="AJ44" s="276">
        <v>43352.604861111111</v>
      </c>
      <c r="AK44" s="275" t="str">
        <f t="shared" si="34"/>
        <v>https://captureandgo.cloudlab.zhaw.ch/images/images-1662813449403-377122733.jpg</v>
      </c>
      <c r="AW44" s="408" t="str">
        <f t="shared" si="36"/>
        <v>-</v>
      </c>
      <c r="AX44" s="408" t="str">
        <f t="shared" si="37"/>
        <v>-</v>
      </c>
      <c r="AZ44" s="342" t="str">
        <f t="shared" si="38"/>
        <v>-</v>
      </c>
      <c r="BA44" s="408" t="str">
        <f t="shared" si="39"/>
        <v>-</v>
      </c>
      <c r="BF44" s="408" t="str">
        <f t="shared" si="40"/>
        <v>-</v>
      </c>
      <c r="BG44" s="408" t="str">
        <f t="shared" si="41"/>
        <v>-</v>
      </c>
      <c r="BO44" s="329"/>
      <c r="CJ44" s="452" t="str">
        <f t="shared" si="49"/>
        <v>-</v>
      </c>
      <c r="CK44" s="452" t="str">
        <f t="shared" si="9"/>
        <v>-</v>
      </c>
      <c r="CM44" s="327" t="str">
        <f t="shared" si="42"/>
        <v>-</v>
      </c>
      <c r="CN44" s="453" t="str">
        <f t="shared" si="43"/>
        <v>-</v>
      </c>
      <c r="CP44" s="329"/>
      <c r="DA44" s="408" t="str">
        <f t="shared" si="44"/>
        <v>-</v>
      </c>
      <c r="DB44" s="408" t="str">
        <f t="shared" si="13"/>
        <v>-</v>
      </c>
      <c r="DD44" s="408" t="str">
        <f t="shared" si="45"/>
        <v>-</v>
      </c>
      <c r="DE44" s="408" t="str">
        <f t="shared" si="15"/>
        <v>-</v>
      </c>
      <c r="DI44" t="s">
        <v>9801</v>
      </c>
      <c r="DK44" s="408" t="str">
        <f t="shared" si="46"/>
        <v>-</v>
      </c>
      <c r="DL44" s="408" t="str">
        <f t="shared" si="17"/>
        <v>-</v>
      </c>
      <c r="DR44" s="452" t="str">
        <f t="shared" si="29"/>
        <v>-</v>
      </c>
      <c r="DS44" s="452" t="str">
        <f t="shared" si="18"/>
        <v>-</v>
      </c>
      <c r="DU44" s="452" t="str">
        <f t="shared" si="47"/>
        <v>-</v>
      </c>
      <c r="DV44" s="452" t="str">
        <f t="shared" si="20"/>
        <v>-</v>
      </c>
      <c r="DX44" s="329"/>
    </row>
    <row r="45" spans="1:128" ht="16" x14ac:dyDescent="0.2">
      <c r="A45" s="2" t="s">
        <v>11611</v>
      </c>
      <c r="B45" s="2">
        <v>114</v>
      </c>
      <c r="C45" s="2" t="str">
        <f t="shared" si="21"/>
        <v>x</v>
      </c>
      <c r="D45" s="2" t="s">
        <v>11850</v>
      </c>
      <c r="E45" s="2" t="s">
        <v>11536</v>
      </c>
      <c r="F45" s="2" t="s">
        <v>55</v>
      </c>
      <c r="G45" s="2" t="s">
        <v>35</v>
      </c>
      <c r="H45" s="2" t="s">
        <v>35</v>
      </c>
      <c r="I45" s="2" t="s">
        <v>35</v>
      </c>
      <c r="J45" s="2">
        <v>20</v>
      </c>
      <c r="K45" s="2" t="str">
        <f t="shared" si="22"/>
        <v/>
      </c>
      <c r="L45" s="2">
        <v>15</v>
      </c>
      <c r="M45" s="2" t="str">
        <f t="shared" si="23"/>
        <v/>
      </c>
      <c r="N45" s="279" t="s">
        <v>35</v>
      </c>
      <c r="O45" s="2" t="str">
        <f>IF(OR(BM45&lt;&gt;"", CM45&lt;&gt;"-", DU45&lt;&gt;"-"), "x", "")</f>
        <v/>
      </c>
      <c r="P45" s="279" t="s">
        <v>35</v>
      </c>
      <c r="Q45" s="2" t="str">
        <f t="shared" si="25"/>
        <v/>
      </c>
      <c r="R45" s="2" t="s">
        <v>35</v>
      </c>
      <c r="S45" s="2"/>
      <c r="T45" s="2" t="str">
        <f t="shared" si="26"/>
        <v/>
      </c>
      <c r="U45" s="2" t="s">
        <v>35</v>
      </c>
      <c r="V45" s="2" t="str">
        <f t="shared" si="27"/>
        <v/>
      </c>
      <c r="W45" s="3"/>
      <c r="X45" s="2" t="s">
        <v>11535</v>
      </c>
      <c r="Y45" s="2" t="s">
        <v>31</v>
      </c>
      <c r="Z45" s="2" t="s">
        <v>11610</v>
      </c>
      <c r="AA45" s="2" t="s">
        <v>11609</v>
      </c>
      <c r="AB45" s="2" t="s">
        <v>11532</v>
      </c>
      <c r="AC45" s="2">
        <v>62268</v>
      </c>
      <c r="AD45" s="2" t="s">
        <v>11608</v>
      </c>
      <c r="AE45" s="11">
        <v>43352.609490740739</v>
      </c>
      <c r="AF45" s="11">
        <v>43352.610046296293</v>
      </c>
      <c r="AG45" s="278">
        <v>0</v>
      </c>
      <c r="AH45" s="277">
        <f t="shared" si="35"/>
        <v>5.5555555445607752E-4</v>
      </c>
      <c r="AI45" s="277">
        <f t="shared" si="48"/>
        <v>6.0185184702277184E-4</v>
      </c>
      <c r="AJ45" s="276">
        <v>43352.604861111111</v>
      </c>
      <c r="AK45" s="275" t="str">
        <f t="shared" si="34"/>
        <v>https://captureandgo.cloudlab.zhaw.ch/images/images-1662813488132-559964430.jpg</v>
      </c>
      <c r="AL45">
        <v>3</v>
      </c>
      <c r="AM45" s="7">
        <v>1.5393518518518519E-3</v>
      </c>
      <c r="AN45" s="110" t="s">
        <v>11452</v>
      </c>
      <c r="AO45" t="s">
        <v>55</v>
      </c>
      <c r="AP45" t="b">
        <v>0</v>
      </c>
      <c r="AR45" t="b">
        <v>0</v>
      </c>
      <c r="AS45" t="s">
        <v>11384</v>
      </c>
      <c r="AV45" t="s">
        <v>11384</v>
      </c>
      <c r="AW45" s="408" t="str">
        <f t="shared" si="36"/>
        <v>-</v>
      </c>
      <c r="AX45" s="408" t="str">
        <f t="shared" si="37"/>
        <v>-</v>
      </c>
      <c r="AY45" t="s">
        <v>11384</v>
      </c>
      <c r="AZ45" s="342" t="str">
        <f t="shared" si="38"/>
        <v>-</v>
      </c>
      <c r="BA45" s="408" t="str">
        <f t="shared" si="39"/>
        <v>-</v>
      </c>
      <c r="BB45" s="28"/>
      <c r="BC45" t="b">
        <v>0</v>
      </c>
      <c r="BF45" s="408" t="str">
        <f t="shared" si="40"/>
        <v>-</v>
      </c>
      <c r="BG45" s="408" t="str">
        <f t="shared" si="41"/>
        <v>-</v>
      </c>
      <c r="BH45" s="337"/>
      <c r="BI45" s="337"/>
      <c r="BJ45" s="337"/>
      <c r="BK45" s="337"/>
      <c r="BL45" s="341"/>
      <c r="BM45" s="341"/>
      <c r="BN45" s="7">
        <v>6.3657407407407402E-4</v>
      </c>
      <c r="BO45" s="329"/>
      <c r="CJ45" s="452" t="str">
        <f t="shared" si="49"/>
        <v>-</v>
      </c>
      <c r="CK45" s="452" t="str">
        <f t="shared" si="9"/>
        <v>-</v>
      </c>
      <c r="CM45" s="327" t="str">
        <f t="shared" si="42"/>
        <v>-</v>
      </c>
      <c r="CN45" s="453" t="str">
        <f t="shared" si="43"/>
        <v>-</v>
      </c>
      <c r="CP45" s="441">
        <v>43</v>
      </c>
      <c r="CQ45" s="339">
        <v>2.7777777777777778E-4</v>
      </c>
      <c r="CR45" s="110" t="s">
        <v>11496</v>
      </c>
      <c r="CS45" s="337" t="s">
        <v>55</v>
      </c>
      <c r="CT45" s="337" t="b">
        <v>0</v>
      </c>
      <c r="CU45" s="337"/>
      <c r="CV45" s="337" t="b">
        <v>0</v>
      </c>
      <c r="CW45" s="337" t="b">
        <v>0</v>
      </c>
      <c r="CX45" s="337"/>
      <c r="CY45" s="337"/>
      <c r="CZ45" s="337" t="s">
        <v>11384</v>
      </c>
      <c r="DA45" s="408" t="str">
        <f t="shared" si="44"/>
        <v>-</v>
      </c>
      <c r="DB45" s="408" t="str">
        <f t="shared" si="13"/>
        <v>-</v>
      </c>
      <c r="DC45" s="337" t="s">
        <v>11384</v>
      </c>
      <c r="DD45" s="408" t="str">
        <f t="shared" si="45"/>
        <v>-</v>
      </c>
      <c r="DE45" s="408" t="str">
        <f t="shared" si="15"/>
        <v>-</v>
      </c>
      <c r="DF45" s="340"/>
      <c r="DG45" s="337" t="s">
        <v>11384</v>
      </c>
      <c r="DH45" s="337"/>
      <c r="DI45" t="s">
        <v>9801</v>
      </c>
      <c r="DJ45" s="337"/>
      <c r="DK45" s="408" t="str">
        <f t="shared" si="46"/>
        <v>-</v>
      </c>
      <c r="DL45" s="408" t="str">
        <f t="shared" si="17"/>
        <v>-</v>
      </c>
      <c r="DM45" s="337"/>
      <c r="DN45" s="337"/>
      <c r="DO45" s="337"/>
      <c r="DP45" s="337"/>
      <c r="DQ45" s="341"/>
      <c r="DR45" s="452" t="str">
        <f t="shared" si="29"/>
        <v>-</v>
      </c>
      <c r="DS45" s="452" t="str">
        <f t="shared" si="18"/>
        <v>-</v>
      </c>
      <c r="DT45" s="341"/>
      <c r="DU45" s="452" t="str">
        <f t="shared" si="47"/>
        <v>-</v>
      </c>
      <c r="DV45" s="452" t="str">
        <f t="shared" si="20"/>
        <v>-</v>
      </c>
      <c r="DW45" s="339">
        <v>3.7037037037037035E-4</v>
      </c>
      <c r="DX45" s="329"/>
    </row>
    <row r="46" spans="1:128" ht="16" x14ac:dyDescent="0.2">
      <c r="A46" s="2" t="s">
        <v>11607</v>
      </c>
      <c r="B46" s="2">
        <v>115</v>
      </c>
      <c r="C46" s="2" t="str">
        <f t="shared" si="21"/>
        <v>x</v>
      </c>
      <c r="D46" s="2" t="s">
        <v>11832</v>
      </c>
      <c r="E46" s="2" t="s">
        <v>11536</v>
      </c>
      <c r="F46" s="2" t="s">
        <v>125</v>
      </c>
      <c r="G46" s="2" t="s">
        <v>35</v>
      </c>
      <c r="H46" s="2" t="s">
        <v>35</v>
      </c>
      <c r="I46" s="2" t="s">
        <v>675</v>
      </c>
      <c r="J46" s="279" t="s">
        <v>35</v>
      </c>
      <c r="K46" s="2" t="str">
        <f t="shared" si="22"/>
        <v/>
      </c>
      <c r="L46" s="279" t="s">
        <v>35</v>
      </c>
      <c r="M46" s="2" t="str">
        <f t="shared" si="23"/>
        <v/>
      </c>
      <c r="N46" s="279" t="s">
        <v>35</v>
      </c>
      <c r="O46" s="2" t="str">
        <f t="shared" si="24"/>
        <v/>
      </c>
      <c r="P46" s="2">
        <v>4</v>
      </c>
      <c r="Q46" s="2" t="str">
        <f t="shared" si="25"/>
        <v>x</v>
      </c>
      <c r="R46" s="2" t="s">
        <v>35</v>
      </c>
      <c r="S46" s="2"/>
      <c r="T46" s="2" t="str">
        <f t="shared" si="26"/>
        <v/>
      </c>
      <c r="U46" s="2" t="s">
        <v>35</v>
      </c>
      <c r="V46" s="2" t="str">
        <f t="shared" si="27"/>
        <v/>
      </c>
      <c r="W46" s="3"/>
      <c r="X46" s="2" t="s">
        <v>11535</v>
      </c>
      <c r="Y46" s="2" t="s">
        <v>31</v>
      </c>
      <c r="Z46" s="2" t="s">
        <v>11606</v>
      </c>
      <c r="AA46" s="2" t="s">
        <v>11605</v>
      </c>
      <c r="AB46" s="2" t="s">
        <v>11532</v>
      </c>
      <c r="AC46" s="2">
        <v>55929</v>
      </c>
      <c r="AD46" s="2" t="s">
        <v>11604</v>
      </c>
      <c r="AE46" s="11">
        <v>43352.611539351848</v>
      </c>
      <c r="AF46" s="11">
        <v>43352.611689814818</v>
      </c>
      <c r="AG46" s="278">
        <v>0</v>
      </c>
      <c r="AH46" s="277">
        <f t="shared" si="35"/>
        <v>1.5046296903165057E-4</v>
      </c>
      <c r="AI46" s="277">
        <f t="shared" si="48"/>
        <v>1.643518524360843E-3</v>
      </c>
      <c r="AJ46" s="276">
        <v>43352.604861111111</v>
      </c>
      <c r="AK46" s="275" t="str">
        <f t="shared" si="34"/>
        <v>https://captureandgo.cloudlab.zhaw.ch/images/images-1662813643432-370272123.jpg</v>
      </c>
      <c r="AL46">
        <v>2</v>
      </c>
      <c r="AM46" s="7">
        <v>3.3564814814814812E-4</v>
      </c>
      <c r="AN46" s="110" t="s">
        <v>11451</v>
      </c>
      <c r="AO46" t="s">
        <v>125</v>
      </c>
      <c r="AP46" t="b">
        <v>0</v>
      </c>
      <c r="AR46" t="b">
        <v>0</v>
      </c>
      <c r="AS46" t="s">
        <v>11384</v>
      </c>
      <c r="AT46" t="s">
        <v>940</v>
      </c>
      <c r="AW46" s="408" t="str">
        <f t="shared" si="36"/>
        <v>-</v>
      </c>
      <c r="AX46" s="408" t="str">
        <f t="shared" si="37"/>
        <v>-</v>
      </c>
      <c r="AZ46" s="342" t="str">
        <f t="shared" si="38"/>
        <v>-</v>
      </c>
      <c r="BA46" s="408" t="str">
        <f t="shared" si="39"/>
        <v>-</v>
      </c>
      <c r="BB46" s="28"/>
      <c r="BE46">
        <v>4</v>
      </c>
      <c r="BF46" s="408">
        <f t="shared" si="40"/>
        <v>0</v>
      </c>
      <c r="BG46" s="408">
        <f t="shared" si="41"/>
        <v>1</v>
      </c>
      <c r="BH46" s="337"/>
      <c r="BI46" s="337"/>
      <c r="BJ46" s="337"/>
      <c r="BK46" s="337"/>
      <c r="BL46" s="341"/>
      <c r="BM46" s="341"/>
      <c r="BN46" s="7">
        <v>7.175925925925927E-4</v>
      </c>
      <c r="BO46" s="329"/>
      <c r="CJ46" s="452" t="str">
        <f t="shared" si="49"/>
        <v>-</v>
      </c>
      <c r="CK46" s="452" t="str">
        <f t="shared" si="9"/>
        <v>-</v>
      </c>
      <c r="CM46" s="327" t="str">
        <f t="shared" si="42"/>
        <v>-</v>
      </c>
      <c r="CN46" s="453" t="str">
        <f t="shared" si="43"/>
        <v>-</v>
      </c>
      <c r="CP46" s="441">
        <v>41</v>
      </c>
      <c r="CQ46" s="339">
        <v>5.7870370370370366E-5</v>
      </c>
      <c r="CR46" s="110" t="s">
        <v>11494</v>
      </c>
      <c r="CS46" s="337" t="s">
        <v>125</v>
      </c>
      <c r="CT46" s="337" t="b">
        <v>0</v>
      </c>
      <c r="CU46" s="337"/>
      <c r="CV46" s="337" t="b">
        <v>0</v>
      </c>
      <c r="CW46" s="337" t="b">
        <v>0</v>
      </c>
      <c r="CX46" t="s">
        <v>940</v>
      </c>
      <c r="CZ46" s="337"/>
      <c r="DA46" s="408" t="str">
        <f t="shared" si="44"/>
        <v>-</v>
      </c>
      <c r="DB46" s="408" t="str">
        <f t="shared" si="13"/>
        <v>-</v>
      </c>
      <c r="DC46" s="337"/>
      <c r="DD46" s="408" t="str">
        <f t="shared" si="45"/>
        <v>-</v>
      </c>
      <c r="DE46" s="408" t="str">
        <f t="shared" si="15"/>
        <v>-</v>
      </c>
      <c r="DF46" s="340"/>
      <c r="DG46" s="337"/>
      <c r="DH46" s="337"/>
      <c r="DI46" t="s">
        <v>9801</v>
      </c>
      <c r="DJ46" s="337">
        <v>5</v>
      </c>
      <c r="DK46" s="408">
        <f t="shared" si="46"/>
        <v>0.25</v>
      </c>
      <c r="DL46" s="408">
        <f t="shared" si="17"/>
        <v>0.75</v>
      </c>
      <c r="DM46" s="337"/>
      <c r="DN46" s="337"/>
      <c r="DO46" s="337"/>
      <c r="DP46" s="337"/>
      <c r="DQ46" s="341"/>
      <c r="DR46" s="452" t="str">
        <f t="shared" si="29"/>
        <v>-</v>
      </c>
      <c r="DS46" s="452" t="str">
        <f t="shared" si="18"/>
        <v>-</v>
      </c>
      <c r="DT46" s="341"/>
      <c r="DU46" s="452" t="str">
        <f t="shared" si="47"/>
        <v>-</v>
      </c>
      <c r="DV46" s="452" t="str">
        <f t="shared" si="20"/>
        <v>-</v>
      </c>
      <c r="DW46" s="339">
        <v>9.4907407407407408E-4</v>
      </c>
      <c r="DX46" s="329"/>
    </row>
    <row r="47" spans="1:128" ht="16" x14ac:dyDescent="0.2">
      <c r="A47" s="2" t="s">
        <v>11603</v>
      </c>
      <c r="B47" s="2">
        <v>116</v>
      </c>
      <c r="C47" s="2" t="str">
        <f>IF(OR(AL47&lt;&gt;"", BO47&lt;&gt;"",CP47&lt;&gt;""), "x", "")</f>
        <v/>
      </c>
      <c r="D47" s="2" t="s">
        <v>11833</v>
      </c>
      <c r="E47" s="2" t="s">
        <v>11536</v>
      </c>
      <c r="F47" s="2" t="s">
        <v>37</v>
      </c>
      <c r="G47" s="2" t="s">
        <v>35</v>
      </c>
      <c r="H47" s="2" t="s">
        <v>35</v>
      </c>
      <c r="I47" s="2" t="s">
        <v>35</v>
      </c>
      <c r="J47" s="279" t="s">
        <v>35</v>
      </c>
      <c r="K47" s="2" t="str">
        <f>IF(OR(AW47&lt;&gt;"-", BY47&lt;&gt;"", DA47&lt;&gt;"-"), "x", "")</f>
        <v/>
      </c>
      <c r="L47" s="279" t="s">
        <v>35</v>
      </c>
      <c r="M47" s="2" t="str">
        <f t="shared" si="23"/>
        <v/>
      </c>
      <c r="N47" s="2">
        <v>2</v>
      </c>
      <c r="O47" s="2" t="str">
        <f t="shared" si="24"/>
        <v/>
      </c>
      <c r="P47" s="279" t="s">
        <v>35</v>
      </c>
      <c r="Q47" s="2" t="str">
        <f t="shared" si="25"/>
        <v/>
      </c>
      <c r="R47" s="2" t="s">
        <v>35</v>
      </c>
      <c r="S47" s="2"/>
      <c r="T47" s="2" t="str">
        <f t="shared" si="26"/>
        <v/>
      </c>
      <c r="U47" s="2" t="s">
        <v>35</v>
      </c>
      <c r="V47" s="2" t="str">
        <f t="shared" si="27"/>
        <v/>
      </c>
      <c r="W47" s="3"/>
      <c r="X47" s="2" t="s">
        <v>11535</v>
      </c>
      <c r="Y47" s="2" t="s">
        <v>31</v>
      </c>
      <c r="Z47" s="2" t="s">
        <v>11602</v>
      </c>
      <c r="AA47" s="2" t="s">
        <v>11601</v>
      </c>
      <c r="AB47" s="2" t="s">
        <v>11532</v>
      </c>
      <c r="AC47" s="2">
        <v>46086</v>
      </c>
      <c r="AD47" s="2" t="s">
        <v>11600</v>
      </c>
      <c r="AE47" s="11">
        <v>43352.612546296295</v>
      </c>
      <c r="AF47" s="11">
        <v>43352.612719907411</v>
      </c>
      <c r="AG47" s="278">
        <v>0</v>
      </c>
      <c r="AH47" s="277">
        <f t="shared" si="35"/>
        <v>1.7361111531499773E-4</v>
      </c>
      <c r="AI47" s="277">
        <f t="shared" si="48"/>
        <v>1.0300925932824612E-3</v>
      </c>
      <c r="AJ47" s="276">
        <v>43352.604861111111</v>
      </c>
      <c r="AK47" s="275" t="str">
        <f t="shared" si="34"/>
        <v>https://captureandgo.cloudlab.zhaw.ch/images/images-1662813735112-296552492.jpg</v>
      </c>
      <c r="AW47" s="408" t="str">
        <f t="shared" si="36"/>
        <v>-</v>
      </c>
      <c r="AX47" s="408" t="str">
        <f t="shared" si="37"/>
        <v>-</v>
      </c>
      <c r="AZ47" s="342" t="str">
        <f t="shared" si="38"/>
        <v>-</v>
      </c>
      <c r="BA47" s="408" t="str">
        <f t="shared" si="39"/>
        <v>-</v>
      </c>
      <c r="BF47" s="408" t="str">
        <f t="shared" si="40"/>
        <v>-</v>
      </c>
      <c r="BG47" s="408" t="str">
        <f t="shared" si="41"/>
        <v>-</v>
      </c>
      <c r="BO47" s="329"/>
      <c r="CJ47" s="452" t="str">
        <f t="shared" si="49"/>
        <v>-</v>
      </c>
      <c r="CK47" s="452" t="str">
        <f t="shared" si="9"/>
        <v>-</v>
      </c>
      <c r="CM47" s="327" t="str">
        <f t="shared" si="42"/>
        <v>-</v>
      </c>
      <c r="CN47" s="453" t="str">
        <f t="shared" si="43"/>
        <v>-</v>
      </c>
      <c r="CP47" s="329"/>
      <c r="DA47" s="408" t="str">
        <f t="shared" si="44"/>
        <v>-</v>
      </c>
      <c r="DB47" s="408" t="str">
        <f t="shared" si="13"/>
        <v>-</v>
      </c>
      <c r="DD47" s="408" t="str">
        <f t="shared" si="45"/>
        <v>-</v>
      </c>
      <c r="DE47" s="408" t="str">
        <f t="shared" si="15"/>
        <v>-</v>
      </c>
      <c r="DI47" t="s">
        <v>9801</v>
      </c>
      <c r="DK47" s="408" t="str">
        <f t="shared" si="46"/>
        <v>-</v>
      </c>
      <c r="DL47" s="408" t="str">
        <f t="shared" si="17"/>
        <v>-</v>
      </c>
      <c r="DR47" s="452" t="str">
        <f t="shared" si="29"/>
        <v>-</v>
      </c>
      <c r="DS47" s="452" t="str">
        <f t="shared" si="18"/>
        <v>-</v>
      </c>
      <c r="DU47" s="452" t="str">
        <f t="shared" si="47"/>
        <v>-</v>
      </c>
      <c r="DV47" s="452" t="str">
        <f t="shared" si="20"/>
        <v>-</v>
      </c>
      <c r="DX47" s="329"/>
    </row>
    <row r="48" spans="1:128" ht="16" x14ac:dyDescent="0.2">
      <c r="A48" s="2" t="s">
        <v>11599</v>
      </c>
      <c r="B48" s="2">
        <v>117</v>
      </c>
      <c r="C48" s="2" t="str">
        <f t="shared" si="21"/>
        <v>x</v>
      </c>
      <c r="D48" s="2" t="s">
        <v>11834</v>
      </c>
      <c r="E48" s="2" t="s">
        <v>11536</v>
      </c>
      <c r="F48" s="2" t="s">
        <v>37</v>
      </c>
      <c r="G48" s="2" t="s">
        <v>35</v>
      </c>
      <c r="H48" s="2" t="s">
        <v>35</v>
      </c>
      <c r="I48" s="2" t="s">
        <v>35</v>
      </c>
      <c r="J48" s="279" t="s">
        <v>35</v>
      </c>
      <c r="K48" s="2" t="str">
        <f t="shared" si="22"/>
        <v/>
      </c>
      <c r="L48" s="279" t="s">
        <v>35</v>
      </c>
      <c r="M48" s="2" t="str">
        <f t="shared" si="23"/>
        <v/>
      </c>
      <c r="N48" s="2">
        <v>3</v>
      </c>
      <c r="O48" s="2" t="str">
        <f t="shared" si="24"/>
        <v>x</v>
      </c>
      <c r="P48" s="279" t="s">
        <v>35</v>
      </c>
      <c r="Q48" s="2" t="str">
        <f t="shared" si="25"/>
        <v/>
      </c>
      <c r="R48" s="2" t="s">
        <v>35</v>
      </c>
      <c r="S48" s="2"/>
      <c r="T48" s="2" t="str">
        <f t="shared" si="26"/>
        <v/>
      </c>
      <c r="U48" s="2" t="s">
        <v>35</v>
      </c>
      <c r="V48" s="2" t="str">
        <f t="shared" si="27"/>
        <v/>
      </c>
      <c r="W48" s="3"/>
      <c r="X48" s="2" t="s">
        <v>11535</v>
      </c>
      <c r="Y48" s="2" t="s">
        <v>31</v>
      </c>
      <c r="Z48" s="2" t="s">
        <v>11598</v>
      </c>
      <c r="AA48" s="2" t="s">
        <v>11597</v>
      </c>
      <c r="AB48" s="2" t="s">
        <v>11532</v>
      </c>
      <c r="AC48" s="2">
        <v>52269</v>
      </c>
      <c r="AD48" s="2" t="s">
        <v>11596</v>
      </c>
      <c r="AE48" s="11">
        <v>43352.614062499997</v>
      </c>
      <c r="AF48" s="11">
        <v>43352.614259259259</v>
      </c>
      <c r="AG48" s="278">
        <v>0</v>
      </c>
      <c r="AH48" s="277">
        <f t="shared" si="35"/>
        <v>1.9675926159834489E-4</v>
      </c>
      <c r="AI48" s="277">
        <f t="shared" si="48"/>
        <v>1.5393518478958867E-3</v>
      </c>
      <c r="AJ48" s="276">
        <v>43352.604861111111</v>
      </c>
      <c r="AK48" s="275" t="str">
        <f t="shared" si="34"/>
        <v>https://captureandgo.cloudlab.zhaw.ch/images/images-1662813862047-947471727.jpg</v>
      </c>
      <c r="AW48" s="408" t="str">
        <f t="shared" si="36"/>
        <v>-</v>
      </c>
      <c r="AX48" s="408" t="str">
        <f t="shared" si="37"/>
        <v>-</v>
      </c>
      <c r="AZ48" s="342" t="str">
        <f t="shared" si="38"/>
        <v>-</v>
      </c>
      <c r="BA48" s="408" t="str">
        <f t="shared" si="39"/>
        <v>-</v>
      </c>
      <c r="BF48" s="408" t="str">
        <f t="shared" si="40"/>
        <v>-</v>
      </c>
      <c r="BG48" s="408" t="str">
        <f t="shared" si="41"/>
        <v>-</v>
      </c>
      <c r="BO48" s="329">
        <v>30</v>
      </c>
      <c r="BP48" s="7">
        <v>0</v>
      </c>
      <c r="BQ48" t="s">
        <v>11486</v>
      </c>
      <c r="BR48" t="s">
        <v>37</v>
      </c>
      <c r="CA48" s="28"/>
      <c r="CE48">
        <v>47.16</v>
      </c>
      <c r="CF48">
        <v>9.17</v>
      </c>
      <c r="CG48">
        <v>13.08</v>
      </c>
      <c r="CH48">
        <v>1.35</v>
      </c>
      <c r="CI48" s="245">
        <f>IF(AND(CF48&lt;&gt;"-",CE48&lt;&gt;"-"), ROUND(DEGREES(ATAN(CF48/CE48)*100%), 0), "-")</f>
        <v>11</v>
      </c>
      <c r="CJ48" s="452" t="str">
        <f t="shared" si="49"/>
        <v>-</v>
      </c>
      <c r="CK48" s="452" t="str">
        <f t="shared" si="9"/>
        <v>-</v>
      </c>
      <c r="CL48" s="407">
        <f>IF(AND(CH48&lt;&gt;"-",CG48&lt;&gt;"-"), ROUND(DEGREES(ATAN(CH48/CG48)*100%), 0), "-")</f>
        <v>6</v>
      </c>
      <c r="CM48" s="327">
        <f t="shared" si="42"/>
        <v>1</v>
      </c>
      <c r="CN48" s="453">
        <f t="shared" si="43"/>
        <v>0</v>
      </c>
      <c r="CO48" s="7">
        <v>3.7037037037037035E-4</v>
      </c>
      <c r="CP48" s="329"/>
      <c r="DA48" s="408" t="str">
        <f t="shared" si="44"/>
        <v>-</v>
      </c>
      <c r="DB48" s="408" t="str">
        <f t="shared" si="13"/>
        <v>-</v>
      </c>
      <c r="DD48" s="408" t="str">
        <f t="shared" si="45"/>
        <v>-</v>
      </c>
      <c r="DE48" s="408" t="str">
        <f t="shared" si="15"/>
        <v>-</v>
      </c>
      <c r="DI48" t="s">
        <v>9801</v>
      </c>
      <c r="DK48" s="408" t="str">
        <f t="shared" si="46"/>
        <v>-</v>
      </c>
      <c r="DL48" s="408" t="str">
        <f t="shared" si="17"/>
        <v>-</v>
      </c>
      <c r="DR48" s="452" t="str">
        <f t="shared" si="29"/>
        <v>-</v>
      </c>
      <c r="DS48" s="452" t="str">
        <f t="shared" si="18"/>
        <v>-</v>
      </c>
      <c r="DU48" s="452" t="str">
        <f t="shared" si="47"/>
        <v>-</v>
      </c>
      <c r="DV48" s="452" t="str">
        <f t="shared" si="20"/>
        <v>-</v>
      </c>
      <c r="DX48" s="329"/>
    </row>
    <row r="49" spans="1:128" ht="16" x14ac:dyDescent="0.2">
      <c r="A49" s="2" t="s">
        <v>11595</v>
      </c>
      <c r="B49" s="2">
        <v>118</v>
      </c>
      <c r="C49" s="2" t="str">
        <f t="shared" si="21"/>
        <v>x</v>
      </c>
      <c r="D49" s="2" t="s">
        <v>11835</v>
      </c>
      <c r="E49" s="2" t="s">
        <v>11536</v>
      </c>
      <c r="F49" s="2" t="s">
        <v>55</v>
      </c>
      <c r="G49" s="2" t="s">
        <v>35</v>
      </c>
      <c r="H49" s="2" t="s">
        <v>35</v>
      </c>
      <c r="I49" s="2" t="s">
        <v>35</v>
      </c>
      <c r="J49" s="2">
        <v>50</v>
      </c>
      <c r="K49" s="2" t="str">
        <f t="shared" si="22"/>
        <v>x</v>
      </c>
      <c r="L49" s="2">
        <v>14</v>
      </c>
      <c r="M49" s="2" t="str">
        <f t="shared" si="23"/>
        <v/>
      </c>
      <c r="N49" s="279" t="s">
        <v>35</v>
      </c>
      <c r="O49" s="2" t="str">
        <f t="shared" si="24"/>
        <v/>
      </c>
      <c r="P49" s="279" t="s">
        <v>35</v>
      </c>
      <c r="Q49" s="2" t="str">
        <f t="shared" si="25"/>
        <v/>
      </c>
      <c r="R49" s="2" t="s">
        <v>35</v>
      </c>
      <c r="S49" s="2"/>
      <c r="T49" s="2" t="str">
        <f t="shared" si="26"/>
        <v/>
      </c>
      <c r="U49" s="2" t="s">
        <v>35</v>
      </c>
      <c r="V49" s="2" t="str">
        <f t="shared" si="27"/>
        <v/>
      </c>
      <c r="W49" s="3"/>
      <c r="X49" s="2" t="s">
        <v>11535</v>
      </c>
      <c r="Y49" s="2" t="s">
        <v>31</v>
      </c>
      <c r="Z49" s="2" t="s">
        <v>11594</v>
      </c>
      <c r="AA49" s="2" t="s">
        <v>11593</v>
      </c>
      <c r="AB49" s="2" t="s">
        <v>11532</v>
      </c>
      <c r="AC49" s="2">
        <v>68694</v>
      </c>
      <c r="AD49" s="2" t="s">
        <v>11592</v>
      </c>
      <c r="AE49" s="11">
        <v>43352.614340277774</v>
      </c>
      <c r="AF49" s="11">
        <v>43352.615115740744</v>
      </c>
      <c r="AG49" s="278">
        <v>0</v>
      </c>
      <c r="AH49" s="277">
        <f t="shared" si="35"/>
        <v>7.7546296961372718E-4</v>
      </c>
      <c r="AI49" s="277">
        <f t="shared" si="48"/>
        <v>8.5648148524342105E-4</v>
      </c>
      <c r="AJ49" s="276">
        <v>43352.604861111111</v>
      </c>
      <c r="AK49" s="275" t="str">
        <f t="shared" si="34"/>
        <v>https://captureandgo.cloudlab.zhaw.ch/images/images-1662813888602-871194530.jpg</v>
      </c>
      <c r="AL49">
        <v>25</v>
      </c>
      <c r="AM49" s="7">
        <v>8.564814814814815E-4</v>
      </c>
      <c r="AN49" s="110" t="s">
        <v>11477</v>
      </c>
      <c r="AO49" t="s">
        <v>55</v>
      </c>
      <c r="AP49" t="b">
        <v>0</v>
      </c>
      <c r="AR49" t="b">
        <v>0</v>
      </c>
      <c r="AS49" t="s">
        <v>11384</v>
      </c>
      <c r="AV49">
        <v>50</v>
      </c>
      <c r="AW49" s="408">
        <f t="shared" si="36"/>
        <v>0</v>
      </c>
      <c r="AX49" s="408">
        <f t="shared" si="37"/>
        <v>1</v>
      </c>
      <c r="AY49" t="s">
        <v>11384</v>
      </c>
      <c r="AZ49" s="342" t="str">
        <f t="shared" si="38"/>
        <v>-</v>
      </c>
      <c r="BA49" s="408" t="str">
        <f t="shared" si="39"/>
        <v>-</v>
      </c>
      <c r="BB49" s="28"/>
      <c r="BC49" t="b">
        <v>0</v>
      </c>
      <c r="BF49" s="408" t="str">
        <f t="shared" si="40"/>
        <v>-</v>
      </c>
      <c r="BG49" s="408" t="str">
        <f t="shared" si="41"/>
        <v>-</v>
      </c>
      <c r="BH49" s="337"/>
      <c r="BI49" s="337"/>
      <c r="BJ49" s="337"/>
      <c r="BK49" s="337"/>
      <c r="BL49" s="341"/>
      <c r="BM49" s="341"/>
      <c r="BN49" s="7">
        <v>6.9444444444444447E-4</v>
      </c>
      <c r="BO49" s="329"/>
      <c r="CJ49" s="452" t="str">
        <f t="shared" si="49"/>
        <v>-</v>
      </c>
      <c r="CK49" s="452" t="str">
        <f t="shared" si="9"/>
        <v>-</v>
      </c>
      <c r="CM49" s="327" t="str">
        <f t="shared" si="42"/>
        <v>-</v>
      </c>
      <c r="CN49" s="453" t="str">
        <f t="shared" si="43"/>
        <v>-</v>
      </c>
      <c r="CP49" s="441">
        <v>60</v>
      </c>
      <c r="CQ49" s="339">
        <v>1.0069444444444444E-3</v>
      </c>
      <c r="CR49" s="337" t="s">
        <v>11516</v>
      </c>
      <c r="CS49" s="337" t="s">
        <v>55</v>
      </c>
      <c r="CT49" s="337" t="b">
        <v>0</v>
      </c>
      <c r="CU49" s="337"/>
      <c r="CV49" s="337" t="b">
        <v>0</v>
      </c>
      <c r="CW49" s="337" t="b">
        <v>0</v>
      </c>
      <c r="CX49" s="337"/>
      <c r="CY49" s="337"/>
      <c r="CZ49" s="337">
        <v>49</v>
      </c>
      <c r="DA49" s="408">
        <f t="shared" si="44"/>
        <v>2.0000000000000018E-2</v>
      </c>
      <c r="DB49" s="408">
        <f t="shared" si="13"/>
        <v>0.98</v>
      </c>
      <c r="DC49" s="337" t="s">
        <v>11384</v>
      </c>
      <c r="DD49" s="408" t="str">
        <f t="shared" si="45"/>
        <v>-</v>
      </c>
      <c r="DE49" s="408" t="str">
        <f t="shared" si="15"/>
        <v>-</v>
      </c>
      <c r="DF49" s="340"/>
      <c r="DG49" s="337"/>
      <c r="DH49" s="337"/>
      <c r="DI49" t="s">
        <v>9801</v>
      </c>
      <c r="DJ49" s="337"/>
      <c r="DK49" s="408" t="str">
        <f t="shared" si="46"/>
        <v>-</v>
      </c>
      <c r="DL49" s="408" t="str">
        <f t="shared" si="17"/>
        <v>-</v>
      </c>
      <c r="DM49" s="337"/>
      <c r="DN49" s="337"/>
      <c r="DO49" s="337"/>
      <c r="DP49" s="337"/>
      <c r="DQ49" s="341"/>
      <c r="DR49" s="452" t="str">
        <f t="shared" si="29"/>
        <v>-</v>
      </c>
      <c r="DS49" s="452" t="str">
        <f t="shared" si="18"/>
        <v>-</v>
      </c>
      <c r="DT49" s="341"/>
      <c r="DU49" s="452" t="str">
        <f t="shared" si="47"/>
        <v>-</v>
      </c>
      <c r="DV49" s="452" t="str">
        <f t="shared" si="20"/>
        <v>-</v>
      </c>
      <c r="DW49" s="339">
        <v>1.5856481481481479E-3</v>
      </c>
      <c r="DX49" s="329"/>
    </row>
    <row r="50" spans="1:128" ht="16" x14ac:dyDescent="0.2">
      <c r="A50" s="2" t="s">
        <v>11591</v>
      </c>
      <c r="B50" s="2">
        <v>119</v>
      </c>
      <c r="C50" s="2" t="str">
        <f t="shared" si="21"/>
        <v/>
      </c>
      <c r="D50" s="2" t="s">
        <v>11836</v>
      </c>
      <c r="E50" s="2" t="s">
        <v>11536</v>
      </c>
      <c r="F50" s="2" t="s">
        <v>37</v>
      </c>
      <c r="G50" s="2" t="s">
        <v>35</v>
      </c>
      <c r="H50" s="2" t="s">
        <v>35</v>
      </c>
      <c r="I50" s="2" t="s">
        <v>35</v>
      </c>
      <c r="J50" s="279" t="s">
        <v>35</v>
      </c>
      <c r="K50" s="2" t="str">
        <f t="shared" si="22"/>
        <v/>
      </c>
      <c r="L50" s="279" t="s">
        <v>35</v>
      </c>
      <c r="M50" s="2" t="str">
        <f t="shared" si="23"/>
        <v/>
      </c>
      <c r="N50" s="2">
        <v>2</v>
      </c>
      <c r="O50" s="2" t="str">
        <f t="shared" si="24"/>
        <v/>
      </c>
      <c r="P50" s="279" t="s">
        <v>35</v>
      </c>
      <c r="Q50" s="2" t="str">
        <f t="shared" si="25"/>
        <v/>
      </c>
      <c r="R50" s="2" t="s">
        <v>35</v>
      </c>
      <c r="S50" s="2"/>
      <c r="T50" s="2" t="str">
        <f t="shared" si="26"/>
        <v/>
      </c>
      <c r="U50" s="2" t="s">
        <v>35</v>
      </c>
      <c r="V50" s="2" t="str">
        <f t="shared" si="27"/>
        <v/>
      </c>
      <c r="W50" s="3"/>
      <c r="X50" s="2" t="s">
        <v>11535</v>
      </c>
      <c r="Y50" s="2" t="s">
        <v>31</v>
      </c>
      <c r="Z50" s="2" t="s">
        <v>11590</v>
      </c>
      <c r="AA50" s="2" t="s">
        <v>11589</v>
      </c>
      <c r="AB50" s="2" t="s">
        <v>11532</v>
      </c>
      <c r="AC50" s="2">
        <v>54272</v>
      </c>
      <c r="AD50" s="2" t="s">
        <v>11588</v>
      </c>
      <c r="AE50" s="11">
        <v>43352.616805555554</v>
      </c>
      <c r="AF50" s="11">
        <v>43352.616909722223</v>
      </c>
      <c r="AG50" s="278">
        <v>0</v>
      </c>
      <c r="AH50" s="277">
        <f t="shared" si="35"/>
        <v>1.0416666918899864E-4</v>
      </c>
      <c r="AI50" s="277">
        <f t="shared" si="48"/>
        <v>1.7939814788405783E-3</v>
      </c>
      <c r="AJ50" s="276">
        <v>43352.604861111111</v>
      </c>
      <c r="AK50" s="275" t="str">
        <f t="shared" si="34"/>
        <v>https://captureandgo.cloudlab.zhaw.ch/images/images-1662814097508-577400773.jpg</v>
      </c>
      <c r="AW50" s="408" t="str">
        <f t="shared" si="36"/>
        <v>-</v>
      </c>
      <c r="AX50" s="408" t="str">
        <f t="shared" si="37"/>
        <v>-</v>
      </c>
      <c r="AZ50" s="342" t="str">
        <f t="shared" si="38"/>
        <v>-</v>
      </c>
      <c r="BA50" s="408" t="str">
        <f t="shared" si="39"/>
        <v>-</v>
      </c>
      <c r="BF50" s="408" t="str">
        <f t="shared" si="40"/>
        <v>-</v>
      </c>
      <c r="BG50" s="408" t="str">
        <f t="shared" si="41"/>
        <v>-</v>
      </c>
      <c r="BO50" s="329"/>
      <c r="CJ50" s="452" t="str">
        <f t="shared" ref="CJ50:CJ63" si="50">IF(AND(U50&lt;&gt;"",CI50&lt;&gt;""), ABS(CI50/U50-1), "-")</f>
        <v>-</v>
      </c>
      <c r="CK50" s="452" t="str">
        <f t="shared" si="9"/>
        <v>-</v>
      </c>
      <c r="CM50" s="327" t="str">
        <f t="shared" si="42"/>
        <v>-</v>
      </c>
      <c r="CN50" s="453" t="str">
        <f t="shared" si="43"/>
        <v>-</v>
      </c>
      <c r="CP50" s="329"/>
      <c r="DA50" s="408" t="str">
        <f t="shared" si="44"/>
        <v>-</v>
      </c>
      <c r="DB50" s="408" t="str">
        <f t="shared" si="13"/>
        <v>-</v>
      </c>
      <c r="DD50" s="408" t="str">
        <f t="shared" si="45"/>
        <v>-</v>
      </c>
      <c r="DE50" s="408" t="str">
        <f t="shared" si="15"/>
        <v>-</v>
      </c>
      <c r="DI50" t="s">
        <v>9801</v>
      </c>
      <c r="DK50" s="408" t="str">
        <f t="shared" si="46"/>
        <v>-</v>
      </c>
      <c r="DL50" s="408" t="str">
        <f t="shared" si="17"/>
        <v>-</v>
      </c>
      <c r="DR50" s="452" t="str">
        <f t="shared" si="29"/>
        <v>-</v>
      </c>
      <c r="DS50" s="452" t="str">
        <f t="shared" si="18"/>
        <v>-</v>
      </c>
      <c r="DU50" s="452" t="str">
        <f t="shared" si="47"/>
        <v>-</v>
      </c>
      <c r="DV50" s="452" t="str">
        <f t="shared" si="20"/>
        <v>-</v>
      </c>
      <c r="DX50" s="329"/>
    </row>
    <row r="51" spans="1:128" ht="16" x14ac:dyDescent="0.2">
      <c r="A51" s="2" t="s">
        <v>11587</v>
      </c>
      <c r="B51" s="2">
        <v>120</v>
      </c>
      <c r="C51" s="2" t="str">
        <f t="shared" si="21"/>
        <v/>
      </c>
      <c r="D51" s="2" t="s">
        <v>11837</v>
      </c>
      <c r="E51" s="2" t="s">
        <v>11536</v>
      </c>
      <c r="F51" s="2" t="s">
        <v>417</v>
      </c>
      <c r="G51" s="2">
        <v>0</v>
      </c>
      <c r="H51" s="2" t="s">
        <v>35</v>
      </c>
      <c r="I51" s="2" t="s">
        <v>1124</v>
      </c>
      <c r="J51" s="279" t="s">
        <v>35</v>
      </c>
      <c r="K51" s="2" t="str">
        <f t="shared" si="22"/>
        <v/>
      </c>
      <c r="L51" s="279" t="s">
        <v>35</v>
      </c>
      <c r="M51" s="2" t="str">
        <f t="shared" si="23"/>
        <v/>
      </c>
      <c r="N51" s="279" t="s">
        <v>35</v>
      </c>
      <c r="O51" s="2" t="str">
        <f t="shared" si="24"/>
        <v/>
      </c>
      <c r="P51" s="279" t="s">
        <v>35</v>
      </c>
      <c r="Q51" s="2" t="str">
        <f t="shared" si="25"/>
        <v/>
      </c>
      <c r="R51" s="2" t="s">
        <v>35</v>
      </c>
      <c r="S51" s="2"/>
      <c r="T51" s="2" t="str">
        <f>IF(OR(BD51&lt;&gt;"", CC51&lt;&gt;"", DH51&lt;&gt;""), "x", "")</f>
        <v/>
      </c>
      <c r="U51" s="2" t="s">
        <v>35</v>
      </c>
      <c r="V51" s="2" t="str">
        <f t="shared" si="27"/>
        <v/>
      </c>
      <c r="W51" s="3" t="s">
        <v>11586</v>
      </c>
      <c r="X51" s="2" t="s">
        <v>11535</v>
      </c>
      <c r="Y51" s="2" t="s">
        <v>31</v>
      </c>
      <c r="Z51" s="2" t="s">
        <v>11585</v>
      </c>
      <c r="AA51" s="2" t="s">
        <v>11584</v>
      </c>
      <c r="AB51" s="2" t="s">
        <v>11532</v>
      </c>
      <c r="AC51" s="2">
        <v>39766</v>
      </c>
      <c r="AD51" s="2" t="s">
        <v>11583</v>
      </c>
      <c r="AE51" s="11">
        <v>43352.617488425924</v>
      </c>
      <c r="AF51" s="11">
        <v>43352.617800925924</v>
      </c>
      <c r="AG51" s="278">
        <v>0</v>
      </c>
      <c r="AH51" s="277">
        <f t="shared" si="35"/>
        <v>3.125000002910383E-4</v>
      </c>
      <c r="AI51" s="277">
        <f t="shared" si="48"/>
        <v>8.9120370103046298E-4</v>
      </c>
      <c r="AJ51" s="276">
        <v>43352.604861111111</v>
      </c>
      <c r="AK51" s="275" t="str">
        <f t="shared" si="34"/>
        <v>https://captureandgo.cloudlab.zhaw.ch/images/images-1662814160007-801220239.jpg</v>
      </c>
      <c r="AW51" s="408" t="str">
        <f t="shared" si="36"/>
        <v>-</v>
      </c>
      <c r="AX51" s="408" t="str">
        <f t="shared" si="37"/>
        <v>-</v>
      </c>
      <c r="AZ51" s="342" t="str">
        <f t="shared" si="38"/>
        <v>-</v>
      </c>
      <c r="BA51" s="408" t="str">
        <f t="shared" si="39"/>
        <v>-</v>
      </c>
      <c r="BF51" s="408" t="str">
        <f t="shared" si="40"/>
        <v>-</v>
      </c>
      <c r="BG51" s="408" t="str">
        <f t="shared" si="41"/>
        <v>-</v>
      </c>
      <c r="BO51" s="329"/>
      <c r="CJ51" s="452" t="str">
        <f t="shared" si="50"/>
        <v>-</v>
      </c>
      <c r="CK51" s="452" t="str">
        <f t="shared" si="9"/>
        <v>-</v>
      </c>
      <c r="CM51" s="327" t="str">
        <f t="shared" si="42"/>
        <v>-</v>
      </c>
      <c r="CN51" s="453" t="str">
        <f t="shared" si="43"/>
        <v>-</v>
      </c>
      <c r="CP51" s="329"/>
      <c r="DA51" s="408" t="str">
        <f t="shared" si="44"/>
        <v>-</v>
      </c>
      <c r="DB51" s="408" t="str">
        <f t="shared" si="13"/>
        <v>-</v>
      </c>
      <c r="DD51" s="408" t="str">
        <f t="shared" si="45"/>
        <v>-</v>
      </c>
      <c r="DE51" s="408" t="str">
        <f t="shared" si="15"/>
        <v>-</v>
      </c>
      <c r="DI51" t="s">
        <v>9801</v>
      </c>
      <c r="DK51" s="408" t="str">
        <f t="shared" si="46"/>
        <v>-</v>
      </c>
      <c r="DL51" s="408" t="str">
        <f t="shared" si="17"/>
        <v>-</v>
      </c>
      <c r="DR51" s="452" t="str">
        <f t="shared" si="29"/>
        <v>-</v>
      </c>
      <c r="DS51" s="452" t="str">
        <f t="shared" si="18"/>
        <v>-</v>
      </c>
      <c r="DU51" s="452" t="str">
        <f t="shared" si="47"/>
        <v>-</v>
      </c>
      <c r="DV51" s="452" t="str">
        <f t="shared" si="20"/>
        <v>-</v>
      </c>
      <c r="DX51" s="329"/>
    </row>
    <row r="52" spans="1:128" ht="16" x14ac:dyDescent="0.2">
      <c r="A52" s="2" t="s">
        <v>11582</v>
      </c>
      <c r="B52" s="2">
        <v>121</v>
      </c>
      <c r="C52" s="2" t="str">
        <f t="shared" si="21"/>
        <v/>
      </c>
      <c r="D52" s="2" t="s">
        <v>11838</v>
      </c>
      <c r="E52" s="2" t="s">
        <v>11536</v>
      </c>
      <c r="F52" s="2" t="s">
        <v>417</v>
      </c>
      <c r="G52" s="2">
        <v>81</v>
      </c>
      <c r="H52" s="2" t="s">
        <v>35</v>
      </c>
      <c r="I52" s="2" t="s">
        <v>11581</v>
      </c>
      <c r="J52" s="279" t="s">
        <v>35</v>
      </c>
      <c r="K52" s="2" t="str">
        <f t="shared" si="22"/>
        <v/>
      </c>
      <c r="L52" s="279" t="s">
        <v>35</v>
      </c>
      <c r="M52" s="2" t="str">
        <f t="shared" si="23"/>
        <v/>
      </c>
      <c r="N52" s="279" t="s">
        <v>35</v>
      </c>
      <c r="O52" s="2" t="str">
        <f t="shared" si="24"/>
        <v/>
      </c>
      <c r="P52" s="279" t="s">
        <v>35</v>
      </c>
      <c r="Q52" s="2" t="str">
        <f t="shared" si="25"/>
        <v/>
      </c>
      <c r="R52" s="2" t="s">
        <v>35</v>
      </c>
      <c r="S52" s="2"/>
      <c r="T52" s="2" t="str">
        <f t="shared" si="26"/>
        <v/>
      </c>
      <c r="U52" s="2" t="s">
        <v>35</v>
      </c>
      <c r="V52" s="2" t="str">
        <f>IF(OR(BL52&lt;&gt;"", CJ52&lt;&gt;"-", DR52&lt;&gt;"-"), "x", "")</f>
        <v/>
      </c>
      <c r="W52" s="280" t="s">
        <v>11580</v>
      </c>
      <c r="X52" s="2" t="s">
        <v>11535</v>
      </c>
      <c r="Y52" s="2" t="s">
        <v>31</v>
      </c>
      <c r="Z52" s="2" t="s">
        <v>11579</v>
      </c>
      <c r="AA52" s="2" t="s">
        <v>11578</v>
      </c>
      <c r="AB52" s="2" t="s">
        <v>11532</v>
      </c>
      <c r="AC52" s="2">
        <v>53603</v>
      </c>
      <c r="AD52" s="2" t="s">
        <v>11577</v>
      </c>
      <c r="AE52" s="11">
        <v>43352.618275462963</v>
      </c>
      <c r="AF52" s="11">
        <v>43352.618680555555</v>
      </c>
      <c r="AG52" s="278">
        <v>0</v>
      </c>
      <c r="AH52" s="277">
        <f t="shared" si="35"/>
        <v>4.0509259270038456E-4</v>
      </c>
      <c r="AI52" s="277">
        <f t="shared" si="48"/>
        <v>8.7962963152676821E-4</v>
      </c>
      <c r="AJ52" s="276">
        <v>43352.604861111111</v>
      </c>
      <c r="AK52" s="275" t="str">
        <f t="shared" si="34"/>
        <v>https://captureandgo.cloudlab.zhaw.ch/images/images-1662814226352-913662280.jpg</v>
      </c>
      <c r="AW52" s="408" t="str">
        <f t="shared" si="36"/>
        <v>-</v>
      </c>
      <c r="AX52" s="408" t="str">
        <f t="shared" si="37"/>
        <v>-</v>
      </c>
      <c r="AZ52" s="342" t="str">
        <f t="shared" si="38"/>
        <v>-</v>
      </c>
      <c r="BA52" s="408" t="str">
        <f t="shared" si="39"/>
        <v>-</v>
      </c>
      <c r="BF52" s="408" t="str">
        <f t="shared" si="40"/>
        <v>-</v>
      </c>
      <c r="BG52" s="408" t="str">
        <f t="shared" si="41"/>
        <v>-</v>
      </c>
      <c r="BO52" s="329"/>
      <c r="CJ52" s="452" t="str">
        <f t="shared" si="50"/>
        <v>-</v>
      </c>
      <c r="CK52" s="452" t="str">
        <f t="shared" si="9"/>
        <v>-</v>
      </c>
      <c r="CM52" s="327" t="str">
        <f t="shared" si="42"/>
        <v>-</v>
      </c>
      <c r="CN52" s="453" t="str">
        <f t="shared" si="43"/>
        <v>-</v>
      </c>
      <c r="CP52" s="329"/>
      <c r="DA52" s="408" t="str">
        <f t="shared" si="44"/>
        <v>-</v>
      </c>
      <c r="DB52" s="408" t="str">
        <f t="shared" si="13"/>
        <v>-</v>
      </c>
      <c r="DD52" s="408" t="str">
        <f t="shared" si="45"/>
        <v>-</v>
      </c>
      <c r="DE52" s="408" t="str">
        <f t="shared" si="15"/>
        <v>-</v>
      </c>
      <c r="DI52" t="s">
        <v>9801</v>
      </c>
      <c r="DK52" s="408" t="str">
        <f t="shared" si="46"/>
        <v>-</v>
      </c>
      <c r="DL52" s="408" t="str">
        <f t="shared" si="17"/>
        <v>-</v>
      </c>
      <c r="DR52" s="452" t="str">
        <f t="shared" si="29"/>
        <v>-</v>
      </c>
      <c r="DS52" s="452" t="str">
        <f t="shared" si="18"/>
        <v>-</v>
      </c>
      <c r="DU52" s="452" t="str">
        <f t="shared" si="47"/>
        <v>-</v>
      </c>
      <c r="DV52" s="452" t="str">
        <f t="shared" si="20"/>
        <v>-</v>
      </c>
      <c r="DX52" s="329"/>
    </row>
    <row r="53" spans="1:128" ht="16" x14ac:dyDescent="0.2">
      <c r="A53" s="2" t="s">
        <v>11576</v>
      </c>
      <c r="B53" s="2">
        <v>122</v>
      </c>
      <c r="C53" s="2" t="str">
        <f t="shared" si="21"/>
        <v/>
      </c>
      <c r="D53" s="2" t="s">
        <v>11839</v>
      </c>
      <c r="E53" s="2" t="s">
        <v>11536</v>
      </c>
      <c r="F53" s="2" t="s">
        <v>37</v>
      </c>
      <c r="G53" s="2" t="s">
        <v>35</v>
      </c>
      <c r="H53" s="2" t="s">
        <v>35</v>
      </c>
      <c r="I53" s="2" t="s">
        <v>35</v>
      </c>
      <c r="J53" s="279" t="s">
        <v>35</v>
      </c>
      <c r="K53" s="2" t="str">
        <f t="shared" si="22"/>
        <v/>
      </c>
      <c r="L53" s="279" t="s">
        <v>35</v>
      </c>
      <c r="M53" s="2" t="str">
        <f t="shared" si="23"/>
        <v/>
      </c>
      <c r="N53" s="2">
        <v>2</v>
      </c>
      <c r="O53" s="2" t="str">
        <f t="shared" si="24"/>
        <v/>
      </c>
      <c r="P53" s="279" t="s">
        <v>35</v>
      </c>
      <c r="Q53" s="2" t="str">
        <f t="shared" si="25"/>
        <v/>
      </c>
      <c r="R53" s="2" t="s">
        <v>35</v>
      </c>
      <c r="S53" s="2"/>
      <c r="T53" s="2" t="str">
        <f t="shared" si="26"/>
        <v/>
      </c>
      <c r="U53" s="2" t="s">
        <v>35</v>
      </c>
      <c r="V53" s="2" t="str">
        <f t="shared" si="27"/>
        <v/>
      </c>
      <c r="W53" s="3"/>
      <c r="X53" s="2" t="s">
        <v>11535</v>
      </c>
      <c r="Y53" s="2" t="s">
        <v>31</v>
      </c>
      <c r="Z53" s="2" t="s">
        <v>11575</v>
      </c>
      <c r="AA53" s="2" t="s">
        <v>11574</v>
      </c>
      <c r="AB53" s="2" t="s">
        <v>11532</v>
      </c>
      <c r="AC53" s="2">
        <v>47902</v>
      </c>
      <c r="AD53" s="2" t="s">
        <v>11573</v>
      </c>
      <c r="AE53" s="11">
        <v>43352.62090277778</v>
      </c>
      <c r="AF53" s="11">
        <v>43352.621018518519</v>
      </c>
      <c r="AG53" s="278">
        <v>0</v>
      </c>
      <c r="AH53" s="277">
        <f t="shared" si="35"/>
        <v>1.1574073869269341E-4</v>
      </c>
      <c r="AI53" s="277">
        <f t="shared" si="48"/>
        <v>2.3379629637929611E-3</v>
      </c>
      <c r="AJ53" s="276">
        <v>43352.604861111111</v>
      </c>
      <c r="AK53" s="275" t="str">
        <f t="shared" si="34"/>
        <v>https://captureandgo.cloudlab.zhaw.ch/images/images-1662814452045-364661631.jpg</v>
      </c>
      <c r="AW53" s="408" t="str">
        <f t="shared" si="36"/>
        <v>-</v>
      </c>
      <c r="AX53" s="408" t="str">
        <f t="shared" si="37"/>
        <v>-</v>
      </c>
      <c r="AZ53" s="342" t="str">
        <f t="shared" si="38"/>
        <v>-</v>
      </c>
      <c r="BA53" s="408" t="str">
        <f t="shared" si="39"/>
        <v>-</v>
      </c>
      <c r="BF53" s="408" t="str">
        <f t="shared" si="40"/>
        <v>-</v>
      </c>
      <c r="BG53" s="408" t="str">
        <f t="shared" si="41"/>
        <v>-</v>
      </c>
      <c r="BO53" s="329"/>
      <c r="CJ53" s="452" t="str">
        <f t="shared" si="50"/>
        <v>-</v>
      </c>
      <c r="CK53" s="452" t="str">
        <f t="shared" si="9"/>
        <v>-</v>
      </c>
      <c r="CM53" s="327" t="str">
        <f t="shared" si="42"/>
        <v>-</v>
      </c>
      <c r="CN53" s="453" t="str">
        <f t="shared" si="43"/>
        <v>-</v>
      </c>
      <c r="CP53" s="329"/>
      <c r="DA53" s="408" t="str">
        <f t="shared" si="44"/>
        <v>-</v>
      </c>
      <c r="DB53" s="408" t="str">
        <f t="shared" si="13"/>
        <v>-</v>
      </c>
      <c r="DD53" s="408" t="str">
        <f t="shared" si="45"/>
        <v>-</v>
      </c>
      <c r="DE53" s="408" t="str">
        <f t="shared" si="15"/>
        <v>-</v>
      </c>
      <c r="DI53" t="s">
        <v>9801</v>
      </c>
      <c r="DK53" s="408" t="str">
        <f t="shared" si="46"/>
        <v>-</v>
      </c>
      <c r="DL53" s="408" t="str">
        <f t="shared" si="17"/>
        <v>-</v>
      </c>
      <c r="DR53" s="452" t="str">
        <f>IF(AND(U53&lt;&gt;"",DQ53&lt;&gt;""), ABS(DQ53/U53-1), "-")</f>
        <v>-</v>
      </c>
      <c r="DS53" s="452" t="str">
        <f t="shared" si="18"/>
        <v>-</v>
      </c>
      <c r="DU53" s="452" t="str">
        <f t="shared" si="47"/>
        <v>-</v>
      </c>
      <c r="DV53" s="452" t="str">
        <f t="shared" si="20"/>
        <v>-</v>
      </c>
      <c r="DX53" s="329"/>
    </row>
    <row r="54" spans="1:128" ht="16" x14ac:dyDescent="0.2">
      <c r="A54" s="2" t="s">
        <v>11572</v>
      </c>
      <c r="B54" s="2">
        <v>123</v>
      </c>
      <c r="C54" s="2" t="str">
        <f t="shared" si="21"/>
        <v/>
      </c>
      <c r="D54" s="2" t="s">
        <v>11840</v>
      </c>
      <c r="E54" s="2" t="s">
        <v>11536</v>
      </c>
      <c r="F54" s="2" t="s">
        <v>37</v>
      </c>
      <c r="G54" s="2" t="s">
        <v>35</v>
      </c>
      <c r="H54" s="2" t="s">
        <v>35</v>
      </c>
      <c r="I54" s="2" t="s">
        <v>35</v>
      </c>
      <c r="J54" s="279" t="s">
        <v>35</v>
      </c>
      <c r="K54" s="2" t="str">
        <f t="shared" si="22"/>
        <v/>
      </c>
      <c r="L54" s="279" t="s">
        <v>35</v>
      </c>
      <c r="M54" s="2" t="str">
        <f t="shared" si="23"/>
        <v/>
      </c>
      <c r="N54" s="2">
        <v>2</v>
      </c>
      <c r="O54" s="2" t="str">
        <f t="shared" si="24"/>
        <v/>
      </c>
      <c r="P54" s="279" t="s">
        <v>35</v>
      </c>
      <c r="Q54" s="2" t="str">
        <f t="shared" si="25"/>
        <v/>
      </c>
      <c r="R54" s="2" t="s">
        <v>35</v>
      </c>
      <c r="S54" s="2"/>
      <c r="T54" s="2" t="str">
        <f t="shared" si="26"/>
        <v/>
      </c>
      <c r="U54" s="2" t="s">
        <v>35</v>
      </c>
      <c r="V54" s="2" t="str">
        <f t="shared" si="27"/>
        <v/>
      </c>
      <c r="W54" s="3"/>
      <c r="X54" s="2" t="s">
        <v>11535</v>
      </c>
      <c r="Y54" s="2" t="s">
        <v>31</v>
      </c>
      <c r="Z54" s="2" t="s">
        <v>35</v>
      </c>
      <c r="AA54" s="2" t="s">
        <v>35</v>
      </c>
      <c r="AB54" s="2" t="s">
        <v>35</v>
      </c>
      <c r="AC54" s="2" t="s">
        <v>35</v>
      </c>
      <c r="AD54" s="2" t="s">
        <v>35</v>
      </c>
      <c r="AE54" s="11">
        <v>43352.623437499999</v>
      </c>
      <c r="AF54" s="11">
        <v>43352.623657407406</v>
      </c>
      <c r="AG54" s="278">
        <v>0</v>
      </c>
      <c r="AH54" s="277">
        <f t="shared" si="35"/>
        <v>2.1990740788169205E-4</v>
      </c>
      <c r="AI54" s="277">
        <f t="shared" si="48"/>
        <v>2.638888887304347E-3</v>
      </c>
      <c r="AJ54" s="276">
        <v>43352.604861111111</v>
      </c>
      <c r="AK54" s="275"/>
      <c r="AW54" s="408" t="str">
        <f t="shared" si="36"/>
        <v>-</v>
      </c>
      <c r="AX54" s="408" t="str">
        <f t="shared" si="37"/>
        <v>-</v>
      </c>
      <c r="AZ54" s="342" t="str">
        <f t="shared" si="38"/>
        <v>-</v>
      </c>
      <c r="BA54" s="408" t="str">
        <f t="shared" si="39"/>
        <v>-</v>
      </c>
      <c r="BF54" s="408" t="str">
        <f t="shared" si="40"/>
        <v>-</v>
      </c>
      <c r="BG54" s="408" t="str">
        <f t="shared" si="41"/>
        <v>-</v>
      </c>
      <c r="BO54" s="329"/>
      <c r="CJ54" s="452" t="str">
        <f t="shared" si="50"/>
        <v>-</v>
      </c>
      <c r="CK54" s="452" t="str">
        <f t="shared" ref="CK54:CK63" si="51">IF(CJ54&lt;&gt;"-", 1-CJ54, "-")</f>
        <v>-</v>
      </c>
      <c r="CM54" s="327" t="str">
        <f t="shared" si="42"/>
        <v>-</v>
      </c>
      <c r="CN54" s="453" t="str">
        <f t="shared" si="43"/>
        <v>-</v>
      </c>
      <c r="CP54" s="329"/>
      <c r="DA54" s="408" t="str">
        <f t="shared" si="44"/>
        <v>-</v>
      </c>
      <c r="DB54" s="408" t="str">
        <f t="shared" si="13"/>
        <v>-</v>
      </c>
      <c r="DD54" s="408" t="str">
        <f t="shared" si="45"/>
        <v>-</v>
      </c>
      <c r="DE54" s="408" t="str">
        <f t="shared" si="15"/>
        <v>-</v>
      </c>
      <c r="DI54" t="s">
        <v>9801</v>
      </c>
      <c r="DK54" s="408" t="str">
        <f t="shared" si="46"/>
        <v>-</v>
      </c>
      <c r="DL54" s="408" t="str">
        <f t="shared" si="17"/>
        <v>-</v>
      </c>
      <c r="DR54" s="452" t="str">
        <f t="shared" si="29"/>
        <v>-</v>
      </c>
      <c r="DS54" s="452" t="str">
        <f t="shared" si="18"/>
        <v>-</v>
      </c>
      <c r="DU54" s="452" t="str">
        <f t="shared" si="47"/>
        <v>-</v>
      </c>
      <c r="DV54" s="452" t="str">
        <f t="shared" si="20"/>
        <v>-</v>
      </c>
      <c r="DX54" s="329"/>
    </row>
    <row r="55" spans="1:128" ht="16" x14ac:dyDescent="0.2">
      <c r="A55" s="2" t="s">
        <v>11571</v>
      </c>
      <c r="B55" s="2">
        <v>124</v>
      </c>
      <c r="C55" s="2" t="str">
        <f t="shared" si="21"/>
        <v/>
      </c>
      <c r="D55" s="2" t="s">
        <v>11841</v>
      </c>
      <c r="E55" s="2" t="s">
        <v>11536</v>
      </c>
      <c r="F55" s="2" t="s">
        <v>2381</v>
      </c>
      <c r="G55" s="2" t="s">
        <v>35</v>
      </c>
      <c r="H55" s="2" t="s">
        <v>35</v>
      </c>
      <c r="I55" s="2" t="s">
        <v>11570</v>
      </c>
      <c r="J55" s="279" t="s">
        <v>35</v>
      </c>
      <c r="K55" s="2" t="str">
        <f t="shared" si="22"/>
        <v/>
      </c>
      <c r="L55" s="279" t="s">
        <v>35</v>
      </c>
      <c r="M55" s="2" t="str">
        <f t="shared" si="23"/>
        <v/>
      </c>
      <c r="N55" s="279" t="s">
        <v>35</v>
      </c>
      <c r="O55" s="2" t="str">
        <f t="shared" si="24"/>
        <v/>
      </c>
      <c r="P55" s="279" t="s">
        <v>35</v>
      </c>
      <c r="Q55" s="2" t="str">
        <f>IF(OR(BF55&lt;&gt;"-", CD55&lt;&gt;"", DK55&lt;&gt;"-"), "x", "")</f>
        <v/>
      </c>
      <c r="R55" s="2" t="s">
        <v>35</v>
      </c>
      <c r="S55" s="2"/>
      <c r="T55" s="2" t="str">
        <f t="shared" si="26"/>
        <v/>
      </c>
      <c r="U55" s="2" t="s">
        <v>35</v>
      </c>
      <c r="V55" s="2" t="str">
        <f t="shared" si="27"/>
        <v/>
      </c>
      <c r="W55" s="3"/>
      <c r="X55" s="2" t="s">
        <v>11535</v>
      </c>
      <c r="Y55" s="2" t="s">
        <v>31</v>
      </c>
      <c r="Z55" s="2" t="s">
        <v>11569</v>
      </c>
      <c r="AA55" s="2" t="s">
        <v>11568</v>
      </c>
      <c r="AB55" s="2" t="s">
        <v>11532</v>
      </c>
      <c r="AC55" s="2">
        <v>59789</v>
      </c>
      <c r="AD55" s="2" t="s">
        <v>11567</v>
      </c>
      <c r="AE55" s="11">
        <v>43352.624814814815</v>
      </c>
      <c r="AF55" s="11">
        <v>43352.625196759262</v>
      </c>
      <c r="AG55" s="278">
        <v>0</v>
      </c>
      <c r="AH55" s="277">
        <f t="shared" si="35"/>
        <v>3.819444464170374E-4</v>
      </c>
      <c r="AI55" s="277">
        <f t="shared" si="48"/>
        <v>1.5393518551718444E-3</v>
      </c>
      <c r="AJ55" s="276">
        <v>43352.604861111111</v>
      </c>
      <c r="AK55" s="275" t="str">
        <f t="shared" ref="AK55:AK63" si="52">HYPERLINK("https://captureandgo.cloudlab.zhaw.ch/images/"&amp;Z55)</f>
        <v>https://captureandgo.cloudlab.zhaw.ch/images/images-1662814793393-787438451.jpg</v>
      </c>
      <c r="AW55" s="408" t="str">
        <f t="shared" si="36"/>
        <v>-</v>
      </c>
      <c r="AX55" s="408" t="str">
        <f t="shared" si="37"/>
        <v>-</v>
      </c>
      <c r="AZ55" s="342" t="str">
        <f t="shared" si="38"/>
        <v>-</v>
      </c>
      <c r="BA55" s="408" t="str">
        <f t="shared" si="39"/>
        <v>-</v>
      </c>
      <c r="BF55" s="408" t="str">
        <f t="shared" si="40"/>
        <v>-</v>
      </c>
      <c r="BG55" s="408" t="str">
        <f t="shared" si="41"/>
        <v>-</v>
      </c>
      <c r="BO55" s="329"/>
      <c r="CJ55" s="452" t="str">
        <f t="shared" si="50"/>
        <v>-</v>
      </c>
      <c r="CK55" s="452" t="str">
        <f t="shared" si="51"/>
        <v>-</v>
      </c>
      <c r="CM55" s="327" t="str">
        <f t="shared" si="42"/>
        <v>-</v>
      </c>
      <c r="CN55" s="453" t="str">
        <f t="shared" si="43"/>
        <v>-</v>
      </c>
      <c r="CP55" s="329"/>
      <c r="DA55" s="408" t="str">
        <f t="shared" si="44"/>
        <v>-</v>
      </c>
      <c r="DB55" s="408" t="str">
        <f t="shared" si="13"/>
        <v>-</v>
      </c>
      <c r="DD55" s="408" t="str">
        <f t="shared" si="45"/>
        <v>-</v>
      </c>
      <c r="DE55" s="408" t="str">
        <f t="shared" si="15"/>
        <v>-</v>
      </c>
      <c r="DI55" t="s">
        <v>9801</v>
      </c>
      <c r="DK55" s="408" t="str">
        <f t="shared" si="46"/>
        <v>-</v>
      </c>
      <c r="DL55" s="408" t="str">
        <f t="shared" si="17"/>
        <v>-</v>
      </c>
      <c r="DR55" s="452" t="str">
        <f t="shared" si="29"/>
        <v>-</v>
      </c>
      <c r="DS55" s="452" t="str">
        <f t="shared" si="18"/>
        <v>-</v>
      </c>
      <c r="DU55" s="452" t="str">
        <f t="shared" si="47"/>
        <v>-</v>
      </c>
      <c r="DV55" s="452" t="str">
        <f t="shared" si="20"/>
        <v>-</v>
      </c>
      <c r="DX55" s="329"/>
    </row>
    <row r="56" spans="1:128" ht="16" x14ac:dyDescent="0.2">
      <c r="A56" s="2" t="s">
        <v>11566</v>
      </c>
      <c r="B56" s="2">
        <v>125</v>
      </c>
      <c r="C56" s="2" t="str">
        <f t="shared" si="21"/>
        <v>x</v>
      </c>
      <c r="D56" s="2" t="s">
        <v>11842</v>
      </c>
      <c r="E56" s="2" t="s">
        <v>11536</v>
      </c>
      <c r="F56" s="2" t="s">
        <v>37</v>
      </c>
      <c r="G56" s="2" t="s">
        <v>35</v>
      </c>
      <c r="H56" s="2" t="s">
        <v>35</v>
      </c>
      <c r="I56" s="2" t="s">
        <v>35</v>
      </c>
      <c r="J56" s="279" t="s">
        <v>35</v>
      </c>
      <c r="K56" s="2" t="str">
        <f t="shared" si="22"/>
        <v/>
      </c>
      <c r="L56" s="279" t="s">
        <v>35</v>
      </c>
      <c r="M56" s="2" t="str">
        <f t="shared" si="23"/>
        <v/>
      </c>
      <c r="N56" s="2">
        <v>4</v>
      </c>
      <c r="O56" s="2" t="str">
        <f t="shared" si="24"/>
        <v>x</v>
      </c>
      <c r="P56" s="279" t="s">
        <v>35</v>
      </c>
      <c r="Q56" s="2" t="str">
        <f t="shared" si="25"/>
        <v/>
      </c>
      <c r="R56" s="2" t="s">
        <v>35</v>
      </c>
      <c r="S56" s="2"/>
      <c r="T56" s="2" t="str">
        <f t="shared" si="26"/>
        <v/>
      </c>
      <c r="U56" s="2" t="s">
        <v>35</v>
      </c>
      <c r="V56" s="2" t="str">
        <f t="shared" si="27"/>
        <v/>
      </c>
      <c r="W56" s="3"/>
      <c r="X56" s="2" t="s">
        <v>11535</v>
      </c>
      <c r="Y56" s="2" t="s">
        <v>31</v>
      </c>
      <c r="Z56" s="2" t="s">
        <v>11565</v>
      </c>
      <c r="AA56" s="2" t="s">
        <v>11564</v>
      </c>
      <c r="AB56" s="2" t="s">
        <v>11532</v>
      </c>
      <c r="AC56" s="2">
        <v>46745</v>
      </c>
      <c r="AD56" s="2" t="s">
        <v>11563</v>
      </c>
      <c r="AE56" s="11">
        <v>43352.627430555556</v>
      </c>
      <c r="AF56" s="11">
        <v>43352.627546296295</v>
      </c>
      <c r="AG56" s="278">
        <v>0</v>
      </c>
      <c r="AH56" s="277">
        <f t="shared" si="35"/>
        <v>1.1574073869269341E-4</v>
      </c>
      <c r="AI56" s="277">
        <f t="shared" si="48"/>
        <v>2.3495370332966559E-3</v>
      </c>
      <c r="AJ56" s="276">
        <v>43352.604861111111</v>
      </c>
      <c r="AK56" s="275" t="str">
        <f t="shared" si="52"/>
        <v>https://captureandgo.cloudlab.zhaw.ch/images/images-1662815016948-854947365.jpg</v>
      </c>
      <c r="AW56" s="408" t="str">
        <f t="shared" si="36"/>
        <v>-</v>
      </c>
      <c r="AX56" s="408" t="str">
        <f t="shared" si="37"/>
        <v>-</v>
      </c>
      <c r="AZ56" s="342" t="str">
        <f t="shared" si="38"/>
        <v>-</v>
      </c>
      <c r="BA56" s="408" t="str">
        <f t="shared" si="39"/>
        <v>-</v>
      </c>
      <c r="BF56" s="408" t="str">
        <f t="shared" si="40"/>
        <v>-</v>
      </c>
      <c r="BG56" s="408" t="str">
        <f t="shared" si="41"/>
        <v>-</v>
      </c>
      <c r="BO56" s="441">
        <v>32</v>
      </c>
      <c r="BP56" s="339">
        <v>0</v>
      </c>
      <c r="BQ56" s="337" t="s">
        <v>11488</v>
      </c>
      <c r="BR56" t="s">
        <v>37</v>
      </c>
      <c r="BS56" s="337"/>
      <c r="BT56" s="337"/>
      <c r="BU56" s="337"/>
      <c r="BV56" s="337"/>
      <c r="BW56" s="337"/>
      <c r="BX56" s="337"/>
      <c r="BY56" s="337"/>
      <c r="BZ56" s="337"/>
      <c r="CA56" s="340"/>
      <c r="CB56" s="337"/>
      <c r="CC56" s="337"/>
      <c r="CD56" s="337"/>
      <c r="CE56" s="337">
        <v>348.77</v>
      </c>
      <c r="CF56" s="337">
        <v>13.82</v>
      </c>
      <c r="CG56" s="337">
        <v>13.88</v>
      </c>
      <c r="CH56" s="337">
        <v>0.52</v>
      </c>
      <c r="CI56" s="467">
        <v>2</v>
      </c>
      <c r="CJ56" s="327" t="str">
        <f t="shared" si="50"/>
        <v>-</v>
      </c>
      <c r="CK56" s="327" t="str">
        <f t="shared" si="51"/>
        <v>-</v>
      </c>
      <c r="CL56" s="341">
        <v>2</v>
      </c>
      <c r="CM56" s="327">
        <f t="shared" si="42"/>
        <v>0.5</v>
      </c>
      <c r="CN56" s="453">
        <f t="shared" si="43"/>
        <v>0.5</v>
      </c>
      <c r="CO56" s="339">
        <v>4.9768518518518521E-4</v>
      </c>
      <c r="CP56" s="329"/>
      <c r="DA56" s="408" t="str">
        <f t="shared" si="44"/>
        <v>-</v>
      </c>
      <c r="DB56" s="408" t="str">
        <f t="shared" si="13"/>
        <v>-</v>
      </c>
      <c r="DD56" s="408" t="str">
        <f t="shared" si="45"/>
        <v>-</v>
      </c>
      <c r="DE56" s="408" t="str">
        <f t="shared" si="15"/>
        <v>-</v>
      </c>
      <c r="DI56" t="s">
        <v>9801</v>
      </c>
      <c r="DK56" s="408" t="str">
        <f t="shared" si="46"/>
        <v>-</v>
      </c>
      <c r="DL56" s="408" t="str">
        <f t="shared" si="17"/>
        <v>-</v>
      </c>
      <c r="DR56" s="452" t="str">
        <f t="shared" si="29"/>
        <v>-</v>
      </c>
      <c r="DS56" s="452" t="str">
        <f t="shared" si="18"/>
        <v>-</v>
      </c>
      <c r="DU56" s="452" t="str">
        <f t="shared" si="47"/>
        <v>-</v>
      </c>
      <c r="DV56" s="452" t="str">
        <f t="shared" si="20"/>
        <v>-</v>
      </c>
      <c r="DX56" s="329"/>
    </row>
    <row r="57" spans="1:128" ht="16" x14ac:dyDescent="0.2">
      <c r="A57" s="2" t="s">
        <v>11562</v>
      </c>
      <c r="B57" s="2">
        <v>126</v>
      </c>
      <c r="C57" s="2" t="str">
        <f t="shared" si="21"/>
        <v>x</v>
      </c>
      <c r="D57" s="2" t="s">
        <v>11843</v>
      </c>
      <c r="E57" s="2" t="s">
        <v>11536</v>
      </c>
      <c r="F57" s="2" t="s">
        <v>37</v>
      </c>
      <c r="G57" s="2" t="s">
        <v>35</v>
      </c>
      <c r="H57" s="2" t="s">
        <v>35</v>
      </c>
      <c r="I57" s="2" t="s">
        <v>35</v>
      </c>
      <c r="J57" s="279" t="s">
        <v>35</v>
      </c>
      <c r="K57" s="2" t="str">
        <f t="shared" si="22"/>
        <v/>
      </c>
      <c r="L57" s="279" t="s">
        <v>35</v>
      </c>
      <c r="M57" s="2" t="str">
        <f t="shared" si="23"/>
        <v/>
      </c>
      <c r="N57" s="2">
        <v>4</v>
      </c>
      <c r="O57" s="2" t="str">
        <f>IF(OR(BM57&lt;&gt;"", CM57&lt;&gt;"-", DU57&lt;&gt;"-"), "x", "")</f>
        <v>x</v>
      </c>
      <c r="P57" s="279" t="s">
        <v>35</v>
      </c>
      <c r="Q57" s="2" t="str">
        <f t="shared" si="25"/>
        <v/>
      </c>
      <c r="R57" s="2" t="s">
        <v>35</v>
      </c>
      <c r="S57" s="2"/>
      <c r="T57" s="2" t="str">
        <f t="shared" si="26"/>
        <v/>
      </c>
      <c r="U57" s="2" t="s">
        <v>35</v>
      </c>
      <c r="V57" s="2" t="str">
        <f t="shared" si="27"/>
        <v/>
      </c>
      <c r="W57" s="3"/>
      <c r="X57" s="2" t="s">
        <v>11535</v>
      </c>
      <c r="Y57" s="2" t="s">
        <v>31</v>
      </c>
      <c r="Z57" s="2" t="s">
        <v>11561</v>
      </c>
      <c r="AA57" s="2" t="s">
        <v>11560</v>
      </c>
      <c r="AB57" s="2" t="s">
        <v>11532</v>
      </c>
      <c r="AC57" s="2">
        <v>48457</v>
      </c>
      <c r="AD57" s="2" t="s">
        <v>11559</v>
      </c>
      <c r="AE57" s="11">
        <v>43352.628622685188</v>
      </c>
      <c r="AF57" s="11">
        <v>43352.628935185188</v>
      </c>
      <c r="AG57" s="278">
        <v>0</v>
      </c>
      <c r="AH57" s="277">
        <f t="shared" si="35"/>
        <v>3.125000002910383E-4</v>
      </c>
      <c r="AI57" s="277">
        <f t="shared" si="48"/>
        <v>1.3888888934161514E-3</v>
      </c>
      <c r="AJ57" s="276">
        <v>43352.604861111111</v>
      </c>
      <c r="AK57" s="275" t="str">
        <f t="shared" si="52"/>
        <v>https://captureandgo.cloudlab.zhaw.ch/images/images-1662815120493-794800501.jpg</v>
      </c>
      <c r="AW57" s="408" t="str">
        <f t="shared" si="36"/>
        <v>-</v>
      </c>
      <c r="AX57" s="408" t="str">
        <f t="shared" si="37"/>
        <v>-</v>
      </c>
      <c r="AZ57" s="342" t="str">
        <f t="shared" si="38"/>
        <v>-</v>
      </c>
      <c r="BA57" s="408" t="str">
        <f t="shared" si="39"/>
        <v>-</v>
      </c>
      <c r="BF57" s="408" t="str">
        <f t="shared" si="40"/>
        <v>-</v>
      </c>
      <c r="BG57" s="408" t="str">
        <f t="shared" si="41"/>
        <v>-</v>
      </c>
      <c r="BO57" s="441">
        <v>32</v>
      </c>
      <c r="BP57" s="339">
        <v>0</v>
      </c>
      <c r="BQ57" s="337" t="s">
        <v>11488</v>
      </c>
      <c r="BR57" t="s">
        <v>37</v>
      </c>
      <c r="BS57" s="337"/>
      <c r="BT57" s="337"/>
      <c r="BU57" s="337"/>
      <c r="BV57" s="337"/>
      <c r="BW57" s="337"/>
      <c r="BX57" s="337"/>
      <c r="BY57" s="337"/>
      <c r="BZ57" s="337"/>
      <c r="CA57" s="340"/>
      <c r="CB57" s="337"/>
      <c r="CC57" s="337"/>
      <c r="CD57" s="337"/>
      <c r="CE57" s="337">
        <v>348.77</v>
      </c>
      <c r="CF57" s="337">
        <v>13.82</v>
      </c>
      <c r="CG57" s="337">
        <v>13.88</v>
      </c>
      <c r="CH57" s="337">
        <v>0.52</v>
      </c>
      <c r="CI57" s="467">
        <v>2</v>
      </c>
      <c r="CJ57" s="327" t="str">
        <f t="shared" si="50"/>
        <v>-</v>
      </c>
      <c r="CK57" s="327" t="str">
        <f t="shared" si="51"/>
        <v>-</v>
      </c>
      <c r="CL57" s="341">
        <v>2</v>
      </c>
      <c r="CM57" s="327">
        <f t="shared" si="42"/>
        <v>0.5</v>
      </c>
      <c r="CN57" s="453">
        <f t="shared" si="43"/>
        <v>0.5</v>
      </c>
      <c r="CO57" s="339">
        <v>4.9768518518518521E-4</v>
      </c>
      <c r="CP57" s="329"/>
      <c r="DA57" s="408" t="str">
        <f t="shared" si="44"/>
        <v>-</v>
      </c>
      <c r="DB57" s="408" t="str">
        <f t="shared" si="13"/>
        <v>-</v>
      </c>
      <c r="DD57" s="408" t="str">
        <f t="shared" si="45"/>
        <v>-</v>
      </c>
      <c r="DE57" s="408" t="str">
        <f t="shared" si="15"/>
        <v>-</v>
      </c>
      <c r="DI57" t="s">
        <v>9801</v>
      </c>
      <c r="DK57" s="408" t="str">
        <f t="shared" si="46"/>
        <v>-</v>
      </c>
      <c r="DL57" s="408" t="str">
        <f t="shared" si="17"/>
        <v>-</v>
      </c>
      <c r="DR57" s="452" t="str">
        <f t="shared" si="29"/>
        <v>-</v>
      </c>
      <c r="DS57" s="452" t="str">
        <f t="shared" si="18"/>
        <v>-</v>
      </c>
      <c r="DU57" s="452" t="str">
        <f t="shared" si="47"/>
        <v>-</v>
      </c>
      <c r="DV57" s="452" t="str">
        <f t="shared" si="20"/>
        <v>-</v>
      </c>
      <c r="DX57" s="329"/>
    </row>
    <row r="58" spans="1:128" ht="16" x14ac:dyDescent="0.2">
      <c r="A58" s="2" t="s">
        <v>11558</v>
      </c>
      <c r="B58" s="2">
        <v>127</v>
      </c>
      <c r="C58" s="2" t="str">
        <f t="shared" si="21"/>
        <v/>
      </c>
      <c r="D58" s="2" t="s">
        <v>11844</v>
      </c>
      <c r="E58" s="2" t="s">
        <v>11536</v>
      </c>
      <c r="F58" s="2" t="s">
        <v>37</v>
      </c>
      <c r="G58" s="2" t="s">
        <v>35</v>
      </c>
      <c r="H58" s="2" t="s">
        <v>35</v>
      </c>
      <c r="I58" s="2" t="s">
        <v>35</v>
      </c>
      <c r="J58" s="279" t="s">
        <v>35</v>
      </c>
      <c r="K58" s="2" t="str">
        <f t="shared" si="22"/>
        <v/>
      </c>
      <c r="L58" s="279" t="s">
        <v>35</v>
      </c>
      <c r="M58" s="2" t="str">
        <f t="shared" si="23"/>
        <v/>
      </c>
      <c r="N58" s="2">
        <v>2</v>
      </c>
      <c r="O58" s="2" t="str">
        <f t="shared" si="24"/>
        <v/>
      </c>
      <c r="P58" s="279" t="s">
        <v>35</v>
      </c>
      <c r="Q58" s="2" t="str">
        <f t="shared" si="25"/>
        <v/>
      </c>
      <c r="R58" s="2" t="s">
        <v>35</v>
      </c>
      <c r="S58" s="2"/>
      <c r="T58" s="2" t="str">
        <f t="shared" si="26"/>
        <v/>
      </c>
      <c r="U58" s="2" t="s">
        <v>35</v>
      </c>
      <c r="V58" s="2" t="str">
        <f t="shared" si="27"/>
        <v/>
      </c>
      <c r="W58" s="3"/>
      <c r="X58" s="2" t="s">
        <v>11535</v>
      </c>
      <c r="Y58" s="2" t="s">
        <v>31</v>
      </c>
      <c r="Z58" s="2" t="s">
        <v>11557</v>
      </c>
      <c r="AA58" s="2" t="s">
        <v>11556</v>
      </c>
      <c r="AB58" s="2" t="s">
        <v>11532</v>
      </c>
      <c r="AC58" s="2">
        <v>52213</v>
      </c>
      <c r="AD58" s="2" t="s">
        <v>11555</v>
      </c>
      <c r="AE58" s="11">
        <v>43352.629699074074</v>
      </c>
      <c r="AF58" s="11">
        <v>43352.629814814813</v>
      </c>
      <c r="AG58" s="278">
        <v>0</v>
      </c>
      <c r="AH58" s="277">
        <f t="shared" si="35"/>
        <v>1.1574073869269341E-4</v>
      </c>
      <c r="AI58" s="277">
        <f t="shared" si="48"/>
        <v>8.7962962425081059E-4</v>
      </c>
      <c r="AJ58" s="276">
        <v>43352.604861111111</v>
      </c>
      <c r="AK58" s="275" t="str">
        <f t="shared" si="52"/>
        <v>https://captureandgo.cloudlab.zhaw.ch/images/images-1662815212179-502599426.jpg</v>
      </c>
      <c r="AW58" s="408" t="str">
        <f t="shared" si="36"/>
        <v>-</v>
      </c>
      <c r="AX58" s="408" t="str">
        <f t="shared" si="37"/>
        <v>-</v>
      </c>
      <c r="AZ58" s="342" t="str">
        <f t="shared" si="38"/>
        <v>-</v>
      </c>
      <c r="BA58" s="408" t="str">
        <f t="shared" si="39"/>
        <v>-</v>
      </c>
      <c r="BF58" s="408" t="str">
        <f t="shared" si="40"/>
        <v>-</v>
      </c>
      <c r="BG58" s="408" t="str">
        <f t="shared" si="41"/>
        <v>-</v>
      </c>
      <c r="BO58" s="329"/>
      <c r="CJ58" s="452" t="str">
        <f t="shared" si="50"/>
        <v>-</v>
      </c>
      <c r="CK58" s="452" t="str">
        <f t="shared" si="51"/>
        <v>-</v>
      </c>
      <c r="CM58" s="327" t="str">
        <f t="shared" si="42"/>
        <v>-</v>
      </c>
      <c r="CN58" s="453" t="str">
        <f t="shared" si="43"/>
        <v>-</v>
      </c>
      <c r="CP58" s="329"/>
      <c r="DA58" s="408" t="str">
        <f t="shared" si="44"/>
        <v>-</v>
      </c>
      <c r="DB58" s="408" t="str">
        <f t="shared" si="13"/>
        <v>-</v>
      </c>
      <c r="DD58" s="408" t="str">
        <f t="shared" si="45"/>
        <v>-</v>
      </c>
      <c r="DE58" s="408" t="str">
        <f t="shared" si="15"/>
        <v>-</v>
      </c>
      <c r="DI58" t="s">
        <v>9801</v>
      </c>
      <c r="DK58" s="408" t="str">
        <f t="shared" si="46"/>
        <v>-</v>
      </c>
      <c r="DL58" s="408" t="str">
        <f t="shared" si="17"/>
        <v>-</v>
      </c>
      <c r="DR58" s="452" t="str">
        <f t="shared" si="29"/>
        <v>-</v>
      </c>
      <c r="DS58" s="452" t="str">
        <f t="shared" si="18"/>
        <v>-</v>
      </c>
      <c r="DU58" s="452" t="str">
        <f t="shared" si="47"/>
        <v>-</v>
      </c>
      <c r="DV58" s="452" t="str">
        <f t="shared" si="20"/>
        <v>-</v>
      </c>
      <c r="DX58" s="329"/>
    </row>
    <row r="59" spans="1:128" ht="16" x14ac:dyDescent="0.2">
      <c r="A59" s="2" t="s">
        <v>11554</v>
      </c>
      <c r="B59" s="2">
        <v>128</v>
      </c>
      <c r="C59" s="2" t="str">
        <f t="shared" si="21"/>
        <v>x</v>
      </c>
      <c r="D59" s="2" t="s">
        <v>11845</v>
      </c>
      <c r="E59" s="2" t="s">
        <v>11536</v>
      </c>
      <c r="F59" s="2" t="s">
        <v>37</v>
      </c>
      <c r="G59" s="2" t="s">
        <v>35</v>
      </c>
      <c r="H59" s="2" t="s">
        <v>35</v>
      </c>
      <c r="I59" s="2" t="s">
        <v>35</v>
      </c>
      <c r="J59" s="279" t="s">
        <v>35</v>
      </c>
      <c r="K59" s="2" t="str">
        <f t="shared" si="22"/>
        <v/>
      </c>
      <c r="L59" s="279" t="s">
        <v>35</v>
      </c>
      <c r="M59" s="2" t="str">
        <f>IF(OR(AZ59&lt;&gt;"-", BZ59&lt;&gt;"", DD59&lt;&gt;"-"), "x", "")</f>
        <v/>
      </c>
      <c r="N59" s="2">
        <v>3</v>
      </c>
      <c r="O59" s="2" t="str">
        <f t="shared" si="24"/>
        <v>x</v>
      </c>
      <c r="P59" s="279" t="s">
        <v>35</v>
      </c>
      <c r="Q59" s="2" t="str">
        <f t="shared" si="25"/>
        <v/>
      </c>
      <c r="R59" s="2" t="s">
        <v>35</v>
      </c>
      <c r="S59" s="2"/>
      <c r="T59" s="2" t="str">
        <f t="shared" si="26"/>
        <v/>
      </c>
      <c r="U59" s="2" t="s">
        <v>35</v>
      </c>
      <c r="V59" s="2" t="str">
        <f t="shared" si="27"/>
        <v/>
      </c>
      <c r="W59" s="3"/>
      <c r="X59" s="2" t="s">
        <v>11535</v>
      </c>
      <c r="Y59" s="2" t="s">
        <v>31</v>
      </c>
      <c r="Z59" s="2" t="s">
        <v>11553</v>
      </c>
      <c r="AA59" s="2" t="s">
        <v>11552</v>
      </c>
      <c r="AB59" s="2" t="s">
        <v>11532</v>
      </c>
      <c r="AC59" s="2">
        <v>45711</v>
      </c>
      <c r="AD59" s="2" t="s">
        <v>11551</v>
      </c>
      <c r="AE59" s="11">
        <v>43352.630300925928</v>
      </c>
      <c r="AF59" s="11">
        <v>43352.63040509259</v>
      </c>
      <c r="AG59" s="278">
        <v>0</v>
      </c>
      <c r="AH59" s="277">
        <f t="shared" si="35"/>
        <v>1.0416666191304103E-4</v>
      </c>
      <c r="AI59" s="277">
        <f t="shared" si="48"/>
        <v>5.9027777751907706E-4</v>
      </c>
      <c r="AJ59" s="276">
        <v>43352.604861111111</v>
      </c>
      <c r="AK59" s="275" t="str">
        <f t="shared" si="52"/>
        <v>https://captureandgo.cloudlab.zhaw.ch/images/images-1662815263197-424902100.jpg</v>
      </c>
      <c r="AW59" s="408" t="str">
        <f t="shared" si="36"/>
        <v>-</v>
      </c>
      <c r="AX59" s="408" t="str">
        <f t="shared" si="37"/>
        <v>-</v>
      </c>
      <c r="AZ59" s="342" t="str">
        <f t="shared" si="38"/>
        <v>-</v>
      </c>
      <c r="BA59" s="408" t="str">
        <f t="shared" si="39"/>
        <v>-</v>
      </c>
      <c r="BF59" s="408" t="str">
        <f t="shared" si="40"/>
        <v>-</v>
      </c>
      <c r="BG59" s="408" t="str">
        <f t="shared" si="41"/>
        <v>-</v>
      </c>
      <c r="BO59" s="441">
        <v>32</v>
      </c>
      <c r="BP59" s="339">
        <v>0</v>
      </c>
      <c r="BQ59" s="337" t="s">
        <v>11488</v>
      </c>
      <c r="BR59" t="s">
        <v>37</v>
      </c>
      <c r="BS59" s="337"/>
      <c r="BT59" s="337"/>
      <c r="BU59" s="337"/>
      <c r="BV59" s="337"/>
      <c r="BW59" s="337"/>
      <c r="BX59" s="337"/>
      <c r="BY59" s="337"/>
      <c r="BZ59" s="337"/>
      <c r="CA59" s="340"/>
      <c r="CB59" s="337"/>
      <c r="CC59" s="337"/>
      <c r="CD59" s="337"/>
      <c r="CE59" s="337">
        <v>348.77</v>
      </c>
      <c r="CF59" s="337">
        <v>13.82</v>
      </c>
      <c r="CG59" s="337">
        <v>13.88</v>
      </c>
      <c r="CH59" s="337">
        <v>0.52</v>
      </c>
      <c r="CI59" s="467">
        <v>2</v>
      </c>
      <c r="CJ59" s="327" t="str">
        <f t="shared" si="50"/>
        <v>-</v>
      </c>
      <c r="CK59" s="327" t="str">
        <f t="shared" si="51"/>
        <v>-</v>
      </c>
      <c r="CL59" s="341">
        <v>2</v>
      </c>
      <c r="CM59" s="327">
        <f t="shared" si="42"/>
        <v>0.33333333333333337</v>
      </c>
      <c r="CN59" s="453">
        <f t="shared" si="43"/>
        <v>0.66666666666666663</v>
      </c>
      <c r="CO59" s="339">
        <v>4.9768518518518521E-4</v>
      </c>
      <c r="CP59" s="329"/>
      <c r="DA59" s="408" t="str">
        <f t="shared" si="44"/>
        <v>-</v>
      </c>
      <c r="DB59" s="408" t="str">
        <f t="shared" si="13"/>
        <v>-</v>
      </c>
      <c r="DD59" s="408" t="str">
        <f t="shared" si="45"/>
        <v>-</v>
      </c>
      <c r="DE59" s="408" t="str">
        <f t="shared" si="15"/>
        <v>-</v>
      </c>
      <c r="DI59" t="s">
        <v>9801</v>
      </c>
      <c r="DK59" s="408" t="str">
        <f t="shared" si="46"/>
        <v>-</v>
      </c>
      <c r="DL59" s="408" t="str">
        <f t="shared" si="17"/>
        <v>-</v>
      </c>
      <c r="DR59" s="452" t="str">
        <f t="shared" si="29"/>
        <v>-</v>
      </c>
      <c r="DS59" s="452" t="str">
        <f t="shared" si="18"/>
        <v>-</v>
      </c>
      <c r="DU59" s="452" t="str">
        <f t="shared" si="47"/>
        <v>-</v>
      </c>
      <c r="DV59" s="452" t="str">
        <f t="shared" si="20"/>
        <v>-</v>
      </c>
      <c r="DX59" s="329"/>
    </row>
    <row r="60" spans="1:128" ht="16" x14ac:dyDescent="0.2">
      <c r="A60" s="2" t="s">
        <v>11550</v>
      </c>
      <c r="B60" s="2">
        <v>129</v>
      </c>
      <c r="C60" s="2" t="str">
        <f t="shared" si="21"/>
        <v/>
      </c>
      <c r="D60" s="2" t="s">
        <v>11846</v>
      </c>
      <c r="E60" s="2" t="s">
        <v>11536</v>
      </c>
      <c r="F60" s="2" t="s">
        <v>266</v>
      </c>
      <c r="G60" s="2" t="s">
        <v>35</v>
      </c>
      <c r="H60" s="2">
        <v>11</v>
      </c>
      <c r="I60" s="2" t="s">
        <v>11549</v>
      </c>
      <c r="J60" s="279" t="s">
        <v>35</v>
      </c>
      <c r="K60" s="2" t="str">
        <f t="shared" si="22"/>
        <v/>
      </c>
      <c r="L60" s="279" t="s">
        <v>35</v>
      </c>
      <c r="M60" s="2" t="str">
        <f t="shared" si="23"/>
        <v/>
      </c>
      <c r="N60" s="279" t="s">
        <v>35</v>
      </c>
      <c r="O60" s="2" t="str">
        <f t="shared" si="24"/>
        <v/>
      </c>
      <c r="P60" s="279" t="s">
        <v>35</v>
      </c>
      <c r="Q60" s="2" t="str">
        <f t="shared" si="25"/>
        <v/>
      </c>
      <c r="R60" s="2" t="s">
        <v>35</v>
      </c>
      <c r="S60" s="2"/>
      <c r="T60" s="2" t="str">
        <f t="shared" si="26"/>
        <v/>
      </c>
      <c r="U60" s="2" t="s">
        <v>35</v>
      </c>
      <c r="V60" s="2" t="str">
        <f t="shared" si="27"/>
        <v/>
      </c>
      <c r="W60" s="3"/>
      <c r="X60" s="2" t="s">
        <v>11535</v>
      </c>
      <c r="Y60" s="2" t="s">
        <v>31</v>
      </c>
      <c r="Z60" s="2" t="s">
        <v>11548</v>
      </c>
      <c r="AA60" s="2" t="s">
        <v>11547</v>
      </c>
      <c r="AB60" s="2" t="s">
        <v>11532</v>
      </c>
      <c r="AC60" s="2">
        <v>72086</v>
      </c>
      <c r="AD60" s="2" t="s">
        <v>11546</v>
      </c>
      <c r="AE60" s="11">
        <v>43352.630844907406</v>
      </c>
      <c r="AF60" s="11">
        <v>43352.63113425926</v>
      </c>
      <c r="AG60" s="278">
        <v>0</v>
      </c>
      <c r="AH60" s="277">
        <f t="shared" si="35"/>
        <v>2.8935185400769114E-4</v>
      </c>
      <c r="AI60" s="277">
        <f t="shared" si="48"/>
        <v>7.2916666977107525E-4</v>
      </c>
      <c r="AJ60" s="276">
        <v>43352.604861111111</v>
      </c>
      <c r="AK60" s="275" t="str">
        <f t="shared" si="52"/>
        <v>https://captureandgo.cloudlab.zhaw.ch/images/images-1662815321181-694016023.jpg</v>
      </c>
      <c r="AW60" s="408" t="str">
        <f t="shared" si="36"/>
        <v>-</v>
      </c>
      <c r="AX60" s="408" t="str">
        <f t="shared" si="37"/>
        <v>-</v>
      </c>
      <c r="AZ60" s="342" t="str">
        <f t="shared" si="38"/>
        <v>-</v>
      </c>
      <c r="BA60" s="408" t="str">
        <f t="shared" si="39"/>
        <v>-</v>
      </c>
      <c r="BF60" s="408" t="str">
        <f t="shared" si="40"/>
        <v>-</v>
      </c>
      <c r="BG60" s="408" t="str">
        <f t="shared" si="41"/>
        <v>-</v>
      </c>
      <c r="BO60" s="329"/>
      <c r="CJ60" s="452" t="str">
        <f t="shared" si="50"/>
        <v>-</v>
      </c>
      <c r="CK60" s="452" t="str">
        <f t="shared" si="51"/>
        <v>-</v>
      </c>
      <c r="CM60" s="327" t="str">
        <f t="shared" si="42"/>
        <v>-</v>
      </c>
      <c r="CN60" s="453" t="str">
        <f t="shared" si="43"/>
        <v>-</v>
      </c>
      <c r="CP60" s="329"/>
      <c r="DA60" s="408" t="str">
        <f t="shared" si="44"/>
        <v>-</v>
      </c>
      <c r="DB60" s="408" t="str">
        <f t="shared" si="13"/>
        <v>-</v>
      </c>
      <c r="DD60" s="408" t="str">
        <f t="shared" si="45"/>
        <v>-</v>
      </c>
      <c r="DE60" s="408" t="str">
        <f t="shared" si="15"/>
        <v>-</v>
      </c>
      <c r="DI60" t="s">
        <v>9801</v>
      </c>
      <c r="DK60" s="408" t="str">
        <f t="shared" si="46"/>
        <v>-</v>
      </c>
      <c r="DL60" s="408" t="str">
        <f t="shared" si="17"/>
        <v>-</v>
      </c>
      <c r="DR60" s="452" t="str">
        <f t="shared" si="29"/>
        <v>-</v>
      </c>
      <c r="DS60" s="452" t="str">
        <f t="shared" si="18"/>
        <v>-</v>
      </c>
      <c r="DU60" s="452" t="str">
        <f t="shared" si="47"/>
        <v>-</v>
      </c>
      <c r="DV60" s="452" t="str">
        <f t="shared" si="20"/>
        <v>-</v>
      </c>
      <c r="DX60" s="329"/>
    </row>
    <row r="61" spans="1:128" ht="16" x14ac:dyDescent="0.2">
      <c r="A61" s="2" t="s">
        <v>11545</v>
      </c>
      <c r="B61" s="2">
        <v>130</v>
      </c>
      <c r="C61" s="2" t="str">
        <f t="shared" si="21"/>
        <v/>
      </c>
      <c r="D61" s="2" t="s">
        <v>11847</v>
      </c>
      <c r="E61" s="2" t="s">
        <v>11536</v>
      </c>
      <c r="F61" s="2" t="s">
        <v>37</v>
      </c>
      <c r="G61" s="2" t="s">
        <v>35</v>
      </c>
      <c r="H61" s="2" t="s">
        <v>35</v>
      </c>
      <c r="I61" s="2" t="s">
        <v>35</v>
      </c>
      <c r="J61" s="279" t="s">
        <v>35</v>
      </c>
      <c r="K61" s="2" t="str">
        <f t="shared" si="22"/>
        <v/>
      </c>
      <c r="L61" s="279" t="s">
        <v>35</v>
      </c>
      <c r="M61" s="2" t="str">
        <f t="shared" si="23"/>
        <v/>
      </c>
      <c r="N61" s="279" t="s">
        <v>35</v>
      </c>
      <c r="O61" s="2" t="str">
        <f t="shared" si="24"/>
        <v/>
      </c>
      <c r="P61" s="279" t="s">
        <v>35</v>
      </c>
      <c r="Q61" s="2" t="str">
        <f t="shared" si="25"/>
        <v/>
      </c>
      <c r="R61" s="2" t="s">
        <v>35</v>
      </c>
      <c r="S61" s="2" t="s">
        <v>3516</v>
      </c>
      <c r="T61" s="2" t="str">
        <f t="shared" si="26"/>
        <v/>
      </c>
      <c r="U61" s="2" t="s">
        <v>35</v>
      </c>
      <c r="V61" s="2" t="str">
        <f t="shared" si="27"/>
        <v/>
      </c>
      <c r="W61" s="3"/>
      <c r="X61" s="2" t="s">
        <v>11535</v>
      </c>
      <c r="Y61" s="2" t="s">
        <v>31</v>
      </c>
      <c r="Z61" s="2" t="s">
        <v>11544</v>
      </c>
      <c r="AA61" s="2" t="s">
        <v>11543</v>
      </c>
      <c r="AB61" s="2" t="s">
        <v>11532</v>
      </c>
      <c r="AC61" s="2">
        <v>70535</v>
      </c>
      <c r="AD61" s="2" t="s">
        <v>11542</v>
      </c>
      <c r="AE61" s="11">
        <v>43352.631203703706</v>
      </c>
      <c r="AF61" s="11">
        <v>43352.631435185183</v>
      </c>
      <c r="AG61" s="278">
        <v>0</v>
      </c>
      <c r="AH61" s="277">
        <f t="shared" si="35"/>
        <v>2.3148147738538682E-4</v>
      </c>
      <c r="AI61" s="277">
        <f t="shared" si="48"/>
        <v>3.0092592351138592E-4</v>
      </c>
      <c r="AJ61" s="276">
        <v>43352.604861111111</v>
      </c>
      <c r="AK61" s="275" t="str">
        <f t="shared" si="52"/>
        <v>https://captureandgo.cloudlab.zhaw.ch/images/images-1662815344832-997259990.jpg</v>
      </c>
      <c r="AW61" s="408" t="str">
        <f t="shared" si="36"/>
        <v>-</v>
      </c>
      <c r="AX61" s="408" t="str">
        <f t="shared" si="37"/>
        <v>-</v>
      </c>
      <c r="AZ61" s="342" t="str">
        <f t="shared" si="38"/>
        <v>-</v>
      </c>
      <c r="BA61" s="408" t="str">
        <f t="shared" si="39"/>
        <v>-</v>
      </c>
      <c r="BF61" s="408" t="str">
        <f t="shared" si="40"/>
        <v>-</v>
      </c>
      <c r="BG61" s="408" t="str">
        <f t="shared" si="41"/>
        <v>-</v>
      </c>
      <c r="BO61" s="329"/>
      <c r="CJ61" s="452" t="str">
        <f t="shared" si="50"/>
        <v>-</v>
      </c>
      <c r="CK61" s="452" t="str">
        <f t="shared" si="51"/>
        <v>-</v>
      </c>
      <c r="CM61" s="327" t="str">
        <f t="shared" si="42"/>
        <v>-</v>
      </c>
      <c r="CN61" s="453" t="str">
        <f t="shared" si="43"/>
        <v>-</v>
      </c>
      <c r="CP61" s="329"/>
      <c r="DA61" s="408" t="str">
        <f t="shared" si="44"/>
        <v>-</v>
      </c>
      <c r="DB61" s="408" t="str">
        <f t="shared" si="13"/>
        <v>-</v>
      </c>
      <c r="DD61" s="408" t="str">
        <f t="shared" si="45"/>
        <v>-</v>
      </c>
      <c r="DE61" s="408" t="str">
        <f t="shared" si="15"/>
        <v>-</v>
      </c>
      <c r="DI61" t="s">
        <v>9801</v>
      </c>
      <c r="DK61" s="408" t="str">
        <f t="shared" si="46"/>
        <v>-</v>
      </c>
      <c r="DL61" s="408" t="str">
        <f t="shared" si="17"/>
        <v>-</v>
      </c>
      <c r="DR61" s="452" t="str">
        <f t="shared" si="29"/>
        <v>-</v>
      </c>
      <c r="DS61" s="452" t="str">
        <f t="shared" si="18"/>
        <v>-</v>
      </c>
      <c r="DU61" s="452" t="str">
        <f t="shared" si="47"/>
        <v>-</v>
      </c>
      <c r="DV61" s="452" t="str">
        <f t="shared" si="20"/>
        <v>-</v>
      </c>
      <c r="DX61" s="329"/>
    </row>
    <row r="62" spans="1:128" ht="16" x14ac:dyDescent="0.2">
      <c r="A62" s="2" t="s">
        <v>11541</v>
      </c>
      <c r="B62" s="2">
        <v>131</v>
      </c>
      <c r="C62" s="2" t="str">
        <f t="shared" si="21"/>
        <v>x</v>
      </c>
      <c r="D62" s="2" t="s">
        <v>11848</v>
      </c>
      <c r="E62" s="2" t="s">
        <v>11536</v>
      </c>
      <c r="F62" s="2" t="s">
        <v>37</v>
      </c>
      <c r="G62" s="2" t="s">
        <v>35</v>
      </c>
      <c r="H62" s="2" t="s">
        <v>35</v>
      </c>
      <c r="I62" s="2" t="s">
        <v>35</v>
      </c>
      <c r="J62" s="279" t="s">
        <v>35</v>
      </c>
      <c r="K62" s="2" t="str">
        <f t="shared" si="22"/>
        <v/>
      </c>
      <c r="L62" s="279" t="s">
        <v>35</v>
      </c>
      <c r="M62" s="2" t="str">
        <f t="shared" si="23"/>
        <v/>
      </c>
      <c r="N62" s="2">
        <v>4</v>
      </c>
      <c r="O62" s="2" t="str">
        <f t="shared" si="24"/>
        <v>x</v>
      </c>
      <c r="P62" s="279" t="s">
        <v>35</v>
      </c>
      <c r="Q62" s="2" t="str">
        <f t="shared" si="25"/>
        <v/>
      </c>
      <c r="R62" s="2" t="s">
        <v>35</v>
      </c>
      <c r="S62" s="2"/>
      <c r="T62" s="2" t="str">
        <f t="shared" si="26"/>
        <v/>
      </c>
      <c r="U62" s="2" t="s">
        <v>35</v>
      </c>
      <c r="V62" s="2" t="str">
        <f t="shared" si="27"/>
        <v/>
      </c>
      <c r="W62" s="3"/>
      <c r="X62" s="2" t="s">
        <v>11535</v>
      </c>
      <c r="Y62" s="2" t="s">
        <v>31</v>
      </c>
      <c r="Z62" s="2" t="s">
        <v>11540</v>
      </c>
      <c r="AA62" s="2" t="s">
        <v>11539</v>
      </c>
      <c r="AB62" s="2" t="s">
        <v>11532</v>
      </c>
      <c r="AC62" s="2">
        <v>51185</v>
      </c>
      <c r="AD62" s="2" t="s">
        <v>11538</v>
      </c>
      <c r="AE62" s="11">
        <v>43352.6325</v>
      </c>
      <c r="AF62" s="11">
        <v>43352.632615740738</v>
      </c>
      <c r="AG62" s="278">
        <v>0</v>
      </c>
      <c r="AH62" s="277">
        <f t="shared" si="35"/>
        <v>1.1574073869269341E-4</v>
      </c>
      <c r="AI62" s="277">
        <f t="shared" si="48"/>
        <v>1.1805555550381541E-3</v>
      </c>
      <c r="AJ62" s="276">
        <v>43352.604861111111</v>
      </c>
      <c r="AK62" s="275" t="str">
        <f t="shared" si="52"/>
        <v>https://captureandgo.cloudlab.zhaw.ch/images/images-1662815453948-923310117.jpg</v>
      </c>
      <c r="AW62" s="408" t="str">
        <f t="shared" si="36"/>
        <v>-</v>
      </c>
      <c r="AX62" s="408" t="str">
        <f t="shared" si="37"/>
        <v>-</v>
      </c>
      <c r="AZ62" s="342" t="str">
        <f t="shared" si="38"/>
        <v>-</v>
      </c>
      <c r="BA62" s="408" t="str">
        <f t="shared" si="39"/>
        <v>-</v>
      </c>
      <c r="BF62" s="408" t="str">
        <f t="shared" si="40"/>
        <v>-</v>
      </c>
      <c r="BG62" s="408" t="str">
        <f t="shared" si="41"/>
        <v>-</v>
      </c>
      <c r="BO62" s="441">
        <v>32</v>
      </c>
      <c r="BP62" s="339">
        <v>0</v>
      </c>
      <c r="BQ62" s="337" t="s">
        <v>11488</v>
      </c>
      <c r="BR62" t="s">
        <v>37</v>
      </c>
      <c r="BS62" s="337"/>
      <c r="BT62" s="337"/>
      <c r="BU62" s="337"/>
      <c r="BV62" s="337"/>
      <c r="BW62" s="337"/>
      <c r="BX62" s="337"/>
      <c r="BY62" s="337"/>
      <c r="BZ62" s="337"/>
      <c r="CA62" s="340"/>
      <c r="CB62" s="337"/>
      <c r="CC62" s="337"/>
      <c r="CD62" s="337"/>
      <c r="CE62" s="337">
        <v>348.77</v>
      </c>
      <c r="CF62" s="337">
        <v>13.82</v>
      </c>
      <c r="CG62" s="337">
        <v>13.88</v>
      </c>
      <c r="CH62" s="337">
        <v>0.52</v>
      </c>
      <c r="CI62" s="467">
        <v>2</v>
      </c>
      <c r="CJ62" s="327" t="str">
        <f t="shared" si="50"/>
        <v>-</v>
      </c>
      <c r="CK62" s="327" t="str">
        <f t="shared" si="51"/>
        <v>-</v>
      </c>
      <c r="CL62" s="341">
        <v>2</v>
      </c>
      <c r="CM62" s="327">
        <f t="shared" si="42"/>
        <v>0.5</v>
      </c>
      <c r="CN62" s="453">
        <f t="shared" si="43"/>
        <v>0.5</v>
      </c>
      <c r="CO62" s="339">
        <v>4.9768518518518521E-4</v>
      </c>
      <c r="CP62" s="329"/>
      <c r="DA62" s="408" t="str">
        <f t="shared" si="44"/>
        <v>-</v>
      </c>
      <c r="DB62" s="408" t="str">
        <f t="shared" si="13"/>
        <v>-</v>
      </c>
      <c r="DD62" s="408" t="str">
        <f t="shared" si="45"/>
        <v>-</v>
      </c>
      <c r="DE62" s="408" t="str">
        <f t="shared" si="15"/>
        <v>-</v>
      </c>
      <c r="DI62" t="s">
        <v>9801</v>
      </c>
      <c r="DK62" s="408" t="str">
        <f t="shared" si="46"/>
        <v>-</v>
      </c>
      <c r="DL62" s="408" t="str">
        <f t="shared" si="17"/>
        <v>-</v>
      </c>
      <c r="DR62" s="452" t="str">
        <f t="shared" si="29"/>
        <v>-</v>
      </c>
      <c r="DS62" s="452" t="str">
        <f t="shared" si="18"/>
        <v>-</v>
      </c>
      <c r="DU62" s="452" t="str">
        <f t="shared" si="47"/>
        <v>-</v>
      </c>
      <c r="DV62" s="452" t="str">
        <f t="shared" si="20"/>
        <v>-</v>
      </c>
      <c r="DX62" s="329"/>
    </row>
    <row r="63" spans="1:128" ht="16" x14ac:dyDescent="0.2">
      <c r="A63" s="2" t="s">
        <v>11537</v>
      </c>
      <c r="B63" s="2">
        <v>132</v>
      </c>
      <c r="C63" s="2" t="str">
        <f t="shared" si="21"/>
        <v>x</v>
      </c>
      <c r="D63" s="2" t="s">
        <v>11849</v>
      </c>
      <c r="E63" s="2" t="s">
        <v>11536</v>
      </c>
      <c r="F63" s="2" t="s">
        <v>37</v>
      </c>
      <c r="G63" s="2" t="s">
        <v>35</v>
      </c>
      <c r="H63" s="2" t="s">
        <v>35</v>
      </c>
      <c r="I63" s="2" t="s">
        <v>35</v>
      </c>
      <c r="J63" s="279" t="s">
        <v>35</v>
      </c>
      <c r="K63" s="2" t="str">
        <f t="shared" si="22"/>
        <v/>
      </c>
      <c r="L63" s="279" t="s">
        <v>35</v>
      </c>
      <c r="M63" s="2" t="str">
        <f t="shared" si="23"/>
        <v/>
      </c>
      <c r="N63" s="2">
        <v>2</v>
      </c>
      <c r="O63" s="2" t="str">
        <f t="shared" si="24"/>
        <v>x</v>
      </c>
      <c r="P63" s="279" t="s">
        <v>35</v>
      </c>
      <c r="Q63" s="2" t="str">
        <f t="shared" si="25"/>
        <v/>
      </c>
      <c r="R63" s="2" t="s">
        <v>35</v>
      </c>
      <c r="S63" s="2"/>
      <c r="T63" s="2" t="str">
        <f t="shared" si="26"/>
        <v/>
      </c>
      <c r="U63" s="2" t="s">
        <v>35</v>
      </c>
      <c r="V63" s="2" t="str">
        <f t="shared" si="27"/>
        <v/>
      </c>
      <c r="W63" s="3"/>
      <c r="X63" s="2" t="s">
        <v>11535</v>
      </c>
      <c r="Y63" s="2" t="s">
        <v>31</v>
      </c>
      <c r="Z63" s="2" t="s">
        <v>11534</v>
      </c>
      <c r="AA63" s="2" t="s">
        <v>11533</v>
      </c>
      <c r="AB63" s="2" t="s">
        <v>11532</v>
      </c>
      <c r="AC63" s="2">
        <v>48079</v>
      </c>
      <c r="AD63" s="2" t="s">
        <v>11531</v>
      </c>
      <c r="AE63" s="11">
        <v>43352.633321759262</v>
      </c>
      <c r="AF63" s="11">
        <v>43352.63349537037</v>
      </c>
      <c r="AG63" s="278">
        <v>0</v>
      </c>
      <c r="AH63" s="277">
        <f t="shared" si="35"/>
        <v>1.7361110803904012E-4</v>
      </c>
      <c r="AI63" s="277">
        <f t="shared" si="48"/>
        <v>8.7962963152676821E-4</v>
      </c>
      <c r="AJ63" s="276">
        <v>43352.604861111111</v>
      </c>
      <c r="AK63" s="275" t="str">
        <f t="shared" si="52"/>
        <v>https://captureandgo.cloudlab.zhaw.ch/images/images-1662815530303-572237075.jpg</v>
      </c>
      <c r="AL63" s="455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456" t="str">
        <f t="shared" si="36"/>
        <v>-</v>
      </c>
      <c r="AX63" s="456" t="str">
        <f t="shared" si="37"/>
        <v>-</v>
      </c>
      <c r="AY63" s="169"/>
      <c r="AZ63" s="457" t="str">
        <f t="shared" si="38"/>
        <v>-</v>
      </c>
      <c r="BA63" s="456" t="str">
        <f t="shared" si="39"/>
        <v>-</v>
      </c>
      <c r="BB63" s="169"/>
      <c r="BC63" s="169"/>
      <c r="BD63" s="169"/>
      <c r="BE63" s="169"/>
      <c r="BF63" s="456" t="str">
        <f t="shared" si="40"/>
        <v>-</v>
      </c>
      <c r="BG63" s="456" t="str">
        <f t="shared" si="41"/>
        <v>-</v>
      </c>
      <c r="BH63" s="199"/>
      <c r="BI63" s="199"/>
      <c r="BJ63" s="199"/>
      <c r="BK63" s="199"/>
      <c r="BL63" s="169"/>
      <c r="BM63" s="169"/>
      <c r="BN63" s="169"/>
      <c r="BO63" s="332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99"/>
      <c r="CJ63" s="458" t="str">
        <f t="shared" si="50"/>
        <v>-</v>
      </c>
      <c r="CK63" s="459" t="str">
        <f t="shared" si="51"/>
        <v>-</v>
      </c>
      <c r="CL63" s="169"/>
      <c r="CM63" s="458" t="str">
        <f t="shared" si="42"/>
        <v>-</v>
      </c>
      <c r="CN63" s="460" t="str">
        <f t="shared" si="43"/>
        <v>-</v>
      </c>
      <c r="CO63" s="169"/>
      <c r="CP63" s="332">
        <v>68</v>
      </c>
      <c r="CQ63" s="461">
        <v>7.0601851851851847E-4</v>
      </c>
      <c r="CR63" s="169" t="s">
        <v>11526</v>
      </c>
      <c r="CS63" s="169" t="s">
        <v>37</v>
      </c>
      <c r="CT63" s="169" t="b">
        <v>0</v>
      </c>
      <c r="CU63" s="169"/>
      <c r="CV63" s="169" t="b">
        <v>0</v>
      </c>
      <c r="CW63" s="169" t="b">
        <v>0</v>
      </c>
      <c r="CX63" s="169"/>
      <c r="CY63" s="169"/>
      <c r="CZ63" s="169"/>
      <c r="DA63" s="456" t="str">
        <f t="shared" si="44"/>
        <v>-</v>
      </c>
      <c r="DB63" s="456" t="str">
        <f t="shared" si="13"/>
        <v>-</v>
      </c>
      <c r="DC63" s="169"/>
      <c r="DD63" s="456" t="str">
        <f t="shared" si="45"/>
        <v>-</v>
      </c>
      <c r="DE63" s="456" t="str">
        <f t="shared" si="15"/>
        <v>-</v>
      </c>
      <c r="DF63" s="462"/>
      <c r="DG63" s="169"/>
      <c r="DH63" s="169"/>
      <c r="DI63" t="s">
        <v>9801</v>
      </c>
      <c r="DJ63" s="169"/>
      <c r="DK63" s="456" t="str">
        <f t="shared" si="46"/>
        <v>-</v>
      </c>
      <c r="DL63" s="456" t="str">
        <f t="shared" si="17"/>
        <v>-</v>
      </c>
      <c r="DM63" s="169">
        <v>5.04</v>
      </c>
      <c r="DN63" s="169">
        <v>0.13</v>
      </c>
      <c r="DO63" s="169">
        <v>2.76</v>
      </c>
      <c r="DP63" s="169">
        <v>0.08</v>
      </c>
      <c r="DQ63" s="466">
        <f>IF(AND(DN63&lt;&gt;"-",DM63&lt;&gt;"-"), ROUND(DEGREES(ATAN(DN63/DM63)*100%), 0), "-")</f>
        <v>1</v>
      </c>
      <c r="DR63" s="459" t="str">
        <f t="shared" si="29"/>
        <v>-</v>
      </c>
      <c r="DS63" s="459" t="str">
        <f t="shared" si="18"/>
        <v>-</v>
      </c>
      <c r="DT63" s="463">
        <f t="shared" ref="DT63" si="53">IF(AND(DP63&lt;&gt;"-",DO63&lt;&gt;"-"), ROUND(DEGREES(ATAN(DP63/DO63)*100%), 0), "-")</f>
        <v>2</v>
      </c>
      <c r="DU63" s="459">
        <f t="shared" si="47"/>
        <v>0</v>
      </c>
      <c r="DV63" s="459">
        <f t="shared" si="20"/>
        <v>1</v>
      </c>
      <c r="DW63" s="470">
        <v>5.0925925925925921E-4</v>
      </c>
      <c r="DX63" s="329"/>
    </row>
    <row r="64" spans="1:128" x14ac:dyDescent="0.2">
      <c r="BH64" s="47"/>
      <c r="BI64" s="47"/>
      <c r="BJ64" s="47"/>
      <c r="BK64" s="47"/>
      <c r="BL64" s="47"/>
      <c r="BM64" s="47"/>
    </row>
    <row r="68" spans="39:128" x14ac:dyDescent="0.2">
      <c r="AM68" s="7"/>
      <c r="AN68" s="110"/>
      <c r="BB68" s="28"/>
      <c r="BN68" s="7"/>
    </row>
    <row r="70" spans="39:128" x14ac:dyDescent="0.2">
      <c r="BH70" s="47"/>
      <c r="BI70" s="47"/>
      <c r="BJ70" s="47"/>
      <c r="BK70" s="47"/>
      <c r="BL70" s="47"/>
      <c r="BM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</row>
    <row r="71" spans="39:128" x14ac:dyDescent="0.2">
      <c r="BH71" s="47"/>
      <c r="BI71" s="47"/>
      <c r="BJ71" s="47"/>
      <c r="BK71" s="47"/>
      <c r="BL71" s="47"/>
      <c r="BM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</row>
    <row r="72" spans="39:128" x14ac:dyDescent="0.2">
      <c r="BH72" s="47"/>
      <c r="BI72" s="47"/>
      <c r="BJ72" s="47"/>
      <c r="BK72" s="47"/>
      <c r="BL72" s="47"/>
      <c r="BM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</row>
    <row r="73" spans="39:128" x14ac:dyDescent="0.2">
      <c r="BH73" s="444"/>
      <c r="BI73" s="444"/>
      <c r="BJ73" s="444"/>
      <c r="BK73" s="444"/>
      <c r="BL73" s="446"/>
      <c r="BM73" s="446"/>
      <c r="CP73" s="444"/>
      <c r="CQ73" s="445"/>
      <c r="CR73" s="444"/>
      <c r="CS73" s="444"/>
      <c r="CT73" s="444"/>
      <c r="CU73" s="444"/>
      <c r="CV73" s="444"/>
      <c r="CW73" s="444"/>
      <c r="CX73" s="444"/>
      <c r="CY73" s="444"/>
      <c r="CZ73" s="444"/>
      <c r="DA73" s="444"/>
      <c r="DB73" s="444"/>
      <c r="DC73" s="444"/>
      <c r="DD73" s="444"/>
      <c r="DE73" s="444"/>
      <c r="DF73" s="448"/>
      <c r="DG73" s="444"/>
      <c r="DH73" s="444"/>
      <c r="DI73" s="444"/>
      <c r="DJ73" s="444"/>
      <c r="DK73" s="444"/>
      <c r="DL73" s="444"/>
      <c r="DM73" s="444"/>
      <c r="DN73" s="444"/>
      <c r="DO73" s="444"/>
      <c r="DP73" s="444"/>
      <c r="DQ73" s="446"/>
      <c r="DR73" s="446"/>
      <c r="DS73" s="446"/>
      <c r="DT73" s="446"/>
      <c r="DU73" s="446"/>
      <c r="DV73" s="446"/>
      <c r="DW73" s="445"/>
      <c r="DX73" s="47"/>
    </row>
    <row r="74" spans="39:128" x14ac:dyDescent="0.2">
      <c r="BH74" s="47"/>
      <c r="BI74" s="47"/>
      <c r="BJ74" s="47"/>
      <c r="BK74" s="47"/>
      <c r="BL74" s="47"/>
      <c r="BM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</row>
    <row r="75" spans="39:128" x14ac:dyDescent="0.2">
      <c r="BH75" s="47"/>
      <c r="BI75" s="47"/>
      <c r="BJ75" s="47"/>
      <c r="BK75" s="47"/>
      <c r="BL75" s="47"/>
      <c r="BM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</row>
    <row r="76" spans="39:128" x14ac:dyDescent="0.2">
      <c r="BH76" s="444"/>
      <c r="BI76" s="444"/>
      <c r="BJ76" s="444"/>
      <c r="BK76" s="444"/>
      <c r="BL76" s="446"/>
      <c r="BM76" s="446"/>
      <c r="CP76" s="444"/>
      <c r="CQ76" s="445"/>
      <c r="CR76" s="444"/>
      <c r="CS76" s="444"/>
      <c r="CT76" s="444"/>
      <c r="CU76" s="444"/>
      <c r="CV76" s="444"/>
      <c r="CW76" s="444"/>
      <c r="CX76" s="444"/>
      <c r="CY76" s="444"/>
      <c r="CZ76" s="444"/>
      <c r="DA76" s="444"/>
      <c r="DB76" s="444"/>
      <c r="DC76" s="444"/>
      <c r="DD76" s="444"/>
      <c r="DE76" s="444"/>
      <c r="DF76" s="447"/>
      <c r="DG76" s="444"/>
      <c r="DH76" s="444"/>
      <c r="DI76" s="444"/>
      <c r="DJ76" s="444"/>
      <c r="DK76" s="444"/>
      <c r="DL76" s="444"/>
      <c r="DM76" s="444"/>
      <c r="DN76" s="444"/>
      <c r="DO76" s="444"/>
      <c r="DP76" s="444"/>
      <c r="DQ76" s="446"/>
      <c r="DR76" s="446"/>
      <c r="DS76" s="446"/>
      <c r="DT76" s="446"/>
      <c r="DU76" s="446"/>
      <c r="DV76" s="446"/>
      <c r="DW76" s="445"/>
      <c r="DX76" s="47"/>
    </row>
    <row r="77" spans="39:128" x14ac:dyDescent="0.2">
      <c r="BH77" s="47"/>
      <c r="BI77" s="47"/>
      <c r="BJ77" s="47"/>
      <c r="BK77" s="47"/>
      <c r="BL77" s="47"/>
      <c r="BM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</row>
    <row r="78" spans="39:128" x14ac:dyDescent="0.2">
      <c r="AM78" s="7"/>
      <c r="AN78" s="110"/>
      <c r="BB78" s="28"/>
      <c r="BH78" s="47"/>
      <c r="BI78" s="47"/>
      <c r="BJ78" s="47"/>
      <c r="BK78" s="47"/>
      <c r="BL78" s="47"/>
      <c r="BM78" s="47"/>
      <c r="BN78" s="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</row>
    <row r="79" spans="39:128" x14ac:dyDescent="0.2">
      <c r="BH79" s="444"/>
      <c r="BI79" s="444"/>
      <c r="BJ79" s="444"/>
      <c r="BK79" s="444"/>
      <c r="BL79" s="446"/>
      <c r="BM79" s="446"/>
      <c r="CP79" s="444"/>
      <c r="CQ79" s="445"/>
      <c r="CR79" s="444"/>
      <c r="CS79" s="444"/>
      <c r="CT79" s="444"/>
      <c r="CU79" s="444"/>
      <c r="CV79" s="444"/>
      <c r="CW79" s="444"/>
      <c r="CX79" s="444"/>
      <c r="CY79" s="444"/>
      <c r="CZ79" s="444"/>
      <c r="DA79" s="444"/>
      <c r="DB79" s="444"/>
      <c r="DC79" s="444"/>
      <c r="DD79" s="444"/>
      <c r="DE79" s="444"/>
      <c r="DF79" s="448"/>
      <c r="DG79" s="444"/>
      <c r="DH79" s="444"/>
      <c r="DI79" s="444"/>
      <c r="DJ79" s="444"/>
      <c r="DK79" s="444"/>
      <c r="DL79" s="444"/>
      <c r="DM79" s="444"/>
      <c r="DN79" s="444"/>
      <c r="DO79" s="444"/>
      <c r="DP79" s="444"/>
      <c r="DQ79" s="446"/>
      <c r="DR79" s="446"/>
      <c r="DS79" s="446"/>
      <c r="DT79" s="446"/>
      <c r="DU79" s="446"/>
      <c r="DV79" s="446"/>
      <c r="DW79" s="445"/>
      <c r="DX79" s="47"/>
    </row>
    <row r="80" spans="39:128" x14ac:dyDescent="0.2">
      <c r="BH80" s="47"/>
      <c r="BI80" s="47"/>
      <c r="BJ80" s="47"/>
      <c r="BK80" s="47"/>
      <c r="BL80" s="47"/>
      <c r="BM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</row>
    <row r="81" spans="60:128" x14ac:dyDescent="0.2">
      <c r="BH81" s="47"/>
      <c r="BI81" s="47"/>
      <c r="BJ81" s="47"/>
      <c r="BK81" s="47"/>
      <c r="BL81" s="47"/>
      <c r="BM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</row>
    <row r="82" spans="60:128" x14ac:dyDescent="0.2">
      <c r="BH82" s="444"/>
      <c r="BI82" s="444"/>
      <c r="BJ82" s="444"/>
      <c r="BK82" s="444"/>
      <c r="BL82" s="446"/>
      <c r="BM82" s="446"/>
      <c r="CP82" s="444"/>
      <c r="CQ82" s="445"/>
      <c r="CR82" s="444"/>
      <c r="CS82" s="444"/>
      <c r="CT82" s="444"/>
      <c r="CU82" s="444"/>
      <c r="CV82" s="444"/>
      <c r="CW82" s="444"/>
      <c r="CX82" s="444"/>
      <c r="CY82" s="444"/>
      <c r="CZ82" s="444"/>
      <c r="DA82" s="444"/>
      <c r="DB82" s="444"/>
      <c r="DC82" s="444"/>
      <c r="DD82" s="444"/>
      <c r="DE82" s="444"/>
      <c r="DF82" s="448"/>
      <c r="DG82" s="444"/>
      <c r="DH82" s="444"/>
      <c r="DI82" s="444"/>
      <c r="DJ82" s="444"/>
      <c r="DK82" s="444"/>
      <c r="DL82" s="444"/>
      <c r="DM82" s="444"/>
      <c r="DN82" s="444"/>
      <c r="DO82" s="444"/>
      <c r="DP82" s="444"/>
      <c r="DQ82" s="446"/>
      <c r="DR82" s="446"/>
      <c r="DS82" s="446"/>
      <c r="DT82" s="446"/>
      <c r="DU82" s="446"/>
      <c r="DV82" s="446"/>
      <c r="DW82" s="445"/>
      <c r="DX82" s="47"/>
    </row>
    <row r="83" spans="60:128" x14ac:dyDescent="0.2">
      <c r="BH83" s="444"/>
      <c r="BI83" s="444"/>
      <c r="BJ83" s="444"/>
      <c r="BK83" s="444"/>
      <c r="BL83" s="446"/>
      <c r="BM83" s="446"/>
      <c r="CP83" s="444"/>
      <c r="CQ83" s="445"/>
      <c r="CR83" s="444"/>
      <c r="CS83" s="444"/>
      <c r="CT83" s="444"/>
      <c r="CU83" s="444"/>
      <c r="CV83" s="444"/>
      <c r="CW83" s="444"/>
      <c r="CX83" s="444"/>
      <c r="CY83" s="444"/>
      <c r="CZ83" s="444"/>
      <c r="DA83" s="444"/>
      <c r="DB83" s="444"/>
      <c r="DC83" s="444"/>
      <c r="DD83" s="444"/>
      <c r="DE83" s="444"/>
      <c r="DF83" s="448"/>
      <c r="DG83" s="444"/>
      <c r="DH83" s="444"/>
      <c r="DI83" s="444"/>
      <c r="DJ83" s="444"/>
      <c r="DK83" s="444"/>
      <c r="DL83" s="444"/>
      <c r="DM83" s="444"/>
      <c r="DN83" s="444"/>
      <c r="DO83" s="444"/>
      <c r="DP83" s="444"/>
      <c r="DQ83" s="446"/>
      <c r="DR83" s="446"/>
      <c r="DS83" s="446"/>
      <c r="DT83" s="446"/>
      <c r="DU83" s="446"/>
      <c r="DV83" s="446"/>
      <c r="DW83" s="445"/>
      <c r="DX83" s="47"/>
    </row>
    <row r="84" spans="60:128" x14ac:dyDescent="0.2">
      <c r="BH84" s="444"/>
      <c r="BI84" s="444"/>
      <c r="BJ84" s="444"/>
      <c r="BK84" s="444"/>
      <c r="BL84" s="446"/>
      <c r="BM84" s="446"/>
      <c r="CP84" s="444"/>
      <c r="CQ84" s="445"/>
      <c r="CR84" s="444"/>
      <c r="CS84" s="444"/>
      <c r="CT84" s="444"/>
      <c r="CU84" s="444"/>
      <c r="CV84" s="444"/>
      <c r="CW84" s="444"/>
      <c r="CX84" s="444"/>
      <c r="CY84" s="444"/>
      <c r="CZ84" s="444"/>
      <c r="DA84" s="444"/>
      <c r="DB84" s="444"/>
      <c r="DC84" s="444"/>
      <c r="DD84" s="444"/>
      <c r="DE84" s="444"/>
      <c r="DF84" s="447"/>
      <c r="DG84" s="444"/>
      <c r="DH84" s="444"/>
      <c r="DI84" s="444"/>
      <c r="DJ84" s="444"/>
      <c r="DK84" s="444"/>
      <c r="DL84" s="444"/>
      <c r="DM84" s="444"/>
      <c r="DN84" s="444"/>
      <c r="DO84" s="444"/>
      <c r="DP84" s="444"/>
      <c r="DQ84" s="446"/>
      <c r="DR84" s="446"/>
      <c r="DS84" s="446"/>
      <c r="DT84" s="446"/>
      <c r="DU84" s="446"/>
      <c r="DV84" s="446"/>
      <c r="DW84" s="445"/>
      <c r="DX84" s="47"/>
    </row>
    <row r="85" spans="60:128" x14ac:dyDescent="0.2">
      <c r="BH85" s="444"/>
      <c r="BI85" s="444"/>
      <c r="BJ85" s="444"/>
      <c r="BK85" s="444"/>
      <c r="BL85" s="446"/>
      <c r="BM85" s="446"/>
      <c r="CP85" s="444"/>
      <c r="CQ85" s="445"/>
      <c r="CR85" s="444"/>
      <c r="CS85" s="444"/>
      <c r="CT85" s="444"/>
      <c r="CU85" s="444"/>
      <c r="CV85" s="444"/>
      <c r="CW85" s="444"/>
      <c r="CX85" s="444"/>
      <c r="CY85" s="444"/>
      <c r="CZ85" s="444"/>
      <c r="DA85" s="444"/>
      <c r="DB85" s="444"/>
      <c r="DC85" s="444"/>
      <c r="DD85" s="444"/>
      <c r="DE85" s="444"/>
      <c r="DF85" s="448"/>
      <c r="DG85" s="444"/>
      <c r="DH85" s="444"/>
      <c r="DI85" s="444"/>
      <c r="DJ85" s="444"/>
      <c r="DK85" s="444"/>
      <c r="DL85" s="444"/>
      <c r="DM85" s="444"/>
      <c r="DN85" s="444"/>
      <c r="DO85" s="444"/>
      <c r="DP85" s="444"/>
      <c r="DQ85" s="446"/>
      <c r="DR85" s="446"/>
      <c r="DS85" s="446"/>
      <c r="DT85" s="446"/>
      <c r="DU85" s="446"/>
      <c r="DV85" s="446"/>
      <c r="DW85" s="445"/>
      <c r="DX85" s="47"/>
    </row>
    <row r="86" spans="60:128" x14ac:dyDescent="0.2">
      <c r="BH86" s="444"/>
      <c r="BI86" s="444"/>
      <c r="BJ86" s="444"/>
      <c r="BK86" s="444"/>
      <c r="BL86" s="446"/>
      <c r="BM86" s="446"/>
      <c r="CP86" s="444"/>
      <c r="CQ86" s="445"/>
      <c r="CR86" s="444"/>
      <c r="CS86" s="444"/>
      <c r="CT86" s="444"/>
      <c r="CU86" s="444"/>
      <c r="CV86" s="444"/>
      <c r="CW86" s="444"/>
      <c r="CX86" s="444"/>
      <c r="CY86" s="444"/>
      <c r="CZ86" s="444"/>
      <c r="DA86" s="444"/>
      <c r="DB86" s="444"/>
      <c r="DC86" s="444"/>
      <c r="DD86" s="444"/>
      <c r="DE86" s="444"/>
      <c r="DF86" s="448"/>
      <c r="DG86" s="444"/>
      <c r="DH86" s="444"/>
      <c r="DI86" s="444"/>
      <c r="DJ86" s="444"/>
      <c r="DK86" s="444"/>
      <c r="DL86" s="444"/>
      <c r="DM86" s="444"/>
      <c r="DN86" s="444"/>
      <c r="DO86" s="444"/>
      <c r="DP86" s="444"/>
      <c r="DQ86" s="446"/>
      <c r="DR86" s="446"/>
      <c r="DS86" s="446"/>
      <c r="DT86" s="446"/>
      <c r="DU86" s="446"/>
      <c r="DV86" s="446"/>
      <c r="DW86" s="445"/>
      <c r="DX86" s="47"/>
    </row>
    <row r="87" spans="60:128" x14ac:dyDescent="0.2">
      <c r="BH87" s="444"/>
      <c r="BI87" s="444"/>
      <c r="BJ87" s="444"/>
      <c r="BK87" s="444"/>
      <c r="BL87" s="446"/>
      <c r="BM87" s="446"/>
      <c r="CP87" s="444"/>
      <c r="CQ87" s="445"/>
      <c r="CR87" s="444"/>
      <c r="CS87" s="444"/>
      <c r="CT87" s="444"/>
      <c r="CU87" s="444"/>
      <c r="CV87" s="444"/>
      <c r="CW87" s="444"/>
      <c r="CX87" s="444"/>
      <c r="CY87" s="444"/>
      <c r="CZ87" s="444"/>
      <c r="DA87" s="444"/>
      <c r="DB87" s="444"/>
      <c r="DC87" s="444"/>
      <c r="DD87" s="444"/>
      <c r="DE87" s="444"/>
      <c r="DF87" s="448"/>
      <c r="DG87" s="444"/>
      <c r="DH87" s="444"/>
      <c r="DI87" s="444"/>
      <c r="DJ87" s="444"/>
      <c r="DK87" s="444"/>
      <c r="DL87" s="444"/>
      <c r="DM87" s="444"/>
      <c r="DN87" s="444"/>
      <c r="DO87" s="444"/>
      <c r="DP87" s="444"/>
      <c r="DQ87" s="446"/>
      <c r="DR87" s="446"/>
      <c r="DS87" s="446"/>
      <c r="DT87" s="446"/>
      <c r="DU87" s="446"/>
      <c r="DV87" s="446"/>
      <c r="DW87" s="445"/>
      <c r="DX87" s="47"/>
    </row>
    <row r="88" spans="60:128" x14ac:dyDescent="0.2">
      <c r="BH88" s="47"/>
      <c r="BI88" s="47"/>
      <c r="BJ88" s="47"/>
      <c r="BK88" s="47"/>
      <c r="BL88" s="47"/>
      <c r="BM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</row>
    <row r="89" spans="60:128" x14ac:dyDescent="0.2">
      <c r="BH89" s="444"/>
      <c r="BI89" s="444"/>
      <c r="BJ89" s="444"/>
      <c r="BK89" s="444"/>
      <c r="BL89" s="446"/>
      <c r="BM89" s="446"/>
      <c r="CP89" s="444"/>
      <c r="CQ89" s="445"/>
      <c r="CR89" s="444"/>
      <c r="CS89" s="444"/>
      <c r="CT89" s="444"/>
      <c r="CU89" s="444"/>
      <c r="CV89" s="444"/>
      <c r="CW89" s="444"/>
      <c r="CX89" s="444"/>
      <c r="CY89" s="444"/>
      <c r="CZ89" s="444"/>
      <c r="DA89" s="444"/>
      <c r="DB89" s="444"/>
      <c r="DC89" s="444"/>
      <c r="DD89" s="444"/>
      <c r="DE89" s="444"/>
      <c r="DF89" s="448"/>
      <c r="DG89" s="444"/>
      <c r="DH89" s="444"/>
      <c r="DI89" s="444"/>
      <c r="DJ89" s="444"/>
      <c r="DK89" s="444"/>
      <c r="DL89" s="444"/>
      <c r="DM89" s="444"/>
      <c r="DN89" s="444"/>
      <c r="DO89" s="444"/>
      <c r="DP89" s="444"/>
      <c r="DQ89" s="446"/>
      <c r="DR89" s="446"/>
      <c r="DS89" s="446"/>
      <c r="DT89" s="446"/>
      <c r="DU89" s="446"/>
      <c r="DV89" s="446"/>
      <c r="DW89" s="445"/>
      <c r="DX89" s="47"/>
    </row>
    <row r="90" spans="60:128" x14ac:dyDescent="0.2">
      <c r="BH90" s="444"/>
      <c r="BI90" s="444"/>
      <c r="BJ90" s="444"/>
      <c r="BK90" s="444"/>
      <c r="BL90" s="446"/>
      <c r="BM90" s="446"/>
      <c r="CP90" s="444"/>
      <c r="CQ90" s="445"/>
      <c r="CR90" s="444"/>
      <c r="CS90" s="444"/>
      <c r="CT90" s="444"/>
      <c r="CU90" s="444"/>
      <c r="CV90" s="444"/>
      <c r="CW90" s="444"/>
      <c r="CX90" s="444"/>
      <c r="CY90" s="444"/>
      <c r="CZ90" s="444"/>
      <c r="DA90" s="444"/>
      <c r="DB90" s="444"/>
      <c r="DC90" s="444"/>
      <c r="DD90" s="444"/>
      <c r="DE90" s="444"/>
      <c r="DF90" s="448"/>
      <c r="DG90" s="444"/>
      <c r="DH90" s="444"/>
      <c r="DI90" s="444"/>
      <c r="DJ90" s="444"/>
      <c r="DK90" s="444"/>
      <c r="DL90" s="444"/>
      <c r="DM90" s="444"/>
      <c r="DN90" s="444"/>
      <c r="DO90" s="444"/>
      <c r="DP90" s="444"/>
      <c r="DQ90" s="446"/>
      <c r="DR90" s="446"/>
      <c r="DS90" s="446"/>
      <c r="DT90" s="446"/>
      <c r="DU90" s="446"/>
      <c r="DV90" s="446"/>
      <c r="DW90" s="445"/>
      <c r="DX90" s="47"/>
    </row>
    <row r="91" spans="60:128" x14ac:dyDescent="0.2">
      <c r="BH91" s="444"/>
      <c r="BI91" s="444"/>
      <c r="BJ91" s="444"/>
      <c r="BK91" s="444"/>
      <c r="BL91" s="446"/>
      <c r="BM91" s="446"/>
      <c r="CP91" s="444"/>
      <c r="CQ91" s="445"/>
      <c r="CR91" s="444"/>
      <c r="CS91" s="444"/>
      <c r="CT91" s="444"/>
      <c r="CU91" s="444"/>
      <c r="CV91" s="444"/>
      <c r="CW91" s="444"/>
      <c r="CX91" s="444"/>
      <c r="CY91" s="444"/>
      <c r="CZ91" s="444"/>
      <c r="DA91" s="444"/>
      <c r="DB91" s="444"/>
      <c r="DC91" s="444"/>
      <c r="DD91" s="444"/>
      <c r="DE91" s="444"/>
      <c r="DF91" s="448"/>
      <c r="DG91" s="444"/>
      <c r="DH91" s="444"/>
      <c r="DI91" s="444"/>
      <c r="DJ91" s="444"/>
      <c r="DK91" s="444"/>
      <c r="DL91" s="444"/>
      <c r="DM91" s="444"/>
      <c r="DN91" s="444"/>
      <c r="DO91" s="444"/>
      <c r="DP91" s="444"/>
      <c r="DQ91" s="446"/>
      <c r="DR91" s="446"/>
      <c r="DS91" s="446"/>
      <c r="DT91" s="446"/>
      <c r="DU91" s="446"/>
      <c r="DV91" s="446"/>
      <c r="DW91" s="445"/>
      <c r="DX91" s="47"/>
    </row>
    <row r="92" spans="60:128" x14ac:dyDescent="0.2">
      <c r="BH92" s="444"/>
      <c r="BI92" s="444"/>
      <c r="BJ92" s="444"/>
      <c r="BK92" s="444"/>
      <c r="BL92" s="449"/>
      <c r="BM92" s="449"/>
      <c r="CP92" s="444"/>
      <c r="CQ92" s="445"/>
      <c r="CR92" s="444"/>
      <c r="CS92" s="444"/>
      <c r="CT92" s="444"/>
      <c r="CU92" s="444"/>
      <c r="CV92" s="444"/>
      <c r="CW92" s="444"/>
      <c r="CX92" s="444"/>
      <c r="CY92" s="444"/>
      <c r="CZ92" s="444"/>
      <c r="DA92" s="444"/>
      <c r="DB92" s="444"/>
      <c r="DC92" s="444"/>
      <c r="DD92" s="444"/>
      <c r="DE92" s="444"/>
      <c r="DF92" s="448"/>
      <c r="DG92" s="444"/>
      <c r="DH92" s="444"/>
      <c r="DI92" s="444"/>
      <c r="DJ92" s="444"/>
      <c r="DK92" s="444"/>
      <c r="DL92" s="444"/>
      <c r="DM92" s="444"/>
      <c r="DN92" s="444"/>
      <c r="DO92" s="444"/>
      <c r="DP92" s="444"/>
      <c r="DQ92" s="449"/>
      <c r="DR92" s="449"/>
      <c r="DS92" s="449"/>
      <c r="DT92" s="449"/>
      <c r="DU92" s="449"/>
      <c r="DV92" s="449"/>
      <c r="DW92" s="445"/>
      <c r="DX92" s="47"/>
    </row>
    <row r="93" spans="60:128" x14ac:dyDescent="0.2">
      <c r="BH93" s="47"/>
      <c r="BI93" s="47"/>
      <c r="BJ93" s="47"/>
      <c r="BK93" s="47"/>
      <c r="BL93" s="47"/>
      <c r="BM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</row>
    <row r="94" spans="60:128" x14ac:dyDescent="0.2">
      <c r="BH94" s="444"/>
      <c r="BI94" s="444"/>
      <c r="BJ94" s="444"/>
      <c r="BK94" s="444"/>
      <c r="BL94" s="449"/>
      <c r="BM94" s="446"/>
      <c r="CP94" s="444"/>
      <c r="CQ94" s="445"/>
      <c r="CR94" s="450"/>
      <c r="CS94" s="444"/>
      <c r="CT94" s="444"/>
      <c r="CU94" s="444"/>
      <c r="CV94" s="444"/>
      <c r="CW94" s="444"/>
      <c r="CX94" s="444"/>
      <c r="CY94" s="444"/>
      <c r="CZ94" s="444"/>
      <c r="DA94" s="444"/>
      <c r="DB94" s="444"/>
      <c r="DC94" s="444"/>
      <c r="DD94" s="444"/>
      <c r="DE94" s="444"/>
      <c r="DF94" s="448"/>
      <c r="DG94" s="444"/>
      <c r="DH94" s="444"/>
      <c r="DI94" s="444"/>
      <c r="DJ94" s="444"/>
      <c r="DK94" s="444"/>
      <c r="DL94" s="444"/>
      <c r="DM94" s="444"/>
      <c r="DN94" s="444"/>
      <c r="DO94" s="444"/>
      <c r="DP94" s="444"/>
      <c r="DQ94" s="449"/>
      <c r="DR94" s="449"/>
      <c r="DS94" s="449"/>
      <c r="DT94" s="446"/>
      <c r="DU94" s="446"/>
      <c r="DV94" s="446"/>
      <c r="DW94" s="445"/>
      <c r="DX94" s="47"/>
    </row>
    <row r="95" spans="60:128" x14ac:dyDescent="0.2">
      <c r="BH95" s="444"/>
      <c r="BI95" s="444"/>
      <c r="BJ95" s="444"/>
      <c r="BK95" s="444"/>
      <c r="BL95" s="446"/>
      <c r="BM95" s="446"/>
      <c r="CP95" s="444"/>
      <c r="CQ95" s="445"/>
      <c r="CR95" s="444"/>
      <c r="CS95" s="444"/>
      <c r="CT95" s="444"/>
      <c r="CU95" s="444"/>
      <c r="CV95" s="444"/>
      <c r="CW95" s="444"/>
      <c r="CX95" s="444"/>
      <c r="CY95" s="444"/>
      <c r="CZ95" s="444"/>
      <c r="DA95" s="444"/>
      <c r="DB95" s="444"/>
      <c r="DC95" s="444"/>
      <c r="DD95" s="444"/>
      <c r="DE95" s="444"/>
      <c r="DF95" s="448"/>
      <c r="DG95" s="444"/>
      <c r="DH95" s="444"/>
      <c r="DI95" s="444"/>
      <c r="DJ95" s="444"/>
      <c r="DK95" s="444"/>
      <c r="DL95" s="444"/>
      <c r="DM95" s="444"/>
      <c r="DN95" s="444"/>
      <c r="DO95" s="444"/>
      <c r="DP95" s="444"/>
      <c r="DQ95" s="446"/>
      <c r="DR95" s="446"/>
      <c r="DS95" s="446"/>
      <c r="DT95" s="446"/>
      <c r="DU95" s="446"/>
      <c r="DV95" s="446"/>
      <c r="DW95" s="445"/>
      <c r="DX95" s="47"/>
    </row>
    <row r="96" spans="60:128" x14ac:dyDescent="0.2">
      <c r="BH96" s="444"/>
      <c r="BI96" s="444"/>
      <c r="BJ96" s="444"/>
      <c r="BK96" s="444"/>
      <c r="BL96" s="449"/>
      <c r="BM96" s="446"/>
      <c r="CP96" s="444"/>
      <c r="CQ96" s="445"/>
      <c r="CR96" s="444"/>
      <c r="CS96" s="444"/>
      <c r="CT96" s="444"/>
      <c r="CU96" s="444"/>
      <c r="CV96" s="444"/>
      <c r="CW96" s="444"/>
      <c r="CX96" s="444"/>
      <c r="CY96" s="444"/>
      <c r="CZ96" s="444"/>
      <c r="DA96" s="444"/>
      <c r="DB96" s="444"/>
      <c r="DC96" s="444"/>
      <c r="DD96" s="444"/>
      <c r="DE96" s="444"/>
      <c r="DF96" s="448"/>
      <c r="DG96" s="444"/>
      <c r="DH96" s="444"/>
      <c r="DI96" s="444"/>
      <c r="DJ96" s="444"/>
      <c r="DK96" s="444"/>
      <c r="DL96" s="444"/>
      <c r="DM96" s="444"/>
      <c r="DN96" s="444"/>
      <c r="DO96" s="444"/>
      <c r="DP96" s="444"/>
      <c r="DQ96" s="449"/>
      <c r="DR96" s="449"/>
      <c r="DS96" s="449"/>
      <c r="DT96" s="446"/>
      <c r="DU96" s="446"/>
      <c r="DV96" s="446"/>
      <c r="DW96" s="445"/>
      <c r="DX96" s="47"/>
    </row>
    <row r="97" spans="60:128" x14ac:dyDescent="0.2">
      <c r="BH97" s="47"/>
      <c r="BI97" s="47"/>
      <c r="BJ97" s="47"/>
      <c r="BK97" s="47"/>
      <c r="BL97" s="47"/>
      <c r="BM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</row>
    <row r="98" spans="60:128" x14ac:dyDescent="0.2">
      <c r="BH98" s="444"/>
      <c r="BI98" s="444"/>
      <c r="BJ98" s="444"/>
      <c r="BK98" s="444"/>
      <c r="BL98" s="449"/>
      <c r="BM98" s="449"/>
      <c r="CP98" s="444"/>
      <c r="CQ98" s="445"/>
      <c r="CR98" s="444"/>
      <c r="CS98" s="444"/>
      <c r="CT98" s="444"/>
      <c r="CU98" s="444"/>
      <c r="CV98" s="444"/>
      <c r="CW98" s="444"/>
      <c r="CX98" s="444"/>
      <c r="CY98" s="444"/>
      <c r="CZ98" s="444"/>
      <c r="DA98" s="444"/>
      <c r="DB98" s="444"/>
      <c r="DC98" s="444"/>
      <c r="DD98" s="444"/>
      <c r="DE98" s="444"/>
      <c r="DF98" s="448"/>
      <c r="DG98" s="444"/>
      <c r="DH98" s="444"/>
      <c r="DI98" s="444"/>
      <c r="DJ98" s="444"/>
      <c r="DK98" s="444"/>
      <c r="DL98" s="444"/>
      <c r="DM98" s="444"/>
      <c r="DN98" s="444"/>
      <c r="DO98" s="444"/>
      <c r="DP98" s="444"/>
      <c r="DQ98" s="449"/>
      <c r="DR98" s="449"/>
      <c r="DS98" s="449"/>
      <c r="DT98" s="449"/>
      <c r="DU98" s="449"/>
      <c r="DV98" s="449"/>
      <c r="DW98" s="445"/>
      <c r="DX98" s="47"/>
    </row>
    <row r="99" spans="60:128" x14ac:dyDescent="0.2">
      <c r="BH99" s="444"/>
      <c r="BI99" s="444"/>
      <c r="BJ99" s="444"/>
      <c r="BK99" s="444"/>
      <c r="BL99" s="446"/>
      <c r="BM99" s="449"/>
      <c r="CP99" s="444"/>
      <c r="CQ99" s="445"/>
      <c r="CR99" s="444"/>
      <c r="CS99" s="444"/>
      <c r="CT99" s="444"/>
      <c r="CU99" s="444"/>
      <c r="CV99" s="444"/>
      <c r="CW99" s="444"/>
      <c r="CX99" s="444"/>
      <c r="CY99" s="444"/>
      <c r="CZ99" s="444"/>
      <c r="DA99" s="444"/>
      <c r="DB99" s="444"/>
      <c r="DC99" s="444"/>
      <c r="DD99" s="444"/>
      <c r="DE99" s="444"/>
      <c r="DF99" s="448"/>
      <c r="DG99" s="444"/>
      <c r="DH99" s="444"/>
      <c r="DI99" s="444"/>
      <c r="DJ99" s="444"/>
      <c r="DK99" s="444"/>
      <c r="DL99" s="444"/>
      <c r="DM99" s="444"/>
      <c r="DN99" s="444"/>
      <c r="DO99" s="444"/>
      <c r="DP99" s="444"/>
      <c r="DQ99" s="446"/>
      <c r="DR99" s="446"/>
      <c r="DS99" s="446"/>
      <c r="DT99" s="449"/>
      <c r="DU99" s="449"/>
      <c r="DV99" s="449"/>
      <c r="DW99" s="445"/>
      <c r="DX99" s="47"/>
    </row>
    <row r="100" spans="60:128" x14ac:dyDescent="0.2">
      <c r="BH100" s="47"/>
      <c r="BI100" s="47"/>
      <c r="BJ100" s="47"/>
      <c r="BK100" s="47"/>
      <c r="BL100" s="47"/>
      <c r="BM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</row>
  </sheetData>
  <mergeCells count="4">
    <mergeCell ref="BO1:CO1"/>
    <mergeCell ref="CP1:DW1"/>
    <mergeCell ref="A1:AK1"/>
    <mergeCell ref="AL1:BN1"/>
  </mergeCells>
  <conditionalFormatting sqref="AQ5">
    <cfRule type="cellIs" dxfId="5" priority="8" operator="greaterThanOrEqual">
      <formula>120</formula>
    </cfRule>
  </conditionalFormatting>
  <conditionalFormatting sqref="CI48">
    <cfRule type="cellIs" dxfId="4" priority="7" operator="lessThan">
      <formula>3</formula>
    </cfRule>
  </conditionalFormatting>
  <conditionalFormatting sqref="CL48">
    <cfRule type="cellIs" dxfId="3" priority="6" operator="lessThan">
      <formula>2</formula>
    </cfRule>
  </conditionalFormatting>
  <conditionalFormatting sqref="DF63">
    <cfRule type="cellIs" dxfId="2" priority="5" operator="greaterThanOrEqual">
      <formula>120</formula>
    </cfRule>
  </conditionalFormatting>
  <conditionalFormatting sqref="DQ63">
    <cfRule type="cellIs" dxfId="1" priority="4" operator="lessThan">
      <formula>3</formula>
    </cfRule>
  </conditionalFormatting>
  <conditionalFormatting sqref="DT63">
    <cfRule type="cellIs" dxfId="0" priority="3" operator="lessThan">
      <formula>2</formula>
    </cfRule>
  </conditionalFormatting>
  <hyperlinks>
    <hyperlink ref="AN4" r:id="rId1" location="map=18/47.3885341/8.5390807" display="https://www.openstreetmap.org/ - map=18/47.3885341/8.5390807" xr:uid="{BBCAF8CB-1FCD-644E-B4BD-D1908EB7696D}"/>
    <hyperlink ref="AN7" r:id="rId2" location="map=18/47.3878681/8.5393942" display="https://www.openstreetmap.org/ - map=18/47.3878681/8.5393942" xr:uid="{915DF50D-DA02-8748-85A4-EBC651A87E30}"/>
    <hyperlink ref="AN10" r:id="rId3" location="map=18/47.3872753/8.5396198" display="https://www.openstreetmap.org/ - map=18/47.3872753/8.5396198" xr:uid="{FE93315A-7793-9C47-AC4D-6347B77CDBA1}"/>
    <hyperlink ref="AN12" r:id="rId4" location="map=18/47.3868140/8.5396821" display="https://www.openstreetmap.org/ - map=18/47.3868140/8.5396821" xr:uid="{829C1A9B-2578-2047-B95C-6B6EDF989924}"/>
    <hyperlink ref="AN46" r:id="rId5" location="map=18/47.3804656/8.5427518" display="https://www.openstreetmap.org/ - map=18/47.3804656/8.5427518" xr:uid="{0004E2CF-737B-E644-B82C-125ABB4C0D1C}"/>
    <hyperlink ref="AN45" r:id="rId6" location="map=18/47.3811938/8.5417831" display="https://www.openstreetmap.org/ - map=18/47.3811938/8.5417831" xr:uid="{77E27A45-A0BF-9240-913C-A049EAA45ED9}"/>
    <hyperlink ref="AN41" r:id="rId7" location="map=18/47.3813477/8.5421109" display="https://www.openstreetmap.org/ - map=18/47.3813477/8.5421109" xr:uid="{433E42CB-666C-E642-853E-884B369780FC}"/>
    <hyperlink ref="AN35" r:id="rId8" location="map=18/47.3822764/8.5417393" display="https://www.openstreetmap.org/ - map=18/47.3822764/8.5417393" xr:uid="{ADE98FC7-282C-E840-AAC3-603C9CF4BCBE}"/>
    <hyperlink ref="AN33" r:id="rId9" location="map=18/47.3828163/8.5414092" display="https://www.openstreetmap.org/ - map=18/47.3828163/8.5414092" xr:uid="{D2CA5E2F-4042-9943-A7EB-8065D94C7FE8}"/>
    <hyperlink ref="AN32" r:id="rId10" location="map=18/47.3833638/8.5409285" display="https://www.openstreetmap.org/ - map=18/47.3833638/8.5409285" xr:uid="{FFF9DB66-115E-5C42-995B-FB8E2C54E376}"/>
    <hyperlink ref="AN28" r:id="rId11" location="map=18/47.3838636/8.5404483" display="https://www.openstreetmap.org/ - map=18/47.3838636/8.5404483" xr:uid="{8BA21EB9-E192-2545-8A88-5004767087A8}"/>
    <hyperlink ref="AN23" r:id="rId12" location="map=18/47.3842761/8.5401011" display="https://www.openstreetmap.org/ - map=18/47.3842761/8.5401011" xr:uid="{A39FEC42-5A78-D74A-8D39-5BB2DA84B112}"/>
    <hyperlink ref="AN20" r:id="rId13" location="map=18/47.3852940/8.5398939" display="https://www.openstreetmap.org/ - map=18/47.3852940/8.5398939" xr:uid="{B8C88C75-7269-EC43-85E2-D6FC2942131A}"/>
    <hyperlink ref="AN15" r:id="rId14" location="map=18/47.3864168/8.5397404" display="https://www.openstreetmap.org/ - map=18/47.3864168/8.5397404" xr:uid="{72438279-8863-934F-8A5D-B8C6E1B6470C}"/>
    <hyperlink ref="AN49" r:id="rId15" location="map=18/47.3814588/8.5423925" display="https://www.openstreetmap.org/ - map=18/47.3814588/8.5423925" xr:uid="{53BCF997-C7FC-3044-8ADD-5C6FA68E217C}"/>
    <hyperlink ref="CR46" r:id="rId16" display="https://www.infra3d.ch/latest/?imageKey=ZGF0ZW5iYXNpc0BtZXRhX2NoX3p1ZXJpY2hfdjMvMTQ2NzQtMg==&amp;pointto=%7b%22type%22:%22panzoom%22,%22zoom%22:0.65,%22panX%22:18,%22panY%22:-11%7d" xr:uid="{546952E2-B553-9441-98AE-B6F44967EC59}"/>
    <hyperlink ref="CR41" r:id="rId17" display="https://www.infra3d.ch/latest/?imageKey=ZGF0ZW5iYXNpc0BtZXRhX2NoX3p1ZXJpY2hfdjMvMjExMDctMg==&amp;pointto=%7b%22type%22:%22panzoom%22,%22zoom%22:0.65,%22panX%22:117,%22panY%22:-26%7d" xr:uid="{332C9FEC-9458-D74B-80BF-61AAB997B382}"/>
    <hyperlink ref="CR45" r:id="rId18" display="https://www.infra3d.ch/latest/?imageKey=ZGF0ZW5iYXNpc0BtZXRhX2NoX3p1ZXJpY2hfdjMvMjc1MzAtMA==&amp;pointto=%7b%22type%22:%22pano%22,%22lat%22:-8,%22lon%22:-259,%22fov%22:70%7d" xr:uid="{DAF72B5C-F516-7E4F-A789-A30590203F61}"/>
    <hyperlink ref="AN24" r:id="rId19" location="map=18/47.3842761/8.5401011" display="https://www.openstreetmap.org/ - map=18/47.3842761/8.5401011" xr:uid="{6486EB91-32C0-5540-ABDE-B5870622089E}"/>
    <hyperlink ref="AN29" r:id="rId20" location="map=18/47.3838636/8.5404483" display="https://www.openstreetmap.org/ - map=18/47.3838636/8.5404483" xr:uid="{C7AD63CE-3FC9-CC41-BFD2-D575A9B305F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A5ABF-9A16-9D47-9B19-BB92F8C5C285}">
  <dimension ref="A1:M1326"/>
  <sheetViews>
    <sheetView topLeftCell="I1" workbookViewId="0">
      <pane ySplit="1" topLeftCell="A597" activePane="bottomLeft" state="frozen"/>
      <selection pane="bottomLeft" activeCell="L615" sqref="L615"/>
    </sheetView>
  </sheetViews>
  <sheetFormatPr baseColWidth="10" defaultColWidth="63.33203125" defaultRowHeight="15" x14ac:dyDescent="0.2"/>
  <cols>
    <col min="1" max="1" width="25.1640625" style="18" bestFit="1" customWidth="1"/>
    <col min="2" max="2" width="27.1640625" style="18" bestFit="1" customWidth="1"/>
    <col min="3" max="3" width="17.5" style="18" bestFit="1" customWidth="1"/>
    <col min="4" max="4" width="25.6640625" style="18" bestFit="1" customWidth="1"/>
    <col min="5" max="5" width="25.1640625" style="18" bestFit="1" customWidth="1"/>
    <col min="6" max="6" width="32.6640625" style="18" customWidth="1"/>
    <col min="7" max="7" width="7.5" style="18" customWidth="1"/>
    <col min="8" max="8" width="11.1640625" style="18" customWidth="1"/>
    <col min="9" max="10" width="13" style="40" bestFit="1" customWidth="1"/>
    <col min="11" max="11" width="15.83203125" style="18" customWidth="1"/>
    <col min="12" max="12" width="63.1640625" style="18" customWidth="1"/>
    <col min="13" max="16384" width="63.33203125" style="18"/>
  </cols>
  <sheetData>
    <row r="1" spans="1:13" ht="16" x14ac:dyDescent="0.2">
      <c r="A1" s="19" t="s">
        <v>0</v>
      </c>
      <c r="B1" s="19" t="s">
        <v>3765</v>
      </c>
      <c r="C1" s="19" t="s">
        <v>3766</v>
      </c>
      <c r="D1" s="19" t="s">
        <v>3767</v>
      </c>
      <c r="E1" s="19" t="s">
        <v>0</v>
      </c>
      <c r="F1" s="19" t="s">
        <v>3768</v>
      </c>
      <c r="G1" s="19" t="s">
        <v>3769</v>
      </c>
      <c r="H1" s="19" t="s">
        <v>3770</v>
      </c>
      <c r="I1" s="41" t="s">
        <v>13</v>
      </c>
      <c r="J1" s="38" t="s">
        <v>14</v>
      </c>
      <c r="K1" s="19" t="s">
        <v>15</v>
      </c>
      <c r="L1" s="16" t="s">
        <v>3771</v>
      </c>
    </row>
    <row r="2" spans="1:13" ht="20" x14ac:dyDescent="0.2">
      <c r="A2" s="20" t="s">
        <v>3772</v>
      </c>
      <c r="B2" s="20" t="s">
        <v>3773</v>
      </c>
      <c r="C2" s="20" t="s">
        <v>3774</v>
      </c>
      <c r="D2" s="20" t="s">
        <v>3775</v>
      </c>
      <c r="E2" s="20" t="s">
        <v>3776</v>
      </c>
      <c r="F2" s="20" t="s">
        <v>30</v>
      </c>
      <c r="G2" s="20" t="s">
        <v>3777</v>
      </c>
      <c r="H2" s="20" t="s">
        <v>6</v>
      </c>
      <c r="I2" s="39">
        <v>44722.612870856479</v>
      </c>
      <c r="J2" s="39">
        <v>44722.612870925928</v>
      </c>
      <c r="K2" s="20">
        <v>0</v>
      </c>
      <c r="L2" s="17" t="str">
        <f t="shared" ref="L2:L65" si="0">HYPERLINK("https://captureandgo.cloudlab.zhaw.ch"&amp;B2)</f>
        <v>https://captureandgo.cloudlab.zhaw.ch/uploads/image_9bb0a72b83.jpg</v>
      </c>
      <c r="M2" s="26"/>
    </row>
    <row r="3" spans="1:13" ht="16" x14ac:dyDescent="0.2">
      <c r="A3" s="20" t="s">
        <v>3778</v>
      </c>
      <c r="B3" s="20" t="s">
        <v>3779</v>
      </c>
      <c r="C3" s="20" t="s">
        <v>3774</v>
      </c>
      <c r="D3" s="20" t="s">
        <v>3780</v>
      </c>
      <c r="E3" s="20" t="s">
        <v>3781</v>
      </c>
      <c r="F3" s="20" t="s">
        <v>3782</v>
      </c>
      <c r="G3" s="20" t="s">
        <v>3777</v>
      </c>
      <c r="H3" s="20" t="s">
        <v>6</v>
      </c>
      <c r="I3" s="39">
        <v>44722.614549224534</v>
      </c>
      <c r="J3" s="39">
        <v>44722.614549282407</v>
      </c>
      <c r="K3" s="20">
        <v>0</v>
      </c>
      <c r="L3" s="17" t="str">
        <f t="shared" si="0"/>
        <v>https://captureandgo.cloudlab.zhaw.ch/uploads/image_7ca8b61f41.jpg</v>
      </c>
    </row>
    <row r="4" spans="1:13" ht="16" x14ac:dyDescent="0.2">
      <c r="A4" s="20" t="s">
        <v>3783</v>
      </c>
      <c r="B4" s="20" t="s">
        <v>3784</v>
      </c>
      <c r="C4" s="20" t="s">
        <v>3774</v>
      </c>
      <c r="D4" s="20" t="s">
        <v>3785</v>
      </c>
      <c r="E4" s="20" t="s">
        <v>3786</v>
      </c>
      <c r="F4" s="20" t="s">
        <v>40</v>
      </c>
      <c r="G4" s="20" t="s">
        <v>3777</v>
      </c>
      <c r="H4" s="20" t="s">
        <v>6</v>
      </c>
      <c r="I4" s="39">
        <v>44722.621779166664</v>
      </c>
      <c r="J4" s="39">
        <v>44722.621779212961</v>
      </c>
      <c r="K4" s="20">
        <v>0</v>
      </c>
      <c r="L4" s="17" t="str">
        <f t="shared" si="0"/>
        <v>https://captureandgo.cloudlab.zhaw.ch/uploads/image_9bf1894f17.jpg</v>
      </c>
    </row>
    <row r="5" spans="1:13" ht="16" x14ac:dyDescent="0.2">
      <c r="A5" s="20" t="s">
        <v>3787</v>
      </c>
      <c r="B5" s="20" t="s">
        <v>3788</v>
      </c>
      <c r="C5" s="20" t="s">
        <v>3774</v>
      </c>
      <c r="D5" s="20" t="s">
        <v>3789</v>
      </c>
      <c r="E5" s="20" t="s">
        <v>3790</v>
      </c>
      <c r="F5" s="20" t="s">
        <v>43</v>
      </c>
      <c r="G5" s="20" t="s">
        <v>3777</v>
      </c>
      <c r="H5" s="20" t="s">
        <v>6</v>
      </c>
      <c r="I5" s="39">
        <v>44722.626898518516</v>
      </c>
      <c r="J5" s="39">
        <v>44722.626898553244</v>
      </c>
      <c r="K5" s="20">
        <v>0</v>
      </c>
      <c r="L5" s="17" t="str">
        <f t="shared" si="0"/>
        <v>https://captureandgo.cloudlab.zhaw.ch/uploads/image_54fdcec3b6.jpg</v>
      </c>
    </row>
    <row r="6" spans="1:13" ht="16" x14ac:dyDescent="0.2">
      <c r="A6" s="20" t="s">
        <v>3791</v>
      </c>
      <c r="B6" s="20" t="s">
        <v>3792</v>
      </c>
      <c r="C6" s="20" t="s">
        <v>3774</v>
      </c>
      <c r="D6" s="20" t="s">
        <v>3793</v>
      </c>
      <c r="E6" s="20" t="s">
        <v>3794</v>
      </c>
      <c r="F6" s="20" t="s">
        <v>43</v>
      </c>
      <c r="G6" s="20" t="s">
        <v>3777</v>
      </c>
      <c r="H6" s="20" t="s">
        <v>6</v>
      </c>
      <c r="I6" s="39">
        <v>44722.627312604163</v>
      </c>
      <c r="J6" s="39">
        <v>44722.62731265046</v>
      </c>
      <c r="K6" s="20">
        <v>0</v>
      </c>
      <c r="L6" s="17" t="str">
        <f t="shared" si="0"/>
        <v>https://captureandgo.cloudlab.zhaw.ch/uploads/image_d2e1fb23a4.jpg</v>
      </c>
    </row>
    <row r="7" spans="1:13" ht="16" x14ac:dyDescent="0.2">
      <c r="A7" s="20" t="s">
        <v>3795</v>
      </c>
      <c r="B7" s="20" t="s">
        <v>3796</v>
      </c>
      <c r="C7" s="20" t="s">
        <v>3774</v>
      </c>
      <c r="D7" s="20" t="s">
        <v>3797</v>
      </c>
      <c r="E7" s="20" t="s">
        <v>3798</v>
      </c>
      <c r="F7" s="20" t="s">
        <v>43</v>
      </c>
      <c r="G7" s="20" t="s">
        <v>3777</v>
      </c>
      <c r="H7" s="20" t="s">
        <v>6</v>
      </c>
      <c r="I7" s="39">
        <v>44722.627364780092</v>
      </c>
      <c r="J7" s="39">
        <v>44722.627364814813</v>
      </c>
      <c r="K7" s="20">
        <v>0</v>
      </c>
      <c r="L7" s="17" t="str">
        <f t="shared" si="0"/>
        <v>https://captureandgo.cloudlab.zhaw.ch/uploads/image_b442596837.jpg</v>
      </c>
    </row>
    <row r="8" spans="1:13" ht="16" x14ac:dyDescent="0.2">
      <c r="A8" s="20" t="s">
        <v>3799</v>
      </c>
      <c r="B8" s="20" t="s">
        <v>3800</v>
      </c>
      <c r="C8" s="20" t="s">
        <v>3774</v>
      </c>
      <c r="D8" s="20" t="s">
        <v>3801</v>
      </c>
      <c r="E8" s="20" t="s">
        <v>3802</v>
      </c>
      <c r="F8" s="20" t="s">
        <v>47</v>
      </c>
      <c r="G8" s="20" t="s">
        <v>3777</v>
      </c>
      <c r="H8" s="20" t="s">
        <v>6</v>
      </c>
      <c r="I8" s="39">
        <v>44722.631202962963</v>
      </c>
      <c r="J8" s="39">
        <v>44722.631202997683</v>
      </c>
      <c r="K8" s="20">
        <v>0</v>
      </c>
      <c r="L8" s="17" t="str">
        <f t="shared" si="0"/>
        <v>https://captureandgo.cloudlab.zhaw.ch/uploads/image_f80a569732.jpg</v>
      </c>
    </row>
    <row r="9" spans="1:13" ht="16" x14ac:dyDescent="0.2">
      <c r="A9" s="20" t="s">
        <v>3803</v>
      </c>
      <c r="B9" s="20" t="s">
        <v>3804</v>
      </c>
      <c r="C9" s="20" t="s">
        <v>3774</v>
      </c>
      <c r="D9" s="20" t="s">
        <v>3805</v>
      </c>
      <c r="E9" s="20" t="s">
        <v>3806</v>
      </c>
      <c r="F9" s="20" t="s">
        <v>51</v>
      </c>
      <c r="G9" s="20" t="s">
        <v>3777</v>
      </c>
      <c r="H9" s="20" t="s">
        <v>6</v>
      </c>
      <c r="I9" s="39">
        <v>44722.633264502314</v>
      </c>
      <c r="J9" s="39">
        <v>44722.633264537035</v>
      </c>
      <c r="K9" s="20">
        <v>0</v>
      </c>
      <c r="L9" s="17" t="str">
        <f t="shared" si="0"/>
        <v>https://captureandgo.cloudlab.zhaw.ch/uploads/image_a84be3d520.jpg</v>
      </c>
    </row>
    <row r="10" spans="1:13" ht="16" x14ac:dyDescent="0.2">
      <c r="A10" s="20" t="s">
        <v>3807</v>
      </c>
      <c r="B10" s="20" t="s">
        <v>3808</v>
      </c>
      <c r="C10" s="20" t="s">
        <v>3774</v>
      </c>
      <c r="D10" s="20" t="s">
        <v>3809</v>
      </c>
      <c r="E10" s="20" t="s">
        <v>3810</v>
      </c>
      <c r="F10" s="20" t="s">
        <v>56</v>
      </c>
      <c r="G10" s="20" t="s">
        <v>3777</v>
      </c>
      <c r="H10" s="20" t="s">
        <v>6</v>
      </c>
      <c r="I10" s="39">
        <v>44722.635779039352</v>
      </c>
      <c r="J10" s="39">
        <v>44722.635779085649</v>
      </c>
      <c r="K10" s="20">
        <v>0</v>
      </c>
      <c r="L10" s="17" t="str">
        <f t="shared" si="0"/>
        <v>https://captureandgo.cloudlab.zhaw.ch/uploads/image_b89b10b22b.jpg</v>
      </c>
    </row>
    <row r="11" spans="1:13" ht="16" x14ac:dyDescent="0.2">
      <c r="A11" s="20" t="s">
        <v>3811</v>
      </c>
      <c r="B11" s="20" t="s">
        <v>3812</v>
      </c>
      <c r="C11" s="20" t="s">
        <v>3774</v>
      </c>
      <c r="D11" s="20" t="s">
        <v>3813</v>
      </c>
      <c r="E11" s="20" t="s">
        <v>3814</v>
      </c>
      <c r="F11" s="20" t="s">
        <v>60</v>
      </c>
      <c r="G11" s="20" t="s">
        <v>3777</v>
      </c>
      <c r="H11" s="20" t="s">
        <v>6</v>
      </c>
      <c r="I11" s="39">
        <v>44722.637287303238</v>
      </c>
      <c r="J11" s="39">
        <v>44722.637287337966</v>
      </c>
      <c r="K11" s="20">
        <v>0</v>
      </c>
      <c r="L11" s="17" t="str">
        <f t="shared" si="0"/>
        <v>https://captureandgo.cloudlab.zhaw.ch/uploads/image_72a0ffa662.jpg</v>
      </c>
    </row>
    <row r="12" spans="1:13" ht="16" x14ac:dyDescent="0.2">
      <c r="A12" s="20" t="s">
        <v>3815</v>
      </c>
      <c r="B12" s="20" t="s">
        <v>3816</v>
      </c>
      <c r="C12" s="20" t="s">
        <v>3774</v>
      </c>
      <c r="D12" s="20" t="s">
        <v>3817</v>
      </c>
      <c r="E12" s="20" t="s">
        <v>3818</v>
      </c>
      <c r="F12" s="20" t="s">
        <v>64</v>
      </c>
      <c r="G12" s="20" t="s">
        <v>3777</v>
      </c>
      <c r="H12" s="20" t="s">
        <v>6</v>
      </c>
      <c r="I12" s="39">
        <v>44722.639475694443</v>
      </c>
      <c r="J12" s="39">
        <v>44722.639475729164</v>
      </c>
      <c r="K12" s="20">
        <v>0</v>
      </c>
      <c r="L12" s="17" t="str">
        <f t="shared" si="0"/>
        <v>https://captureandgo.cloudlab.zhaw.ch/uploads/image_46da3a6436.jpg</v>
      </c>
    </row>
    <row r="13" spans="1:13" ht="16" x14ac:dyDescent="0.2">
      <c r="A13" s="20" t="s">
        <v>3819</v>
      </c>
      <c r="B13" s="20" t="s">
        <v>3820</v>
      </c>
      <c r="C13" s="20" t="s">
        <v>3774</v>
      </c>
      <c r="D13" s="20" t="s">
        <v>3821</v>
      </c>
      <c r="E13" s="20" t="s">
        <v>3822</v>
      </c>
      <c r="F13" s="20" t="s">
        <v>68</v>
      </c>
      <c r="G13" s="20" t="s">
        <v>3777</v>
      </c>
      <c r="H13" s="20" t="s">
        <v>6</v>
      </c>
      <c r="I13" s="39">
        <v>44722.645298750002</v>
      </c>
      <c r="J13" s="39">
        <v>44722.645298773146</v>
      </c>
      <c r="K13" s="20">
        <v>0</v>
      </c>
      <c r="L13" s="17" t="str">
        <f t="shared" si="0"/>
        <v>https://captureandgo.cloudlab.zhaw.ch/uploads/image_349d2dacb5.jpg</v>
      </c>
    </row>
    <row r="14" spans="1:13" ht="16" x14ac:dyDescent="0.2">
      <c r="A14" s="20" t="s">
        <v>3823</v>
      </c>
      <c r="B14" s="20" t="s">
        <v>3824</v>
      </c>
      <c r="C14" s="20" t="s">
        <v>3774</v>
      </c>
      <c r="D14" s="20" t="s">
        <v>3825</v>
      </c>
      <c r="E14" s="20" t="s">
        <v>3826</v>
      </c>
      <c r="F14" s="20" t="s">
        <v>72</v>
      </c>
      <c r="G14" s="20" t="s">
        <v>3777</v>
      </c>
      <c r="H14" s="20" t="s">
        <v>6</v>
      </c>
      <c r="I14" s="39">
        <v>44722.651475636572</v>
      </c>
      <c r="J14" s="39">
        <v>44722.651475671293</v>
      </c>
      <c r="K14" s="20">
        <v>0</v>
      </c>
      <c r="L14" s="17" t="str">
        <f t="shared" si="0"/>
        <v>https://captureandgo.cloudlab.zhaw.ch/uploads/image_066789b706.jpg</v>
      </c>
    </row>
    <row r="15" spans="1:13" ht="16" x14ac:dyDescent="0.2">
      <c r="A15" s="20" t="s">
        <v>3827</v>
      </c>
      <c r="B15" s="20" t="s">
        <v>3828</v>
      </c>
      <c r="C15" s="20" t="s">
        <v>3774</v>
      </c>
      <c r="D15" s="20" t="s">
        <v>3829</v>
      </c>
      <c r="E15" s="20" t="s">
        <v>3830</v>
      </c>
      <c r="F15" s="20" t="s">
        <v>76</v>
      </c>
      <c r="G15" s="20" t="s">
        <v>3777</v>
      </c>
      <c r="H15" s="20" t="s">
        <v>6</v>
      </c>
      <c r="I15" s="39">
        <v>44722.655304247688</v>
      </c>
      <c r="J15" s="39">
        <v>44722.655304293985</v>
      </c>
      <c r="K15" s="20">
        <v>0</v>
      </c>
      <c r="L15" s="17" t="str">
        <f t="shared" si="0"/>
        <v>https://captureandgo.cloudlab.zhaw.ch/uploads/image_4a664284f9.jpg</v>
      </c>
    </row>
    <row r="16" spans="1:13" ht="16" x14ac:dyDescent="0.2">
      <c r="A16" s="20" t="s">
        <v>3831</v>
      </c>
      <c r="B16" s="20" t="s">
        <v>3832</v>
      </c>
      <c r="C16" s="20" t="s">
        <v>3774</v>
      </c>
      <c r="D16" s="20" t="s">
        <v>3833</v>
      </c>
      <c r="E16" s="20" t="s">
        <v>3834</v>
      </c>
      <c r="F16" s="20" t="s">
        <v>79</v>
      </c>
      <c r="G16" s="20" t="s">
        <v>3777</v>
      </c>
      <c r="H16" s="20" t="s">
        <v>6</v>
      </c>
      <c r="I16" s="39">
        <v>44722.656636574073</v>
      </c>
      <c r="J16" s="39">
        <v>44722.656636597225</v>
      </c>
      <c r="K16" s="20">
        <v>0</v>
      </c>
      <c r="L16" s="17" t="str">
        <f t="shared" si="0"/>
        <v>https://captureandgo.cloudlab.zhaw.ch/uploads/image_42412724a3.jpg</v>
      </c>
    </row>
    <row r="17" spans="1:12" ht="16" x14ac:dyDescent="0.2">
      <c r="A17" s="20" t="s">
        <v>3835</v>
      </c>
      <c r="B17" s="20" t="s">
        <v>3836</v>
      </c>
      <c r="C17" s="20" t="s">
        <v>3774</v>
      </c>
      <c r="D17" s="20" t="s">
        <v>3837</v>
      </c>
      <c r="E17" s="20" t="s">
        <v>3838</v>
      </c>
      <c r="F17" s="20" t="s">
        <v>83</v>
      </c>
      <c r="G17" s="20" t="s">
        <v>3777</v>
      </c>
      <c r="H17" s="20" t="s">
        <v>6</v>
      </c>
      <c r="I17" s="39">
        <v>44722.658285289355</v>
      </c>
      <c r="J17" s="39">
        <v>44722.658285335645</v>
      </c>
      <c r="K17" s="20">
        <v>0</v>
      </c>
      <c r="L17" s="17" t="str">
        <f t="shared" si="0"/>
        <v>https://captureandgo.cloudlab.zhaw.ch/uploads/image_a887fcb055.jpg</v>
      </c>
    </row>
    <row r="18" spans="1:12" ht="16" x14ac:dyDescent="0.2">
      <c r="A18" s="20" t="s">
        <v>3839</v>
      </c>
      <c r="B18" s="20" t="s">
        <v>3840</v>
      </c>
      <c r="C18" s="20" t="s">
        <v>3774</v>
      </c>
      <c r="D18" s="20" t="s">
        <v>3841</v>
      </c>
      <c r="E18" s="20" t="s">
        <v>3842</v>
      </c>
      <c r="F18" s="20" t="s">
        <v>87</v>
      </c>
      <c r="G18" s="20" t="s">
        <v>3777</v>
      </c>
      <c r="H18" s="20" t="s">
        <v>6</v>
      </c>
      <c r="I18" s="39">
        <v>44722.660349606478</v>
      </c>
      <c r="J18" s="39">
        <v>44722.660349641206</v>
      </c>
      <c r="K18" s="20">
        <v>0</v>
      </c>
      <c r="L18" s="17" t="str">
        <f t="shared" si="0"/>
        <v>https://captureandgo.cloudlab.zhaw.ch/uploads/image_d473243d5e.jpg</v>
      </c>
    </row>
    <row r="19" spans="1:12" ht="16" x14ac:dyDescent="0.2">
      <c r="A19" s="20" t="s">
        <v>3843</v>
      </c>
      <c r="B19" s="20" t="s">
        <v>3844</v>
      </c>
      <c r="C19" s="20" t="s">
        <v>3774</v>
      </c>
      <c r="D19" s="20" t="s">
        <v>3845</v>
      </c>
      <c r="E19" s="20" t="s">
        <v>3846</v>
      </c>
      <c r="F19" s="20" t="s">
        <v>91</v>
      </c>
      <c r="G19" s="20" t="s">
        <v>3777</v>
      </c>
      <c r="H19" s="20" t="s">
        <v>6</v>
      </c>
      <c r="I19" s="39">
        <v>44722.664104340278</v>
      </c>
      <c r="J19" s="39">
        <v>44722.664104374999</v>
      </c>
      <c r="K19" s="20">
        <v>0</v>
      </c>
      <c r="L19" s="17" t="str">
        <f t="shared" si="0"/>
        <v>https://captureandgo.cloudlab.zhaw.ch/uploads/image_00c9f6d3ad.jpg</v>
      </c>
    </row>
    <row r="20" spans="1:12" ht="16" x14ac:dyDescent="0.2">
      <c r="A20" s="20" t="s">
        <v>3847</v>
      </c>
      <c r="B20" s="20" t="s">
        <v>3848</v>
      </c>
      <c r="C20" s="20" t="s">
        <v>3774</v>
      </c>
      <c r="D20" s="20" t="s">
        <v>3849</v>
      </c>
      <c r="E20" s="20" t="s">
        <v>3850</v>
      </c>
      <c r="F20" s="20" t="s">
        <v>91</v>
      </c>
      <c r="G20" s="20" t="s">
        <v>3777</v>
      </c>
      <c r="H20" s="20" t="s">
        <v>6</v>
      </c>
      <c r="I20" s="39">
        <v>44722.664318148149</v>
      </c>
      <c r="J20" s="39">
        <v>44722.664318171293</v>
      </c>
      <c r="K20" s="20">
        <v>0</v>
      </c>
      <c r="L20" s="17" t="str">
        <f t="shared" si="0"/>
        <v>https://captureandgo.cloudlab.zhaw.ch/uploads/image_3a6a3c84e7.jpg</v>
      </c>
    </row>
    <row r="21" spans="1:12" ht="16" x14ac:dyDescent="0.2">
      <c r="A21" s="20" t="s">
        <v>3851</v>
      </c>
      <c r="B21" s="20" t="s">
        <v>3852</v>
      </c>
      <c r="C21" s="20" t="s">
        <v>3774</v>
      </c>
      <c r="D21" s="20" t="s">
        <v>3853</v>
      </c>
      <c r="E21" s="20" t="s">
        <v>3854</v>
      </c>
      <c r="F21" s="20" t="s">
        <v>91</v>
      </c>
      <c r="G21" s="20" t="s">
        <v>3777</v>
      </c>
      <c r="H21" s="20" t="s">
        <v>6</v>
      </c>
      <c r="I21" s="39">
        <v>44722.66439125</v>
      </c>
      <c r="J21" s="39">
        <v>44722.664391273145</v>
      </c>
      <c r="K21" s="20">
        <v>0</v>
      </c>
      <c r="L21" s="17" t="str">
        <f t="shared" si="0"/>
        <v>https://captureandgo.cloudlab.zhaw.ch/uploads/image_a3e7accf1f.jpg</v>
      </c>
    </row>
    <row r="22" spans="1:12" ht="16" x14ac:dyDescent="0.2">
      <c r="A22" s="20" t="s">
        <v>3855</v>
      </c>
      <c r="B22" s="20" t="s">
        <v>3856</v>
      </c>
      <c r="C22" s="20" t="s">
        <v>3774</v>
      </c>
      <c r="D22" s="20" t="s">
        <v>3857</v>
      </c>
      <c r="E22" s="20" t="s">
        <v>3858</v>
      </c>
      <c r="F22" s="20" t="s">
        <v>94</v>
      </c>
      <c r="G22" s="20" t="s">
        <v>3777</v>
      </c>
      <c r="H22" s="20" t="s">
        <v>6</v>
      </c>
      <c r="I22" s="39">
        <v>44722.665554513886</v>
      </c>
      <c r="J22" s="39">
        <v>44722.665554537038</v>
      </c>
      <c r="K22" s="20">
        <v>0</v>
      </c>
      <c r="L22" s="17" t="str">
        <f t="shared" si="0"/>
        <v>https://captureandgo.cloudlab.zhaw.ch/uploads/image_675e0592f7.jpg</v>
      </c>
    </row>
    <row r="23" spans="1:12" ht="16" x14ac:dyDescent="0.2">
      <c r="A23" s="20" t="s">
        <v>3859</v>
      </c>
      <c r="B23" s="20" t="s">
        <v>3860</v>
      </c>
      <c r="C23" s="20" t="s">
        <v>3774</v>
      </c>
      <c r="D23" s="20" t="s">
        <v>3861</v>
      </c>
      <c r="E23" s="20" t="s">
        <v>3862</v>
      </c>
      <c r="F23" s="20" t="s">
        <v>97</v>
      </c>
      <c r="G23" s="20" t="s">
        <v>3777</v>
      </c>
      <c r="H23" s="20" t="s">
        <v>6</v>
      </c>
      <c r="I23" s="39">
        <v>44722.674123229168</v>
      </c>
      <c r="J23" s="39">
        <v>44722.674123263889</v>
      </c>
      <c r="K23" s="20">
        <v>0</v>
      </c>
      <c r="L23" s="17" t="str">
        <f t="shared" si="0"/>
        <v>https://captureandgo.cloudlab.zhaw.ch/uploads/image_cefb1ee2ed.jpg</v>
      </c>
    </row>
    <row r="24" spans="1:12" ht="16" x14ac:dyDescent="0.2">
      <c r="A24" s="20" t="s">
        <v>3863</v>
      </c>
      <c r="B24" s="20" t="s">
        <v>3864</v>
      </c>
      <c r="C24" s="20" t="s">
        <v>3774</v>
      </c>
      <c r="D24" s="20" t="s">
        <v>3865</v>
      </c>
      <c r="E24" s="20" t="s">
        <v>3866</v>
      </c>
      <c r="F24" s="20" t="s">
        <v>102</v>
      </c>
      <c r="G24" s="20" t="s">
        <v>3777</v>
      </c>
      <c r="H24" s="20" t="s">
        <v>6</v>
      </c>
      <c r="I24" s="39">
        <v>44722.679674837964</v>
      </c>
      <c r="J24" s="39">
        <v>44722.679674884261</v>
      </c>
      <c r="K24" s="20">
        <v>0</v>
      </c>
      <c r="L24" s="17" t="str">
        <f t="shared" si="0"/>
        <v>https://captureandgo.cloudlab.zhaw.ch/uploads/image_eff5c5269f.jpg</v>
      </c>
    </row>
    <row r="25" spans="1:12" ht="16" x14ac:dyDescent="0.2">
      <c r="A25" s="20" t="s">
        <v>3867</v>
      </c>
      <c r="B25" s="20" t="s">
        <v>3868</v>
      </c>
      <c r="C25" s="20" t="s">
        <v>3774</v>
      </c>
      <c r="D25" s="20" t="s">
        <v>3869</v>
      </c>
      <c r="E25" s="20" t="s">
        <v>3870</v>
      </c>
      <c r="F25" s="20" t="s">
        <v>105</v>
      </c>
      <c r="G25" s="20" t="s">
        <v>3777</v>
      </c>
      <c r="H25" s="20" t="s">
        <v>6</v>
      </c>
      <c r="I25" s="39">
        <v>44722.686707962966</v>
      </c>
      <c r="J25" s="39">
        <v>44722.686708009256</v>
      </c>
      <c r="K25" s="20">
        <v>0</v>
      </c>
      <c r="L25" s="17" t="str">
        <f t="shared" si="0"/>
        <v>https://captureandgo.cloudlab.zhaw.ch/uploads/image_c99d485fbc.jpg</v>
      </c>
    </row>
    <row r="26" spans="1:12" ht="16" x14ac:dyDescent="0.2">
      <c r="A26" s="20" t="s">
        <v>3871</v>
      </c>
      <c r="B26" s="20" t="s">
        <v>3872</v>
      </c>
      <c r="C26" s="20" t="s">
        <v>3774</v>
      </c>
      <c r="D26" s="20" t="s">
        <v>3873</v>
      </c>
      <c r="E26" s="20" t="s">
        <v>3874</v>
      </c>
      <c r="F26" s="20" t="s">
        <v>111</v>
      </c>
      <c r="G26" s="20" t="s">
        <v>3777</v>
      </c>
      <c r="H26" s="20" t="s">
        <v>6</v>
      </c>
      <c r="I26" s="39">
        <v>44725.660788310182</v>
      </c>
      <c r="J26" s="39">
        <v>44725.660788379631</v>
      </c>
      <c r="K26" s="20">
        <v>0</v>
      </c>
      <c r="L26" s="17" t="str">
        <f t="shared" si="0"/>
        <v>https://captureandgo.cloudlab.zhaw.ch/uploads/image_fab5f899eb.jpg</v>
      </c>
    </row>
    <row r="27" spans="1:12" ht="16" x14ac:dyDescent="0.2">
      <c r="A27" s="20" t="s">
        <v>3875</v>
      </c>
      <c r="B27" s="20" t="s">
        <v>3876</v>
      </c>
      <c r="C27" s="20" t="s">
        <v>3774</v>
      </c>
      <c r="D27" s="20" t="s">
        <v>3877</v>
      </c>
      <c r="E27" s="20" t="s">
        <v>3878</v>
      </c>
      <c r="F27" s="20" t="s">
        <v>3879</v>
      </c>
      <c r="G27" s="20" t="s">
        <v>3777</v>
      </c>
      <c r="H27" s="20" t="s">
        <v>6</v>
      </c>
      <c r="I27" s="39">
        <v>44725.661502384261</v>
      </c>
      <c r="J27" s="39">
        <v>44725.661502430557</v>
      </c>
      <c r="K27" s="20">
        <v>0</v>
      </c>
      <c r="L27" s="17" t="str">
        <f t="shared" si="0"/>
        <v>https://captureandgo.cloudlab.zhaw.ch/uploads/image_c8f988be2a.jpg</v>
      </c>
    </row>
    <row r="28" spans="1:12" ht="16" x14ac:dyDescent="0.2">
      <c r="A28" s="20" t="s">
        <v>3880</v>
      </c>
      <c r="B28" s="20" t="s">
        <v>3881</v>
      </c>
      <c r="C28" s="20" t="s">
        <v>3774</v>
      </c>
      <c r="D28" s="20" t="s">
        <v>3882</v>
      </c>
      <c r="E28" s="20" t="s">
        <v>3883</v>
      </c>
      <c r="F28" s="20" t="s">
        <v>116</v>
      </c>
      <c r="G28" s="20" t="s">
        <v>3777</v>
      </c>
      <c r="H28" s="20" t="s">
        <v>6</v>
      </c>
      <c r="I28" s="39">
        <v>44725.662521435188</v>
      </c>
      <c r="J28" s="39">
        <v>44725.662521481485</v>
      </c>
      <c r="K28" s="20">
        <v>0</v>
      </c>
      <c r="L28" s="17" t="str">
        <f t="shared" si="0"/>
        <v>https://captureandgo.cloudlab.zhaw.ch/uploads/image_cdbcb30da0.jpg</v>
      </c>
    </row>
    <row r="29" spans="1:12" ht="16" x14ac:dyDescent="0.2">
      <c r="A29" s="20" t="s">
        <v>3884</v>
      </c>
      <c r="B29" s="20" t="s">
        <v>3885</v>
      </c>
      <c r="C29" s="20" t="s">
        <v>3774</v>
      </c>
      <c r="D29" s="20" t="s">
        <v>3886</v>
      </c>
      <c r="E29" s="20" t="s">
        <v>3887</v>
      </c>
      <c r="F29" s="20" t="s">
        <v>3888</v>
      </c>
      <c r="G29" s="20" t="s">
        <v>3777</v>
      </c>
      <c r="H29" s="20" t="s">
        <v>6</v>
      </c>
      <c r="I29" s="39">
        <v>44725.663272280093</v>
      </c>
      <c r="J29" s="39">
        <v>44725.663272314814</v>
      </c>
      <c r="K29" s="20">
        <v>0</v>
      </c>
      <c r="L29" s="17" t="str">
        <f t="shared" si="0"/>
        <v>https://captureandgo.cloudlab.zhaw.ch/uploads/image_2d318ba97d.jpg</v>
      </c>
    </row>
    <row r="30" spans="1:12" ht="16" x14ac:dyDescent="0.2">
      <c r="A30" s="20" t="s">
        <v>3889</v>
      </c>
      <c r="B30" s="20" t="s">
        <v>3890</v>
      </c>
      <c r="C30" s="20" t="s">
        <v>3774</v>
      </c>
      <c r="D30" s="20" t="s">
        <v>3891</v>
      </c>
      <c r="E30" s="20" t="s">
        <v>3892</v>
      </c>
      <c r="F30" s="20" t="s">
        <v>120</v>
      </c>
      <c r="G30" s="20" t="s">
        <v>3777</v>
      </c>
      <c r="H30" s="20" t="s">
        <v>6</v>
      </c>
      <c r="I30" s="39">
        <v>44725.665988726854</v>
      </c>
      <c r="J30" s="39">
        <v>44725.665988761575</v>
      </c>
      <c r="K30" s="20">
        <v>0</v>
      </c>
      <c r="L30" s="17" t="str">
        <f t="shared" si="0"/>
        <v>https://captureandgo.cloudlab.zhaw.ch/uploads/image_7db5bb5de1.jpg</v>
      </c>
    </row>
    <row r="31" spans="1:12" ht="16" x14ac:dyDescent="0.2">
      <c r="A31" s="20" t="s">
        <v>3893</v>
      </c>
      <c r="B31" s="20" t="s">
        <v>3894</v>
      </c>
      <c r="C31" s="20" t="s">
        <v>3774</v>
      </c>
      <c r="D31" s="20" t="s">
        <v>3895</v>
      </c>
      <c r="E31" s="20" t="s">
        <v>3896</v>
      </c>
      <c r="F31" s="20" t="s">
        <v>3897</v>
      </c>
      <c r="G31" s="20" t="s">
        <v>3777</v>
      </c>
      <c r="H31" s="20" t="s">
        <v>6</v>
      </c>
      <c r="I31" s="39">
        <v>44725.667062870372</v>
      </c>
      <c r="J31" s="39">
        <v>44725.667062905093</v>
      </c>
      <c r="K31" s="20">
        <v>0</v>
      </c>
      <c r="L31" s="17" t="str">
        <f t="shared" si="0"/>
        <v>https://captureandgo.cloudlab.zhaw.ch/uploads/image_08cb888b47.jpg</v>
      </c>
    </row>
    <row r="32" spans="1:12" ht="16" x14ac:dyDescent="0.2">
      <c r="A32" s="20" t="s">
        <v>3898</v>
      </c>
      <c r="B32" s="20" t="s">
        <v>3899</v>
      </c>
      <c r="C32" s="20" t="s">
        <v>3774</v>
      </c>
      <c r="D32" s="20" t="s">
        <v>3900</v>
      </c>
      <c r="E32" s="20" t="s">
        <v>3901</v>
      </c>
      <c r="F32" s="20" t="s">
        <v>3902</v>
      </c>
      <c r="G32" s="20" t="s">
        <v>3777</v>
      </c>
      <c r="H32" s="20" t="s">
        <v>6</v>
      </c>
      <c r="I32" s="39">
        <v>44725.671022407405</v>
      </c>
      <c r="J32" s="39">
        <v>44725.671022465278</v>
      </c>
      <c r="K32" s="20">
        <v>0</v>
      </c>
      <c r="L32" s="17" t="str">
        <f t="shared" si="0"/>
        <v>https://captureandgo.cloudlab.zhaw.ch/uploads/image_889d7fc812.jpg</v>
      </c>
    </row>
    <row r="33" spans="1:12" ht="16" x14ac:dyDescent="0.2">
      <c r="A33" s="20" t="s">
        <v>3903</v>
      </c>
      <c r="B33" s="20" t="s">
        <v>3904</v>
      </c>
      <c r="C33" s="20" t="s">
        <v>3774</v>
      </c>
      <c r="D33" s="20" t="s">
        <v>3905</v>
      </c>
      <c r="E33" s="20" t="s">
        <v>3906</v>
      </c>
      <c r="F33" s="20" t="s">
        <v>126</v>
      </c>
      <c r="G33" s="20" t="s">
        <v>3777</v>
      </c>
      <c r="H33" s="20" t="s">
        <v>6</v>
      </c>
      <c r="I33" s="39">
        <v>44725.671198067132</v>
      </c>
      <c r="J33" s="39">
        <v>44725.671198101852</v>
      </c>
      <c r="K33" s="20">
        <v>0</v>
      </c>
      <c r="L33" s="17" t="str">
        <f t="shared" si="0"/>
        <v>https://captureandgo.cloudlab.zhaw.ch/uploads/image_37fbf7ac3c.jpg</v>
      </c>
    </row>
    <row r="34" spans="1:12" ht="16" x14ac:dyDescent="0.2">
      <c r="A34" s="20" t="s">
        <v>3907</v>
      </c>
      <c r="B34" s="20" t="s">
        <v>3908</v>
      </c>
      <c r="C34" s="20" t="s">
        <v>3774</v>
      </c>
      <c r="D34" s="20" t="s">
        <v>3909</v>
      </c>
      <c r="E34" s="20" t="s">
        <v>3910</v>
      </c>
      <c r="F34" s="20" t="s">
        <v>129</v>
      </c>
      <c r="G34" s="20" t="s">
        <v>3777</v>
      </c>
      <c r="H34" s="20" t="s">
        <v>6</v>
      </c>
      <c r="I34" s="39">
        <v>44725.673855532405</v>
      </c>
      <c r="J34" s="39">
        <v>44725.673855578701</v>
      </c>
      <c r="K34" s="20">
        <v>0</v>
      </c>
      <c r="L34" s="17" t="str">
        <f t="shared" si="0"/>
        <v>https://captureandgo.cloudlab.zhaw.ch/uploads/image_79d75f713b.jpg</v>
      </c>
    </row>
    <row r="35" spans="1:12" ht="16" x14ac:dyDescent="0.2">
      <c r="A35" s="20" t="s">
        <v>3911</v>
      </c>
      <c r="B35" s="20" t="s">
        <v>3912</v>
      </c>
      <c r="C35" s="20" t="s">
        <v>3774</v>
      </c>
      <c r="D35" s="20" t="s">
        <v>3913</v>
      </c>
      <c r="E35" s="20" t="s">
        <v>3914</v>
      </c>
      <c r="F35" s="20" t="s">
        <v>132</v>
      </c>
      <c r="G35" s="20" t="s">
        <v>3777</v>
      </c>
      <c r="H35" s="20" t="s">
        <v>6</v>
      </c>
      <c r="I35" s="39">
        <v>44725.677397847219</v>
      </c>
      <c r="J35" s="39">
        <v>44725.677397881947</v>
      </c>
      <c r="K35" s="20">
        <v>0</v>
      </c>
      <c r="L35" s="17" t="str">
        <f t="shared" si="0"/>
        <v>https://captureandgo.cloudlab.zhaw.ch/uploads/image_70df7c4951.jpg</v>
      </c>
    </row>
    <row r="36" spans="1:12" ht="16" x14ac:dyDescent="0.2">
      <c r="A36" s="20" t="s">
        <v>3915</v>
      </c>
      <c r="B36" s="20" t="s">
        <v>3916</v>
      </c>
      <c r="C36" s="20" t="s">
        <v>3774</v>
      </c>
      <c r="D36" s="20" t="s">
        <v>3917</v>
      </c>
      <c r="E36" s="20" t="s">
        <v>3918</v>
      </c>
      <c r="F36" s="20" t="s">
        <v>136</v>
      </c>
      <c r="G36" s="20" t="s">
        <v>3777</v>
      </c>
      <c r="H36" s="20" t="s">
        <v>6</v>
      </c>
      <c r="I36" s="39">
        <v>44725.678144108795</v>
      </c>
      <c r="J36" s="39">
        <v>44725.678144155092</v>
      </c>
      <c r="K36" s="20">
        <v>0</v>
      </c>
      <c r="L36" s="17" t="str">
        <f t="shared" si="0"/>
        <v>https://captureandgo.cloudlab.zhaw.ch/uploads/image_6e622dc13d.jpg</v>
      </c>
    </row>
    <row r="37" spans="1:12" ht="16" x14ac:dyDescent="0.2">
      <c r="A37" s="20" t="s">
        <v>3919</v>
      </c>
      <c r="B37" s="20" t="s">
        <v>3920</v>
      </c>
      <c r="C37" s="20" t="s">
        <v>3774</v>
      </c>
      <c r="D37" s="20" t="s">
        <v>3921</v>
      </c>
      <c r="E37" s="20" t="s">
        <v>3922</v>
      </c>
      <c r="F37" s="20" t="s">
        <v>139</v>
      </c>
      <c r="G37" s="20" t="s">
        <v>3777</v>
      </c>
      <c r="H37" s="20" t="s">
        <v>6</v>
      </c>
      <c r="I37" s="39">
        <v>44725.679288749998</v>
      </c>
      <c r="J37" s="39">
        <v>44725.679288796295</v>
      </c>
      <c r="K37" s="20">
        <v>0</v>
      </c>
      <c r="L37" s="17" t="str">
        <f t="shared" si="0"/>
        <v>https://captureandgo.cloudlab.zhaw.ch/uploads/image_d8c70e3094.jpg</v>
      </c>
    </row>
    <row r="38" spans="1:12" ht="16" x14ac:dyDescent="0.2">
      <c r="A38" s="20" t="s">
        <v>3923</v>
      </c>
      <c r="B38" s="20" t="s">
        <v>3924</v>
      </c>
      <c r="C38" s="20" t="s">
        <v>3774</v>
      </c>
      <c r="D38" s="20" t="s">
        <v>3925</v>
      </c>
      <c r="E38" s="20" t="s">
        <v>3926</v>
      </c>
      <c r="F38" s="20" t="s">
        <v>142</v>
      </c>
      <c r="G38" s="20" t="s">
        <v>3777</v>
      </c>
      <c r="H38" s="20" t="s">
        <v>6</v>
      </c>
      <c r="I38" s="39">
        <v>44725.680142962963</v>
      </c>
      <c r="J38" s="39">
        <v>44725.680142997684</v>
      </c>
      <c r="K38" s="20">
        <v>0</v>
      </c>
      <c r="L38" s="17" t="str">
        <f t="shared" si="0"/>
        <v>https://captureandgo.cloudlab.zhaw.ch/uploads/image_d09e469fc7.jpg</v>
      </c>
    </row>
    <row r="39" spans="1:12" ht="16" x14ac:dyDescent="0.2">
      <c r="A39" s="20" t="s">
        <v>3927</v>
      </c>
      <c r="B39" s="20" t="s">
        <v>3928</v>
      </c>
      <c r="C39" s="20" t="s">
        <v>3774</v>
      </c>
      <c r="D39" s="20" t="s">
        <v>3929</v>
      </c>
      <c r="E39" s="20" t="s">
        <v>3930</v>
      </c>
      <c r="F39" s="20" t="s">
        <v>145</v>
      </c>
      <c r="G39" s="20" t="s">
        <v>3777</v>
      </c>
      <c r="H39" s="20" t="s">
        <v>6</v>
      </c>
      <c r="I39" s="39">
        <v>44725.682584305556</v>
      </c>
      <c r="J39" s="39">
        <v>44725.682584340277</v>
      </c>
      <c r="K39" s="20">
        <v>0</v>
      </c>
      <c r="L39" s="17" t="str">
        <f t="shared" si="0"/>
        <v>https://captureandgo.cloudlab.zhaw.ch/uploads/image_c98bbdb195.jpg</v>
      </c>
    </row>
    <row r="40" spans="1:12" ht="16" x14ac:dyDescent="0.2">
      <c r="A40" s="20" t="s">
        <v>3931</v>
      </c>
      <c r="B40" s="20" t="s">
        <v>3932</v>
      </c>
      <c r="C40" s="20" t="s">
        <v>3774</v>
      </c>
      <c r="D40" s="20" t="s">
        <v>3933</v>
      </c>
      <c r="E40" s="20" t="s">
        <v>3934</v>
      </c>
      <c r="F40" s="20" t="s">
        <v>151</v>
      </c>
      <c r="G40" s="20" t="s">
        <v>3777</v>
      </c>
      <c r="H40" s="20" t="s">
        <v>6</v>
      </c>
      <c r="I40" s="39">
        <v>44725.685427048615</v>
      </c>
      <c r="J40" s="39">
        <v>44725.68542710648</v>
      </c>
      <c r="K40" s="20">
        <v>0</v>
      </c>
      <c r="L40" s="17" t="str">
        <f t="shared" si="0"/>
        <v>https://captureandgo.cloudlab.zhaw.ch/uploads/image_5c8d7a529e.jpg</v>
      </c>
    </row>
    <row r="41" spans="1:12" ht="16" x14ac:dyDescent="0.2">
      <c r="A41" s="20" t="s">
        <v>3935</v>
      </c>
      <c r="B41" s="20" t="s">
        <v>3936</v>
      </c>
      <c r="C41" s="20" t="s">
        <v>3774</v>
      </c>
      <c r="D41" s="20" t="s">
        <v>3937</v>
      </c>
      <c r="E41" s="20" t="s">
        <v>3938</v>
      </c>
      <c r="F41" s="20" t="s">
        <v>154</v>
      </c>
      <c r="G41" s="20" t="s">
        <v>3777</v>
      </c>
      <c r="H41" s="20" t="s">
        <v>6</v>
      </c>
      <c r="I41" s="39">
        <v>44725.685818206017</v>
      </c>
      <c r="J41" s="39">
        <v>44725.685818240738</v>
      </c>
      <c r="K41" s="20">
        <v>0</v>
      </c>
      <c r="L41" s="17" t="str">
        <f t="shared" si="0"/>
        <v>https://captureandgo.cloudlab.zhaw.ch/uploads/image_9c168e3d54.jpg</v>
      </c>
    </row>
    <row r="42" spans="1:12" ht="16" x14ac:dyDescent="0.2">
      <c r="A42" s="20" t="s">
        <v>3939</v>
      </c>
      <c r="B42" s="20" t="s">
        <v>3940</v>
      </c>
      <c r="C42" s="20" t="s">
        <v>3774</v>
      </c>
      <c r="D42" s="20" t="s">
        <v>3941</v>
      </c>
      <c r="E42" s="20" t="s">
        <v>3942</v>
      </c>
      <c r="F42" s="20" t="s">
        <v>154</v>
      </c>
      <c r="G42" s="20" t="s">
        <v>3777</v>
      </c>
      <c r="H42" s="20" t="s">
        <v>6</v>
      </c>
      <c r="I42" s="39">
        <v>44725.686064293979</v>
      </c>
      <c r="J42" s="39">
        <v>44725.686064328707</v>
      </c>
      <c r="K42" s="20">
        <v>0</v>
      </c>
      <c r="L42" s="17" t="str">
        <f t="shared" si="0"/>
        <v>https://captureandgo.cloudlab.zhaw.ch/uploads/image_ba15c251dc.jpg</v>
      </c>
    </row>
    <row r="43" spans="1:12" ht="16" x14ac:dyDescent="0.2">
      <c r="A43" s="20" t="s">
        <v>3943</v>
      </c>
      <c r="B43" s="20" t="s">
        <v>3944</v>
      </c>
      <c r="C43" s="20" t="s">
        <v>3774</v>
      </c>
      <c r="D43" s="20" t="s">
        <v>3945</v>
      </c>
      <c r="E43" s="20" t="s">
        <v>3946</v>
      </c>
      <c r="F43" s="20" t="s">
        <v>154</v>
      </c>
      <c r="G43" s="20" t="s">
        <v>3777</v>
      </c>
      <c r="H43" s="20" t="s">
        <v>6</v>
      </c>
      <c r="I43" s="39">
        <v>44725.68675818287</v>
      </c>
      <c r="J43" s="39">
        <v>44725.68675828704</v>
      </c>
      <c r="K43" s="20">
        <v>0</v>
      </c>
      <c r="L43" s="17" t="str">
        <f t="shared" si="0"/>
        <v>https://captureandgo.cloudlab.zhaw.ch/uploads/image_b0abf4778b.jpg</v>
      </c>
    </row>
    <row r="44" spans="1:12" ht="16" x14ac:dyDescent="0.2">
      <c r="A44" s="20" t="s">
        <v>3947</v>
      </c>
      <c r="B44" s="20" t="s">
        <v>3948</v>
      </c>
      <c r="C44" s="20" t="s">
        <v>3774</v>
      </c>
      <c r="D44" s="20" t="s">
        <v>3949</v>
      </c>
      <c r="E44" s="20" t="s">
        <v>3950</v>
      </c>
      <c r="F44" s="20" t="s">
        <v>154</v>
      </c>
      <c r="G44" s="20" t="s">
        <v>3777</v>
      </c>
      <c r="H44" s="20" t="s">
        <v>6</v>
      </c>
      <c r="I44" s="39">
        <v>44725.686758460652</v>
      </c>
      <c r="J44" s="39">
        <v>44725.686758541669</v>
      </c>
      <c r="K44" s="20">
        <v>0</v>
      </c>
      <c r="L44" s="17" t="str">
        <f t="shared" si="0"/>
        <v>https://captureandgo.cloudlab.zhaw.ch/uploads/image_c5b3711126.jpg</v>
      </c>
    </row>
    <row r="45" spans="1:12" ht="16" x14ac:dyDescent="0.2">
      <c r="A45" s="20" t="s">
        <v>3951</v>
      </c>
      <c r="B45" s="20" t="s">
        <v>3952</v>
      </c>
      <c r="C45" s="20" t="s">
        <v>3774</v>
      </c>
      <c r="D45" s="20" t="s">
        <v>3953</v>
      </c>
      <c r="E45" s="20" t="s">
        <v>3954</v>
      </c>
      <c r="F45" s="20" t="s">
        <v>154</v>
      </c>
      <c r="G45" s="20" t="s">
        <v>3777</v>
      </c>
      <c r="H45" s="20" t="s">
        <v>6</v>
      </c>
      <c r="I45" s="39">
        <v>44725.68675847222</v>
      </c>
      <c r="J45" s="39">
        <v>44725.686758553238</v>
      </c>
      <c r="K45" s="20">
        <v>0</v>
      </c>
      <c r="L45" s="17" t="str">
        <f t="shared" si="0"/>
        <v>https://captureandgo.cloudlab.zhaw.ch/uploads/image_1b1e235937.jpg</v>
      </c>
    </row>
    <row r="46" spans="1:12" ht="16" x14ac:dyDescent="0.2">
      <c r="A46" s="20" t="s">
        <v>3955</v>
      </c>
      <c r="B46" s="20" t="s">
        <v>3956</v>
      </c>
      <c r="C46" s="20" t="s">
        <v>3774</v>
      </c>
      <c r="D46" s="20" t="s">
        <v>3957</v>
      </c>
      <c r="E46" s="20" t="s">
        <v>3958</v>
      </c>
      <c r="F46" s="20" t="s">
        <v>154</v>
      </c>
      <c r="G46" s="20" t="s">
        <v>3777</v>
      </c>
      <c r="H46" s="20" t="s">
        <v>6</v>
      </c>
      <c r="I46" s="39">
        <v>44725.686758483796</v>
      </c>
      <c r="J46" s="39">
        <v>44725.686758564814</v>
      </c>
      <c r="K46" s="20">
        <v>0</v>
      </c>
      <c r="L46" s="17" t="str">
        <f t="shared" si="0"/>
        <v>https://captureandgo.cloudlab.zhaw.ch/uploads/image_1bef6e46d6.jpg</v>
      </c>
    </row>
    <row r="47" spans="1:12" ht="16" x14ac:dyDescent="0.2">
      <c r="A47" s="20" t="s">
        <v>3959</v>
      </c>
      <c r="B47" s="20" t="s">
        <v>3960</v>
      </c>
      <c r="C47" s="20" t="s">
        <v>3774</v>
      </c>
      <c r="D47" s="20" t="s">
        <v>3961</v>
      </c>
      <c r="E47" s="20" t="s">
        <v>3962</v>
      </c>
      <c r="F47" s="20" t="s">
        <v>158</v>
      </c>
      <c r="G47" s="20" t="s">
        <v>3777</v>
      </c>
      <c r="H47" s="20" t="s">
        <v>6</v>
      </c>
      <c r="I47" s="39">
        <v>44725.690650775461</v>
      </c>
      <c r="J47" s="39">
        <v>44725.690650821758</v>
      </c>
      <c r="K47" s="20">
        <v>0</v>
      </c>
      <c r="L47" s="17" t="str">
        <f t="shared" si="0"/>
        <v>https://captureandgo.cloudlab.zhaw.ch/uploads/image_432269963f.jpg</v>
      </c>
    </row>
    <row r="48" spans="1:12" ht="16" x14ac:dyDescent="0.2">
      <c r="A48" s="20" t="s">
        <v>3963</v>
      </c>
      <c r="B48" s="20" t="s">
        <v>3964</v>
      </c>
      <c r="C48" s="20" t="s">
        <v>3774</v>
      </c>
      <c r="D48" s="20" t="s">
        <v>3965</v>
      </c>
      <c r="E48" s="20" t="s">
        <v>3966</v>
      </c>
      <c r="F48" s="20" t="s">
        <v>161</v>
      </c>
      <c r="G48" s="20" t="s">
        <v>3777</v>
      </c>
      <c r="H48" s="20" t="s">
        <v>6</v>
      </c>
      <c r="I48" s="39">
        <v>44725.693041666666</v>
      </c>
      <c r="J48" s="39">
        <v>44725.693041712962</v>
      </c>
      <c r="K48" s="20">
        <v>0</v>
      </c>
      <c r="L48" s="17" t="str">
        <f t="shared" si="0"/>
        <v>https://captureandgo.cloudlab.zhaw.ch/uploads/image_6c32c2e33b.jpg</v>
      </c>
    </row>
    <row r="49" spans="1:12" ht="16" x14ac:dyDescent="0.2">
      <c r="A49" s="20" t="s">
        <v>3967</v>
      </c>
      <c r="B49" s="20" t="s">
        <v>3968</v>
      </c>
      <c r="C49" s="20" t="s">
        <v>3774</v>
      </c>
      <c r="D49" s="20" t="s">
        <v>3969</v>
      </c>
      <c r="E49" s="20" t="s">
        <v>3970</v>
      </c>
      <c r="F49" s="20" t="s">
        <v>166</v>
      </c>
      <c r="G49" s="20" t="s">
        <v>3777</v>
      </c>
      <c r="H49" s="20" t="s">
        <v>6</v>
      </c>
      <c r="I49" s="39">
        <v>44725.696321574076</v>
      </c>
      <c r="J49" s="39">
        <v>44725.696321620373</v>
      </c>
      <c r="K49" s="20">
        <v>0</v>
      </c>
      <c r="L49" s="17" t="str">
        <f t="shared" si="0"/>
        <v>https://captureandgo.cloudlab.zhaw.ch/uploads/image_6c0187308a.jpg</v>
      </c>
    </row>
    <row r="50" spans="1:12" ht="16" x14ac:dyDescent="0.2">
      <c r="A50" s="20" t="s">
        <v>3971</v>
      </c>
      <c r="B50" s="20" t="s">
        <v>3972</v>
      </c>
      <c r="C50" s="20" t="s">
        <v>3774</v>
      </c>
      <c r="D50" s="20" t="s">
        <v>3973</v>
      </c>
      <c r="E50" s="20" t="s">
        <v>3974</v>
      </c>
      <c r="F50" s="20" t="s">
        <v>169</v>
      </c>
      <c r="G50" s="20" t="s">
        <v>3777</v>
      </c>
      <c r="H50" s="20" t="s">
        <v>6</v>
      </c>
      <c r="I50" s="39">
        <v>44725.699252708335</v>
      </c>
      <c r="J50" s="39">
        <v>44725.699252743056</v>
      </c>
      <c r="K50" s="20">
        <v>0</v>
      </c>
      <c r="L50" s="17" t="str">
        <f t="shared" si="0"/>
        <v>https://captureandgo.cloudlab.zhaw.ch/uploads/image_022527c2d2.jpg</v>
      </c>
    </row>
    <row r="51" spans="1:12" ht="16" x14ac:dyDescent="0.2">
      <c r="A51" s="20" t="s">
        <v>3975</v>
      </c>
      <c r="B51" s="20" t="s">
        <v>3976</v>
      </c>
      <c r="C51" s="20" t="s">
        <v>3774</v>
      </c>
      <c r="D51" s="20" t="s">
        <v>3977</v>
      </c>
      <c r="E51" s="20" t="s">
        <v>3978</v>
      </c>
      <c r="F51" s="20" t="s">
        <v>172</v>
      </c>
      <c r="G51" s="20" t="s">
        <v>3777</v>
      </c>
      <c r="H51" s="20" t="s">
        <v>6</v>
      </c>
      <c r="I51" s="39">
        <v>44725.712199247682</v>
      </c>
      <c r="J51" s="39">
        <v>44725.712199293979</v>
      </c>
      <c r="K51" s="20">
        <v>0</v>
      </c>
      <c r="L51" s="17" t="str">
        <f t="shared" si="0"/>
        <v>https://captureandgo.cloudlab.zhaw.ch/uploads/image_5697cab031.jpg</v>
      </c>
    </row>
    <row r="52" spans="1:12" ht="16" x14ac:dyDescent="0.2">
      <c r="A52" s="20" t="s">
        <v>3979</v>
      </c>
      <c r="B52" s="20" t="s">
        <v>3980</v>
      </c>
      <c r="C52" s="20" t="s">
        <v>3774</v>
      </c>
      <c r="D52" s="20" t="s">
        <v>3981</v>
      </c>
      <c r="E52" s="20" t="s">
        <v>3982</v>
      </c>
      <c r="F52" s="20" t="s">
        <v>175</v>
      </c>
      <c r="G52" s="20" t="s">
        <v>3777</v>
      </c>
      <c r="H52" s="20" t="s">
        <v>6</v>
      </c>
      <c r="I52" s="39">
        <v>44725.723171620368</v>
      </c>
      <c r="J52" s="39">
        <v>44725.723171666665</v>
      </c>
      <c r="K52" s="20">
        <v>0</v>
      </c>
      <c r="L52" s="17" t="str">
        <f t="shared" si="0"/>
        <v>https://captureandgo.cloudlab.zhaw.ch/uploads/image_a95e26d087.jpg</v>
      </c>
    </row>
    <row r="53" spans="1:12" ht="16" x14ac:dyDescent="0.2">
      <c r="A53" s="20" t="s">
        <v>3983</v>
      </c>
      <c r="B53" s="20" t="s">
        <v>3984</v>
      </c>
      <c r="C53" s="20" t="s">
        <v>3774</v>
      </c>
      <c r="D53" s="20" t="s">
        <v>3985</v>
      </c>
      <c r="E53" s="20" t="s">
        <v>3986</v>
      </c>
      <c r="F53" s="20" t="s">
        <v>178</v>
      </c>
      <c r="G53" s="20" t="s">
        <v>3777</v>
      </c>
      <c r="H53" s="20" t="s">
        <v>6</v>
      </c>
      <c r="I53" s="39">
        <v>44725.7242146875</v>
      </c>
      <c r="J53" s="39">
        <v>44725.72421472222</v>
      </c>
      <c r="K53" s="20">
        <v>0</v>
      </c>
      <c r="L53" s="17" t="str">
        <f t="shared" si="0"/>
        <v>https://captureandgo.cloudlab.zhaw.ch/uploads/image_9375810496.jpg</v>
      </c>
    </row>
    <row r="54" spans="1:12" ht="16" x14ac:dyDescent="0.2">
      <c r="A54" s="20" t="s">
        <v>3987</v>
      </c>
      <c r="B54" s="20" t="s">
        <v>3988</v>
      </c>
      <c r="C54" s="20" t="s">
        <v>3774</v>
      </c>
      <c r="D54" s="20" t="s">
        <v>3989</v>
      </c>
      <c r="E54" s="20" t="s">
        <v>3990</v>
      </c>
      <c r="F54" s="20" t="s">
        <v>181</v>
      </c>
      <c r="G54" s="20" t="s">
        <v>3777</v>
      </c>
      <c r="H54" s="20" t="s">
        <v>6</v>
      </c>
      <c r="I54" s="39">
        <v>44725.72655269676</v>
      </c>
      <c r="J54" s="39">
        <v>44725.726552731481</v>
      </c>
      <c r="K54" s="20">
        <v>0</v>
      </c>
      <c r="L54" s="17" t="str">
        <f t="shared" si="0"/>
        <v>https://captureandgo.cloudlab.zhaw.ch/uploads/image_a8de5bebd8.jpg</v>
      </c>
    </row>
    <row r="55" spans="1:12" ht="16" x14ac:dyDescent="0.2">
      <c r="A55" s="20" t="s">
        <v>3991</v>
      </c>
      <c r="B55" s="20" t="s">
        <v>3992</v>
      </c>
      <c r="C55" s="20" t="s">
        <v>3774</v>
      </c>
      <c r="D55" s="20" t="s">
        <v>3993</v>
      </c>
      <c r="E55" s="20" t="s">
        <v>3994</v>
      </c>
      <c r="F55" s="20" t="s">
        <v>184</v>
      </c>
      <c r="G55" s="20" t="s">
        <v>3777</v>
      </c>
      <c r="H55" s="20" t="s">
        <v>6</v>
      </c>
      <c r="I55" s="39">
        <v>44725.727568703704</v>
      </c>
      <c r="J55" s="39">
        <v>44725.727568738424</v>
      </c>
      <c r="K55" s="20">
        <v>0</v>
      </c>
      <c r="L55" s="17" t="str">
        <f t="shared" si="0"/>
        <v>https://captureandgo.cloudlab.zhaw.ch/uploads/image_102206aabb.jpg</v>
      </c>
    </row>
    <row r="56" spans="1:12" ht="16" x14ac:dyDescent="0.2">
      <c r="A56" s="20" t="s">
        <v>3995</v>
      </c>
      <c r="B56" s="20" t="s">
        <v>3996</v>
      </c>
      <c r="C56" s="20" t="s">
        <v>3774</v>
      </c>
      <c r="D56" s="20" t="s">
        <v>3997</v>
      </c>
      <c r="E56" s="20" t="s">
        <v>3998</v>
      </c>
      <c r="F56" s="20" t="s">
        <v>184</v>
      </c>
      <c r="G56" s="20" t="s">
        <v>3777</v>
      </c>
      <c r="H56" s="20" t="s">
        <v>6</v>
      </c>
      <c r="I56" s="39">
        <v>44725.727640092591</v>
      </c>
      <c r="J56" s="39">
        <v>44725.727640127312</v>
      </c>
      <c r="K56" s="20">
        <v>0</v>
      </c>
      <c r="L56" s="17" t="str">
        <f t="shared" si="0"/>
        <v>https://captureandgo.cloudlab.zhaw.ch/uploads/image_23a768453c.jpg</v>
      </c>
    </row>
    <row r="57" spans="1:12" ht="16" x14ac:dyDescent="0.2">
      <c r="A57" s="20" t="s">
        <v>3999</v>
      </c>
      <c r="B57" s="20" t="s">
        <v>4000</v>
      </c>
      <c r="C57" s="20" t="s">
        <v>3774</v>
      </c>
      <c r="D57" s="20" t="s">
        <v>4001</v>
      </c>
      <c r="E57" s="20" t="s">
        <v>4002</v>
      </c>
      <c r="F57" s="20" t="s">
        <v>184</v>
      </c>
      <c r="G57" s="20" t="s">
        <v>3777</v>
      </c>
      <c r="H57" s="20" t="s">
        <v>6</v>
      </c>
      <c r="I57" s="39">
        <v>44725.727671701388</v>
      </c>
      <c r="J57" s="39">
        <v>44725.72767172454</v>
      </c>
      <c r="K57" s="20">
        <v>0</v>
      </c>
      <c r="L57" s="17" t="str">
        <f t="shared" si="0"/>
        <v>https://captureandgo.cloudlab.zhaw.ch/uploads/image_81e005141b.jpg</v>
      </c>
    </row>
    <row r="58" spans="1:12" ht="16" x14ac:dyDescent="0.2">
      <c r="A58" s="20" t="s">
        <v>4003</v>
      </c>
      <c r="B58" s="20" t="s">
        <v>4004</v>
      </c>
      <c r="C58" s="20" t="s">
        <v>3774</v>
      </c>
      <c r="D58" s="20" t="s">
        <v>4005</v>
      </c>
      <c r="E58" s="20" t="s">
        <v>4006</v>
      </c>
      <c r="F58" s="20" t="s">
        <v>187</v>
      </c>
      <c r="G58" s="20" t="s">
        <v>3777</v>
      </c>
      <c r="H58" s="20" t="s">
        <v>6</v>
      </c>
      <c r="I58" s="39">
        <v>44725.732550266206</v>
      </c>
      <c r="J58" s="39">
        <v>44725.732550300927</v>
      </c>
      <c r="K58" s="20">
        <v>0</v>
      </c>
      <c r="L58" s="17" t="str">
        <f t="shared" si="0"/>
        <v>https://captureandgo.cloudlab.zhaw.ch/uploads/image_dfe8680e38.jpg</v>
      </c>
    </row>
    <row r="59" spans="1:12" ht="16" x14ac:dyDescent="0.2">
      <c r="A59" s="20" t="s">
        <v>4007</v>
      </c>
      <c r="B59" s="20" t="s">
        <v>4008</v>
      </c>
      <c r="C59" s="20" t="s">
        <v>3774</v>
      </c>
      <c r="D59" s="20" t="s">
        <v>4009</v>
      </c>
      <c r="E59" s="20" t="s">
        <v>4010</v>
      </c>
      <c r="F59" s="20" t="s">
        <v>191</v>
      </c>
      <c r="G59" s="20" t="s">
        <v>3777</v>
      </c>
      <c r="H59" s="20" t="s">
        <v>6</v>
      </c>
      <c r="I59" s="39">
        <v>44725.733788171296</v>
      </c>
      <c r="J59" s="39">
        <v>44725.733788206016</v>
      </c>
      <c r="K59" s="20">
        <v>0</v>
      </c>
      <c r="L59" s="17" t="str">
        <f t="shared" si="0"/>
        <v>https://captureandgo.cloudlab.zhaw.ch/uploads/image_74fce68de2.jpg</v>
      </c>
    </row>
    <row r="60" spans="1:12" ht="16" x14ac:dyDescent="0.2">
      <c r="A60" s="20" t="s">
        <v>4011</v>
      </c>
      <c r="B60" s="20" t="s">
        <v>4012</v>
      </c>
      <c r="C60" s="20" t="s">
        <v>3774</v>
      </c>
      <c r="D60" s="20" t="s">
        <v>4013</v>
      </c>
      <c r="E60" s="20" t="s">
        <v>4014</v>
      </c>
      <c r="F60" s="20" t="s">
        <v>194</v>
      </c>
      <c r="G60" s="20" t="s">
        <v>3777</v>
      </c>
      <c r="H60" s="20" t="s">
        <v>6</v>
      </c>
      <c r="I60" s="39">
        <v>44725.741418356483</v>
      </c>
      <c r="J60" s="39">
        <v>44725.74141840278</v>
      </c>
      <c r="K60" s="20">
        <v>0</v>
      </c>
      <c r="L60" s="17" t="str">
        <f t="shared" si="0"/>
        <v>https://captureandgo.cloudlab.zhaw.ch/uploads/image_0f3c4eab73.jpg</v>
      </c>
    </row>
    <row r="61" spans="1:12" ht="16" x14ac:dyDescent="0.2">
      <c r="A61" s="20" t="s">
        <v>4015</v>
      </c>
      <c r="B61" s="20" t="s">
        <v>4016</v>
      </c>
      <c r="C61" s="20" t="s">
        <v>3774</v>
      </c>
      <c r="D61" s="20" t="s">
        <v>4017</v>
      </c>
      <c r="E61" s="20" t="s">
        <v>4018</v>
      </c>
      <c r="F61" s="20" t="s">
        <v>197</v>
      </c>
      <c r="G61" s="20" t="s">
        <v>3777</v>
      </c>
      <c r="H61" s="20" t="s">
        <v>6</v>
      </c>
      <c r="I61" s="39">
        <v>44725.750409293978</v>
      </c>
      <c r="J61" s="39">
        <v>44725.75040931713</v>
      </c>
      <c r="K61" s="20">
        <v>0</v>
      </c>
      <c r="L61" s="17" t="str">
        <f t="shared" si="0"/>
        <v>https://captureandgo.cloudlab.zhaw.ch/uploads/image_0dbfc1fad3.jpg</v>
      </c>
    </row>
    <row r="62" spans="1:12" ht="16" x14ac:dyDescent="0.2">
      <c r="A62" s="20" t="s">
        <v>4019</v>
      </c>
      <c r="B62" s="20" t="s">
        <v>4020</v>
      </c>
      <c r="C62" s="20" t="s">
        <v>3774</v>
      </c>
      <c r="D62" s="20" t="s">
        <v>4021</v>
      </c>
      <c r="E62" s="20" t="s">
        <v>4022</v>
      </c>
      <c r="F62" s="20" t="s">
        <v>200</v>
      </c>
      <c r="G62" s="20" t="s">
        <v>3777</v>
      </c>
      <c r="H62" s="20" t="s">
        <v>6</v>
      </c>
      <c r="I62" s="39">
        <v>44725.75396642361</v>
      </c>
      <c r="J62" s="39">
        <v>44725.753966458331</v>
      </c>
      <c r="K62" s="20">
        <v>0</v>
      </c>
      <c r="L62" s="17" t="str">
        <f t="shared" si="0"/>
        <v>https://captureandgo.cloudlab.zhaw.ch/uploads/image_0e5013af98.jpg</v>
      </c>
    </row>
    <row r="63" spans="1:12" ht="16" x14ac:dyDescent="0.2">
      <c r="A63" s="20" t="s">
        <v>4023</v>
      </c>
      <c r="B63" s="20" t="s">
        <v>4024</v>
      </c>
      <c r="C63" s="20" t="s">
        <v>3774</v>
      </c>
      <c r="D63" s="20" t="s">
        <v>4025</v>
      </c>
      <c r="E63" s="20" t="s">
        <v>4026</v>
      </c>
      <c r="F63" s="20" t="s">
        <v>203</v>
      </c>
      <c r="G63" s="20" t="s">
        <v>3777</v>
      </c>
      <c r="H63" s="20" t="s">
        <v>6</v>
      </c>
      <c r="I63" s="39">
        <v>44729.648068148148</v>
      </c>
      <c r="J63" s="39">
        <v>44729.648068206021</v>
      </c>
      <c r="K63" s="20">
        <v>0</v>
      </c>
      <c r="L63" s="17" t="str">
        <f t="shared" si="0"/>
        <v>https://captureandgo.cloudlab.zhaw.ch/uploads/image_ca8c0d9592.jpg</v>
      </c>
    </row>
    <row r="64" spans="1:12" ht="16" x14ac:dyDescent="0.2">
      <c r="A64" s="20" t="s">
        <v>4027</v>
      </c>
      <c r="B64" s="20" t="s">
        <v>4028</v>
      </c>
      <c r="C64" s="20" t="s">
        <v>3774</v>
      </c>
      <c r="D64" s="20" t="s">
        <v>4029</v>
      </c>
      <c r="E64" s="20" t="s">
        <v>4030</v>
      </c>
      <c r="F64" s="20" t="s">
        <v>203</v>
      </c>
      <c r="G64" s="20" t="s">
        <v>3777</v>
      </c>
      <c r="H64" s="20" t="s">
        <v>6</v>
      </c>
      <c r="I64" s="39">
        <v>44729.649722199072</v>
      </c>
      <c r="J64" s="39">
        <v>44729.649722291666</v>
      </c>
      <c r="K64" s="20">
        <v>0</v>
      </c>
      <c r="L64" s="17" t="str">
        <f t="shared" si="0"/>
        <v>https://captureandgo.cloudlab.zhaw.ch/uploads/image_633a9470f2.jpg</v>
      </c>
    </row>
    <row r="65" spans="1:12" ht="16" x14ac:dyDescent="0.2">
      <c r="A65" s="20" t="s">
        <v>4031</v>
      </c>
      <c r="B65" s="20" t="s">
        <v>4032</v>
      </c>
      <c r="C65" s="20" t="s">
        <v>3774</v>
      </c>
      <c r="D65" s="20" t="s">
        <v>4033</v>
      </c>
      <c r="E65" s="20" t="s">
        <v>4034</v>
      </c>
      <c r="F65" s="20" t="s">
        <v>208</v>
      </c>
      <c r="G65" s="20" t="s">
        <v>3777</v>
      </c>
      <c r="H65" s="20" t="s">
        <v>6</v>
      </c>
      <c r="I65" s="39">
        <v>44729.660024513891</v>
      </c>
      <c r="J65" s="39">
        <v>44729.660024745368</v>
      </c>
      <c r="K65" s="20">
        <v>0</v>
      </c>
      <c r="L65" s="17" t="str">
        <f t="shared" si="0"/>
        <v>https://captureandgo.cloudlab.zhaw.ch/uploads/image_c343e6af60.jpg</v>
      </c>
    </row>
    <row r="66" spans="1:12" ht="16" x14ac:dyDescent="0.2">
      <c r="A66" s="20" t="s">
        <v>4035</v>
      </c>
      <c r="B66" s="20" t="s">
        <v>4036</v>
      </c>
      <c r="C66" s="20" t="s">
        <v>3774</v>
      </c>
      <c r="D66" s="20" t="s">
        <v>4037</v>
      </c>
      <c r="E66" s="20" t="s">
        <v>4038</v>
      </c>
      <c r="F66" s="20" t="s">
        <v>211</v>
      </c>
      <c r="G66" s="20" t="s">
        <v>3777</v>
      </c>
      <c r="H66" s="20" t="s">
        <v>6</v>
      </c>
      <c r="I66" s="39">
        <v>44729.662806828703</v>
      </c>
      <c r="J66" s="39">
        <v>44729.662806875</v>
      </c>
      <c r="K66" s="20">
        <v>0</v>
      </c>
      <c r="L66" s="17" t="str">
        <f t="shared" ref="L66:L129" si="1">HYPERLINK("https://captureandgo.cloudlab.zhaw.ch"&amp;B66)</f>
        <v>https://captureandgo.cloudlab.zhaw.ch/uploads/image_e83ff19fa4.jpg</v>
      </c>
    </row>
    <row r="67" spans="1:12" ht="16" x14ac:dyDescent="0.2">
      <c r="A67" s="20" t="s">
        <v>4039</v>
      </c>
      <c r="B67" s="20" t="s">
        <v>4040</v>
      </c>
      <c r="C67" s="20" t="s">
        <v>3774</v>
      </c>
      <c r="D67" s="20" t="s">
        <v>4041</v>
      </c>
      <c r="E67" s="20" t="s">
        <v>35</v>
      </c>
      <c r="F67" s="20" t="s">
        <v>35</v>
      </c>
      <c r="G67" s="20" t="s">
        <v>35</v>
      </c>
      <c r="H67" s="20" t="s">
        <v>35</v>
      </c>
      <c r="I67" s="39">
        <v>44729.671847407408</v>
      </c>
      <c r="J67" s="39">
        <v>44729.671847407408</v>
      </c>
      <c r="K67" s="20">
        <v>0</v>
      </c>
      <c r="L67" s="17" t="str">
        <f t="shared" si="1"/>
        <v>https://captureandgo.cloudlab.zhaw.ch/uploads/image_6807e6c119.jpg</v>
      </c>
    </row>
    <row r="68" spans="1:12" ht="16" x14ac:dyDescent="0.2">
      <c r="A68" s="20" t="s">
        <v>4042</v>
      </c>
      <c r="B68" s="20" t="s">
        <v>4043</v>
      </c>
      <c r="C68" s="20" t="s">
        <v>3774</v>
      </c>
      <c r="D68" s="20" t="s">
        <v>4044</v>
      </c>
      <c r="E68" s="20" t="s">
        <v>35</v>
      </c>
      <c r="F68" s="20" t="s">
        <v>35</v>
      </c>
      <c r="G68" s="20" t="s">
        <v>35</v>
      </c>
      <c r="H68" s="20" t="s">
        <v>35</v>
      </c>
      <c r="I68" s="39">
        <v>44729.671847569443</v>
      </c>
      <c r="J68" s="39">
        <v>44729.671847569443</v>
      </c>
      <c r="K68" s="20">
        <v>0</v>
      </c>
      <c r="L68" s="17" t="str">
        <f t="shared" si="1"/>
        <v>https://captureandgo.cloudlab.zhaw.ch/uploads/image_f4055ce506.jpg</v>
      </c>
    </row>
    <row r="69" spans="1:12" ht="16" x14ac:dyDescent="0.2">
      <c r="A69" s="20" t="s">
        <v>4045</v>
      </c>
      <c r="B69" s="20" t="s">
        <v>4046</v>
      </c>
      <c r="C69" s="20" t="s">
        <v>3774</v>
      </c>
      <c r="D69" s="20" t="s">
        <v>4047</v>
      </c>
      <c r="E69" s="20" t="s">
        <v>35</v>
      </c>
      <c r="F69" s="20" t="s">
        <v>35</v>
      </c>
      <c r="G69" s="20" t="s">
        <v>35</v>
      </c>
      <c r="H69" s="20" t="s">
        <v>35</v>
      </c>
      <c r="I69" s="39">
        <v>44729.671923865739</v>
      </c>
      <c r="J69" s="39">
        <v>44729.671923865739</v>
      </c>
      <c r="K69" s="20">
        <v>0</v>
      </c>
      <c r="L69" s="17" t="str">
        <f t="shared" si="1"/>
        <v>https://captureandgo.cloudlab.zhaw.ch/uploads/image_52fbd2085f.jpg</v>
      </c>
    </row>
    <row r="70" spans="1:12" ht="16" x14ac:dyDescent="0.2">
      <c r="A70" s="20" t="s">
        <v>4048</v>
      </c>
      <c r="B70" s="20" t="s">
        <v>4049</v>
      </c>
      <c r="C70" s="20" t="s">
        <v>3774</v>
      </c>
      <c r="D70" s="20" t="s">
        <v>4050</v>
      </c>
      <c r="E70" s="20" t="s">
        <v>35</v>
      </c>
      <c r="F70" s="20" t="s">
        <v>35</v>
      </c>
      <c r="G70" s="20" t="s">
        <v>35</v>
      </c>
      <c r="H70" s="20" t="s">
        <v>35</v>
      </c>
      <c r="I70" s="39">
        <v>44729.671923969909</v>
      </c>
      <c r="J70" s="39">
        <v>44729.671923969909</v>
      </c>
      <c r="K70" s="20">
        <v>0</v>
      </c>
      <c r="L70" s="17" t="str">
        <f t="shared" si="1"/>
        <v>https://captureandgo.cloudlab.zhaw.ch/uploads/image_1eee62558f.jpg</v>
      </c>
    </row>
    <row r="71" spans="1:12" ht="16" x14ac:dyDescent="0.2">
      <c r="A71" s="20" t="s">
        <v>4051</v>
      </c>
      <c r="B71" s="20" t="s">
        <v>4052</v>
      </c>
      <c r="C71" s="20" t="s">
        <v>3774</v>
      </c>
      <c r="D71" s="20" t="s">
        <v>4053</v>
      </c>
      <c r="E71" s="20" t="s">
        <v>4054</v>
      </c>
      <c r="F71" s="20" t="s">
        <v>222</v>
      </c>
      <c r="G71" s="20" t="s">
        <v>3777</v>
      </c>
      <c r="H71" s="20" t="s">
        <v>6</v>
      </c>
      <c r="I71" s="39">
        <v>44729.673046053242</v>
      </c>
      <c r="J71" s="39">
        <v>44729.673046122683</v>
      </c>
      <c r="K71" s="20">
        <v>0</v>
      </c>
      <c r="L71" s="17" t="str">
        <f t="shared" si="1"/>
        <v>https://captureandgo.cloudlab.zhaw.ch/uploads/image_d3214206bf.jpg</v>
      </c>
    </row>
    <row r="72" spans="1:12" ht="16" x14ac:dyDescent="0.2">
      <c r="A72" s="20" t="s">
        <v>4055</v>
      </c>
      <c r="B72" s="20" t="s">
        <v>4056</v>
      </c>
      <c r="C72" s="20" t="s">
        <v>3774</v>
      </c>
      <c r="D72" s="20" t="s">
        <v>4057</v>
      </c>
      <c r="E72" s="20" t="s">
        <v>4058</v>
      </c>
      <c r="F72" s="20" t="s">
        <v>225</v>
      </c>
      <c r="G72" s="20" t="s">
        <v>3777</v>
      </c>
      <c r="H72" s="20" t="s">
        <v>6</v>
      </c>
      <c r="I72" s="39">
        <v>44729.674986759259</v>
      </c>
      <c r="J72" s="39">
        <v>44729.674986817132</v>
      </c>
      <c r="K72" s="20">
        <v>0</v>
      </c>
      <c r="L72" s="17" t="str">
        <f t="shared" si="1"/>
        <v>https://captureandgo.cloudlab.zhaw.ch/uploads/image_c5d187c231.jpg</v>
      </c>
    </row>
    <row r="73" spans="1:12" ht="16" x14ac:dyDescent="0.2">
      <c r="A73" s="20" t="s">
        <v>4059</v>
      </c>
      <c r="B73" s="20" t="s">
        <v>4060</v>
      </c>
      <c r="C73" s="20" t="s">
        <v>3774</v>
      </c>
      <c r="D73" s="20" t="s">
        <v>4061</v>
      </c>
      <c r="E73" s="20" t="s">
        <v>4062</v>
      </c>
      <c r="F73" s="20" t="s">
        <v>225</v>
      </c>
      <c r="G73" s="20" t="s">
        <v>3777</v>
      </c>
      <c r="H73" s="20" t="s">
        <v>6</v>
      </c>
      <c r="I73" s="39">
        <v>44729.675000347219</v>
      </c>
      <c r="J73" s="39">
        <v>44729.675000381947</v>
      </c>
      <c r="K73" s="20">
        <v>0</v>
      </c>
      <c r="L73" s="17" t="str">
        <f t="shared" si="1"/>
        <v>https://captureandgo.cloudlab.zhaw.ch/uploads/image_e4538ee3f9.jpg</v>
      </c>
    </row>
    <row r="74" spans="1:12" ht="16" x14ac:dyDescent="0.2">
      <c r="A74" s="20" t="s">
        <v>4063</v>
      </c>
      <c r="B74" s="20" t="s">
        <v>4064</v>
      </c>
      <c r="C74" s="20" t="s">
        <v>3774</v>
      </c>
      <c r="D74" s="20" t="s">
        <v>4065</v>
      </c>
      <c r="E74" s="20" t="s">
        <v>4066</v>
      </c>
      <c r="F74" s="20" t="s">
        <v>225</v>
      </c>
      <c r="G74" s="20" t="s">
        <v>3777</v>
      </c>
      <c r="H74" s="20" t="s">
        <v>6</v>
      </c>
      <c r="I74" s="39">
        <v>44729.675079340275</v>
      </c>
      <c r="J74" s="39">
        <v>44729.675079375003</v>
      </c>
      <c r="K74" s="20">
        <v>0</v>
      </c>
      <c r="L74" s="17" t="str">
        <f t="shared" si="1"/>
        <v>https://captureandgo.cloudlab.zhaw.ch/uploads/image_b29120d548.jpg</v>
      </c>
    </row>
    <row r="75" spans="1:12" ht="16" x14ac:dyDescent="0.2">
      <c r="A75" s="20" t="s">
        <v>4067</v>
      </c>
      <c r="B75" s="20" t="s">
        <v>4068</v>
      </c>
      <c r="C75" s="20" t="s">
        <v>3774</v>
      </c>
      <c r="D75" s="20" t="s">
        <v>4069</v>
      </c>
      <c r="E75" s="20" t="s">
        <v>4070</v>
      </c>
      <c r="F75" s="20" t="s">
        <v>229</v>
      </c>
      <c r="G75" s="20" t="s">
        <v>3777</v>
      </c>
      <c r="H75" s="20" t="s">
        <v>6</v>
      </c>
      <c r="I75" s="39">
        <v>44729.685297592594</v>
      </c>
      <c r="J75" s="39">
        <v>44729.685297673612</v>
      </c>
      <c r="K75" s="20">
        <v>0</v>
      </c>
      <c r="L75" s="17" t="str">
        <f t="shared" si="1"/>
        <v>https://captureandgo.cloudlab.zhaw.ch/uploads/image_fde92c76be.jpg</v>
      </c>
    </row>
    <row r="76" spans="1:12" ht="16" x14ac:dyDescent="0.2">
      <c r="A76" s="20" t="s">
        <v>4071</v>
      </c>
      <c r="B76" s="20" t="s">
        <v>4072</v>
      </c>
      <c r="C76" s="20" t="s">
        <v>3774</v>
      </c>
      <c r="D76" s="20" t="s">
        <v>4073</v>
      </c>
      <c r="E76" s="20" t="s">
        <v>35</v>
      </c>
      <c r="F76" s="20" t="s">
        <v>35</v>
      </c>
      <c r="G76" s="20" t="s">
        <v>35</v>
      </c>
      <c r="H76" s="20" t="s">
        <v>35</v>
      </c>
      <c r="I76" s="39">
        <v>44729.692119224535</v>
      </c>
      <c r="J76" s="39">
        <v>44729.692119224535</v>
      </c>
      <c r="K76" s="20">
        <v>0</v>
      </c>
      <c r="L76" s="17" t="str">
        <f t="shared" si="1"/>
        <v>https://captureandgo.cloudlab.zhaw.ch/uploads/image_fbc3176896.jpg</v>
      </c>
    </row>
    <row r="77" spans="1:12" ht="16" x14ac:dyDescent="0.2">
      <c r="A77" s="20" t="s">
        <v>4074</v>
      </c>
      <c r="B77" s="20" t="s">
        <v>4075</v>
      </c>
      <c r="C77" s="20" t="s">
        <v>3774</v>
      </c>
      <c r="D77" s="20" t="s">
        <v>4076</v>
      </c>
      <c r="E77" s="20" t="s">
        <v>35</v>
      </c>
      <c r="F77" s="20" t="s">
        <v>35</v>
      </c>
      <c r="G77" s="20" t="s">
        <v>35</v>
      </c>
      <c r="H77" s="20" t="s">
        <v>35</v>
      </c>
      <c r="I77" s="39">
        <v>44729.69211935185</v>
      </c>
      <c r="J77" s="39">
        <v>44729.69211935185</v>
      </c>
      <c r="K77" s="20">
        <v>0</v>
      </c>
      <c r="L77" s="17" t="str">
        <f t="shared" si="1"/>
        <v>https://captureandgo.cloudlab.zhaw.ch/uploads/image_1f84314c1f.jpg</v>
      </c>
    </row>
    <row r="78" spans="1:12" ht="16" x14ac:dyDescent="0.2">
      <c r="A78" s="20" t="s">
        <v>4077</v>
      </c>
      <c r="B78" s="20" t="s">
        <v>4078</v>
      </c>
      <c r="C78" s="20" t="s">
        <v>3774</v>
      </c>
      <c r="D78" s="20" t="s">
        <v>4079</v>
      </c>
      <c r="E78" s="20" t="s">
        <v>4080</v>
      </c>
      <c r="F78" s="20" t="s">
        <v>236</v>
      </c>
      <c r="G78" s="20" t="s">
        <v>3777</v>
      </c>
      <c r="H78" s="20" t="s">
        <v>6</v>
      </c>
      <c r="I78" s="39">
        <v>44729.692702222223</v>
      </c>
      <c r="J78" s="39">
        <v>44729.692702337961</v>
      </c>
      <c r="K78" s="20">
        <v>0</v>
      </c>
      <c r="L78" s="17" t="str">
        <f t="shared" si="1"/>
        <v>https://captureandgo.cloudlab.zhaw.ch/uploads/image_95cf72b454.jpg</v>
      </c>
    </row>
    <row r="79" spans="1:12" ht="16" x14ac:dyDescent="0.2">
      <c r="A79" s="20" t="s">
        <v>4081</v>
      </c>
      <c r="B79" s="20" t="s">
        <v>4082</v>
      </c>
      <c r="C79" s="20" t="s">
        <v>3774</v>
      </c>
      <c r="D79" s="20" t="s">
        <v>4083</v>
      </c>
      <c r="E79" s="20" t="s">
        <v>4084</v>
      </c>
      <c r="F79" s="20" t="s">
        <v>239</v>
      </c>
      <c r="G79" s="20" t="s">
        <v>3777</v>
      </c>
      <c r="H79" s="20" t="s">
        <v>6</v>
      </c>
      <c r="I79" s="39">
        <v>44729.693511909725</v>
      </c>
      <c r="J79" s="39">
        <v>44729.693511944446</v>
      </c>
      <c r="K79" s="20">
        <v>0</v>
      </c>
      <c r="L79" s="17" t="str">
        <f t="shared" si="1"/>
        <v>https://captureandgo.cloudlab.zhaw.ch/uploads/image_b69bd742ab.jpg</v>
      </c>
    </row>
    <row r="80" spans="1:12" ht="16" x14ac:dyDescent="0.2">
      <c r="A80" s="20" t="s">
        <v>4085</v>
      </c>
      <c r="B80" s="20" t="s">
        <v>4086</v>
      </c>
      <c r="C80" s="20" t="s">
        <v>3774</v>
      </c>
      <c r="D80" s="20" t="s">
        <v>4087</v>
      </c>
      <c r="E80" s="20" t="s">
        <v>4088</v>
      </c>
      <c r="F80" s="20" t="s">
        <v>242</v>
      </c>
      <c r="G80" s="20" t="s">
        <v>3777</v>
      </c>
      <c r="H80" s="20" t="s">
        <v>6</v>
      </c>
      <c r="I80" s="39">
        <v>44729.694363888892</v>
      </c>
      <c r="J80" s="39">
        <v>44729.694363935188</v>
      </c>
      <c r="K80" s="20">
        <v>0</v>
      </c>
      <c r="L80" s="17" t="str">
        <f t="shared" si="1"/>
        <v>https://captureandgo.cloudlab.zhaw.ch/uploads/image_123f0e927a.jpg</v>
      </c>
    </row>
    <row r="81" spans="1:12" ht="16" x14ac:dyDescent="0.2">
      <c r="A81" s="20" t="s">
        <v>4089</v>
      </c>
      <c r="B81" s="20" t="s">
        <v>4090</v>
      </c>
      <c r="C81" s="20" t="s">
        <v>3774</v>
      </c>
      <c r="D81" s="20" t="s">
        <v>4091</v>
      </c>
      <c r="E81" s="20" t="s">
        <v>4092</v>
      </c>
      <c r="F81" s="20" t="s">
        <v>245</v>
      </c>
      <c r="G81" s="20" t="s">
        <v>3777</v>
      </c>
      <c r="H81" s="20" t="s">
        <v>6</v>
      </c>
      <c r="I81" s="39">
        <v>44729.696952986109</v>
      </c>
      <c r="J81" s="39">
        <v>44729.696953032406</v>
      </c>
      <c r="K81" s="20">
        <v>0</v>
      </c>
      <c r="L81" s="17" t="str">
        <f t="shared" si="1"/>
        <v>https://captureandgo.cloudlab.zhaw.ch/uploads/image_bca53250bd.jpg</v>
      </c>
    </row>
    <row r="82" spans="1:12" ht="16" x14ac:dyDescent="0.2">
      <c r="A82" s="20" t="s">
        <v>4093</v>
      </c>
      <c r="B82" s="20" t="s">
        <v>4094</v>
      </c>
      <c r="C82" s="20" t="s">
        <v>3774</v>
      </c>
      <c r="D82" s="20" t="s">
        <v>4095</v>
      </c>
      <c r="E82" s="20" t="s">
        <v>4096</v>
      </c>
      <c r="F82" s="20" t="s">
        <v>245</v>
      </c>
      <c r="G82" s="20" t="s">
        <v>3777</v>
      </c>
      <c r="H82" s="20" t="s">
        <v>6</v>
      </c>
      <c r="I82" s="39">
        <v>44729.697260856483</v>
      </c>
      <c r="J82" s="39">
        <v>44729.697260914349</v>
      </c>
      <c r="K82" s="20">
        <v>0</v>
      </c>
      <c r="L82" s="17" t="str">
        <f t="shared" si="1"/>
        <v>https://captureandgo.cloudlab.zhaw.ch/uploads/image_e69040e7ba.jpg</v>
      </c>
    </row>
    <row r="83" spans="1:12" ht="16" x14ac:dyDescent="0.2">
      <c r="A83" s="20" t="s">
        <v>4097</v>
      </c>
      <c r="B83" s="20" t="s">
        <v>4098</v>
      </c>
      <c r="C83" s="20" t="s">
        <v>3774</v>
      </c>
      <c r="D83" s="20" t="s">
        <v>4099</v>
      </c>
      <c r="E83" s="20" t="s">
        <v>4100</v>
      </c>
      <c r="F83" s="20" t="s">
        <v>245</v>
      </c>
      <c r="G83" s="20" t="s">
        <v>3777</v>
      </c>
      <c r="H83" s="20" t="s">
        <v>6</v>
      </c>
      <c r="I83" s="39">
        <v>44729.697261030095</v>
      </c>
      <c r="J83" s="39">
        <v>44729.697261053239</v>
      </c>
      <c r="K83" s="20">
        <v>0</v>
      </c>
      <c r="L83" s="17" t="str">
        <f t="shared" si="1"/>
        <v>https://captureandgo.cloudlab.zhaw.ch/uploads/image_43c529a4be.jpg</v>
      </c>
    </row>
    <row r="84" spans="1:12" ht="16" x14ac:dyDescent="0.2">
      <c r="A84" s="20" t="s">
        <v>4101</v>
      </c>
      <c r="B84" s="20" t="s">
        <v>4102</v>
      </c>
      <c r="C84" s="20" t="s">
        <v>3774</v>
      </c>
      <c r="D84" s="20" t="s">
        <v>4103</v>
      </c>
      <c r="E84" s="20" t="s">
        <v>4104</v>
      </c>
      <c r="F84" s="20" t="s">
        <v>245</v>
      </c>
      <c r="G84" s="20" t="s">
        <v>3777</v>
      </c>
      <c r="H84" s="20" t="s">
        <v>6</v>
      </c>
      <c r="I84" s="39">
        <v>44729.697579259257</v>
      </c>
      <c r="J84" s="39">
        <v>44729.69757935185</v>
      </c>
      <c r="K84" s="20">
        <v>0</v>
      </c>
      <c r="L84" s="17" t="str">
        <f t="shared" si="1"/>
        <v>https://captureandgo.cloudlab.zhaw.ch/uploads/image_bff841bd1c.jpg</v>
      </c>
    </row>
    <row r="85" spans="1:12" ht="16" x14ac:dyDescent="0.2">
      <c r="A85" s="20" t="s">
        <v>4105</v>
      </c>
      <c r="B85" s="20" t="s">
        <v>4106</v>
      </c>
      <c r="C85" s="20" t="s">
        <v>3774</v>
      </c>
      <c r="D85" s="20" t="s">
        <v>4107</v>
      </c>
      <c r="E85" s="20" t="s">
        <v>4108</v>
      </c>
      <c r="F85" s="20" t="s">
        <v>245</v>
      </c>
      <c r="G85" s="20" t="s">
        <v>3777</v>
      </c>
      <c r="H85" s="20" t="s">
        <v>6</v>
      </c>
      <c r="I85" s="39">
        <v>44729.697579548614</v>
      </c>
      <c r="J85" s="39">
        <v>44729.697579583335</v>
      </c>
      <c r="K85" s="20">
        <v>0</v>
      </c>
      <c r="L85" s="17" t="str">
        <f t="shared" si="1"/>
        <v>https://captureandgo.cloudlab.zhaw.ch/uploads/image_db027b745a.jpg</v>
      </c>
    </row>
    <row r="86" spans="1:12" ht="16" x14ac:dyDescent="0.2">
      <c r="A86" s="20" t="s">
        <v>4109</v>
      </c>
      <c r="B86" s="20" t="s">
        <v>4110</v>
      </c>
      <c r="C86" s="20" t="s">
        <v>3774</v>
      </c>
      <c r="D86" s="20" t="s">
        <v>4111</v>
      </c>
      <c r="E86" s="20" t="s">
        <v>4112</v>
      </c>
      <c r="F86" s="20" t="s">
        <v>249</v>
      </c>
      <c r="G86" s="20" t="s">
        <v>3777</v>
      </c>
      <c r="H86" s="20" t="s">
        <v>6</v>
      </c>
      <c r="I86" s="39">
        <v>44729.700372719904</v>
      </c>
      <c r="J86" s="39">
        <v>44729.700372754633</v>
      </c>
      <c r="K86" s="20">
        <v>0</v>
      </c>
      <c r="L86" s="17" t="str">
        <f t="shared" si="1"/>
        <v>https://captureandgo.cloudlab.zhaw.ch/uploads/image_73b5485ae4.jpg</v>
      </c>
    </row>
    <row r="87" spans="1:12" ht="16" x14ac:dyDescent="0.2">
      <c r="A87" s="20" t="s">
        <v>4113</v>
      </c>
      <c r="B87" s="20" t="s">
        <v>4114</v>
      </c>
      <c r="C87" s="20" t="s">
        <v>3774</v>
      </c>
      <c r="D87" s="20" t="s">
        <v>4115</v>
      </c>
      <c r="E87" s="20" t="s">
        <v>4116</v>
      </c>
      <c r="F87" s="20" t="s">
        <v>249</v>
      </c>
      <c r="G87" s="20" t="s">
        <v>3777</v>
      </c>
      <c r="H87" s="20" t="s">
        <v>6</v>
      </c>
      <c r="I87" s="39">
        <v>44729.70135048611</v>
      </c>
      <c r="J87" s="39">
        <v>44729.701350520831</v>
      </c>
      <c r="K87" s="20">
        <v>0</v>
      </c>
      <c r="L87" s="17" t="str">
        <f t="shared" si="1"/>
        <v>https://captureandgo.cloudlab.zhaw.ch/uploads/image_99e56be21f.jpg</v>
      </c>
    </row>
    <row r="88" spans="1:12" ht="16" x14ac:dyDescent="0.2">
      <c r="A88" s="20" t="s">
        <v>4117</v>
      </c>
      <c r="B88" s="20" t="s">
        <v>4118</v>
      </c>
      <c r="C88" s="20" t="s">
        <v>3774</v>
      </c>
      <c r="D88" s="20" t="s">
        <v>4119</v>
      </c>
      <c r="E88" s="20" t="s">
        <v>4120</v>
      </c>
      <c r="F88" s="20" t="s">
        <v>252</v>
      </c>
      <c r="G88" s="20" t="s">
        <v>3777</v>
      </c>
      <c r="H88" s="20" t="s">
        <v>6</v>
      </c>
      <c r="I88" s="39">
        <v>44729.702304212966</v>
      </c>
      <c r="J88" s="39">
        <v>44729.702304236111</v>
      </c>
      <c r="K88" s="20">
        <v>0</v>
      </c>
      <c r="L88" s="17" t="str">
        <f t="shared" si="1"/>
        <v>https://captureandgo.cloudlab.zhaw.ch/uploads/image_2935e23d9c.jpg</v>
      </c>
    </row>
    <row r="89" spans="1:12" ht="16" x14ac:dyDescent="0.2">
      <c r="A89" s="20" t="s">
        <v>4121</v>
      </c>
      <c r="B89" s="20" t="s">
        <v>4122</v>
      </c>
      <c r="C89" s="20" t="s">
        <v>3774</v>
      </c>
      <c r="D89" s="20" t="s">
        <v>4123</v>
      </c>
      <c r="E89" s="20" t="s">
        <v>4124</v>
      </c>
      <c r="F89" s="20" t="s">
        <v>255</v>
      </c>
      <c r="G89" s="20" t="s">
        <v>3777</v>
      </c>
      <c r="H89" s="20" t="s">
        <v>6</v>
      </c>
      <c r="I89" s="39">
        <v>44729.705088229166</v>
      </c>
      <c r="J89" s="39">
        <v>44729.705088252318</v>
      </c>
      <c r="K89" s="20">
        <v>0</v>
      </c>
      <c r="L89" s="17" t="str">
        <f t="shared" si="1"/>
        <v>https://captureandgo.cloudlab.zhaw.ch/uploads/image_44862f3000.jpg</v>
      </c>
    </row>
    <row r="90" spans="1:12" ht="16" x14ac:dyDescent="0.2">
      <c r="A90" s="20" t="s">
        <v>4125</v>
      </c>
      <c r="B90" s="20" t="s">
        <v>4126</v>
      </c>
      <c r="C90" s="20" t="s">
        <v>3774</v>
      </c>
      <c r="D90" s="20" t="s">
        <v>4127</v>
      </c>
      <c r="E90" s="20" t="s">
        <v>4128</v>
      </c>
      <c r="F90" s="20" t="s">
        <v>258</v>
      </c>
      <c r="G90" s="20" t="s">
        <v>3777</v>
      </c>
      <c r="H90" s="20" t="s">
        <v>6</v>
      </c>
      <c r="I90" s="39">
        <v>44729.707412673612</v>
      </c>
      <c r="J90" s="39">
        <v>44729.707412719908</v>
      </c>
      <c r="K90" s="20">
        <v>0</v>
      </c>
      <c r="L90" s="17" t="str">
        <f t="shared" si="1"/>
        <v>https://captureandgo.cloudlab.zhaw.ch/uploads/image_c1ac07306c.jpg</v>
      </c>
    </row>
    <row r="91" spans="1:12" ht="16" x14ac:dyDescent="0.2">
      <c r="A91" s="20" t="s">
        <v>4129</v>
      </c>
      <c r="B91" s="20" t="s">
        <v>4130</v>
      </c>
      <c r="C91" s="20" t="s">
        <v>3774</v>
      </c>
      <c r="D91" s="20" t="s">
        <v>4131</v>
      </c>
      <c r="E91" s="20" t="s">
        <v>4132</v>
      </c>
      <c r="F91" s="20" t="s">
        <v>261</v>
      </c>
      <c r="G91" s="20" t="s">
        <v>3777</v>
      </c>
      <c r="H91" s="20" t="s">
        <v>6</v>
      </c>
      <c r="I91" s="39">
        <v>44729.71124989583</v>
      </c>
      <c r="J91" s="39">
        <v>44729.711250162036</v>
      </c>
      <c r="K91" s="20">
        <v>0</v>
      </c>
      <c r="L91" s="17" t="str">
        <f t="shared" si="1"/>
        <v>https://captureandgo.cloudlab.zhaw.ch/uploads/image_15d9f58198.jpg</v>
      </c>
    </row>
    <row r="92" spans="1:12" ht="16" x14ac:dyDescent="0.2">
      <c r="A92" s="20" t="s">
        <v>4133</v>
      </c>
      <c r="B92" s="20" t="s">
        <v>4134</v>
      </c>
      <c r="C92" s="20" t="s">
        <v>3774</v>
      </c>
      <c r="D92" s="20" t="s">
        <v>4135</v>
      </c>
      <c r="E92" s="20" t="s">
        <v>4136</v>
      </c>
      <c r="F92" s="20" t="s">
        <v>267</v>
      </c>
      <c r="G92" s="20" t="s">
        <v>3777</v>
      </c>
      <c r="H92" s="20" t="s">
        <v>6</v>
      </c>
      <c r="I92" s="39">
        <v>44729.712754155094</v>
      </c>
      <c r="J92" s="39">
        <v>44729.712754189815</v>
      </c>
      <c r="K92" s="20">
        <v>0</v>
      </c>
      <c r="L92" s="17" t="str">
        <f t="shared" si="1"/>
        <v>https://captureandgo.cloudlab.zhaw.ch/uploads/image_a8c07a28f0.jpg</v>
      </c>
    </row>
    <row r="93" spans="1:12" ht="16" x14ac:dyDescent="0.2">
      <c r="A93" s="20" t="s">
        <v>4137</v>
      </c>
      <c r="B93" s="20" t="s">
        <v>4138</v>
      </c>
      <c r="C93" s="20" t="s">
        <v>3774</v>
      </c>
      <c r="D93" s="20" t="s">
        <v>4139</v>
      </c>
      <c r="E93" s="20" t="s">
        <v>4140</v>
      </c>
      <c r="F93" s="20" t="s">
        <v>271</v>
      </c>
      <c r="G93" s="20" t="s">
        <v>3777</v>
      </c>
      <c r="H93" s="20" t="s">
        <v>6</v>
      </c>
      <c r="I93" s="39">
        <v>44729.725753391205</v>
      </c>
      <c r="J93" s="39">
        <v>44729.725753437502</v>
      </c>
      <c r="K93" s="20">
        <v>0</v>
      </c>
      <c r="L93" s="17" t="str">
        <f t="shared" si="1"/>
        <v>https://captureandgo.cloudlab.zhaw.ch/uploads/image_2eeaafe0fb.jpg</v>
      </c>
    </row>
    <row r="94" spans="1:12" ht="16" x14ac:dyDescent="0.2">
      <c r="A94" s="20" t="s">
        <v>4141</v>
      </c>
      <c r="B94" s="20" t="s">
        <v>4142</v>
      </c>
      <c r="C94" s="20" t="s">
        <v>3774</v>
      </c>
      <c r="D94" s="20" t="s">
        <v>4143</v>
      </c>
      <c r="E94" s="20" t="s">
        <v>4144</v>
      </c>
      <c r="F94" s="20" t="s">
        <v>275</v>
      </c>
      <c r="G94" s="20" t="s">
        <v>3777</v>
      </c>
      <c r="H94" s="20" t="s">
        <v>6</v>
      </c>
      <c r="I94" s="39">
        <v>44729.730604780096</v>
      </c>
      <c r="J94" s="39">
        <v>44729.730604826385</v>
      </c>
      <c r="K94" s="20">
        <v>0</v>
      </c>
      <c r="L94" s="17" t="str">
        <f t="shared" si="1"/>
        <v>https://captureandgo.cloudlab.zhaw.ch/uploads/image_d8d935ad86.jpg</v>
      </c>
    </row>
    <row r="95" spans="1:12" ht="16" x14ac:dyDescent="0.2">
      <c r="A95" s="20" t="s">
        <v>4145</v>
      </c>
      <c r="B95" s="20" t="s">
        <v>4146</v>
      </c>
      <c r="C95" s="20" t="s">
        <v>3774</v>
      </c>
      <c r="D95" s="20" t="s">
        <v>4147</v>
      </c>
      <c r="E95" s="20" t="s">
        <v>4148</v>
      </c>
      <c r="F95" s="20" t="s">
        <v>279</v>
      </c>
      <c r="G95" s="20" t="s">
        <v>3777</v>
      </c>
      <c r="H95" s="20" t="s">
        <v>6</v>
      </c>
      <c r="I95" s="39">
        <v>44729.731111655092</v>
      </c>
      <c r="J95" s="39">
        <v>44729.731111689813</v>
      </c>
      <c r="K95" s="20">
        <v>0</v>
      </c>
      <c r="L95" s="17" t="str">
        <f t="shared" si="1"/>
        <v>https://captureandgo.cloudlab.zhaw.ch/uploads/image_d32ca51927.jpg</v>
      </c>
    </row>
    <row r="96" spans="1:12" ht="16" x14ac:dyDescent="0.2">
      <c r="A96" s="20" t="s">
        <v>4149</v>
      </c>
      <c r="B96" s="20" t="s">
        <v>4150</v>
      </c>
      <c r="C96" s="20" t="s">
        <v>3774</v>
      </c>
      <c r="D96" s="20" t="s">
        <v>4151</v>
      </c>
      <c r="E96" s="20" t="s">
        <v>4152</v>
      </c>
      <c r="F96" s="20" t="s">
        <v>282</v>
      </c>
      <c r="G96" s="20" t="s">
        <v>3777</v>
      </c>
      <c r="H96" s="20" t="s">
        <v>6</v>
      </c>
      <c r="I96" s="39">
        <v>44729.732101898146</v>
      </c>
      <c r="J96" s="39">
        <v>44729.732101944443</v>
      </c>
      <c r="K96" s="20">
        <v>0</v>
      </c>
      <c r="L96" s="17" t="str">
        <f t="shared" si="1"/>
        <v>https://captureandgo.cloudlab.zhaw.ch/uploads/image_eded844f1c.jpg</v>
      </c>
    </row>
    <row r="97" spans="1:12" ht="16" x14ac:dyDescent="0.2">
      <c r="A97" s="20" t="s">
        <v>4153</v>
      </c>
      <c r="B97" s="20" t="s">
        <v>4154</v>
      </c>
      <c r="C97" s="20" t="s">
        <v>3774</v>
      </c>
      <c r="D97" s="20" t="s">
        <v>4155</v>
      </c>
      <c r="E97" s="20" t="s">
        <v>4156</v>
      </c>
      <c r="F97" s="20" t="s">
        <v>285</v>
      </c>
      <c r="G97" s="20" t="s">
        <v>3777</v>
      </c>
      <c r="H97" s="20" t="s">
        <v>6</v>
      </c>
      <c r="I97" s="39">
        <v>44729.732499548612</v>
      </c>
      <c r="J97" s="39">
        <v>44729.732499594909</v>
      </c>
      <c r="K97" s="20">
        <v>0</v>
      </c>
      <c r="L97" s="17" t="str">
        <f t="shared" si="1"/>
        <v>https://captureandgo.cloudlab.zhaw.ch/uploads/image_6dd9cf3d29.jpg</v>
      </c>
    </row>
    <row r="98" spans="1:12" ht="16" x14ac:dyDescent="0.2">
      <c r="A98" s="20" t="s">
        <v>4157</v>
      </c>
      <c r="B98" s="20" t="s">
        <v>4158</v>
      </c>
      <c r="C98" s="20" t="s">
        <v>3774</v>
      </c>
      <c r="D98" s="20" t="s">
        <v>4159</v>
      </c>
      <c r="E98" s="20" t="s">
        <v>4160</v>
      </c>
      <c r="F98" s="20" t="s">
        <v>288</v>
      </c>
      <c r="G98" s="20" t="s">
        <v>3777</v>
      </c>
      <c r="H98" s="20" t="s">
        <v>6</v>
      </c>
      <c r="I98" s="39">
        <v>44729.735084849533</v>
      </c>
      <c r="J98" s="39">
        <v>44729.735084884262</v>
      </c>
      <c r="K98" s="20">
        <v>0</v>
      </c>
      <c r="L98" s="17" t="str">
        <f t="shared" si="1"/>
        <v>https://captureandgo.cloudlab.zhaw.ch/uploads/image_926c8b452e.jpg</v>
      </c>
    </row>
    <row r="99" spans="1:12" ht="16" x14ac:dyDescent="0.2">
      <c r="A99" s="20" t="s">
        <v>4161</v>
      </c>
      <c r="B99" s="20" t="s">
        <v>4162</v>
      </c>
      <c r="C99" s="20" t="s">
        <v>3774</v>
      </c>
      <c r="D99" s="20" t="s">
        <v>4163</v>
      </c>
      <c r="E99" s="20" t="s">
        <v>4164</v>
      </c>
      <c r="F99" s="20" t="s">
        <v>291</v>
      </c>
      <c r="G99" s="20" t="s">
        <v>3777</v>
      </c>
      <c r="H99" s="20" t="s">
        <v>6</v>
      </c>
      <c r="I99" s="39">
        <v>44729.736815173608</v>
      </c>
      <c r="J99" s="39">
        <v>44729.736815219905</v>
      </c>
      <c r="K99" s="20">
        <v>0</v>
      </c>
      <c r="L99" s="17" t="str">
        <f t="shared" si="1"/>
        <v>https://captureandgo.cloudlab.zhaw.ch/uploads/image_b5cd027fba.jpg</v>
      </c>
    </row>
    <row r="100" spans="1:12" ht="16" x14ac:dyDescent="0.2">
      <c r="A100" s="20" t="s">
        <v>4165</v>
      </c>
      <c r="B100" s="20" t="s">
        <v>4166</v>
      </c>
      <c r="C100" s="20" t="s">
        <v>3774</v>
      </c>
      <c r="D100" s="20" t="s">
        <v>4167</v>
      </c>
      <c r="E100" s="20" t="s">
        <v>35</v>
      </c>
      <c r="F100" s="20" t="s">
        <v>35</v>
      </c>
      <c r="G100" s="20" t="s">
        <v>35</v>
      </c>
      <c r="H100" s="20" t="s">
        <v>35</v>
      </c>
      <c r="I100" s="39">
        <v>44729.74657278935</v>
      </c>
      <c r="J100" s="39">
        <v>44729.74657278935</v>
      </c>
      <c r="K100" s="20">
        <v>0</v>
      </c>
      <c r="L100" s="17" t="str">
        <f t="shared" si="1"/>
        <v>https://captureandgo.cloudlab.zhaw.ch/uploads/image_7904845d35.jpg</v>
      </c>
    </row>
    <row r="101" spans="1:12" ht="16" x14ac:dyDescent="0.2">
      <c r="A101" s="20" t="s">
        <v>4168</v>
      </c>
      <c r="B101" s="20" t="s">
        <v>4169</v>
      </c>
      <c r="C101" s="20" t="s">
        <v>3774</v>
      </c>
      <c r="D101" s="20" t="s">
        <v>4170</v>
      </c>
      <c r="E101" s="20" t="s">
        <v>4171</v>
      </c>
      <c r="F101" s="20" t="s">
        <v>301</v>
      </c>
      <c r="G101" s="20" t="s">
        <v>3777</v>
      </c>
      <c r="H101" s="20" t="s">
        <v>6</v>
      </c>
      <c r="I101" s="39">
        <v>44729.749122118053</v>
      </c>
      <c r="J101" s="39">
        <v>44729.749122152774</v>
      </c>
      <c r="K101" s="20">
        <v>0</v>
      </c>
      <c r="L101" s="17" t="str">
        <f t="shared" si="1"/>
        <v>https://captureandgo.cloudlab.zhaw.ch/uploads/image_42159cd4a0.jpg</v>
      </c>
    </row>
    <row r="102" spans="1:12" ht="16" x14ac:dyDescent="0.2">
      <c r="A102" s="20" t="s">
        <v>4172</v>
      </c>
      <c r="B102" s="20" t="s">
        <v>4173</v>
      </c>
      <c r="C102" s="20" t="s">
        <v>3774</v>
      </c>
      <c r="D102" s="20" t="s">
        <v>4174</v>
      </c>
      <c r="E102" s="20" t="s">
        <v>4175</v>
      </c>
      <c r="F102" s="20" t="s">
        <v>304</v>
      </c>
      <c r="G102" s="20" t="s">
        <v>3777</v>
      </c>
      <c r="H102" s="20" t="s">
        <v>6</v>
      </c>
      <c r="I102" s="39">
        <v>44735.407009247683</v>
      </c>
      <c r="J102" s="39">
        <v>44735.407009317132</v>
      </c>
      <c r="K102" s="20">
        <v>0</v>
      </c>
      <c r="L102" s="17" t="str">
        <f t="shared" si="1"/>
        <v>https://captureandgo.cloudlab.zhaw.ch/uploads/image_a03eb0e5b0.jpg</v>
      </c>
    </row>
    <row r="103" spans="1:12" ht="16" x14ac:dyDescent="0.2">
      <c r="A103" s="20" t="s">
        <v>4176</v>
      </c>
      <c r="B103" s="20" t="s">
        <v>4177</v>
      </c>
      <c r="C103" s="20" t="s">
        <v>3774</v>
      </c>
      <c r="D103" s="20" t="s">
        <v>4178</v>
      </c>
      <c r="E103" s="20" t="s">
        <v>4179</v>
      </c>
      <c r="F103" s="20" t="s">
        <v>307</v>
      </c>
      <c r="G103" s="20" t="s">
        <v>3777</v>
      </c>
      <c r="H103" s="20" t="s">
        <v>6</v>
      </c>
      <c r="I103" s="39">
        <v>44735.407809641205</v>
      </c>
      <c r="J103" s="39">
        <v>44735.407809687502</v>
      </c>
      <c r="K103" s="20">
        <v>0</v>
      </c>
      <c r="L103" s="17" t="str">
        <f t="shared" si="1"/>
        <v>https://captureandgo.cloudlab.zhaw.ch/uploads/image_14f55dc056.jpg</v>
      </c>
    </row>
    <row r="104" spans="1:12" ht="16" x14ac:dyDescent="0.2">
      <c r="A104" s="20" t="s">
        <v>4180</v>
      </c>
      <c r="B104" s="20" t="s">
        <v>4181</v>
      </c>
      <c r="C104" s="20" t="s">
        <v>3774</v>
      </c>
      <c r="D104" s="20" t="s">
        <v>4182</v>
      </c>
      <c r="E104" s="20" t="s">
        <v>4183</v>
      </c>
      <c r="F104" s="20" t="s">
        <v>310</v>
      </c>
      <c r="G104" s="20" t="s">
        <v>3777</v>
      </c>
      <c r="H104" s="20" t="s">
        <v>6</v>
      </c>
      <c r="I104" s="39">
        <v>44735.408831111112</v>
      </c>
      <c r="J104" s="39">
        <v>44735.408831145833</v>
      </c>
      <c r="K104" s="20">
        <v>0</v>
      </c>
      <c r="L104" s="17" t="str">
        <f t="shared" si="1"/>
        <v>https://captureandgo.cloudlab.zhaw.ch/uploads/image_28990cb158.jpg</v>
      </c>
    </row>
    <row r="105" spans="1:12" ht="16" x14ac:dyDescent="0.2">
      <c r="A105" s="20" t="s">
        <v>4184</v>
      </c>
      <c r="B105" s="20" t="s">
        <v>4185</v>
      </c>
      <c r="C105" s="20" t="s">
        <v>3774</v>
      </c>
      <c r="D105" s="20" t="s">
        <v>4186</v>
      </c>
      <c r="E105" s="20" t="s">
        <v>4187</v>
      </c>
      <c r="F105" s="20" t="s">
        <v>314</v>
      </c>
      <c r="G105" s="20" t="s">
        <v>3777</v>
      </c>
      <c r="H105" s="20" t="s">
        <v>6</v>
      </c>
      <c r="I105" s="39">
        <v>44735.410262511577</v>
      </c>
      <c r="J105" s="39">
        <v>44735.410262546298</v>
      </c>
      <c r="K105" s="20">
        <v>0</v>
      </c>
      <c r="L105" s="17" t="str">
        <f t="shared" si="1"/>
        <v>https://captureandgo.cloudlab.zhaw.ch/uploads/image_dd78c7a38b.jpg</v>
      </c>
    </row>
    <row r="106" spans="1:12" ht="16" x14ac:dyDescent="0.2">
      <c r="A106" s="20" t="s">
        <v>4188</v>
      </c>
      <c r="B106" s="20" t="s">
        <v>4189</v>
      </c>
      <c r="C106" s="20" t="s">
        <v>3774</v>
      </c>
      <c r="D106" s="20" t="s">
        <v>4190</v>
      </c>
      <c r="E106" s="20" t="s">
        <v>4191</v>
      </c>
      <c r="F106" s="20" t="s">
        <v>317</v>
      </c>
      <c r="G106" s="20" t="s">
        <v>3777</v>
      </c>
      <c r="H106" s="20" t="s">
        <v>6</v>
      </c>
      <c r="I106" s="39">
        <v>44735.411099398145</v>
      </c>
      <c r="J106" s="39">
        <v>44735.411099432873</v>
      </c>
      <c r="K106" s="20">
        <v>0</v>
      </c>
      <c r="L106" s="17" t="str">
        <f t="shared" si="1"/>
        <v>https://captureandgo.cloudlab.zhaw.ch/uploads/image_e9a5ef78e5.jpg</v>
      </c>
    </row>
    <row r="107" spans="1:12" ht="16" x14ac:dyDescent="0.2">
      <c r="A107" s="20" t="s">
        <v>4192</v>
      </c>
      <c r="B107" s="20" t="s">
        <v>4193</v>
      </c>
      <c r="C107" s="20" t="s">
        <v>3774</v>
      </c>
      <c r="D107" s="20" t="s">
        <v>4194</v>
      </c>
      <c r="E107" s="20" t="s">
        <v>4195</v>
      </c>
      <c r="F107" s="20" t="s">
        <v>320</v>
      </c>
      <c r="G107" s="20" t="s">
        <v>3777</v>
      </c>
      <c r="H107" s="20" t="s">
        <v>6</v>
      </c>
      <c r="I107" s="39">
        <v>44735.413149155094</v>
      </c>
      <c r="J107" s="39">
        <v>44735.413149189815</v>
      </c>
      <c r="K107" s="20">
        <v>0</v>
      </c>
      <c r="L107" s="17" t="str">
        <f t="shared" si="1"/>
        <v>https://captureandgo.cloudlab.zhaw.ch/uploads/image_8bdcc766ac.jpg</v>
      </c>
    </row>
    <row r="108" spans="1:12" ht="16" x14ac:dyDescent="0.2">
      <c r="A108" s="20" t="s">
        <v>4196</v>
      </c>
      <c r="B108" s="20" t="s">
        <v>4197</v>
      </c>
      <c r="C108" s="20" t="s">
        <v>3774</v>
      </c>
      <c r="D108" s="20" t="s">
        <v>4198</v>
      </c>
      <c r="E108" s="20" t="s">
        <v>4199</v>
      </c>
      <c r="F108" s="20" t="s">
        <v>323</v>
      </c>
      <c r="G108" s="20" t="s">
        <v>3777</v>
      </c>
      <c r="H108" s="20" t="s">
        <v>6</v>
      </c>
      <c r="I108" s="39">
        <v>44735.423540011572</v>
      </c>
      <c r="J108" s="39">
        <v>44735.423540057869</v>
      </c>
      <c r="K108" s="20">
        <v>0</v>
      </c>
      <c r="L108" s="17" t="str">
        <f t="shared" si="1"/>
        <v>https://captureandgo.cloudlab.zhaw.ch/uploads/image_43008b892b.jpg</v>
      </c>
    </row>
    <row r="109" spans="1:12" ht="16" x14ac:dyDescent="0.2">
      <c r="A109" s="20" t="s">
        <v>4200</v>
      </c>
      <c r="B109" s="20" t="s">
        <v>4201</v>
      </c>
      <c r="C109" s="20" t="s">
        <v>3774</v>
      </c>
      <c r="D109" s="20" t="s">
        <v>4202</v>
      </c>
      <c r="E109" s="20" t="s">
        <v>4203</v>
      </c>
      <c r="F109" s="20" t="s">
        <v>323</v>
      </c>
      <c r="G109" s="20" t="s">
        <v>3777</v>
      </c>
      <c r="H109" s="20" t="s">
        <v>6</v>
      </c>
      <c r="I109" s="39">
        <v>44735.424298113423</v>
      </c>
      <c r="J109" s="39">
        <v>44735.424298182872</v>
      </c>
      <c r="K109" s="20">
        <v>0</v>
      </c>
      <c r="L109" s="17" t="str">
        <f t="shared" si="1"/>
        <v>https://captureandgo.cloudlab.zhaw.ch/uploads/image_cd3834f9ab.jpg</v>
      </c>
    </row>
    <row r="110" spans="1:12" ht="16" x14ac:dyDescent="0.2">
      <c r="A110" s="20" t="s">
        <v>4204</v>
      </c>
      <c r="B110" s="20" t="s">
        <v>4205</v>
      </c>
      <c r="C110" s="20" t="s">
        <v>3774</v>
      </c>
      <c r="D110" s="20" t="s">
        <v>4206</v>
      </c>
      <c r="E110" s="20" t="s">
        <v>4207</v>
      </c>
      <c r="F110" s="20" t="s">
        <v>323</v>
      </c>
      <c r="G110" s="20" t="s">
        <v>3777</v>
      </c>
      <c r="H110" s="20" t="s">
        <v>6</v>
      </c>
      <c r="I110" s="39">
        <v>44735.424429768522</v>
      </c>
      <c r="J110" s="39">
        <v>44735.424429791667</v>
      </c>
      <c r="K110" s="20">
        <v>0</v>
      </c>
      <c r="L110" s="17" t="str">
        <f t="shared" si="1"/>
        <v>https://captureandgo.cloudlab.zhaw.ch/uploads/image_6574041a87.jpg</v>
      </c>
    </row>
    <row r="111" spans="1:12" ht="16" x14ac:dyDescent="0.2">
      <c r="A111" s="20" t="s">
        <v>4208</v>
      </c>
      <c r="B111" s="20" t="s">
        <v>4209</v>
      </c>
      <c r="C111" s="20" t="s">
        <v>3774</v>
      </c>
      <c r="D111" s="20" t="s">
        <v>4210</v>
      </c>
      <c r="E111" s="20" t="s">
        <v>4211</v>
      </c>
      <c r="F111" s="20" t="s">
        <v>326</v>
      </c>
      <c r="G111" s="20" t="s">
        <v>3777</v>
      </c>
      <c r="H111" s="20" t="s">
        <v>6</v>
      </c>
      <c r="I111" s="39">
        <v>44735.425276574075</v>
      </c>
      <c r="J111" s="39">
        <v>44735.425276608796</v>
      </c>
      <c r="K111" s="20">
        <v>0</v>
      </c>
      <c r="L111" s="17" t="str">
        <f t="shared" si="1"/>
        <v>https://captureandgo.cloudlab.zhaw.ch/uploads/image_d2a179154e.jpg</v>
      </c>
    </row>
    <row r="112" spans="1:12" ht="16" x14ac:dyDescent="0.2">
      <c r="A112" s="20" t="s">
        <v>4212</v>
      </c>
      <c r="B112" s="20" t="s">
        <v>4213</v>
      </c>
      <c r="C112" s="20" t="s">
        <v>3774</v>
      </c>
      <c r="D112" s="20" t="s">
        <v>4214</v>
      </c>
      <c r="E112" s="20" t="s">
        <v>35</v>
      </c>
      <c r="F112" s="20" t="s">
        <v>35</v>
      </c>
      <c r="G112" s="20" t="s">
        <v>35</v>
      </c>
      <c r="H112" s="20" t="s">
        <v>35</v>
      </c>
      <c r="I112" s="39">
        <v>44735.427845729166</v>
      </c>
      <c r="J112" s="39">
        <v>44735.427845729166</v>
      </c>
      <c r="K112" s="20">
        <v>0</v>
      </c>
      <c r="L112" s="17" t="str">
        <f t="shared" si="1"/>
        <v>https://captureandgo.cloudlab.zhaw.ch/uploads/image_8a244dc044.jpg</v>
      </c>
    </row>
    <row r="113" spans="1:12" ht="16" x14ac:dyDescent="0.2">
      <c r="A113" s="20" t="s">
        <v>4215</v>
      </c>
      <c r="B113" s="20" t="s">
        <v>4216</v>
      </c>
      <c r="C113" s="20" t="s">
        <v>3774</v>
      </c>
      <c r="D113" s="20" t="s">
        <v>4217</v>
      </c>
      <c r="E113" s="20" t="s">
        <v>4218</v>
      </c>
      <c r="F113" s="20" t="s">
        <v>331</v>
      </c>
      <c r="G113" s="20" t="s">
        <v>3777</v>
      </c>
      <c r="H113" s="20" t="s">
        <v>6</v>
      </c>
      <c r="I113" s="39">
        <v>44735.428837673608</v>
      </c>
      <c r="J113" s="39">
        <v>44735.428837743057</v>
      </c>
      <c r="K113" s="20">
        <v>0</v>
      </c>
      <c r="L113" s="17" t="str">
        <f t="shared" si="1"/>
        <v>https://captureandgo.cloudlab.zhaw.ch/uploads/image_9a49b597dd.jpg</v>
      </c>
    </row>
    <row r="114" spans="1:12" ht="16" x14ac:dyDescent="0.2">
      <c r="A114" s="20" t="s">
        <v>4219</v>
      </c>
      <c r="B114" s="20" t="s">
        <v>4220</v>
      </c>
      <c r="C114" s="20" t="s">
        <v>3774</v>
      </c>
      <c r="D114" s="20" t="s">
        <v>4221</v>
      </c>
      <c r="E114" s="20" t="s">
        <v>4222</v>
      </c>
      <c r="F114" s="20" t="s">
        <v>334</v>
      </c>
      <c r="G114" s="20" t="s">
        <v>3777</v>
      </c>
      <c r="H114" s="20" t="s">
        <v>6</v>
      </c>
      <c r="I114" s="39">
        <v>44735.45942875</v>
      </c>
      <c r="J114" s="39">
        <v>44735.459428796297</v>
      </c>
      <c r="K114" s="20">
        <v>0</v>
      </c>
      <c r="L114" s="17" t="str">
        <f t="shared" si="1"/>
        <v>https://captureandgo.cloudlab.zhaw.ch/uploads/image_e4c603bfae.jpg</v>
      </c>
    </row>
    <row r="115" spans="1:12" ht="16" x14ac:dyDescent="0.2">
      <c r="A115" s="20" t="s">
        <v>4223</v>
      </c>
      <c r="B115" s="20" t="s">
        <v>4224</v>
      </c>
      <c r="C115" s="20" t="s">
        <v>3774</v>
      </c>
      <c r="D115" s="20" t="s">
        <v>4225</v>
      </c>
      <c r="E115" s="20" t="s">
        <v>4226</v>
      </c>
      <c r="F115" s="20" t="s">
        <v>337</v>
      </c>
      <c r="G115" s="20" t="s">
        <v>3777</v>
      </c>
      <c r="H115" s="20" t="s">
        <v>6</v>
      </c>
      <c r="I115" s="39">
        <v>44735.460056828706</v>
      </c>
      <c r="J115" s="39">
        <v>44735.460056863427</v>
      </c>
      <c r="K115" s="20">
        <v>0</v>
      </c>
      <c r="L115" s="17" t="str">
        <f t="shared" si="1"/>
        <v>https://captureandgo.cloudlab.zhaw.ch/uploads/image_bcbefb246b.jpg</v>
      </c>
    </row>
    <row r="116" spans="1:12" ht="16" x14ac:dyDescent="0.2">
      <c r="A116" s="20" t="s">
        <v>4227</v>
      </c>
      <c r="B116" s="20" t="s">
        <v>4228</v>
      </c>
      <c r="C116" s="20" t="s">
        <v>3774</v>
      </c>
      <c r="D116" s="20" t="s">
        <v>4229</v>
      </c>
      <c r="E116" s="20" t="s">
        <v>4230</v>
      </c>
      <c r="F116" s="20" t="s">
        <v>340</v>
      </c>
      <c r="G116" s="20" t="s">
        <v>3777</v>
      </c>
      <c r="H116" s="20" t="s">
        <v>6</v>
      </c>
      <c r="I116" s="39">
        <v>44735.461521620367</v>
      </c>
      <c r="J116" s="39">
        <v>44735.461521666664</v>
      </c>
      <c r="K116" s="20">
        <v>0</v>
      </c>
      <c r="L116" s="17" t="str">
        <f t="shared" si="1"/>
        <v>https://captureandgo.cloudlab.zhaw.ch/uploads/image_41e13c57da.jpg</v>
      </c>
    </row>
    <row r="117" spans="1:12" ht="16" x14ac:dyDescent="0.2">
      <c r="A117" s="20" t="s">
        <v>4231</v>
      </c>
      <c r="B117" s="20" t="s">
        <v>4232</v>
      </c>
      <c r="C117" s="20" t="s">
        <v>3774</v>
      </c>
      <c r="D117" s="20" t="s">
        <v>4233</v>
      </c>
      <c r="E117" s="20" t="s">
        <v>4234</v>
      </c>
      <c r="F117" s="20" t="s">
        <v>343</v>
      </c>
      <c r="G117" s="20" t="s">
        <v>3777</v>
      </c>
      <c r="H117" s="20" t="s">
        <v>6</v>
      </c>
      <c r="I117" s="39">
        <v>44735.46485232639</v>
      </c>
      <c r="J117" s="39">
        <v>44735.464852372686</v>
      </c>
      <c r="K117" s="20">
        <v>0</v>
      </c>
      <c r="L117" s="17" t="str">
        <f t="shared" si="1"/>
        <v>https://captureandgo.cloudlab.zhaw.ch/uploads/image_aeecb5f65b.jpg</v>
      </c>
    </row>
    <row r="118" spans="1:12" ht="16" x14ac:dyDescent="0.2">
      <c r="A118" s="20" t="s">
        <v>4235</v>
      </c>
      <c r="B118" s="20" t="s">
        <v>4236</v>
      </c>
      <c r="C118" s="20" t="s">
        <v>3774</v>
      </c>
      <c r="D118" s="20" t="s">
        <v>4237</v>
      </c>
      <c r="E118" s="20" t="s">
        <v>4238</v>
      </c>
      <c r="F118" s="20" t="s">
        <v>343</v>
      </c>
      <c r="G118" s="20" t="s">
        <v>3777</v>
      </c>
      <c r="H118" s="20" t="s">
        <v>6</v>
      </c>
      <c r="I118" s="39">
        <v>44735.465119722219</v>
      </c>
      <c r="J118" s="39">
        <v>44735.465119745371</v>
      </c>
      <c r="K118" s="20">
        <v>0</v>
      </c>
      <c r="L118" s="17" t="str">
        <f t="shared" si="1"/>
        <v>https://captureandgo.cloudlab.zhaw.ch/uploads/image_002bf2d537.jpg</v>
      </c>
    </row>
    <row r="119" spans="1:12" ht="16" x14ac:dyDescent="0.2">
      <c r="A119" s="20" t="s">
        <v>4239</v>
      </c>
      <c r="B119" s="20" t="s">
        <v>4240</v>
      </c>
      <c r="C119" s="20" t="s">
        <v>3774</v>
      </c>
      <c r="D119" s="20" t="s">
        <v>4241</v>
      </c>
      <c r="E119" s="20" t="s">
        <v>4242</v>
      </c>
      <c r="F119" s="20" t="s">
        <v>343</v>
      </c>
      <c r="G119" s="20" t="s">
        <v>3777</v>
      </c>
      <c r="H119" s="20" t="s">
        <v>6</v>
      </c>
      <c r="I119" s="39">
        <v>44735.465173495373</v>
      </c>
      <c r="J119" s="39">
        <v>44735.465173530094</v>
      </c>
      <c r="K119" s="20">
        <v>0</v>
      </c>
      <c r="L119" s="17" t="str">
        <f t="shared" si="1"/>
        <v>https://captureandgo.cloudlab.zhaw.ch/uploads/image_7e920bcd40.jpg</v>
      </c>
    </row>
    <row r="120" spans="1:12" ht="16" x14ac:dyDescent="0.2">
      <c r="A120" s="20" t="s">
        <v>4243</v>
      </c>
      <c r="B120" s="20" t="s">
        <v>4244</v>
      </c>
      <c r="C120" s="20" t="s">
        <v>3774</v>
      </c>
      <c r="D120" s="20" t="s">
        <v>4245</v>
      </c>
      <c r="E120" s="20" t="s">
        <v>4246</v>
      </c>
      <c r="F120" s="20" t="s">
        <v>4247</v>
      </c>
      <c r="G120" s="20" t="s">
        <v>3777</v>
      </c>
      <c r="H120" s="20" t="s">
        <v>6</v>
      </c>
      <c r="I120" s="39">
        <v>44735.466169513886</v>
      </c>
      <c r="J120" s="39">
        <v>44735.466169560183</v>
      </c>
      <c r="K120" s="20">
        <v>0</v>
      </c>
      <c r="L120" s="17" t="str">
        <f t="shared" si="1"/>
        <v>https://captureandgo.cloudlab.zhaw.ch/uploads/image_865c6cd66d.jpg</v>
      </c>
    </row>
    <row r="121" spans="1:12" ht="16" x14ac:dyDescent="0.2">
      <c r="A121" s="20" t="s">
        <v>4248</v>
      </c>
      <c r="B121" s="20" t="s">
        <v>4249</v>
      </c>
      <c r="C121" s="20" t="s">
        <v>3774</v>
      </c>
      <c r="D121" s="20" t="s">
        <v>4250</v>
      </c>
      <c r="E121" s="20" t="s">
        <v>4251</v>
      </c>
      <c r="F121" s="20" t="s">
        <v>346</v>
      </c>
      <c r="G121" s="20" t="s">
        <v>3777</v>
      </c>
      <c r="H121" s="20" t="s">
        <v>6</v>
      </c>
      <c r="I121" s="39">
        <v>44735.471354074078</v>
      </c>
      <c r="J121" s="39">
        <v>44735.471354120367</v>
      </c>
      <c r="K121" s="20">
        <v>0</v>
      </c>
      <c r="L121" s="17" t="str">
        <f t="shared" si="1"/>
        <v>https://captureandgo.cloudlab.zhaw.ch/uploads/image_a2933f9718.jpg</v>
      </c>
    </row>
    <row r="122" spans="1:12" ht="16" x14ac:dyDescent="0.2">
      <c r="A122" s="20" t="s">
        <v>4252</v>
      </c>
      <c r="B122" s="20" t="s">
        <v>4253</v>
      </c>
      <c r="C122" s="20" t="s">
        <v>3774</v>
      </c>
      <c r="D122" s="20" t="s">
        <v>4254</v>
      </c>
      <c r="E122" s="20" t="s">
        <v>4255</v>
      </c>
      <c r="F122" s="20" t="s">
        <v>349</v>
      </c>
      <c r="G122" s="20" t="s">
        <v>3777</v>
      </c>
      <c r="H122" s="20" t="s">
        <v>6</v>
      </c>
      <c r="I122" s="39">
        <v>44735.473317256947</v>
      </c>
      <c r="J122" s="39">
        <v>44735.473317303244</v>
      </c>
      <c r="K122" s="20">
        <v>0</v>
      </c>
      <c r="L122" s="17" t="str">
        <f t="shared" si="1"/>
        <v>https://captureandgo.cloudlab.zhaw.ch/uploads/image_b1757bd236.jpg</v>
      </c>
    </row>
    <row r="123" spans="1:12" ht="16" x14ac:dyDescent="0.2">
      <c r="A123" s="20" t="s">
        <v>4256</v>
      </c>
      <c r="B123" s="20" t="s">
        <v>4257</v>
      </c>
      <c r="C123" s="20" t="s">
        <v>3774</v>
      </c>
      <c r="D123" s="20" t="s">
        <v>4258</v>
      </c>
      <c r="E123" s="20" t="s">
        <v>4259</v>
      </c>
      <c r="F123" s="20" t="s">
        <v>353</v>
      </c>
      <c r="G123" s="20" t="s">
        <v>3777</v>
      </c>
      <c r="H123" s="20" t="s">
        <v>6</v>
      </c>
      <c r="I123" s="39">
        <v>44735.473905810184</v>
      </c>
      <c r="J123" s="39">
        <v>44735.473905844905</v>
      </c>
      <c r="K123" s="20">
        <v>0</v>
      </c>
      <c r="L123" s="17" t="str">
        <f t="shared" si="1"/>
        <v>https://captureandgo.cloudlab.zhaw.ch/uploads/image_a9fd137950.jpg</v>
      </c>
    </row>
    <row r="124" spans="1:12" ht="16" x14ac:dyDescent="0.2">
      <c r="A124" s="20" t="s">
        <v>4260</v>
      </c>
      <c r="B124" s="20" t="s">
        <v>4261</v>
      </c>
      <c r="C124" s="20" t="s">
        <v>3774</v>
      </c>
      <c r="D124" s="20" t="s">
        <v>4262</v>
      </c>
      <c r="E124" s="20" t="s">
        <v>4263</v>
      </c>
      <c r="F124" s="20" t="s">
        <v>356</v>
      </c>
      <c r="G124" s="20" t="s">
        <v>3777</v>
      </c>
      <c r="H124" s="20" t="s">
        <v>6</v>
      </c>
      <c r="I124" s="39">
        <v>44735.475411631945</v>
      </c>
      <c r="J124" s="39">
        <v>44735.475411678242</v>
      </c>
      <c r="K124" s="20">
        <v>0</v>
      </c>
      <c r="L124" s="17" t="str">
        <f t="shared" si="1"/>
        <v>https://captureandgo.cloudlab.zhaw.ch/uploads/image_156b9ed517.jpg</v>
      </c>
    </row>
    <row r="125" spans="1:12" ht="16" x14ac:dyDescent="0.2">
      <c r="A125" s="20" t="s">
        <v>4264</v>
      </c>
      <c r="B125" s="20" t="s">
        <v>4265</v>
      </c>
      <c r="C125" s="20" t="s">
        <v>3774</v>
      </c>
      <c r="D125" s="20" t="s">
        <v>4266</v>
      </c>
      <c r="E125" s="20" t="s">
        <v>4267</v>
      </c>
      <c r="F125" s="20" t="s">
        <v>359</v>
      </c>
      <c r="G125" s="20" t="s">
        <v>3777</v>
      </c>
      <c r="H125" s="20" t="s">
        <v>6</v>
      </c>
      <c r="I125" s="39">
        <v>44735.47763572917</v>
      </c>
      <c r="J125" s="39">
        <v>44735.47763577546</v>
      </c>
      <c r="K125" s="20">
        <v>0</v>
      </c>
      <c r="L125" s="17" t="str">
        <f t="shared" si="1"/>
        <v>https://captureandgo.cloudlab.zhaw.ch/uploads/image_4a164c4a6a.jpg</v>
      </c>
    </row>
    <row r="126" spans="1:12" ht="16" x14ac:dyDescent="0.2">
      <c r="A126" s="20" t="s">
        <v>4268</v>
      </c>
      <c r="B126" s="20" t="s">
        <v>4269</v>
      </c>
      <c r="C126" s="20" t="s">
        <v>3774</v>
      </c>
      <c r="D126" s="20" t="s">
        <v>4270</v>
      </c>
      <c r="E126" s="20" t="s">
        <v>4271</v>
      </c>
      <c r="F126" s="20" t="s">
        <v>362</v>
      </c>
      <c r="G126" s="20" t="s">
        <v>3777</v>
      </c>
      <c r="H126" s="20" t="s">
        <v>6</v>
      </c>
      <c r="I126" s="39">
        <v>44735.478378252315</v>
      </c>
      <c r="J126" s="39">
        <v>44735.478378298612</v>
      </c>
      <c r="K126" s="20">
        <v>0</v>
      </c>
      <c r="L126" s="17" t="str">
        <f t="shared" si="1"/>
        <v>https://captureandgo.cloudlab.zhaw.ch/uploads/image_a3d1b2ab46.jpg</v>
      </c>
    </row>
    <row r="127" spans="1:12" ht="16" x14ac:dyDescent="0.2">
      <c r="A127" s="20" t="s">
        <v>4272</v>
      </c>
      <c r="B127" s="20" t="s">
        <v>4273</v>
      </c>
      <c r="C127" s="20" t="s">
        <v>3774</v>
      </c>
      <c r="D127" s="20" t="s">
        <v>4274</v>
      </c>
      <c r="E127" s="20" t="s">
        <v>4275</v>
      </c>
      <c r="F127" s="20" t="s">
        <v>365</v>
      </c>
      <c r="G127" s="20" t="s">
        <v>3777</v>
      </c>
      <c r="H127" s="20" t="s">
        <v>6</v>
      </c>
      <c r="I127" s="39">
        <v>44735.478746238427</v>
      </c>
      <c r="J127" s="39">
        <v>44735.478746284723</v>
      </c>
      <c r="K127" s="20">
        <v>0</v>
      </c>
      <c r="L127" s="17" t="str">
        <f t="shared" si="1"/>
        <v>https://captureandgo.cloudlab.zhaw.ch/uploads/image_bc3ddac8ce.jpg</v>
      </c>
    </row>
    <row r="128" spans="1:12" ht="16" x14ac:dyDescent="0.2">
      <c r="A128" s="20" t="s">
        <v>4276</v>
      </c>
      <c r="B128" s="20" t="s">
        <v>4277</v>
      </c>
      <c r="C128" s="20" t="s">
        <v>3774</v>
      </c>
      <c r="D128" s="20" t="s">
        <v>4278</v>
      </c>
      <c r="E128" s="20" t="s">
        <v>4279</v>
      </c>
      <c r="F128" s="20" t="s">
        <v>365</v>
      </c>
      <c r="G128" s="20" t="s">
        <v>3777</v>
      </c>
      <c r="H128" s="20" t="s">
        <v>6</v>
      </c>
      <c r="I128" s="39">
        <v>44735.479839409723</v>
      </c>
      <c r="J128" s="39">
        <v>44735.479839791667</v>
      </c>
      <c r="K128" s="20">
        <v>0</v>
      </c>
      <c r="L128" s="17" t="str">
        <f t="shared" si="1"/>
        <v>https://captureandgo.cloudlab.zhaw.ch/uploads/image_1af2eb30ea.jpg</v>
      </c>
    </row>
    <row r="129" spans="1:12" ht="16" x14ac:dyDescent="0.2">
      <c r="A129" s="20" t="s">
        <v>4280</v>
      </c>
      <c r="B129" s="20" t="s">
        <v>4281</v>
      </c>
      <c r="C129" s="20" t="s">
        <v>3774</v>
      </c>
      <c r="D129" s="20" t="s">
        <v>4282</v>
      </c>
      <c r="E129" s="20" t="s">
        <v>4283</v>
      </c>
      <c r="F129" s="20" t="s">
        <v>365</v>
      </c>
      <c r="G129" s="20" t="s">
        <v>3777</v>
      </c>
      <c r="H129" s="20" t="s">
        <v>6</v>
      </c>
      <c r="I129" s="39">
        <v>44735.479946689811</v>
      </c>
      <c r="J129" s="39">
        <v>44735.479946724539</v>
      </c>
      <c r="K129" s="20">
        <v>0</v>
      </c>
      <c r="L129" s="17" t="str">
        <f t="shared" si="1"/>
        <v>https://captureandgo.cloudlab.zhaw.ch/uploads/image_aa764a326e.jpg</v>
      </c>
    </row>
    <row r="130" spans="1:12" ht="16" x14ac:dyDescent="0.2">
      <c r="A130" s="20" t="s">
        <v>4284</v>
      </c>
      <c r="B130" s="20" t="s">
        <v>4285</v>
      </c>
      <c r="C130" s="20" t="s">
        <v>3774</v>
      </c>
      <c r="D130" s="20" t="s">
        <v>4286</v>
      </c>
      <c r="E130" s="20" t="s">
        <v>4287</v>
      </c>
      <c r="F130" s="20" t="s">
        <v>370</v>
      </c>
      <c r="G130" s="20" t="s">
        <v>3777</v>
      </c>
      <c r="H130" s="20" t="s">
        <v>6</v>
      </c>
      <c r="I130" s="39">
        <v>44735.481273240737</v>
      </c>
      <c r="J130" s="39">
        <v>44735.481273275465</v>
      </c>
      <c r="K130" s="20">
        <v>0</v>
      </c>
      <c r="L130" s="17" t="str">
        <f t="shared" ref="L130:L193" si="2">HYPERLINK("https://captureandgo.cloudlab.zhaw.ch"&amp;B130)</f>
        <v>https://captureandgo.cloudlab.zhaw.ch/uploads/image_c659c95aa0.jpg</v>
      </c>
    </row>
    <row r="131" spans="1:12" ht="16" x14ac:dyDescent="0.2">
      <c r="A131" s="20" t="s">
        <v>4288</v>
      </c>
      <c r="B131" s="20" t="s">
        <v>4289</v>
      </c>
      <c r="C131" s="20" t="s">
        <v>3774</v>
      </c>
      <c r="D131" s="20" t="s">
        <v>4290</v>
      </c>
      <c r="E131" s="20" t="s">
        <v>4291</v>
      </c>
      <c r="F131" s="20" t="s">
        <v>373</v>
      </c>
      <c r="G131" s="20" t="s">
        <v>3777</v>
      </c>
      <c r="H131" s="20" t="s">
        <v>6</v>
      </c>
      <c r="I131" s="39">
        <v>44735.482062372685</v>
      </c>
      <c r="J131" s="39">
        <v>44735.482062418982</v>
      </c>
      <c r="K131" s="20">
        <v>0</v>
      </c>
      <c r="L131" s="17" t="str">
        <f t="shared" si="2"/>
        <v>https://captureandgo.cloudlab.zhaw.ch/uploads/image_05970481c6.jpg</v>
      </c>
    </row>
    <row r="132" spans="1:12" ht="16" x14ac:dyDescent="0.2">
      <c r="A132" s="20" t="s">
        <v>4292</v>
      </c>
      <c r="B132" s="20" t="s">
        <v>4293</v>
      </c>
      <c r="C132" s="20" t="s">
        <v>3774</v>
      </c>
      <c r="D132" s="20" t="s">
        <v>4294</v>
      </c>
      <c r="E132" s="20" t="s">
        <v>4295</v>
      </c>
      <c r="F132" s="20" t="s">
        <v>376</v>
      </c>
      <c r="G132" s="20" t="s">
        <v>3777</v>
      </c>
      <c r="H132" s="20" t="s">
        <v>6</v>
      </c>
      <c r="I132" s="39">
        <v>44735.483830243058</v>
      </c>
      <c r="J132" s="39">
        <v>44735.483830289355</v>
      </c>
      <c r="K132" s="20">
        <v>0</v>
      </c>
      <c r="L132" s="17" t="str">
        <f t="shared" si="2"/>
        <v>https://captureandgo.cloudlab.zhaw.ch/uploads/image_3e2c6b1ef6.jpg</v>
      </c>
    </row>
    <row r="133" spans="1:12" ht="16" x14ac:dyDescent="0.2">
      <c r="A133" s="20" t="s">
        <v>4296</v>
      </c>
      <c r="B133" s="20" t="s">
        <v>4297</v>
      </c>
      <c r="C133" s="20" t="s">
        <v>3774</v>
      </c>
      <c r="D133" s="20" t="s">
        <v>4298</v>
      </c>
      <c r="E133" s="20" t="s">
        <v>4299</v>
      </c>
      <c r="F133" s="20" t="s">
        <v>379</v>
      </c>
      <c r="G133" s="20" t="s">
        <v>3777</v>
      </c>
      <c r="H133" s="20" t="s">
        <v>6</v>
      </c>
      <c r="I133" s="39">
        <v>44735.485315486112</v>
      </c>
      <c r="J133" s="39">
        <v>44735.485315532409</v>
      </c>
      <c r="K133" s="20">
        <v>0</v>
      </c>
      <c r="L133" s="17" t="str">
        <f t="shared" si="2"/>
        <v>https://captureandgo.cloudlab.zhaw.ch/uploads/image_ce5917e524.jpg</v>
      </c>
    </row>
    <row r="134" spans="1:12" ht="16" x14ac:dyDescent="0.2">
      <c r="A134" s="20" t="s">
        <v>4300</v>
      </c>
      <c r="B134" s="20" t="s">
        <v>4301</v>
      </c>
      <c r="C134" s="20" t="s">
        <v>3774</v>
      </c>
      <c r="D134" s="20" t="s">
        <v>4302</v>
      </c>
      <c r="E134" s="20" t="s">
        <v>4303</v>
      </c>
      <c r="F134" s="20" t="s">
        <v>379</v>
      </c>
      <c r="G134" s="20" t="s">
        <v>3777</v>
      </c>
      <c r="H134" s="20" t="s">
        <v>6</v>
      </c>
      <c r="I134" s="39">
        <v>44735.485541608796</v>
      </c>
      <c r="J134" s="39">
        <v>44735.485541631948</v>
      </c>
      <c r="K134" s="20">
        <v>0</v>
      </c>
      <c r="L134" s="17" t="str">
        <f t="shared" si="2"/>
        <v>https://captureandgo.cloudlab.zhaw.ch/uploads/image_b7a8659bb1.jpg</v>
      </c>
    </row>
    <row r="135" spans="1:12" ht="16" x14ac:dyDescent="0.2">
      <c r="A135" s="20" t="s">
        <v>4304</v>
      </c>
      <c r="B135" s="20" t="s">
        <v>4305</v>
      </c>
      <c r="C135" s="20" t="s">
        <v>3774</v>
      </c>
      <c r="D135" s="20" t="s">
        <v>4306</v>
      </c>
      <c r="E135" s="20" t="s">
        <v>4307</v>
      </c>
      <c r="F135" s="20" t="s">
        <v>379</v>
      </c>
      <c r="G135" s="20" t="s">
        <v>3777</v>
      </c>
      <c r="H135" s="20" t="s">
        <v>6</v>
      </c>
      <c r="I135" s="39">
        <v>44735.485615729165</v>
      </c>
      <c r="J135" s="39">
        <v>44735.485615752317</v>
      </c>
      <c r="K135" s="20">
        <v>0</v>
      </c>
      <c r="L135" s="17" t="str">
        <f t="shared" si="2"/>
        <v>https://captureandgo.cloudlab.zhaw.ch/uploads/image_de4ab1e3eb.jpg</v>
      </c>
    </row>
    <row r="136" spans="1:12" ht="16" x14ac:dyDescent="0.2">
      <c r="A136" s="20" t="s">
        <v>4308</v>
      </c>
      <c r="B136" s="20" t="s">
        <v>4309</v>
      </c>
      <c r="C136" s="20" t="s">
        <v>3774</v>
      </c>
      <c r="D136" s="20" t="s">
        <v>4310</v>
      </c>
      <c r="E136" s="20" t="s">
        <v>4311</v>
      </c>
      <c r="F136" s="20" t="s">
        <v>382</v>
      </c>
      <c r="G136" s="20" t="s">
        <v>3777</v>
      </c>
      <c r="H136" s="20" t="s">
        <v>6</v>
      </c>
      <c r="I136" s="39">
        <v>44735.487278391207</v>
      </c>
      <c r="J136" s="39">
        <v>44735.487278425928</v>
      </c>
      <c r="K136" s="20">
        <v>0</v>
      </c>
      <c r="L136" s="17" t="str">
        <f t="shared" si="2"/>
        <v>https://captureandgo.cloudlab.zhaw.ch/uploads/image_7dd5039d16.jpg</v>
      </c>
    </row>
    <row r="137" spans="1:12" ht="16" x14ac:dyDescent="0.2">
      <c r="A137" s="20" t="s">
        <v>4312</v>
      </c>
      <c r="B137" s="20" t="s">
        <v>4313</v>
      </c>
      <c r="C137" s="20" t="s">
        <v>3774</v>
      </c>
      <c r="D137" s="20" t="s">
        <v>4314</v>
      </c>
      <c r="E137" s="20" t="s">
        <v>4315</v>
      </c>
      <c r="F137" s="20" t="s">
        <v>385</v>
      </c>
      <c r="G137" s="20" t="s">
        <v>3777</v>
      </c>
      <c r="H137" s="20" t="s">
        <v>6</v>
      </c>
      <c r="I137" s="39">
        <v>44735.488187268522</v>
      </c>
      <c r="J137" s="39">
        <v>44735.488187291667</v>
      </c>
      <c r="K137" s="20">
        <v>0</v>
      </c>
      <c r="L137" s="17" t="str">
        <f t="shared" si="2"/>
        <v>https://captureandgo.cloudlab.zhaw.ch/uploads/image_65f5d35a97.jpg</v>
      </c>
    </row>
    <row r="138" spans="1:12" ht="16" x14ac:dyDescent="0.2">
      <c r="A138" s="20" t="s">
        <v>4316</v>
      </c>
      <c r="B138" s="20" t="s">
        <v>4317</v>
      </c>
      <c r="C138" s="20" t="s">
        <v>3774</v>
      </c>
      <c r="D138" s="20" t="s">
        <v>4318</v>
      </c>
      <c r="E138" s="20" t="s">
        <v>4319</v>
      </c>
      <c r="F138" s="20" t="s">
        <v>388</v>
      </c>
      <c r="G138" s="20" t="s">
        <v>3777</v>
      </c>
      <c r="H138" s="20" t="s">
        <v>6</v>
      </c>
      <c r="I138" s="39">
        <v>44735.489044050926</v>
      </c>
      <c r="J138" s="39">
        <v>44735.489044085647</v>
      </c>
      <c r="K138" s="20">
        <v>0</v>
      </c>
      <c r="L138" s="17" t="str">
        <f t="shared" si="2"/>
        <v>https://captureandgo.cloudlab.zhaw.ch/uploads/image_9ec98c5059.jpg</v>
      </c>
    </row>
    <row r="139" spans="1:12" ht="16" x14ac:dyDescent="0.2">
      <c r="A139" s="20" t="s">
        <v>4320</v>
      </c>
      <c r="B139" s="20" t="s">
        <v>4321</v>
      </c>
      <c r="C139" s="20" t="s">
        <v>3774</v>
      </c>
      <c r="D139" s="20" t="s">
        <v>4322</v>
      </c>
      <c r="E139" s="20" t="s">
        <v>4323</v>
      </c>
      <c r="F139" s="20" t="s">
        <v>391</v>
      </c>
      <c r="G139" s="20" t="s">
        <v>3777</v>
      </c>
      <c r="H139" s="20" t="s">
        <v>6</v>
      </c>
      <c r="I139" s="39">
        <v>44735.49039053241</v>
      </c>
      <c r="J139" s="39">
        <v>44735.490390567131</v>
      </c>
      <c r="K139" s="20">
        <v>0</v>
      </c>
      <c r="L139" s="17" t="str">
        <f t="shared" si="2"/>
        <v>https://captureandgo.cloudlab.zhaw.ch/uploads/image_717282610d.jpg</v>
      </c>
    </row>
    <row r="140" spans="1:12" ht="16" x14ac:dyDescent="0.2">
      <c r="A140" s="20" t="s">
        <v>4324</v>
      </c>
      <c r="B140" s="20" t="s">
        <v>4325</v>
      </c>
      <c r="C140" s="20" t="s">
        <v>3774</v>
      </c>
      <c r="D140" s="20" t="s">
        <v>4326</v>
      </c>
      <c r="E140" s="20" t="s">
        <v>4327</v>
      </c>
      <c r="F140" s="20" t="s">
        <v>394</v>
      </c>
      <c r="G140" s="20" t="s">
        <v>3777</v>
      </c>
      <c r="H140" s="20" t="s">
        <v>6</v>
      </c>
      <c r="I140" s="39">
        <v>44735.490898842596</v>
      </c>
      <c r="J140" s="39">
        <v>44735.490898900462</v>
      </c>
      <c r="K140" s="20">
        <v>0</v>
      </c>
      <c r="L140" s="17" t="str">
        <f t="shared" si="2"/>
        <v>https://captureandgo.cloudlab.zhaw.ch/uploads/image_e57143dd04.jpg</v>
      </c>
    </row>
    <row r="141" spans="1:12" ht="16" x14ac:dyDescent="0.2">
      <c r="A141" s="20" t="s">
        <v>4328</v>
      </c>
      <c r="B141" s="20" t="s">
        <v>4329</v>
      </c>
      <c r="C141" s="20" t="s">
        <v>3774</v>
      </c>
      <c r="D141" s="20" t="s">
        <v>4330</v>
      </c>
      <c r="E141" s="20" t="s">
        <v>4331</v>
      </c>
      <c r="F141" s="20" t="s">
        <v>397</v>
      </c>
      <c r="G141" s="20" t="s">
        <v>3777</v>
      </c>
      <c r="H141" s="20" t="s">
        <v>6</v>
      </c>
      <c r="I141" s="39">
        <v>44735.492415069442</v>
      </c>
      <c r="J141" s="39">
        <v>44735.492415104163</v>
      </c>
      <c r="K141" s="20">
        <v>0</v>
      </c>
      <c r="L141" s="17" t="str">
        <f t="shared" si="2"/>
        <v>https://captureandgo.cloudlab.zhaw.ch/uploads/image_78dfe5e03c.jpg</v>
      </c>
    </row>
    <row r="142" spans="1:12" ht="16" x14ac:dyDescent="0.2">
      <c r="A142" s="20" t="s">
        <v>4332</v>
      </c>
      <c r="B142" s="20" t="s">
        <v>4333</v>
      </c>
      <c r="C142" s="20" t="s">
        <v>3774</v>
      </c>
      <c r="D142" s="20" t="s">
        <v>4334</v>
      </c>
      <c r="E142" s="20" t="s">
        <v>4335</v>
      </c>
      <c r="F142" s="20" t="s">
        <v>400</v>
      </c>
      <c r="G142" s="20" t="s">
        <v>3777</v>
      </c>
      <c r="H142" s="20" t="s">
        <v>6</v>
      </c>
      <c r="I142" s="39">
        <v>44735.493670173608</v>
      </c>
      <c r="J142" s="39">
        <v>44735.493670219905</v>
      </c>
      <c r="K142" s="20">
        <v>0</v>
      </c>
      <c r="L142" s="17" t="str">
        <f t="shared" si="2"/>
        <v>https://captureandgo.cloudlab.zhaw.ch/uploads/image_1acde03522.jpg</v>
      </c>
    </row>
    <row r="143" spans="1:12" ht="16" x14ac:dyDescent="0.2">
      <c r="A143" s="20" t="s">
        <v>4336</v>
      </c>
      <c r="B143" s="20" t="s">
        <v>4337</v>
      </c>
      <c r="C143" s="20" t="s">
        <v>3774</v>
      </c>
      <c r="D143" s="20" t="s">
        <v>4338</v>
      </c>
      <c r="E143" s="20" t="s">
        <v>4339</v>
      </c>
      <c r="F143" s="20" t="s">
        <v>403</v>
      </c>
      <c r="G143" s="20" t="s">
        <v>3777</v>
      </c>
      <c r="H143" s="20" t="s">
        <v>6</v>
      </c>
      <c r="I143" s="39">
        <v>44735.494565671295</v>
      </c>
      <c r="J143" s="39">
        <v>44735.494565925925</v>
      </c>
      <c r="K143" s="20">
        <v>0</v>
      </c>
      <c r="L143" s="17" t="str">
        <f t="shared" si="2"/>
        <v>https://captureandgo.cloudlab.zhaw.ch/uploads/image_b4e05fc41b.jpg</v>
      </c>
    </row>
    <row r="144" spans="1:12" ht="16" x14ac:dyDescent="0.2">
      <c r="A144" s="20" t="s">
        <v>4340</v>
      </c>
      <c r="B144" s="20" t="s">
        <v>4341</v>
      </c>
      <c r="C144" s="20" t="s">
        <v>3774</v>
      </c>
      <c r="D144" s="20" t="s">
        <v>4342</v>
      </c>
      <c r="E144" s="20" t="s">
        <v>4343</v>
      </c>
      <c r="F144" s="20" t="s">
        <v>406</v>
      </c>
      <c r="G144" s="20" t="s">
        <v>3777</v>
      </c>
      <c r="H144" s="20" t="s">
        <v>6</v>
      </c>
      <c r="I144" s="39">
        <v>44735.501163032408</v>
      </c>
      <c r="J144" s="39">
        <v>44735.501163078705</v>
      </c>
      <c r="K144" s="20">
        <v>0</v>
      </c>
      <c r="L144" s="17" t="str">
        <f t="shared" si="2"/>
        <v>https://captureandgo.cloudlab.zhaw.ch/uploads/image_d5fba32172.jpg</v>
      </c>
    </row>
    <row r="145" spans="1:12" ht="16" x14ac:dyDescent="0.2">
      <c r="A145" s="20" t="s">
        <v>4344</v>
      </c>
      <c r="B145" s="20" t="s">
        <v>4345</v>
      </c>
      <c r="C145" s="20" t="s">
        <v>3774</v>
      </c>
      <c r="D145" s="20" t="s">
        <v>4346</v>
      </c>
      <c r="E145" s="20" t="s">
        <v>4347</v>
      </c>
      <c r="F145" s="20" t="s">
        <v>409</v>
      </c>
      <c r="G145" s="20" t="s">
        <v>3777</v>
      </c>
      <c r="H145" s="20" t="s">
        <v>6</v>
      </c>
      <c r="I145" s="39">
        <v>44735.502889004631</v>
      </c>
      <c r="J145" s="39">
        <v>44735.502889074072</v>
      </c>
      <c r="K145" s="20">
        <v>0</v>
      </c>
      <c r="L145" s="17" t="str">
        <f t="shared" si="2"/>
        <v>https://captureandgo.cloudlab.zhaw.ch/uploads/image_e6436be012.jpg</v>
      </c>
    </row>
    <row r="146" spans="1:12" ht="16" x14ac:dyDescent="0.2">
      <c r="A146" s="20" t="s">
        <v>4348</v>
      </c>
      <c r="B146" s="20" t="s">
        <v>4349</v>
      </c>
      <c r="C146" s="20" t="s">
        <v>3774</v>
      </c>
      <c r="D146" s="20" t="s">
        <v>4350</v>
      </c>
      <c r="E146" s="20" t="s">
        <v>4351</v>
      </c>
      <c r="F146" s="20" t="s">
        <v>412</v>
      </c>
      <c r="G146" s="20" t="s">
        <v>3777</v>
      </c>
      <c r="H146" s="20" t="s">
        <v>6</v>
      </c>
      <c r="I146" s="39">
        <v>44735.503527152781</v>
      </c>
      <c r="J146" s="39">
        <v>44735.503527256944</v>
      </c>
      <c r="K146" s="20">
        <v>0</v>
      </c>
      <c r="L146" s="17" t="str">
        <f t="shared" si="2"/>
        <v>https://captureandgo.cloudlab.zhaw.ch/uploads/image_eb213cd848.jpg</v>
      </c>
    </row>
    <row r="147" spans="1:12" ht="16" x14ac:dyDescent="0.2">
      <c r="A147" s="20" t="s">
        <v>4352</v>
      </c>
      <c r="B147" s="20" t="s">
        <v>4353</v>
      </c>
      <c r="C147" s="20" t="s">
        <v>3774</v>
      </c>
      <c r="D147" s="20" t="s">
        <v>4354</v>
      </c>
      <c r="E147" s="20" t="s">
        <v>4355</v>
      </c>
      <c r="F147" s="20" t="s">
        <v>418</v>
      </c>
      <c r="G147" s="20" t="s">
        <v>3777</v>
      </c>
      <c r="H147" s="20" t="s">
        <v>6</v>
      </c>
      <c r="I147" s="39">
        <v>44735.504557372682</v>
      </c>
      <c r="J147" s="39">
        <v>44735.50455740741</v>
      </c>
      <c r="K147" s="20">
        <v>0</v>
      </c>
      <c r="L147" s="17" t="str">
        <f t="shared" si="2"/>
        <v>https://captureandgo.cloudlab.zhaw.ch/uploads/image_757fa91bb5.jpg</v>
      </c>
    </row>
    <row r="148" spans="1:12" ht="16" x14ac:dyDescent="0.2">
      <c r="A148" s="20" t="s">
        <v>4356</v>
      </c>
      <c r="B148" s="20" t="s">
        <v>4357</v>
      </c>
      <c r="C148" s="20" t="s">
        <v>3774</v>
      </c>
      <c r="D148" s="20" t="s">
        <v>4358</v>
      </c>
      <c r="E148" s="20" t="s">
        <v>4359</v>
      </c>
      <c r="F148" s="20" t="s">
        <v>421</v>
      </c>
      <c r="G148" s="20" t="s">
        <v>3777</v>
      </c>
      <c r="H148" s="20" t="s">
        <v>6</v>
      </c>
      <c r="I148" s="39">
        <v>44735.505737905092</v>
      </c>
      <c r="J148" s="39">
        <v>44735.505737939813</v>
      </c>
      <c r="K148" s="20">
        <v>0</v>
      </c>
      <c r="L148" s="17" t="str">
        <f t="shared" si="2"/>
        <v>https://captureandgo.cloudlab.zhaw.ch/uploads/image_da993b08fb.jpg</v>
      </c>
    </row>
    <row r="149" spans="1:12" ht="16" x14ac:dyDescent="0.2">
      <c r="A149" s="20" t="s">
        <v>4360</v>
      </c>
      <c r="B149" s="20" t="s">
        <v>4361</v>
      </c>
      <c r="C149" s="20" t="s">
        <v>3774</v>
      </c>
      <c r="D149" s="20" t="s">
        <v>4362</v>
      </c>
      <c r="E149" s="20" t="s">
        <v>4363</v>
      </c>
      <c r="F149" s="20" t="s">
        <v>426</v>
      </c>
      <c r="G149" s="20" t="s">
        <v>3777</v>
      </c>
      <c r="H149" s="20" t="s">
        <v>6</v>
      </c>
      <c r="I149" s="39">
        <v>44735.508044768518</v>
      </c>
      <c r="J149" s="39">
        <v>44735.508044814815</v>
      </c>
      <c r="K149" s="20">
        <v>0</v>
      </c>
      <c r="L149" s="17" t="str">
        <f t="shared" si="2"/>
        <v>https://captureandgo.cloudlab.zhaw.ch/uploads/image_aadd7555ca.jpg</v>
      </c>
    </row>
    <row r="150" spans="1:12" ht="16" x14ac:dyDescent="0.2">
      <c r="A150" s="20" t="s">
        <v>4364</v>
      </c>
      <c r="B150" s="20" t="s">
        <v>4365</v>
      </c>
      <c r="C150" s="20" t="s">
        <v>3774</v>
      </c>
      <c r="D150" s="20" t="s">
        <v>4366</v>
      </c>
      <c r="E150" s="20" t="s">
        <v>4367</v>
      </c>
      <c r="F150" s="20" t="s">
        <v>429</v>
      </c>
      <c r="G150" s="20" t="s">
        <v>3777</v>
      </c>
      <c r="H150" s="20" t="s">
        <v>6</v>
      </c>
      <c r="I150" s="39">
        <v>44735.508580011578</v>
      </c>
      <c r="J150" s="39">
        <v>44735.508580046298</v>
      </c>
      <c r="K150" s="20">
        <v>0</v>
      </c>
      <c r="L150" s="17" t="str">
        <f t="shared" si="2"/>
        <v>https://captureandgo.cloudlab.zhaw.ch/uploads/image_7ee329b7f0.jpg</v>
      </c>
    </row>
    <row r="151" spans="1:12" ht="16" x14ac:dyDescent="0.2">
      <c r="A151" s="20" t="s">
        <v>4368</v>
      </c>
      <c r="B151" s="20" t="s">
        <v>4369</v>
      </c>
      <c r="C151" s="20" t="s">
        <v>3774</v>
      </c>
      <c r="D151" s="20" t="s">
        <v>4370</v>
      </c>
      <c r="E151" s="20" t="s">
        <v>4371</v>
      </c>
      <c r="F151" s="20" t="s">
        <v>432</v>
      </c>
      <c r="G151" s="20" t="s">
        <v>3777</v>
      </c>
      <c r="H151" s="20" t="s">
        <v>6</v>
      </c>
      <c r="I151" s="39">
        <v>44735.509885069441</v>
      </c>
      <c r="J151" s="39">
        <v>44735.509885520834</v>
      </c>
      <c r="K151" s="20">
        <v>0</v>
      </c>
      <c r="L151" s="17" t="str">
        <f t="shared" si="2"/>
        <v>https://captureandgo.cloudlab.zhaw.ch/uploads/image_92774da0e1.jpg</v>
      </c>
    </row>
    <row r="152" spans="1:12" ht="16" x14ac:dyDescent="0.2">
      <c r="A152" s="20" t="s">
        <v>4372</v>
      </c>
      <c r="B152" s="20" t="s">
        <v>4373</v>
      </c>
      <c r="C152" s="20" t="s">
        <v>3774</v>
      </c>
      <c r="D152" s="20" t="s">
        <v>4374</v>
      </c>
      <c r="E152" s="20" t="s">
        <v>4375</v>
      </c>
      <c r="F152" s="20" t="s">
        <v>435</v>
      </c>
      <c r="G152" s="20" t="s">
        <v>3777</v>
      </c>
      <c r="H152" s="20" t="s">
        <v>6</v>
      </c>
      <c r="I152" s="39">
        <v>44735.510445983797</v>
      </c>
      <c r="J152" s="39">
        <v>44735.510446018518</v>
      </c>
      <c r="K152" s="20">
        <v>0</v>
      </c>
      <c r="L152" s="17" t="str">
        <f t="shared" si="2"/>
        <v>https://captureandgo.cloudlab.zhaw.ch/uploads/image_b2a7e15663.jpg</v>
      </c>
    </row>
    <row r="153" spans="1:12" ht="16" x14ac:dyDescent="0.2">
      <c r="A153" s="20" t="s">
        <v>4376</v>
      </c>
      <c r="B153" s="20" t="s">
        <v>4377</v>
      </c>
      <c r="C153" s="20" t="s">
        <v>3774</v>
      </c>
      <c r="D153" s="20" t="s">
        <v>4378</v>
      </c>
      <c r="E153" s="20" t="s">
        <v>4379</v>
      </c>
      <c r="F153" s="20" t="s">
        <v>439</v>
      </c>
      <c r="G153" s="20" t="s">
        <v>3777</v>
      </c>
      <c r="H153" s="20" t="s">
        <v>6</v>
      </c>
      <c r="I153" s="39">
        <v>44735.511202499998</v>
      </c>
      <c r="J153" s="39">
        <v>44735.511202534719</v>
      </c>
      <c r="K153" s="20">
        <v>0</v>
      </c>
      <c r="L153" s="17" t="str">
        <f t="shared" si="2"/>
        <v>https://captureandgo.cloudlab.zhaw.ch/uploads/image_522949da79.jpg</v>
      </c>
    </row>
    <row r="154" spans="1:12" ht="16" x14ac:dyDescent="0.2">
      <c r="A154" s="20" t="s">
        <v>4380</v>
      </c>
      <c r="B154" s="20" t="s">
        <v>4381</v>
      </c>
      <c r="C154" s="20" t="s">
        <v>3774</v>
      </c>
      <c r="D154" s="20" t="s">
        <v>4382</v>
      </c>
      <c r="E154" s="20" t="s">
        <v>4383</v>
      </c>
      <c r="F154" s="20" t="s">
        <v>443</v>
      </c>
      <c r="G154" s="20" t="s">
        <v>3777</v>
      </c>
      <c r="H154" s="20" t="s">
        <v>6</v>
      </c>
      <c r="I154" s="39">
        <v>44735.512063136572</v>
      </c>
      <c r="J154" s="39">
        <v>44735.5120631713</v>
      </c>
      <c r="K154" s="20">
        <v>0</v>
      </c>
      <c r="L154" s="17" t="str">
        <f t="shared" si="2"/>
        <v>https://captureandgo.cloudlab.zhaw.ch/uploads/image_05842ec0aa.jpg</v>
      </c>
    </row>
    <row r="155" spans="1:12" ht="16" x14ac:dyDescent="0.2">
      <c r="A155" s="20" t="s">
        <v>4384</v>
      </c>
      <c r="B155" s="20" t="s">
        <v>4385</v>
      </c>
      <c r="C155" s="20" t="s">
        <v>3774</v>
      </c>
      <c r="D155" s="20" t="s">
        <v>4386</v>
      </c>
      <c r="E155" s="20" t="s">
        <v>4387</v>
      </c>
      <c r="F155" s="20" t="s">
        <v>446</v>
      </c>
      <c r="G155" s="20" t="s">
        <v>3777</v>
      </c>
      <c r="H155" s="20" t="s">
        <v>6</v>
      </c>
      <c r="I155" s="39">
        <v>44735.515635393516</v>
      </c>
      <c r="J155" s="39">
        <v>44735.515635451389</v>
      </c>
      <c r="K155" s="20">
        <v>0</v>
      </c>
      <c r="L155" s="17" t="str">
        <f t="shared" si="2"/>
        <v>https://captureandgo.cloudlab.zhaw.ch/uploads/image_998d41fa22.jpg</v>
      </c>
    </row>
    <row r="156" spans="1:12" ht="16" x14ac:dyDescent="0.2">
      <c r="A156" s="20" t="s">
        <v>4388</v>
      </c>
      <c r="B156" s="20" t="s">
        <v>4389</v>
      </c>
      <c r="C156" s="20" t="s">
        <v>3774</v>
      </c>
      <c r="D156" s="20" t="s">
        <v>4390</v>
      </c>
      <c r="E156" s="20" t="s">
        <v>4391</v>
      </c>
      <c r="F156" s="20" t="s">
        <v>449</v>
      </c>
      <c r="G156" s="20" t="s">
        <v>3777</v>
      </c>
      <c r="H156" s="20" t="s">
        <v>6</v>
      </c>
      <c r="I156" s="39">
        <v>44735.51640414352</v>
      </c>
      <c r="J156" s="39">
        <v>44735.516404189817</v>
      </c>
      <c r="K156" s="20">
        <v>0</v>
      </c>
      <c r="L156" s="17" t="str">
        <f t="shared" si="2"/>
        <v>https://captureandgo.cloudlab.zhaw.ch/uploads/image_9d43654148.jpg</v>
      </c>
    </row>
    <row r="157" spans="1:12" ht="16" x14ac:dyDescent="0.2">
      <c r="A157" s="20" t="s">
        <v>4392</v>
      </c>
      <c r="B157" s="20" t="s">
        <v>4393</v>
      </c>
      <c r="C157" s="20" t="s">
        <v>3774</v>
      </c>
      <c r="D157" s="20" t="s">
        <v>4394</v>
      </c>
      <c r="E157" s="20" t="s">
        <v>4395</v>
      </c>
      <c r="F157" s="20" t="s">
        <v>452</v>
      </c>
      <c r="G157" s="20" t="s">
        <v>3777</v>
      </c>
      <c r="H157" s="20" t="s">
        <v>6</v>
      </c>
      <c r="I157" s="39">
        <v>44735.517033425924</v>
      </c>
      <c r="J157" s="39">
        <v>44735.517033449076</v>
      </c>
      <c r="K157" s="20">
        <v>0</v>
      </c>
      <c r="L157" s="17" t="str">
        <f t="shared" si="2"/>
        <v>https://captureandgo.cloudlab.zhaw.ch/uploads/image_874531f686.jpg</v>
      </c>
    </row>
    <row r="158" spans="1:12" ht="16" x14ac:dyDescent="0.2">
      <c r="A158" s="20" t="s">
        <v>4396</v>
      </c>
      <c r="B158" s="20" t="s">
        <v>4397</v>
      </c>
      <c r="C158" s="20" t="s">
        <v>3774</v>
      </c>
      <c r="D158" s="20" t="s">
        <v>4398</v>
      </c>
      <c r="E158" s="20" t="s">
        <v>4399</v>
      </c>
      <c r="F158" s="20" t="s">
        <v>455</v>
      </c>
      <c r="G158" s="20" t="s">
        <v>3777</v>
      </c>
      <c r="H158" s="20" t="s">
        <v>6</v>
      </c>
      <c r="I158" s="39">
        <v>44735.518617847221</v>
      </c>
      <c r="J158" s="39">
        <v>44735.518617916663</v>
      </c>
      <c r="K158" s="20">
        <v>0</v>
      </c>
      <c r="L158" s="17" t="str">
        <f t="shared" si="2"/>
        <v>https://captureandgo.cloudlab.zhaw.ch/uploads/image_2374e1f72c.jpg</v>
      </c>
    </row>
    <row r="159" spans="1:12" ht="16" x14ac:dyDescent="0.2">
      <c r="A159" s="20" t="s">
        <v>4400</v>
      </c>
      <c r="B159" s="20" t="s">
        <v>4401</v>
      </c>
      <c r="C159" s="20" t="s">
        <v>3774</v>
      </c>
      <c r="D159" s="20" t="s">
        <v>4402</v>
      </c>
      <c r="E159" s="20" t="s">
        <v>4403</v>
      </c>
      <c r="F159" s="20" t="s">
        <v>455</v>
      </c>
      <c r="G159" s="20" t="s">
        <v>3777</v>
      </c>
      <c r="H159" s="20" t="s">
        <v>6</v>
      </c>
      <c r="I159" s="39">
        <v>44735.520282488425</v>
      </c>
      <c r="J159" s="39">
        <v>44735.520282546298</v>
      </c>
      <c r="K159" s="20">
        <v>0</v>
      </c>
      <c r="L159" s="17" t="str">
        <f t="shared" si="2"/>
        <v>https://captureandgo.cloudlab.zhaw.ch/uploads/image_1e4eeb6dad.jpg</v>
      </c>
    </row>
    <row r="160" spans="1:12" ht="16" x14ac:dyDescent="0.2">
      <c r="A160" s="20" t="s">
        <v>4404</v>
      </c>
      <c r="B160" s="20" t="s">
        <v>4405</v>
      </c>
      <c r="C160" s="20" t="s">
        <v>3774</v>
      </c>
      <c r="D160" s="20" t="s">
        <v>4406</v>
      </c>
      <c r="E160" s="20" t="s">
        <v>4407</v>
      </c>
      <c r="F160" s="20" t="s">
        <v>455</v>
      </c>
      <c r="G160" s="20" t="s">
        <v>3777</v>
      </c>
      <c r="H160" s="20" t="s">
        <v>6</v>
      </c>
      <c r="I160" s="39">
        <v>44735.520386412034</v>
      </c>
      <c r="J160" s="39">
        <v>44735.520386446762</v>
      </c>
      <c r="K160" s="20">
        <v>0</v>
      </c>
      <c r="L160" s="17" t="str">
        <f t="shared" si="2"/>
        <v>https://captureandgo.cloudlab.zhaw.ch/uploads/image_da4be39618.jpg</v>
      </c>
    </row>
    <row r="161" spans="1:12" ht="16" x14ac:dyDescent="0.2">
      <c r="A161" s="20" t="s">
        <v>4408</v>
      </c>
      <c r="B161" s="20" t="s">
        <v>4409</v>
      </c>
      <c r="C161" s="20" t="s">
        <v>3774</v>
      </c>
      <c r="D161" s="20" t="s">
        <v>4410</v>
      </c>
      <c r="E161" s="20" t="s">
        <v>4411</v>
      </c>
      <c r="F161" s="20" t="s">
        <v>458</v>
      </c>
      <c r="G161" s="20" t="s">
        <v>3777</v>
      </c>
      <c r="H161" s="20" t="s">
        <v>6</v>
      </c>
      <c r="I161" s="39">
        <v>44735.520770763891</v>
      </c>
      <c r="J161" s="39">
        <v>44735.520770798612</v>
      </c>
      <c r="K161" s="20">
        <v>0</v>
      </c>
      <c r="L161" s="17" t="str">
        <f t="shared" si="2"/>
        <v>https://captureandgo.cloudlab.zhaw.ch/uploads/image_e8e79a5073.jpg</v>
      </c>
    </row>
    <row r="162" spans="1:12" ht="16" x14ac:dyDescent="0.2">
      <c r="A162" s="20" t="s">
        <v>4412</v>
      </c>
      <c r="B162" s="20" t="s">
        <v>4413</v>
      </c>
      <c r="C162" s="20" t="s">
        <v>3774</v>
      </c>
      <c r="D162" s="20" t="s">
        <v>4414</v>
      </c>
      <c r="E162" s="20" t="s">
        <v>4415</v>
      </c>
      <c r="F162" s="20" t="s">
        <v>461</v>
      </c>
      <c r="G162" s="20" t="s">
        <v>3777</v>
      </c>
      <c r="H162" s="20" t="s">
        <v>6</v>
      </c>
      <c r="I162" s="39">
        <v>44735.522420752313</v>
      </c>
      <c r="J162" s="39">
        <v>44735.52242079861</v>
      </c>
      <c r="K162" s="20">
        <v>0</v>
      </c>
      <c r="L162" s="17" t="str">
        <f t="shared" si="2"/>
        <v>https://captureandgo.cloudlab.zhaw.ch/uploads/image_2c6cb6178e.jpg</v>
      </c>
    </row>
    <row r="163" spans="1:12" ht="16" x14ac:dyDescent="0.2">
      <c r="A163" s="20" t="s">
        <v>4416</v>
      </c>
      <c r="B163" s="20" t="s">
        <v>4417</v>
      </c>
      <c r="C163" s="20" t="s">
        <v>3774</v>
      </c>
      <c r="D163" s="20" t="s">
        <v>4418</v>
      </c>
      <c r="E163" s="20" t="s">
        <v>4419</v>
      </c>
      <c r="F163" s="20" t="s">
        <v>464</v>
      </c>
      <c r="G163" s="20" t="s">
        <v>3777</v>
      </c>
      <c r="H163" s="20" t="s">
        <v>6</v>
      </c>
      <c r="I163" s="39">
        <v>44735.526899884258</v>
      </c>
      <c r="J163" s="39">
        <v>44735.526899930555</v>
      </c>
      <c r="K163" s="20">
        <v>0</v>
      </c>
      <c r="L163" s="17" t="str">
        <f t="shared" si="2"/>
        <v>https://captureandgo.cloudlab.zhaw.ch/uploads/image_cb0f0c4fc0.jpg</v>
      </c>
    </row>
    <row r="164" spans="1:12" ht="16" x14ac:dyDescent="0.2">
      <c r="A164" s="20" t="s">
        <v>4420</v>
      </c>
      <c r="B164" s="20" t="s">
        <v>4421</v>
      </c>
      <c r="C164" s="20" t="s">
        <v>3774</v>
      </c>
      <c r="D164" s="20" t="s">
        <v>4422</v>
      </c>
      <c r="E164" s="20" t="s">
        <v>4423</v>
      </c>
      <c r="F164" s="20" t="s">
        <v>469</v>
      </c>
      <c r="G164" s="20" t="s">
        <v>3777</v>
      </c>
      <c r="H164" s="20" t="s">
        <v>6</v>
      </c>
      <c r="I164" s="39">
        <v>44735.528730335645</v>
      </c>
      <c r="J164" s="39">
        <v>44735.528730405094</v>
      </c>
      <c r="K164" s="20">
        <v>0</v>
      </c>
      <c r="L164" s="17" t="str">
        <f t="shared" si="2"/>
        <v>https://captureandgo.cloudlab.zhaw.ch/uploads/image_0d74217a2a.jpg</v>
      </c>
    </row>
    <row r="165" spans="1:12" ht="16" x14ac:dyDescent="0.2">
      <c r="A165" s="20" t="s">
        <v>4424</v>
      </c>
      <c r="B165" s="20" t="s">
        <v>4425</v>
      </c>
      <c r="C165" s="20" t="s">
        <v>3774</v>
      </c>
      <c r="D165" s="20" t="s">
        <v>4426</v>
      </c>
      <c r="E165" s="20" t="s">
        <v>4427</v>
      </c>
      <c r="F165" s="20" t="s">
        <v>472</v>
      </c>
      <c r="G165" s="20" t="s">
        <v>3777</v>
      </c>
      <c r="H165" s="20" t="s">
        <v>6</v>
      </c>
      <c r="I165" s="39">
        <v>44735.529630972225</v>
      </c>
      <c r="J165" s="39">
        <v>44735.529631006946</v>
      </c>
      <c r="K165" s="20">
        <v>0</v>
      </c>
      <c r="L165" s="17" t="str">
        <f t="shared" si="2"/>
        <v>https://captureandgo.cloudlab.zhaw.ch/uploads/image_22b723b877.jpg</v>
      </c>
    </row>
    <row r="166" spans="1:12" ht="16" x14ac:dyDescent="0.2">
      <c r="A166" s="20" t="s">
        <v>4428</v>
      </c>
      <c r="B166" s="20" t="s">
        <v>4429</v>
      </c>
      <c r="C166" s="20" t="s">
        <v>3774</v>
      </c>
      <c r="D166" s="20" t="s">
        <v>4430</v>
      </c>
      <c r="E166" s="20" t="s">
        <v>4431</v>
      </c>
      <c r="F166" s="20" t="s">
        <v>476</v>
      </c>
      <c r="G166" s="20" t="s">
        <v>3777</v>
      </c>
      <c r="H166" s="20" t="s">
        <v>6</v>
      </c>
      <c r="I166" s="39">
        <v>44735.530946574072</v>
      </c>
      <c r="J166" s="39">
        <v>44735.530946620369</v>
      </c>
      <c r="K166" s="20">
        <v>0</v>
      </c>
      <c r="L166" s="17" t="str">
        <f t="shared" si="2"/>
        <v>https://captureandgo.cloudlab.zhaw.ch/uploads/image_4f216f42b0.jpg</v>
      </c>
    </row>
    <row r="167" spans="1:12" ht="16" x14ac:dyDescent="0.2">
      <c r="A167" s="20" t="s">
        <v>4432</v>
      </c>
      <c r="B167" s="20" t="s">
        <v>4433</v>
      </c>
      <c r="C167" s="20" t="s">
        <v>3774</v>
      </c>
      <c r="D167" s="20" t="s">
        <v>4434</v>
      </c>
      <c r="E167" s="20" t="s">
        <v>4435</v>
      </c>
      <c r="F167" s="20" t="s">
        <v>480</v>
      </c>
      <c r="G167" s="20" t="s">
        <v>3777</v>
      </c>
      <c r="H167" s="20" t="s">
        <v>6</v>
      </c>
      <c r="I167" s="39">
        <v>44735.535063888892</v>
      </c>
      <c r="J167" s="39">
        <v>44735.535063923613</v>
      </c>
      <c r="K167" s="20">
        <v>0</v>
      </c>
      <c r="L167" s="17" t="str">
        <f t="shared" si="2"/>
        <v>https://captureandgo.cloudlab.zhaw.ch/uploads/image_6e136d631a.jpg</v>
      </c>
    </row>
    <row r="168" spans="1:12" ht="16" x14ac:dyDescent="0.2">
      <c r="A168" s="20" t="s">
        <v>4436</v>
      </c>
      <c r="B168" s="20" t="s">
        <v>4437</v>
      </c>
      <c r="C168" s="20" t="s">
        <v>3774</v>
      </c>
      <c r="D168" s="20" t="s">
        <v>4438</v>
      </c>
      <c r="E168" s="20" t="s">
        <v>4439</v>
      </c>
      <c r="F168" s="20" t="s">
        <v>483</v>
      </c>
      <c r="G168" s="20" t="s">
        <v>3777</v>
      </c>
      <c r="H168" s="20" t="s">
        <v>6</v>
      </c>
      <c r="I168" s="39">
        <v>44735.53575505787</v>
      </c>
      <c r="J168" s="39">
        <v>44735.535755092591</v>
      </c>
      <c r="K168" s="20">
        <v>0</v>
      </c>
      <c r="L168" s="17" t="str">
        <f t="shared" si="2"/>
        <v>https://captureandgo.cloudlab.zhaw.ch/uploads/image_b266c864ea.jpg</v>
      </c>
    </row>
    <row r="169" spans="1:12" ht="16" x14ac:dyDescent="0.2">
      <c r="A169" s="20" t="s">
        <v>4440</v>
      </c>
      <c r="B169" s="20" t="s">
        <v>4441</v>
      </c>
      <c r="C169" s="20" t="s">
        <v>3774</v>
      </c>
      <c r="D169" s="20" t="s">
        <v>4442</v>
      </c>
      <c r="E169" s="20" t="s">
        <v>4443</v>
      </c>
      <c r="F169" s="20" t="s">
        <v>486</v>
      </c>
      <c r="G169" s="20" t="s">
        <v>3777</v>
      </c>
      <c r="H169" s="20" t="s">
        <v>6</v>
      </c>
      <c r="I169" s="39">
        <v>44735.536538159722</v>
      </c>
      <c r="J169" s="39">
        <v>44735.536538194443</v>
      </c>
      <c r="K169" s="20">
        <v>0</v>
      </c>
      <c r="L169" s="17" t="str">
        <f t="shared" si="2"/>
        <v>https://captureandgo.cloudlab.zhaw.ch/uploads/image_ff22712385.jpg</v>
      </c>
    </row>
    <row r="170" spans="1:12" ht="16" x14ac:dyDescent="0.2">
      <c r="A170" s="20" t="s">
        <v>4444</v>
      </c>
      <c r="B170" s="20" t="s">
        <v>4445</v>
      </c>
      <c r="C170" s="20" t="s">
        <v>3774</v>
      </c>
      <c r="D170" s="20" t="s">
        <v>4446</v>
      </c>
      <c r="E170" s="20" t="s">
        <v>4447</v>
      </c>
      <c r="F170" s="20" t="s">
        <v>489</v>
      </c>
      <c r="G170" s="20" t="s">
        <v>3777</v>
      </c>
      <c r="H170" s="20" t="s">
        <v>6</v>
      </c>
      <c r="I170" s="39">
        <v>44736.388382696758</v>
      </c>
      <c r="J170" s="39">
        <v>44736.388382812504</v>
      </c>
      <c r="K170" s="20">
        <v>0</v>
      </c>
      <c r="L170" s="17" t="str">
        <f t="shared" si="2"/>
        <v>https://captureandgo.cloudlab.zhaw.ch/uploads/image_c58d1cbb04.jpg</v>
      </c>
    </row>
    <row r="171" spans="1:12" ht="16" x14ac:dyDescent="0.2">
      <c r="A171" s="20" t="s">
        <v>4448</v>
      </c>
      <c r="B171" s="20" t="s">
        <v>4449</v>
      </c>
      <c r="C171" s="20" t="s">
        <v>3774</v>
      </c>
      <c r="D171" s="20" t="s">
        <v>4450</v>
      </c>
      <c r="E171" s="20" t="s">
        <v>4451</v>
      </c>
      <c r="F171" s="20" t="s">
        <v>493</v>
      </c>
      <c r="G171" s="20" t="s">
        <v>3777</v>
      </c>
      <c r="H171" s="20" t="s">
        <v>6</v>
      </c>
      <c r="I171" s="39">
        <v>44736.390467118057</v>
      </c>
      <c r="J171" s="39">
        <v>44736.390467175923</v>
      </c>
      <c r="K171" s="20">
        <v>0</v>
      </c>
      <c r="L171" s="17" t="str">
        <f t="shared" si="2"/>
        <v>https://captureandgo.cloudlab.zhaw.ch/uploads/image_20b334a758.jpg</v>
      </c>
    </row>
    <row r="172" spans="1:12" ht="16" x14ac:dyDescent="0.2">
      <c r="A172" s="20" t="s">
        <v>4452</v>
      </c>
      <c r="B172" s="20" t="s">
        <v>4453</v>
      </c>
      <c r="C172" s="20" t="s">
        <v>3774</v>
      </c>
      <c r="D172" s="20" t="s">
        <v>4454</v>
      </c>
      <c r="E172" s="20" t="s">
        <v>4455</v>
      </c>
      <c r="F172" s="20" t="s">
        <v>496</v>
      </c>
      <c r="G172" s="20" t="s">
        <v>3777</v>
      </c>
      <c r="H172" s="20" t="s">
        <v>6</v>
      </c>
      <c r="I172" s="39">
        <v>44736.390951574074</v>
      </c>
      <c r="J172" s="39">
        <v>44736.390951620371</v>
      </c>
      <c r="K172" s="20">
        <v>0</v>
      </c>
      <c r="L172" s="17" t="str">
        <f t="shared" si="2"/>
        <v>https://captureandgo.cloudlab.zhaw.ch/uploads/image_f5b9eefbc1.jpg</v>
      </c>
    </row>
    <row r="173" spans="1:12" ht="16" x14ac:dyDescent="0.2">
      <c r="A173" s="20" t="s">
        <v>4456</v>
      </c>
      <c r="B173" s="20" t="s">
        <v>4457</v>
      </c>
      <c r="C173" s="20" t="s">
        <v>3774</v>
      </c>
      <c r="D173" s="20" t="s">
        <v>4458</v>
      </c>
      <c r="E173" s="20" t="s">
        <v>4459</v>
      </c>
      <c r="F173" s="20" t="s">
        <v>499</v>
      </c>
      <c r="G173" s="20" t="s">
        <v>3777</v>
      </c>
      <c r="H173" s="20" t="s">
        <v>6</v>
      </c>
      <c r="I173" s="39">
        <v>44736.391157615741</v>
      </c>
      <c r="J173" s="39">
        <v>44736.391157662038</v>
      </c>
      <c r="K173" s="20">
        <v>0</v>
      </c>
      <c r="L173" s="17" t="str">
        <f t="shared" si="2"/>
        <v>https://captureandgo.cloudlab.zhaw.ch/uploads/image_f66725936e.jpg</v>
      </c>
    </row>
    <row r="174" spans="1:12" ht="16" x14ac:dyDescent="0.2">
      <c r="A174" s="20" t="s">
        <v>4460</v>
      </c>
      <c r="B174" s="20" t="s">
        <v>4461</v>
      </c>
      <c r="C174" s="20" t="s">
        <v>3774</v>
      </c>
      <c r="D174" s="20" t="s">
        <v>4462</v>
      </c>
      <c r="E174" s="20" t="s">
        <v>4463</v>
      </c>
      <c r="F174" s="20" t="s">
        <v>502</v>
      </c>
      <c r="G174" s="20" t="s">
        <v>3777</v>
      </c>
      <c r="H174" s="20" t="s">
        <v>6</v>
      </c>
      <c r="I174" s="39">
        <v>44736.391646990742</v>
      </c>
      <c r="J174" s="39">
        <v>44736.391647025463</v>
      </c>
      <c r="K174" s="20">
        <v>0</v>
      </c>
      <c r="L174" s="17" t="str">
        <f t="shared" si="2"/>
        <v>https://captureandgo.cloudlab.zhaw.ch/uploads/image_98029e43fa.jpg</v>
      </c>
    </row>
    <row r="175" spans="1:12" ht="16" x14ac:dyDescent="0.2">
      <c r="A175" s="20" t="s">
        <v>4464</v>
      </c>
      <c r="B175" s="20" t="s">
        <v>4465</v>
      </c>
      <c r="C175" s="20" t="s">
        <v>3774</v>
      </c>
      <c r="D175" s="20" t="s">
        <v>4466</v>
      </c>
      <c r="E175" s="20" t="s">
        <v>4467</v>
      </c>
      <c r="F175" s="20" t="s">
        <v>505</v>
      </c>
      <c r="G175" s="20" t="s">
        <v>3777</v>
      </c>
      <c r="H175" s="20" t="s">
        <v>6</v>
      </c>
      <c r="I175" s="39">
        <v>44736.391880358795</v>
      </c>
      <c r="J175" s="39">
        <v>44736.391880393516</v>
      </c>
      <c r="K175" s="20">
        <v>0</v>
      </c>
      <c r="L175" s="17" t="str">
        <f t="shared" si="2"/>
        <v>https://captureandgo.cloudlab.zhaw.ch/uploads/image_dc3daeb79a.jpg</v>
      </c>
    </row>
    <row r="176" spans="1:12" ht="16" x14ac:dyDescent="0.2">
      <c r="A176" s="20" t="s">
        <v>4468</v>
      </c>
      <c r="B176" s="20" t="s">
        <v>4469</v>
      </c>
      <c r="C176" s="20" t="s">
        <v>3774</v>
      </c>
      <c r="D176" s="20" t="s">
        <v>4470</v>
      </c>
      <c r="E176" s="20" t="s">
        <v>4471</v>
      </c>
      <c r="F176" s="20" t="s">
        <v>508</v>
      </c>
      <c r="G176" s="20" t="s">
        <v>3777</v>
      </c>
      <c r="H176" s="20" t="s">
        <v>6</v>
      </c>
      <c r="I176" s="39">
        <v>44736.392213437503</v>
      </c>
      <c r="J176" s="39">
        <v>44736.392213472223</v>
      </c>
      <c r="K176" s="20">
        <v>0</v>
      </c>
      <c r="L176" s="17" t="str">
        <f t="shared" si="2"/>
        <v>https://captureandgo.cloudlab.zhaw.ch/uploads/image_f43d2d39b9.jpg</v>
      </c>
    </row>
    <row r="177" spans="1:12" ht="16" x14ac:dyDescent="0.2">
      <c r="A177" s="20" t="s">
        <v>4472</v>
      </c>
      <c r="B177" s="20" t="s">
        <v>4473</v>
      </c>
      <c r="C177" s="20" t="s">
        <v>3774</v>
      </c>
      <c r="D177" s="20" t="s">
        <v>4474</v>
      </c>
      <c r="E177" s="20" t="s">
        <v>4475</v>
      </c>
      <c r="F177" s="20" t="s">
        <v>511</v>
      </c>
      <c r="G177" s="20" t="s">
        <v>3777</v>
      </c>
      <c r="H177" s="20" t="s">
        <v>6</v>
      </c>
      <c r="I177" s="39">
        <v>44736.393259467593</v>
      </c>
      <c r="J177" s="39">
        <v>44736.393259502314</v>
      </c>
      <c r="K177" s="20">
        <v>0</v>
      </c>
      <c r="L177" s="17" t="str">
        <f t="shared" si="2"/>
        <v>https://captureandgo.cloudlab.zhaw.ch/uploads/image_4a03c4709b.jpg</v>
      </c>
    </row>
    <row r="178" spans="1:12" ht="16" x14ac:dyDescent="0.2">
      <c r="A178" s="20" t="s">
        <v>4476</v>
      </c>
      <c r="B178" s="20" t="s">
        <v>4477</v>
      </c>
      <c r="C178" s="20" t="s">
        <v>3774</v>
      </c>
      <c r="D178" s="20" t="s">
        <v>4478</v>
      </c>
      <c r="E178" s="20" t="s">
        <v>4479</v>
      </c>
      <c r="F178" s="20" t="s">
        <v>514</v>
      </c>
      <c r="G178" s="20" t="s">
        <v>3777</v>
      </c>
      <c r="H178" s="20" t="s">
        <v>6</v>
      </c>
      <c r="I178" s="39">
        <v>44736.393625891207</v>
      </c>
      <c r="J178" s="39">
        <v>44736.393625925928</v>
      </c>
      <c r="K178" s="20">
        <v>0</v>
      </c>
      <c r="L178" s="17" t="str">
        <f t="shared" si="2"/>
        <v>https://captureandgo.cloudlab.zhaw.ch/uploads/image_9ecd06830b.jpg</v>
      </c>
    </row>
    <row r="179" spans="1:12" ht="16" x14ac:dyDescent="0.2">
      <c r="A179" s="20" t="s">
        <v>4480</v>
      </c>
      <c r="B179" s="20" t="s">
        <v>4481</v>
      </c>
      <c r="C179" s="20" t="s">
        <v>3774</v>
      </c>
      <c r="D179" s="20" t="s">
        <v>4482</v>
      </c>
      <c r="E179" s="20" t="s">
        <v>4483</v>
      </c>
      <c r="F179" s="20" t="s">
        <v>517</v>
      </c>
      <c r="G179" s="20" t="s">
        <v>3777</v>
      </c>
      <c r="H179" s="20" t="s">
        <v>6</v>
      </c>
      <c r="I179" s="39">
        <v>44736.3941484838</v>
      </c>
      <c r="J179" s="39">
        <v>44736.394148518521</v>
      </c>
      <c r="K179" s="20">
        <v>0</v>
      </c>
      <c r="L179" s="17" t="str">
        <f t="shared" si="2"/>
        <v>https://captureandgo.cloudlab.zhaw.ch/uploads/image_364fb167ea.jpg</v>
      </c>
    </row>
    <row r="180" spans="1:12" ht="16" x14ac:dyDescent="0.2">
      <c r="A180" s="20" t="s">
        <v>4484</v>
      </c>
      <c r="B180" s="20" t="s">
        <v>4485</v>
      </c>
      <c r="C180" s="20" t="s">
        <v>3774</v>
      </c>
      <c r="D180" s="20" t="s">
        <v>4486</v>
      </c>
      <c r="E180" s="20" t="s">
        <v>4487</v>
      </c>
      <c r="F180" s="20" t="s">
        <v>520</v>
      </c>
      <c r="G180" s="20" t="s">
        <v>3777</v>
      </c>
      <c r="H180" s="20" t="s">
        <v>6</v>
      </c>
      <c r="I180" s="39">
        <v>44736.394610428244</v>
      </c>
      <c r="J180" s="39">
        <v>44736.394610462965</v>
      </c>
      <c r="K180" s="20">
        <v>0</v>
      </c>
      <c r="L180" s="17" t="str">
        <f t="shared" si="2"/>
        <v>https://captureandgo.cloudlab.zhaw.ch/uploads/image_6d691e7485.jpg</v>
      </c>
    </row>
    <row r="181" spans="1:12" ht="16" x14ac:dyDescent="0.2">
      <c r="A181" s="20" t="s">
        <v>4488</v>
      </c>
      <c r="B181" s="20" t="s">
        <v>4489</v>
      </c>
      <c r="C181" s="20" t="s">
        <v>3774</v>
      </c>
      <c r="D181" s="20" t="s">
        <v>4490</v>
      </c>
      <c r="E181" s="20" t="s">
        <v>4491</v>
      </c>
      <c r="F181" s="20" t="s">
        <v>523</v>
      </c>
      <c r="G181" s="20" t="s">
        <v>3777</v>
      </c>
      <c r="H181" s="20" t="s">
        <v>6</v>
      </c>
      <c r="I181" s="39">
        <v>44736.395853657406</v>
      </c>
      <c r="J181" s="39">
        <v>44736.395853703703</v>
      </c>
      <c r="K181" s="20">
        <v>0</v>
      </c>
      <c r="L181" s="17" t="str">
        <f t="shared" si="2"/>
        <v>https://captureandgo.cloudlab.zhaw.ch/uploads/image_afcaa3f3ab.jpg</v>
      </c>
    </row>
    <row r="182" spans="1:12" ht="16" x14ac:dyDescent="0.2">
      <c r="A182" s="20" t="s">
        <v>4492</v>
      </c>
      <c r="B182" s="20" t="s">
        <v>4493</v>
      </c>
      <c r="C182" s="20" t="s">
        <v>3774</v>
      </c>
      <c r="D182" s="20" t="s">
        <v>4494</v>
      </c>
      <c r="E182" s="20" t="s">
        <v>4495</v>
      </c>
      <c r="F182" s="20" t="s">
        <v>527</v>
      </c>
      <c r="G182" s="20" t="s">
        <v>3777</v>
      </c>
      <c r="H182" s="20" t="s">
        <v>6</v>
      </c>
      <c r="I182" s="39">
        <v>44736.396600740743</v>
      </c>
      <c r="J182" s="39">
        <v>44736.396600775464</v>
      </c>
      <c r="K182" s="20">
        <v>0</v>
      </c>
      <c r="L182" s="17" t="str">
        <f t="shared" si="2"/>
        <v>https://captureandgo.cloudlab.zhaw.ch/uploads/image_ba35088fc9.jpg</v>
      </c>
    </row>
    <row r="183" spans="1:12" ht="16" x14ac:dyDescent="0.2">
      <c r="A183" s="20" t="s">
        <v>4496</v>
      </c>
      <c r="B183" s="20" t="s">
        <v>4497</v>
      </c>
      <c r="C183" s="20" t="s">
        <v>3774</v>
      </c>
      <c r="D183" s="20" t="s">
        <v>4498</v>
      </c>
      <c r="E183" s="20" t="s">
        <v>4499</v>
      </c>
      <c r="F183" s="20" t="s">
        <v>531</v>
      </c>
      <c r="G183" s="20" t="s">
        <v>3777</v>
      </c>
      <c r="H183" s="20" t="s">
        <v>6</v>
      </c>
      <c r="I183" s="39">
        <v>44736.39737327546</v>
      </c>
      <c r="J183" s="39">
        <v>44736.397373321757</v>
      </c>
      <c r="K183" s="20">
        <v>0</v>
      </c>
      <c r="L183" s="17" t="str">
        <f t="shared" si="2"/>
        <v>https://captureandgo.cloudlab.zhaw.ch/uploads/image_36cf73874c.jpg</v>
      </c>
    </row>
    <row r="184" spans="1:12" ht="16" x14ac:dyDescent="0.2">
      <c r="A184" s="20" t="s">
        <v>4500</v>
      </c>
      <c r="B184" s="20" t="s">
        <v>4501</v>
      </c>
      <c r="C184" s="20" t="s">
        <v>3774</v>
      </c>
      <c r="D184" s="20" t="s">
        <v>4502</v>
      </c>
      <c r="E184" s="20" t="s">
        <v>4503</v>
      </c>
      <c r="F184" s="20" t="s">
        <v>534</v>
      </c>
      <c r="G184" s="20" t="s">
        <v>3777</v>
      </c>
      <c r="H184" s="20" t="s">
        <v>6</v>
      </c>
      <c r="I184" s="39">
        <v>44736.398255057873</v>
      </c>
      <c r="J184" s="39">
        <v>44736.398255092594</v>
      </c>
      <c r="K184" s="20">
        <v>0</v>
      </c>
      <c r="L184" s="17" t="str">
        <f t="shared" si="2"/>
        <v>https://captureandgo.cloudlab.zhaw.ch/uploads/image_633b3265e6.jpg</v>
      </c>
    </row>
    <row r="185" spans="1:12" ht="16" x14ac:dyDescent="0.2">
      <c r="A185" s="20" t="s">
        <v>4504</v>
      </c>
      <c r="B185" s="20" t="s">
        <v>4505</v>
      </c>
      <c r="C185" s="20" t="s">
        <v>3774</v>
      </c>
      <c r="D185" s="20" t="s">
        <v>4506</v>
      </c>
      <c r="E185" s="20" t="s">
        <v>4507</v>
      </c>
      <c r="F185" s="20" t="s">
        <v>537</v>
      </c>
      <c r="G185" s="20" t="s">
        <v>3777</v>
      </c>
      <c r="H185" s="20" t="s">
        <v>6</v>
      </c>
      <c r="I185" s="39">
        <v>44736.398604918984</v>
      </c>
      <c r="J185" s="39">
        <v>44736.398604942129</v>
      </c>
      <c r="K185" s="20">
        <v>0</v>
      </c>
      <c r="L185" s="17" t="str">
        <f t="shared" si="2"/>
        <v>https://captureandgo.cloudlab.zhaw.ch/uploads/image_522998313d.jpg</v>
      </c>
    </row>
    <row r="186" spans="1:12" ht="16" x14ac:dyDescent="0.2">
      <c r="A186" s="20" t="s">
        <v>4508</v>
      </c>
      <c r="B186" s="20" t="s">
        <v>4509</v>
      </c>
      <c r="C186" s="20" t="s">
        <v>3774</v>
      </c>
      <c r="D186" s="20" t="s">
        <v>4510</v>
      </c>
      <c r="E186" s="20" t="s">
        <v>4511</v>
      </c>
      <c r="F186" s="20" t="s">
        <v>541</v>
      </c>
      <c r="G186" s="20" t="s">
        <v>3777</v>
      </c>
      <c r="H186" s="20" t="s">
        <v>6</v>
      </c>
      <c r="I186" s="39">
        <v>44736.400066828704</v>
      </c>
      <c r="J186" s="39">
        <v>44736.400066875001</v>
      </c>
      <c r="K186" s="20">
        <v>0</v>
      </c>
      <c r="L186" s="17" t="str">
        <f t="shared" si="2"/>
        <v>https://captureandgo.cloudlab.zhaw.ch/uploads/image_41aa1349c5.jpg</v>
      </c>
    </row>
    <row r="187" spans="1:12" ht="16" x14ac:dyDescent="0.2">
      <c r="A187" s="20" t="s">
        <v>4512</v>
      </c>
      <c r="B187" s="20" t="s">
        <v>4513</v>
      </c>
      <c r="C187" s="20" t="s">
        <v>3774</v>
      </c>
      <c r="D187" s="20" t="s">
        <v>4514</v>
      </c>
      <c r="E187" s="20" t="s">
        <v>4515</v>
      </c>
      <c r="F187" s="20" t="s">
        <v>544</v>
      </c>
      <c r="G187" s="20" t="s">
        <v>3777</v>
      </c>
      <c r="H187" s="20" t="s">
        <v>6</v>
      </c>
      <c r="I187" s="39">
        <v>44736.400550324077</v>
      </c>
      <c r="J187" s="39">
        <v>44736.400550358798</v>
      </c>
      <c r="K187" s="20">
        <v>0</v>
      </c>
      <c r="L187" s="17" t="str">
        <f t="shared" si="2"/>
        <v>https://captureandgo.cloudlab.zhaw.ch/uploads/image_0597e19243.jpg</v>
      </c>
    </row>
    <row r="188" spans="1:12" ht="16" x14ac:dyDescent="0.2">
      <c r="A188" s="20" t="s">
        <v>4516</v>
      </c>
      <c r="B188" s="20" t="s">
        <v>4517</v>
      </c>
      <c r="C188" s="20" t="s">
        <v>3774</v>
      </c>
      <c r="D188" s="20" t="s">
        <v>4518</v>
      </c>
      <c r="E188" s="20" t="s">
        <v>4519</v>
      </c>
      <c r="F188" s="20" t="s">
        <v>547</v>
      </c>
      <c r="G188" s="20" t="s">
        <v>3777</v>
      </c>
      <c r="H188" s="20" t="s">
        <v>6</v>
      </c>
      <c r="I188" s="39">
        <v>44736.402588645833</v>
      </c>
      <c r="J188" s="39">
        <v>44736.402588680554</v>
      </c>
      <c r="K188" s="20">
        <v>0</v>
      </c>
      <c r="L188" s="17" t="str">
        <f t="shared" si="2"/>
        <v>https://captureandgo.cloudlab.zhaw.ch/uploads/image_4aa55ae6f7.jpg</v>
      </c>
    </row>
    <row r="189" spans="1:12" ht="16" x14ac:dyDescent="0.2">
      <c r="A189" s="20" t="s">
        <v>4520</v>
      </c>
      <c r="B189" s="20" t="s">
        <v>4521</v>
      </c>
      <c r="C189" s="20" t="s">
        <v>3774</v>
      </c>
      <c r="D189" s="20" t="s">
        <v>4522</v>
      </c>
      <c r="E189" s="20" t="s">
        <v>35</v>
      </c>
      <c r="F189" s="20" t="s">
        <v>35</v>
      </c>
      <c r="G189" s="20" t="s">
        <v>35</v>
      </c>
      <c r="H189" s="20" t="s">
        <v>35</v>
      </c>
      <c r="I189" s="39">
        <v>44736.40456609954</v>
      </c>
      <c r="J189" s="39">
        <v>44736.40456609954</v>
      </c>
      <c r="K189" s="20">
        <v>0</v>
      </c>
      <c r="L189" s="17" t="str">
        <f t="shared" si="2"/>
        <v>https://captureandgo.cloudlab.zhaw.ch/uploads/image_8492ad144a.jpg</v>
      </c>
    </row>
    <row r="190" spans="1:12" ht="16" x14ac:dyDescent="0.2">
      <c r="A190" s="20" t="s">
        <v>4523</v>
      </c>
      <c r="B190" s="20" t="s">
        <v>4524</v>
      </c>
      <c r="C190" s="20" t="s">
        <v>3774</v>
      </c>
      <c r="D190" s="20" t="s">
        <v>4525</v>
      </c>
      <c r="E190" s="20" t="s">
        <v>4526</v>
      </c>
      <c r="F190" s="20" t="s">
        <v>552</v>
      </c>
      <c r="G190" s="20" t="s">
        <v>3777</v>
      </c>
      <c r="H190" s="20" t="s">
        <v>6</v>
      </c>
      <c r="I190" s="39">
        <v>44736.404889583333</v>
      </c>
      <c r="J190" s="39">
        <v>44736.404889618054</v>
      </c>
      <c r="K190" s="20">
        <v>0</v>
      </c>
      <c r="L190" s="17" t="str">
        <f t="shared" si="2"/>
        <v>https://captureandgo.cloudlab.zhaw.ch/uploads/image_5797a69dd7.jpg</v>
      </c>
    </row>
    <row r="191" spans="1:12" ht="16" x14ac:dyDescent="0.2">
      <c r="A191" s="20" t="s">
        <v>4527</v>
      </c>
      <c r="B191" s="20" t="s">
        <v>4528</v>
      </c>
      <c r="C191" s="20" t="s">
        <v>3774</v>
      </c>
      <c r="D191" s="20" t="s">
        <v>4529</v>
      </c>
      <c r="E191" s="20" t="s">
        <v>35</v>
      </c>
      <c r="F191" s="20" t="s">
        <v>35</v>
      </c>
      <c r="G191" s="20" t="s">
        <v>35</v>
      </c>
      <c r="H191" s="20" t="s">
        <v>35</v>
      </c>
      <c r="I191" s="39">
        <v>44736.407858541665</v>
      </c>
      <c r="J191" s="39">
        <v>44736.407858541665</v>
      </c>
      <c r="K191" s="20">
        <v>0</v>
      </c>
      <c r="L191" s="17" t="str">
        <f t="shared" si="2"/>
        <v>https://captureandgo.cloudlab.zhaw.ch/uploads/image_2e67e64733.jpg</v>
      </c>
    </row>
    <row r="192" spans="1:12" ht="16" x14ac:dyDescent="0.2">
      <c r="A192" s="20" t="s">
        <v>4530</v>
      </c>
      <c r="B192" s="20" t="s">
        <v>4531</v>
      </c>
      <c r="C192" s="20" t="s">
        <v>3774</v>
      </c>
      <c r="D192" s="20" t="s">
        <v>4532</v>
      </c>
      <c r="E192" s="20" t="s">
        <v>35</v>
      </c>
      <c r="F192" s="20" t="s">
        <v>35</v>
      </c>
      <c r="G192" s="20" t="s">
        <v>35</v>
      </c>
      <c r="H192" s="20" t="s">
        <v>35</v>
      </c>
      <c r="I192" s="39">
        <v>44736.407859953702</v>
      </c>
      <c r="J192" s="39">
        <v>44736.407859953702</v>
      </c>
      <c r="K192" s="20">
        <v>0</v>
      </c>
      <c r="L192" s="17" t="str">
        <f t="shared" si="2"/>
        <v>https://captureandgo.cloudlab.zhaw.ch/uploads/image_1833212ecd.jpg</v>
      </c>
    </row>
    <row r="193" spans="1:12" ht="16" x14ac:dyDescent="0.2">
      <c r="A193" s="20" t="s">
        <v>4533</v>
      </c>
      <c r="B193" s="20" t="s">
        <v>4534</v>
      </c>
      <c r="C193" s="20" t="s">
        <v>3774</v>
      </c>
      <c r="D193" s="20" t="s">
        <v>4535</v>
      </c>
      <c r="E193" s="20" t="s">
        <v>4536</v>
      </c>
      <c r="F193" s="20" t="s">
        <v>560</v>
      </c>
      <c r="G193" s="20" t="s">
        <v>3777</v>
      </c>
      <c r="H193" s="20" t="s">
        <v>6</v>
      </c>
      <c r="I193" s="39">
        <v>44736.408548043983</v>
      </c>
      <c r="J193" s="39">
        <v>44736.408548101848</v>
      </c>
      <c r="K193" s="20">
        <v>0</v>
      </c>
      <c r="L193" s="17" t="str">
        <f t="shared" si="2"/>
        <v>https://captureandgo.cloudlab.zhaw.ch/uploads/image_4dfde82fd3.jpg</v>
      </c>
    </row>
    <row r="194" spans="1:12" ht="16" x14ac:dyDescent="0.2">
      <c r="A194" s="20" t="s">
        <v>4537</v>
      </c>
      <c r="B194" s="20" t="s">
        <v>4538</v>
      </c>
      <c r="C194" s="20" t="s">
        <v>3774</v>
      </c>
      <c r="D194" s="20" t="s">
        <v>4539</v>
      </c>
      <c r="E194" s="20" t="s">
        <v>4540</v>
      </c>
      <c r="F194" s="20" t="s">
        <v>560</v>
      </c>
      <c r="G194" s="20" t="s">
        <v>3777</v>
      </c>
      <c r="H194" s="20" t="s">
        <v>6</v>
      </c>
      <c r="I194" s="39">
        <v>44736.409931585651</v>
      </c>
      <c r="J194" s="39">
        <v>44736.409931608796</v>
      </c>
      <c r="K194" s="20">
        <v>0</v>
      </c>
      <c r="L194" s="17" t="str">
        <f t="shared" ref="L194:L257" si="3">HYPERLINK("https://captureandgo.cloudlab.zhaw.ch"&amp;B194)</f>
        <v>https://captureandgo.cloudlab.zhaw.ch/uploads/image_a2de2d37e7.jpg</v>
      </c>
    </row>
    <row r="195" spans="1:12" ht="16" x14ac:dyDescent="0.2">
      <c r="A195" s="20" t="s">
        <v>4541</v>
      </c>
      <c r="B195" s="20" t="s">
        <v>4542</v>
      </c>
      <c r="C195" s="20" t="s">
        <v>3774</v>
      </c>
      <c r="D195" s="20" t="s">
        <v>4543</v>
      </c>
      <c r="E195" s="20" t="s">
        <v>4544</v>
      </c>
      <c r="F195" s="20" t="s">
        <v>560</v>
      </c>
      <c r="G195" s="20" t="s">
        <v>3777</v>
      </c>
      <c r="H195" s="20" t="s">
        <v>6</v>
      </c>
      <c r="I195" s="39">
        <v>44736.4099933912</v>
      </c>
      <c r="J195" s="39">
        <v>44736.409993414352</v>
      </c>
      <c r="K195" s="20">
        <v>0</v>
      </c>
      <c r="L195" s="17" t="str">
        <f t="shared" si="3"/>
        <v>https://captureandgo.cloudlab.zhaw.ch/uploads/image_703fb51126.jpg</v>
      </c>
    </row>
    <row r="196" spans="1:12" ht="16" x14ac:dyDescent="0.2">
      <c r="A196" s="20" t="s">
        <v>4545</v>
      </c>
      <c r="B196" s="20" t="s">
        <v>4546</v>
      </c>
      <c r="C196" s="20" t="s">
        <v>3774</v>
      </c>
      <c r="D196" s="20" t="s">
        <v>4547</v>
      </c>
      <c r="E196" s="20" t="s">
        <v>4548</v>
      </c>
      <c r="F196" s="20" t="s">
        <v>565</v>
      </c>
      <c r="G196" s="20" t="s">
        <v>3777</v>
      </c>
      <c r="H196" s="20" t="s">
        <v>6</v>
      </c>
      <c r="I196" s="39">
        <v>44736.410552037036</v>
      </c>
      <c r="J196" s="39">
        <v>44736.410552060188</v>
      </c>
      <c r="K196" s="20">
        <v>0</v>
      </c>
      <c r="L196" s="17" t="str">
        <f t="shared" si="3"/>
        <v>https://captureandgo.cloudlab.zhaw.ch/uploads/image_cdeaec269b.jpg</v>
      </c>
    </row>
    <row r="197" spans="1:12" ht="16" x14ac:dyDescent="0.2">
      <c r="A197" s="20" t="s">
        <v>4549</v>
      </c>
      <c r="B197" s="20" t="s">
        <v>4550</v>
      </c>
      <c r="C197" s="20" t="s">
        <v>3774</v>
      </c>
      <c r="D197" s="20" t="s">
        <v>4551</v>
      </c>
      <c r="E197" s="20" t="s">
        <v>4552</v>
      </c>
      <c r="F197" s="20" t="s">
        <v>568</v>
      </c>
      <c r="G197" s="20" t="s">
        <v>3777</v>
      </c>
      <c r="H197" s="20" t="s">
        <v>6</v>
      </c>
      <c r="I197" s="39">
        <v>44736.412035856483</v>
      </c>
      <c r="J197" s="39">
        <v>44736.41203590278</v>
      </c>
      <c r="K197" s="20">
        <v>0</v>
      </c>
      <c r="L197" s="17" t="str">
        <f t="shared" si="3"/>
        <v>https://captureandgo.cloudlab.zhaw.ch/uploads/image_ee9dd3afb9.jpg</v>
      </c>
    </row>
    <row r="198" spans="1:12" ht="16" x14ac:dyDescent="0.2">
      <c r="A198" s="20" t="s">
        <v>4553</v>
      </c>
      <c r="B198" s="20" t="s">
        <v>4554</v>
      </c>
      <c r="C198" s="20" t="s">
        <v>3774</v>
      </c>
      <c r="D198" s="20" t="s">
        <v>4555</v>
      </c>
      <c r="E198" s="20" t="s">
        <v>4556</v>
      </c>
      <c r="F198" s="20" t="s">
        <v>571</v>
      </c>
      <c r="G198" s="20" t="s">
        <v>3777</v>
      </c>
      <c r="H198" s="20" t="s">
        <v>6</v>
      </c>
      <c r="I198" s="39">
        <v>44736.412469618059</v>
      </c>
      <c r="J198" s="39">
        <v>44736.412469699077</v>
      </c>
      <c r="K198" s="20">
        <v>0</v>
      </c>
      <c r="L198" s="17" t="str">
        <f t="shared" si="3"/>
        <v>https://captureandgo.cloudlab.zhaw.ch/uploads/image_c1ef8c731f.jpg</v>
      </c>
    </row>
    <row r="199" spans="1:12" ht="16" x14ac:dyDescent="0.2">
      <c r="A199" s="20" t="s">
        <v>4557</v>
      </c>
      <c r="B199" s="20" t="s">
        <v>4558</v>
      </c>
      <c r="C199" s="20" t="s">
        <v>3774</v>
      </c>
      <c r="D199" s="20" t="s">
        <v>4559</v>
      </c>
      <c r="E199" s="20" t="s">
        <v>4560</v>
      </c>
      <c r="F199" s="20" t="s">
        <v>574</v>
      </c>
      <c r="G199" s="20" t="s">
        <v>3777</v>
      </c>
      <c r="H199" s="20" t="s">
        <v>6</v>
      </c>
      <c r="I199" s="39">
        <v>44736.413520983799</v>
      </c>
      <c r="J199" s="39">
        <v>44736.41352101852</v>
      </c>
      <c r="K199" s="20">
        <v>0</v>
      </c>
      <c r="L199" s="17" t="str">
        <f t="shared" si="3"/>
        <v>https://captureandgo.cloudlab.zhaw.ch/uploads/image_ce410f2002.jpg</v>
      </c>
    </row>
    <row r="200" spans="1:12" ht="16" x14ac:dyDescent="0.2">
      <c r="A200" s="20" t="s">
        <v>4561</v>
      </c>
      <c r="B200" s="20" t="s">
        <v>4562</v>
      </c>
      <c r="C200" s="20" t="s">
        <v>3774</v>
      </c>
      <c r="D200" s="20" t="s">
        <v>4563</v>
      </c>
      <c r="E200" s="20" t="s">
        <v>4564</v>
      </c>
      <c r="F200" s="20" t="s">
        <v>577</v>
      </c>
      <c r="G200" s="20" t="s">
        <v>3777</v>
      </c>
      <c r="H200" s="20" t="s">
        <v>6</v>
      </c>
      <c r="I200" s="39">
        <v>44736.413821388887</v>
      </c>
      <c r="J200" s="39">
        <v>44736.413821423608</v>
      </c>
      <c r="K200" s="20">
        <v>0</v>
      </c>
      <c r="L200" s="17" t="str">
        <f t="shared" si="3"/>
        <v>https://captureandgo.cloudlab.zhaw.ch/uploads/image_ed1f7c7bff.jpg</v>
      </c>
    </row>
    <row r="201" spans="1:12" ht="16" x14ac:dyDescent="0.2">
      <c r="A201" s="20" t="s">
        <v>4565</v>
      </c>
      <c r="B201" s="20" t="s">
        <v>4566</v>
      </c>
      <c r="C201" s="20" t="s">
        <v>3774</v>
      </c>
      <c r="D201" s="20" t="s">
        <v>4567</v>
      </c>
      <c r="E201" s="20" t="s">
        <v>35</v>
      </c>
      <c r="F201" s="20" t="s">
        <v>35</v>
      </c>
      <c r="G201" s="20" t="s">
        <v>35</v>
      </c>
      <c r="H201" s="20" t="s">
        <v>35</v>
      </c>
      <c r="I201" s="39">
        <v>44736.418776932871</v>
      </c>
      <c r="J201" s="39">
        <v>44736.418776932871</v>
      </c>
      <c r="K201" s="20">
        <v>0</v>
      </c>
      <c r="L201" s="17" t="str">
        <f t="shared" si="3"/>
        <v>https://captureandgo.cloudlab.zhaw.ch/uploads/image_e20c26abcb.jpg</v>
      </c>
    </row>
    <row r="202" spans="1:12" ht="16" x14ac:dyDescent="0.2">
      <c r="A202" s="20" t="s">
        <v>4568</v>
      </c>
      <c r="B202" s="20" t="s">
        <v>4569</v>
      </c>
      <c r="C202" s="20" t="s">
        <v>3774</v>
      </c>
      <c r="D202" s="20" t="s">
        <v>4570</v>
      </c>
      <c r="E202" s="20" t="s">
        <v>35</v>
      </c>
      <c r="F202" s="20" t="s">
        <v>35</v>
      </c>
      <c r="G202" s="20" t="s">
        <v>35</v>
      </c>
      <c r="H202" s="20" t="s">
        <v>35</v>
      </c>
      <c r="I202" s="39">
        <v>44736.418776944447</v>
      </c>
      <c r="J202" s="39">
        <v>44736.418776944447</v>
      </c>
      <c r="K202" s="20">
        <v>0</v>
      </c>
      <c r="L202" s="17" t="str">
        <f t="shared" si="3"/>
        <v>https://captureandgo.cloudlab.zhaw.ch/uploads/image_ada3cf4b9a.jpg</v>
      </c>
    </row>
    <row r="203" spans="1:12" ht="16" x14ac:dyDescent="0.2">
      <c r="A203" s="20" t="s">
        <v>4571</v>
      </c>
      <c r="B203" s="20" t="s">
        <v>4572</v>
      </c>
      <c r="C203" s="20" t="s">
        <v>3774</v>
      </c>
      <c r="D203" s="20" t="s">
        <v>4573</v>
      </c>
      <c r="E203" s="20" t="s">
        <v>35</v>
      </c>
      <c r="F203" s="20" t="s">
        <v>35</v>
      </c>
      <c r="G203" s="20" t="s">
        <v>35</v>
      </c>
      <c r="H203" s="20" t="s">
        <v>35</v>
      </c>
      <c r="I203" s="39">
        <v>44736.418776956016</v>
      </c>
      <c r="J203" s="39">
        <v>44736.418776956016</v>
      </c>
      <c r="K203" s="20">
        <v>0</v>
      </c>
      <c r="L203" s="17" t="str">
        <f t="shared" si="3"/>
        <v>https://captureandgo.cloudlab.zhaw.ch/uploads/image_c8bc66d33f.jpg</v>
      </c>
    </row>
    <row r="204" spans="1:12" ht="16" x14ac:dyDescent="0.2">
      <c r="A204" s="20" t="s">
        <v>4574</v>
      </c>
      <c r="B204" s="20" t="s">
        <v>4575</v>
      </c>
      <c r="C204" s="20" t="s">
        <v>3774</v>
      </c>
      <c r="D204" s="20" t="s">
        <v>4576</v>
      </c>
      <c r="E204" s="20" t="s">
        <v>4577</v>
      </c>
      <c r="F204" s="20" t="s">
        <v>585</v>
      </c>
      <c r="G204" s="20" t="s">
        <v>3777</v>
      </c>
      <c r="H204" s="20" t="s">
        <v>6</v>
      </c>
      <c r="I204" s="39">
        <v>44736.419572453706</v>
      </c>
      <c r="J204" s="39">
        <v>44736.419572511571</v>
      </c>
      <c r="K204" s="20">
        <v>0</v>
      </c>
      <c r="L204" s="17" t="str">
        <f t="shared" si="3"/>
        <v>https://captureandgo.cloudlab.zhaw.ch/uploads/image_034c5f39e4.jpg</v>
      </c>
    </row>
    <row r="205" spans="1:12" ht="16" x14ac:dyDescent="0.2">
      <c r="A205" s="20" t="s">
        <v>4578</v>
      </c>
      <c r="B205" s="20" t="s">
        <v>4579</v>
      </c>
      <c r="C205" s="20" t="s">
        <v>3774</v>
      </c>
      <c r="D205" s="20" t="s">
        <v>4580</v>
      </c>
      <c r="E205" s="20" t="s">
        <v>4581</v>
      </c>
      <c r="F205" s="20" t="s">
        <v>589</v>
      </c>
      <c r="G205" s="20" t="s">
        <v>3777</v>
      </c>
      <c r="H205" s="20" t="s">
        <v>6</v>
      </c>
      <c r="I205" s="39">
        <v>44736.42010570602</v>
      </c>
      <c r="J205" s="39">
        <v>44736.420105740741</v>
      </c>
      <c r="K205" s="20">
        <v>0</v>
      </c>
      <c r="L205" s="17" t="str">
        <f t="shared" si="3"/>
        <v>https://captureandgo.cloudlab.zhaw.ch/uploads/image_6bf0a227c6.jpg</v>
      </c>
    </row>
    <row r="206" spans="1:12" ht="16" x14ac:dyDescent="0.2">
      <c r="A206" s="20" t="s">
        <v>4582</v>
      </c>
      <c r="B206" s="20" t="s">
        <v>4583</v>
      </c>
      <c r="C206" s="20" t="s">
        <v>3774</v>
      </c>
      <c r="D206" s="20" t="s">
        <v>4584</v>
      </c>
      <c r="E206" s="20" t="s">
        <v>4585</v>
      </c>
      <c r="F206" s="20" t="s">
        <v>592</v>
      </c>
      <c r="G206" s="20" t="s">
        <v>3777</v>
      </c>
      <c r="H206" s="20" t="s">
        <v>6</v>
      </c>
      <c r="I206" s="39">
        <v>44736.421579016205</v>
      </c>
      <c r="J206" s="39">
        <v>44736.421579050926</v>
      </c>
      <c r="K206" s="20">
        <v>0</v>
      </c>
      <c r="L206" s="17" t="str">
        <f t="shared" si="3"/>
        <v>https://captureandgo.cloudlab.zhaw.ch/uploads/image_0ab6363229.jpg</v>
      </c>
    </row>
    <row r="207" spans="1:12" ht="16" x14ac:dyDescent="0.2">
      <c r="A207" s="20" t="s">
        <v>4586</v>
      </c>
      <c r="B207" s="20" t="s">
        <v>4587</v>
      </c>
      <c r="C207" s="20" t="s">
        <v>3774</v>
      </c>
      <c r="D207" s="20" t="s">
        <v>4588</v>
      </c>
      <c r="E207" s="20" t="s">
        <v>4589</v>
      </c>
      <c r="F207" s="20" t="s">
        <v>595</v>
      </c>
      <c r="G207" s="20" t="s">
        <v>3777</v>
      </c>
      <c r="H207" s="20" t="s">
        <v>6</v>
      </c>
      <c r="I207" s="39">
        <v>44736.422071898145</v>
      </c>
      <c r="J207" s="39">
        <v>44736.422071932873</v>
      </c>
      <c r="K207" s="20">
        <v>0</v>
      </c>
      <c r="L207" s="17" t="str">
        <f t="shared" si="3"/>
        <v>https://captureandgo.cloudlab.zhaw.ch/uploads/image_a579125529.jpg</v>
      </c>
    </row>
    <row r="208" spans="1:12" ht="16" x14ac:dyDescent="0.2">
      <c r="A208" s="20" t="s">
        <v>4590</v>
      </c>
      <c r="B208" s="20" t="s">
        <v>4591</v>
      </c>
      <c r="C208" s="20" t="s">
        <v>3774</v>
      </c>
      <c r="D208" s="20" t="s">
        <v>4592</v>
      </c>
      <c r="E208" s="20" t="s">
        <v>4593</v>
      </c>
      <c r="F208" s="20" t="s">
        <v>599</v>
      </c>
      <c r="G208" s="20" t="s">
        <v>3777</v>
      </c>
      <c r="H208" s="20" t="s">
        <v>6</v>
      </c>
      <c r="I208" s="39">
        <v>44736.422964548612</v>
      </c>
      <c r="J208" s="39">
        <v>44736.422964571757</v>
      </c>
      <c r="K208" s="20">
        <v>0</v>
      </c>
      <c r="L208" s="17" t="str">
        <f t="shared" si="3"/>
        <v>https://captureandgo.cloudlab.zhaw.ch/uploads/image_e44f00fe75.jpg</v>
      </c>
    </row>
    <row r="209" spans="1:12" ht="16" x14ac:dyDescent="0.2">
      <c r="A209" s="20" t="s">
        <v>4594</v>
      </c>
      <c r="B209" s="20" t="s">
        <v>4595</v>
      </c>
      <c r="C209" s="20" t="s">
        <v>3774</v>
      </c>
      <c r="D209" s="20" t="s">
        <v>4596</v>
      </c>
      <c r="E209" s="20" t="s">
        <v>4597</v>
      </c>
      <c r="F209" s="20" t="s">
        <v>603</v>
      </c>
      <c r="G209" s="20" t="s">
        <v>3777</v>
      </c>
      <c r="H209" s="20" t="s">
        <v>6</v>
      </c>
      <c r="I209" s="39">
        <v>44736.424434513887</v>
      </c>
      <c r="J209" s="39">
        <v>44736.424434548608</v>
      </c>
      <c r="K209" s="20">
        <v>0</v>
      </c>
      <c r="L209" s="17" t="str">
        <f t="shared" si="3"/>
        <v>https://captureandgo.cloudlab.zhaw.ch/uploads/image_9d044ff222.jpg</v>
      </c>
    </row>
    <row r="210" spans="1:12" ht="16" x14ac:dyDescent="0.2">
      <c r="A210" s="20" t="s">
        <v>4598</v>
      </c>
      <c r="B210" s="20" t="s">
        <v>4599</v>
      </c>
      <c r="C210" s="20" t="s">
        <v>3774</v>
      </c>
      <c r="D210" s="20" t="s">
        <v>4600</v>
      </c>
      <c r="E210" s="20" t="s">
        <v>4601</v>
      </c>
      <c r="F210" s="20" t="s">
        <v>606</v>
      </c>
      <c r="G210" s="20" t="s">
        <v>3777</v>
      </c>
      <c r="H210" s="20" t="s">
        <v>6</v>
      </c>
      <c r="I210" s="39">
        <v>44736.426594305558</v>
      </c>
      <c r="J210" s="39">
        <v>44736.426594351855</v>
      </c>
      <c r="K210" s="20">
        <v>0</v>
      </c>
      <c r="L210" s="17" t="str">
        <f t="shared" si="3"/>
        <v>https://captureandgo.cloudlab.zhaw.ch/uploads/image_d3b42d8531.jpg</v>
      </c>
    </row>
    <row r="211" spans="1:12" ht="16" x14ac:dyDescent="0.2">
      <c r="A211" s="20" t="s">
        <v>4602</v>
      </c>
      <c r="B211" s="20" t="s">
        <v>4603</v>
      </c>
      <c r="C211" s="20" t="s">
        <v>3774</v>
      </c>
      <c r="D211" s="20" t="s">
        <v>4604</v>
      </c>
      <c r="E211" s="20" t="s">
        <v>4605</v>
      </c>
      <c r="F211" s="20" t="s">
        <v>609</v>
      </c>
      <c r="G211" s="20" t="s">
        <v>3777</v>
      </c>
      <c r="H211" s="20" t="s">
        <v>6</v>
      </c>
      <c r="I211" s="39">
        <v>44736.427403240741</v>
      </c>
      <c r="J211" s="39">
        <v>44736.427403263886</v>
      </c>
      <c r="K211" s="20">
        <v>0</v>
      </c>
      <c r="L211" s="17" t="str">
        <f t="shared" si="3"/>
        <v>https://captureandgo.cloudlab.zhaw.ch/uploads/image_7d2e4ba699.jpg</v>
      </c>
    </row>
    <row r="212" spans="1:12" ht="16" x14ac:dyDescent="0.2">
      <c r="A212" s="20" t="s">
        <v>4606</v>
      </c>
      <c r="B212" s="20" t="s">
        <v>4607</v>
      </c>
      <c r="C212" s="20" t="s">
        <v>3774</v>
      </c>
      <c r="D212" s="20" t="s">
        <v>4608</v>
      </c>
      <c r="E212" s="20" t="s">
        <v>4609</v>
      </c>
      <c r="F212" s="20" t="s">
        <v>612</v>
      </c>
      <c r="G212" s="20" t="s">
        <v>3777</v>
      </c>
      <c r="H212" s="20" t="s">
        <v>6</v>
      </c>
      <c r="I212" s="39">
        <v>44736.42821697917</v>
      </c>
      <c r="J212" s="39">
        <v>44736.42821701389</v>
      </c>
      <c r="K212" s="20">
        <v>0</v>
      </c>
      <c r="L212" s="17" t="str">
        <f t="shared" si="3"/>
        <v>https://captureandgo.cloudlab.zhaw.ch/uploads/image_ff37bfe6d8.jpg</v>
      </c>
    </row>
    <row r="213" spans="1:12" ht="16" x14ac:dyDescent="0.2">
      <c r="A213" s="20" t="s">
        <v>4610</v>
      </c>
      <c r="B213" s="20" t="s">
        <v>4611</v>
      </c>
      <c r="C213" s="20" t="s">
        <v>3774</v>
      </c>
      <c r="D213" s="20" t="s">
        <v>4612</v>
      </c>
      <c r="E213" s="20" t="s">
        <v>4613</v>
      </c>
      <c r="F213" s="20" t="s">
        <v>615</v>
      </c>
      <c r="G213" s="20" t="s">
        <v>3777</v>
      </c>
      <c r="H213" s="20" t="s">
        <v>6</v>
      </c>
      <c r="I213" s="39">
        <v>44736.429252245369</v>
      </c>
      <c r="J213" s="39">
        <v>44736.429252291666</v>
      </c>
      <c r="K213" s="20">
        <v>0</v>
      </c>
      <c r="L213" s="17" t="str">
        <f t="shared" si="3"/>
        <v>https://captureandgo.cloudlab.zhaw.ch/uploads/image_81eb563d8a.jpg</v>
      </c>
    </row>
    <row r="214" spans="1:12" ht="16" x14ac:dyDescent="0.2">
      <c r="A214" s="20" t="s">
        <v>4614</v>
      </c>
      <c r="B214" s="20" t="s">
        <v>4615</v>
      </c>
      <c r="C214" s="20" t="s">
        <v>3774</v>
      </c>
      <c r="D214" s="20" t="s">
        <v>4616</v>
      </c>
      <c r="E214" s="20" t="s">
        <v>4617</v>
      </c>
      <c r="F214" s="20" t="s">
        <v>618</v>
      </c>
      <c r="G214" s="20" t="s">
        <v>3777</v>
      </c>
      <c r="H214" s="20" t="s">
        <v>6</v>
      </c>
      <c r="I214" s="39">
        <v>44736.43002550926</v>
      </c>
      <c r="J214" s="39">
        <v>44736.430025543981</v>
      </c>
      <c r="K214" s="20">
        <v>0</v>
      </c>
      <c r="L214" s="17" t="str">
        <f t="shared" si="3"/>
        <v>https://captureandgo.cloudlab.zhaw.ch/uploads/image_3fd9fba916.jpg</v>
      </c>
    </row>
    <row r="215" spans="1:12" ht="16" x14ac:dyDescent="0.2">
      <c r="A215" s="20" t="s">
        <v>4618</v>
      </c>
      <c r="B215" s="20" t="s">
        <v>4619</v>
      </c>
      <c r="C215" s="20" t="s">
        <v>3774</v>
      </c>
      <c r="D215" s="20" t="s">
        <v>4620</v>
      </c>
      <c r="E215" s="20" t="s">
        <v>4621</v>
      </c>
      <c r="F215" s="20" t="s">
        <v>622</v>
      </c>
      <c r="G215" s="20" t="s">
        <v>3777</v>
      </c>
      <c r="H215" s="20" t="s">
        <v>6</v>
      </c>
      <c r="I215" s="39">
        <v>44736.431349687497</v>
      </c>
      <c r="J215" s="39">
        <v>44736.43134974537</v>
      </c>
      <c r="K215" s="20">
        <v>0</v>
      </c>
      <c r="L215" s="17" t="str">
        <f t="shared" si="3"/>
        <v>https://captureandgo.cloudlab.zhaw.ch/uploads/image_4e45c06b66.jpg</v>
      </c>
    </row>
    <row r="216" spans="1:12" ht="16" x14ac:dyDescent="0.2">
      <c r="A216" s="20" t="s">
        <v>4622</v>
      </c>
      <c r="B216" s="20" t="s">
        <v>4623</v>
      </c>
      <c r="C216" s="20" t="s">
        <v>3774</v>
      </c>
      <c r="D216" s="20" t="s">
        <v>4624</v>
      </c>
      <c r="E216" s="20" t="s">
        <v>4625</v>
      </c>
      <c r="F216" s="20" t="s">
        <v>626</v>
      </c>
      <c r="G216" s="20" t="s">
        <v>3777</v>
      </c>
      <c r="H216" s="20" t="s">
        <v>6</v>
      </c>
      <c r="I216" s="39">
        <v>44736.431999270833</v>
      </c>
      <c r="J216" s="39">
        <v>44736.431999305554</v>
      </c>
      <c r="K216" s="20">
        <v>0</v>
      </c>
      <c r="L216" s="17" t="str">
        <f t="shared" si="3"/>
        <v>https://captureandgo.cloudlab.zhaw.ch/uploads/image_190aa2b755.jpg</v>
      </c>
    </row>
    <row r="217" spans="1:12" ht="16" x14ac:dyDescent="0.2">
      <c r="A217" s="20" t="s">
        <v>4626</v>
      </c>
      <c r="B217" s="20" t="s">
        <v>4627</v>
      </c>
      <c r="C217" s="20" t="s">
        <v>3774</v>
      </c>
      <c r="D217" s="20" t="s">
        <v>4628</v>
      </c>
      <c r="E217" s="20" t="s">
        <v>4629</v>
      </c>
      <c r="F217" s="20" t="s">
        <v>629</v>
      </c>
      <c r="G217" s="20" t="s">
        <v>3777</v>
      </c>
      <c r="H217" s="20" t="s">
        <v>6</v>
      </c>
      <c r="I217" s="39">
        <v>44736.432706145832</v>
      </c>
      <c r="J217" s="39">
        <v>44736.432706192129</v>
      </c>
      <c r="K217" s="20">
        <v>0</v>
      </c>
      <c r="L217" s="17" t="str">
        <f t="shared" si="3"/>
        <v>https://captureandgo.cloudlab.zhaw.ch/uploads/image_d218ed28cb.jpg</v>
      </c>
    </row>
    <row r="218" spans="1:12" ht="16" x14ac:dyDescent="0.2">
      <c r="A218" s="20" t="s">
        <v>4630</v>
      </c>
      <c r="B218" s="20" t="s">
        <v>4631</v>
      </c>
      <c r="C218" s="20" t="s">
        <v>3774</v>
      </c>
      <c r="D218" s="20" t="s">
        <v>4632</v>
      </c>
      <c r="E218" s="20" t="s">
        <v>4633</v>
      </c>
      <c r="F218" s="20" t="s">
        <v>632</v>
      </c>
      <c r="G218" s="20" t="s">
        <v>3777</v>
      </c>
      <c r="H218" s="20" t="s">
        <v>6</v>
      </c>
      <c r="I218" s="39">
        <v>44736.433752581019</v>
      </c>
      <c r="J218" s="39">
        <v>44736.433752604164</v>
      </c>
      <c r="K218" s="20">
        <v>0</v>
      </c>
      <c r="L218" s="17" t="str">
        <f t="shared" si="3"/>
        <v>https://captureandgo.cloudlab.zhaw.ch/uploads/image_1bab8335b6.jpg</v>
      </c>
    </row>
    <row r="219" spans="1:12" ht="16" x14ac:dyDescent="0.2">
      <c r="A219" s="20" t="s">
        <v>4634</v>
      </c>
      <c r="B219" s="20" t="s">
        <v>4635</v>
      </c>
      <c r="C219" s="20" t="s">
        <v>3774</v>
      </c>
      <c r="D219" s="20" t="s">
        <v>4636</v>
      </c>
      <c r="E219" s="20" t="s">
        <v>4637</v>
      </c>
      <c r="F219" s="20" t="s">
        <v>635</v>
      </c>
      <c r="G219" s="20" t="s">
        <v>3777</v>
      </c>
      <c r="H219" s="20" t="s">
        <v>6</v>
      </c>
      <c r="I219" s="39">
        <v>44736.434728460648</v>
      </c>
      <c r="J219" s="39">
        <v>44736.434728495369</v>
      </c>
      <c r="K219" s="20">
        <v>0</v>
      </c>
      <c r="L219" s="17" t="str">
        <f t="shared" si="3"/>
        <v>https://captureandgo.cloudlab.zhaw.ch/uploads/image_aa29cbf1bc.jpg</v>
      </c>
    </row>
    <row r="220" spans="1:12" ht="16" x14ac:dyDescent="0.2">
      <c r="A220" s="20" t="s">
        <v>4638</v>
      </c>
      <c r="B220" s="20" t="s">
        <v>4639</v>
      </c>
      <c r="C220" s="20" t="s">
        <v>3774</v>
      </c>
      <c r="D220" s="20" t="s">
        <v>4640</v>
      </c>
      <c r="E220" s="20" t="s">
        <v>4641</v>
      </c>
      <c r="F220" s="20" t="s">
        <v>638</v>
      </c>
      <c r="G220" s="20" t="s">
        <v>3777</v>
      </c>
      <c r="H220" s="20" t="s">
        <v>6</v>
      </c>
      <c r="I220" s="39">
        <v>44736.435747592594</v>
      </c>
      <c r="J220" s="39">
        <v>44736.435747627314</v>
      </c>
      <c r="K220" s="20">
        <v>0</v>
      </c>
      <c r="L220" s="17" t="str">
        <f t="shared" si="3"/>
        <v>https://captureandgo.cloudlab.zhaw.ch/uploads/image_bc3c385e41.jpg</v>
      </c>
    </row>
    <row r="221" spans="1:12" ht="16" x14ac:dyDescent="0.2">
      <c r="A221" s="20" t="s">
        <v>4642</v>
      </c>
      <c r="B221" s="20" t="s">
        <v>4643</v>
      </c>
      <c r="C221" s="20" t="s">
        <v>3774</v>
      </c>
      <c r="D221" s="20" t="s">
        <v>4644</v>
      </c>
      <c r="E221" s="20" t="s">
        <v>4645</v>
      </c>
      <c r="F221" s="20" t="s">
        <v>641</v>
      </c>
      <c r="G221" s="20" t="s">
        <v>3777</v>
      </c>
      <c r="H221" s="20" t="s">
        <v>6</v>
      </c>
      <c r="I221" s="39">
        <v>44736.436630648146</v>
      </c>
      <c r="J221" s="39">
        <v>44736.436630671298</v>
      </c>
      <c r="K221" s="20">
        <v>0</v>
      </c>
      <c r="L221" s="17" t="str">
        <f t="shared" si="3"/>
        <v>https://captureandgo.cloudlab.zhaw.ch/uploads/image_da8d2054e3.jpg</v>
      </c>
    </row>
    <row r="222" spans="1:12" ht="16" x14ac:dyDescent="0.2">
      <c r="A222" s="20" t="s">
        <v>4646</v>
      </c>
      <c r="B222" s="20" t="s">
        <v>4647</v>
      </c>
      <c r="C222" s="20" t="s">
        <v>3774</v>
      </c>
      <c r="D222" s="20" t="s">
        <v>4648</v>
      </c>
      <c r="E222" s="20" t="s">
        <v>4649</v>
      </c>
      <c r="F222" s="20" t="s">
        <v>644</v>
      </c>
      <c r="G222" s="20" t="s">
        <v>3777</v>
      </c>
      <c r="H222" s="20" t="s">
        <v>6</v>
      </c>
      <c r="I222" s="39">
        <v>44736.437553946758</v>
      </c>
      <c r="J222" s="39">
        <v>44736.437553993055</v>
      </c>
      <c r="K222" s="20">
        <v>0</v>
      </c>
      <c r="L222" s="17" t="str">
        <f t="shared" si="3"/>
        <v>https://captureandgo.cloudlab.zhaw.ch/uploads/image_536b00a68e.jpg</v>
      </c>
    </row>
    <row r="223" spans="1:12" ht="16" x14ac:dyDescent="0.2">
      <c r="A223" s="20" t="s">
        <v>4650</v>
      </c>
      <c r="B223" s="20" t="s">
        <v>4651</v>
      </c>
      <c r="C223" s="20" t="s">
        <v>3774</v>
      </c>
      <c r="D223" s="20" t="s">
        <v>4652</v>
      </c>
      <c r="E223" s="20" t="s">
        <v>4653</v>
      </c>
      <c r="F223" s="20" t="s">
        <v>644</v>
      </c>
      <c r="G223" s="20" t="s">
        <v>3777</v>
      </c>
      <c r="H223" s="20" t="s">
        <v>6</v>
      </c>
      <c r="I223" s="39">
        <v>44736.437808344905</v>
      </c>
      <c r="J223" s="39">
        <v>44736.437808379633</v>
      </c>
      <c r="K223" s="20">
        <v>0</v>
      </c>
      <c r="L223" s="17" t="str">
        <f t="shared" si="3"/>
        <v>https://captureandgo.cloudlab.zhaw.ch/uploads/image_a1d58c27e0.jpg</v>
      </c>
    </row>
    <row r="224" spans="1:12" ht="16" x14ac:dyDescent="0.2">
      <c r="A224" s="20" t="s">
        <v>4654</v>
      </c>
      <c r="B224" s="20" t="s">
        <v>4655</v>
      </c>
      <c r="C224" s="20" t="s">
        <v>3774</v>
      </c>
      <c r="D224" s="20" t="s">
        <v>4656</v>
      </c>
      <c r="E224" s="20" t="s">
        <v>4657</v>
      </c>
      <c r="F224" s="20" t="s">
        <v>644</v>
      </c>
      <c r="G224" s="20" t="s">
        <v>3777</v>
      </c>
      <c r="H224" s="20" t="s">
        <v>6</v>
      </c>
      <c r="I224" s="39">
        <v>44736.437878969904</v>
      </c>
      <c r="J224" s="39">
        <v>44736.437879004632</v>
      </c>
      <c r="K224" s="20">
        <v>0</v>
      </c>
      <c r="L224" s="17" t="str">
        <f t="shared" si="3"/>
        <v>https://captureandgo.cloudlab.zhaw.ch/uploads/image_5b4e7fb563.jpg</v>
      </c>
    </row>
    <row r="225" spans="1:12" ht="16" x14ac:dyDescent="0.2">
      <c r="A225" s="20" t="s">
        <v>4658</v>
      </c>
      <c r="B225" s="20" t="s">
        <v>4659</v>
      </c>
      <c r="C225" s="20" t="s">
        <v>3774</v>
      </c>
      <c r="D225" s="20" t="s">
        <v>4660</v>
      </c>
      <c r="E225" s="20" t="s">
        <v>4661</v>
      </c>
      <c r="F225" s="20" t="s">
        <v>647</v>
      </c>
      <c r="G225" s="20" t="s">
        <v>3777</v>
      </c>
      <c r="H225" s="20" t="s">
        <v>6</v>
      </c>
      <c r="I225" s="39">
        <v>44736.439566678244</v>
      </c>
      <c r="J225" s="39">
        <v>44736.439566712965</v>
      </c>
      <c r="K225" s="20">
        <v>0</v>
      </c>
      <c r="L225" s="17" t="str">
        <f t="shared" si="3"/>
        <v>https://captureandgo.cloudlab.zhaw.ch/uploads/image_56c9188754.jpg</v>
      </c>
    </row>
    <row r="226" spans="1:12" ht="16" x14ac:dyDescent="0.2">
      <c r="A226" s="20" t="s">
        <v>4662</v>
      </c>
      <c r="B226" s="20" t="s">
        <v>4663</v>
      </c>
      <c r="C226" s="20" t="s">
        <v>3774</v>
      </c>
      <c r="D226" s="20" t="s">
        <v>4664</v>
      </c>
      <c r="E226" s="20" t="s">
        <v>4665</v>
      </c>
      <c r="F226" s="20" t="s">
        <v>650</v>
      </c>
      <c r="G226" s="20" t="s">
        <v>3777</v>
      </c>
      <c r="H226" s="20" t="s">
        <v>6</v>
      </c>
      <c r="I226" s="39">
        <v>44736.44013328704</v>
      </c>
      <c r="J226" s="39">
        <v>44736.44013333333</v>
      </c>
      <c r="K226" s="20">
        <v>0</v>
      </c>
      <c r="L226" s="17" t="str">
        <f t="shared" si="3"/>
        <v>https://captureandgo.cloudlab.zhaw.ch/uploads/image_6296df424e.jpg</v>
      </c>
    </row>
    <row r="227" spans="1:12" ht="16" x14ac:dyDescent="0.2">
      <c r="A227" s="20" t="s">
        <v>4666</v>
      </c>
      <c r="B227" s="20" t="s">
        <v>4667</v>
      </c>
      <c r="C227" s="20" t="s">
        <v>3774</v>
      </c>
      <c r="D227" s="20" t="s">
        <v>4668</v>
      </c>
      <c r="E227" s="20" t="s">
        <v>4669</v>
      </c>
      <c r="F227" s="20" t="s">
        <v>653</v>
      </c>
      <c r="G227" s="20" t="s">
        <v>3777</v>
      </c>
      <c r="H227" s="20" t="s">
        <v>6</v>
      </c>
      <c r="I227" s="39">
        <v>44736.440784467595</v>
      </c>
      <c r="J227" s="39">
        <v>44736.44078449074</v>
      </c>
      <c r="K227" s="20">
        <v>0</v>
      </c>
      <c r="L227" s="17" t="str">
        <f t="shared" si="3"/>
        <v>https://captureandgo.cloudlab.zhaw.ch/uploads/image_8a53df9d18.jpg</v>
      </c>
    </row>
    <row r="228" spans="1:12" ht="16" x14ac:dyDescent="0.2">
      <c r="A228" s="20" t="s">
        <v>4670</v>
      </c>
      <c r="B228" s="20" t="s">
        <v>4671</v>
      </c>
      <c r="C228" s="20" t="s">
        <v>3774</v>
      </c>
      <c r="D228" s="20" t="s">
        <v>4672</v>
      </c>
      <c r="E228" s="20" t="s">
        <v>4673</v>
      </c>
      <c r="F228" s="20" t="s">
        <v>656</v>
      </c>
      <c r="G228" s="20" t="s">
        <v>3777</v>
      </c>
      <c r="H228" s="20" t="s">
        <v>6</v>
      </c>
      <c r="I228" s="39">
        <v>44736.441887581015</v>
      </c>
      <c r="J228" s="39">
        <v>44736.441887615743</v>
      </c>
      <c r="K228" s="20">
        <v>0</v>
      </c>
      <c r="L228" s="17" t="str">
        <f t="shared" si="3"/>
        <v>https://captureandgo.cloudlab.zhaw.ch/uploads/image_9e9eb09f84.jpg</v>
      </c>
    </row>
    <row r="229" spans="1:12" ht="16" x14ac:dyDescent="0.2">
      <c r="A229" s="20" t="s">
        <v>4674</v>
      </c>
      <c r="B229" s="20" t="s">
        <v>4675</v>
      </c>
      <c r="C229" s="20" t="s">
        <v>3774</v>
      </c>
      <c r="D229" s="20" t="s">
        <v>4676</v>
      </c>
      <c r="E229" s="20" t="s">
        <v>4677</v>
      </c>
      <c r="F229" s="20" t="s">
        <v>659</v>
      </c>
      <c r="G229" s="20" t="s">
        <v>3777</v>
      </c>
      <c r="H229" s="20" t="s">
        <v>6</v>
      </c>
      <c r="I229" s="39">
        <v>44736.442708032409</v>
      </c>
      <c r="J229" s="39">
        <v>44736.44270806713</v>
      </c>
      <c r="K229" s="20">
        <v>0</v>
      </c>
      <c r="L229" s="17" t="str">
        <f t="shared" si="3"/>
        <v>https://captureandgo.cloudlab.zhaw.ch/uploads/image_b0254bac4b.jpg</v>
      </c>
    </row>
    <row r="230" spans="1:12" ht="16" x14ac:dyDescent="0.2">
      <c r="A230" s="20" t="s">
        <v>4678</v>
      </c>
      <c r="B230" s="20" t="s">
        <v>4679</v>
      </c>
      <c r="C230" s="20" t="s">
        <v>3774</v>
      </c>
      <c r="D230" s="20" t="s">
        <v>4680</v>
      </c>
      <c r="E230" s="20" t="s">
        <v>4681</v>
      </c>
      <c r="F230" s="20" t="s">
        <v>663</v>
      </c>
      <c r="G230" s="20" t="s">
        <v>3777</v>
      </c>
      <c r="H230" s="20" t="s">
        <v>6</v>
      </c>
      <c r="I230" s="39">
        <v>44736.443866956019</v>
      </c>
      <c r="J230" s="39">
        <v>44736.443867002316</v>
      </c>
      <c r="K230" s="20">
        <v>0</v>
      </c>
      <c r="L230" s="17" t="str">
        <f t="shared" si="3"/>
        <v>https://captureandgo.cloudlab.zhaw.ch/uploads/image_1ad429564f.jpg</v>
      </c>
    </row>
    <row r="231" spans="1:12" ht="16" x14ac:dyDescent="0.2">
      <c r="A231" s="20" t="s">
        <v>4682</v>
      </c>
      <c r="B231" s="20" t="s">
        <v>4683</v>
      </c>
      <c r="C231" s="20" t="s">
        <v>3774</v>
      </c>
      <c r="D231" s="20" t="s">
        <v>4684</v>
      </c>
      <c r="E231" s="20" t="s">
        <v>4685</v>
      </c>
      <c r="F231" s="20" t="s">
        <v>666</v>
      </c>
      <c r="G231" s="20" t="s">
        <v>3777</v>
      </c>
      <c r="H231" s="20" t="s">
        <v>6</v>
      </c>
      <c r="I231" s="39">
        <v>44736.444824131948</v>
      </c>
      <c r="J231" s="39">
        <v>44736.444824155093</v>
      </c>
      <c r="K231" s="20">
        <v>0</v>
      </c>
      <c r="L231" s="17" t="str">
        <f t="shared" si="3"/>
        <v>https://captureandgo.cloudlab.zhaw.ch/uploads/image_24c6e119a5.jpg</v>
      </c>
    </row>
    <row r="232" spans="1:12" ht="16" x14ac:dyDescent="0.2">
      <c r="A232" s="20" t="s">
        <v>4686</v>
      </c>
      <c r="B232" s="20" t="s">
        <v>4687</v>
      </c>
      <c r="C232" s="20" t="s">
        <v>3774</v>
      </c>
      <c r="D232" s="20" t="s">
        <v>4688</v>
      </c>
      <c r="E232" s="20" t="s">
        <v>4689</v>
      </c>
      <c r="F232" s="20" t="s">
        <v>669</v>
      </c>
      <c r="G232" s="20" t="s">
        <v>3777</v>
      </c>
      <c r="H232" s="20" t="s">
        <v>6</v>
      </c>
      <c r="I232" s="39">
        <v>44736.447006921298</v>
      </c>
      <c r="J232" s="39">
        <v>44736.447006979164</v>
      </c>
      <c r="K232" s="20">
        <v>0</v>
      </c>
      <c r="L232" s="17" t="str">
        <f t="shared" si="3"/>
        <v>https://captureandgo.cloudlab.zhaw.ch/uploads/image_5dd00282c8.jpg</v>
      </c>
    </row>
    <row r="233" spans="1:12" ht="16" x14ac:dyDescent="0.2">
      <c r="A233" s="20" t="s">
        <v>4690</v>
      </c>
      <c r="B233" s="20" t="s">
        <v>4691</v>
      </c>
      <c r="C233" s="20" t="s">
        <v>3774</v>
      </c>
      <c r="D233" s="20" t="s">
        <v>4692</v>
      </c>
      <c r="E233" s="20" t="s">
        <v>4693</v>
      </c>
      <c r="F233" s="20" t="s">
        <v>672</v>
      </c>
      <c r="G233" s="20" t="s">
        <v>3777</v>
      </c>
      <c r="H233" s="20" t="s">
        <v>6</v>
      </c>
      <c r="I233" s="39">
        <v>44736.450750046293</v>
      </c>
      <c r="J233" s="39">
        <v>44736.450750115742</v>
      </c>
      <c r="K233" s="20">
        <v>0</v>
      </c>
      <c r="L233" s="17" t="str">
        <f t="shared" si="3"/>
        <v>https://captureandgo.cloudlab.zhaw.ch/uploads/image_4872644012.jpg</v>
      </c>
    </row>
    <row r="234" spans="1:12" ht="16" x14ac:dyDescent="0.2">
      <c r="A234" s="20" t="s">
        <v>4694</v>
      </c>
      <c r="B234" s="20" t="s">
        <v>4695</v>
      </c>
      <c r="C234" s="20" t="s">
        <v>3774</v>
      </c>
      <c r="D234" s="20" t="s">
        <v>4696</v>
      </c>
      <c r="E234" s="20" t="s">
        <v>4697</v>
      </c>
      <c r="F234" s="20" t="s">
        <v>676</v>
      </c>
      <c r="G234" s="20" t="s">
        <v>3777</v>
      </c>
      <c r="H234" s="20" t="s">
        <v>6</v>
      </c>
      <c r="I234" s="39">
        <v>44736.452612083332</v>
      </c>
      <c r="J234" s="39">
        <v>44736.452612129629</v>
      </c>
      <c r="K234" s="20">
        <v>0</v>
      </c>
      <c r="L234" s="17" t="str">
        <f t="shared" si="3"/>
        <v>https://captureandgo.cloudlab.zhaw.ch/uploads/image_11c17a6bd6.jpg</v>
      </c>
    </row>
    <row r="235" spans="1:12" ht="16" x14ac:dyDescent="0.2">
      <c r="A235" s="20" t="s">
        <v>4698</v>
      </c>
      <c r="B235" s="20" t="s">
        <v>4699</v>
      </c>
      <c r="C235" s="20" t="s">
        <v>3774</v>
      </c>
      <c r="D235" s="20" t="s">
        <v>4700</v>
      </c>
      <c r="E235" s="20" t="s">
        <v>4701</v>
      </c>
      <c r="F235" s="20" t="s">
        <v>679</v>
      </c>
      <c r="G235" s="20" t="s">
        <v>3777</v>
      </c>
      <c r="H235" s="20" t="s">
        <v>6</v>
      </c>
      <c r="I235" s="39">
        <v>44736.453513865737</v>
      </c>
      <c r="J235" s="39">
        <v>44736.453513900466</v>
      </c>
      <c r="K235" s="20">
        <v>0</v>
      </c>
      <c r="L235" s="17" t="str">
        <f t="shared" si="3"/>
        <v>https://captureandgo.cloudlab.zhaw.ch/uploads/image_454a74c90f.jpg</v>
      </c>
    </row>
    <row r="236" spans="1:12" ht="16" x14ac:dyDescent="0.2">
      <c r="A236" s="20" t="s">
        <v>4702</v>
      </c>
      <c r="B236" s="20" t="s">
        <v>4703</v>
      </c>
      <c r="C236" s="20" t="s">
        <v>3774</v>
      </c>
      <c r="D236" s="20" t="s">
        <v>4704</v>
      </c>
      <c r="E236" s="20" t="s">
        <v>4705</v>
      </c>
      <c r="F236" s="20" t="s">
        <v>682</v>
      </c>
      <c r="G236" s="20" t="s">
        <v>3777</v>
      </c>
      <c r="H236" s="20" t="s">
        <v>6</v>
      </c>
      <c r="I236" s="39">
        <v>44736.455254085646</v>
      </c>
      <c r="J236" s="39">
        <v>44736.455254143519</v>
      </c>
      <c r="K236" s="20">
        <v>0</v>
      </c>
      <c r="L236" s="17" t="str">
        <f t="shared" si="3"/>
        <v>https://captureandgo.cloudlab.zhaw.ch/uploads/image_57a0180172.jpg</v>
      </c>
    </row>
    <row r="237" spans="1:12" ht="16" x14ac:dyDescent="0.2">
      <c r="A237" s="20" t="s">
        <v>4706</v>
      </c>
      <c r="B237" s="20" t="s">
        <v>4707</v>
      </c>
      <c r="C237" s="20" t="s">
        <v>3774</v>
      </c>
      <c r="D237" s="20" t="s">
        <v>4708</v>
      </c>
      <c r="E237" s="20" t="s">
        <v>4709</v>
      </c>
      <c r="F237" s="20" t="s">
        <v>682</v>
      </c>
      <c r="G237" s="20" t="s">
        <v>3777</v>
      </c>
      <c r="H237" s="20" t="s">
        <v>6</v>
      </c>
      <c r="I237" s="39">
        <v>44736.455411134259</v>
      </c>
      <c r="J237" s="39">
        <v>44736.455411168979</v>
      </c>
      <c r="K237" s="20">
        <v>0</v>
      </c>
      <c r="L237" s="17" t="str">
        <f t="shared" si="3"/>
        <v>https://captureandgo.cloudlab.zhaw.ch/uploads/image_72a32899a4.jpg</v>
      </c>
    </row>
    <row r="238" spans="1:12" ht="16" x14ac:dyDescent="0.2">
      <c r="A238" s="20" t="s">
        <v>4710</v>
      </c>
      <c r="B238" s="20" t="s">
        <v>4711</v>
      </c>
      <c r="C238" s="20" t="s">
        <v>3774</v>
      </c>
      <c r="D238" s="20" t="s">
        <v>4712</v>
      </c>
      <c r="E238" s="20" t="s">
        <v>4713</v>
      </c>
      <c r="F238" s="20" t="s">
        <v>682</v>
      </c>
      <c r="G238" s="20" t="s">
        <v>3777</v>
      </c>
      <c r="H238" s="20" t="s">
        <v>6</v>
      </c>
      <c r="I238" s="39">
        <v>44736.455495497685</v>
      </c>
      <c r="J238" s="39">
        <v>44736.455495532406</v>
      </c>
      <c r="K238" s="20">
        <v>0</v>
      </c>
      <c r="L238" s="17" t="str">
        <f t="shared" si="3"/>
        <v>https://captureandgo.cloudlab.zhaw.ch/uploads/image_7a7f223006.jpg</v>
      </c>
    </row>
    <row r="239" spans="1:12" ht="16" x14ac:dyDescent="0.2">
      <c r="A239" s="20" t="s">
        <v>4714</v>
      </c>
      <c r="B239" s="20" t="s">
        <v>4715</v>
      </c>
      <c r="C239" s="20" t="s">
        <v>3774</v>
      </c>
      <c r="D239" s="20" t="s">
        <v>4716</v>
      </c>
      <c r="E239" s="20" t="s">
        <v>35</v>
      </c>
      <c r="F239" s="20" t="s">
        <v>35</v>
      </c>
      <c r="G239" s="20" t="s">
        <v>35</v>
      </c>
      <c r="H239" s="20" t="s">
        <v>35</v>
      </c>
      <c r="I239" s="39">
        <v>44737.416636319445</v>
      </c>
      <c r="J239" s="39">
        <v>44737.416636319445</v>
      </c>
      <c r="K239" s="20">
        <v>0</v>
      </c>
      <c r="L239" s="17" t="str">
        <f t="shared" si="3"/>
        <v>https://captureandgo.cloudlab.zhaw.ch/uploads/image_ac301ebf1a.jpg</v>
      </c>
    </row>
    <row r="240" spans="1:12" ht="16" x14ac:dyDescent="0.2">
      <c r="A240" s="20" t="s">
        <v>4717</v>
      </c>
      <c r="B240" s="20" t="s">
        <v>4718</v>
      </c>
      <c r="C240" s="20" t="s">
        <v>3774</v>
      </c>
      <c r="D240" s="20" t="s">
        <v>4719</v>
      </c>
      <c r="E240" s="20" t="s">
        <v>4720</v>
      </c>
      <c r="F240" s="20" t="s">
        <v>689</v>
      </c>
      <c r="G240" s="20" t="s">
        <v>3777</v>
      </c>
      <c r="H240" s="20" t="s">
        <v>6</v>
      </c>
      <c r="I240" s="39">
        <v>44737.417804155091</v>
      </c>
      <c r="J240" s="39">
        <v>44737.417804201388</v>
      </c>
      <c r="K240" s="20">
        <v>0</v>
      </c>
      <c r="L240" s="17" t="str">
        <f t="shared" si="3"/>
        <v>https://captureandgo.cloudlab.zhaw.ch/uploads/image_cc59af072c.jpg</v>
      </c>
    </row>
    <row r="241" spans="1:12" ht="16" x14ac:dyDescent="0.2">
      <c r="A241" s="20" t="s">
        <v>4721</v>
      </c>
      <c r="B241" s="20" t="s">
        <v>4722</v>
      </c>
      <c r="C241" s="20" t="s">
        <v>3774</v>
      </c>
      <c r="D241" s="20" t="s">
        <v>4723</v>
      </c>
      <c r="E241" s="20" t="s">
        <v>4724</v>
      </c>
      <c r="F241" s="20" t="s">
        <v>692</v>
      </c>
      <c r="G241" s="20" t="s">
        <v>3777</v>
      </c>
      <c r="H241" s="20" t="s">
        <v>6</v>
      </c>
      <c r="I241" s="39">
        <v>44737.418330868059</v>
      </c>
      <c r="J241" s="39">
        <v>44737.418330902779</v>
      </c>
      <c r="K241" s="20">
        <v>0</v>
      </c>
      <c r="L241" s="17" t="str">
        <f t="shared" si="3"/>
        <v>https://captureandgo.cloudlab.zhaw.ch/uploads/image_f6bc713561.jpg</v>
      </c>
    </row>
    <row r="242" spans="1:12" ht="16" x14ac:dyDescent="0.2">
      <c r="A242" s="20" t="s">
        <v>4725</v>
      </c>
      <c r="B242" s="20" t="s">
        <v>4726</v>
      </c>
      <c r="C242" s="20" t="s">
        <v>3774</v>
      </c>
      <c r="D242" s="20" t="s">
        <v>4727</v>
      </c>
      <c r="E242" s="20" t="s">
        <v>4728</v>
      </c>
      <c r="F242" s="20" t="s">
        <v>694</v>
      </c>
      <c r="G242" s="20" t="s">
        <v>3777</v>
      </c>
      <c r="H242" s="20" t="s">
        <v>6</v>
      </c>
      <c r="I242" s="39">
        <v>44737.419264282405</v>
      </c>
      <c r="J242" s="39">
        <v>44737.419264328702</v>
      </c>
      <c r="K242" s="20">
        <v>0</v>
      </c>
      <c r="L242" s="17" t="str">
        <f t="shared" si="3"/>
        <v>https://captureandgo.cloudlab.zhaw.ch/uploads/image_93b0f673aa.jpg</v>
      </c>
    </row>
    <row r="243" spans="1:12" ht="16" x14ac:dyDescent="0.2">
      <c r="A243" s="20" t="s">
        <v>4729</v>
      </c>
      <c r="B243" s="20" t="s">
        <v>4730</v>
      </c>
      <c r="C243" s="20" t="s">
        <v>3774</v>
      </c>
      <c r="D243" s="20" t="s">
        <v>4731</v>
      </c>
      <c r="E243" s="20" t="s">
        <v>4732</v>
      </c>
      <c r="F243" s="20" t="s">
        <v>697</v>
      </c>
      <c r="G243" s="20" t="s">
        <v>3777</v>
      </c>
      <c r="H243" s="20" t="s">
        <v>6</v>
      </c>
      <c r="I243" s="39">
        <v>44737.421655682869</v>
      </c>
      <c r="J243" s="39">
        <v>44737.421655729166</v>
      </c>
      <c r="K243" s="20">
        <v>0</v>
      </c>
      <c r="L243" s="17" t="str">
        <f t="shared" si="3"/>
        <v>https://captureandgo.cloudlab.zhaw.ch/uploads/image_cd25afe1fd.jpg</v>
      </c>
    </row>
    <row r="244" spans="1:12" ht="16" x14ac:dyDescent="0.2">
      <c r="A244" s="20" t="s">
        <v>4733</v>
      </c>
      <c r="B244" s="20" t="s">
        <v>4734</v>
      </c>
      <c r="C244" s="20" t="s">
        <v>3774</v>
      </c>
      <c r="D244" s="20" t="s">
        <v>4735</v>
      </c>
      <c r="E244" s="20" t="s">
        <v>4736</v>
      </c>
      <c r="F244" s="20" t="s">
        <v>701</v>
      </c>
      <c r="G244" s="20" t="s">
        <v>3777</v>
      </c>
      <c r="H244" s="20" t="s">
        <v>6</v>
      </c>
      <c r="I244" s="39">
        <v>44737.422531238422</v>
      </c>
      <c r="J244" s="39">
        <v>44737.422531284719</v>
      </c>
      <c r="K244" s="20">
        <v>0</v>
      </c>
      <c r="L244" s="17" t="str">
        <f t="shared" si="3"/>
        <v>https://captureandgo.cloudlab.zhaw.ch/uploads/image_da13e43304.jpg</v>
      </c>
    </row>
    <row r="245" spans="1:12" ht="16" x14ac:dyDescent="0.2">
      <c r="A245" s="20" t="s">
        <v>4737</v>
      </c>
      <c r="B245" s="20" t="s">
        <v>4738</v>
      </c>
      <c r="C245" s="20" t="s">
        <v>3774</v>
      </c>
      <c r="D245" s="20" t="s">
        <v>4739</v>
      </c>
      <c r="E245" s="20" t="s">
        <v>4740</v>
      </c>
      <c r="F245" s="20" t="s">
        <v>704</v>
      </c>
      <c r="G245" s="20" t="s">
        <v>3777</v>
      </c>
      <c r="H245" s="20" t="s">
        <v>6</v>
      </c>
      <c r="I245" s="39">
        <v>44737.422761875001</v>
      </c>
      <c r="J245" s="39">
        <v>44737.422761909722</v>
      </c>
      <c r="K245" s="20">
        <v>0</v>
      </c>
      <c r="L245" s="17" t="str">
        <f t="shared" si="3"/>
        <v>https://captureandgo.cloudlab.zhaw.ch/uploads/image_6e29e1e8af.jpg</v>
      </c>
    </row>
    <row r="246" spans="1:12" ht="16" x14ac:dyDescent="0.2">
      <c r="A246" s="20" t="s">
        <v>4741</v>
      </c>
      <c r="B246" s="20" t="s">
        <v>4742</v>
      </c>
      <c r="C246" s="20" t="s">
        <v>3774</v>
      </c>
      <c r="D246" s="20" t="s">
        <v>4743</v>
      </c>
      <c r="E246" s="20" t="s">
        <v>4744</v>
      </c>
      <c r="F246" s="20" t="s">
        <v>707</v>
      </c>
      <c r="G246" s="20" t="s">
        <v>3777</v>
      </c>
      <c r="H246" s="20" t="s">
        <v>6</v>
      </c>
      <c r="I246" s="39">
        <v>44737.423551157408</v>
      </c>
      <c r="J246" s="39">
        <v>44737.423551203705</v>
      </c>
      <c r="K246" s="20">
        <v>0</v>
      </c>
      <c r="L246" s="17" t="str">
        <f t="shared" si="3"/>
        <v>https://captureandgo.cloudlab.zhaw.ch/uploads/image_59c8e9dbf1.jpg</v>
      </c>
    </row>
    <row r="247" spans="1:12" ht="16" x14ac:dyDescent="0.2">
      <c r="A247" s="20" t="s">
        <v>4745</v>
      </c>
      <c r="B247" s="20" t="s">
        <v>4746</v>
      </c>
      <c r="C247" s="20" t="s">
        <v>3774</v>
      </c>
      <c r="D247" s="20" t="s">
        <v>4747</v>
      </c>
      <c r="E247" s="20" t="s">
        <v>4748</v>
      </c>
      <c r="F247" s="20" t="s">
        <v>710</v>
      </c>
      <c r="G247" s="20" t="s">
        <v>3777</v>
      </c>
      <c r="H247" s="20" t="s">
        <v>6</v>
      </c>
      <c r="I247" s="39">
        <v>44737.424529201387</v>
      </c>
      <c r="J247" s="39">
        <v>44737.424529236108</v>
      </c>
      <c r="K247" s="20">
        <v>0</v>
      </c>
      <c r="L247" s="17" t="str">
        <f t="shared" si="3"/>
        <v>https://captureandgo.cloudlab.zhaw.ch/uploads/image_bbb5aa1808.jpg</v>
      </c>
    </row>
    <row r="248" spans="1:12" ht="16" x14ac:dyDescent="0.2">
      <c r="A248" s="20" t="s">
        <v>4749</v>
      </c>
      <c r="B248" s="20" t="s">
        <v>4750</v>
      </c>
      <c r="C248" s="20" t="s">
        <v>3774</v>
      </c>
      <c r="D248" s="20" t="s">
        <v>4751</v>
      </c>
      <c r="E248" s="20" t="s">
        <v>4752</v>
      </c>
      <c r="F248" s="20" t="s">
        <v>713</v>
      </c>
      <c r="G248" s="20" t="s">
        <v>3777</v>
      </c>
      <c r="H248" s="20" t="s">
        <v>6</v>
      </c>
      <c r="I248" s="39">
        <v>44737.425095914354</v>
      </c>
      <c r="J248" s="39">
        <v>44737.425095949075</v>
      </c>
      <c r="K248" s="20">
        <v>0</v>
      </c>
      <c r="L248" s="17" t="str">
        <f t="shared" si="3"/>
        <v>https://captureandgo.cloudlab.zhaw.ch/uploads/image_a943d11898.jpg</v>
      </c>
    </row>
    <row r="249" spans="1:12" ht="16" x14ac:dyDescent="0.2">
      <c r="A249" s="20" t="s">
        <v>4753</v>
      </c>
      <c r="B249" s="20" t="s">
        <v>4754</v>
      </c>
      <c r="C249" s="20" t="s">
        <v>3774</v>
      </c>
      <c r="D249" s="20" t="s">
        <v>4755</v>
      </c>
      <c r="E249" s="20" t="s">
        <v>4756</v>
      </c>
      <c r="F249" s="20" t="s">
        <v>716</v>
      </c>
      <c r="G249" s="20" t="s">
        <v>3777</v>
      </c>
      <c r="H249" s="20" t="s">
        <v>6</v>
      </c>
      <c r="I249" s="39">
        <v>44737.426440972224</v>
      </c>
      <c r="J249" s="39">
        <v>44737.426441006945</v>
      </c>
      <c r="K249" s="20">
        <v>0</v>
      </c>
      <c r="L249" s="17" t="str">
        <f t="shared" si="3"/>
        <v>https://captureandgo.cloudlab.zhaw.ch/uploads/image_a3ad5bab2f.jpg</v>
      </c>
    </row>
    <row r="250" spans="1:12" ht="16" x14ac:dyDescent="0.2">
      <c r="A250" s="20" t="s">
        <v>4757</v>
      </c>
      <c r="B250" s="20" t="s">
        <v>4758</v>
      </c>
      <c r="C250" s="20" t="s">
        <v>3774</v>
      </c>
      <c r="D250" s="20" t="s">
        <v>4759</v>
      </c>
      <c r="E250" s="20" t="s">
        <v>4760</v>
      </c>
      <c r="F250" s="20" t="s">
        <v>719</v>
      </c>
      <c r="G250" s="20" t="s">
        <v>3777</v>
      </c>
      <c r="H250" s="20" t="s">
        <v>6</v>
      </c>
      <c r="I250" s="39">
        <v>44737.426799317131</v>
      </c>
      <c r="J250" s="39">
        <v>44737.426799351852</v>
      </c>
      <c r="K250" s="20">
        <v>0</v>
      </c>
      <c r="L250" s="17" t="str">
        <f t="shared" si="3"/>
        <v>https://captureandgo.cloudlab.zhaw.ch/uploads/image_45847ccc92.jpg</v>
      </c>
    </row>
    <row r="251" spans="1:12" ht="16" x14ac:dyDescent="0.2">
      <c r="A251" s="20" t="s">
        <v>4761</v>
      </c>
      <c r="B251" s="20" t="s">
        <v>4762</v>
      </c>
      <c r="C251" s="20" t="s">
        <v>3774</v>
      </c>
      <c r="D251" s="20" t="s">
        <v>4763</v>
      </c>
      <c r="E251" s="20" t="s">
        <v>4764</v>
      </c>
      <c r="F251" s="20" t="s">
        <v>722</v>
      </c>
      <c r="G251" s="20" t="s">
        <v>3777</v>
      </c>
      <c r="H251" s="20" t="s">
        <v>6</v>
      </c>
      <c r="I251" s="39">
        <v>44737.427710069445</v>
      </c>
      <c r="J251" s="39">
        <v>44737.427710104166</v>
      </c>
      <c r="K251" s="20">
        <v>0</v>
      </c>
      <c r="L251" s="17" t="str">
        <f t="shared" si="3"/>
        <v>https://captureandgo.cloudlab.zhaw.ch/uploads/image_aff2253283.jpg</v>
      </c>
    </row>
    <row r="252" spans="1:12" ht="16" x14ac:dyDescent="0.2">
      <c r="A252" s="20" t="s">
        <v>4765</v>
      </c>
      <c r="B252" s="20" t="s">
        <v>4766</v>
      </c>
      <c r="C252" s="20" t="s">
        <v>3774</v>
      </c>
      <c r="D252" s="20" t="s">
        <v>4767</v>
      </c>
      <c r="E252" s="20" t="s">
        <v>4768</v>
      </c>
      <c r="F252" s="20" t="s">
        <v>728</v>
      </c>
      <c r="G252" s="20" t="s">
        <v>3777</v>
      </c>
      <c r="H252" s="20" t="s">
        <v>6</v>
      </c>
      <c r="I252" s="39">
        <v>44737.430880370368</v>
      </c>
      <c r="J252" s="39">
        <v>44737.430880416665</v>
      </c>
      <c r="K252" s="20">
        <v>0</v>
      </c>
      <c r="L252" s="17" t="str">
        <f t="shared" si="3"/>
        <v>https://captureandgo.cloudlab.zhaw.ch/uploads/image_632cc81bca.jpg</v>
      </c>
    </row>
    <row r="253" spans="1:12" ht="16" x14ac:dyDescent="0.2">
      <c r="A253" s="20" t="s">
        <v>4769</v>
      </c>
      <c r="B253" s="20" t="s">
        <v>4770</v>
      </c>
      <c r="C253" s="20" t="s">
        <v>3774</v>
      </c>
      <c r="D253" s="20" t="s">
        <v>4771</v>
      </c>
      <c r="E253" s="20" t="s">
        <v>4772</v>
      </c>
      <c r="F253" s="20" t="s">
        <v>731</v>
      </c>
      <c r="G253" s="20" t="s">
        <v>3777</v>
      </c>
      <c r="H253" s="20" t="s">
        <v>6</v>
      </c>
      <c r="I253" s="39">
        <v>44737.433566851854</v>
      </c>
      <c r="J253" s="39">
        <v>44737.43356690972</v>
      </c>
      <c r="K253" s="20">
        <v>0</v>
      </c>
      <c r="L253" s="17" t="str">
        <f t="shared" si="3"/>
        <v>https://captureandgo.cloudlab.zhaw.ch/uploads/image_8e98b9f75d.jpg</v>
      </c>
    </row>
    <row r="254" spans="1:12" ht="16" x14ac:dyDescent="0.2">
      <c r="A254" s="20" t="s">
        <v>4773</v>
      </c>
      <c r="B254" s="20" t="s">
        <v>4774</v>
      </c>
      <c r="C254" s="20" t="s">
        <v>3774</v>
      </c>
      <c r="D254" s="20" t="s">
        <v>4775</v>
      </c>
      <c r="E254" s="20" t="s">
        <v>4776</v>
      </c>
      <c r="F254" s="20" t="s">
        <v>4777</v>
      </c>
      <c r="G254" s="20" t="s">
        <v>3777</v>
      </c>
      <c r="H254" s="20" t="s">
        <v>6</v>
      </c>
      <c r="I254" s="39">
        <v>44737.433946666664</v>
      </c>
      <c r="J254" s="39">
        <v>44737.433946701392</v>
      </c>
      <c r="K254" s="20">
        <v>0</v>
      </c>
      <c r="L254" s="17" t="str">
        <f t="shared" si="3"/>
        <v>https://captureandgo.cloudlab.zhaw.ch/uploads/image_2aa1eaec44.jpg</v>
      </c>
    </row>
    <row r="255" spans="1:12" ht="16" x14ac:dyDescent="0.2">
      <c r="A255" s="20" t="s">
        <v>4778</v>
      </c>
      <c r="B255" s="20" t="s">
        <v>4779</v>
      </c>
      <c r="C255" s="20" t="s">
        <v>3774</v>
      </c>
      <c r="D255" s="20" t="s">
        <v>4780</v>
      </c>
      <c r="E255" s="20" t="s">
        <v>4781</v>
      </c>
      <c r="F255" s="20" t="s">
        <v>737</v>
      </c>
      <c r="G255" s="20" t="s">
        <v>3777</v>
      </c>
      <c r="H255" s="20" t="s">
        <v>6</v>
      </c>
      <c r="I255" s="39">
        <v>44737.436855312502</v>
      </c>
      <c r="J255" s="39">
        <v>44737.436855358799</v>
      </c>
      <c r="K255" s="20">
        <v>0</v>
      </c>
      <c r="L255" s="17" t="str">
        <f t="shared" si="3"/>
        <v>https://captureandgo.cloudlab.zhaw.ch/uploads/image_be10a4baad.jpg</v>
      </c>
    </row>
    <row r="256" spans="1:12" ht="16" x14ac:dyDescent="0.2">
      <c r="A256" s="20" t="s">
        <v>4782</v>
      </c>
      <c r="B256" s="20" t="s">
        <v>4783</v>
      </c>
      <c r="C256" s="20" t="s">
        <v>3774</v>
      </c>
      <c r="D256" s="20" t="s">
        <v>4784</v>
      </c>
      <c r="E256" s="20" t="s">
        <v>4785</v>
      </c>
      <c r="F256" s="20" t="s">
        <v>741</v>
      </c>
      <c r="G256" s="20" t="s">
        <v>3777</v>
      </c>
      <c r="H256" s="20" t="s">
        <v>6</v>
      </c>
      <c r="I256" s="39">
        <v>44737.439053657406</v>
      </c>
      <c r="J256" s="39">
        <v>44737.439053703703</v>
      </c>
      <c r="K256" s="20">
        <v>0</v>
      </c>
      <c r="L256" s="17" t="str">
        <f t="shared" si="3"/>
        <v>https://captureandgo.cloudlab.zhaw.ch/uploads/image_df40740495.jpg</v>
      </c>
    </row>
    <row r="257" spans="1:12" ht="16" x14ac:dyDescent="0.2">
      <c r="A257" s="20" t="s">
        <v>4786</v>
      </c>
      <c r="B257" s="20" t="s">
        <v>4787</v>
      </c>
      <c r="C257" s="20" t="s">
        <v>3774</v>
      </c>
      <c r="D257" s="20" t="s">
        <v>4788</v>
      </c>
      <c r="E257" s="20" t="s">
        <v>4789</v>
      </c>
      <c r="F257" s="20" t="s">
        <v>744</v>
      </c>
      <c r="G257" s="20" t="s">
        <v>3777</v>
      </c>
      <c r="H257" s="20" t="s">
        <v>6</v>
      </c>
      <c r="I257" s="39">
        <v>44737.439862349536</v>
      </c>
      <c r="J257" s="39">
        <v>44737.439862418978</v>
      </c>
      <c r="K257" s="20">
        <v>0</v>
      </c>
      <c r="L257" s="17" t="str">
        <f t="shared" si="3"/>
        <v>https://captureandgo.cloudlab.zhaw.ch/uploads/image_3b61a7da55.jpg</v>
      </c>
    </row>
    <row r="258" spans="1:12" ht="16" x14ac:dyDescent="0.2">
      <c r="A258" s="20" t="s">
        <v>4790</v>
      </c>
      <c r="B258" s="20" t="s">
        <v>4791</v>
      </c>
      <c r="C258" s="20" t="s">
        <v>3774</v>
      </c>
      <c r="D258" s="20" t="s">
        <v>4792</v>
      </c>
      <c r="E258" s="20" t="s">
        <v>4793</v>
      </c>
      <c r="F258" s="20" t="s">
        <v>747</v>
      </c>
      <c r="G258" s="20" t="s">
        <v>3777</v>
      </c>
      <c r="H258" s="20" t="s">
        <v>6</v>
      </c>
      <c r="I258" s="39">
        <v>44737.440902106478</v>
      </c>
      <c r="J258" s="39">
        <v>44737.440902152775</v>
      </c>
      <c r="K258" s="20">
        <v>0</v>
      </c>
      <c r="L258" s="17" t="str">
        <f t="shared" ref="L258:L321" si="4">HYPERLINK("https://captureandgo.cloudlab.zhaw.ch"&amp;B258)</f>
        <v>https://captureandgo.cloudlab.zhaw.ch/uploads/image_90d29160c9.jpg</v>
      </c>
    </row>
    <row r="259" spans="1:12" ht="16" x14ac:dyDescent="0.2">
      <c r="A259" s="20" t="s">
        <v>4794</v>
      </c>
      <c r="B259" s="20" t="s">
        <v>4795</v>
      </c>
      <c r="C259" s="20" t="s">
        <v>3774</v>
      </c>
      <c r="D259" s="20" t="s">
        <v>4796</v>
      </c>
      <c r="E259" s="20" t="s">
        <v>4797</v>
      </c>
      <c r="F259" s="20" t="s">
        <v>747</v>
      </c>
      <c r="G259" s="20" t="s">
        <v>3777</v>
      </c>
      <c r="H259" s="20" t="s">
        <v>6</v>
      </c>
      <c r="I259" s="39">
        <v>44737.440976122685</v>
      </c>
      <c r="J259" s="39">
        <v>44737.44097614583</v>
      </c>
      <c r="K259" s="20">
        <v>0</v>
      </c>
      <c r="L259" s="17" t="str">
        <f t="shared" si="4"/>
        <v>https://captureandgo.cloudlab.zhaw.ch/uploads/image_d55350cb8b.jpg</v>
      </c>
    </row>
    <row r="260" spans="1:12" ht="16" x14ac:dyDescent="0.2">
      <c r="A260" s="20" t="s">
        <v>4798</v>
      </c>
      <c r="B260" s="20" t="s">
        <v>4799</v>
      </c>
      <c r="C260" s="20" t="s">
        <v>3774</v>
      </c>
      <c r="D260" s="20" t="s">
        <v>4800</v>
      </c>
      <c r="E260" s="20" t="s">
        <v>4801</v>
      </c>
      <c r="F260" s="20" t="s">
        <v>750</v>
      </c>
      <c r="G260" s="20" t="s">
        <v>3777</v>
      </c>
      <c r="H260" s="20" t="s">
        <v>6</v>
      </c>
      <c r="I260" s="39">
        <v>44737.443155972222</v>
      </c>
      <c r="J260" s="39">
        <v>44737.443156018518</v>
      </c>
      <c r="K260" s="20">
        <v>0</v>
      </c>
      <c r="L260" s="17" t="str">
        <f t="shared" si="4"/>
        <v>https://captureandgo.cloudlab.zhaw.ch/uploads/image_7810bcd817.jpg</v>
      </c>
    </row>
    <row r="261" spans="1:12" ht="16" x14ac:dyDescent="0.2">
      <c r="A261" s="20" t="s">
        <v>4802</v>
      </c>
      <c r="B261" s="20" t="s">
        <v>4803</v>
      </c>
      <c r="C261" s="20" t="s">
        <v>3774</v>
      </c>
      <c r="D261" s="20" t="s">
        <v>4804</v>
      </c>
      <c r="E261" s="20" t="s">
        <v>4805</v>
      </c>
      <c r="F261" s="20" t="s">
        <v>753</v>
      </c>
      <c r="G261" s="20" t="s">
        <v>3777</v>
      </c>
      <c r="H261" s="20" t="s">
        <v>6</v>
      </c>
      <c r="I261" s="39">
        <v>44737.444441030093</v>
      </c>
      <c r="J261" s="39">
        <v>44737.44444107639</v>
      </c>
      <c r="K261" s="20">
        <v>0</v>
      </c>
      <c r="L261" s="17" t="str">
        <f t="shared" si="4"/>
        <v>https://captureandgo.cloudlab.zhaw.ch/uploads/image_fd7c6a3fe7.jpg</v>
      </c>
    </row>
    <row r="262" spans="1:12" ht="16" x14ac:dyDescent="0.2">
      <c r="A262" s="20" t="s">
        <v>4806</v>
      </c>
      <c r="B262" s="20" t="s">
        <v>4807</v>
      </c>
      <c r="C262" s="20" t="s">
        <v>3774</v>
      </c>
      <c r="D262" s="20" t="s">
        <v>4808</v>
      </c>
      <c r="E262" s="20" t="s">
        <v>4809</v>
      </c>
      <c r="F262" s="20" t="s">
        <v>756</v>
      </c>
      <c r="G262" s="20" t="s">
        <v>3777</v>
      </c>
      <c r="H262" s="20" t="s">
        <v>6</v>
      </c>
      <c r="I262" s="39">
        <v>44737.447566215276</v>
      </c>
      <c r="J262" s="39">
        <v>44737.447566273149</v>
      </c>
      <c r="K262" s="20">
        <v>0</v>
      </c>
      <c r="L262" s="17" t="str">
        <f t="shared" si="4"/>
        <v>https://captureandgo.cloudlab.zhaw.ch/uploads/image_55b623c2ea.jpg</v>
      </c>
    </row>
    <row r="263" spans="1:12" ht="16" x14ac:dyDescent="0.2">
      <c r="A263" s="20" t="s">
        <v>4810</v>
      </c>
      <c r="B263" s="20" t="s">
        <v>4811</v>
      </c>
      <c r="C263" s="20" t="s">
        <v>3774</v>
      </c>
      <c r="D263" s="20" t="s">
        <v>4812</v>
      </c>
      <c r="E263" s="20" t="s">
        <v>4813</v>
      </c>
      <c r="F263" s="20" t="s">
        <v>756</v>
      </c>
      <c r="G263" s="20" t="s">
        <v>3777</v>
      </c>
      <c r="H263" s="20" t="s">
        <v>6</v>
      </c>
      <c r="I263" s="39">
        <v>44737.447639351849</v>
      </c>
      <c r="J263" s="39">
        <v>44737.447639375001</v>
      </c>
      <c r="K263" s="20">
        <v>0</v>
      </c>
      <c r="L263" s="17" t="str">
        <f t="shared" si="4"/>
        <v>https://captureandgo.cloudlab.zhaw.ch/uploads/image_c4aa2cd922.jpg</v>
      </c>
    </row>
    <row r="264" spans="1:12" ht="16" x14ac:dyDescent="0.2">
      <c r="A264" s="20" t="s">
        <v>4814</v>
      </c>
      <c r="B264" s="20" t="s">
        <v>4815</v>
      </c>
      <c r="C264" s="20" t="s">
        <v>3774</v>
      </c>
      <c r="D264" s="20" t="s">
        <v>4816</v>
      </c>
      <c r="E264" s="20" t="s">
        <v>4817</v>
      </c>
      <c r="F264" s="20" t="s">
        <v>756</v>
      </c>
      <c r="G264" s="20" t="s">
        <v>3777</v>
      </c>
      <c r="H264" s="20" t="s">
        <v>6</v>
      </c>
      <c r="I264" s="39">
        <v>44737.447662615741</v>
      </c>
      <c r="J264" s="39">
        <v>44737.447662650462</v>
      </c>
      <c r="K264" s="20">
        <v>0</v>
      </c>
      <c r="L264" s="17" t="str">
        <f t="shared" si="4"/>
        <v>https://captureandgo.cloudlab.zhaw.ch/uploads/image_30489e6162.jpg</v>
      </c>
    </row>
    <row r="265" spans="1:12" ht="16" x14ac:dyDescent="0.2">
      <c r="A265" s="20" t="s">
        <v>4818</v>
      </c>
      <c r="B265" s="20" t="s">
        <v>4819</v>
      </c>
      <c r="C265" s="20" t="s">
        <v>3774</v>
      </c>
      <c r="D265" s="20" t="s">
        <v>4820</v>
      </c>
      <c r="E265" s="20" t="s">
        <v>4821</v>
      </c>
      <c r="F265" s="20" t="s">
        <v>760</v>
      </c>
      <c r="G265" s="20" t="s">
        <v>3777</v>
      </c>
      <c r="H265" s="20" t="s">
        <v>6</v>
      </c>
      <c r="I265" s="39">
        <v>44737.448433645834</v>
      </c>
      <c r="J265" s="39">
        <v>44737.44843369213</v>
      </c>
      <c r="K265" s="20">
        <v>0</v>
      </c>
      <c r="L265" s="17" t="str">
        <f t="shared" si="4"/>
        <v>https://captureandgo.cloudlab.zhaw.ch/uploads/image_bedca5f6cb.jpg</v>
      </c>
    </row>
    <row r="266" spans="1:12" ht="16" x14ac:dyDescent="0.2">
      <c r="A266" s="20" t="s">
        <v>4822</v>
      </c>
      <c r="B266" s="20" t="s">
        <v>4823</v>
      </c>
      <c r="C266" s="20" t="s">
        <v>3774</v>
      </c>
      <c r="D266" s="20" t="s">
        <v>4824</v>
      </c>
      <c r="E266" s="20" t="s">
        <v>4825</v>
      </c>
      <c r="F266" s="20" t="s">
        <v>763</v>
      </c>
      <c r="G266" s="20" t="s">
        <v>3777</v>
      </c>
      <c r="H266" s="20" t="s">
        <v>6</v>
      </c>
      <c r="I266" s="39">
        <v>44737.449235219909</v>
      </c>
      <c r="J266" s="39">
        <v>44737.449235266206</v>
      </c>
      <c r="K266" s="20">
        <v>0</v>
      </c>
      <c r="L266" s="17" t="str">
        <f t="shared" si="4"/>
        <v>https://captureandgo.cloudlab.zhaw.ch/uploads/image_3d08f60ab2.jpg</v>
      </c>
    </row>
    <row r="267" spans="1:12" ht="16" x14ac:dyDescent="0.2">
      <c r="A267" s="20" t="s">
        <v>4826</v>
      </c>
      <c r="B267" s="20" t="s">
        <v>4827</v>
      </c>
      <c r="C267" s="20" t="s">
        <v>3774</v>
      </c>
      <c r="D267" s="20" t="s">
        <v>4828</v>
      </c>
      <c r="E267" s="20" t="s">
        <v>4829</v>
      </c>
      <c r="F267" s="20" t="s">
        <v>767</v>
      </c>
      <c r="G267" s="20" t="s">
        <v>3777</v>
      </c>
      <c r="H267" s="20" t="s">
        <v>6</v>
      </c>
      <c r="I267" s="39">
        <v>44737.450129837962</v>
      </c>
      <c r="J267" s="39">
        <v>44737.450129884259</v>
      </c>
      <c r="K267" s="20">
        <v>0</v>
      </c>
      <c r="L267" s="17" t="str">
        <f t="shared" si="4"/>
        <v>https://captureandgo.cloudlab.zhaw.ch/uploads/image_ca0b42a928.jpg</v>
      </c>
    </row>
    <row r="268" spans="1:12" ht="16" x14ac:dyDescent="0.2">
      <c r="A268" s="20" t="s">
        <v>4830</v>
      </c>
      <c r="B268" s="20" t="s">
        <v>4831</v>
      </c>
      <c r="C268" s="20" t="s">
        <v>3774</v>
      </c>
      <c r="D268" s="20" t="s">
        <v>4832</v>
      </c>
      <c r="E268" s="20" t="s">
        <v>4833</v>
      </c>
      <c r="F268" s="20" t="s">
        <v>770</v>
      </c>
      <c r="G268" s="20" t="s">
        <v>3777</v>
      </c>
      <c r="H268" s="20" t="s">
        <v>6</v>
      </c>
      <c r="I268" s="39">
        <v>44737.451462106481</v>
      </c>
      <c r="J268" s="39">
        <v>44737.451462152778</v>
      </c>
      <c r="K268" s="20">
        <v>0</v>
      </c>
      <c r="L268" s="17" t="str">
        <f t="shared" si="4"/>
        <v>https://captureandgo.cloudlab.zhaw.ch/uploads/image_e87a6a55a4.jpg</v>
      </c>
    </row>
    <row r="269" spans="1:12" ht="16" x14ac:dyDescent="0.2">
      <c r="A269" s="20" t="s">
        <v>4834</v>
      </c>
      <c r="B269" s="20" t="s">
        <v>4835</v>
      </c>
      <c r="C269" s="20" t="s">
        <v>3774</v>
      </c>
      <c r="D269" s="20" t="s">
        <v>4836</v>
      </c>
      <c r="E269" s="20" t="s">
        <v>4837</v>
      </c>
      <c r="F269" s="20" t="s">
        <v>774</v>
      </c>
      <c r="G269" s="20" t="s">
        <v>3777</v>
      </c>
      <c r="H269" s="20" t="s">
        <v>6</v>
      </c>
      <c r="I269" s="39">
        <v>44737.453259224538</v>
      </c>
      <c r="J269" s="39">
        <v>44737.453259293979</v>
      </c>
      <c r="K269" s="20">
        <v>0</v>
      </c>
      <c r="L269" s="17" t="str">
        <f t="shared" si="4"/>
        <v>https://captureandgo.cloudlab.zhaw.ch/uploads/image_be4c8fd9f2.jpg</v>
      </c>
    </row>
    <row r="270" spans="1:12" ht="16" x14ac:dyDescent="0.2">
      <c r="A270" s="20" t="s">
        <v>4838</v>
      </c>
      <c r="B270" s="20" t="s">
        <v>4839</v>
      </c>
      <c r="C270" s="20" t="s">
        <v>3774</v>
      </c>
      <c r="D270" s="20" t="s">
        <v>4840</v>
      </c>
      <c r="E270" s="20" t="s">
        <v>4841</v>
      </c>
      <c r="F270" s="20" t="s">
        <v>777</v>
      </c>
      <c r="G270" s="20" t="s">
        <v>3777</v>
      </c>
      <c r="H270" s="20" t="s">
        <v>6</v>
      </c>
      <c r="I270" s="39">
        <v>44737.455778252312</v>
      </c>
      <c r="J270" s="39">
        <v>44737.455778298608</v>
      </c>
      <c r="K270" s="20">
        <v>0</v>
      </c>
      <c r="L270" s="17" t="str">
        <f t="shared" si="4"/>
        <v>https://captureandgo.cloudlab.zhaw.ch/uploads/image_95f1cf4e6f.jpg</v>
      </c>
    </row>
    <row r="271" spans="1:12" ht="16" x14ac:dyDescent="0.2">
      <c r="A271" s="20" t="s">
        <v>4842</v>
      </c>
      <c r="B271" s="20" t="s">
        <v>4843</v>
      </c>
      <c r="C271" s="20" t="s">
        <v>3774</v>
      </c>
      <c r="D271" s="20" t="s">
        <v>4844</v>
      </c>
      <c r="E271" s="20" t="s">
        <v>4845</v>
      </c>
      <c r="F271" s="20" t="s">
        <v>780</v>
      </c>
      <c r="G271" s="20" t="s">
        <v>3777</v>
      </c>
      <c r="H271" s="20" t="s">
        <v>6</v>
      </c>
      <c r="I271" s="39">
        <v>44737.456124097225</v>
      </c>
      <c r="J271" s="39">
        <v>44737.456124131946</v>
      </c>
      <c r="K271" s="20">
        <v>0</v>
      </c>
      <c r="L271" s="17" t="str">
        <f t="shared" si="4"/>
        <v>https://captureandgo.cloudlab.zhaw.ch/uploads/image_2ffe322280.jpg</v>
      </c>
    </row>
    <row r="272" spans="1:12" ht="16" x14ac:dyDescent="0.2">
      <c r="A272" s="20" t="s">
        <v>4846</v>
      </c>
      <c r="B272" s="20" t="s">
        <v>4847</v>
      </c>
      <c r="C272" s="20" t="s">
        <v>3774</v>
      </c>
      <c r="D272" s="20" t="s">
        <v>4848</v>
      </c>
      <c r="E272" s="20" t="s">
        <v>4849</v>
      </c>
      <c r="F272" s="20" t="s">
        <v>783</v>
      </c>
      <c r="G272" s="20" t="s">
        <v>3777</v>
      </c>
      <c r="H272" s="20" t="s">
        <v>6</v>
      </c>
      <c r="I272" s="39">
        <v>44737.456985462966</v>
      </c>
      <c r="J272" s="39">
        <v>44737.456985497687</v>
      </c>
      <c r="K272" s="20">
        <v>0</v>
      </c>
      <c r="L272" s="17" t="str">
        <f t="shared" si="4"/>
        <v>https://captureandgo.cloudlab.zhaw.ch/uploads/image_83a01c5196.jpg</v>
      </c>
    </row>
    <row r="273" spans="1:12" ht="16" x14ac:dyDescent="0.2">
      <c r="A273" s="20" t="s">
        <v>4850</v>
      </c>
      <c r="B273" s="20" t="s">
        <v>4851</v>
      </c>
      <c r="C273" s="20" t="s">
        <v>3774</v>
      </c>
      <c r="D273" s="20" t="s">
        <v>4852</v>
      </c>
      <c r="E273" s="20" t="s">
        <v>4853</v>
      </c>
      <c r="F273" s="20" t="s">
        <v>786</v>
      </c>
      <c r="G273" s="20" t="s">
        <v>3777</v>
      </c>
      <c r="H273" s="20" t="s">
        <v>6</v>
      </c>
      <c r="I273" s="39">
        <v>44737.459993310185</v>
      </c>
      <c r="J273" s="39">
        <v>44737.459993356482</v>
      </c>
      <c r="K273" s="20">
        <v>0</v>
      </c>
      <c r="L273" s="17" t="str">
        <f t="shared" si="4"/>
        <v>https://captureandgo.cloudlab.zhaw.ch/uploads/image_1b8711be80.jpg</v>
      </c>
    </row>
    <row r="274" spans="1:12" ht="16" x14ac:dyDescent="0.2">
      <c r="A274" s="20" t="s">
        <v>4854</v>
      </c>
      <c r="B274" s="20" t="s">
        <v>4855</v>
      </c>
      <c r="C274" s="20" t="s">
        <v>3774</v>
      </c>
      <c r="D274" s="20" t="s">
        <v>4856</v>
      </c>
      <c r="E274" s="20" t="s">
        <v>4857</v>
      </c>
      <c r="F274" s="20" t="s">
        <v>789</v>
      </c>
      <c r="G274" s="20" t="s">
        <v>3777</v>
      </c>
      <c r="H274" s="20" t="s">
        <v>6</v>
      </c>
      <c r="I274" s="39">
        <v>44737.464193043983</v>
      </c>
      <c r="J274" s="39">
        <v>44737.464193078704</v>
      </c>
      <c r="K274" s="20">
        <v>0</v>
      </c>
      <c r="L274" s="17" t="str">
        <f t="shared" si="4"/>
        <v>https://captureandgo.cloudlab.zhaw.ch/uploads/image_04f14e174a.jpg</v>
      </c>
    </row>
    <row r="275" spans="1:12" ht="16" x14ac:dyDescent="0.2">
      <c r="A275" s="20" t="s">
        <v>4858</v>
      </c>
      <c r="B275" s="20" t="s">
        <v>4859</v>
      </c>
      <c r="C275" s="20" t="s">
        <v>3774</v>
      </c>
      <c r="D275" s="20" t="s">
        <v>4860</v>
      </c>
      <c r="E275" s="20" t="s">
        <v>4861</v>
      </c>
      <c r="F275" s="20" t="s">
        <v>793</v>
      </c>
      <c r="G275" s="20" t="s">
        <v>3777</v>
      </c>
      <c r="H275" s="20" t="s">
        <v>6</v>
      </c>
      <c r="I275" s="39">
        <v>44737.466610694442</v>
      </c>
      <c r="J275" s="39">
        <v>44737.466610740739</v>
      </c>
      <c r="K275" s="20">
        <v>0</v>
      </c>
      <c r="L275" s="17" t="str">
        <f t="shared" si="4"/>
        <v>https://captureandgo.cloudlab.zhaw.ch/uploads/image_58170f5254.jpg</v>
      </c>
    </row>
    <row r="276" spans="1:12" ht="16" x14ac:dyDescent="0.2">
      <c r="A276" s="20" t="s">
        <v>4862</v>
      </c>
      <c r="B276" s="20" t="s">
        <v>4863</v>
      </c>
      <c r="C276" s="20" t="s">
        <v>3774</v>
      </c>
      <c r="D276" s="20" t="s">
        <v>4864</v>
      </c>
      <c r="E276" s="20" t="s">
        <v>4865</v>
      </c>
      <c r="F276" s="20" t="s">
        <v>796</v>
      </c>
      <c r="G276" s="20" t="s">
        <v>3777</v>
      </c>
      <c r="H276" s="20" t="s">
        <v>6</v>
      </c>
      <c r="I276" s="39">
        <v>44737.467205057874</v>
      </c>
      <c r="J276" s="39">
        <v>44737.467205081019</v>
      </c>
      <c r="K276" s="20">
        <v>0</v>
      </c>
      <c r="L276" s="17" t="str">
        <f t="shared" si="4"/>
        <v>https://captureandgo.cloudlab.zhaw.ch/uploads/image_3ba6dfcdde.jpg</v>
      </c>
    </row>
    <row r="277" spans="1:12" ht="16" x14ac:dyDescent="0.2">
      <c r="A277" s="20" t="s">
        <v>4866</v>
      </c>
      <c r="B277" s="20" t="s">
        <v>4867</v>
      </c>
      <c r="C277" s="20" t="s">
        <v>3774</v>
      </c>
      <c r="D277" s="20" t="s">
        <v>4868</v>
      </c>
      <c r="E277" s="20" t="s">
        <v>4869</v>
      </c>
      <c r="F277" s="20" t="s">
        <v>799</v>
      </c>
      <c r="G277" s="20" t="s">
        <v>3777</v>
      </c>
      <c r="H277" s="20" t="s">
        <v>6</v>
      </c>
      <c r="I277" s="39">
        <v>44737.467853472219</v>
      </c>
      <c r="J277" s="39">
        <v>44737.467853506947</v>
      </c>
      <c r="K277" s="20">
        <v>0</v>
      </c>
      <c r="L277" s="17" t="str">
        <f t="shared" si="4"/>
        <v>https://captureandgo.cloudlab.zhaw.ch/uploads/image_065f71efda.jpg</v>
      </c>
    </row>
    <row r="278" spans="1:12" ht="16" x14ac:dyDescent="0.2">
      <c r="A278" s="20" t="s">
        <v>4870</v>
      </c>
      <c r="B278" s="20" t="s">
        <v>4871</v>
      </c>
      <c r="C278" s="20" t="s">
        <v>3774</v>
      </c>
      <c r="D278" s="20" t="s">
        <v>4872</v>
      </c>
      <c r="E278" s="20" t="s">
        <v>4873</v>
      </c>
      <c r="F278" s="20" t="s">
        <v>802</v>
      </c>
      <c r="G278" s="20" t="s">
        <v>3777</v>
      </c>
      <c r="H278" s="20" t="s">
        <v>6</v>
      </c>
      <c r="I278" s="39">
        <v>44737.469451759258</v>
      </c>
      <c r="J278" s="39">
        <v>44737.469451805555</v>
      </c>
      <c r="K278" s="20">
        <v>0</v>
      </c>
      <c r="L278" s="17" t="str">
        <f t="shared" si="4"/>
        <v>https://captureandgo.cloudlab.zhaw.ch/uploads/image_1c9d6ba850.jpg</v>
      </c>
    </row>
    <row r="279" spans="1:12" ht="16" x14ac:dyDescent="0.2">
      <c r="A279" s="20" t="s">
        <v>4874</v>
      </c>
      <c r="B279" s="20" t="s">
        <v>4875</v>
      </c>
      <c r="C279" s="20" t="s">
        <v>3774</v>
      </c>
      <c r="D279" s="20" t="s">
        <v>4876</v>
      </c>
      <c r="E279" s="20" t="s">
        <v>4877</v>
      </c>
      <c r="F279" s="20" t="s">
        <v>805</v>
      </c>
      <c r="G279" s="20" t="s">
        <v>3777</v>
      </c>
      <c r="H279" s="20" t="s">
        <v>6</v>
      </c>
      <c r="I279" s="39">
        <v>44737.470984618056</v>
      </c>
      <c r="J279" s="39">
        <v>44737.470984664353</v>
      </c>
      <c r="K279" s="20">
        <v>0</v>
      </c>
      <c r="L279" s="17" t="str">
        <f t="shared" si="4"/>
        <v>https://captureandgo.cloudlab.zhaw.ch/uploads/image_ed123c83f9.jpg</v>
      </c>
    </row>
    <row r="280" spans="1:12" ht="16" x14ac:dyDescent="0.2">
      <c r="A280" s="20" t="s">
        <v>4878</v>
      </c>
      <c r="B280" s="20" t="s">
        <v>4879</v>
      </c>
      <c r="C280" s="20" t="s">
        <v>3774</v>
      </c>
      <c r="D280" s="20" t="s">
        <v>4880</v>
      </c>
      <c r="E280" s="20" t="s">
        <v>4881</v>
      </c>
      <c r="F280" s="20" t="s">
        <v>808</v>
      </c>
      <c r="G280" s="20" t="s">
        <v>3777</v>
      </c>
      <c r="H280" s="20" t="s">
        <v>6</v>
      </c>
      <c r="I280" s="39">
        <v>44737.475497094907</v>
      </c>
      <c r="J280" s="39">
        <v>44737.475497129628</v>
      </c>
      <c r="K280" s="20">
        <v>0</v>
      </c>
      <c r="L280" s="17" t="str">
        <f t="shared" si="4"/>
        <v>https://captureandgo.cloudlab.zhaw.ch/uploads/image_42d4320cd5.jpg</v>
      </c>
    </row>
    <row r="281" spans="1:12" ht="16" x14ac:dyDescent="0.2">
      <c r="A281" s="20" t="s">
        <v>4882</v>
      </c>
      <c r="B281" s="20" t="s">
        <v>4883</v>
      </c>
      <c r="C281" s="20" t="s">
        <v>3774</v>
      </c>
      <c r="D281" s="20" t="s">
        <v>4884</v>
      </c>
      <c r="E281" s="20" t="s">
        <v>4885</v>
      </c>
      <c r="F281" s="20" t="s">
        <v>813</v>
      </c>
      <c r="G281" s="20" t="s">
        <v>3777</v>
      </c>
      <c r="H281" s="20" t="s">
        <v>6</v>
      </c>
      <c r="I281" s="39">
        <v>44737.47735627315</v>
      </c>
      <c r="J281" s="39">
        <v>44737.477356319447</v>
      </c>
      <c r="K281" s="20">
        <v>0</v>
      </c>
      <c r="L281" s="17" t="str">
        <f t="shared" si="4"/>
        <v>https://captureandgo.cloudlab.zhaw.ch/uploads/image_546204e6d8.jpg</v>
      </c>
    </row>
    <row r="282" spans="1:12" ht="16" x14ac:dyDescent="0.2">
      <c r="A282" s="20" t="s">
        <v>4886</v>
      </c>
      <c r="B282" s="20" t="s">
        <v>4887</v>
      </c>
      <c r="C282" s="20" t="s">
        <v>3774</v>
      </c>
      <c r="D282" s="20" t="s">
        <v>4888</v>
      </c>
      <c r="E282" s="20" t="s">
        <v>4889</v>
      </c>
      <c r="F282" s="20" t="s">
        <v>816</v>
      </c>
      <c r="G282" s="20" t="s">
        <v>3777</v>
      </c>
      <c r="H282" s="20" t="s">
        <v>6</v>
      </c>
      <c r="I282" s="39">
        <v>44737.478706493057</v>
      </c>
      <c r="J282" s="39">
        <v>44737.478706574075</v>
      </c>
      <c r="K282" s="20">
        <v>0</v>
      </c>
      <c r="L282" s="17" t="str">
        <f t="shared" si="4"/>
        <v>https://captureandgo.cloudlab.zhaw.ch/uploads/image_f51daa4549.jpg</v>
      </c>
    </row>
    <row r="283" spans="1:12" ht="16" x14ac:dyDescent="0.2">
      <c r="A283" s="20" t="s">
        <v>4890</v>
      </c>
      <c r="B283" s="20" t="s">
        <v>4891</v>
      </c>
      <c r="C283" s="20" t="s">
        <v>3774</v>
      </c>
      <c r="D283" s="20" t="s">
        <v>4892</v>
      </c>
      <c r="E283" s="20" t="s">
        <v>4893</v>
      </c>
      <c r="F283" s="20" t="s">
        <v>819</v>
      </c>
      <c r="G283" s="20" t="s">
        <v>3777</v>
      </c>
      <c r="H283" s="20" t="s">
        <v>6</v>
      </c>
      <c r="I283" s="39">
        <v>44737.479038194448</v>
      </c>
      <c r="J283" s="39">
        <v>44737.479038240737</v>
      </c>
      <c r="K283" s="20">
        <v>0</v>
      </c>
      <c r="L283" s="17" t="str">
        <f t="shared" si="4"/>
        <v>https://captureandgo.cloudlab.zhaw.ch/uploads/image_d7fb528a58.jpg</v>
      </c>
    </row>
    <row r="284" spans="1:12" ht="16" x14ac:dyDescent="0.2">
      <c r="A284" s="20" t="s">
        <v>4894</v>
      </c>
      <c r="B284" s="20" t="s">
        <v>4895</v>
      </c>
      <c r="C284" s="20" t="s">
        <v>3774</v>
      </c>
      <c r="D284" s="20" t="s">
        <v>4896</v>
      </c>
      <c r="E284" s="20" t="s">
        <v>4897</v>
      </c>
      <c r="F284" s="20" t="s">
        <v>822</v>
      </c>
      <c r="G284" s="20" t="s">
        <v>3777</v>
      </c>
      <c r="H284" s="20" t="s">
        <v>6</v>
      </c>
      <c r="I284" s="39">
        <v>44737.479596157405</v>
      </c>
      <c r="J284" s="39">
        <v>44737.479596192126</v>
      </c>
      <c r="K284" s="20">
        <v>0</v>
      </c>
      <c r="L284" s="17" t="str">
        <f t="shared" si="4"/>
        <v>https://captureandgo.cloudlab.zhaw.ch/uploads/image_397d08c4ba.jpg</v>
      </c>
    </row>
    <row r="285" spans="1:12" ht="16" x14ac:dyDescent="0.2">
      <c r="A285" s="20" t="s">
        <v>4898</v>
      </c>
      <c r="B285" s="20" t="s">
        <v>4899</v>
      </c>
      <c r="C285" s="20" t="s">
        <v>3774</v>
      </c>
      <c r="D285" s="20" t="s">
        <v>4900</v>
      </c>
      <c r="E285" s="20" t="s">
        <v>4901</v>
      </c>
      <c r="F285" s="20" t="s">
        <v>824</v>
      </c>
      <c r="G285" s="20" t="s">
        <v>3777</v>
      </c>
      <c r="H285" s="20" t="s">
        <v>6</v>
      </c>
      <c r="I285" s="39">
        <v>44737.481051747687</v>
      </c>
      <c r="J285" s="39">
        <v>44737.481051793984</v>
      </c>
      <c r="K285" s="20">
        <v>0</v>
      </c>
      <c r="L285" s="17" t="str">
        <f t="shared" si="4"/>
        <v>https://captureandgo.cloudlab.zhaw.ch/uploads/image_f915fc48fa.jpg</v>
      </c>
    </row>
    <row r="286" spans="1:12" ht="16" x14ac:dyDescent="0.2">
      <c r="A286" s="20" t="s">
        <v>4902</v>
      </c>
      <c r="B286" s="20" t="s">
        <v>4903</v>
      </c>
      <c r="C286" s="20" t="s">
        <v>3774</v>
      </c>
      <c r="D286" s="20" t="s">
        <v>4904</v>
      </c>
      <c r="E286" s="20" t="s">
        <v>4905</v>
      </c>
      <c r="F286" s="20" t="s">
        <v>827</v>
      </c>
      <c r="G286" s="20" t="s">
        <v>3777</v>
      </c>
      <c r="H286" s="20" t="s">
        <v>6</v>
      </c>
      <c r="I286" s="39">
        <v>44737.482933946761</v>
      </c>
      <c r="J286" s="39">
        <v>44737.482933981482</v>
      </c>
      <c r="K286" s="20">
        <v>0</v>
      </c>
      <c r="L286" s="17" t="str">
        <f t="shared" si="4"/>
        <v>https://captureandgo.cloudlab.zhaw.ch/uploads/image_0442f28b0d.jpg</v>
      </c>
    </row>
    <row r="287" spans="1:12" ht="16" x14ac:dyDescent="0.2">
      <c r="A287" s="20" t="s">
        <v>4906</v>
      </c>
      <c r="B287" s="20" t="s">
        <v>4907</v>
      </c>
      <c r="C287" s="20" t="s">
        <v>3774</v>
      </c>
      <c r="D287" s="20" t="s">
        <v>4908</v>
      </c>
      <c r="E287" s="20" t="s">
        <v>4909</v>
      </c>
      <c r="F287" s="20" t="s">
        <v>830</v>
      </c>
      <c r="G287" s="20" t="s">
        <v>3777</v>
      </c>
      <c r="H287" s="20" t="s">
        <v>6</v>
      </c>
      <c r="I287" s="39">
        <v>44737.483352511576</v>
      </c>
      <c r="J287" s="39">
        <v>44737.483352546296</v>
      </c>
      <c r="K287" s="20">
        <v>0</v>
      </c>
      <c r="L287" s="17" t="str">
        <f t="shared" si="4"/>
        <v>https://captureandgo.cloudlab.zhaw.ch/uploads/image_2f179e197a.jpg</v>
      </c>
    </row>
    <row r="288" spans="1:12" ht="16" x14ac:dyDescent="0.2">
      <c r="A288" s="20" t="s">
        <v>4910</v>
      </c>
      <c r="B288" s="20" t="s">
        <v>4911</v>
      </c>
      <c r="C288" s="20" t="s">
        <v>3774</v>
      </c>
      <c r="D288" s="20" t="s">
        <v>4912</v>
      </c>
      <c r="E288" s="20" t="s">
        <v>4913</v>
      </c>
      <c r="F288" s="20" t="s">
        <v>835</v>
      </c>
      <c r="G288" s="20" t="s">
        <v>3777</v>
      </c>
      <c r="H288" s="20" t="s">
        <v>6</v>
      </c>
      <c r="I288" s="39">
        <v>44737.487506620368</v>
      </c>
      <c r="J288" s="39">
        <v>44737.487506655096</v>
      </c>
      <c r="K288" s="20">
        <v>0</v>
      </c>
      <c r="L288" s="17" t="str">
        <f t="shared" si="4"/>
        <v>https://captureandgo.cloudlab.zhaw.ch/uploads/image_711381d4f1.jpg</v>
      </c>
    </row>
    <row r="289" spans="1:12" ht="16" x14ac:dyDescent="0.2">
      <c r="A289" s="20" t="s">
        <v>4914</v>
      </c>
      <c r="B289" s="20" t="s">
        <v>4915</v>
      </c>
      <c r="C289" s="20" t="s">
        <v>3774</v>
      </c>
      <c r="D289" s="20" t="s">
        <v>4916</v>
      </c>
      <c r="E289" s="20" t="s">
        <v>4917</v>
      </c>
      <c r="F289" s="20" t="s">
        <v>840</v>
      </c>
      <c r="G289" s="20" t="s">
        <v>3777</v>
      </c>
      <c r="H289" s="20" t="s">
        <v>6</v>
      </c>
      <c r="I289" s="39">
        <v>44737.488570856483</v>
      </c>
      <c r="J289" s="39">
        <v>44737.488570891204</v>
      </c>
      <c r="K289" s="20">
        <v>0</v>
      </c>
      <c r="L289" s="17" t="str">
        <f t="shared" si="4"/>
        <v>https://captureandgo.cloudlab.zhaw.ch/uploads/image_2c6dc2432d.jpg</v>
      </c>
    </row>
    <row r="290" spans="1:12" ht="16" x14ac:dyDescent="0.2">
      <c r="A290" s="20" t="s">
        <v>4918</v>
      </c>
      <c r="B290" s="20" t="s">
        <v>4919</v>
      </c>
      <c r="C290" s="20" t="s">
        <v>3774</v>
      </c>
      <c r="D290" s="20" t="s">
        <v>4920</v>
      </c>
      <c r="E290" s="20" t="s">
        <v>4921</v>
      </c>
      <c r="F290" s="20" t="s">
        <v>843</v>
      </c>
      <c r="G290" s="20" t="s">
        <v>3777</v>
      </c>
      <c r="H290" s="20" t="s">
        <v>6</v>
      </c>
      <c r="I290" s="39">
        <v>44737.499575752314</v>
      </c>
      <c r="J290" s="39">
        <v>44737.499575798611</v>
      </c>
      <c r="K290" s="20">
        <v>0</v>
      </c>
      <c r="L290" s="17" t="str">
        <f t="shared" si="4"/>
        <v>https://captureandgo.cloudlab.zhaw.ch/uploads/image_1415e00117.jpg</v>
      </c>
    </row>
    <row r="291" spans="1:12" ht="16" x14ac:dyDescent="0.2">
      <c r="A291" s="20" t="s">
        <v>4922</v>
      </c>
      <c r="B291" s="20" t="s">
        <v>4923</v>
      </c>
      <c r="C291" s="20" t="s">
        <v>3774</v>
      </c>
      <c r="D291" s="20" t="s">
        <v>4924</v>
      </c>
      <c r="E291" s="20" t="s">
        <v>4925</v>
      </c>
      <c r="F291" s="20" t="s">
        <v>846</v>
      </c>
      <c r="G291" s="20" t="s">
        <v>3777</v>
      </c>
      <c r="H291" s="20" t="s">
        <v>6</v>
      </c>
      <c r="I291" s="39">
        <v>44737.500460706018</v>
      </c>
      <c r="J291" s="39">
        <v>44737.500460752315</v>
      </c>
      <c r="K291" s="20">
        <v>0</v>
      </c>
      <c r="L291" s="17" t="str">
        <f t="shared" si="4"/>
        <v>https://captureandgo.cloudlab.zhaw.ch/uploads/image_608efd541c.jpg</v>
      </c>
    </row>
    <row r="292" spans="1:12" ht="16" x14ac:dyDescent="0.2">
      <c r="A292" s="20" t="s">
        <v>4926</v>
      </c>
      <c r="B292" s="20" t="s">
        <v>4927</v>
      </c>
      <c r="C292" s="20" t="s">
        <v>3774</v>
      </c>
      <c r="D292" s="20" t="s">
        <v>4928</v>
      </c>
      <c r="E292" s="20" t="s">
        <v>4929</v>
      </c>
      <c r="F292" s="20" t="s">
        <v>849</v>
      </c>
      <c r="G292" s="20" t="s">
        <v>3777</v>
      </c>
      <c r="H292" s="20" t="s">
        <v>6</v>
      </c>
      <c r="I292" s="39">
        <v>44737.501554803239</v>
      </c>
      <c r="J292" s="39">
        <v>44737.50155483796</v>
      </c>
      <c r="K292" s="20">
        <v>0</v>
      </c>
      <c r="L292" s="17" t="str">
        <f t="shared" si="4"/>
        <v>https://captureandgo.cloudlab.zhaw.ch/uploads/image_9147ca44b1.jpg</v>
      </c>
    </row>
    <row r="293" spans="1:12" ht="16" x14ac:dyDescent="0.2">
      <c r="A293" s="20" t="s">
        <v>4930</v>
      </c>
      <c r="B293" s="20" t="s">
        <v>4931</v>
      </c>
      <c r="C293" s="20" t="s">
        <v>3774</v>
      </c>
      <c r="D293" s="20" t="s">
        <v>4932</v>
      </c>
      <c r="E293" s="20" t="s">
        <v>4933</v>
      </c>
      <c r="F293" s="20" t="s">
        <v>849</v>
      </c>
      <c r="G293" s="20" t="s">
        <v>3777</v>
      </c>
      <c r="H293" s="20" t="s">
        <v>6</v>
      </c>
      <c r="I293" s="39">
        <v>44737.50200641204</v>
      </c>
      <c r="J293" s="39">
        <v>44737.502006527779</v>
      </c>
      <c r="K293" s="20">
        <v>0</v>
      </c>
      <c r="L293" s="17" t="str">
        <f t="shared" si="4"/>
        <v>https://captureandgo.cloudlab.zhaw.ch/uploads/image_664a5ba702.jpg</v>
      </c>
    </row>
    <row r="294" spans="1:12" ht="16" x14ac:dyDescent="0.2">
      <c r="A294" s="20" t="s">
        <v>4934</v>
      </c>
      <c r="B294" s="20" t="s">
        <v>4935</v>
      </c>
      <c r="C294" s="20" t="s">
        <v>3774</v>
      </c>
      <c r="D294" s="20" t="s">
        <v>4936</v>
      </c>
      <c r="E294" s="20" t="s">
        <v>4937</v>
      </c>
      <c r="F294" s="20" t="s">
        <v>849</v>
      </c>
      <c r="G294" s="20" t="s">
        <v>3777</v>
      </c>
      <c r="H294" s="20" t="s">
        <v>6</v>
      </c>
      <c r="I294" s="39">
        <v>44737.502257465276</v>
      </c>
      <c r="J294" s="39">
        <v>44737.502257499997</v>
      </c>
      <c r="K294" s="20">
        <v>0</v>
      </c>
      <c r="L294" s="17" t="str">
        <f t="shared" si="4"/>
        <v>https://captureandgo.cloudlab.zhaw.ch/uploads/image_71c2437d6b.jpg</v>
      </c>
    </row>
    <row r="295" spans="1:12" ht="16" x14ac:dyDescent="0.2">
      <c r="A295" s="20" t="s">
        <v>4938</v>
      </c>
      <c r="B295" s="20" t="s">
        <v>4939</v>
      </c>
      <c r="C295" s="20" t="s">
        <v>3774</v>
      </c>
      <c r="D295" s="20" t="s">
        <v>4940</v>
      </c>
      <c r="E295" s="20" t="s">
        <v>4941</v>
      </c>
      <c r="F295" s="20" t="s">
        <v>849</v>
      </c>
      <c r="G295" s="20" t="s">
        <v>3777</v>
      </c>
      <c r="H295" s="20" t="s">
        <v>6</v>
      </c>
      <c r="I295" s="39">
        <v>44737.502617071761</v>
      </c>
      <c r="J295" s="39">
        <v>44737.502617106482</v>
      </c>
      <c r="K295" s="20">
        <v>0</v>
      </c>
      <c r="L295" s="17" t="str">
        <f t="shared" si="4"/>
        <v>https://captureandgo.cloudlab.zhaw.ch/uploads/image_9074cb4de1.jpg</v>
      </c>
    </row>
    <row r="296" spans="1:12" ht="16" x14ac:dyDescent="0.2">
      <c r="A296" s="20" t="s">
        <v>4942</v>
      </c>
      <c r="B296" s="20" t="s">
        <v>4943</v>
      </c>
      <c r="C296" s="20" t="s">
        <v>3774</v>
      </c>
      <c r="D296" s="20" t="s">
        <v>4944</v>
      </c>
      <c r="E296" s="20" t="s">
        <v>4945</v>
      </c>
      <c r="F296" s="20" t="s">
        <v>849</v>
      </c>
      <c r="G296" s="20" t="s">
        <v>3777</v>
      </c>
      <c r="H296" s="20" t="s">
        <v>6</v>
      </c>
      <c r="I296" s="39">
        <v>44737.50309849537</v>
      </c>
      <c r="J296" s="39">
        <v>44737.503098530091</v>
      </c>
      <c r="K296" s="20">
        <v>0</v>
      </c>
      <c r="L296" s="17" t="str">
        <f t="shared" si="4"/>
        <v>https://captureandgo.cloudlab.zhaw.ch/uploads/image_15da14c605.jpg</v>
      </c>
    </row>
    <row r="297" spans="1:12" ht="16" x14ac:dyDescent="0.2">
      <c r="A297" s="20" t="s">
        <v>4946</v>
      </c>
      <c r="B297" s="20" t="s">
        <v>4947</v>
      </c>
      <c r="C297" s="20" t="s">
        <v>3774</v>
      </c>
      <c r="D297" s="20" t="s">
        <v>4948</v>
      </c>
      <c r="E297" s="20" t="s">
        <v>4949</v>
      </c>
      <c r="F297" s="20" t="s">
        <v>4950</v>
      </c>
      <c r="G297" s="20" t="s">
        <v>3777</v>
      </c>
      <c r="H297" s="20" t="s">
        <v>6</v>
      </c>
      <c r="I297" s="39">
        <v>44737.504719594908</v>
      </c>
      <c r="J297" s="39">
        <v>44737.504719618053</v>
      </c>
      <c r="K297" s="20">
        <v>0</v>
      </c>
      <c r="L297" s="17" t="str">
        <f t="shared" si="4"/>
        <v>https://captureandgo.cloudlab.zhaw.ch/uploads/image_4ccbfcc893.jpg</v>
      </c>
    </row>
    <row r="298" spans="1:12" ht="16" x14ac:dyDescent="0.2">
      <c r="A298" s="20" t="s">
        <v>4951</v>
      </c>
      <c r="B298" s="20" t="s">
        <v>4952</v>
      </c>
      <c r="C298" s="20" t="s">
        <v>3774</v>
      </c>
      <c r="D298" s="20" t="s">
        <v>4953</v>
      </c>
      <c r="E298" s="20" t="s">
        <v>4954</v>
      </c>
      <c r="F298" s="20" t="s">
        <v>853</v>
      </c>
      <c r="G298" s="20" t="s">
        <v>3777</v>
      </c>
      <c r="H298" s="20" t="s">
        <v>6</v>
      </c>
      <c r="I298" s="39">
        <v>44737.506804317127</v>
      </c>
      <c r="J298" s="39">
        <v>44737.506804363424</v>
      </c>
      <c r="K298" s="20">
        <v>0</v>
      </c>
      <c r="L298" s="17" t="str">
        <f t="shared" si="4"/>
        <v>https://captureandgo.cloudlab.zhaw.ch/uploads/image_b12e8b0e50.jpg</v>
      </c>
    </row>
    <row r="299" spans="1:12" ht="16" x14ac:dyDescent="0.2">
      <c r="A299" s="20" t="s">
        <v>4955</v>
      </c>
      <c r="B299" s="20" t="s">
        <v>4956</v>
      </c>
      <c r="C299" s="20" t="s">
        <v>3774</v>
      </c>
      <c r="D299" s="20" t="s">
        <v>4957</v>
      </c>
      <c r="E299" s="20" t="s">
        <v>4958</v>
      </c>
      <c r="F299" s="20" t="s">
        <v>856</v>
      </c>
      <c r="G299" s="20" t="s">
        <v>3777</v>
      </c>
      <c r="H299" s="20" t="s">
        <v>6</v>
      </c>
      <c r="I299" s="39">
        <v>44737.507332407411</v>
      </c>
      <c r="J299" s="39">
        <v>44737.507332453701</v>
      </c>
      <c r="K299" s="20">
        <v>0</v>
      </c>
      <c r="L299" s="17" t="str">
        <f t="shared" si="4"/>
        <v>https://captureandgo.cloudlab.zhaw.ch/uploads/image_c499bb8585.jpg</v>
      </c>
    </row>
    <row r="300" spans="1:12" ht="16" x14ac:dyDescent="0.2">
      <c r="A300" s="20" t="s">
        <v>4959</v>
      </c>
      <c r="B300" s="20" t="s">
        <v>4960</v>
      </c>
      <c r="C300" s="20" t="s">
        <v>3774</v>
      </c>
      <c r="D300" s="20" t="s">
        <v>4961</v>
      </c>
      <c r="E300" s="20" t="s">
        <v>4962</v>
      </c>
      <c r="F300" s="20" t="s">
        <v>859</v>
      </c>
      <c r="G300" s="20" t="s">
        <v>3777</v>
      </c>
      <c r="H300" s="20" t="s">
        <v>6</v>
      </c>
      <c r="I300" s="39">
        <v>44737.50766771991</v>
      </c>
      <c r="J300" s="39">
        <v>44737.507667754631</v>
      </c>
      <c r="K300" s="20">
        <v>0</v>
      </c>
      <c r="L300" s="17" t="str">
        <f t="shared" si="4"/>
        <v>https://captureandgo.cloudlab.zhaw.ch/uploads/image_ae24200eec.jpg</v>
      </c>
    </row>
    <row r="301" spans="1:12" ht="16" x14ac:dyDescent="0.2">
      <c r="A301" s="20" t="s">
        <v>4963</v>
      </c>
      <c r="B301" s="20" t="s">
        <v>4964</v>
      </c>
      <c r="C301" s="20" t="s">
        <v>3774</v>
      </c>
      <c r="D301" s="20" t="s">
        <v>4965</v>
      </c>
      <c r="E301" s="20" t="s">
        <v>4966</v>
      </c>
      <c r="F301" s="20" t="s">
        <v>862</v>
      </c>
      <c r="G301" s="20" t="s">
        <v>3777</v>
      </c>
      <c r="H301" s="20" t="s">
        <v>6</v>
      </c>
      <c r="I301" s="39">
        <v>44737.511652476853</v>
      </c>
      <c r="J301" s="39">
        <v>44737.51165252315</v>
      </c>
      <c r="K301" s="20">
        <v>0</v>
      </c>
      <c r="L301" s="17" t="str">
        <f t="shared" si="4"/>
        <v>https://captureandgo.cloudlab.zhaw.ch/uploads/image_e281b07ded.jpg</v>
      </c>
    </row>
    <row r="302" spans="1:12" ht="16" x14ac:dyDescent="0.2">
      <c r="A302" s="20" t="s">
        <v>4967</v>
      </c>
      <c r="B302" s="20" t="s">
        <v>4968</v>
      </c>
      <c r="C302" s="20" t="s">
        <v>3774</v>
      </c>
      <c r="D302" s="20" t="s">
        <v>4969</v>
      </c>
      <c r="E302" s="20" t="s">
        <v>4970</v>
      </c>
      <c r="F302" s="20" t="s">
        <v>865</v>
      </c>
      <c r="G302" s="20" t="s">
        <v>3777</v>
      </c>
      <c r="H302" s="20" t="s">
        <v>6</v>
      </c>
      <c r="I302" s="39">
        <v>44737.512138425926</v>
      </c>
      <c r="J302" s="39">
        <v>44737.512138449078</v>
      </c>
      <c r="K302" s="20">
        <v>0</v>
      </c>
      <c r="L302" s="17" t="str">
        <f t="shared" si="4"/>
        <v>https://captureandgo.cloudlab.zhaw.ch/uploads/image_313257b9ac.jpg</v>
      </c>
    </row>
    <row r="303" spans="1:12" ht="16" x14ac:dyDescent="0.2">
      <c r="A303" s="20" t="s">
        <v>4971</v>
      </c>
      <c r="B303" s="20" t="s">
        <v>4972</v>
      </c>
      <c r="C303" s="20" t="s">
        <v>3774</v>
      </c>
      <c r="D303" s="20" t="s">
        <v>4973</v>
      </c>
      <c r="E303" s="20" t="s">
        <v>4974</v>
      </c>
      <c r="F303" s="20" t="s">
        <v>868</v>
      </c>
      <c r="G303" s="20" t="s">
        <v>3777</v>
      </c>
      <c r="H303" s="20" t="s">
        <v>6</v>
      </c>
      <c r="I303" s="39">
        <v>44737.513152118052</v>
      </c>
      <c r="J303" s="39">
        <v>44737.51315215278</v>
      </c>
      <c r="K303" s="20">
        <v>0</v>
      </c>
      <c r="L303" s="17" t="str">
        <f t="shared" si="4"/>
        <v>https://captureandgo.cloudlab.zhaw.ch/uploads/image_b5120e4cc7.jpg</v>
      </c>
    </row>
    <row r="304" spans="1:12" ht="16" x14ac:dyDescent="0.2">
      <c r="A304" s="20" t="s">
        <v>4975</v>
      </c>
      <c r="B304" s="20" t="s">
        <v>4976</v>
      </c>
      <c r="C304" s="20" t="s">
        <v>3774</v>
      </c>
      <c r="D304" s="20" t="s">
        <v>4977</v>
      </c>
      <c r="E304" s="20" t="s">
        <v>4978</v>
      </c>
      <c r="F304" s="20" t="s">
        <v>871</v>
      </c>
      <c r="G304" s="20" t="s">
        <v>3777</v>
      </c>
      <c r="H304" s="20" t="s">
        <v>6</v>
      </c>
      <c r="I304" s="39">
        <v>44737.51514059028</v>
      </c>
      <c r="J304" s="39">
        <v>44737.515140625001</v>
      </c>
      <c r="K304" s="20">
        <v>0</v>
      </c>
      <c r="L304" s="17" t="str">
        <f t="shared" si="4"/>
        <v>https://captureandgo.cloudlab.zhaw.ch/uploads/image_51fac4ad8f.jpg</v>
      </c>
    </row>
    <row r="305" spans="1:12" ht="16" x14ac:dyDescent="0.2">
      <c r="A305" s="20" t="s">
        <v>4979</v>
      </c>
      <c r="B305" s="20" t="s">
        <v>4980</v>
      </c>
      <c r="C305" s="20" t="s">
        <v>3774</v>
      </c>
      <c r="D305" s="20" t="s">
        <v>4981</v>
      </c>
      <c r="E305" s="20" t="s">
        <v>4982</v>
      </c>
      <c r="F305" s="20" t="s">
        <v>874</v>
      </c>
      <c r="G305" s="20" t="s">
        <v>3777</v>
      </c>
      <c r="H305" s="20" t="s">
        <v>6</v>
      </c>
      <c r="I305" s="39">
        <v>44737.515558993058</v>
      </c>
      <c r="J305" s="39">
        <v>44737.515559027779</v>
      </c>
      <c r="K305" s="20">
        <v>0</v>
      </c>
      <c r="L305" s="17" t="str">
        <f t="shared" si="4"/>
        <v>https://captureandgo.cloudlab.zhaw.ch/uploads/image_70fa4783ee.jpg</v>
      </c>
    </row>
    <row r="306" spans="1:12" ht="16" x14ac:dyDescent="0.2">
      <c r="A306" s="20" t="s">
        <v>4983</v>
      </c>
      <c r="B306" s="20" t="s">
        <v>4984</v>
      </c>
      <c r="C306" s="20" t="s">
        <v>3774</v>
      </c>
      <c r="D306" s="20" t="s">
        <v>4985</v>
      </c>
      <c r="E306" s="20" t="s">
        <v>4986</v>
      </c>
      <c r="F306" s="20" t="s">
        <v>877</v>
      </c>
      <c r="G306" s="20" t="s">
        <v>3777</v>
      </c>
      <c r="H306" s="20" t="s">
        <v>6</v>
      </c>
      <c r="I306" s="39">
        <v>44737.515919895835</v>
      </c>
      <c r="J306" s="39">
        <v>44737.515919930556</v>
      </c>
      <c r="K306" s="20">
        <v>0</v>
      </c>
      <c r="L306" s="17" t="str">
        <f t="shared" si="4"/>
        <v>https://captureandgo.cloudlab.zhaw.ch/uploads/image_0bee4741fa.jpg</v>
      </c>
    </row>
    <row r="307" spans="1:12" ht="16" x14ac:dyDescent="0.2">
      <c r="A307" s="20" t="s">
        <v>4987</v>
      </c>
      <c r="B307" s="20" t="s">
        <v>4988</v>
      </c>
      <c r="C307" s="20" t="s">
        <v>3774</v>
      </c>
      <c r="D307" s="20" t="s">
        <v>4989</v>
      </c>
      <c r="E307" s="20" t="s">
        <v>4990</v>
      </c>
      <c r="F307" s="20" t="s">
        <v>881</v>
      </c>
      <c r="G307" s="20" t="s">
        <v>3777</v>
      </c>
      <c r="H307" s="20" t="s">
        <v>6</v>
      </c>
      <c r="I307" s="39">
        <v>44737.517352604169</v>
      </c>
      <c r="J307" s="39">
        <v>44737.517352650466</v>
      </c>
      <c r="K307" s="20">
        <v>0</v>
      </c>
      <c r="L307" s="17" t="str">
        <f t="shared" si="4"/>
        <v>https://captureandgo.cloudlab.zhaw.ch/uploads/image_9a034c945e.jpg</v>
      </c>
    </row>
    <row r="308" spans="1:12" ht="16" x14ac:dyDescent="0.2">
      <c r="A308" s="20" t="s">
        <v>4991</v>
      </c>
      <c r="B308" s="20" t="s">
        <v>4992</v>
      </c>
      <c r="C308" s="20" t="s">
        <v>3774</v>
      </c>
      <c r="D308" s="20" t="s">
        <v>4993</v>
      </c>
      <c r="E308" s="20" t="s">
        <v>4994</v>
      </c>
      <c r="F308" s="20" t="s">
        <v>884</v>
      </c>
      <c r="G308" s="20" t="s">
        <v>3777</v>
      </c>
      <c r="H308" s="20" t="s">
        <v>6</v>
      </c>
      <c r="I308" s="39">
        <v>44737.517770046295</v>
      </c>
      <c r="J308" s="39">
        <v>44737.517770069448</v>
      </c>
      <c r="K308" s="20">
        <v>0</v>
      </c>
      <c r="L308" s="17" t="str">
        <f t="shared" si="4"/>
        <v>https://captureandgo.cloudlab.zhaw.ch/uploads/image_3f859db304.jpg</v>
      </c>
    </row>
    <row r="309" spans="1:12" ht="16" x14ac:dyDescent="0.2">
      <c r="A309" s="20" t="s">
        <v>4995</v>
      </c>
      <c r="B309" s="20" t="s">
        <v>4996</v>
      </c>
      <c r="C309" s="20" t="s">
        <v>3774</v>
      </c>
      <c r="D309" s="20" t="s">
        <v>4997</v>
      </c>
      <c r="E309" s="20" t="s">
        <v>4998</v>
      </c>
      <c r="F309" s="20" t="s">
        <v>887</v>
      </c>
      <c r="G309" s="20" t="s">
        <v>3777</v>
      </c>
      <c r="H309" s="20" t="s">
        <v>6</v>
      </c>
      <c r="I309" s="39">
        <v>44737.519083321757</v>
      </c>
      <c r="J309" s="39">
        <v>44737.519083356485</v>
      </c>
      <c r="K309" s="20">
        <v>0</v>
      </c>
      <c r="L309" s="17" t="str">
        <f t="shared" si="4"/>
        <v>https://captureandgo.cloudlab.zhaw.ch/uploads/image_f7f6e760b4.jpg</v>
      </c>
    </row>
    <row r="310" spans="1:12" ht="16" x14ac:dyDescent="0.2">
      <c r="A310" s="20" t="s">
        <v>4999</v>
      </c>
      <c r="B310" s="20" t="s">
        <v>5000</v>
      </c>
      <c r="C310" s="20" t="s">
        <v>3774</v>
      </c>
      <c r="D310" s="20" t="s">
        <v>5001</v>
      </c>
      <c r="E310" s="20" t="s">
        <v>5002</v>
      </c>
      <c r="F310" s="20" t="s">
        <v>890</v>
      </c>
      <c r="G310" s="20" t="s">
        <v>3777</v>
      </c>
      <c r="H310" s="20" t="s">
        <v>6</v>
      </c>
      <c r="I310" s="39">
        <v>44737.520023449077</v>
      </c>
      <c r="J310" s="39">
        <v>44737.520023483798</v>
      </c>
      <c r="K310" s="20">
        <v>0</v>
      </c>
      <c r="L310" s="17" t="str">
        <f t="shared" si="4"/>
        <v>https://captureandgo.cloudlab.zhaw.ch/uploads/image_0728427b8d.jpg</v>
      </c>
    </row>
    <row r="311" spans="1:12" ht="16" x14ac:dyDescent="0.2">
      <c r="A311" s="20" t="s">
        <v>5003</v>
      </c>
      <c r="B311" s="20" t="s">
        <v>5004</v>
      </c>
      <c r="C311" s="20" t="s">
        <v>3774</v>
      </c>
      <c r="D311" s="20" t="s">
        <v>5005</v>
      </c>
      <c r="E311" s="20" t="s">
        <v>5006</v>
      </c>
      <c r="F311" s="20" t="s">
        <v>893</v>
      </c>
      <c r="G311" s="20" t="s">
        <v>3777</v>
      </c>
      <c r="H311" s="20" t="s">
        <v>6</v>
      </c>
      <c r="I311" s="39">
        <v>44737.521260775466</v>
      </c>
      <c r="J311" s="39">
        <v>44737.521260810187</v>
      </c>
      <c r="K311" s="20">
        <v>0</v>
      </c>
      <c r="L311" s="17" t="str">
        <f t="shared" si="4"/>
        <v>https://captureandgo.cloudlab.zhaw.ch/uploads/image_669664cf97.jpg</v>
      </c>
    </row>
    <row r="312" spans="1:12" ht="16" x14ac:dyDescent="0.2">
      <c r="A312" s="20" t="s">
        <v>5007</v>
      </c>
      <c r="B312" s="20" t="s">
        <v>5008</v>
      </c>
      <c r="C312" s="20" t="s">
        <v>3774</v>
      </c>
      <c r="D312" s="20" t="s">
        <v>5009</v>
      </c>
      <c r="E312" s="20" t="s">
        <v>5010</v>
      </c>
      <c r="F312" s="20" t="s">
        <v>897</v>
      </c>
      <c r="G312" s="20" t="s">
        <v>3777</v>
      </c>
      <c r="H312" s="20" t="s">
        <v>6</v>
      </c>
      <c r="I312" s="39">
        <v>44737.521758877316</v>
      </c>
      <c r="J312" s="39">
        <v>44737.521758900461</v>
      </c>
      <c r="K312" s="20">
        <v>0</v>
      </c>
      <c r="L312" s="17" t="str">
        <f t="shared" si="4"/>
        <v>https://captureandgo.cloudlab.zhaw.ch/uploads/image_696ad1abc5.jpg</v>
      </c>
    </row>
    <row r="313" spans="1:12" ht="16" x14ac:dyDescent="0.2">
      <c r="A313" s="20" t="s">
        <v>5011</v>
      </c>
      <c r="B313" s="20" t="s">
        <v>5012</v>
      </c>
      <c r="C313" s="20" t="s">
        <v>3774</v>
      </c>
      <c r="D313" s="20" t="s">
        <v>5013</v>
      </c>
      <c r="E313" s="20" t="s">
        <v>5014</v>
      </c>
      <c r="F313" s="20" t="s">
        <v>900</v>
      </c>
      <c r="G313" s="20" t="s">
        <v>3777</v>
      </c>
      <c r="H313" s="20" t="s">
        <v>6</v>
      </c>
      <c r="I313" s="39">
        <v>44737.522835405092</v>
      </c>
      <c r="J313" s="39">
        <v>44737.522835451389</v>
      </c>
      <c r="K313" s="20">
        <v>0</v>
      </c>
      <c r="L313" s="17" t="str">
        <f t="shared" si="4"/>
        <v>https://captureandgo.cloudlab.zhaw.ch/uploads/image_790afb93fd.jpg</v>
      </c>
    </row>
    <row r="314" spans="1:12" ht="16" x14ac:dyDescent="0.2">
      <c r="A314" s="20" t="s">
        <v>5015</v>
      </c>
      <c r="B314" s="20" t="s">
        <v>5016</v>
      </c>
      <c r="C314" s="20" t="s">
        <v>3774</v>
      </c>
      <c r="D314" s="20" t="s">
        <v>5017</v>
      </c>
      <c r="E314" s="20" t="s">
        <v>5018</v>
      </c>
      <c r="F314" s="20" t="s">
        <v>903</v>
      </c>
      <c r="G314" s="20" t="s">
        <v>3777</v>
      </c>
      <c r="H314" s="20" t="s">
        <v>6</v>
      </c>
      <c r="I314" s="39">
        <v>44737.523557175926</v>
      </c>
      <c r="J314" s="39">
        <v>44737.523557222223</v>
      </c>
      <c r="K314" s="20">
        <v>0</v>
      </c>
      <c r="L314" s="17" t="str">
        <f t="shared" si="4"/>
        <v>https://captureandgo.cloudlab.zhaw.ch/uploads/image_a8ace5af74.jpg</v>
      </c>
    </row>
    <row r="315" spans="1:12" ht="16" x14ac:dyDescent="0.2">
      <c r="A315" s="20" t="s">
        <v>5019</v>
      </c>
      <c r="B315" s="20" t="s">
        <v>5020</v>
      </c>
      <c r="C315" s="20" t="s">
        <v>3774</v>
      </c>
      <c r="D315" s="20" t="s">
        <v>5021</v>
      </c>
      <c r="E315" s="20" t="s">
        <v>5022</v>
      </c>
      <c r="F315" s="20" t="s">
        <v>903</v>
      </c>
      <c r="G315" s="20" t="s">
        <v>3777</v>
      </c>
      <c r="H315" s="20" t="s">
        <v>6</v>
      </c>
      <c r="I315" s="39">
        <v>44737.523593101854</v>
      </c>
      <c r="J315" s="39">
        <v>44737.523593124999</v>
      </c>
      <c r="K315" s="20">
        <v>0</v>
      </c>
      <c r="L315" s="17" t="str">
        <f t="shared" si="4"/>
        <v>https://captureandgo.cloudlab.zhaw.ch/uploads/image_1e03c82e24.jpg</v>
      </c>
    </row>
    <row r="316" spans="1:12" ht="16" x14ac:dyDescent="0.2">
      <c r="A316" s="20" t="s">
        <v>5023</v>
      </c>
      <c r="B316" s="20" t="s">
        <v>5024</v>
      </c>
      <c r="C316" s="20" t="s">
        <v>3774</v>
      </c>
      <c r="D316" s="20" t="s">
        <v>5025</v>
      </c>
      <c r="E316" s="20" t="s">
        <v>5026</v>
      </c>
      <c r="F316" s="20" t="s">
        <v>903</v>
      </c>
      <c r="G316" s="20" t="s">
        <v>3777</v>
      </c>
      <c r="H316" s="20" t="s">
        <v>6</v>
      </c>
      <c r="I316" s="39">
        <v>44737.523617916668</v>
      </c>
      <c r="J316" s="39">
        <v>44737.523617951389</v>
      </c>
      <c r="K316" s="20">
        <v>0</v>
      </c>
      <c r="L316" s="17" t="str">
        <f t="shared" si="4"/>
        <v>https://captureandgo.cloudlab.zhaw.ch/uploads/image_8b0d956b44.jpg</v>
      </c>
    </row>
    <row r="317" spans="1:12" ht="16" x14ac:dyDescent="0.2">
      <c r="A317" s="20" t="s">
        <v>5027</v>
      </c>
      <c r="B317" s="20" t="s">
        <v>5028</v>
      </c>
      <c r="C317" s="20" t="s">
        <v>3774</v>
      </c>
      <c r="D317" s="20" t="s">
        <v>5029</v>
      </c>
      <c r="E317" s="20" t="s">
        <v>5030</v>
      </c>
      <c r="F317" s="20" t="s">
        <v>909</v>
      </c>
      <c r="G317" s="20" t="s">
        <v>3777</v>
      </c>
      <c r="H317" s="20" t="s">
        <v>6</v>
      </c>
      <c r="I317" s="39">
        <v>44737.524982037037</v>
      </c>
      <c r="J317" s="39">
        <v>44737.524982083334</v>
      </c>
      <c r="K317" s="20">
        <v>0</v>
      </c>
      <c r="L317" s="17" t="str">
        <f t="shared" si="4"/>
        <v>https://captureandgo.cloudlab.zhaw.ch/uploads/image_2d1d39d4bd.jpg</v>
      </c>
    </row>
    <row r="318" spans="1:12" ht="16" x14ac:dyDescent="0.2">
      <c r="A318" s="20" t="s">
        <v>5031</v>
      </c>
      <c r="B318" s="20" t="s">
        <v>5032</v>
      </c>
      <c r="C318" s="20" t="s">
        <v>3774</v>
      </c>
      <c r="D318" s="20" t="s">
        <v>5033</v>
      </c>
      <c r="E318" s="20" t="s">
        <v>5034</v>
      </c>
      <c r="F318" s="20" t="s">
        <v>912</v>
      </c>
      <c r="G318" s="20" t="s">
        <v>3777</v>
      </c>
      <c r="H318" s="20" t="s">
        <v>6</v>
      </c>
      <c r="I318" s="39">
        <v>44737.527619247689</v>
      </c>
      <c r="J318" s="39">
        <v>44737.527619282409</v>
      </c>
      <c r="K318" s="20">
        <v>0</v>
      </c>
      <c r="L318" s="17" t="str">
        <f t="shared" si="4"/>
        <v>https://captureandgo.cloudlab.zhaw.ch/uploads/image_55a89c2c23.jpg</v>
      </c>
    </row>
    <row r="319" spans="1:12" ht="16" x14ac:dyDescent="0.2">
      <c r="A319" s="20" t="s">
        <v>5035</v>
      </c>
      <c r="B319" s="20" t="s">
        <v>5036</v>
      </c>
      <c r="C319" s="20" t="s">
        <v>3774</v>
      </c>
      <c r="D319" s="20" t="s">
        <v>5037</v>
      </c>
      <c r="E319" s="20" t="s">
        <v>5038</v>
      </c>
      <c r="F319" s="20" t="s">
        <v>915</v>
      </c>
      <c r="G319" s="20" t="s">
        <v>3777</v>
      </c>
      <c r="H319" s="20" t="s">
        <v>6</v>
      </c>
      <c r="I319" s="39">
        <v>44737.527934837963</v>
      </c>
      <c r="J319" s="39">
        <v>44737.527934861107</v>
      </c>
      <c r="K319" s="20">
        <v>0</v>
      </c>
      <c r="L319" s="17" t="str">
        <f t="shared" si="4"/>
        <v>https://captureandgo.cloudlab.zhaw.ch/uploads/image_cdbba1c6f3.jpg</v>
      </c>
    </row>
    <row r="320" spans="1:12" ht="16" x14ac:dyDescent="0.2">
      <c r="A320" s="20" t="s">
        <v>5039</v>
      </c>
      <c r="B320" s="20" t="s">
        <v>5040</v>
      </c>
      <c r="C320" s="20" t="s">
        <v>3774</v>
      </c>
      <c r="D320" s="20" t="s">
        <v>5041</v>
      </c>
      <c r="E320" s="20" t="s">
        <v>5042</v>
      </c>
      <c r="F320" s="20" t="s">
        <v>918</v>
      </c>
      <c r="G320" s="20" t="s">
        <v>3777</v>
      </c>
      <c r="H320" s="20" t="s">
        <v>6</v>
      </c>
      <c r="I320" s="39">
        <v>44737.529171921298</v>
      </c>
      <c r="J320" s="39">
        <v>44737.529171967595</v>
      </c>
      <c r="K320" s="20">
        <v>0</v>
      </c>
      <c r="L320" s="17" t="str">
        <f t="shared" si="4"/>
        <v>https://captureandgo.cloudlab.zhaw.ch/uploads/image_712d99fa01.jpg</v>
      </c>
    </row>
    <row r="321" spans="1:12" ht="16" x14ac:dyDescent="0.2">
      <c r="A321" s="20" t="s">
        <v>5043</v>
      </c>
      <c r="B321" s="20" t="s">
        <v>5044</v>
      </c>
      <c r="C321" s="20" t="s">
        <v>3774</v>
      </c>
      <c r="D321" s="20" t="s">
        <v>5045</v>
      </c>
      <c r="E321" s="20" t="s">
        <v>5046</v>
      </c>
      <c r="F321" s="20" t="s">
        <v>921</v>
      </c>
      <c r="G321" s="20" t="s">
        <v>3777</v>
      </c>
      <c r="H321" s="20" t="s">
        <v>6</v>
      </c>
      <c r="I321" s="39">
        <v>44737.530286354166</v>
      </c>
      <c r="J321" s="39">
        <v>44737.530286388886</v>
      </c>
      <c r="K321" s="20">
        <v>0</v>
      </c>
      <c r="L321" s="17" t="str">
        <f t="shared" si="4"/>
        <v>https://captureandgo.cloudlab.zhaw.ch/uploads/image_1f01e2c78b.jpg</v>
      </c>
    </row>
    <row r="322" spans="1:12" ht="16" x14ac:dyDescent="0.2">
      <c r="A322" s="20" t="s">
        <v>5047</v>
      </c>
      <c r="B322" s="20" t="s">
        <v>5048</v>
      </c>
      <c r="C322" s="20" t="s">
        <v>3774</v>
      </c>
      <c r="D322" s="20" t="s">
        <v>5049</v>
      </c>
      <c r="E322" s="20" t="s">
        <v>5050</v>
      </c>
      <c r="F322" s="20" t="s">
        <v>924</v>
      </c>
      <c r="G322" s="20" t="s">
        <v>3777</v>
      </c>
      <c r="H322" s="20" t="s">
        <v>6</v>
      </c>
      <c r="I322" s="39">
        <v>44737.53060085648</v>
      </c>
      <c r="J322" s="39">
        <v>44737.530600891201</v>
      </c>
      <c r="K322" s="20">
        <v>0</v>
      </c>
      <c r="L322" s="17" t="str">
        <f t="shared" ref="L322:L385" si="5">HYPERLINK("https://captureandgo.cloudlab.zhaw.ch"&amp;B322)</f>
        <v>https://captureandgo.cloudlab.zhaw.ch/uploads/image_1ffbde4c4e.jpg</v>
      </c>
    </row>
    <row r="323" spans="1:12" ht="16" x14ac:dyDescent="0.2">
      <c r="A323" s="20" t="s">
        <v>5051</v>
      </c>
      <c r="B323" s="20" t="s">
        <v>5052</v>
      </c>
      <c r="C323" s="20" t="s">
        <v>3774</v>
      </c>
      <c r="D323" s="20" t="s">
        <v>5053</v>
      </c>
      <c r="E323" s="20" t="s">
        <v>5054</v>
      </c>
      <c r="F323" s="20" t="s">
        <v>928</v>
      </c>
      <c r="G323" s="20" t="s">
        <v>3777</v>
      </c>
      <c r="H323" s="20" t="s">
        <v>6</v>
      </c>
      <c r="I323" s="39">
        <v>44737.532141134259</v>
      </c>
      <c r="J323" s="39">
        <v>44737.532141180556</v>
      </c>
      <c r="K323" s="20">
        <v>0</v>
      </c>
      <c r="L323" s="17" t="str">
        <f t="shared" si="5"/>
        <v>https://captureandgo.cloudlab.zhaw.ch/uploads/image_9afad9620f.jpg</v>
      </c>
    </row>
    <row r="324" spans="1:12" ht="16" x14ac:dyDescent="0.2">
      <c r="A324" s="20" t="s">
        <v>5055</v>
      </c>
      <c r="B324" s="20" t="s">
        <v>5056</v>
      </c>
      <c r="C324" s="20" t="s">
        <v>3774</v>
      </c>
      <c r="D324" s="20" t="s">
        <v>5057</v>
      </c>
      <c r="E324" s="20" t="s">
        <v>5058</v>
      </c>
      <c r="F324" s="20" t="s">
        <v>931</v>
      </c>
      <c r="G324" s="20" t="s">
        <v>3777</v>
      </c>
      <c r="H324" s="20" t="s">
        <v>6</v>
      </c>
      <c r="I324" s="39">
        <v>44737.532832442128</v>
      </c>
      <c r="J324" s="39">
        <v>44737.53283246528</v>
      </c>
      <c r="K324" s="20">
        <v>0</v>
      </c>
      <c r="L324" s="17" t="str">
        <f t="shared" si="5"/>
        <v>https://captureandgo.cloudlab.zhaw.ch/uploads/image_524445c0b7.jpg</v>
      </c>
    </row>
    <row r="325" spans="1:12" ht="16" x14ac:dyDescent="0.2">
      <c r="A325" s="20" t="s">
        <v>5059</v>
      </c>
      <c r="B325" s="20" t="s">
        <v>5060</v>
      </c>
      <c r="C325" s="20" t="s">
        <v>3774</v>
      </c>
      <c r="D325" s="20" t="s">
        <v>5061</v>
      </c>
      <c r="E325" s="20" t="s">
        <v>5062</v>
      </c>
      <c r="F325" s="20" t="s">
        <v>934</v>
      </c>
      <c r="G325" s="20" t="s">
        <v>3777</v>
      </c>
      <c r="H325" s="20" t="s">
        <v>6</v>
      </c>
      <c r="I325" s="39">
        <v>44737.533388912037</v>
      </c>
      <c r="J325" s="39">
        <v>44737.533388935182</v>
      </c>
      <c r="K325" s="20">
        <v>0</v>
      </c>
      <c r="L325" s="17" t="str">
        <f t="shared" si="5"/>
        <v>https://captureandgo.cloudlab.zhaw.ch/uploads/image_eb21750f53.jpg</v>
      </c>
    </row>
    <row r="326" spans="1:12" ht="16" x14ac:dyDescent="0.2">
      <c r="A326" s="20" t="s">
        <v>5063</v>
      </c>
      <c r="B326" s="20" t="s">
        <v>5064</v>
      </c>
      <c r="C326" s="20" t="s">
        <v>3774</v>
      </c>
      <c r="D326" s="20" t="s">
        <v>5065</v>
      </c>
      <c r="E326" s="20" t="s">
        <v>5066</v>
      </c>
      <c r="F326" s="20" t="s">
        <v>937</v>
      </c>
      <c r="G326" s="20" t="s">
        <v>3777</v>
      </c>
      <c r="H326" s="20" t="s">
        <v>6</v>
      </c>
      <c r="I326" s="39">
        <v>44740.45190162037</v>
      </c>
      <c r="J326" s="39">
        <v>44740.451901701388</v>
      </c>
      <c r="K326" s="20">
        <v>0</v>
      </c>
      <c r="L326" s="17" t="str">
        <f t="shared" si="5"/>
        <v>https://captureandgo.cloudlab.zhaw.ch/uploads/image_de4088c070.jpg</v>
      </c>
    </row>
    <row r="327" spans="1:12" ht="16" x14ac:dyDescent="0.2">
      <c r="A327" s="20" t="s">
        <v>5067</v>
      </c>
      <c r="B327" s="20" t="s">
        <v>5068</v>
      </c>
      <c r="C327" s="20" t="s">
        <v>3774</v>
      </c>
      <c r="D327" s="20" t="s">
        <v>5069</v>
      </c>
      <c r="E327" s="20" t="s">
        <v>5070</v>
      </c>
      <c r="F327" s="20" t="s">
        <v>942</v>
      </c>
      <c r="G327" s="20" t="s">
        <v>3777</v>
      </c>
      <c r="H327" s="20" t="s">
        <v>6</v>
      </c>
      <c r="I327" s="39">
        <v>44740.452504606481</v>
      </c>
      <c r="J327" s="39">
        <v>44740.45250472222</v>
      </c>
      <c r="K327" s="20">
        <v>0</v>
      </c>
      <c r="L327" s="17" t="str">
        <f t="shared" si="5"/>
        <v>https://captureandgo.cloudlab.zhaw.ch/uploads/image_2419a4b7dd.jpg</v>
      </c>
    </row>
    <row r="328" spans="1:12" ht="16" x14ac:dyDescent="0.2">
      <c r="A328" s="20" t="s">
        <v>5071</v>
      </c>
      <c r="B328" s="20" t="s">
        <v>5072</v>
      </c>
      <c r="C328" s="20" t="s">
        <v>3774</v>
      </c>
      <c r="D328" s="20" t="s">
        <v>5073</v>
      </c>
      <c r="E328" s="20" t="s">
        <v>5074</v>
      </c>
      <c r="F328" s="20" t="s">
        <v>945</v>
      </c>
      <c r="G328" s="20" t="s">
        <v>3777</v>
      </c>
      <c r="H328" s="20" t="s">
        <v>6</v>
      </c>
      <c r="I328" s="39">
        <v>44740.453126273147</v>
      </c>
      <c r="J328" s="39">
        <v>44740.453126307868</v>
      </c>
      <c r="K328" s="20">
        <v>0</v>
      </c>
      <c r="L328" s="17" t="str">
        <f t="shared" si="5"/>
        <v>https://captureandgo.cloudlab.zhaw.ch/uploads/image_2a106c4a27.jpg</v>
      </c>
    </row>
    <row r="329" spans="1:12" ht="16" x14ac:dyDescent="0.2">
      <c r="A329" s="20" t="s">
        <v>5075</v>
      </c>
      <c r="B329" s="20" t="s">
        <v>5076</v>
      </c>
      <c r="C329" s="20" t="s">
        <v>3774</v>
      </c>
      <c r="D329" s="20" t="s">
        <v>5077</v>
      </c>
      <c r="E329" s="20" t="s">
        <v>5078</v>
      </c>
      <c r="F329" s="20" t="s">
        <v>948</v>
      </c>
      <c r="G329" s="20" t="s">
        <v>3777</v>
      </c>
      <c r="H329" s="20" t="s">
        <v>6</v>
      </c>
      <c r="I329" s="39">
        <v>44740.454320520832</v>
      </c>
      <c r="J329" s="39">
        <v>44740.454320567129</v>
      </c>
      <c r="K329" s="20">
        <v>0</v>
      </c>
      <c r="L329" s="17" t="str">
        <f t="shared" si="5"/>
        <v>https://captureandgo.cloudlab.zhaw.ch/uploads/image_f6880c3506.jpg</v>
      </c>
    </row>
    <row r="330" spans="1:12" ht="16" x14ac:dyDescent="0.2">
      <c r="A330" s="20" t="s">
        <v>5079</v>
      </c>
      <c r="B330" s="20" t="s">
        <v>5080</v>
      </c>
      <c r="C330" s="20" t="s">
        <v>3774</v>
      </c>
      <c r="D330" s="20" t="s">
        <v>5081</v>
      </c>
      <c r="E330" s="20" t="s">
        <v>5082</v>
      </c>
      <c r="F330" s="20" t="s">
        <v>953</v>
      </c>
      <c r="G330" s="20" t="s">
        <v>3777</v>
      </c>
      <c r="H330" s="20" t="s">
        <v>6</v>
      </c>
      <c r="I330" s="39">
        <v>44740.455342511574</v>
      </c>
      <c r="J330" s="39">
        <v>44740.455342569447</v>
      </c>
      <c r="K330" s="20">
        <v>0</v>
      </c>
      <c r="L330" s="17" t="str">
        <f t="shared" si="5"/>
        <v>https://captureandgo.cloudlab.zhaw.ch/uploads/image_ecd1d14fb7.jpg</v>
      </c>
    </row>
    <row r="331" spans="1:12" ht="16" x14ac:dyDescent="0.2">
      <c r="A331" s="20" t="s">
        <v>5083</v>
      </c>
      <c r="B331" s="20" t="s">
        <v>5084</v>
      </c>
      <c r="C331" s="20" t="s">
        <v>3774</v>
      </c>
      <c r="D331" s="20" t="s">
        <v>5085</v>
      </c>
      <c r="E331" s="20" t="s">
        <v>5086</v>
      </c>
      <c r="F331" s="20" t="s">
        <v>957</v>
      </c>
      <c r="G331" s="20" t="s">
        <v>3777</v>
      </c>
      <c r="H331" s="20" t="s">
        <v>6</v>
      </c>
      <c r="I331" s="39">
        <v>44740.45575533565</v>
      </c>
      <c r="J331" s="39">
        <v>44740.455755370371</v>
      </c>
      <c r="K331" s="20">
        <v>0</v>
      </c>
      <c r="L331" s="17" t="str">
        <f t="shared" si="5"/>
        <v>https://captureandgo.cloudlab.zhaw.ch/uploads/image_38db06de9a.jpg</v>
      </c>
    </row>
    <row r="332" spans="1:12" ht="16" x14ac:dyDescent="0.2">
      <c r="A332" s="20" t="s">
        <v>5087</v>
      </c>
      <c r="B332" s="20" t="s">
        <v>5088</v>
      </c>
      <c r="C332" s="20" t="s">
        <v>3774</v>
      </c>
      <c r="D332" s="20" t="s">
        <v>5089</v>
      </c>
      <c r="E332" s="20" t="s">
        <v>5090</v>
      </c>
      <c r="F332" s="20" t="s">
        <v>960</v>
      </c>
      <c r="G332" s="20" t="s">
        <v>3777</v>
      </c>
      <c r="H332" s="20" t="s">
        <v>6</v>
      </c>
      <c r="I332" s="39">
        <v>44740.456306238426</v>
      </c>
      <c r="J332" s="39">
        <v>44740.456306307868</v>
      </c>
      <c r="K332" s="20">
        <v>0</v>
      </c>
      <c r="L332" s="17" t="str">
        <f t="shared" si="5"/>
        <v>https://captureandgo.cloudlab.zhaw.ch/uploads/image_b19958e9f3.jpg</v>
      </c>
    </row>
    <row r="333" spans="1:12" ht="16" x14ac:dyDescent="0.2">
      <c r="A333" s="20" t="s">
        <v>5091</v>
      </c>
      <c r="B333" s="20" t="s">
        <v>5092</v>
      </c>
      <c r="C333" s="20" t="s">
        <v>3774</v>
      </c>
      <c r="D333" s="20" t="s">
        <v>5093</v>
      </c>
      <c r="E333" s="20" t="s">
        <v>5094</v>
      </c>
      <c r="F333" s="20" t="s">
        <v>963</v>
      </c>
      <c r="G333" s="20" t="s">
        <v>3777</v>
      </c>
      <c r="H333" s="20" t="s">
        <v>6</v>
      </c>
      <c r="I333" s="39">
        <v>44740.459171122682</v>
      </c>
      <c r="J333" s="39">
        <v>44740.459171168979</v>
      </c>
      <c r="K333" s="20">
        <v>0</v>
      </c>
      <c r="L333" s="17" t="str">
        <f t="shared" si="5"/>
        <v>https://captureandgo.cloudlab.zhaw.ch/uploads/image_1d9eb9d2e9.jpg</v>
      </c>
    </row>
    <row r="334" spans="1:12" ht="16" x14ac:dyDescent="0.2">
      <c r="A334" s="20" t="s">
        <v>5095</v>
      </c>
      <c r="B334" s="20" t="s">
        <v>5096</v>
      </c>
      <c r="C334" s="20" t="s">
        <v>3774</v>
      </c>
      <c r="D334" s="20" t="s">
        <v>5097</v>
      </c>
      <c r="E334" s="20" t="s">
        <v>5098</v>
      </c>
      <c r="F334" s="20" t="s">
        <v>966</v>
      </c>
      <c r="G334" s="20" t="s">
        <v>3777</v>
      </c>
      <c r="H334" s="20" t="s">
        <v>6</v>
      </c>
      <c r="I334" s="39">
        <v>44740.459908252313</v>
      </c>
      <c r="J334" s="39">
        <v>44740.459908287034</v>
      </c>
      <c r="K334" s="20">
        <v>0</v>
      </c>
      <c r="L334" s="17" t="str">
        <f t="shared" si="5"/>
        <v>https://captureandgo.cloudlab.zhaw.ch/uploads/image_f8fffbf238.jpg</v>
      </c>
    </row>
    <row r="335" spans="1:12" ht="16" x14ac:dyDescent="0.2">
      <c r="A335" s="20" t="s">
        <v>5099</v>
      </c>
      <c r="B335" s="20" t="s">
        <v>5100</v>
      </c>
      <c r="C335" s="20" t="s">
        <v>3774</v>
      </c>
      <c r="D335" s="20" t="s">
        <v>5101</v>
      </c>
      <c r="E335" s="20" t="s">
        <v>5102</v>
      </c>
      <c r="F335" s="20" t="s">
        <v>970</v>
      </c>
      <c r="G335" s="20" t="s">
        <v>3777</v>
      </c>
      <c r="H335" s="20" t="s">
        <v>6</v>
      </c>
      <c r="I335" s="39">
        <v>44740.460631527778</v>
      </c>
      <c r="J335" s="39">
        <v>44740.460631562499</v>
      </c>
      <c r="K335" s="20">
        <v>0</v>
      </c>
      <c r="L335" s="17" t="str">
        <f t="shared" si="5"/>
        <v>https://captureandgo.cloudlab.zhaw.ch/uploads/image_d5ca00fde4.jpg</v>
      </c>
    </row>
    <row r="336" spans="1:12" ht="16" x14ac:dyDescent="0.2">
      <c r="A336" s="20" t="s">
        <v>5103</v>
      </c>
      <c r="B336" s="20" t="s">
        <v>5104</v>
      </c>
      <c r="C336" s="20" t="s">
        <v>3774</v>
      </c>
      <c r="D336" s="20" t="s">
        <v>5105</v>
      </c>
      <c r="E336" s="20" t="s">
        <v>5106</v>
      </c>
      <c r="F336" s="20" t="s">
        <v>973</v>
      </c>
      <c r="G336" s="20" t="s">
        <v>3777</v>
      </c>
      <c r="H336" s="20" t="s">
        <v>6</v>
      </c>
      <c r="I336" s="39">
        <v>44740.462621585648</v>
      </c>
      <c r="J336" s="39">
        <v>44740.462621631945</v>
      </c>
      <c r="K336" s="20">
        <v>0</v>
      </c>
      <c r="L336" s="17" t="str">
        <f t="shared" si="5"/>
        <v>https://captureandgo.cloudlab.zhaw.ch/uploads/image_3704a418d9.jpg</v>
      </c>
    </row>
    <row r="337" spans="1:12" ht="16" x14ac:dyDescent="0.2">
      <c r="A337" s="20" t="s">
        <v>5107</v>
      </c>
      <c r="B337" s="20" t="s">
        <v>5108</v>
      </c>
      <c r="C337" s="20" t="s">
        <v>3774</v>
      </c>
      <c r="D337" s="20" t="s">
        <v>5109</v>
      </c>
      <c r="E337" s="20" t="s">
        <v>5110</v>
      </c>
      <c r="F337" s="20" t="s">
        <v>976</v>
      </c>
      <c r="G337" s="20" t="s">
        <v>3777</v>
      </c>
      <c r="H337" s="20" t="s">
        <v>6</v>
      </c>
      <c r="I337" s="39">
        <v>44740.465843124999</v>
      </c>
      <c r="J337" s="39">
        <v>44740.465843217593</v>
      </c>
      <c r="K337" s="20">
        <v>0</v>
      </c>
      <c r="L337" s="17" t="str">
        <f t="shared" si="5"/>
        <v>https://captureandgo.cloudlab.zhaw.ch/uploads/image_830ddda15c.jpg</v>
      </c>
    </row>
    <row r="338" spans="1:12" ht="16" x14ac:dyDescent="0.2">
      <c r="A338" s="20" t="s">
        <v>5111</v>
      </c>
      <c r="B338" s="20" t="s">
        <v>5112</v>
      </c>
      <c r="C338" s="20" t="s">
        <v>3774</v>
      </c>
      <c r="D338" s="20" t="s">
        <v>5113</v>
      </c>
      <c r="E338" s="20" t="s">
        <v>5114</v>
      </c>
      <c r="F338" s="20" t="s">
        <v>980</v>
      </c>
      <c r="G338" s="20" t="s">
        <v>3777</v>
      </c>
      <c r="H338" s="20" t="s">
        <v>6</v>
      </c>
      <c r="I338" s="39">
        <v>44740.468458391202</v>
      </c>
      <c r="J338" s="39">
        <v>44740.468458437499</v>
      </c>
      <c r="K338" s="20">
        <v>0</v>
      </c>
      <c r="L338" s="17" t="str">
        <f t="shared" si="5"/>
        <v>https://captureandgo.cloudlab.zhaw.ch/uploads/image_971d1f2c83.jpg</v>
      </c>
    </row>
    <row r="339" spans="1:12" ht="16" x14ac:dyDescent="0.2">
      <c r="A339" s="20" t="s">
        <v>5115</v>
      </c>
      <c r="B339" s="20" t="s">
        <v>5116</v>
      </c>
      <c r="C339" s="20" t="s">
        <v>3774</v>
      </c>
      <c r="D339" s="20" t="s">
        <v>5117</v>
      </c>
      <c r="E339" s="20" t="s">
        <v>5118</v>
      </c>
      <c r="F339" s="20" t="s">
        <v>983</v>
      </c>
      <c r="G339" s="20" t="s">
        <v>3777</v>
      </c>
      <c r="H339" s="20" t="s">
        <v>6</v>
      </c>
      <c r="I339" s="39">
        <v>44740.473358136573</v>
      </c>
      <c r="J339" s="39">
        <v>44740.473358171294</v>
      </c>
      <c r="K339" s="20">
        <v>0</v>
      </c>
      <c r="L339" s="17" t="str">
        <f t="shared" si="5"/>
        <v>https://captureandgo.cloudlab.zhaw.ch/uploads/image_22f69bbd11.jpg</v>
      </c>
    </row>
    <row r="340" spans="1:12" ht="16" x14ac:dyDescent="0.2">
      <c r="A340" s="20" t="s">
        <v>5119</v>
      </c>
      <c r="B340" s="20" t="s">
        <v>5120</v>
      </c>
      <c r="C340" s="20" t="s">
        <v>3774</v>
      </c>
      <c r="D340" s="20" t="s">
        <v>5121</v>
      </c>
      <c r="E340" s="20" t="s">
        <v>5122</v>
      </c>
      <c r="F340" s="20" t="s">
        <v>986</v>
      </c>
      <c r="G340" s="20" t="s">
        <v>3777</v>
      </c>
      <c r="H340" s="20" t="s">
        <v>6</v>
      </c>
      <c r="I340" s="39">
        <v>44740.475242766202</v>
      </c>
      <c r="J340" s="39">
        <v>44740.475242800923</v>
      </c>
      <c r="K340" s="20">
        <v>0</v>
      </c>
      <c r="L340" s="17" t="str">
        <f t="shared" si="5"/>
        <v>https://captureandgo.cloudlab.zhaw.ch/uploads/image_6d0e7f8141.jpg</v>
      </c>
    </row>
    <row r="341" spans="1:12" ht="16" x14ac:dyDescent="0.2">
      <c r="A341" s="20" t="s">
        <v>5123</v>
      </c>
      <c r="B341" s="20" t="s">
        <v>5124</v>
      </c>
      <c r="C341" s="20" t="s">
        <v>3774</v>
      </c>
      <c r="D341" s="20" t="s">
        <v>5125</v>
      </c>
      <c r="E341" s="20" t="s">
        <v>5126</v>
      </c>
      <c r="F341" s="20" t="s">
        <v>989</v>
      </c>
      <c r="G341" s="20" t="s">
        <v>3777</v>
      </c>
      <c r="H341" s="20" t="s">
        <v>6</v>
      </c>
      <c r="I341" s="39">
        <v>44740.475748460645</v>
      </c>
      <c r="J341" s="39">
        <v>44740.475748495373</v>
      </c>
      <c r="K341" s="20">
        <v>0</v>
      </c>
      <c r="L341" s="17" t="str">
        <f t="shared" si="5"/>
        <v>https://captureandgo.cloudlab.zhaw.ch/uploads/image_26a79253f5.jpg</v>
      </c>
    </row>
    <row r="342" spans="1:12" ht="16" x14ac:dyDescent="0.2">
      <c r="A342" s="20" t="s">
        <v>5127</v>
      </c>
      <c r="B342" s="20" t="s">
        <v>5128</v>
      </c>
      <c r="C342" s="20" t="s">
        <v>3774</v>
      </c>
      <c r="D342" s="20" t="s">
        <v>5129</v>
      </c>
      <c r="E342" s="20" t="s">
        <v>5130</v>
      </c>
      <c r="F342" s="20" t="s">
        <v>992</v>
      </c>
      <c r="G342" s="20" t="s">
        <v>3777</v>
      </c>
      <c r="H342" s="20" t="s">
        <v>6</v>
      </c>
      <c r="I342" s="39">
        <v>44740.476824409721</v>
      </c>
      <c r="J342" s="39">
        <v>44740.476824432873</v>
      </c>
      <c r="K342" s="20">
        <v>0</v>
      </c>
      <c r="L342" s="17" t="str">
        <f t="shared" si="5"/>
        <v>https://captureandgo.cloudlab.zhaw.ch/uploads/image_015a214104.jpg</v>
      </c>
    </row>
    <row r="343" spans="1:12" ht="16" x14ac:dyDescent="0.2">
      <c r="A343" s="20" t="s">
        <v>5131</v>
      </c>
      <c r="B343" s="20" t="s">
        <v>5132</v>
      </c>
      <c r="C343" s="20" t="s">
        <v>3774</v>
      </c>
      <c r="D343" s="20" t="s">
        <v>5133</v>
      </c>
      <c r="E343" s="20" t="s">
        <v>5134</v>
      </c>
      <c r="F343" s="20" t="s">
        <v>995</v>
      </c>
      <c r="G343" s="20" t="s">
        <v>3777</v>
      </c>
      <c r="H343" s="20" t="s">
        <v>6</v>
      </c>
      <c r="I343" s="39">
        <v>44740.478332743056</v>
      </c>
      <c r="J343" s="39">
        <v>44740.478332777777</v>
      </c>
      <c r="K343" s="20">
        <v>0</v>
      </c>
      <c r="L343" s="17" t="str">
        <f t="shared" si="5"/>
        <v>https://captureandgo.cloudlab.zhaw.ch/uploads/image_f4e0b41811.jpg</v>
      </c>
    </row>
    <row r="344" spans="1:12" ht="16" x14ac:dyDescent="0.2">
      <c r="A344" s="20" t="s">
        <v>5135</v>
      </c>
      <c r="B344" s="20" t="s">
        <v>5136</v>
      </c>
      <c r="C344" s="20" t="s">
        <v>3774</v>
      </c>
      <c r="D344" s="20" t="s">
        <v>5137</v>
      </c>
      <c r="E344" s="20" t="s">
        <v>5138</v>
      </c>
      <c r="F344" s="20" t="s">
        <v>998</v>
      </c>
      <c r="G344" s="20" t="s">
        <v>3777</v>
      </c>
      <c r="H344" s="20" t="s">
        <v>6</v>
      </c>
      <c r="I344" s="39">
        <v>44740.479083530096</v>
      </c>
      <c r="J344" s="39">
        <v>44740.47908355324</v>
      </c>
      <c r="K344" s="20">
        <v>0</v>
      </c>
      <c r="L344" s="17" t="str">
        <f t="shared" si="5"/>
        <v>https://captureandgo.cloudlab.zhaw.ch/uploads/image_3fa76db336.jpg</v>
      </c>
    </row>
    <row r="345" spans="1:12" ht="16" x14ac:dyDescent="0.2">
      <c r="A345" s="20" t="s">
        <v>5139</v>
      </c>
      <c r="B345" s="20" t="s">
        <v>5140</v>
      </c>
      <c r="C345" s="20" t="s">
        <v>3774</v>
      </c>
      <c r="D345" s="20" t="s">
        <v>5141</v>
      </c>
      <c r="E345" s="20" t="s">
        <v>5142</v>
      </c>
      <c r="F345" s="20" t="s">
        <v>1001</v>
      </c>
      <c r="G345" s="20" t="s">
        <v>3777</v>
      </c>
      <c r="H345" s="20" t="s">
        <v>6</v>
      </c>
      <c r="I345" s="39">
        <v>44740.481726689817</v>
      </c>
      <c r="J345" s="39">
        <v>44740.481726724538</v>
      </c>
      <c r="K345" s="20">
        <v>0</v>
      </c>
      <c r="L345" s="17" t="str">
        <f t="shared" si="5"/>
        <v>https://captureandgo.cloudlab.zhaw.ch/uploads/image_1b18cc35c5.jpg</v>
      </c>
    </row>
    <row r="346" spans="1:12" ht="16" x14ac:dyDescent="0.2">
      <c r="A346" s="20" t="s">
        <v>5143</v>
      </c>
      <c r="B346" s="20" t="s">
        <v>5144</v>
      </c>
      <c r="C346" s="20" t="s">
        <v>3774</v>
      </c>
      <c r="D346" s="20" t="s">
        <v>5145</v>
      </c>
      <c r="E346" s="20" t="s">
        <v>5146</v>
      </c>
      <c r="F346" s="20" t="s">
        <v>1005</v>
      </c>
      <c r="G346" s="20" t="s">
        <v>3777</v>
      </c>
      <c r="H346" s="20" t="s">
        <v>6</v>
      </c>
      <c r="I346" s="39">
        <v>44740.483309490737</v>
      </c>
      <c r="J346" s="39">
        <v>44740.483309513889</v>
      </c>
      <c r="K346" s="20">
        <v>0</v>
      </c>
      <c r="L346" s="17" t="str">
        <f t="shared" si="5"/>
        <v>https://captureandgo.cloudlab.zhaw.ch/uploads/image_6dc3b54e2a.jpg</v>
      </c>
    </row>
    <row r="347" spans="1:12" ht="16" x14ac:dyDescent="0.2">
      <c r="A347" s="20" t="s">
        <v>5147</v>
      </c>
      <c r="B347" s="20" t="s">
        <v>5148</v>
      </c>
      <c r="C347" s="20" t="s">
        <v>3774</v>
      </c>
      <c r="D347" s="20" t="s">
        <v>5149</v>
      </c>
      <c r="E347" s="20" t="s">
        <v>5150</v>
      </c>
      <c r="F347" s="20" t="s">
        <v>1009</v>
      </c>
      <c r="G347" s="20" t="s">
        <v>3777</v>
      </c>
      <c r="H347" s="20" t="s">
        <v>6</v>
      </c>
      <c r="I347" s="39">
        <v>44740.484978009263</v>
      </c>
      <c r="J347" s="39">
        <v>44740.484978032408</v>
      </c>
      <c r="K347" s="20">
        <v>0</v>
      </c>
      <c r="L347" s="17" t="str">
        <f t="shared" si="5"/>
        <v>https://captureandgo.cloudlab.zhaw.ch/uploads/image_549546d795.jpg</v>
      </c>
    </row>
    <row r="348" spans="1:12" ht="16" x14ac:dyDescent="0.2">
      <c r="A348" s="20" t="s">
        <v>5151</v>
      </c>
      <c r="B348" s="20" t="s">
        <v>5152</v>
      </c>
      <c r="C348" s="20" t="s">
        <v>3774</v>
      </c>
      <c r="D348" s="20" t="s">
        <v>5153</v>
      </c>
      <c r="E348" s="20" t="s">
        <v>5154</v>
      </c>
      <c r="F348" s="20" t="s">
        <v>1013</v>
      </c>
      <c r="G348" s="20" t="s">
        <v>3777</v>
      </c>
      <c r="H348" s="20" t="s">
        <v>6</v>
      </c>
      <c r="I348" s="39">
        <v>44740.485917268517</v>
      </c>
      <c r="J348" s="39">
        <v>44740.485917303238</v>
      </c>
      <c r="K348" s="20">
        <v>0</v>
      </c>
      <c r="L348" s="17" t="str">
        <f t="shared" si="5"/>
        <v>https://captureandgo.cloudlab.zhaw.ch/uploads/image_8ba9a4c5d6.jpg</v>
      </c>
    </row>
    <row r="349" spans="1:12" ht="16" x14ac:dyDescent="0.2">
      <c r="A349" s="20" t="s">
        <v>5155</v>
      </c>
      <c r="B349" s="20" t="s">
        <v>5156</v>
      </c>
      <c r="C349" s="20" t="s">
        <v>3774</v>
      </c>
      <c r="D349" s="20" t="s">
        <v>5157</v>
      </c>
      <c r="E349" s="20" t="s">
        <v>5158</v>
      </c>
      <c r="F349" s="20" t="s">
        <v>1017</v>
      </c>
      <c r="G349" s="20" t="s">
        <v>3777</v>
      </c>
      <c r="H349" s="20" t="s">
        <v>6</v>
      </c>
      <c r="I349" s="39">
        <v>44740.49024486111</v>
      </c>
      <c r="J349" s="39">
        <v>44740.490244895831</v>
      </c>
      <c r="K349" s="20">
        <v>0</v>
      </c>
      <c r="L349" s="17" t="str">
        <f t="shared" si="5"/>
        <v>https://captureandgo.cloudlab.zhaw.ch/uploads/image_46c9119e54.jpg</v>
      </c>
    </row>
    <row r="350" spans="1:12" ht="16" x14ac:dyDescent="0.2">
      <c r="A350" s="20" t="s">
        <v>5159</v>
      </c>
      <c r="B350" s="20" t="s">
        <v>5160</v>
      </c>
      <c r="C350" s="20" t="s">
        <v>3774</v>
      </c>
      <c r="D350" s="20" t="s">
        <v>5161</v>
      </c>
      <c r="E350" s="20" t="s">
        <v>5162</v>
      </c>
      <c r="F350" s="20" t="s">
        <v>1024</v>
      </c>
      <c r="G350" s="20" t="s">
        <v>3777</v>
      </c>
      <c r="H350" s="20" t="s">
        <v>6</v>
      </c>
      <c r="I350" s="39">
        <v>44740.493169849535</v>
      </c>
      <c r="J350" s="39">
        <v>44740.493169884256</v>
      </c>
      <c r="K350" s="20">
        <v>0</v>
      </c>
      <c r="L350" s="17" t="str">
        <f t="shared" si="5"/>
        <v>https://captureandgo.cloudlab.zhaw.ch/uploads/image_cb69f37a0c.jpg</v>
      </c>
    </row>
    <row r="351" spans="1:12" ht="16" x14ac:dyDescent="0.2">
      <c r="A351" s="20" t="s">
        <v>5163</v>
      </c>
      <c r="B351" s="20" t="s">
        <v>5164</v>
      </c>
      <c r="C351" s="20" t="s">
        <v>3774</v>
      </c>
      <c r="D351" s="20" t="s">
        <v>5165</v>
      </c>
      <c r="E351" s="20" t="s">
        <v>5166</v>
      </c>
      <c r="F351" s="20" t="s">
        <v>1028</v>
      </c>
      <c r="G351" s="20" t="s">
        <v>3777</v>
      </c>
      <c r="H351" s="20" t="s">
        <v>6</v>
      </c>
      <c r="I351" s="39">
        <v>44740.494482418981</v>
      </c>
      <c r="J351" s="39">
        <v>44740.494482476854</v>
      </c>
      <c r="K351" s="20">
        <v>0</v>
      </c>
      <c r="L351" s="17" t="str">
        <f t="shared" si="5"/>
        <v>https://captureandgo.cloudlab.zhaw.ch/uploads/image_460bcbd9ec.jpg</v>
      </c>
    </row>
    <row r="352" spans="1:12" ht="16" x14ac:dyDescent="0.2">
      <c r="A352" s="20" t="s">
        <v>5167</v>
      </c>
      <c r="B352" s="20" t="s">
        <v>5168</v>
      </c>
      <c r="C352" s="20" t="s">
        <v>3774</v>
      </c>
      <c r="D352" s="20" t="s">
        <v>5169</v>
      </c>
      <c r="E352" s="20" t="s">
        <v>5170</v>
      </c>
      <c r="F352" s="20" t="s">
        <v>1032</v>
      </c>
      <c r="G352" s="20" t="s">
        <v>3777</v>
      </c>
      <c r="H352" s="20" t="s">
        <v>6</v>
      </c>
      <c r="I352" s="39">
        <v>44740.495027430552</v>
      </c>
      <c r="J352" s="39">
        <v>44740.49502746528</v>
      </c>
      <c r="K352" s="20">
        <v>0</v>
      </c>
      <c r="L352" s="17" t="str">
        <f t="shared" si="5"/>
        <v>https://captureandgo.cloudlab.zhaw.ch/uploads/image_42ecb79fc1.jpg</v>
      </c>
    </row>
    <row r="353" spans="1:12" ht="16" x14ac:dyDescent="0.2">
      <c r="A353" s="20" t="s">
        <v>5171</v>
      </c>
      <c r="B353" s="20" t="s">
        <v>5172</v>
      </c>
      <c r="C353" s="20" t="s">
        <v>3774</v>
      </c>
      <c r="D353" s="20" t="s">
        <v>5173</v>
      </c>
      <c r="E353" s="20" t="s">
        <v>5174</v>
      </c>
      <c r="F353" s="20" t="s">
        <v>1032</v>
      </c>
      <c r="G353" s="20" t="s">
        <v>3777</v>
      </c>
      <c r="H353" s="20" t="s">
        <v>6</v>
      </c>
      <c r="I353" s="39">
        <v>44740.495109432872</v>
      </c>
      <c r="J353" s="39">
        <v>44740.495109456017</v>
      </c>
      <c r="K353" s="20">
        <v>0</v>
      </c>
      <c r="L353" s="17" t="str">
        <f t="shared" si="5"/>
        <v>https://captureandgo.cloudlab.zhaw.ch/uploads/image_f5a2d3fc85.jpg</v>
      </c>
    </row>
    <row r="354" spans="1:12" ht="16" x14ac:dyDescent="0.2">
      <c r="A354" s="20" t="s">
        <v>5175</v>
      </c>
      <c r="B354" s="20" t="s">
        <v>5176</v>
      </c>
      <c r="C354" s="20" t="s">
        <v>3774</v>
      </c>
      <c r="D354" s="20" t="s">
        <v>5177</v>
      </c>
      <c r="E354" s="20" t="s">
        <v>5178</v>
      </c>
      <c r="F354" s="20" t="s">
        <v>1032</v>
      </c>
      <c r="G354" s="20" t="s">
        <v>3777</v>
      </c>
      <c r="H354" s="20" t="s">
        <v>6</v>
      </c>
      <c r="I354" s="39">
        <v>44740.495177060184</v>
      </c>
      <c r="J354" s="39">
        <v>44740.495177083336</v>
      </c>
      <c r="K354" s="20">
        <v>0</v>
      </c>
      <c r="L354" s="17" t="str">
        <f t="shared" si="5"/>
        <v>https://captureandgo.cloudlab.zhaw.ch/uploads/image_751b74b89a.jpg</v>
      </c>
    </row>
    <row r="355" spans="1:12" ht="16" x14ac:dyDescent="0.2">
      <c r="A355" s="20" t="s">
        <v>5179</v>
      </c>
      <c r="B355" s="20" t="s">
        <v>5180</v>
      </c>
      <c r="C355" s="20" t="s">
        <v>3774</v>
      </c>
      <c r="D355" s="20" t="s">
        <v>5181</v>
      </c>
      <c r="E355" s="20" t="s">
        <v>5182</v>
      </c>
      <c r="F355" s="20" t="s">
        <v>1035</v>
      </c>
      <c r="G355" s="20" t="s">
        <v>3777</v>
      </c>
      <c r="H355" s="20" t="s">
        <v>6</v>
      </c>
      <c r="I355" s="39">
        <v>44740.496924583334</v>
      </c>
      <c r="J355" s="39">
        <v>44740.496924618055</v>
      </c>
      <c r="K355" s="20">
        <v>0</v>
      </c>
      <c r="L355" s="17" t="str">
        <f t="shared" si="5"/>
        <v>https://captureandgo.cloudlab.zhaw.ch/uploads/image_f6bc9d3b7f.jpg</v>
      </c>
    </row>
    <row r="356" spans="1:12" ht="16" x14ac:dyDescent="0.2">
      <c r="A356" s="20" t="s">
        <v>5183</v>
      </c>
      <c r="B356" s="20" t="s">
        <v>5184</v>
      </c>
      <c r="C356" s="20" t="s">
        <v>3774</v>
      </c>
      <c r="D356" s="20" t="s">
        <v>5185</v>
      </c>
      <c r="E356" s="20" t="s">
        <v>5186</v>
      </c>
      <c r="F356" s="20" t="s">
        <v>1035</v>
      </c>
      <c r="G356" s="20" t="s">
        <v>3777</v>
      </c>
      <c r="H356" s="20" t="s">
        <v>6</v>
      </c>
      <c r="I356" s="39">
        <v>44740.497007789352</v>
      </c>
      <c r="J356" s="39">
        <v>44740.497007824073</v>
      </c>
      <c r="K356" s="20">
        <v>0</v>
      </c>
      <c r="L356" s="17" t="str">
        <f t="shared" si="5"/>
        <v>https://captureandgo.cloudlab.zhaw.ch/uploads/image_db7da66d48.jpg</v>
      </c>
    </row>
    <row r="357" spans="1:12" ht="16" x14ac:dyDescent="0.2">
      <c r="A357" s="20" t="s">
        <v>5187</v>
      </c>
      <c r="B357" s="20" t="s">
        <v>5188</v>
      </c>
      <c r="C357" s="20" t="s">
        <v>3774</v>
      </c>
      <c r="D357" s="20" t="s">
        <v>5189</v>
      </c>
      <c r="E357" s="20" t="s">
        <v>5190</v>
      </c>
      <c r="F357" s="20" t="s">
        <v>1035</v>
      </c>
      <c r="G357" s="20" t="s">
        <v>3777</v>
      </c>
      <c r="H357" s="20" t="s">
        <v>6</v>
      </c>
      <c r="I357" s="39">
        <v>44740.497070497688</v>
      </c>
      <c r="J357" s="39">
        <v>44740.497070532409</v>
      </c>
      <c r="K357" s="20">
        <v>0</v>
      </c>
      <c r="L357" s="17" t="str">
        <f t="shared" si="5"/>
        <v>https://captureandgo.cloudlab.zhaw.ch/uploads/image_0cea7b2fea.jpg</v>
      </c>
    </row>
    <row r="358" spans="1:12" ht="16" x14ac:dyDescent="0.2">
      <c r="A358" s="20" t="s">
        <v>5191</v>
      </c>
      <c r="B358" s="20" t="s">
        <v>5192</v>
      </c>
      <c r="C358" s="20" t="s">
        <v>3774</v>
      </c>
      <c r="D358" s="20" t="s">
        <v>5193</v>
      </c>
      <c r="E358" s="20" t="s">
        <v>5194</v>
      </c>
      <c r="F358" s="20" t="s">
        <v>1035</v>
      </c>
      <c r="G358" s="20" t="s">
        <v>3777</v>
      </c>
      <c r="H358" s="20" t="s">
        <v>6</v>
      </c>
      <c r="I358" s="39">
        <v>44740.497503425926</v>
      </c>
      <c r="J358" s="39">
        <v>44740.497503483799</v>
      </c>
      <c r="K358" s="20">
        <v>0</v>
      </c>
      <c r="L358" s="17" t="str">
        <f t="shared" si="5"/>
        <v>https://captureandgo.cloudlab.zhaw.ch/uploads/image_f1a5582920.jpg</v>
      </c>
    </row>
    <row r="359" spans="1:12" ht="16" x14ac:dyDescent="0.2">
      <c r="A359" s="20" t="s">
        <v>5195</v>
      </c>
      <c r="B359" s="20" t="s">
        <v>5196</v>
      </c>
      <c r="C359" s="20" t="s">
        <v>3774</v>
      </c>
      <c r="D359" s="20" t="s">
        <v>5197</v>
      </c>
      <c r="E359" s="20" t="s">
        <v>5198</v>
      </c>
      <c r="F359" s="20" t="s">
        <v>1035</v>
      </c>
      <c r="G359" s="20" t="s">
        <v>3777</v>
      </c>
      <c r="H359" s="20" t="s">
        <v>6</v>
      </c>
      <c r="I359" s="39">
        <v>44740.497503599538</v>
      </c>
      <c r="J359" s="39">
        <v>44740.497503622682</v>
      </c>
      <c r="K359" s="20">
        <v>0</v>
      </c>
      <c r="L359" s="17" t="str">
        <f t="shared" si="5"/>
        <v>https://captureandgo.cloudlab.zhaw.ch/uploads/image_a36e6ef0bb.jpg</v>
      </c>
    </row>
    <row r="360" spans="1:12" ht="16" x14ac:dyDescent="0.2">
      <c r="A360" s="20" t="s">
        <v>5199</v>
      </c>
      <c r="B360" s="20" t="s">
        <v>5200</v>
      </c>
      <c r="C360" s="20" t="s">
        <v>3774</v>
      </c>
      <c r="D360" s="20" t="s">
        <v>5201</v>
      </c>
      <c r="E360" s="20" t="s">
        <v>5202</v>
      </c>
      <c r="F360" s="20" t="s">
        <v>1039</v>
      </c>
      <c r="G360" s="20" t="s">
        <v>3777</v>
      </c>
      <c r="H360" s="20" t="s">
        <v>6</v>
      </c>
      <c r="I360" s="39">
        <v>44740.49862017361</v>
      </c>
      <c r="J360" s="39">
        <v>44740.498620196762</v>
      </c>
      <c r="K360" s="20">
        <v>0</v>
      </c>
      <c r="L360" s="17" t="str">
        <f t="shared" si="5"/>
        <v>https://captureandgo.cloudlab.zhaw.ch/uploads/image_d3c00c8a50.jpg</v>
      </c>
    </row>
    <row r="361" spans="1:12" ht="16" x14ac:dyDescent="0.2">
      <c r="A361" s="20" t="s">
        <v>5203</v>
      </c>
      <c r="B361" s="20" t="s">
        <v>5204</v>
      </c>
      <c r="C361" s="20" t="s">
        <v>3774</v>
      </c>
      <c r="D361" s="20" t="s">
        <v>5205</v>
      </c>
      <c r="E361" s="20" t="s">
        <v>5206</v>
      </c>
      <c r="F361" s="20" t="s">
        <v>1046</v>
      </c>
      <c r="G361" s="20" t="s">
        <v>3777</v>
      </c>
      <c r="H361" s="20" t="s">
        <v>6</v>
      </c>
      <c r="I361" s="39">
        <v>44740.502938958336</v>
      </c>
      <c r="J361" s="39">
        <v>44740.502938993057</v>
      </c>
      <c r="K361" s="20">
        <v>0</v>
      </c>
      <c r="L361" s="17" t="str">
        <f t="shared" si="5"/>
        <v>https://captureandgo.cloudlab.zhaw.ch/uploads/image_e147ef8623.jpg</v>
      </c>
    </row>
    <row r="362" spans="1:12" ht="16" x14ac:dyDescent="0.2">
      <c r="A362" s="20" t="s">
        <v>5207</v>
      </c>
      <c r="B362" s="20" t="s">
        <v>5208</v>
      </c>
      <c r="C362" s="20" t="s">
        <v>3774</v>
      </c>
      <c r="D362" s="20" t="s">
        <v>5209</v>
      </c>
      <c r="E362" s="20" t="s">
        <v>5210</v>
      </c>
      <c r="F362" s="20" t="s">
        <v>1049</v>
      </c>
      <c r="G362" s="20" t="s">
        <v>3777</v>
      </c>
      <c r="H362" s="20" t="s">
        <v>6</v>
      </c>
      <c r="I362" s="39">
        <v>44740.504487013888</v>
      </c>
      <c r="J362" s="39">
        <v>44740.504487048609</v>
      </c>
      <c r="K362" s="20">
        <v>0</v>
      </c>
      <c r="L362" s="17" t="str">
        <f t="shared" si="5"/>
        <v>https://captureandgo.cloudlab.zhaw.ch/uploads/image_e541d242a9.jpg</v>
      </c>
    </row>
    <row r="363" spans="1:12" ht="16" x14ac:dyDescent="0.2">
      <c r="A363" s="20" t="s">
        <v>5211</v>
      </c>
      <c r="B363" s="20" t="s">
        <v>5212</v>
      </c>
      <c r="C363" s="20" t="s">
        <v>3774</v>
      </c>
      <c r="D363" s="20" t="s">
        <v>5213</v>
      </c>
      <c r="E363" s="20" t="s">
        <v>5214</v>
      </c>
      <c r="F363" s="20" t="s">
        <v>1052</v>
      </c>
      <c r="G363" s="20" t="s">
        <v>3777</v>
      </c>
      <c r="H363" s="20" t="s">
        <v>6</v>
      </c>
      <c r="I363" s="39">
        <v>44740.506838148147</v>
      </c>
      <c r="J363" s="39">
        <v>44740.506838182868</v>
      </c>
      <c r="K363" s="20">
        <v>0</v>
      </c>
      <c r="L363" s="17" t="str">
        <f t="shared" si="5"/>
        <v>https://captureandgo.cloudlab.zhaw.ch/uploads/image_85823291b4.jpg</v>
      </c>
    </row>
    <row r="364" spans="1:12" ht="16" x14ac:dyDescent="0.2">
      <c r="A364" s="20" t="s">
        <v>5215</v>
      </c>
      <c r="B364" s="20" t="s">
        <v>5216</v>
      </c>
      <c r="C364" s="20" t="s">
        <v>3774</v>
      </c>
      <c r="D364" s="20" t="s">
        <v>5217</v>
      </c>
      <c r="E364" s="20" t="s">
        <v>5218</v>
      </c>
      <c r="F364" s="20" t="s">
        <v>1055</v>
      </c>
      <c r="G364" s="20" t="s">
        <v>3777</v>
      </c>
      <c r="H364" s="20" t="s">
        <v>6</v>
      </c>
      <c r="I364" s="39">
        <v>44740.507135717591</v>
      </c>
      <c r="J364" s="39">
        <v>44740.507135752312</v>
      </c>
      <c r="K364" s="20">
        <v>0</v>
      </c>
      <c r="L364" s="17" t="str">
        <f t="shared" si="5"/>
        <v>https://captureandgo.cloudlab.zhaw.ch/uploads/image_60285acb51.jpg</v>
      </c>
    </row>
    <row r="365" spans="1:12" ht="16" x14ac:dyDescent="0.2">
      <c r="A365" s="20" t="s">
        <v>5219</v>
      </c>
      <c r="B365" s="20" t="s">
        <v>5220</v>
      </c>
      <c r="C365" s="20" t="s">
        <v>3774</v>
      </c>
      <c r="D365" s="20" t="s">
        <v>5221</v>
      </c>
      <c r="E365" s="20" t="s">
        <v>5222</v>
      </c>
      <c r="F365" s="20" t="s">
        <v>1058</v>
      </c>
      <c r="G365" s="20" t="s">
        <v>3777</v>
      </c>
      <c r="H365" s="20" t="s">
        <v>6</v>
      </c>
      <c r="I365" s="39">
        <v>44740.509091597225</v>
      </c>
      <c r="J365" s="39">
        <v>44740.509091631946</v>
      </c>
      <c r="K365" s="20">
        <v>0</v>
      </c>
      <c r="L365" s="17" t="str">
        <f t="shared" si="5"/>
        <v>https://captureandgo.cloudlab.zhaw.ch/uploads/image_3aa89dbf0b.jpg</v>
      </c>
    </row>
    <row r="366" spans="1:12" ht="16" x14ac:dyDescent="0.2">
      <c r="A366" s="20" t="s">
        <v>5223</v>
      </c>
      <c r="B366" s="20" t="s">
        <v>5224</v>
      </c>
      <c r="C366" s="20" t="s">
        <v>3774</v>
      </c>
      <c r="D366" s="20" t="s">
        <v>5225</v>
      </c>
      <c r="E366" s="20" t="s">
        <v>5226</v>
      </c>
      <c r="F366" s="20" t="s">
        <v>1061</v>
      </c>
      <c r="G366" s="20" t="s">
        <v>3777</v>
      </c>
      <c r="H366" s="20" t="s">
        <v>6</v>
      </c>
      <c r="I366" s="39">
        <v>44740.509351875</v>
      </c>
      <c r="J366" s="39">
        <v>44740.509351909721</v>
      </c>
      <c r="K366" s="20">
        <v>0</v>
      </c>
      <c r="L366" s="17" t="str">
        <f t="shared" si="5"/>
        <v>https://captureandgo.cloudlab.zhaw.ch/uploads/image_92b55aba34.jpg</v>
      </c>
    </row>
    <row r="367" spans="1:12" ht="16" x14ac:dyDescent="0.2">
      <c r="A367" s="20" t="s">
        <v>5227</v>
      </c>
      <c r="B367" s="20" t="s">
        <v>5228</v>
      </c>
      <c r="C367" s="20" t="s">
        <v>3774</v>
      </c>
      <c r="D367" s="20" t="s">
        <v>5229</v>
      </c>
      <c r="E367" s="20" t="s">
        <v>5230</v>
      </c>
      <c r="F367" s="20" t="s">
        <v>1064</v>
      </c>
      <c r="G367" s="20" t="s">
        <v>3777</v>
      </c>
      <c r="H367" s="20" t="s">
        <v>6</v>
      </c>
      <c r="I367" s="39">
        <v>44740.510942719906</v>
      </c>
      <c r="J367" s="39">
        <v>44740.510942754627</v>
      </c>
      <c r="K367" s="20">
        <v>0</v>
      </c>
      <c r="L367" s="17" t="str">
        <f t="shared" si="5"/>
        <v>https://captureandgo.cloudlab.zhaw.ch/uploads/image_45161042d5.jpg</v>
      </c>
    </row>
    <row r="368" spans="1:12" ht="16" x14ac:dyDescent="0.2">
      <c r="A368" s="20" t="s">
        <v>5231</v>
      </c>
      <c r="B368" s="20" t="s">
        <v>5232</v>
      </c>
      <c r="C368" s="20" t="s">
        <v>3774</v>
      </c>
      <c r="D368" s="20" t="s">
        <v>5233</v>
      </c>
      <c r="E368" s="20" t="s">
        <v>5234</v>
      </c>
      <c r="F368" s="20" t="s">
        <v>1067</v>
      </c>
      <c r="G368" s="20" t="s">
        <v>3777</v>
      </c>
      <c r="H368" s="20" t="s">
        <v>6</v>
      </c>
      <c r="I368" s="39">
        <v>44740.511229976852</v>
      </c>
      <c r="J368" s="39">
        <v>44740.511230011572</v>
      </c>
      <c r="K368" s="20">
        <v>0</v>
      </c>
      <c r="L368" s="17" t="str">
        <f t="shared" si="5"/>
        <v>https://captureandgo.cloudlab.zhaw.ch/uploads/image_cd3f6295ca.jpg</v>
      </c>
    </row>
    <row r="369" spans="1:12" ht="16" x14ac:dyDescent="0.2">
      <c r="A369" s="20" t="s">
        <v>5235</v>
      </c>
      <c r="B369" s="20" t="s">
        <v>5236</v>
      </c>
      <c r="C369" s="20" t="s">
        <v>3774</v>
      </c>
      <c r="D369" s="20" t="s">
        <v>5237</v>
      </c>
      <c r="E369" s="20" t="s">
        <v>5238</v>
      </c>
      <c r="F369" s="20" t="s">
        <v>1069</v>
      </c>
      <c r="G369" s="20" t="s">
        <v>3777</v>
      </c>
      <c r="H369" s="20" t="s">
        <v>6</v>
      </c>
      <c r="I369" s="39">
        <v>44740.515329212962</v>
      </c>
      <c r="J369" s="39">
        <v>44740.515329236114</v>
      </c>
      <c r="K369" s="20">
        <v>0</v>
      </c>
      <c r="L369" s="17" t="str">
        <f t="shared" si="5"/>
        <v>https://captureandgo.cloudlab.zhaw.ch/uploads/image_eca5af93a5.jpg</v>
      </c>
    </row>
    <row r="370" spans="1:12" ht="16" x14ac:dyDescent="0.2">
      <c r="A370" s="20" t="s">
        <v>5239</v>
      </c>
      <c r="B370" s="20" t="s">
        <v>5240</v>
      </c>
      <c r="C370" s="20" t="s">
        <v>3774</v>
      </c>
      <c r="D370" s="20" t="s">
        <v>5241</v>
      </c>
      <c r="E370" s="20" t="s">
        <v>5242</v>
      </c>
      <c r="F370" s="20" t="s">
        <v>1072</v>
      </c>
      <c r="G370" s="20" t="s">
        <v>3777</v>
      </c>
      <c r="H370" s="20" t="s">
        <v>6</v>
      </c>
      <c r="I370" s="39">
        <v>44740.520006030092</v>
      </c>
      <c r="J370" s="39">
        <v>44740.520006064813</v>
      </c>
      <c r="K370" s="20">
        <v>0</v>
      </c>
      <c r="L370" s="17" t="str">
        <f t="shared" si="5"/>
        <v>https://captureandgo.cloudlab.zhaw.ch/uploads/image_0cbe3a9166.jpg</v>
      </c>
    </row>
    <row r="371" spans="1:12" ht="16" x14ac:dyDescent="0.2">
      <c r="A371" s="20" t="s">
        <v>5243</v>
      </c>
      <c r="B371" s="20" t="s">
        <v>5244</v>
      </c>
      <c r="C371" s="20" t="s">
        <v>3774</v>
      </c>
      <c r="D371" s="20" t="s">
        <v>5245</v>
      </c>
      <c r="E371" s="20" t="s">
        <v>5246</v>
      </c>
      <c r="F371" s="20" t="s">
        <v>1077</v>
      </c>
      <c r="G371" s="20" t="s">
        <v>3777</v>
      </c>
      <c r="H371" s="20" t="s">
        <v>6</v>
      </c>
      <c r="I371" s="39">
        <v>44740.521348321759</v>
      </c>
      <c r="J371" s="39">
        <v>44740.521348379632</v>
      </c>
      <c r="K371" s="20">
        <v>0</v>
      </c>
      <c r="L371" s="17" t="str">
        <f t="shared" si="5"/>
        <v>https://captureandgo.cloudlab.zhaw.ch/uploads/image_75e11c74a0.jpg</v>
      </c>
    </row>
    <row r="372" spans="1:12" ht="16" x14ac:dyDescent="0.2">
      <c r="A372" s="20" t="s">
        <v>5247</v>
      </c>
      <c r="B372" s="20" t="s">
        <v>5248</v>
      </c>
      <c r="C372" s="20" t="s">
        <v>3774</v>
      </c>
      <c r="D372" s="20" t="s">
        <v>5249</v>
      </c>
      <c r="E372" s="20" t="s">
        <v>5250</v>
      </c>
      <c r="F372" s="20" t="s">
        <v>1081</v>
      </c>
      <c r="G372" s="20" t="s">
        <v>3777</v>
      </c>
      <c r="H372" s="20" t="s">
        <v>6</v>
      </c>
      <c r="I372" s="39">
        <v>44740.525736203701</v>
      </c>
      <c r="J372" s="39">
        <v>44740.525736238429</v>
      </c>
      <c r="K372" s="20">
        <v>0</v>
      </c>
      <c r="L372" s="17" t="str">
        <f t="shared" si="5"/>
        <v>https://captureandgo.cloudlab.zhaw.ch/uploads/image_78b295f9aa.jpg</v>
      </c>
    </row>
    <row r="373" spans="1:12" ht="16" x14ac:dyDescent="0.2">
      <c r="A373" s="20" t="s">
        <v>5251</v>
      </c>
      <c r="B373" s="20" t="s">
        <v>5252</v>
      </c>
      <c r="C373" s="20" t="s">
        <v>3774</v>
      </c>
      <c r="D373" s="20" t="s">
        <v>5253</v>
      </c>
      <c r="E373" s="20" t="s">
        <v>5254</v>
      </c>
      <c r="F373" s="20" t="s">
        <v>1085</v>
      </c>
      <c r="G373" s="20" t="s">
        <v>3777</v>
      </c>
      <c r="H373" s="20" t="s">
        <v>6</v>
      </c>
      <c r="I373" s="39">
        <v>44740.528668090279</v>
      </c>
      <c r="J373" s="39">
        <v>44740.528668136576</v>
      </c>
      <c r="K373" s="20">
        <v>0</v>
      </c>
      <c r="L373" s="17" t="str">
        <f t="shared" si="5"/>
        <v>https://captureandgo.cloudlab.zhaw.ch/uploads/image_2d20b73a8e.jpg</v>
      </c>
    </row>
    <row r="374" spans="1:12" ht="16" x14ac:dyDescent="0.2">
      <c r="A374" s="20" t="s">
        <v>5255</v>
      </c>
      <c r="B374" s="20" t="s">
        <v>5256</v>
      </c>
      <c r="C374" s="20" t="s">
        <v>3774</v>
      </c>
      <c r="D374" s="20" t="s">
        <v>5257</v>
      </c>
      <c r="E374" s="20" t="s">
        <v>5258</v>
      </c>
      <c r="F374" s="20" t="s">
        <v>1088</v>
      </c>
      <c r="G374" s="20" t="s">
        <v>3777</v>
      </c>
      <c r="H374" s="20" t="s">
        <v>6</v>
      </c>
      <c r="I374" s="39">
        <v>44740.52903769676</v>
      </c>
      <c r="J374" s="39">
        <v>44740.529037731481</v>
      </c>
      <c r="K374" s="20">
        <v>0</v>
      </c>
      <c r="L374" s="17" t="str">
        <f t="shared" si="5"/>
        <v>https://captureandgo.cloudlab.zhaw.ch/uploads/image_1e9cfd9226.jpg</v>
      </c>
    </row>
    <row r="375" spans="1:12" ht="16" x14ac:dyDescent="0.2">
      <c r="A375" s="20" t="s">
        <v>5259</v>
      </c>
      <c r="B375" s="20" t="s">
        <v>5260</v>
      </c>
      <c r="C375" s="20" t="s">
        <v>3774</v>
      </c>
      <c r="D375" s="20" t="s">
        <v>5261</v>
      </c>
      <c r="E375" s="20" t="s">
        <v>5262</v>
      </c>
      <c r="F375" s="20" t="s">
        <v>1092</v>
      </c>
      <c r="G375" s="20" t="s">
        <v>3777</v>
      </c>
      <c r="H375" s="20" t="s">
        <v>6</v>
      </c>
      <c r="I375" s="39">
        <v>44740.53098452546</v>
      </c>
      <c r="J375" s="39">
        <v>44740.530984548612</v>
      </c>
      <c r="K375" s="20">
        <v>0</v>
      </c>
      <c r="L375" s="17" t="str">
        <f t="shared" si="5"/>
        <v>https://captureandgo.cloudlab.zhaw.ch/uploads/image_a3fce11983.jpg</v>
      </c>
    </row>
    <row r="376" spans="1:12" ht="16" x14ac:dyDescent="0.2">
      <c r="A376" s="20" t="s">
        <v>5263</v>
      </c>
      <c r="B376" s="20" t="s">
        <v>5264</v>
      </c>
      <c r="C376" s="20" t="s">
        <v>3774</v>
      </c>
      <c r="D376" s="20" t="s">
        <v>5265</v>
      </c>
      <c r="E376" s="20" t="s">
        <v>5266</v>
      </c>
      <c r="F376" s="20" t="s">
        <v>1096</v>
      </c>
      <c r="G376" s="20" t="s">
        <v>3777</v>
      </c>
      <c r="H376" s="20" t="s">
        <v>6</v>
      </c>
      <c r="I376" s="39">
        <v>44740.531755324075</v>
      </c>
      <c r="J376" s="39">
        <v>44740.53175534722</v>
      </c>
      <c r="K376" s="20">
        <v>0</v>
      </c>
      <c r="L376" s="17" t="str">
        <f t="shared" si="5"/>
        <v>https://captureandgo.cloudlab.zhaw.ch/uploads/image_77a8a27626.jpg</v>
      </c>
    </row>
    <row r="377" spans="1:12" ht="16" x14ac:dyDescent="0.2">
      <c r="A377" s="20" t="s">
        <v>5267</v>
      </c>
      <c r="B377" s="20" t="s">
        <v>5268</v>
      </c>
      <c r="C377" s="20" t="s">
        <v>3774</v>
      </c>
      <c r="D377" s="20" t="s">
        <v>5269</v>
      </c>
      <c r="E377" s="20" t="s">
        <v>5270</v>
      </c>
      <c r="F377" s="20" t="s">
        <v>1100</v>
      </c>
      <c r="G377" s="20" t="s">
        <v>3777</v>
      </c>
      <c r="H377" s="20" t="s">
        <v>6</v>
      </c>
      <c r="I377" s="39">
        <v>44740.5338800463</v>
      </c>
      <c r="J377" s="39">
        <v>44740.53388008102</v>
      </c>
      <c r="K377" s="20">
        <v>0</v>
      </c>
      <c r="L377" s="17" t="str">
        <f t="shared" si="5"/>
        <v>https://captureandgo.cloudlab.zhaw.ch/uploads/image_16b9fe979c.jpg</v>
      </c>
    </row>
    <row r="378" spans="1:12" ht="16" x14ac:dyDescent="0.2">
      <c r="A378" s="20" t="s">
        <v>5271</v>
      </c>
      <c r="B378" s="20" t="s">
        <v>5272</v>
      </c>
      <c r="C378" s="20" t="s">
        <v>3774</v>
      </c>
      <c r="D378" s="20" t="s">
        <v>5273</v>
      </c>
      <c r="E378" s="20" t="s">
        <v>5274</v>
      </c>
      <c r="F378" s="20" t="s">
        <v>1103</v>
      </c>
      <c r="G378" s="20" t="s">
        <v>3777</v>
      </c>
      <c r="H378" s="20" t="s">
        <v>6</v>
      </c>
      <c r="I378" s="39">
        <v>44740.536216134256</v>
      </c>
      <c r="J378" s="39">
        <v>44740.536216157408</v>
      </c>
      <c r="K378" s="20">
        <v>0</v>
      </c>
      <c r="L378" s="17" t="str">
        <f t="shared" si="5"/>
        <v>https://captureandgo.cloudlab.zhaw.ch/uploads/image_96feb448aa.jpg</v>
      </c>
    </row>
    <row r="379" spans="1:12" ht="16" x14ac:dyDescent="0.2">
      <c r="A379" s="20" t="s">
        <v>5275</v>
      </c>
      <c r="B379" s="20" t="s">
        <v>5276</v>
      </c>
      <c r="C379" s="20" t="s">
        <v>3774</v>
      </c>
      <c r="D379" s="20" t="s">
        <v>5277</v>
      </c>
      <c r="E379" s="20" t="s">
        <v>5278</v>
      </c>
      <c r="F379" s="20" t="s">
        <v>1107</v>
      </c>
      <c r="G379" s="20" t="s">
        <v>3777</v>
      </c>
      <c r="H379" s="20" t="s">
        <v>6</v>
      </c>
      <c r="I379" s="39">
        <v>44740.538031793978</v>
      </c>
      <c r="J379" s="39">
        <v>44740.538031828706</v>
      </c>
      <c r="K379" s="20">
        <v>0</v>
      </c>
      <c r="L379" s="17" t="str">
        <f t="shared" si="5"/>
        <v>https://captureandgo.cloudlab.zhaw.ch/uploads/image_6225035019.jpg</v>
      </c>
    </row>
    <row r="380" spans="1:12" ht="16" x14ac:dyDescent="0.2">
      <c r="A380" s="20" t="s">
        <v>5279</v>
      </c>
      <c r="B380" s="20" t="s">
        <v>5280</v>
      </c>
      <c r="C380" s="20" t="s">
        <v>3774</v>
      </c>
      <c r="D380" s="20" t="s">
        <v>5281</v>
      </c>
      <c r="E380" s="20" t="s">
        <v>5282</v>
      </c>
      <c r="F380" s="20" t="s">
        <v>1111</v>
      </c>
      <c r="G380" s="20" t="s">
        <v>3777</v>
      </c>
      <c r="H380" s="20" t="s">
        <v>6</v>
      </c>
      <c r="I380" s="39">
        <v>44740.538451307868</v>
      </c>
      <c r="J380" s="39">
        <v>44740.538451342596</v>
      </c>
      <c r="K380" s="20">
        <v>0</v>
      </c>
      <c r="L380" s="17" t="str">
        <f t="shared" si="5"/>
        <v>https://captureandgo.cloudlab.zhaw.ch/uploads/image_e3bbfdd26f.jpg</v>
      </c>
    </row>
    <row r="381" spans="1:12" ht="16" x14ac:dyDescent="0.2">
      <c r="A381" s="20" t="s">
        <v>5283</v>
      </c>
      <c r="B381" s="20" t="s">
        <v>5284</v>
      </c>
      <c r="C381" s="20" t="s">
        <v>3774</v>
      </c>
      <c r="D381" s="20" t="s">
        <v>5285</v>
      </c>
      <c r="E381" s="20" t="s">
        <v>5286</v>
      </c>
      <c r="F381" s="20" t="s">
        <v>1114</v>
      </c>
      <c r="G381" s="20" t="s">
        <v>3777</v>
      </c>
      <c r="H381" s="20" t="s">
        <v>6</v>
      </c>
      <c r="I381" s="39">
        <v>44743.592933020831</v>
      </c>
      <c r="J381" s="39">
        <v>44743.592933067128</v>
      </c>
      <c r="K381" s="20">
        <v>0</v>
      </c>
      <c r="L381" s="17" t="str">
        <f t="shared" si="5"/>
        <v>https://captureandgo.cloudlab.zhaw.ch/uploads/image_22c8cefe5b.jpg</v>
      </c>
    </row>
    <row r="382" spans="1:12" ht="16" x14ac:dyDescent="0.2">
      <c r="A382" s="20" t="s">
        <v>5287</v>
      </c>
      <c r="B382" s="20" t="s">
        <v>5288</v>
      </c>
      <c r="C382" s="20" t="s">
        <v>3774</v>
      </c>
      <c r="D382" s="20" t="s">
        <v>5289</v>
      </c>
      <c r="E382" s="20" t="s">
        <v>5290</v>
      </c>
      <c r="F382" s="20" t="s">
        <v>1118</v>
      </c>
      <c r="G382" s="20" t="s">
        <v>3777</v>
      </c>
      <c r="H382" s="20" t="s">
        <v>6</v>
      </c>
      <c r="I382" s="39">
        <v>44743.594496215279</v>
      </c>
      <c r="J382" s="39">
        <v>44743.59449625</v>
      </c>
      <c r="K382" s="20">
        <v>0</v>
      </c>
      <c r="L382" s="17" t="str">
        <f t="shared" si="5"/>
        <v>https://captureandgo.cloudlab.zhaw.ch/uploads/image_60aa5133ad.jpg</v>
      </c>
    </row>
    <row r="383" spans="1:12" ht="16" x14ac:dyDescent="0.2">
      <c r="A383" s="20" t="s">
        <v>5291</v>
      </c>
      <c r="B383" s="20" t="s">
        <v>5292</v>
      </c>
      <c r="C383" s="20" t="s">
        <v>3774</v>
      </c>
      <c r="D383" s="20" t="s">
        <v>5293</v>
      </c>
      <c r="E383" s="20" t="s">
        <v>5294</v>
      </c>
      <c r="F383" s="20" t="s">
        <v>1121</v>
      </c>
      <c r="G383" s="20" t="s">
        <v>3777</v>
      </c>
      <c r="H383" s="20" t="s">
        <v>6</v>
      </c>
      <c r="I383" s="39">
        <v>44743.596339548611</v>
      </c>
      <c r="J383" s="39">
        <v>44743.596339594907</v>
      </c>
      <c r="K383" s="20">
        <v>0</v>
      </c>
      <c r="L383" s="17" t="str">
        <f t="shared" si="5"/>
        <v>https://captureandgo.cloudlab.zhaw.ch/uploads/image_29cacd0eb5.jpg</v>
      </c>
    </row>
    <row r="384" spans="1:12" ht="16" x14ac:dyDescent="0.2">
      <c r="A384" s="20" t="s">
        <v>5295</v>
      </c>
      <c r="B384" s="20" t="s">
        <v>5296</v>
      </c>
      <c r="C384" s="20" t="s">
        <v>3774</v>
      </c>
      <c r="D384" s="20" t="s">
        <v>5297</v>
      </c>
      <c r="E384" s="20" t="s">
        <v>5298</v>
      </c>
      <c r="F384" s="20" t="s">
        <v>5299</v>
      </c>
      <c r="G384" s="20" t="s">
        <v>3777</v>
      </c>
      <c r="H384" s="20" t="s">
        <v>6</v>
      </c>
      <c r="I384" s="39">
        <v>44743.597635972219</v>
      </c>
      <c r="J384" s="39">
        <v>44743.597636018516</v>
      </c>
      <c r="K384" s="20">
        <v>0</v>
      </c>
      <c r="L384" s="17" t="str">
        <f t="shared" si="5"/>
        <v>https://captureandgo.cloudlab.zhaw.ch/uploads/image_69a126cb61.jpg</v>
      </c>
    </row>
    <row r="385" spans="1:12" ht="16" x14ac:dyDescent="0.2">
      <c r="A385" s="20" t="s">
        <v>5300</v>
      </c>
      <c r="B385" s="20" t="s">
        <v>5301</v>
      </c>
      <c r="C385" s="20" t="s">
        <v>3774</v>
      </c>
      <c r="D385" s="20" t="s">
        <v>5302</v>
      </c>
      <c r="E385" s="20" t="s">
        <v>5303</v>
      </c>
      <c r="F385" s="20" t="s">
        <v>1125</v>
      </c>
      <c r="G385" s="20" t="s">
        <v>3777</v>
      </c>
      <c r="H385" s="20" t="s">
        <v>6</v>
      </c>
      <c r="I385" s="39">
        <v>44743.61069040509</v>
      </c>
      <c r="J385" s="39">
        <v>44743.610690428242</v>
      </c>
      <c r="K385" s="20">
        <v>0</v>
      </c>
      <c r="L385" s="17" t="str">
        <f t="shared" si="5"/>
        <v>https://captureandgo.cloudlab.zhaw.ch/uploads/image_96b6f999f2.jpg</v>
      </c>
    </row>
    <row r="386" spans="1:12" ht="16" x14ac:dyDescent="0.2">
      <c r="A386" s="20" t="s">
        <v>5304</v>
      </c>
      <c r="B386" s="20" t="s">
        <v>5305</v>
      </c>
      <c r="C386" s="20" t="s">
        <v>3774</v>
      </c>
      <c r="D386" s="20" t="s">
        <v>5306</v>
      </c>
      <c r="E386" s="20" t="s">
        <v>5307</v>
      </c>
      <c r="F386" s="20" t="s">
        <v>1129</v>
      </c>
      <c r="G386" s="20" t="s">
        <v>3777</v>
      </c>
      <c r="H386" s="20" t="s">
        <v>6</v>
      </c>
      <c r="I386" s="39">
        <v>44743.611280138888</v>
      </c>
      <c r="J386" s="39">
        <v>44743.61128016204</v>
      </c>
      <c r="K386" s="20">
        <v>0</v>
      </c>
      <c r="L386" s="17" t="str">
        <f t="shared" ref="L386:L449" si="6">HYPERLINK("https://captureandgo.cloudlab.zhaw.ch"&amp;B386)</f>
        <v>https://captureandgo.cloudlab.zhaw.ch/uploads/image_c0bb41cefc.jpg</v>
      </c>
    </row>
    <row r="387" spans="1:12" ht="16" x14ac:dyDescent="0.2">
      <c r="A387" s="20" t="s">
        <v>5308</v>
      </c>
      <c r="B387" s="20" t="s">
        <v>5309</v>
      </c>
      <c r="C387" s="20" t="s">
        <v>3774</v>
      </c>
      <c r="D387" s="20" t="s">
        <v>5310</v>
      </c>
      <c r="E387" s="20" t="s">
        <v>5311</v>
      </c>
      <c r="F387" s="20" t="s">
        <v>1132</v>
      </c>
      <c r="G387" s="20" t="s">
        <v>3777</v>
      </c>
      <c r="H387" s="20" t="s">
        <v>6</v>
      </c>
      <c r="I387" s="39">
        <v>44743.612532094907</v>
      </c>
      <c r="J387" s="39">
        <v>44743.612532129628</v>
      </c>
      <c r="K387" s="20">
        <v>0</v>
      </c>
      <c r="L387" s="17" t="str">
        <f t="shared" si="6"/>
        <v>https://captureandgo.cloudlab.zhaw.ch/uploads/image_294a17f3d1.jpg</v>
      </c>
    </row>
    <row r="388" spans="1:12" ht="16" x14ac:dyDescent="0.2">
      <c r="A388" s="20" t="s">
        <v>5312</v>
      </c>
      <c r="B388" s="20" t="s">
        <v>5313</v>
      </c>
      <c r="C388" s="20" t="s">
        <v>3774</v>
      </c>
      <c r="D388" s="20" t="s">
        <v>5314</v>
      </c>
      <c r="E388" s="20" t="s">
        <v>5315</v>
      </c>
      <c r="F388" s="20" t="s">
        <v>1135</v>
      </c>
      <c r="G388" s="20" t="s">
        <v>3777</v>
      </c>
      <c r="H388" s="20" t="s">
        <v>6</v>
      </c>
      <c r="I388" s="39">
        <v>44743.613206620372</v>
      </c>
      <c r="J388" s="39">
        <v>44743.613206655093</v>
      </c>
      <c r="K388" s="20">
        <v>0</v>
      </c>
      <c r="L388" s="17" t="str">
        <f t="shared" si="6"/>
        <v>https://captureandgo.cloudlab.zhaw.ch/uploads/image_5edfed8991.jpg</v>
      </c>
    </row>
    <row r="389" spans="1:12" ht="16" x14ac:dyDescent="0.2">
      <c r="A389" s="20" t="s">
        <v>5316</v>
      </c>
      <c r="B389" s="20" t="s">
        <v>5317</v>
      </c>
      <c r="C389" s="20" t="s">
        <v>3774</v>
      </c>
      <c r="D389" s="20" t="s">
        <v>5318</v>
      </c>
      <c r="E389" s="20" t="s">
        <v>5319</v>
      </c>
      <c r="F389" s="20" t="s">
        <v>1138</v>
      </c>
      <c r="G389" s="20" t="s">
        <v>3777</v>
      </c>
      <c r="H389" s="20" t="s">
        <v>6</v>
      </c>
      <c r="I389" s="39">
        <v>44743.614249409722</v>
      </c>
      <c r="J389" s="39">
        <v>44743.614249444443</v>
      </c>
      <c r="K389" s="20">
        <v>0</v>
      </c>
      <c r="L389" s="17" t="str">
        <f t="shared" si="6"/>
        <v>https://captureandgo.cloudlab.zhaw.ch/uploads/image_8e8328483d.jpg</v>
      </c>
    </row>
    <row r="390" spans="1:12" ht="16" x14ac:dyDescent="0.2">
      <c r="A390" s="20" t="s">
        <v>5320</v>
      </c>
      <c r="B390" s="20" t="s">
        <v>5321</v>
      </c>
      <c r="C390" s="20" t="s">
        <v>3774</v>
      </c>
      <c r="D390" s="20" t="s">
        <v>5322</v>
      </c>
      <c r="E390" s="20" t="s">
        <v>5323</v>
      </c>
      <c r="F390" s="20" t="s">
        <v>1138</v>
      </c>
      <c r="G390" s="20" t="s">
        <v>3777</v>
      </c>
      <c r="H390" s="20" t="s">
        <v>6</v>
      </c>
      <c r="I390" s="39">
        <v>44743.614444606479</v>
      </c>
      <c r="J390" s="39">
        <v>44743.614444641207</v>
      </c>
      <c r="K390" s="20">
        <v>0</v>
      </c>
      <c r="L390" s="17" t="str">
        <f t="shared" si="6"/>
        <v>https://captureandgo.cloudlab.zhaw.ch/uploads/image_efaf2b8fb1.jpg</v>
      </c>
    </row>
    <row r="391" spans="1:12" ht="16" x14ac:dyDescent="0.2">
      <c r="A391" s="20" t="s">
        <v>5324</v>
      </c>
      <c r="B391" s="20" t="s">
        <v>5325</v>
      </c>
      <c r="C391" s="20" t="s">
        <v>3774</v>
      </c>
      <c r="D391" s="20" t="s">
        <v>5326</v>
      </c>
      <c r="E391" s="20" t="s">
        <v>5327</v>
      </c>
      <c r="F391" s="20" t="s">
        <v>1138</v>
      </c>
      <c r="G391" s="20" t="s">
        <v>3777</v>
      </c>
      <c r="H391" s="20" t="s">
        <v>6</v>
      </c>
      <c r="I391" s="39">
        <v>44743.61456869213</v>
      </c>
      <c r="J391" s="39">
        <v>44743.614568726851</v>
      </c>
      <c r="K391" s="20">
        <v>0</v>
      </c>
      <c r="L391" s="17" t="str">
        <f t="shared" si="6"/>
        <v>https://captureandgo.cloudlab.zhaw.ch/uploads/image_6fc824df33.jpg</v>
      </c>
    </row>
    <row r="392" spans="1:12" ht="16" x14ac:dyDescent="0.2">
      <c r="A392" s="20" t="s">
        <v>5328</v>
      </c>
      <c r="B392" s="20" t="s">
        <v>5329</v>
      </c>
      <c r="C392" s="20" t="s">
        <v>3774</v>
      </c>
      <c r="D392" s="20" t="s">
        <v>5330</v>
      </c>
      <c r="E392" s="20" t="s">
        <v>5331</v>
      </c>
      <c r="F392" s="20" t="s">
        <v>1142</v>
      </c>
      <c r="G392" s="20" t="s">
        <v>3777</v>
      </c>
      <c r="H392" s="20" t="s">
        <v>6</v>
      </c>
      <c r="I392" s="39">
        <v>44743.616056261577</v>
      </c>
      <c r="J392" s="39">
        <v>44743.616056296298</v>
      </c>
      <c r="K392" s="20">
        <v>0</v>
      </c>
      <c r="L392" s="17" t="str">
        <f t="shared" si="6"/>
        <v>https://captureandgo.cloudlab.zhaw.ch/uploads/image_a5320e6942.jpg</v>
      </c>
    </row>
    <row r="393" spans="1:12" ht="16" x14ac:dyDescent="0.2">
      <c r="A393" s="20" t="s">
        <v>5332</v>
      </c>
      <c r="B393" s="20" t="s">
        <v>5333</v>
      </c>
      <c r="C393" s="20" t="s">
        <v>3774</v>
      </c>
      <c r="D393" s="20" t="s">
        <v>5334</v>
      </c>
      <c r="E393" s="20" t="s">
        <v>5335</v>
      </c>
      <c r="F393" s="20" t="s">
        <v>1145</v>
      </c>
      <c r="G393" s="20" t="s">
        <v>3777</v>
      </c>
      <c r="H393" s="20" t="s">
        <v>6</v>
      </c>
      <c r="I393" s="39">
        <v>44743.616648090276</v>
      </c>
      <c r="J393" s="39">
        <v>44743.616648124997</v>
      </c>
      <c r="K393" s="20">
        <v>0</v>
      </c>
      <c r="L393" s="17" t="str">
        <f t="shared" si="6"/>
        <v>https://captureandgo.cloudlab.zhaw.ch/uploads/image_03aee8f82e.jpg</v>
      </c>
    </row>
    <row r="394" spans="1:12" ht="16" x14ac:dyDescent="0.2">
      <c r="A394" s="20" t="s">
        <v>5336</v>
      </c>
      <c r="B394" s="20" t="s">
        <v>5337</v>
      </c>
      <c r="C394" s="20" t="s">
        <v>3774</v>
      </c>
      <c r="D394" s="20" t="s">
        <v>5338</v>
      </c>
      <c r="E394" s="20" t="s">
        <v>5339</v>
      </c>
      <c r="F394" s="20" t="s">
        <v>1148</v>
      </c>
      <c r="G394" s="20" t="s">
        <v>3777</v>
      </c>
      <c r="H394" s="20" t="s">
        <v>6</v>
      </c>
      <c r="I394" s="39">
        <v>44743.617421724535</v>
      </c>
      <c r="J394" s="39">
        <v>44743.617421759256</v>
      </c>
      <c r="K394" s="20">
        <v>0</v>
      </c>
      <c r="L394" s="17" t="str">
        <f t="shared" si="6"/>
        <v>https://captureandgo.cloudlab.zhaw.ch/uploads/image_04dd4a2fdb.jpg</v>
      </c>
    </row>
    <row r="395" spans="1:12" ht="16" x14ac:dyDescent="0.2">
      <c r="A395" s="20" t="s">
        <v>5340</v>
      </c>
      <c r="B395" s="20" t="s">
        <v>5341</v>
      </c>
      <c r="C395" s="20" t="s">
        <v>3774</v>
      </c>
      <c r="D395" s="20" t="s">
        <v>5342</v>
      </c>
      <c r="E395" s="20" t="s">
        <v>5343</v>
      </c>
      <c r="F395" s="20" t="s">
        <v>1151</v>
      </c>
      <c r="G395" s="20" t="s">
        <v>3777</v>
      </c>
      <c r="H395" s="20" t="s">
        <v>6</v>
      </c>
      <c r="I395" s="39">
        <v>44743.618643275462</v>
      </c>
      <c r="J395" s="39">
        <v>44743.618643310183</v>
      </c>
      <c r="K395" s="20">
        <v>0</v>
      </c>
      <c r="L395" s="17" t="str">
        <f t="shared" si="6"/>
        <v>https://captureandgo.cloudlab.zhaw.ch/uploads/image_8caaefb113.jpg</v>
      </c>
    </row>
    <row r="396" spans="1:12" ht="16" x14ac:dyDescent="0.2">
      <c r="A396" s="20" t="s">
        <v>5344</v>
      </c>
      <c r="B396" s="20" t="s">
        <v>5345</v>
      </c>
      <c r="C396" s="20" t="s">
        <v>3774</v>
      </c>
      <c r="D396" s="20" t="s">
        <v>5346</v>
      </c>
      <c r="E396" s="20" t="s">
        <v>5347</v>
      </c>
      <c r="F396" s="20" t="s">
        <v>1154</v>
      </c>
      <c r="G396" s="20" t="s">
        <v>3777</v>
      </c>
      <c r="H396" s="20" t="s">
        <v>6</v>
      </c>
      <c r="I396" s="39">
        <v>44743.62059392361</v>
      </c>
      <c r="J396" s="39">
        <v>44743.620593958331</v>
      </c>
      <c r="K396" s="20">
        <v>0</v>
      </c>
      <c r="L396" s="17" t="str">
        <f t="shared" si="6"/>
        <v>https://captureandgo.cloudlab.zhaw.ch/uploads/image_25c7613308.jpg</v>
      </c>
    </row>
    <row r="397" spans="1:12" ht="16" x14ac:dyDescent="0.2">
      <c r="A397" s="20" t="s">
        <v>5348</v>
      </c>
      <c r="B397" s="20" t="s">
        <v>5349</v>
      </c>
      <c r="C397" s="20" t="s">
        <v>3774</v>
      </c>
      <c r="D397" s="20" t="s">
        <v>5350</v>
      </c>
      <c r="E397" s="20" t="s">
        <v>5351</v>
      </c>
      <c r="F397" s="20" t="s">
        <v>1157</v>
      </c>
      <c r="G397" s="20" t="s">
        <v>3777</v>
      </c>
      <c r="H397" s="20" t="s">
        <v>6</v>
      </c>
      <c r="I397" s="39">
        <v>44743.622977349536</v>
      </c>
      <c r="J397" s="39">
        <v>44743.622977384257</v>
      </c>
      <c r="K397" s="20">
        <v>0</v>
      </c>
      <c r="L397" s="17" t="str">
        <f t="shared" si="6"/>
        <v>https://captureandgo.cloudlab.zhaw.ch/uploads/image_f5a776db64.jpg</v>
      </c>
    </row>
    <row r="398" spans="1:12" ht="16" x14ac:dyDescent="0.2">
      <c r="A398" s="20" t="s">
        <v>5352</v>
      </c>
      <c r="B398" s="20" t="s">
        <v>5353</v>
      </c>
      <c r="C398" s="20" t="s">
        <v>3774</v>
      </c>
      <c r="D398" s="20" t="s">
        <v>5354</v>
      </c>
      <c r="E398" s="20" t="s">
        <v>5355</v>
      </c>
      <c r="F398" s="20" t="s">
        <v>1160</v>
      </c>
      <c r="G398" s="20" t="s">
        <v>3777</v>
      </c>
      <c r="H398" s="20" t="s">
        <v>6</v>
      </c>
      <c r="I398" s="39">
        <v>44743.624072627317</v>
      </c>
      <c r="J398" s="39">
        <v>44743.624072662038</v>
      </c>
      <c r="K398" s="20">
        <v>0</v>
      </c>
      <c r="L398" s="17" t="str">
        <f t="shared" si="6"/>
        <v>https://captureandgo.cloudlab.zhaw.ch/uploads/image_d77b117119.jpg</v>
      </c>
    </row>
    <row r="399" spans="1:12" ht="16" x14ac:dyDescent="0.2">
      <c r="A399" s="20" t="s">
        <v>5356</v>
      </c>
      <c r="B399" s="20" t="s">
        <v>5357</v>
      </c>
      <c r="C399" s="20" t="s">
        <v>3774</v>
      </c>
      <c r="D399" s="20" t="s">
        <v>5358</v>
      </c>
      <c r="E399" s="20" t="s">
        <v>5359</v>
      </c>
      <c r="F399" s="20" t="s">
        <v>1163</v>
      </c>
      <c r="G399" s="20" t="s">
        <v>3777</v>
      </c>
      <c r="H399" s="20" t="s">
        <v>6</v>
      </c>
      <c r="I399" s="39">
        <v>44743.62532457176</v>
      </c>
      <c r="J399" s="39">
        <v>44743.625324606481</v>
      </c>
      <c r="K399" s="20">
        <v>0</v>
      </c>
      <c r="L399" s="17" t="str">
        <f t="shared" si="6"/>
        <v>https://captureandgo.cloudlab.zhaw.ch/uploads/image_b674532ac3.jpg</v>
      </c>
    </row>
    <row r="400" spans="1:12" ht="16" x14ac:dyDescent="0.2">
      <c r="A400" s="20" t="s">
        <v>5360</v>
      </c>
      <c r="B400" s="20" t="s">
        <v>5361</v>
      </c>
      <c r="C400" s="20" t="s">
        <v>3774</v>
      </c>
      <c r="D400" s="20" t="s">
        <v>5362</v>
      </c>
      <c r="E400" s="20" t="s">
        <v>5363</v>
      </c>
      <c r="F400" s="20" t="s">
        <v>1166</v>
      </c>
      <c r="G400" s="20" t="s">
        <v>3777</v>
      </c>
      <c r="H400" s="20" t="s">
        <v>6</v>
      </c>
      <c r="I400" s="39">
        <v>44743.625805300922</v>
      </c>
      <c r="J400" s="39">
        <v>44743.625805335651</v>
      </c>
      <c r="K400" s="20">
        <v>0</v>
      </c>
      <c r="L400" s="17" t="str">
        <f t="shared" si="6"/>
        <v>https://captureandgo.cloudlab.zhaw.ch/uploads/image_22e3ab48be.jpg</v>
      </c>
    </row>
    <row r="401" spans="1:12" ht="16" x14ac:dyDescent="0.2">
      <c r="A401" s="20" t="s">
        <v>5364</v>
      </c>
      <c r="B401" s="20" t="s">
        <v>5365</v>
      </c>
      <c r="C401" s="20" t="s">
        <v>3774</v>
      </c>
      <c r="D401" s="20" t="s">
        <v>5366</v>
      </c>
      <c r="E401" s="20" t="s">
        <v>5367</v>
      </c>
      <c r="F401" s="20" t="s">
        <v>1170</v>
      </c>
      <c r="G401" s="20" t="s">
        <v>3777</v>
      </c>
      <c r="H401" s="20" t="s">
        <v>6</v>
      </c>
      <c r="I401" s="39">
        <v>44743.626590983797</v>
      </c>
      <c r="J401" s="39">
        <v>44743.626591006941</v>
      </c>
      <c r="K401" s="20">
        <v>0</v>
      </c>
      <c r="L401" s="17" t="str">
        <f t="shared" si="6"/>
        <v>https://captureandgo.cloudlab.zhaw.ch/uploads/image_6fd2f621d1.jpg</v>
      </c>
    </row>
    <row r="402" spans="1:12" ht="16" x14ac:dyDescent="0.2">
      <c r="A402" s="20" t="s">
        <v>5368</v>
      </c>
      <c r="B402" s="20" t="s">
        <v>5369</v>
      </c>
      <c r="C402" s="20" t="s">
        <v>3774</v>
      </c>
      <c r="D402" s="20" t="s">
        <v>5370</v>
      </c>
      <c r="E402" s="20" t="s">
        <v>5371</v>
      </c>
      <c r="F402" s="20" t="s">
        <v>1174</v>
      </c>
      <c r="G402" s="20" t="s">
        <v>3777</v>
      </c>
      <c r="H402" s="20" t="s">
        <v>6</v>
      </c>
      <c r="I402" s="39">
        <v>44743.627942511572</v>
      </c>
      <c r="J402" s="39">
        <v>44743.627942557869</v>
      </c>
      <c r="K402" s="20">
        <v>0</v>
      </c>
      <c r="L402" s="17" t="str">
        <f t="shared" si="6"/>
        <v>https://captureandgo.cloudlab.zhaw.ch/uploads/image_1cfa8ef212.jpg</v>
      </c>
    </row>
    <row r="403" spans="1:12" ht="16" x14ac:dyDescent="0.2">
      <c r="A403" s="20" t="s">
        <v>5372</v>
      </c>
      <c r="B403" s="20" t="s">
        <v>5373</v>
      </c>
      <c r="C403" s="20" t="s">
        <v>3774</v>
      </c>
      <c r="D403" s="20" t="s">
        <v>5374</v>
      </c>
      <c r="E403" s="20" t="s">
        <v>5375</v>
      </c>
      <c r="F403" s="20" t="s">
        <v>1178</v>
      </c>
      <c r="G403" s="20" t="s">
        <v>3777</v>
      </c>
      <c r="H403" s="20" t="s">
        <v>6</v>
      </c>
      <c r="I403" s="39">
        <v>44743.62902753472</v>
      </c>
      <c r="J403" s="39">
        <v>44743.629027557872</v>
      </c>
      <c r="K403" s="20">
        <v>0</v>
      </c>
      <c r="L403" s="17" t="str">
        <f t="shared" si="6"/>
        <v>https://captureandgo.cloudlab.zhaw.ch/uploads/image_a4b3c73d90.jpg</v>
      </c>
    </row>
    <row r="404" spans="1:12" ht="16" x14ac:dyDescent="0.2">
      <c r="A404" s="20" t="s">
        <v>5376</v>
      </c>
      <c r="B404" s="20" t="s">
        <v>5377</v>
      </c>
      <c r="C404" s="20" t="s">
        <v>3774</v>
      </c>
      <c r="D404" s="20" t="s">
        <v>5378</v>
      </c>
      <c r="E404" s="20" t="s">
        <v>5379</v>
      </c>
      <c r="F404" s="20" t="s">
        <v>1182</v>
      </c>
      <c r="G404" s="20" t="s">
        <v>3777</v>
      </c>
      <c r="H404" s="20" t="s">
        <v>6</v>
      </c>
      <c r="I404" s="39">
        <v>44743.629588229167</v>
      </c>
      <c r="J404" s="39">
        <v>44743.629588263888</v>
      </c>
      <c r="K404" s="20">
        <v>0</v>
      </c>
      <c r="L404" s="17" t="str">
        <f t="shared" si="6"/>
        <v>https://captureandgo.cloudlab.zhaw.ch/uploads/image_a782fd7ad9.jpg</v>
      </c>
    </row>
    <row r="405" spans="1:12" ht="16" x14ac:dyDescent="0.2">
      <c r="A405" s="20" t="s">
        <v>5380</v>
      </c>
      <c r="B405" s="20" t="s">
        <v>5381</v>
      </c>
      <c r="C405" s="20" t="s">
        <v>3774</v>
      </c>
      <c r="D405" s="20" t="s">
        <v>5382</v>
      </c>
      <c r="E405" s="20" t="s">
        <v>5383</v>
      </c>
      <c r="F405" s="20" t="s">
        <v>1186</v>
      </c>
      <c r="G405" s="20" t="s">
        <v>3777</v>
      </c>
      <c r="H405" s="20" t="s">
        <v>6</v>
      </c>
      <c r="I405" s="39">
        <v>44743.630510706018</v>
      </c>
      <c r="J405" s="39">
        <v>44743.630510752315</v>
      </c>
      <c r="K405" s="20">
        <v>0</v>
      </c>
      <c r="L405" s="17" t="str">
        <f t="shared" si="6"/>
        <v>https://captureandgo.cloudlab.zhaw.ch/uploads/image_90c7d43129.jpg</v>
      </c>
    </row>
    <row r="406" spans="1:12" ht="16" x14ac:dyDescent="0.2">
      <c r="A406" s="20" t="s">
        <v>5384</v>
      </c>
      <c r="B406" s="20" t="s">
        <v>5385</v>
      </c>
      <c r="C406" s="20" t="s">
        <v>3774</v>
      </c>
      <c r="D406" s="20" t="s">
        <v>5386</v>
      </c>
      <c r="E406" s="20" t="s">
        <v>5387</v>
      </c>
      <c r="F406" s="20" t="s">
        <v>1189</v>
      </c>
      <c r="G406" s="20" t="s">
        <v>3777</v>
      </c>
      <c r="H406" s="20" t="s">
        <v>6</v>
      </c>
      <c r="I406" s="39">
        <v>44743.632108460646</v>
      </c>
      <c r="J406" s="39">
        <v>44743.632108495367</v>
      </c>
      <c r="K406" s="20">
        <v>0</v>
      </c>
      <c r="L406" s="17" t="str">
        <f t="shared" si="6"/>
        <v>https://captureandgo.cloudlab.zhaw.ch/uploads/image_99a9949603.jpg</v>
      </c>
    </row>
    <row r="407" spans="1:12" ht="16" x14ac:dyDescent="0.2">
      <c r="A407" s="20" t="s">
        <v>5388</v>
      </c>
      <c r="B407" s="20" t="s">
        <v>5389</v>
      </c>
      <c r="C407" s="20" t="s">
        <v>3774</v>
      </c>
      <c r="D407" s="20" t="s">
        <v>5390</v>
      </c>
      <c r="E407" s="20" t="s">
        <v>5391</v>
      </c>
      <c r="F407" s="20" t="s">
        <v>1192</v>
      </c>
      <c r="G407" s="20" t="s">
        <v>3777</v>
      </c>
      <c r="H407" s="20" t="s">
        <v>6</v>
      </c>
      <c r="I407" s="39">
        <v>44743.633940347223</v>
      </c>
      <c r="J407" s="39">
        <v>44743.633940567132</v>
      </c>
      <c r="K407" s="20">
        <v>0</v>
      </c>
      <c r="L407" s="17" t="str">
        <f t="shared" si="6"/>
        <v>https://captureandgo.cloudlab.zhaw.ch/uploads/image_4d0089469d.jpg</v>
      </c>
    </row>
    <row r="408" spans="1:12" ht="16" x14ac:dyDescent="0.2">
      <c r="A408" s="20" t="s">
        <v>5392</v>
      </c>
      <c r="B408" s="20" t="s">
        <v>5393</v>
      </c>
      <c r="C408" s="20" t="s">
        <v>3774</v>
      </c>
      <c r="D408" s="20" t="s">
        <v>5394</v>
      </c>
      <c r="E408" s="20" t="s">
        <v>5395</v>
      </c>
      <c r="F408" s="20" t="s">
        <v>1195</v>
      </c>
      <c r="G408" s="20" t="s">
        <v>3777</v>
      </c>
      <c r="H408" s="20" t="s">
        <v>6</v>
      </c>
      <c r="I408" s="39">
        <v>44743.634678252318</v>
      </c>
      <c r="J408" s="39">
        <v>44743.634678310184</v>
      </c>
      <c r="K408" s="20">
        <v>0</v>
      </c>
      <c r="L408" s="17" t="str">
        <f t="shared" si="6"/>
        <v>https://captureandgo.cloudlab.zhaw.ch/uploads/image_eb7454c6cd.jpg</v>
      </c>
    </row>
    <row r="409" spans="1:12" ht="16" x14ac:dyDescent="0.2">
      <c r="A409" s="20" t="s">
        <v>5396</v>
      </c>
      <c r="B409" s="20" t="s">
        <v>5397</v>
      </c>
      <c r="C409" s="20" t="s">
        <v>3774</v>
      </c>
      <c r="D409" s="20" t="s">
        <v>5398</v>
      </c>
      <c r="E409" s="20" t="s">
        <v>5399</v>
      </c>
      <c r="F409" s="20" t="s">
        <v>1199</v>
      </c>
      <c r="G409" s="20" t="s">
        <v>3777</v>
      </c>
      <c r="H409" s="20" t="s">
        <v>6</v>
      </c>
      <c r="I409" s="39">
        <v>44743.63545321759</v>
      </c>
      <c r="J409" s="39">
        <v>44743.635453252318</v>
      </c>
      <c r="K409" s="20">
        <v>0</v>
      </c>
      <c r="L409" s="17" t="str">
        <f t="shared" si="6"/>
        <v>https://captureandgo.cloudlab.zhaw.ch/uploads/image_397968c055.jpg</v>
      </c>
    </row>
    <row r="410" spans="1:12" ht="16" x14ac:dyDescent="0.2">
      <c r="A410" s="20" t="s">
        <v>5400</v>
      </c>
      <c r="B410" s="20" t="s">
        <v>5401</v>
      </c>
      <c r="C410" s="20" t="s">
        <v>3774</v>
      </c>
      <c r="D410" s="20" t="s">
        <v>5402</v>
      </c>
      <c r="E410" s="20" t="s">
        <v>5403</v>
      </c>
      <c r="F410" s="20" t="s">
        <v>1202</v>
      </c>
      <c r="G410" s="20" t="s">
        <v>3777</v>
      </c>
      <c r="H410" s="20" t="s">
        <v>6</v>
      </c>
      <c r="I410" s="39">
        <v>44743.636813206016</v>
      </c>
      <c r="J410" s="39">
        <v>44743.636813229168</v>
      </c>
      <c r="K410" s="20">
        <v>0</v>
      </c>
      <c r="L410" s="17" t="str">
        <f t="shared" si="6"/>
        <v>https://captureandgo.cloudlab.zhaw.ch/uploads/image_f4c762e3b2.jpg</v>
      </c>
    </row>
    <row r="411" spans="1:12" ht="16" x14ac:dyDescent="0.2">
      <c r="A411" s="20" t="s">
        <v>5404</v>
      </c>
      <c r="B411" s="20" t="s">
        <v>5405</v>
      </c>
      <c r="C411" s="20" t="s">
        <v>3774</v>
      </c>
      <c r="D411" s="20" t="s">
        <v>5406</v>
      </c>
      <c r="E411" s="20" t="s">
        <v>5407</v>
      </c>
      <c r="F411" s="20" t="s">
        <v>1205</v>
      </c>
      <c r="G411" s="20" t="s">
        <v>3777</v>
      </c>
      <c r="H411" s="20" t="s">
        <v>6</v>
      </c>
      <c r="I411" s="39">
        <v>44743.63795271991</v>
      </c>
      <c r="J411" s="39">
        <v>44743.637952743054</v>
      </c>
      <c r="K411" s="20">
        <v>0</v>
      </c>
      <c r="L411" s="17" t="str">
        <f t="shared" si="6"/>
        <v>https://captureandgo.cloudlab.zhaw.ch/uploads/image_bdced4ed9d.jpg</v>
      </c>
    </row>
    <row r="412" spans="1:12" ht="16" x14ac:dyDescent="0.2">
      <c r="A412" s="20" t="s">
        <v>5408</v>
      </c>
      <c r="B412" s="20" t="s">
        <v>5409</v>
      </c>
      <c r="C412" s="20" t="s">
        <v>3774</v>
      </c>
      <c r="D412" s="20" t="s">
        <v>5410</v>
      </c>
      <c r="E412" s="20" t="s">
        <v>5411</v>
      </c>
      <c r="F412" s="20" t="s">
        <v>1208</v>
      </c>
      <c r="G412" s="20" t="s">
        <v>3777</v>
      </c>
      <c r="H412" s="20" t="s">
        <v>6</v>
      </c>
      <c r="I412" s="39">
        <v>44743.639701886575</v>
      </c>
      <c r="J412" s="39">
        <v>44743.639701921296</v>
      </c>
      <c r="K412" s="20">
        <v>0</v>
      </c>
      <c r="L412" s="17" t="str">
        <f t="shared" si="6"/>
        <v>https://captureandgo.cloudlab.zhaw.ch/uploads/image_7811c8c6f5.jpg</v>
      </c>
    </row>
    <row r="413" spans="1:12" ht="16" x14ac:dyDescent="0.2">
      <c r="A413" s="20" t="s">
        <v>5412</v>
      </c>
      <c r="B413" s="20" t="s">
        <v>5413</v>
      </c>
      <c r="C413" s="20" t="s">
        <v>3774</v>
      </c>
      <c r="D413" s="20" t="s">
        <v>5414</v>
      </c>
      <c r="E413" s="20" t="s">
        <v>5415</v>
      </c>
      <c r="F413" s="20" t="s">
        <v>1211</v>
      </c>
      <c r="G413" s="20" t="s">
        <v>3777</v>
      </c>
      <c r="H413" s="20" t="s">
        <v>6</v>
      </c>
      <c r="I413" s="39">
        <v>44743.640146365738</v>
      </c>
      <c r="J413" s="39">
        <v>44743.640146400459</v>
      </c>
      <c r="K413" s="20">
        <v>0</v>
      </c>
      <c r="L413" s="17" t="str">
        <f t="shared" si="6"/>
        <v>https://captureandgo.cloudlab.zhaw.ch/uploads/image_b4cfe6ab8b.jpg</v>
      </c>
    </row>
    <row r="414" spans="1:12" ht="16" x14ac:dyDescent="0.2">
      <c r="A414" s="20" t="s">
        <v>5416</v>
      </c>
      <c r="B414" s="20" t="s">
        <v>5417</v>
      </c>
      <c r="C414" s="20" t="s">
        <v>3774</v>
      </c>
      <c r="D414" s="20" t="s">
        <v>5418</v>
      </c>
      <c r="E414" s="20" t="s">
        <v>5419</v>
      </c>
      <c r="F414" s="20" t="s">
        <v>1214</v>
      </c>
      <c r="G414" s="20" t="s">
        <v>3777</v>
      </c>
      <c r="H414" s="20" t="s">
        <v>6</v>
      </c>
      <c r="I414" s="39">
        <v>44743.640613379626</v>
      </c>
      <c r="J414" s="39">
        <v>44743.640613414354</v>
      </c>
      <c r="K414" s="20">
        <v>0</v>
      </c>
      <c r="L414" s="17" t="str">
        <f t="shared" si="6"/>
        <v>https://captureandgo.cloudlab.zhaw.ch/uploads/image_7c8ecb6266.jpg</v>
      </c>
    </row>
    <row r="415" spans="1:12" ht="16" x14ac:dyDescent="0.2">
      <c r="A415" s="20" t="s">
        <v>5420</v>
      </c>
      <c r="B415" s="20" t="s">
        <v>5421</v>
      </c>
      <c r="C415" s="20" t="s">
        <v>3774</v>
      </c>
      <c r="D415" s="20" t="s">
        <v>5422</v>
      </c>
      <c r="E415" s="20" t="s">
        <v>5423</v>
      </c>
      <c r="F415" s="20" t="s">
        <v>1218</v>
      </c>
      <c r="G415" s="20" t="s">
        <v>3777</v>
      </c>
      <c r="H415" s="20" t="s">
        <v>6</v>
      </c>
      <c r="I415" s="39">
        <v>44743.668799502317</v>
      </c>
      <c r="J415" s="39">
        <v>44743.668799560182</v>
      </c>
      <c r="K415" s="20">
        <v>0</v>
      </c>
      <c r="L415" s="17" t="str">
        <f t="shared" si="6"/>
        <v>https://captureandgo.cloudlab.zhaw.ch/uploads/image_7155c90098.jpg</v>
      </c>
    </row>
    <row r="416" spans="1:12" ht="16" x14ac:dyDescent="0.2">
      <c r="A416" s="20" t="s">
        <v>5424</v>
      </c>
      <c r="B416" s="20" t="s">
        <v>5425</v>
      </c>
      <c r="C416" s="20" t="s">
        <v>3774</v>
      </c>
      <c r="D416" s="20" t="s">
        <v>5426</v>
      </c>
      <c r="E416" s="20" t="s">
        <v>5427</v>
      </c>
      <c r="F416" s="20" t="s">
        <v>1222</v>
      </c>
      <c r="G416" s="20" t="s">
        <v>3777</v>
      </c>
      <c r="H416" s="20" t="s">
        <v>6</v>
      </c>
      <c r="I416" s="39">
        <v>44743.669874502317</v>
      </c>
      <c r="J416" s="39">
        <v>44743.669874537038</v>
      </c>
      <c r="K416" s="20">
        <v>0</v>
      </c>
      <c r="L416" s="17" t="str">
        <f t="shared" si="6"/>
        <v>https://captureandgo.cloudlab.zhaw.ch/uploads/image_1a36a312d6.jpg</v>
      </c>
    </row>
    <row r="417" spans="1:12" ht="16" x14ac:dyDescent="0.2">
      <c r="A417" s="20" t="s">
        <v>5428</v>
      </c>
      <c r="B417" s="20" t="s">
        <v>5429</v>
      </c>
      <c r="C417" s="20" t="s">
        <v>3774</v>
      </c>
      <c r="D417" s="20" t="s">
        <v>5430</v>
      </c>
      <c r="E417" s="20" t="s">
        <v>5431</v>
      </c>
      <c r="F417" s="20" t="s">
        <v>1222</v>
      </c>
      <c r="G417" s="20" t="s">
        <v>3777</v>
      </c>
      <c r="H417" s="20" t="s">
        <v>6</v>
      </c>
      <c r="I417" s="39">
        <v>44743.669983969907</v>
      </c>
      <c r="J417" s="39">
        <v>44743.669984004628</v>
      </c>
      <c r="K417" s="20">
        <v>0</v>
      </c>
      <c r="L417" s="17" t="str">
        <f t="shared" si="6"/>
        <v>https://captureandgo.cloudlab.zhaw.ch/uploads/image_0a402a6fb0.jpg</v>
      </c>
    </row>
    <row r="418" spans="1:12" ht="16" x14ac:dyDescent="0.2">
      <c r="A418" s="20" t="s">
        <v>5432</v>
      </c>
      <c r="B418" s="20" t="s">
        <v>5433</v>
      </c>
      <c r="C418" s="20" t="s">
        <v>3774</v>
      </c>
      <c r="D418" s="20" t="s">
        <v>5434</v>
      </c>
      <c r="E418" s="20" t="s">
        <v>5435</v>
      </c>
      <c r="F418" s="20" t="s">
        <v>1222</v>
      </c>
      <c r="G418" s="20" t="s">
        <v>3777</v>
      </c>
      <c r="H418" s="20" t="s">
        <v>6</v>
      </c>
      <c r="I418" s="39">
        <v>44743.670086458333</v>
      </c>
      <c r="J418" s="39">
        <v>44743.670086493054</v>
      </c>
      <c r="K418" s="20">
        <v>0</v>
      </c>
      <c r="L418" s="17" t="str">
        <f t="shared" si="6"/>
        <v>https://captureandgo.cloudlab.zhaw.ch/uploads/image_1b6459303c.jpg</v>
      </c>
    </row>
    <row r="419" spans="1:12" ht="16" x14ac:dyDescent="0.2">
      <c r="A419" s="20" t="s">
        <v>5436</v>
      </c>
      <c r="B419" s="20" t="s">
        <v>5437</v>
      </c>
      <c r="C419" s="20" t="s">
        <v>3774</v>
      </c>
      <c r="D419" s="20" t="s">
        <v>5438</v>
      </c>
      <c r="E419" s="20" t="s">
        <v>5439</v>
      </c>
      <c r="F419" s="20" t="s">
        <v>1225</v>
      </c>
      <c r="G419" s="20" t="s">
        <v>3777</v>
      </c>
      <c r="H419" s="20" t="s">
        <v>6</v>
      </c>
      <c r="I419" s="39">
        <v>44743.670589513888</v>
      </c>
      <c r="J419" s="39">
        <v>44743.670589560184</v>
      </c>
      <c r="K419" s="20">
        <v>0</v>
      </c>
      <c r="L419" s="17" t="str">
        <f t="shared" si="6"/>
        <v>https://captureandgo.cloudlab.zhaw.ch/uploads/image_115487b03b.jpg</v>
      </c>
    </row>
    <row r="420" spans="1:12" ht="16" x14ac:dyDescent="0.2">
      <c r="A420" s="20" t="s">
        <v>5440</v>
      </c>
      <c r="B420" s="20" t="s">
        <v>5441</v>
      </c>
      <c r="C420" s="20" t="s">
        <v>3774</v>
      </c>
      <c r="D420" s="20" t="s">
        <v>5442</v>
      </c>
      <c r="E420" s="20" t="s">
        <v>5443</v>
      </c>
      <c r="F420" s="20" t="s">
        <v>1228</v>
      </c>
      <c r="G420" s="20" t="s">
        <v>3777</v>
      </c>
      <c r="H420" s="20" t="s">
        <v>6</v>
      </c>
      <c r="I420" s="39">
        <v>44743.672556990743</v>
      </c>
      <c r="J420" s="39">
        <v>44743.672557025464</v>
      </c>
      <c r="K420" s="20">
        <v>0</v>
      </c>
      <c r="L420" s="17" t="str">
        <f t="shared" si="6"/>
        <v>https://captureandgo.cloudlab.zhaw.ch/uploads/image_3a36a6fc1c.jpg</v>
      </c>
    </row>
    <row r="421" spans="1:12" ht="16" x14ac:dyDescent="0.2">
      <c r="A421" s="20" t="s">
        <v>5444</v>
      </c>
      <c r="B421" s="20" t="s">
        <v>5445</v>
      </c>
      <c r="C421" s="20" t="s">
        <v>3774</v>
      </c>
      <c r="D421" s="20" t="s">
        <v>5446</v>
      </c>
      <c r="E421" s="20" t="s">
        <v>5447</v>
      </c>
      <c r="F421" s="20" t="s">
        <v>1232</v>
      </c>
      <c r="G421" s="20" t="s">
        <v>3777</v>
      </c>
      <c r="H421" s="20" t="s">
        <v>6</v>
      </c>
      <c r="I421" s="39">
        <v>44743.674440578703</v>
      </c>
      <c r="J421" s="39">
        <v>44743.674440613424</v>
      </c>
      <c r="K421" s="20">
        <v>0</v>
      </c>
      <c r="L421" s="17" t="str">
        <f t="shared" si="6"/>
        <v>https://captureandgo.cloudlab.zhaw.ch/uploads/image_780eb1cba6.jpg</v>
      </c>
    </row>
    <row r="422" spans="1:12" ht="16" x14ac:dyDescent="0.2">
      <c r="A422" s="20" t="s">
        <v>5448</v>
      </c>
      <c r="B422" s="20" t="s">
        <v>5449</v>
      </c>
      <c r="C422" s="20" t="s">
        <v>3774</v>
      </c>
      <c r="D422" s="20" t="s">
        <v>5450</v>
      </c>
      <c r="E422" s="20" t="s">
        <v>5451</v>
      </c>
      <c r="F422" s="20" t="s">
        <v>1238</v>
      </c>
      <c r="G422" s="20" t="s">
        <v>3777</v>
      </c>
      <c r="H422" s="20" t="s">
        <v>6</v>
      </c>
      <c r="I422" s="39">
        <v>44743.676166203702</v>
      </c>
      <c r="J422" s="39">
        <v>44743.676166238423</v>
      </c>
      <c r="K422" s="20">
        <v>0</v>
      </c>
      <c r="L422" s="17" t="str">
        <f t="shared" si="6"/>
        <v>https://captureandgo.cloudlab.zhaw.ch/uploads/image_4d130f55d5.jpg</v>
      </c>
    </row>
    <row r="423" spans="1:12" ht="16" x14ac:dyDescent="0.2">
      <c r="A423" s="20" t="s">
        <v>5452</v>
      </c>
      <c r="B423" s="20" t="s">
        <v>5453</v>
      </c>
      <c r="C423" s="20" t="s">
        <v>3774</v>
      </c>
      <c r="D423" s="20" t="s">
        <v>5454</v>
      </c>
      <c r="E423" s="20" t="s">
        <v>5455</v>
      </c>
      <c r="F423" s="20" t="s">
        <v>1241</v>
      </c>
      <c r="G423" s="20" t="s">
        <v>3777</v>
      </c>
      <c r="H423" s="20" t="s">
        <v>6</v>
      </c>
      <c r="I423" s="39">
        <v>44743.677488587964</v>
      </c>
      <c r="J423" s="39">
        <v>44743.677488622685</v>
      </c>
      <c r="K423" s="20">
        <v>0</v>
      </c>
      <c r="L423" s="17" t="str">
        <f t="shared" si="6"/>
        <v>https://captureandgo.cloudlab.zhaw.ch/uploads/image_769d102347.jpg</v>
      </c>
    </row>
    <row r="424" spans="1:12" ht="16" x14ac:dyDescent="0.2">
      <c r="A424" s="20" t="s">
        <v>5456</v>
      </c>
      <c r="B424" s="20" t="s">
        <v>5457</v>
      </c>
      <c r="C424" s="20" t="s">
        <v>3774</v>
      </c>
      <c r="D424" s="20" t="s">
        <v>5458</v>
      </c>
      <c r="E424" s="20" t="s">
        <v>5459</v>
      </c>
      <c r="F424" s="20" t="s">
        <v>1244</v>
      </c>
      <c r="G424" s="20" t="s">
        <v>3777</v>
      </c>
      <c r="H424" s="20" t="s">
        <v>6</v>
      </c>
      <c r="I424" s="39">
        <v>44743.678162349534</v>
      </c>
      <c r="J424" s="39">
        <v>44743.678162384262</v>
      </c>
      <c r="K424" s="20">
        <v>0</v>
      </c>
      <c r="L424" s="17" t="str">
        <f t="shared" si="6"/>
        <v>https://captureandgo.cloudlab.zhaw.ch/uploads/image_dcafc1e64f.jpg</v>
      </c>
    </row>
    <row r="425" spans="1:12" ht="16" x14ac:dyDescent="0.2">
      <c r="A425" s="20" t="s">
        <v>5460</v>
      </c>
      <c r="B425" s="20" t="s">
        <v>5461</v>
      </c>
      <c r="C425" s="20" t="s">
        <v>3774</v>
      </c>
      <c r="D425" s="20" t="s">
        <v>5462</v>
      </c>
      <c r="E425" s="20" t="s">
        <v>5463</v>
      </c>
      <c r="F425" s="20" t="s">
        <v>1247</v>
      </c>
      <c r="G425" s="20" t="s">
        <v>3777</v>
      </c>
      <c r="H425" s="20" t="s">
        <v>6</v>
      </c>
      <c r="I425" s="39">
        <v>44743.678759490744</v>
      </c>
      <c r="J425" s="39">
        <v>44743.678759525465</v>
      </c>
      <c r="K425" s="20">
        <v>0</v>
      </c>
      <c r="L425" s="17" t="str">
        <f t="shared" si="6"/>
        <v>https://captureandgo.cloudlab.zhaw.ch/uploads/image_ecdec63850.jpg</v>
      </c>
    </row>
    <row r="426" spans="1:12" ht="16" x14ac:dyDescent="0.2">
      <c r="A426" s="20" t="s">
        <v>5464</v>
      </c>
      <c r="B426" s="20" t="s">
        <v>5465</v>
      </c>
      <c r="C426" s="20" t="s">
        <v>3774</v>
      </c>
      <c r="D426" s="20" t="s">
        <v>5466</v>
      </c>
      <c r="E426" s="20" t="s">
        <v>5467</v>
      </c>
      <c r="F426" s="20" t="s">
        <v>1250</v>
      </c>
      <c r="G426" s="20" t="s">
        <v>3777</v>
      </c>
      <c r="H426" s="20" t="s">
        <v>6</v>
      </c>
      <c r="I426" s="39">
        <v>44743.680550567129</v>
      </c>
      <c r="J426" s="39">
        <v>44743.68055060185</v>
      </c>
      <c r="K426" s="20">
        <v>0</v>
      </c>
      <c r="L426" s="17" t="str">
        <f t="shared" si="6"/>
        <v>https://captureandgo.cloudlab.zhaw.ch/uploads/image_ed110bff5b.jpg</v>
      </c>
    </row>
    <row r="427" spans="1:12" ht="16" x14ac:dyDescent="0.2">
      <c r="A427" s="20" t="s">
        <v>5468</v>
      </c>
      <c r="B427" s="20" t="s">
        <v>5469</v>
      </c>
      <c r="C427" s="20" t="s">
        <v>3774</v>
      </c>
      <c r="D427" s="20" t="s">
        <v>5470</v>
      </c>
      <c r="E427" s="20" t="s">
        <v>5471</v>
      </c>
      <c r="F427" s="20" t="s">
        <v>1253</v>
      </c>
      <c r="G427" s="20" t="s">
        <v>3777</v>
      </c>
      <c r="H427" s="20" t="s">
        <v>6</v>
      </c>
      <c r="I427" s="39">
        <v>44743.681517789351</v>
      </c>
      <c r="J427" s="39">
        <v>44743.681517824072</v>
      </c>
      <c r="K427" s="20">
        <v>0</v>
      </c>
      <c r="L427" s="17" t="str">
        <f t="shared" si="6"/>
        <v>https://captureandgo.cloudlab.zhaw.ch/uploads/image_175d448fb0.jpg</v>
      </c>
    </row>
    <row r="428" spans="1:12" ht="16" x14ac:dyDescent="0.2">
      <c r="A428" s="20" t="s">
        <v>5472</v>
      </c>
      <c r="B428" s="20" t="s">
        <v>5473</v>
      </c>
      <c r="C428" s="20" t="s">
        <v>3774</v>
      </c>
      <c r="D428" s="20" t="s">
        <v>5474</v>
      </c>
      <c r="E428" s="20" t="s">
        <v>5475</v>
      </c>
      <c r="F428" s="20" t="s">
        <v>1256</v>
      </c>
      <c r="G428" s="20" t="s">
        <v>3777</v>
      </c>
      <c r="H428" s="20" t="s">
        <v>6</v>
      </c>
      <c r="I428" s="39">
        <v>44743.682058240738</v>
      </c>
      <c r="J428" s="39">
        <v>44743.68205826389</v>
      </c>
      <c r="K428" s="20">
        <v>0</v>
      </c>
      <c r="L428" s="17" t="str">
        <f t="shared" si="6"/>
        <v>https://captureandgo.cloudlab.zhaw.ch/uploads/image_049213753d.jpg</v>
      </c>
    </row>
    <row r="429" spans="1:12" ht="16" x14ac:dyDescent="0.2">
      <c r="A429" s="20" t="s">
        <v>5476</v>
      </c>
      <c r="B429" s="20" t="s">
        <v>5477</v>
      </c>
      <c r="C429" s="20" t="s">
        <v>3774</v>
      </c>
      <c r="D429" s="20" t="s">
        <v>5478</v>
      </c>
      <c r="E429" s="20" t="s">
        <v>5479</v>
      </c>
      <c r="F429" s="20" t="s">
        <v>1260</v>
      </c>
      <c r="G429" s="20" t="s">
        <v>3777</v>
      </c>
      <c r="H429" s="20" t="s">
        <v>6</v>
      </c>
      <c r="I429" s="39">
        <v>44743.684963993059</v>
      </c>
      <c r="J429" s="39">
        <v>44743.68496402778</v>
      </c>
      <c r="K429" s="20">
        <v>0</v>
      </c>
      <c r="L429" s="17" t="str">
        <f t="shared" si="6"/>
        <v>https://captureandgo.cloudlab.zhaw.ch/uploads/image_b7dcb27f69.jpg</v>
      </c>
    </row>
    <row r="430" spans="1:12" ht="16" x14ac:dyDescent="0.2">
      <c r="A430" s="20" t="s">
        <v>5480</v>
      </c>
      <c r="B430" s="20" t="s">
        <v>5481</v>
      </c>
      <c r="C430" s="20" t="s">
        <v>3774</v>
      </c>
      <c r="D430" s="20" t="s">
        <v>5482</v>
      </c>
      <c r="E430" s="20" t="s">
        <v>5483</v>
      </c>
      <c r="F430" s="20" t="s">
        <v>1263</v>
      </c>
      <c r="G430" s="20" t="s">
        <v>3777</v>
      </c>
      <c r="H430" s="20" t="s">
        <v>6</v>
      </c>
      <c r="I430" s="39">
        <v>44743.68625515046</v>
      </c>
      <c r="J430" s="39">
        <v>44743.686255185188</v>
      </c>
      <c r="K430" s="20">
        <v>0</v>
      </c>
      <c r="L430" s="17" t="str">
        <f t="shared" si="6"/>
        <v>https://captureandgo.cloudlab.zhaw.ch/uploads/image_a71e1d2729.jpg</v>
      </c>
    </row>
    <row r="431" spans="1:12" ht="16" x14ac:dyDescent="0.2">
      <c r="A431" s="20" t="s">
        <v>5484</v>
      </c>
      <c r="B431" s="20" t="s">
        <v>5485</v>
      </c>
      <c r="C431" s="20" t="s">
        <v>3774</v>
      </c>
      <c r="D431" s="20" t="s">
        <v>5486</v>
      </c>
      <c r="E431" s="20" t="s">
        <v>5487</v>
      </c>
      <c r="F431" s="20" t="s">
        <v>1266</v>
      </c>
      <c r="G431" s="20" t="s">
        <v>3777</v>
      </c>
      <c r="H431" s="20" t="s">
        <v>6</v>
      </c>
      <c r="I431" s="39">
        <v>44743.68713903935</v>
      </c>
      <c r="J431" s="39">
        <v>44743.687139062502</v>
      </c>
      <c r="K431" s="20">
        <v>0</v>
      </c>
      <c r="L431" s="17" t="str">
        <f t="shared" si="6"/>
        <v>https://captureandgo.cloudlab.zhaw.ch/uploads/image_4f2e5565cf.jpg</v>
      </c>
    </row>
    <row r="432" spans="1:12" ht="16" x14ac:dyDescent="0.2">
      <c r="A432" s="20" t="s">
        <v>5488</v>
      </c>
      <c r="B432" s="20" t="s">
        <v>5489</v>
      </c>
      <c r="C432" s="20" t="s">
        <v>3774</v>
      </c>
      <c r="D432" s="20" t="s">
        <v>5490</v>
      </c>
      <c r="E432" s="20" t="s">
        <v>5491</v>
      </c>
      <c r="F432" s="20" t="s">
        <v>1269</v>
      </c>
      <c r="G432" s="20" t="s">
        <v>3777</v>
      </c>
      <c r="H432" s="20" t="s">
        <v>6</v>
      </c>
      <c r="I432" s="39">
        <v>44743.6876840162</v>
      </c>
      <c r="J432" s="39">
        <v>44743.687684050929</v>
      </c>
      <c r="K432" s="20">
        <v>0</v>
      </c>
      <c r="L432" s="17" t="str">
        <f t="shared" si="6"/>
        <v>https://captureandgo.cloudlab.zhaw.ch/uploads/image_e15f8dffd3.jpg</v>
      </c>
    </row>
    <row r="433" spans="1:12" ht="16" x14ac:dyDescent="0.2">
      <c r="A433" s="20" t="s">
        <v>5492</v>
      </c>
      <c r="B433" s="20" t="s">
        <v>5493</v>
      </c>
      <c r="C433" s="20" t="s">
        <v>3774</v>
      </c>
      <c r="D433" s="20" t="s">
        <v>5494</v>
      </c>
      <c r="E433" s="20" t="s">
        <v>5495</v>
      </c>
      <c r="F433" s="20" t="s">
        <v>1272</v>
      </c>
      <c r="G433" s="20" t="s">
        <v>3777</v>
      </c>
      <c r="H433" s="20" t="s">
        <v>6</v>
      </c>
      <c r="I433" s="39">
        <v>44743.688719745369</v>
      </c>
      <c r="J433" s="39">
        <v>44743.68871978009</v>
      </c>
      <c r="K433" s="20">
        <v>0</v>
      </c>
      <c r="L433" s="17" t="str">
        <f t="shared" si="6"/>
        <v>https://captureandgo.cloudlab.zhaw.ch/uploads/image_da49e0f4ab.jpg</v>
      </c>
    </row>
    <row r="434" spans="1:12" ht="16" x14ac:dyDescent="0.2">
      <c r="A434" s="20" t="s">
        <v>5496</v>
      </c>
      <c r="B434" s="20" t="s">
        <v>5497</v>
      </c>
      <c r="C434" s="20" t="s">
        <v>3774</v>
      </c>
      <c r="D434" s="20" t="s">
        <v>5498</v>
      </c>
      <c r="E434" s="20" t="s">
        <v>5499</v>
      </c>
      <c r="F434" s="20" t="s">
        <v>1276</v>
      </c>
      <c r="G434" s="20" t="s">
        <v>3777</v>
      </c>
      <c r="H434" s="20" t="s">
        <v>6</v>
      </c>
      <c r="I434" s="39">
        <v>44743.689817094906</v>
      </c>
      <c r="J434" s="39">
        <v>44743.689817118058</v>
      </c>
      <c r="K434" s="20">
        <v>0</v>
      </c>
      <c r="L434" s="17" t="str">
        <f t="shared" si="6"/>
        <v>https://captureandgo.cloudlab.zhaw.ch/uploads/image_c94c161581.jpg</v>
      </c>
    </row>
    <row r="435" spans="1:12" ht="16" x14ac:dyDescent="0.2">
      <c r="A435" s="20" t="s">
        <v>5500</v>
      </c>
      <c r="B435" s="20" t="s">
        <v>5501</v>
      </c>
      <c r="C435" s="20" t="s">
        <v>3774</v>
      </c>
      <c r="D435" s="20" t="s">
        <v>5502</v>
      </c>
      <c r="E435" s="20" t="s">
        <v>5503</v>
      </c>
      <c r="F435" s="20" t="s">
        <v>1279</v>
      </c>
      <c r="G435" s="20" t="s">
        <v>3777</v>
      </c>
      <c r="H435" s="20" t="s">
        <v>6</v>
      </c>
      <c r="I435" s="39">
        <v>44743.690917118052</v>
      </c>
      <c r="J435" s="39">
        <v>44743.69091715278</v>
      </c>
      <c r="K435" s="20">
        <v>0</v>
      </c>
      <c r="L435" s="17" t="str">
        <f t="shared" si="6"/>
        <v>https://captureandgo.cloudlab.zhaw.ch/uploads/image_7df7ded8d4.jpg</v>
      </c>
    </row>
    <row r="436" spans="1:12" ht="16" x14ac:dyDescent="0.2">
      <c r="A436" s="20" t="s">
        <v>5504</v>
      </c>
      <c r="B436" s="20" t="s">
        <v>5505</v>
      </c>
      <c r="C436" s="20" t="s">
        <v>3774</v>
      </c>
      <c r="D436" s="20" t="s">
        <v>5506</v>
      </c>
      <c r="E436" s="20" t="s">
        <v>5507</v>
      </c>
      <c r="F436" s="20" t="s">
        <v>1282</v>
      </c>
      <c r="G436" s="20" t="s">
        <v>3777</v>
      </c>
      <c r="H436" s="20" t="s">
        <v>6</v>
      </c>
      <c r="I436" s="39">
        <v>44743.691446863428</v>
      </c>
      <c r="J436" s="39">
        <v>44743.691446898149</v>
      </c>
      <c r="K436" s="20">
        <v>0</v>
      </c>
      <c r="L436" s="17" t="str">
        <f t="shared" si="6"/>
        <v>https://captureandgo.cloudlab.zhaw.ch/uploads/image_4031cd0d33.jpg</v>
      </c>
    </row>
    <row r="437" spans="1:12" ht="16" x14ac:dyDescent="0.2">
      <c r="A437" s="20" t="s">
        <v>5508</v>
      </c>
      <c r="B437" s="20" t="s">
        <v>5509</v>
      </c>
      <c r="C437" s="20" t="s">
        <v>3774</v>
      </c>
      <c r="D437" s="20" t="s">
        <v>5510</v>
      </c>
      <c r="E437" s="20" t="s">
        <v>5511</v>
      </c>
      <c r="F437" s="20" t="s">
        <v>1285</v>
      </c>
      <c r="G437" s="20" t="s">
        <v>3777</v>
      </c>
      <c r="H437" s="20" t="s">
        <v>6</v>
      </c>
      <c r="I437" s="39">
        <v>44743.692459409722</v>
      </c>
      <c r="J437" s="39">
        <v>44743.692459444443</v>
      </c>
      <c r="K437" s="20">
        <v>0</v>
      </c>
      <c r="L437" s="17" t="str">
        <f t="shared" si="6"/>
        <v>https://captureandgo.cloudlab.zhaw.ch/uploads/image_25b5a1c49b.jpg</v>
      </c>
    </row>
    <row r="438" spans="1:12" ht="16" x14ac:dyDescent="0.2">
      <c r="A438" s="20" t="s">
        <v>5512</v>
      </c>
      <c r="B438" s="20" t="s">
        <v>5513</v>
      </c>
      <c r="C438" s="20" t="s">
        <v>3774</v>
      </c>
      <c r="D438" s="20" t="s">
        <v>5514</v>
      </c>
      <c r="E438" s="20" t="s">
        <v>5515</v>
      </c>
      <c r="F438" s="20" t="s">
        <v>1288</v>
      </c>
      <c r="G438" s="20" t="s">
        <v>3777</v>
      </c>
      <c r="H438" s="20" t="s">
        <v>6</v>
      </c>
      <c r="I438" s="39">
        <v>44743.693110520835</v>
      </c>
      <c r="J438" s="39">
        <v>44743.693110555556</v>
      </c>
      <c r="K438" s="20">
        <v>0</v>
      </c>
      <c r="L438" s="17" t="str">
        <f t="shared" si="6"/>
        <v>https://captureandgo.cloudlab.zhaw.ch/uploads/image_72668e2989.jpg</v>
      </c>
    </row>
    <row r="439" spans="1:12" ht="16" x14ac:dyDescent="0.2">
      <c r="A439" s="20" t="s">
        <v>5516</v>
      </c>
      <c r="B439" s="20" t="s">
        <v>5517</v>
      </c>
      <c r="C439" s="20" t="s">
        <v>3774</v>
      </c>
      <c r="D439" s="20" t="s">
        <v>5518</v>
      </c>
      <c r="E439" s="20" t="s">
        <v>5519</v>
      </c>
      <c r="F439" s="20" t="s">
        <v>1292</v>
      </c>
      <c r="G439" s="20" t="s">
        <v>3777</v>
      </c>
      <c r="H439" s="20" t="s">
        <v>6</v>
      </c>
      <c r="I439" s="39">
        <v>44743.699259085646</v>
      </c>
      <c r="J439" s="39">
        <v>44743.699259120367</v>
      </c>
      <c r="K439" s="20">
        <v>0</v>
      </c>
      <c r="L439" s="17" t="str">
        <f t="shared" si="6"/>
        <v>https://captureandgo.cloudlab.zhaw.ch/uploads/image_f98c3b8b4f.jpg</v>
      </c>
    </row>
    <row r="440" spans="1:12" ht="16" x14ac:dyDescent="0.2">
      <c r="A440" s="20" t="s">
        <v>5520</v>
      </c>
      <c r="B440" s="20" t="s">
        <v>5521</v>
      </c>
      <c r="C440" s="20" t="s">
        <v>3774</v>
      </c>
      <c r="D440" s="20" t="s">
        <v>5522</v>
      </c>
      <c r="E440" s="20" t="s">
        <v>5523</v>
      </c>
      <c r="F440" s="20" t="s">
        <v>1295</v>
      </c>
      <c r="G440" s="20" t="s">
        <v>3777</v>
      </c>
      <c r="H440" s="20" t="s">
        <v>6</v>
      </c>
      <c r="I440" s="39">
        <v>44743.699667789355</v>
      </c>
      <c r="J440" s="39">
        <v>44743.699667824076</v>
      </c>
      <c r="K440" s="20">
        <v>0</v>
      </c>
      <c r="L440" s="17" t="str">
        <f t="shared" si="6"/>
        <v>https://captureandgo.cloudlab.zhaw.ch/uploads/image_4036b29802.jpg</v>
      </c>
    </row>
    <row r="441" spans="1:12" ht="16" x14ac:dyDescent="0.2">
      <c r="A441" s="20" t="s">
        <v>5524</v>
      </c>
      <c r="B441" s="20" t="s">
        <v>5525</v>
      </c>
      <c r="C441" s="20" t="s">
        <v>3774</v>
      </c>
      <c r="D441" s="20" t="s">
        <v>5526</v>
      </c>
      <c r="E441" s="20" t="s">
        <v>5527</v>
      </c>
      <c r="F441" s="20" t="s">
        <v>1298</v>
      </c>
      <c r="G441" s="20" t="s">
        <v>3777</v>
      </c>
      <c r="H441" s="20" t="s">
        <v>6</v>
      </c>
      <c r="I441" s="39">
        <v>44743.699959293983</v>
      </c>
      <c r="J441" s="39">
        <v>44743.699959328704</v>
      </c>
      <c r="K441" s="20">
        <v>0</v>
      </c>
      <c r="L441" s="17" t="str">
        <f t="shared" si="6"/>
        <v>https://captureandgo.cloudlab.zhaw.ch/uploads/image_8249e16aee.jpg</v>
      </c>
    </row>
    <row r="442" spans="1:12" ht="16" x14ac:dyDescent="0.2">
      <c r="A442" s="20" t="s">
        <v>5528</v>
      </c>
      <c r="B442" s="20" t="s">
        <v>5529</v>
      </c>
      <c r="C442" s="20" t="s">
        <v>3774</v>
      </c>
      <c r="D442" s="20" t="s">
        <v>5530</v>
      </c>
      <c r="E442" s="20" t="s">
        <v>5531</v>
      </c>
      <c r="F442" s="20" t="s">
        <v>1301</v>
      </c>
      <c r="G442" s="20" t="s">
        <v>3777</v>
      </c>
      <c r="H442" s="20" t="s">
        <v>6</v>
      </c>
      <c r="I442" s="39">
        <v>44743.700547731481</v>
      </c>
      <c r="J442" s="39">
        <v>44743.700547754626</v>
      </c>
      <c r="K442" s="20">
        <v>0</v>
      </c>
      <c r="L442" s="17" t="str">
        <f t="shared" si="6"/>
        <v>https://captureandgo.cloudlab.zhaw.ch/uploads/image_45cace3675.jpg</v>
      </c>
    </row>
    <row r="443" spans="1:12" ht="16" x14ac:dyDescent="0.2">
      <c r="A443" s="20" t="s">
        <v>5532</v>
      </c>
      <c r="B443" s="20" t="s">
        <v>5533</v>
      </c>
      <c r="C443" s="20" t="s">
        <v>3774</v>
      </c>
      <c r="D443" s="20" t="s">
        <v>5534</v>
      </c>
      <c r="E443" s="20" t="s">
        <v>5535</v>
      </c>
      <c r="F443" s="20" t="s">
        <v>1304</v>
      </c>
      <c r="G443" s="20" t="s">
        <v>3777</v>
      </c>
      <c r="H443" s="20" t="s">
        <v>6</v>
      </c>
      <c r="I443" s="39">
        <v>44743.702361909724</v>
      </c>
      <c r="J443" s="39">
        <v>44743.702361944444</v>
      </c>
      <c r="K443" s="20">
        <v>0</v>
      </c>
      <c r="L443" s="17" t="str">
        <f t="shared" si="6"/>
        <v>https://captureandgo.cloudlab.zhaw.ch/uploads/image_e906d8b5e2.jpg</v>
      </c>
    </row>
    <row r="444" spans="1:12" ht="16" x14ac:dyDescent="0.2">
      <c r="A444" s="20" t="s">
        <v>5536</v>
      </c>
      <c r="B444" s="20" t="s">
        <v>5537</v>
      </c>
      <c r="C444" s="20" t="s">
        <v>3774</v>
      </c>
      <c r="D444" s="20" t="s">
        <v>5538</v>
      </c>
      <c r="E444" s="20" t="s">
        <v>5539</v>
      </c>
      <c r="F444" s="20" t="s">
        <v>1307</v>
      </c>
      <c r="G444" s="20" t="s">
        <v>3777</v>
      </c>
      <c r="H444" s="20" t="s">
        <v>6</v>
      </c>
      <c r="I444" s="39">
        <v>44743.704038020835</v>
      </c>
      <c r="J444" s="39">
        <v>44743.704038067131</v>
      </c>
      <c r="K444" s="20">
        <v>0</v>
      </c>
      <c r="L444" s="17" t="str">
        <f t="shared" si="6"/>
        <v>https://captureandgo.cloudlab.zhaw.ch/uploads/image_52c6c52d29.jpg</v>
      </c>
    </row>
    <row r="445" spans="1:12" ht="16" x14ac:dyDescent="0.2">
      <c r="A445" s="20" t="s">
        <v>5540</v>
      </c>
      <c r="B445" s="20" t="s">
        <v>5541</v>
      </c>
      <c r="C445" s="20" t="s">
        <v>3774</v>
      </c>
      <c r="D445" s="20" t="s">
        <v>5542</v>
      </c>
      <c r="E445" s="20" t="s">
        <v>5543</v>
      </c>
      <c r="F445" s="20" t="s">
        <v>1310</v>
      </c>
      <c r="G445" s="20" t="s">
        <v>3777</v>
      </c>
      <c r="H445" s="20" t="s">
        <v>6</v>
      </c>
      <c r="I445" s="39">
        <v>44743.704685138888</v>
      </c>
      <c r="J445" s="39">
        <v>44743.704685173609</v>
      </c>
      <c r="K445" s="20">
        <v>0</v>
      </c>
      <c r="L445" s="17" t="str">
        <f t="shared" si="6"/>
        <v>https://captureandgo.cloudlab.zhaw.ch/uploads/image_790ec3c8c8.jpg</v>
      </c>
    </row>
    <row r="446" spans="1:12" ht="16" x14ac:dyDescent="0.2">
      <c r="A446" s="20" t="s">
        <v>5544</v>
      </c>
      <c r="B446" s="20" t="s">
        <v>5545</v>
      </c>
      <c r="C446" s="20" t="s">
        <v>3774</v>
      </c>
      <c r="D446" s="20" t="s">
        <v>5546</v>
      </c>
      <c r="E446" s="20" t="s">
        <v>5547</v>
      </c>
      <c r="F446" s="20" t="s">
        <v>1314</v>
      </c>
      <c r="G446" s="20" t="s">
        <v>3777</v>
      </c>
      <c r="H446" s="20" t="s">
        <v>6</v>
      </c>
      <c r="I446" s="39">
        <v>44743.705261840281</v>
      </c>
      <c r="J446" s="39">
        <v>44743.705261863426</v>
      </c>
      <c r="K446" s="20">
        <v>0</v>
      </c>
      <c r="L446" s="17" t="str">
        <f t="shared" si="6"/>
        <v>https://captureandgo.cloudlab.zhaw.ch/uploads/image_02ffb63939.jpg</v>
      </c>
    </row>
    <row r="447" spans="1:12" ht="16" x14ac:dyDescent="0.2">
      <c r="A447" s="20" t="s">
        <v>5548</v>
      </c>
      <c r="B447" s="20" t="s">
        <v>5549</v>
      </c>
      <c r="C447" s="20" t="s">
        <v>3774</v>
      </c>
      <c r="D447" s="20" t="s">
        <v>5550</v>
      </c>
      <c r="E447" s="20" t="s">
        <v>5551</v>
      </c>
      <c r="F447" s="20" t="s">
        <v>1317</v>
      </c>
      <c r="G447" s="20" t="s">
        <v>3777</v>
      </c>
      <c r="H447" s="20" t="s">
        <v>6</v>
      </c>
      <c r="I447" s="39">
        <v>44743.706293101852</v>
      </c>
      <c r="J447" s="39">
        <v>44743.706293136573</v>
      </c>
      <c r="K447" s="20">
        <v>0</v>
      </c>
      <c r="L447" s="17" t="str">
        <f t="shared" si="6"/>
        <v>https://captureandgo.cloudlab.zhaw.ch/uploads/image_3b59696394.jpg</v>
      </c>
    </row>
    <row r="448" spans="1:12" ht="16" x14ac:dyDescent="0.2">
      <c r="A448" s="20" t="s">
        <v>5552</v>
      </c>
      <c r="B448" s="20" t="s">
        <v>5553</v>
      </c>
      <c r="C448" s="20" t="s">
        <v>3774</v>
      </c>
      <c r="D448" s="20" t="s">
        <v>5554</v>
      </c>
      <c r="E448" s="20" t="s">
        <v>5555</v>
      </c>
      <c r="F448" s="20" t="s">
        <v>1320</v>
      </c>
      <c r="G448" s="20" t="s">
        <v>3777</v>
      </c>
      <c r="H448" s="20" t="s">
        <v>6</v>
      </c>
      <c r="I448" s="39">
        <v>44743.706588472225</v>
      </c>
      <c r="J448" s="39">
        <v>44743.706588506946</v>
      </c>
      <c r="K448" s="20">
        <v>0</v>
      </c>
      <c r="L448" s="17" t="str">
        <f t="shared" si="6"/>
        <v>https://captureandgo.cloudlab.zhaw.ch/uploads/image_75f17ffe30.jpg</v>
      </c>
    </row>
    <row r="449" spans="1:12" ht="16" x14ac:dyDescent="0.2">
      <c r="A449" s="20" t="s">
        <v>5556</v>
      </c>
      <c r="B449" s="20" t="s">
        <v>5557</v>
      </c>
      <c r="C449" s="20" t="s">
        <v>3774</v>
      </c>
      <c r="D449" s="20" t="s">
        <v>5558</v>
      </c>
      <c r="E449" s="20" t="s">
        <v>5559</v>
      </c>
      <c r="F449" s="20" t="s">
        <v>1323</v>
      </c>
      <c r="G449" s="20" t="s">
        <v>3777</v>
      </c>
      <c r="H449" s="20" t="s">
        <v>6</v>
      </c>
      <c r="I449" s="39">
        <v>44743.707868171296</v>
      </c>
      <c r="J449" s="39">
        <v>44743.707868645834</v>
      </c>
      <c r="K449" s="20">
        <v>0</v>
      </c>
      <c r="L449" s="17" t="str">
        <f t="shared" si="6"/>
        <v>https://captureandgo.cloudlab.zhaw.ch/uploads/image_681cb7f776.jpg</v>
      </c>
    </row>
    <row r="450" spans="1:12" ht="16" x14ac:dyDescent="0.2">
      <c r="A450" s="20" t="s">
        <v>5560</v>
      </c>
      <c r="B450" s="20" t="s">
        <v>5561</v>
      </c>
      <c r="C450" s="20" t="s">
        <v>3774</v>
      </c>
      <c r="D450" s="20" t="s">
        <v>5562</v>
      </c>
      <c r="E450" s="20" t="s">
        <v>5563</v>
      </c>
      <c r="F450" s="20" t="s">
        <v>1327</v>
      </c>
      <c r="G450" s="20" t="s">
        <v>3777</v>
      </c>
      <c r="H450" s="20" t="s">
        <v>6</v>
      </c>
      <c r="I450" s="39">
        <v>44743.709709745373</v>
      </c>
      <c r="J450" s="39">
        <v>44743.709709780094</v>
      </c>
      <c r="K450" s="20">
        <v>0</v>
      </c>
      <c r="L450" s="17" t="str">
        <f t="shared" ref="L450:L513" si="7">HYPERLINK("https://captureandgo.cloudlab.zhaw.ch"&amp;B450)</f>
        <v>https://captureandgo.cloudlab.zhaw.ch/uploads/image_8fd695d505.jpg</v>
      </c>
    </row>
    <row r="451" spans="1:12" ht="16" x14ac:dyDescent="0.2">
      <c r="A451" s="20" t="s">
        <v>5564</v>
      </c>
      <c r="B451" s="20" t="s">
        <v>5565</v>
      </c>
      <c r="C451" s="20" t="s">
        <v>3774</v>
      </c>
      <c r="D451" s="20" t="s">
        <v>5566</v>
      </c>
      <c r="E451" s="20" t="s">
        <v>5567</v>
      </c>
      <c r="F451" s="20" t="s">
        <v>1330</v>
      </c>
      <c r="G451" s="20" t="s">
        <v>3777</v>
      </c>
      <c r="H451" s="20" t="s">
        <v>6</v>
      </c>
      <c r="I451" s="39">
        <v>44743.71008527778</v>
      </c>
      <c r="J451" s="39">
        <v>44743.710085312501</v>
      </c>
      <c r="K451" s="20">
        <v>0</v>
      </c>
      <c r="L451" s="17" t="str">
        <f t="shared" si="7"/>
        <v>https://captureandgo.cloudlab.zhaw.ch/uploads/image_e96a292af5.jpg</v>
      </c>
    </row>
    <row r="452" spans="1:12" ht="16" x14ac:dyDescent="0.2">
      <c r="A452" s="20" t="s">
        <v>5568</v>
      </c>
      <c r="B452" s="20" t="s">
        <v>5569</v>
      </c>
      <c r="C452" s="20" t="s">
        <v>3774</v>
      </c>
      <c r="D452" s="20" t="s">
        <v>5570</v>
      </c>
      <c r="E452" s="20" t="s">
        <v>5571</v>
      </c>
      <c r="F452" s="20" t="s">
        <v>1333</v>
      </c>
      <c r="G452" s="20" t="s">
        <v>3777</v>
      </c>
      <c r="H452" s="20" t="s">
        <v>6</v>
      </c>
      <c r="I452" s="39">
        <v>44743.710807280091</v>
      </c>
      <c r="J452" s="39">
        <v>44743.710807303243</v>
      </c>
      <c r="K452" s="20">
        <v>0</v>
      </c>
      <c r="L452" s="17" t="str">
        <f t="shared" si="7"/>
        <v>https://captureandgo.cloudlab.zhaw.ch/uploads/image_1e3da3cd87.jpg</v>
      </c>
    </row>
    <row r="453" spans="1:12" ht="16" x14ac:dyDescent="0.2">
      <c r="A453" s="20" t="s">
        <v>5572</v>
      </c>
      <c r="B453" s="20" t="s">
        <v>5573</v>
      </c>
      <c r="C453" s="20" t="s">
        <v>3774</v>
      </c>
      <c r="D453" s="20" t="s">
        <v>5574</v>
      </c>
      <c r="E453" s="20" t="s">
        <v>5575</v>
      </c>
      <c r="F453" s="20" t="s">
        <v>1337</v>
      </c>
      <c r="G453" s="20" t="s">
        <v>3777</v>
      </c>
      <c r="H453" s="20" t="s">
        <v>6</v>
      </c>
      <c r="I453" s="39">
        <v>44743.711270914355</v>
      </c>
      <c r="J453" s="39">
        <v>44743.7112709375</v>
      </c>
      <c r="K453" s="20">
        <v>0</v>
      </c>
      <c r="L453" s="17" t="str">
        <f t="shared" si="7"/>
        <v>https://captureandgo.cloudlab.zhaw.ch/uploads/image_6e4b851c28.jpg</v>
      </c>
    </row>
    <row r="454" spans="1:12" ht="16" x14ac:dyDescent="0.2">
      <c r="A454" s="20" t="s">
        <v>5576</v>
      </c>
      <c r="B454" s="20" t="s">
        <v>5577</v>
      </c>
      <c r="C454" s="20" t="s">
        <v>3774</v>
      </c>
      <c r="D454" s="20" t="s">
        <v>5578</v>
      </c>
      <c r="E454" s="20" t="s">
        <v>5579</v>
      </c>
      <c r="F454" s="20" t="s">
        <v>1340</v>
      </c>
      <c r="G454" s="20" t="s">
        <v>3777</v>
      </c>
      <c r="H454" s="20" t="s">
        <v>6</v>
      </c>
      <c r="I454" s="39">
        <v>44743.711694791666</v>
      </c>
      <c r="J454" s="39">
        <v>44743.711694826387</v>
      </c>
      <c r="K454" s="20">
        <v>0</v>
      </c>
      <c r="L454" s="17" t="str">
        <f t="shared" si="7"/>
        <v>https://captureandgo.cloudlab.zhaw.ch/uploads/image_1c6a2ff8b4.jpg</v>
      </c>
    </row>
    <row r="455" spans="1:12" ht="16" x14ac:dyDescent="0.2">
      <c r="A455" s="20" t="s">
        <v>5580</v>
      </c>
      <c r="B455" s="20" t="s">
        <v>5581</v>
      </c>
      <c r="C455" s="20" t="s">
        <v>3774</v>
      </c>
      <c r="D455" s="20" t="s">
        <v>5582</v>
      </c>
      <c r="E455" s="20" t="s">
        <v>5583</v>
      </c>
      <c r="F455" s="20" t="s">
        <v>1343</v>
      </c>
      <c r="G455" s="20" t="s">
        <v>3777</v>
      </c>
      <c r="H455" s="20" t="s">
        <v>6</v>
      </c>
      <c r="I455" s="39">
        <v>44743.712283043984</v>
      </c>
      <c r="J455" s="39">
        <v>44743.712283078705</v>
      </c>
      <c r="K455" s="20">
        <v>0</v>
      </c>
      <c r="L455" s="17" t="str">
        <f t="shared" si="7"/>
        <v>https://captureandgo.cloudlab.zhaw.ch/uploads/image_c1b22f60eb.jpg</v>
      </c>
    </row>
    <row r="456" spans="1:12" ht="16" x14ac:dyDescent="0.2">
      <c r="A456" s="20" t="s">
        <v>5584</v>
      </c>
      <c r="B456" s="20" t="s">
        <v>5585</v>
      </c>
      <c r="C456" s="20" t="s">
        <v>3774</v>
      </c>
      <c r="D456" s="20" t="s">
        <v>5586</v>
      </c>
      <c r="E456" s="20" t="s">
        <v>5587</v>
      </c>
      <c r="F456" s="20" t="s">
        <v>1346</v>
      </c>
      <c r="G456" s="20" t="s">
        <v>3777</v>
      </c>
      <c r="H456" s="20" t="s">
        <v>6</v>
      </c>
      <c r="I456" s="39">
        <v>44743.713172245371</v>
      </c>
      <c r="J456" s="39">
        <v>44743.713172268515</v>
      </c>
      <c r="K456" s="20">
        <v>0</v>
      </c>
      <c r="L456" s="17" t="str">
        <f t="shared" si="7"/>
        <v>https://captureandgo.cloudlab.zhaw.ch/uploads/image_c0e7a9b309.jpg</v>
      </c>
    </row>
    <row r="457" spans="1:12" ht="16" x14ac:dyDescent="0.2">
      <c r="A457" s="20" t="s">
        <v>5588</v>
      </c>
      <c r="B457" s="20" t="s">
        <v>5589</v>
      </c>
      <c r="C457" s="20" t="s">
        <v>3774</v>
      </c>
      <c r="D457" s="20" t="s">
        <v>5590</v>
      </c>
      <c r="E457" s="20" t="s">
        <v>5591</v>
      </c>
      <c r="F457" s="20" t="s">
        <v>1346</v>
      </c>
      <c r="G457" s="20" t="s">
        <v>3777</v>
      </c>
      <c r="H457" s="20" t="s">
        <v>6</v>
      </c>
      <c r="I457" s="39">
        <v>44743.713492754629</v>
      </c>
      <c r="J457" s="39">
        <v>44743.713492777781</v>
      </c>
      <c r="K457" s="20">
        <v>0</v>
      </c>
      <c r="L457" s="17" t="str">
        <f t="shared" si="7"/>
        <v>https://captureandgo.cloudlab.zhaw.ch/uploads/image_72c9789ce4.jpg</v>
      </c>
    </row>
    <row r="458" spans="1:12" ht="16" x14ac:dyDescent="0.2">
      <c r="A458" s="20" t="s">
        <v>5592</v>
      </c>
      <c r="B458" s="20" t="s">
        <v>5593</v>
      </c>
      <c r="C458" s="20" t="s">
        <v>3774</v>
      </c>
      <c r="D458" s="20" t="s">
        <v>5594</v>
      </c>
      <c r="E458" s="20" t="s">
        <v>5595</v>
      </c>
      <c r="F458" s="20" t="s">
        <v>1346</v>
      </c>
      <c r="G458" s="20" t="s">
        <v>3777</v>
      </c>
      <c r="H458" s="20" t="s">
        <v>6</v>
      </c>
      <c r="I458" s="39">
        <v>44743.713568310188</v>
      </c>
      <c r="J458" s="39">
        <v>44743.713568333333</v>
      </c>
      <c r="K458" s="20">
        <v>0</v>
      </c>
      <c r="L458" s="17" t="str">
        <f t="shared" si="7"/>
        <v>https://captureandgo.cloudlab.zhaw.ch/uploads/image_3300be4ccf.jpg</v>
      </c>
    </row>
    <row r="459" spans="1:12" ht="16" x14ac:dyDescent="0.2">
      <c r="A459" s="20" t="s">
        <v>5596</v>
      </c>
      <c r="B459" s="20" t="s">
        <v>5597</v>
      </c>
      <c r="C459" s="20" t="s">
        <v>3774</v>
      </c>
      <c r="D459" s="20" t="s">
        <v>5598</v>
      </c>
      <c r="E459" s="20" t="s">
        <v>5599</v>
      </c>
      <c r="F459" s="20" t="s">
        <v>1350</v>
      </c>
      <c r="G459" s="20" t="s">
        <v>3777</v>
      </c>
      <c r="H459" s="20" t="s">
        <v>6</v>
      </c>
      <c r="I459" s="39">
        <v>44743.714137453702</v>
      </c>
      <c r="J459" s="39">
        <v>44743.714137488423</v>
      </c>
      <c r="K459" s="20">
        <v>0</v>
      </c>
      <c r="L459" s="17" t="str">
        <f t="shared" si="7"/>
        <v>https://captureandgo.cloudlab.zhaw.ch/uploads/image_b522bc248f.jpg</v>
      </c>
    </row>
    <row r="460" spans="1:12" ht="16" x14ac:dyDescent="0.2">
      <c r="A460" s="20" t="s">
        <v>5600</v>
      </c>
      <c r="B460" s="20" t="s">
        <v>5601</v>
      </c>
      <c r="C460" s="20" t="s">
        <v>3774</v>
      </c>
      <c r="D460" s="20" t="s">
        <v>5602</v>
      </c>
      <c r="E460" s="20" t="s">
        <v>5603</v>
      </c>
      <c r="F460" s="20" t="s">
        <v>1353</v>
      </c>
      <c r="G460" s="20" t="s">
        <v>3777</v>
      </c>
      <c r="H460" s="20" t="s">
        <v>6</v>
      </c>
      <c r="I460" s="39">
        <v>44743.714408900465</v>
      </c>
      <c r="J460" s="39">
        <v>44743.714408935186</v>
      </c>
      <c r="K460" s="20">
        <v>0</v>
      </c>
      <c r="L460" s="17" t="str">
        <f t="shared" si="7"/>
        <v>https://captureandgo.cloudlab.zhaw.ch/uploads/image_3995456074.jpg</v>
      </c>
    </row>
    <row r="461" spans="1:12" ht="16" x14ac:dyDescent="0.2">
      <c r="A461" s="20" t="s">
        <v>5604</v>
      </c>
      <c r="B461" s="20" t="s">
        <v>5605</v>
      </c>
      <c r="C461" s="20" t="s">
        <v>3774</v>
      </c>
      <c r="D461" s="20" t="s">
        <v>5606</v>
      </c>
      <c r="E461" s="20" t="s">
        <v>5607</v>
      </c>
      <c r="F461" s="20" t="s">
        <v>1356</v>
      </c>
      <c r="G461" s="20" t="s">
        <v>3777</v>
      </c>
      <c r="H461" s="20" t="s">
        <v>6</v>
      </c>
      <c r="I461" s="39">
        <v>44743.715304131947</v>
      </c>
      <c r="J461" s="39">
        <v>44743.715304166668</v>
      </c>
      <c r="K461" s="20">
        <v>0</v>
      </c>
      <c r="L461" s="17" t="str">
        <f t="shared" si="7"/>
        <v>https://captureandgo.cloudlab.zhaw.ch/uploads/image_7cb01dd3d4.jpg</v>
      </c>
    </row>
    <row r="462" spans="1:12" ht="16" x14ac:dyDescent="0.2">
      <c r="A462" s="20" t="s">
        <v>5608</v>
      </c>
      <c r="B462" s="20" t="s">
        <v>5609</v>
      </c>
      <c r="C462" s="20" t="s">
        <v>3774</v>
      </c>
      <c r="D462" s="20" t="s">
        <v>5610</v>
      </c>
      <c r="E462" s="20" t="s">
        <v>5611</v>
      </c>
      <c r="F462" s="20" t="s">
        <v>1359</v>
      </c>
      <c r="G462" s="20" t="s">
        <v>3777</v>
      </c>
      <c r="H462" s="20" t="s">
        <v>6</v>
      </c>
      <c r="I462" s="39">
        <v>44743.716337523147</v>
      </c>
      <c r="J462" s="39">
        <v>44743.716337557868</v>
      </c>
      <c r="K462" s="20">
        <v>0</v>
      </c>
      <c r="L462" s="17" t="str">
        <f t="shared" si="7"/>
        <v>https://captureandgo.cloudlab.zhaw.ch/uploads/image_d170a032da.jpg</v>
      </c>
    </row>
    <row r="463" spans="1:12" ht="16" x14ac:dyDescent="0.2">
      <c r="A463" s="20" t="s">
        <v>5612</v>
      </c>
      <c r="B463" s="20" t="s">
        <v>5613</v>
      </c>
      <c r="C463" s="20" t="s">
        <v>3774</v>
      </c>
      <c r="D463" s="20" t="s">
        <v>5614</v>
      </c>
      <c r="E463" s="20" t="s">
        <v>5615</v>
      </c>
      <c r="F463" s="20" t="s">
        <v>1362</v>
      </c>
      <c r="G463" s="20" t="s">
        <v>3777</v>
      </c>
      <c r="H463" s="20" t="s">
        <v>6</v>
      </c>
      <c r="I463" s="39">
        <v>44743.717146145835</v>
      </c>
      <c r="J463" s="39">
        <v>44743.717146180556</v>
      </c>
      <c r="K463" s="20">
        <v>0</v>
      </c>
      <c r="L463" s="17" t="str">
        <f t="shared" si="7"/>
        <v>https://captureandgo.cloudlab.zhaw.ch/uploads/image_ee71bae5e1.jpg</v>
      </c>
    </row>
    <row r="464" spans="1:12" ht="16" x14ac:dyDescent="0.2">
      <c r="A464" s="20" t="s">
        <v>5616</v>
      </c>
      <c r="B464" s="20" t="s">
        <v>5617</v>
      </c>
      <c r="C464" s="20" t="s">
        <v>3774</v>
      </c>
      <c r="D464" s="20" t="s">
        <v>5618</v>
      </c>
      <c r="E464" s="20" t="s">
        <v>5619</v>
      </c>
      <c r="F464" s="20" t="s">
        <v>1365</v>
      </c>
      <c r="G464" s="20" t="s">
        <v>3777</v>
      </c>
      <c r="H464" s="20" t="s">
        <v>6</v>
      </c>
      <c r="I464" s="39">
        <v>44743.717925821758</v>
      </c>
      <c r="J464" s="39">
        <v>44743.717925856479</v>
      </c>
      <c r="K464" s="20">
        <v>0</v>
      </c>
      <c r="L464" s="17" t="str">
        <f t="shared" si="7"/>
        <v>https://captureandgo.cloudlab.zhaw.ch/uploads/image_a01b751efd.jpg</v>
      </c>
    </row>
    <row r="465" spans="1:12" ht="16" x14ac:dyDescent="0.2">
      <c r="A465" s="20" t="s">
        <v>5620</v>
      </c>
      <c r="B465" s="20" t="s">
        <v>5621</v>
      </c>
      <c r="C465" s="20" t="s">
        <v>3774</v>
      </c>
      <c r="D465" s="20" t="s">
        <v>5622</v>
      </c>
      <c r="E465" s="20" t="s">
        <v>5623</v>
      </c>
      <c r="F465" s="20" t="s">
        <v>1368</v>
      </c>
      <c r="G465" s="20" t="s">
        <v>3777</v>
      </c>
      <c r="H465" s="20" t="s">
        <v>6</v>
      </c>
      <c r="I465" s="39">
        <v>44743.718339131941</v>
      </c>
      <c r="J465" s="39">
        <v>44743.718339166669</v>
      </c>
      <c r="K465" s="20">
        <v>0</v>
      </c>
      <c r="L465" s="17" t="str">
        <f t="shared" si="7"/>
        <v>https://captureandgo.cloudlab.zhaw.ch/uploads/image_869703eed6.jpg</v>
      </c>
    </row>
    <row r="466" spans="1:12" ht="16" x14ac:dyDescent="0.2">
      <c r="A466" s="20" t="s">
        <v>5624</v>
      </c>
      <c r="B466" s="20" t="s">
        <v>5625</v>
      </c>
      <c r="C466" s="20" t="s">
        <v>3774</v>
      </c>
      <c r="D466" s="20" t="s">
        <v>5626</v>
      </c>
      <c r="E466" s="20" t="s">
        <v>5627</v>
      </c>
      <c r="F466" s="20" t="s">
        <v>1371</v>
      </c>
      <c r="G466" s="20" t="s">
        <v>3777</v>
      </c>
      <c r="H466" s="20" t="s">
        <v>6</v>
      </c>
      <c r="I466" s="39">
        <v>44743.719345034726</v>
      </c>
      <c r="J466" s="39">
        <v>44743.719345069447</v>
      </c>
      <c r="K466" s="20">
        <v>0</v>
      </c>
      <c r="L466" s="17" t="str">
        <f t="shared" si="7"/>
        <v>https://captureandgo.cloudlab.zhaw.ch/uploads/image_e1f8846be0.jpg</v>
      </c>
    </row>
    <row r="467" spans="1:12" ht="16" x14ac:dyDescent="0.2">
      <c r="A467" s="20" t="s">
        <v>5628</v>
      </c>
      <c r="B467" s="20" t="s">
        <v>5629</v>
      </c>
      <c r="C467" s="20" t="s">
        <v>3774</v>
      </c>
      <c r="D467" s="20" t="s">
        <v>5630</v>
      </c>
      <c r="E467" s="20" t="s">
        <v>5631</v>
      </c>
      <c r="F467" s="20" t="s">
        <v>1374</v>
      </c>
      <c r="G467" s="20" t="s">
        <v>3777</v>
      </c>
      <c r="H467" s="20" t="s">
        <v>6</v>
      </c>
      <c r="I467" s="39">
        <v>44743.719860335645</v>
      </c>
      <c r="J467" s="39">
        <v>44743.719860358797</v>
      </c>
      <c r="K467" s="20">
        <v>0</v>
      </c>
      <c r="L467" s="17" t="str">
        <f t="shared" si="7"/>
        <v>https://captureandgo.cloudlab.zhaw.ch/uploads/image_97910cfcb9.jpg</v>
      </c>
    </row>
    <row r="468" spans="1:12" ht="16" x14ac:dyDescent="0.2">
      <c r="A468" s="20" t="s">
        <v>5632</v>
      </c>
      <c r="B468" s="20" t="s">
        <v>5633</v>
      </c>
      <c r="C468" s="20" t="s">
        <v>3774</v>
      </c>
      <c r="D468" s="20" t="s">
        <v>5634</v>
      </c>
      <c r="E468" s="20" t="s">
        <v>5635</v>
      </c>
      <c r="F468" s="20" t="s">
        <v>1377</v>
      </c>
      <c r="G468" s="20" t="s">
        <v>3777</v>
      </c>
      <c r="H468" s="20" t="s">
        <v>6</v>
      </c>
      <c r="I468" s="39">
        <v>44743.720765914353</v>
      </c>
      <c r="J468" s="39">
        <v>44743.720765949074</v>
      </c>
      <c r="K468" s="20">
        <v>0</v>
      </c>
      <c r="L468" s="17" t="str">
        <f t="shared" si="7"/>
        <v>https://captureandgo.cloudlab.zhaw.ch/uploads/image_879318b821.jpg</v>
      </c>
    </row>
    <row r="469" spans="1:12" ht="16" x14ac:dyDescent="0.2">
      <c r="A469" s="20" t="s">
        <v>5636</v>
      </c>
      <c r="B469" s="20" t="s">
        <v>5637</v>
      </c>
      <c r="C469" s="20" t="s">
        <v>3774</v>
      </c>
      <c r="D469" s="20" t="s">
        <v>5638</v>
      </c>
      <c r="E469" s="20" t="s">
        <v>5639</v>
      </c>
      <c r="F469" s="20" t="s">
        <v>1380</v>
      </c>
      <c r="G469" s="20" t="s">
        <v>3777</v>
      </c>
      <c r="H469" s="20" t="s">
        <v>6</v>
      </c>
      <c r="I469" s="39">
        <v>44743.722418379628</v>
      </c>
      <c r="J469" s="39">
        <v>44743.722418414349</v>
      </c>
      <c r="K469" s="20">
        <v>0</v>
      </c>
      <c r="L469" s="17" t="str">
        <f t="shared" si="7"/>
        <v>https://captureandgo.cloudlab.zhaw.ch/uploads/image_7043446656.jpg</v>
      </c>
    </row>
    <row r="470" spans="1:12" ht="16" x14ac:dyDescent="0.2">
      <c r="A470" s="20" t="s">
        <v>5640</v>
      </c>
      <c r="B470" s="20" t="s">
        <v>5641</v>
      </c>
      <c r="C470" s="20" t="s">
        <v>3774</v>
      </c>
      <c r="D470" s="20" t="s">
        <v>5642</v>
      </c>
      <c r="E470" s="20" t="s">
        <v>5643</v>
      </c>
      <c r="F470" s="20" t="s">
        <v>1383</v>
      </c>
      <c r="G470" s="20" t="s">
        <v>3777</v>
      </c>
      <c r="H470" s="20" t="s">
        <v>6</v>
      </c>
      <c r="I470" s="39">
        <v>44743.724854502318</v>
      </c>
      <c r="J470" s="39">
        <v>44743.724854537038</v>
      </c>
      <c r="K470" s="20">
        <v>0</v>
      </c>
      <c r="L470" s="17" t="str">
        <f t="shared" si="7"/>
        <v>https://captureandgo.cloudlab.zhaw.ch/uploads/image_172b7e0c2c.jpg</v>
      </c>
    </row>
    <row r="471" spans="1:12" ht="16" x14ac:dyDescent="0.2">
      <c r="A471" s="20" t="s">
        <v>5644</v>
      </c>
      <c r="B471" s="20" t="s">
        <v>5645</v>
      </c>
      <c r="C471" s="20" t="s">
        <v>3774</v>
      </c>
      <c r="D471" s="20" t="s">
        <v>5646</v>
      </c>
      <c r="E471" s="20" t="s">
        <v>5647</v>
      </c>
      <c r="F471" s="20" t="s">
        <v>1388</v>
      </c>
      <c r="G471" s="20" t="s">
        <v>3777</v>
      </c>
      <c r="H471" s="20" t="s">
        <v>6</v>
      </c>
      <c r="I471" s="39">
        <v>44743.726176261574</v>
      </c>
      <c r="J471" s="39">
        <v>44743.726176296295</v>
      </c>
      <c r="K471" s="20">
        <v>0</v>
      </c>
      <c r="L471" s="17" t="str">
        <f t="shared" si="7"/>
        <v>https://captureandgo.cloudlab.zhaw.ch/uploads/image_e1ee9eb060.jpg</v>
      </c>
    </row>
    <row r="472" spans="1:12" ht="16" x14ac:dyDescent="0.2">
      <c r="A472" s="20" t="s">
        <v>5648</v>
      </c>
      <c r="B472" s="20" t="s">
        <v>5649</v>
      </c>
      <c r="C472" s="20" t="s">
        <v>3774</v>
      </c>
      <c r="D472" s="20" t="s">
        <v>5650</v>
      </c>
      <c r="E472" s="20" t="s">
        <v>5651</v>
      </c>
      <c r="F472" s="20" t="s">
        <v>1391</v>
      </c>
      <c r="G472" s="20" t="s">
        <v>3777</v>
      </c>
      <c r="H472" s="20" t="s">
        <v>6</v>
      </c>
      <c r="I472" s="39">
        <v>44743.726534293979</v>
      </c>
      <c r="J472" s="39">
        <v>44743.726534328707</v>
      </c>
      <c r="K472" s="20">
        <v>0</v>
      </c>
      <c r="L472" s="17" t="str">
        <f t="shared" si="7"/>
        <v>https://captureandgo.cloudlab.zhaw.ch/uploads/image_191c8ca5d7.jpg</v>
      </c>
    </row>
    <row r="473" spans="1:12" ht="16" x14ac:dyDescent="0.2">
      <c r="A473" s="20" t="s">
        <v>5652</v>
      </c>
      <c r="B473" s="20" t="s">
        <v>5653</v>
      </c>
      <c r="C473" s="20" t="s">
        <v>3774</v>
      </c>
      <c r="D473" s="20" t="s">
        <v>5654</v>
      </c>
      <c r="E473" s="20" t="s">
        <v>5655</v>
      </c>
      <c r="F473" s="20" t="s">
        <v>1394</v>
      </c>
      <c r="G473" s="20" t="s">
        <v>3777</v>
      </c>
      <c r="H473" s="20" t="s">
        <v>6</v>
      </c>
      <c r="I473" s="39">
        <v>44743.727218182874</v>
      </c>
      <c r="J473" s="39">
        <v>44743.727218217595</v>
      </c>
      <c r="K473" s="20">
        <v>0</v>
      </c>
      <c r="L473" s="17" t="str">
        <f t="shared" si="7"/>
        <v>https://captureandgo.cloudlab.zhaw.ch/uploads/image_f2c0e3e086.jpg</v>
      </c>
    </row>
    <row r="474" spans="1:12" ht="16" x14ac:dyDescent="0.2">
      <c r="A474" s="20" t="s">
        <v>5656</v>
      </c>
      <c r="B474" s="20" t="s">
        <v>5657</v>
      </c>
      <c r="C474" s="20" t="s">
        <v>3774</v>
      </c>
      <c r="D474" s="20" t="s">
        <v>5658</v>
      </c>
      <c r="E474" s="20" t="s">
        <v>5659</v>
      </c>
      <c r="F474" s="20" t="s">
        <v>1397</v>
      </c>
      <c r="G474" s="20" t="s">
        <v>3777</v>
      </c>
      <c r="H474" s="20" t="s">
        <v>6</v>
      </c>
      <c r="I474" s="39">
        <v>44743.728315520835</v>
      </c>
      <c r="J474" s="39">
        <v>44743.728315555556</v>
      </c>
      <c r="K474" s="20">
        <v>0</v>
      </c>
      <c r="L474" s="17" t="str">
        <f t="shared" si="7"/>
        <v>https://captureandgo.cloudlab.zhaw.ch/uploads/image_ba6d48a651.jpg</v>
      </c>
    </row>
    <row r="475" spans="1:12" ht="16" x14ac:dyDescent="0.2">
      <c r="A475" s="20" t="s">
        <v>5660</v>
      </c>
      <c r="B475" s="20" t="s">
        <v>5661</v>
      </c>
      <c r="C475" s="20" t="s">
        <v>3774</v>
      </c>
      <c r="D475" s="20" t="s">
        <v>5662</v>
      </c>
      <c r="E475" s="20" t="s">
        <v>5663</v>
      </c>
      <c r="F475" s="20" t="s">
        <v>1400</v>
      </c>
      <c r="G475" s="20" t="s">
        <v>3777</v>
      </c>
      <c r="H475" s="20" t="s">
        <v>6</v>
      </c>
      <c r="I475" s="39">
        <v>44743.729117719908</v>
      </c>
      <c r="J475" s="39">
        <v>44743.729117754629</v>
      </c>
      <c r="K475" s="20">
        <v>0</v>
      </c>
      <c r="L475" s="17" t="str">
        <f t="shared" si="7"/>
        <v>https://captureandgo.cloudlab.zhaw.ch/uploads/image_85e7dfd788.jpg</v>
      </c>
    </row>
    <row r="476" spans="1:12" ht="16" x14ac:dyDescent="0.2">
      <c r="A476" s="20" t="s">
        <v>5664</v>
      </c>
      <c r="B476" s="20" t="s">
        <v>5665</v>
      </c>
      <c r="C476" s="20" t="s">
        <v>3774</v>
      </c>
      <c r="D476" s="20" t="s">
        <v>5666</v>
      </c>
      <c r="E476" s="20" t="s">
        <v>5667</v>
      </c>
      <c r="F476" s="20" t="s">
        <v>1403</v>
      </c>
      <c r="G476" s="20" t="s">
        <v>3777</v>
      </c>
      <c r="H476" s="20" t="s">
        <v>6</v>
      </c>
      <c r="I476" s="39">
        <v>44743.730841157405</v>
      </c>
      <c r="J476" s="39">
        <v>44743.730841203702</v>
      </c>
      <c r="K476" s="20">
        <v>0</v>
      </c>
      <c r="L476" s="17" t="str">
        <f t="shared" si="7"/>
        <v>https://captureandgo.cloudlab.zhaw.ch/uploads/image_433b81d2ef.jpg</v>
      </c>
    </row>
    <row r="477" spans="1:12" ht="16" x14ac:dyDescent="0.2">
      <c r="A477" s="20" t="s">
        <v>5668</v>
      </c>
      <c r="B477" s="20" t="s">
        <v>5669</v>
      </c>
      <c r="C477" s="20" t="s">
        <v>3774</v>
      </c>
      <c r="D477" s="20" t="s">
        <v>5670</v>
      </c>
      <c r="E477" s="20" t="s">
        <v>5671</v>
      </c>
      <c r="F477" s="20" t="s">
        <v>1407</v>
      </c>
      <c r="G477" s="20" t="s">
        <v>3777</v>
      </c>
      <c r="H477" s="20" t="s">
        <v>6</v>
      </c>
      <c r="I477" s="39">
        <v>44743.732768888891</v>
      </c>
      <c r="J477" s="39">
        <v>44743.732768935188</v>
      </c>
      <c r="K477" s="20">
        <v>0</v>
      </c>
      <c r="L477" s="17" t="str">
        <f t="shared" si="7"/>
        <v>https://captureandgo.cloudlab.zhaw.ch/uploads/image_f27fd60018.jpg</v>
      </c>
    </row>
    <row r="478" spans="1:12" ht="16" x14ac:dyDescent="0.2">
      <c r="A478" s="20" t="s">
        <v>5672</v>
      </c>
      <c r="B478" s="20" t="s">
        <v>5673</v>
      </c>
      <c r="C478" s="20" t="s">
        <v>3774</v>
      </c>
      <c r="D478" s="20" t="s">
        <v>5674</v>
      </c>
      <c r="E478" s="20" t="s">
        <v>5675</v>
      </c>
      <c r="F478" s="20" t="s">
        <v>1413</v>
      </c>
      <c r="G478" s="20" t="s">
        <v>3777</v>
      </c>
      <c r="H478" s="20" t="s">
        <v>6</v>
      </c>
      <c r="I478" s="39">
        <v>44743.735123865743</v>
      </c>
      <c r="J478" s="39">
        <v>44743.735123900464</v>
      </c>
      <c r="K478" s="20">
        <v>0</v>
      </c>
      <c r="L478" s="17" t="str">
        <f t="shared" si="7"/>
        <v>https://captureandgo.cloudlab.zhaw.ch/uploads/image_f1d43362c9.jpg</v>
      </c>
    </row>
    <row r="479" spans="1:12" ht="16" x14ac:dyDescent="0.2">
      <c r="A479" s="20" t="s">
        <v>5676</v>
      </c>
      <c r="B479" s="20" t="s">
        <v>5677</v>
      </c>
      <c r="C479" s="20" t="s">
        <v>3774</v>
      </c>
      <c r="D479" s="20" t="s">
        <v>5678</v>
      </c>
      <c r="E479" s="20" t="s">
        <v>5679</v>
      </c>
      <c r="F479" s="20" t="s">
        <v>1413</v>
      </c>
      <c r="G479" s="20" t="s">
        <v>3777</v>
      </c>
      <c r="H479" s="20" t="s">
        <v>6</v>
      </c>
      <c r="I479" s="39">
        <v>44743.735154895832</v>
      </c>
      <c r="J479" s="39">
        <v>44743.735154918984</v>
      </c>
      <c r="K479" s="20">
        <v>0</v>
      </c>
      <c r="L479" s="17" t="str">
        <f t="shared" si="7"/>
        <v>https://captureandgo.cloudlab.zhaw.ch/uploads/image_a88e01a58d.jpg</v>
      </c>
    </row>
    <row r="480" spans="1:12" ht="16" x14ac:dyDescent="0.2">
      <c r="A480" s="20" t="s">
        <v>5680</v>
      </c>
      <c r="B480" s="20" t="s">
        <v>5681</v>
      </c>
      <c r="C480" s="20" t="s">
        <v>3774</v>
      </c>
      <c r="D480" s="20" t="s">
        <v>5682</v>
      </c>
      <c r="E480" s="20" t="s">
        <v>5683</v>
      </c>
      <c r="F480" s="20" t="s">
        <v>1413</v>
      </c>
      <c r="G480" s="20" t="s">
        <v>3777</v>
      </c>
      <c r="H480" s="20" t="s">
        <v>6</v>
      </c>
      <c r="I480" s="39">
        <v>44743.735245474534</v>
      </c>
      <c r="J480" s="39">
        <v>44743.735245497686</v>
      </c>
      <c r="K480" s="20">
        <v>0</v>
      </c>
      <c r="L480" s="17" t="str">
        <f t="shared" si="7"/>
        <v>https://captureandgo.cloudlab.zhaw.ch/uploads/image_b89156088b.jpg</v>
      </c>
    </row>
    <row r="481" spans="1:12" ht="16" x14ac:dyDescent="0.2">
      <c r="A481" s="20" t="s">
        <v>5684</v>
      </c>
      <c r="B481" s="20" t="s">
        <v>5685</v>
      </c>
      <c r="C481" s="20" t="s">
        <v>3774</v>
      </c>
      <c r="D481" s="20" t="s">
        <v>5686</v>
      </c>
      <c r="E481" s="20" t="s">
        <v>5687</v>
      </c>
      <c r="F481" s="20" t="s">
        <v>1416</v>
      </c>
      <c r="G481" s="20" t="s">
        <v>3777</v>
      </c>
      <c r="H481" s="20" t="s">
        <v>6</v>
      </c>
      <c r="I481" s="39">
        <v>44743.73652337963</v>
      </c>
      <c r="J481" s="39">
        <v>44743.736523414351</v>
      </c>
      <c r="K481" s="20">
        <v>0</v>
      </c>
      <c r="L481" s="17" t="str">
        <f t="shared" si="7"/>
        <v>https://captureandgo.cloudlab.zhaw.ch/uploads/image_c40093ad4b.jpg</v>
      </c>
    </row>
    <row r="482" spans="1:12" ht="16" x14ac:dyDescent="0.2">
      <c r="A482" s="20" t="s">
        <v>5688</v>
      </c>
      <c r="B482" s="20" t="s">
        <v>5689</v>
      </c>
      <c r="C482" s="20" t="s">
        <v>3774</v>
      </c>
      <c r="D482" s="20" t="s">
        <v>5690</v>
      </c>
      <c r="E482" s="20" t="s">
        <v>5691</v>
      </c>
      <c r="F482" s="20" t="s">
        <v>1419</v>
      </c>
      <c r="G482" s="20" t="s">
        <v>3777</v>
      </c>
      <c r="H482" s="20" t="s">
        <v>6</v>
      </c>
      <c r="I482" s="39">
        <v>44743.73683465278</v>
      </c>
      <c r="J482" s="39">
        <v>44743.736834687501</v>
      </c>
      <c r="K482" s="20">
        <v>0</v>
      </c>
      <c r="L482" s="17" t="str">
        <f t="shared" si="7"/>
        <v>https://captureandgo.cloudlab.zhaw.ch/uploads/image_527f6ce9c3.jpg</v>
      </c>
    </row>
    <row r="483" spans="1:12" ht="16" x14ac:dyDescent="0.2">
      <c r="A483" s="20" t="s">
        <v>5692</v>
      </c>
      <c r="B483" s="20" t="s">
        <v>5693</v>
      </c>
      <c r="C483" s="20" t="s">
        <v>3774</v>
      </c>
      <c r="D483" s="20" t="s">
        <v>5694</v>
      </c>
      <c r="E483" s="20" t="s">
        <v>5695</v>
      </c>
      <c r="F483" s="20" t="s">
        <v>1422</v>
      </c>
      <c r="G483" s="20" t="s">
        <v>3777</v>
      </c>
      <c r="H483" s="20" t="s">
        <v>6</v>
      </c>
      <c r="I483" s="39">
        <v>44747.396481793985</v>
      </c>
      <c r="J483" s="39">
        <v>44747.396481863427</v>
      </c>
      <c r="K483" s="20">
        <v>0</v>
      </c>
      <c r="L483" s="17" t="str">
        <f t="shared" si="7"/>
        <v>https://captureandgo.cloudlab.zhaw.ch/uploads/image_e2b391ad6a.jpg</v>
      </c>
    </row>
    <row r="484" spans="1:12" ht="16" x14ac:dyDescent="0.2">
      <c r="A484" s="20" t="s">
        <v>5696</v>
      </c>
      <c r="B484" s="20" t="s">
        <v>5697</v>
      </c>
      <c r="C484" s="20" t="s">
        <v>3774</v>
      </c>
      <c r="D484" s="20" t="s">
        <v>5698</v>
      </c>
      <c r="E484" s="20" t="s">
        <v>5699</v>
      </c>
      <c r="F484" s="20" t="s">
        <v>1422</v>
      </c>
      <c r="G484" s="20" t="s">
        <v>3777</v>
      </c>
      <c r="H484" s="20" t="s">
        <v>6</v>
      </c>
      <c r="I484" s="39">
        <v>44747.396806817131</v>
      </c>
      <c r="J484" s="39">
        <v>44747.396806863428</v>
      </c>
      <c r="K484" s="20">
        <v>0</v>
      </c>
      <c r="L484" s="17" t="str">
        <f t="shared" si="7"/>
        <v>https://captureandgo.cloudlab.zhaw.ch/uploads/image_41eab1762c.jpg</v>
      </c>
    </row>
    <row r="485" spans="1:12" ht="16" x14ac:dyDescent="0.2">
      <c r="A485" s="20" t="s">
        <v>5700</v>
      </c>
      <c r="B485" s="20" t="s">
        <v>5701</v>
      </c>
      <c r="C485" s="20" t="s">
        <v>3774</v>
      </c>
      <c r="D485" s="20" t="s">
        <v>5702</v>
      </c>
      <c r="E485" s="20" t="s">
        <v>5703</v>
      </c>
      <c r="F485" s="20" t="s">
        <v>1422</v>
      </c>
      <c r="G485" s="20" t="s">
        <v>3777</v>
      </c>
      <c r="H485" s="20" t="s">
        <v>6</v>
      </c>
      <c r="I485" s="39">
        <v>44747.396874201389</v>
      </c>
      <c r="J485" s="39">
        <v>44747.396874247686</v>
      </c>
      <c r="K485" s="20">
        <v>0</v>
      </c>
      <c r="L485" s="17" t="str">
        <f t="shared" si="7"/>
        <v>https://captureandgo.cloudlab.zhaw.ch/uploads/image_a616306291.jpg</v>
      </c>
    </row>
    <row r="486" spans="1:12" ht="16" x14ac:dyDescent="0.2">
      <c r="A486" s="20" t="s">
        <v>5704</v>
      </c>
      <c r="B486" s="20" t="s">
        <v>5705</v>
      </c>
      <c r="C486" s="20" t="s">
        <v>3774</v>
      </c>
      <c r="D486" s="20" t="s">
        <v>5706</v>
      </c>
      <c r="E486" s="20" t="s">
        <v>5707</v>
      </c>
      <c r="F486" s="20" t="s">
        <v>1425</v>
      </c>
      <c r="G486" s="20" t="s">
        <v>3777</v>
      </c>
      <c r="H486" s="20" t="s">
        <v>6</v>
      </c>
      <c r="I486" s="39">
        <v>44747.397378831018</v>
      </c>
      <c r="J486" s="39">
        <v>44747.397378877315</v>
      </c>
      <c r="K486" s="20">
        <v>0</v>
      </c>
      <c r="L486" s="17" t="str">
        <f t="shared" si="7"/>
        <v>https://captureandgo.cloudlab.zhaw.ch/uploads/image_4804273e6e.jpg</v>
      </c>
    </row>
    <row r="487" spans="1:12" ht="16" x14ac:dyDescent="0.2">
      <c r="A487" s="20" t="s">
        <v>5708</v>
      </c>
      <c r="B487" s="20" t="s">
        <v>5709</v>
      </c>
      <c r="C487" s="20" t="s">
        <v>3774</v>
      </c>
      <c r="D487" s="20" t="s">
        <v>5710</v>
      </c>
      <c r="E487" s="20" t="s">
        <v>5711</v>
      </c>
      <c r="F487" s="20" t="s">
        <v>1428</v>
      </c>
      <c r="G487" s="20" t="s">
        <v>3777</v>
      </c>
      <c r="H487" s="20" t="s">
        <v>6</v>
      </c>
      <c r="I487" s="39">
        <v>44747.397689189813</v>
      </c>
      <c r="J487" s="39">
        <v>44747.397689224534</v>
      </c>
      <c r="K487" s="20">
        <v>0</v>
      </c>
      <c r="L487" s="17" t="str">
        <f t="shared" si="7"/>
        <v>https://captureandgo.cloudlab.zhaw.ch/uploads/image_07ab1348a2.jpg</v>
      </c>
    </row>
    <row r="488" spans="1:12" ht="16" x14ac:dyDescent="0.2">
      <c r="A488" s="20" t="s">
        <v>5712</v>
      </c>
      <c r="B488" s="20" t="s">
        <v>5713</v>
      </c>
      <c r="C488" s="20" t="s">
        <v>3774</v>
      </c>
      <c r="D488" s="20" t="s">
        <v>5714</v>
      </c>
      <c r="E488" s="20" t="s">
        <v>5715</v>
      </c>
      <c r="F488" s="20" t="s">
        <v>1428</v>
      </c>
      <c r="G488" s="20" t="s">
        <v>3777</v>
      </c>
      <c r="H488" s="20" t="s">
        <v>6</v>
      </c>
      <c r="I488" s="39">
        <v>44747.397736157407</v>
      </c>
      <c r="J488" s="39">
        <v>44747.397736192128</v>
      </c>
      <c r="K488" s="20">
        <v>0</v>
      </c>
      <c r="L488" s="17" t="str">
        <f t="shared" si="7"/>
        <v>https://captureandgo.cloudlab.zhaw.ch/uploads/image_a84d366ae6.jpg</v>
      </c>
    </row>
    <row r="489" spans="1:12" ht="16" x14ac:dyDescent="0.2">
      <c r="A489" s="20" t="s">
        <v>5716</v>
      </c>
      <c r="B489" s="20" t="s">
        <v>5717</v>
      </c>
      <c r="C489" s="20" t="s">
        <v>3774</v>
      </c>
      <c r="D489" s="20" t="s">
        <v>5718</v>
      </c>
      <c r="E489" s="20" t="s">
        <v>5719</v>
      </c>
      <c r="F489" s="20" t="s">
        <v>1428</v>
      </c>
      <c r="G489" s="20" t="s">
        <v>3777</v>
      </c>
      <c r="H489" s="20" t="s">
        <v>6</v>
      </c>
      <c r="I489" s="39">
        <v>44747.397772291668</v>
      </c>
      <c r="J489" s="39">
        <v>44747.397772627315</v>
      </c>
      <c r="K489" s="20">
        <v>0</v>
      </c>
      <c r="L489" s="17" t="str">
        <f t="shared" si="7"/>
        <v>https://captureandgo.cloudlab.zhaw.ch/uploads/image_6fd39a4ee3.jpg</v>
      </c>
    </row>
    <row r="490" spans="1:12" ht="16" x14ac:dyDescent="0.2">
      <c r="A490" s="20" t="s">
        <v>5720</v>
      </c>
      <c r="B490" s="20" t="s">
        <v>5721</v>
      </c>
      <c r="C490" s="20" t="s">
        <v>3774</v>
      </c>
      <c r="D490" s="20" t="s">
        <v>5722</v>
      </c>
      <c r="E490" s="20" t="s">
        <v>5723</v>
      </c>
      <c r="F490" s="20" t="s">
        <v>1431</v>
      </c>
      <c r="G490" s="20" t="s">
        <v>3777</v>
      </c>
      <c r="H490" s="20" t="s">
        <v>6</v>
      </c>
      <c r="I490" s="39">
        <v>44747.398432430557</v>
      </c>
      <c r="J490" s="39">
        <v>44747.398432465277</v>
      </c>
      <c r="K490" s="20">
        <v>0</v>
      </c>
      <c r="L490" s="17" t="str">
        <f t="shared" si="7"/>
        <v>https://captureandgo.cloudlab.zhaw.ch/uploads/image_a892743881.jpg</v>
      </c>
    </row>
    <row r="491" spans="1:12" ht="16" x14ac:dyDescent="0.2">
      <c r="A491" s="20" t="s">
        <v>5724</v>
      </c>
      <c r="B491" s="20" t="s">
        <v>5725</v>
      </c>
      <c r="C491" s="20" t="s">
        <v>3774</v>
      </c>
      <c r="D491" s="20" t="s">
        <v>5726</v>
      </c>
      <c r="E491" s="20" t="s">
        <v>5727</v>
      </c>
      <c r="F491" s="20" t="s">
        <v>1434</v>
      </c>
      <c r="G491" s="20" t="s">
        <v>3777</v>
      </c>
      <c r="H491" s="20" t="s">
        <v>6</v>
      </c>
      <c r="I491" s="39">
        <v>44747.400610381941</v>
      </c>
      <c r="J491" s="39">
        <v>44747.400610428238</v>
      </c>
      <c r="K491" s="20">
        <v>0</v>
      </c>
      <c r="L491" s="17" t="str">
        <f t="shared" si="7"/>
        <v>https://captureandgo.cloudlab.zhaw.ch/uploads/image_4bb8a3123a.jpg</v>
      </c>
    </row>
    <row r="492" spans="1:12" ht="16" x14ac:dyDescent="0.2">
      <c r="A492" s="20" t="s">
        <v>5728</v>
      </c>
      <c r="B492" s="20" t="s">
        <v>5729</v>
      </c>
      <c r="C492" s="20" t="s">
        <v>3774</v>
      </c>
      <c r="D492" s="20" t="s">
        <v>5730</v>
      </c>
      <c r="E492" s="20" t="s">
        <v>5731</v>
      </c>
      <c r="F492" s="20" t="s">
        <v>1437</v>
      </c>
      <c r="G492" s="20" t="s">
        <v>3777</v>
      </c>
      <c r="H492" s="20" t="s">
        <v>6</v>
      </c>
      <c r="I492" s="39">
        <v>44747.402235034722</v>
      </c>
      <c r="J492" s="39">
        <v>44747.402235081019</v>
      </c>
      <c r="K492" s="20">
        <v>0</v>
      </c>
      <c r="L492" s="17" t="str">
        <f t="shared" si="7"/>
        <v>https://captureandgo.cloudlab.zhaw.ch/uploads/image_5ddfa60fe1.jpg</v>
      </c>
    </row>
    <row r="493" spans="1:12" ht="16" x14ac:dyDescent="0.2">
      <c r="A493" s="20" t="s">
        <v>5732</v>
      </c>
      <c r="B493" s="20" t="s">
        <v>5733</v>
      </c>
      <c r="C493" s="20" t="s">
        <v>3774</v>
      </c>
      <c r="D493" s="20" t="s">
        <v>5734</v>
      </c>
      <c r="E493" s="20" t="s">
        <v>5735</v>
      </c>
      <c r="F493" s="20" t="s">
        <v>1441</v>
      </c>
      <c r="G493" s="20" t="s">
        <v>3777</v>
      </c>
      <c r="H493" s="20" t="s">
        <v>6</v>
      </c>
      <c r="I493" s="39">
        <v>44747.403941539349</v>
      </c>
      <c r="J493" s="39">
        <v>44747.403941585646</v>
      </c>
      <c r="K493" s="20">
        <v>0</v>
      </c>
      <c r="L493" s="17" t="str">
        <f t="shared" si="7"/>
        <v>https://captureandgo.cloudlab.zhaw.ch/uploads/image_d936b12e7a.jpg</v>
      </c>
    </row>
    <row r="494" spans="1:12" ht="16" x14ac:dyDescent="0.2">
      <c r="A494" s="20" t="s">
        <v>5736</v>
      </c>
      <c r="B494" s="20" t="s">
        <v>5737</v>
      </c>
      <c r="C494" s="20" t="s">
        <v>3774</v>
      </c>
      <c r="D494" s="20" t="s">
        <v>5738</v>
      </c>
      <c r="E494" s="20" t="s">
        <v>5739</v>
      </c>
      <c r="F494" s="20" t="s">
        <v>1445</v>
      </c>
      <c r="G494" s="20" t="s">
        <v>3777</v>
      </c>
      <c r="H494" s="20" t="s">
        <v>6</v>
      </c>
      <c r="I494" s="39">
        <v>44747.405148969905</v>
      </c>
      <c r="J494" s="39">
        <v>44747.405149004633</v>
      </c>
      <c r="K494" s="20">
        <v>0</v>
      </c>
      <c r="L494" s="17" t="str">
        <f t="shared" si="7"/>
        <v>https://captureandgo.cloudlab.zhaw.ch/uploads/image_691e83768f.jpg</v>
      </c>
    </row>
    <row r="495" spans="1:12" ht="16" x14ac:dyDescent="0.2">
      <c r="A495" s="20" t="s">
        <v>5740</v>
      </c>
      <c r="B495" s="20" t="s">
        <v>5741</v>
      </c>
      <c r="C495" s="20" t="s">
        <v>3774</v>
      </c>
      <c r="D495" s="20" t="s">
        <v>5742</v>
      </c>
      <c r="E495" s="20" t="s">
        <v>5743</v>
      </c>
      <c r="F495" s="20" t="s">
        <v>1448</v>
      </c>
      <c r="G495" s="20" t="s">
        <v>3777</v>
      </c>
      <c r="H495" s="20" t="s">
        <v>6</v>
      </c>
      <c r="I495" s="39">
        <v>44747.405734965279</v>
      </c>
      <c r="J495" s="39">
        <v>44747.405735</v>
      </c>
      <c r="K495" s="20">
        <v>0</v>
      </c>
      <c r="L495" s="17" t="str">
        <f t="shared" si="7"/>
        <v>https://captureandgo.cloudlab.zhaw.ch/uploads/image_a30230e348.jpg</v>
      </c>
    </row>
    <row r="496" spans="1:12" ht="16" x14ac:dyDescent="0.2">
      <c r="A496" s="20" t="s">
        <v>5744</v>
      </c>
      <c r="B496" s="20" t="s">
        <v>5745</v>
      </c>
      <c r="C496" s="20" t="s">
        <v>3774</v>
      </c>
      <c r="D496" s="20" t="s">
        <v>5746</v>
      </c>
      <c r="E496" s="20" t="s">
        <v>5747</v>
      </c>
      <c r="F496" s="20" t="s">
        <v>1451</v>
      </c>
      <c r="G496" s="20" t="s">
        <v>3777</v>
      </c>
      <c r="H496" s="20" t="s">
        <v>6</v>
      </c>
      <c r="I496" s="39">
        <v>44747.408659363427</v>
      </c>
      <c r="J496" s="39">
        <v>44747.408659398148</v>
      </c>
      <c r="K496" s="20">
        <v>0</v>
      </c>
      <c r="L496" s="17" t="str">
        <f t="shared" si="7"/>
        <v>https://captureandgo.cloudlab.zhaw.ch/uploads/image_a9a2c9d331.jpg</v>
      </c>
    </row>
    <row r="497" spans="1:12" ht="16" x14ac:dyDescent="0.2">
      <c r="A497" s="20" t="s">
        <v>5748</v>
      </c>
      <c r="B497" s="20" t="s">
        <v>5749</v>
      </c>
      <c r="C497" s="20" t="s">
        <v>3774</v>
      </c>
      <c r="D497" s="20" t="s">
        <v>5750</v>
      </c>
      <c r="E497" s="20" t="s">
        <v>5751</v>
      </c>
      <c r="F497" s="20" t="s">
        <v>1454</v>
      </c>
      <c r="G497" s="20" t="s">
        <v>3777</v>
      </c>
      <c r="H497" s="20" t="s">
        <v>6</v>
      </c>
      <c r="I497" s="39">
        <v>44747.409880509258</v>
      </c>
      <c r="J497" s="39">
        <v>44747.409880555555</v>
      </c>
      <c r="K497" s="20">
        <v>0</v>
      </c>
      <c r="L497" s="17" t="str">
        <f t="shared" si="7"/>
        <v>https://captureandgo.cloudlab.zhaw.ch/uploads/image_4c25a5b0c4.jpg</v>
      </c>
    </row>
    <row r="498" spans="1:12" ht="16" x14ac:dyDescent="0.2">
      <c r="A498" s="20" t="s">
        <v>5752</v>
      </c>
      <c r="B498" s="20" t="s">
        <v>5753</v>
      </c>
      <c r="C498" s="20" t="s">
        <v>3774</v>
      </c>
      <c r="D498" s="20" t="s">
        <v>5754</v>
      </c>
      <c r="E498" s="20" t="s">
        <v>5755</v>
      </c>
      <c r="F498" s="20" t="s">
        <v>1457</v>
      </c>
      <c r="G498" s="20" t="s">
        <v>3777</v>
      </c>
      <c r="H498" s="20" t="s">
        <v>6</v>
      </c>
      <c r="I498" s="39">
        <v>44747.411525914351</v>
      </c>
      <c r="J498" s="39">
        <v>44747.411525960648</v>
      </c>
      <c r="K498" s="20">
        <v>0</v>
      </c>
      <c r="L498" s="17" t="str">
        <f t="shared" si="7"/>
        <v>https://captureandgo.cloudlab.zhaw.ch/uploads/image_6d5b9191c5.jpg</v>
      </c>
    </row>
    <row r="499" spans="1:12" ht="16" x14ac:dyDescent="0.2">
      <c r="A499" s="20" t="s">
        <v>5756</v>
      </c>
      <c r="B499" s="20" t="s">
        <v>5757</v>
      </c>
      <c r="C499" s="20" t="s">
        <v>3774</v>
      </c>
      <c r="D499" s="20" t="s">
        <v>5758</v>
      </c>
      <c r="E499" s="20" t="s">
        <v>5759</v>
      </c>
      <c r="F499" s="20" t="s">
        <v>1461</v>
      </c>
      <c r="G499" s="20" t="s">
        <v>3777</v>
      </c>
      <c r="H499" s="20" t="s">
        <v>6</v>
      </c>
      <c r="I499" s="39">
        <v>44747.426919351848</v>
      </c>
      <c r="J499" s="39">
        <v>44747.426919398145</v>
      </c>
      <c r="K499" s="20">
        <v>0</v>
      </c>
      <c r="L499" s="17" t="str">
        <f t="shared" si="7"/>
        <v>https://captureandgo.cloudlab.zhaw.ch/uploads/image_15732d0685.jpg</v>
      </c>
    </row>
    <row r="500" spans="1:12" ht="16" x14ac:dyDescent="0.2">
      <c r="A500" s="20" t="s">
        <v>5760</v>
      </c>
      <c r="B500" s="20" t="s">
        <v>5761</v>
      </c>
      <c r="C500" s="20" t="s">
        <v>3774</v>
      </c>
      <c r="D500" s="20" t="s">
        <v>5762</v>
      </c>
      <c r="E500" s="20" t="s">
        <v>5763</v>
      </c>
      <c r="F500" s="20" t="s">
        <v>1465</v>
      </c>
      <c r="G500" s="20" t="s">
        <v>3777</v>
      </c>
      <c r="H500" s="20" t="s">
        <v>6</v>
      </c>
      <c r="I500" s="39">
        <v>44747.427696782404</v>
      </c>
      <c r="J500" s="39">
        <v>44747.427696828701</v>
      </c>
      <c r="K500" s="20">
        <v>0</v>
      </c>
      <c r="L500" s="17" t="str">
        <f t="shared" si="7"/>
        <v>https://captureandgo.cloudlab.zhaw.ch/uploads/image_f163e6f4b7.jpg</v>
      </c>
    </row>
    <row r="501" spans="1:12" ht="16" x14ac:dyDescent="0.2">
      <c r="A501" s="20" t="s">
        <v>5764</v>
      </c>
      <c r="B501" s="20" t="s">
        <v>5765</v>
      </c>
      <c r="C501" s="20" t="s">
        <v>3774</v>
      </c>
      <c r="D501" s="20" t="s">
        <v>5766</v>
      </c>
      <c r="E501" s="20" t="s">
        <v>5767</v>
      </c>
      <c r="F501" s="20" t="s">
        <v>1469</v>
      </c>
      <c r="G501" s="20" t="s">
        <v>3777</v>
      </c>
      <c r="H501" s="20" t="s">
        <v>6</v>
      </c>
      <c r="I501" s="39">
        <v>44747.428257083331</v>
      </c>
      <c r="J501" s="39">
        <v>44747.428257118052</v>
      </c>
      <c r="K501" s="20">
        <v>0</v>
      </c>
      <c r="L501" s="17" t="str">
        <f t="shared" si="7"/>
        <v>https://captureandgo.cloudlab.zhaw.ch/uploads/image_5d919b266e.jpg</v>
      </c>
    </row>
    <row r="502" spans="1:12" ht="16" x14ac:dyDescent="0.2">
      <c r="A502" s="20" t="s">
        <v>5768</v>
      </c>
      <c r="B502" s="20" t="s">
        <v>5769</v>
      </c>
      <c r="C502" s="20" t="s">
        <v>3774</v>
      </c>
      <c r="D502" s="20" t="s">
        <v>5770</v>
      </c>
      <c r="E502" s="20" t="s">
        <v>5771</v>
      </c>
      <c r="F502" s="20" t="s">
        <v>1472</v>
      </c>
      <c r="G502" s="20" t="s">
        <v>3777</v>
      </c>
      <c r="H502" s="20" t="s">
        <v>6</v>
      </c>
      <c r="I502" s="39">
        <v>44747.429084166666</v>
      </c>
      <c r="J502" s="39">
        <v>44747.429084201387</v>
      </c>
      <c r="K502" s="20">
        <v>0</v>
      </c>
      <c r="L502" s="17" t="str">
        <f t="shared" si="7"/>
        <v>https://captureandgo.cloudlab.zhaw.ch/uploads/image_57fb5a1dc4.jpg</v>
      </c>
    </row>
    <row r="503" spans="1:12" ht="16" x14ac:dyDescent="0.2">
      <c r="A503" s="20" t="s">
        <v>5772</v>
      </c>
      <c r="B503" s="20" t="s">
        <v>5773</v>
      </c>
      <c r="C503" s="20" t="s">
        <v>3774</v>
      </c>
      <c r="D503" s="20" t="s">
        <v>5774</v>
      </c>
      <c r="E503" s="20" t="s">
        <v>5775</v>
      </c>
      <c r="F503" s="20" t="s">
        <v>1476</v>
      </c>
      <c r="G503" s="20" t="s">
        <v>3777</v>
      </c>
      <c r="H503" s="20" t="s">
        <v>6</v>
      </c>
      <c r="I503" s="39">
        <v>44747.429551157409</v>
      </c>
      <c r="J503" s="39">
        <v>44747.42955119213</v>
      </c>
      <c r="K503" s="20">
        <v>0</v>
      </c>
      <c r="L503" s="17" t="str">
        <f t="shared" si="7"/>
        <v>https://captureandgo.cloudlab.zhaw.ch/uploads/image_b108d94da5.jpg</v>
      </c>
    </row>
    <row r="504" spans="1:12" ht="16" x14ac:dyDescent="0.2">
      <c r="A504" s="20" t="s">
        <v>5776</v>
      </c>
      <c r="B504" s="20" t="s">
        <v>5777</v>
      </c>
      <c r="C504" s="20" t="s">
        <v>3774</v>
      </c>
      <c r="D504" s="20" t="s">
        <v>5778</v>
      </c>
      <c r="E504" s="20" t="s">
        <v>5779</v>
      </c>
      <c r="F504" s="20" t="s">
        <v>1479</v>
      </c>
      <c r="G504" s="20" t="s">
        <v>3777</v>
      </c>
      <c r="H504" s="20" t="s">
        <v>6</v>
      </c>
      <c r="I504" s="39">
        <v>44747.430058067126</v>
      </c>
      <c r="J504" s="39">
        <v>44747.430058113423</v>
      </c>
      <c r="K504" s="20">
        <v>0</v>
      </c>
      <c r="L504" s="17" t="str">
        <f t="shared" si="7"/>
        <v>https://captureandgo.cloudlab.zhaw.ch/uploads/image_c1f9ae3965.jpg</v>
      </c>
    </row>
    <row r="505" spans="1:12" ht="16" x14ac:dyDescent="0.2">
      <c r="A505" s="20" t="s">
        <v>5780</v>
      </c>
      <c r="B505" s="20" t="s">
        <v>5781</v>
      </c>
      <c r="C505" s="20" t="s">
        <v>3774</v>
      </c>
      <c r="D505" s="20" t="s">
        <v>5782</v>
      </c>
      <c r="E505" s="20" t="s">
        <v>5783</v>
      </c>
      <c r="F505" s="20" t="s">
        <v>1482</v>
      </c>
      <c r="G505" s="20" t="s">
        <v>3777</v>
      </c>
      <c r="H505" s="20" t="s">
        <v>6</v>
      </c>
      <c r="I505" s="39">
        <v>44747.430709432869</v>
      </c>
      <c r="J505" s="39">
        <v>44747.43070946759</v>
      </c>
      <c r="K505" s="20">
        <v>0</v>
      </c>
      <c r="L505" s="17" t="str">
        <f t="shared" si="7"/>
        <v>https://captureandgo.cloudlab.zhaw.ch/uploads/image_fcae23e2c1.jpg</v>
      </c>
    </row>
    <row r="506" spans="1:12" ht="16" x14ac:dyDescent="0.2">
      <c r="A506" s="20" t="s">
        <v>5784</v>
      </c>
      <c r="B506" s="20" t="s">
        <v>5785</v>
      </c>
      <c r="C506" s="20" t="s">
        <v>3774</v>
      </c>
      <c r="D506" s="20" t="s">
        <v>5786</v>
      </c>
      <c r="E506" s="20" t="s">
        <v>5787</v>
      </c>
      <c r="F506" s="20" t="s">
        <v>1485</v>
      </c>
      <c r="G506" s="20" t="s">
        <v>3777</v>
      </c>
      <c r="H506" s="20" t="s">
        <v>6</v>
      </c>
      <c r="I506" s="39">
        <v>44747.433649166669</v>
      </c>
      <c r="J506" s="39">
        <v>44747.433649386578</v>
      </c>
      <c r="K506" s="20">
        <v>0</v>
      </c>
      <c r="L506" s="17" t="str">
        <f t="shared" si="7"/>
        <v>https://captureandgo.cloudlab.zhaw.ch/uploads/image_00d6c87233.jpg</v>
      </c>
    </row>
    <row r="507" spans="1:12" ht="16" x14ac:dyDescent="0.2">
      <c r="A507" s="20" t="s">
        <v>5788</v>
      </c>
      <c r="B507" s="20" t="s">
        <v>5789</v>
      </c>
      <c r="C507" s="20" t="s">
        <v>3774</v>
      </c>
      <c r="D507" s="20" t="s">
        <v>5790</v>
      </c>
      <c r="E507" s="20" t="s">
        <v>5791</v>
      </c>
      <c r="F507" s="20" t="s">
        <v>1488</v>
      </c>
      <c r="G507" s="20" t="s">
        <v>3777</v>
      </c>
      <c r="H507" s="20" t="s">
        <v>6</v>
      </c>
      <c r="I507" s="39">
        <v>44747.434293113423</v>
      </c>
      <c r="J507" s="39">
        <v>44747.43429315972</v>
      </c>
      <c r="K507" s="20">
        <v>0</v>
      </c>
      <c r="L507" s="17" t="str">
        <f t="shared" si="7"/>
        <v>https://captureandgo.cloudlab.zhaw.ch/uploads/image_85627189d8.jpg</v>
      </c>
    </row>
    <row r="508" spans="1:12" ht="16" x14ac:dyDescent="0.2">
      <c r="A508" s="20" t="s">
        <v>5792</v>
      </c>
      <c r="B508" s="20" t="s">
        <v>5793</v>
      </c>
      <c r="C508" s="20" t="s">
        <v>3774</v>
      </c>
      <c r="D508" s="20" t="s">
        <v>5794</v>
      </c>
      <c r="E508" s="20" t="s">
        <v>5795</v>
      </c>
      <c r="F508" s="20" t="s">
        <v>1491</v>
      </c>
      <c r="G508" s="20" t="s">
        <v>3777</v>
      </c>
      <c r="H508" s="20" t="s">
        <v>6</v>
      </c>
      <c r="I508" s="39">
        <v>44747.435350925924</v>
      </c>
      <c r="J508" s="39">
        <v>44747.435350960652</v>
      </c>
      <c r="K508" s="20">
        <v>0</v>
      </c>
      <c r="L508" s="17" t="str">
        <f t="shared" si="7"/>
        <v>https://captureandgo.cloudlab.zhaw.ch/uploads/image_bbf02d2bbc.jpg</v>
      </c>
    </row>
    <row r="509" spans="1:12" ht="16" x14ac:dyDescent="0.2">
      <c r="A509" s="20" t="s">
        <v>5796</v>
      </c>
      <c r="B509" s="20" t="s">
        <v>5797</v>
      </c>
      <c r="C509" s="20" t="s">
        <v>3774</v>
      </c>
      <c r="D509" s="20" t="s">
        <v>5798</v>
      </c>
      <c r="E509" s="20" t="s">
        <v>5799</v>
      </c>
      <c r="F509" s="20" t="s">
        <v>1494</v>
      </c>
      <c r="G509" s="20" t="s">
        <v>3777</v>
      </c>
      <c r="H509" s="20" t="s">
        <v>6</v>
      </c>
      <c r="I509" s="39">
        <v>44747.436186782405</v>
      </c>
      <c r="J509" s="39">
        <v>44747.436186840278</v>
      </c>
      <c r="K509" s="20">
        <v>0</v>
      </c>
      <c r="L509" s="17" t="str">
        <f t="shared" si="7"/>
        <v>https://captureandgo.cloudlab.zhaw.ch/uploads/image_d5d598a890.jpg</v>
      </c>
    </row>
    <row r="510" spans="1:12" ht="16" x14ac:dyDescent="0.2">
      <c r="A510" s="20" t="s">
        <v>5800</v>
      </c>
      <c r="B510" s="20" t="s">
        <v>5801</v>
      </c>
      <c r="C510" s="20" t="s">
        <v>3774</v>
      </c>
      <c r="D510" s="20" t="s">
        <v>5802</v>
      </c>
      <c r="E510" s="20" t="s">
        <v>5803</v>
      </c>
      <c r="F510" s="20" t="s">
        <v>1499</v>
      </c>
      <c r="G510" s="20" t="s">
        <v>3777</v>
      </c>
      <c r="H510" s="20" t="s">
        <v>6</v>
      </c>
      <c r="I510" s="39">
        <v>44747.439315138887</v>
      </c>
      <c r="J510" s="39">
        <v>44747.439315185184</v>
      </c>
      <c r="K510" s="20">
        <v>0</v>
      </c>
      <c r="L510" s="17" t="str">
        <f t="shared" si="7"/>
        <v>https://captureandgo.cloudlab.zhaw.ch/uploads/image_968c2977b7.jpg</v>
      </c>
    </row>
    <row r="511" spans="1:12" ht="16" x14ac:dyDescent="0.2">
      <c r="A511" s="20" t="s">
        <v>5804</v>
      </c>
      <c r="B511" s="20" t="s">
        <v>5805</v>
      </c>
      <c r="C511" s="20" t="s">
        <v>3774</v>
      </c>
      <c r="D511" s="20" t="s">
        <v>5806</v>
      </c>
      <c r="E511" s="20" t="s">
        <v>5807</v>
      </c>
      <c r="F511" s="20" t="s">
        <v>1502</v>
      </c>
      <c r="G511" s="20" t="s">
        <v>3777</v>
      </c>
      <c r="H511" s="20" t="s">
        <v>6</v>
      </c>
      <c r="I511" s="39">
        <v>44747.44120332176</v>
      </c>
      <c r="J511" s="39">
        <v>44747.44120335648</v>
      </c>
      <c r="K511" s="20">
        <v>0</v>
      </c>
      <c r="L511" s="17" t="str">
        <f t="shared" si="7"/>
        <v>https://captureandgo.cloudlab.zhaw.ch/uploads/image_f82f39b16f.jpg</v>
      </c>
    </row>
    <row r="512" spans="1:12" ht="16" x14ac:dyDescent="0.2">
      <c r="A512" s="20" t="s">
        <v>5808</v>
      </c>
      <c r="B512" s="20" t="s">
        <v>5809</v>
      </c>
      <c r="C512" s="20" t="s">
        <v>3774</v>
      </c>
      <c r="D512" s="20" t="s">
        <v>5810</v>
      </c>
      <c r="E512" s="20" t="s">
        <v>5811</v>
      </c>
      <c r="F512" s="20" t="s">
        <v>1506</v>
      </c>
      <c r="G512" s="20" t="s">
        <v>3777</v>
      </c>
      <c r="H512" s="20" t="s">
        <v>6</v>
      </c>
      <c r="I512" s="39">
        <v>44747.44254384259</v>
      </c>
      <c r="J512" s="39">
        <v>44747.442543888887</v>
      </c>
      <c r="K512" s="20">
        <v>0</v>
      </c>
      <c r="L512" s="17" t="str">
        <f t="shared" si="7"/>
        <v>https://captureandgo.cloudlab.zhaw.ch/uploads/image_c077838fa8.jpg</v>
      </c>
    </row>
    <row r="513" spans="1:12" ht="16" x14ac:dyDescent="0.2">
      <c r="A513" s="20" t="s">
        <v>5812</v>
      </c>
      <c r="B513" s="20" t="s">
        <v>5813</v>
      </c>
      <c r="C513" s="20" t="s">
        <v>3774</v>
      </c>
      <c r="D513" s="20" t="s">
        <v>5814</v>
      </c>
      <c r="E513" s="20" t="s">
        <v>5815</v>
      </c>
      <c r="F513" s="20" t="s">
        <v>1509</v>
      </c>
      <c r="G513" s="20" t="s">
        <v>3777</v>
      </c>
      <c r="H513" s="20" t="s">
        <v>6</v>
      </c>
      <c r="I513" s="39">
        <v>44747.442852083332</v>
      </c>
      <c r="J513" s="39">
        <v>44747.442852141205</v>
      </c>
      <c r="K513" s="20">
        <v>0</v>
      </c>
      <c r="L513" s="17" t="str">
        <f t="shared" si="7"/>
        <v>https://captureandgo.cloudlab.zhaw.ch/uploads/image_8067414f13.jpg</v>
      </c>
    </row>
    <row r="514" spans="1:12" ht="16" x14ac:dyDescent="0.2">
      <c r="A514" s="20" t="s">
        <v>5816</v>
      </c>
      <c r="B514" s="20" t="s">
        <v>5817</v>
      </c>
      <c r="C514" s="20" t="s">
        <v>3774</v>
      </c>
      <c r="D514" s="20" t="s">
        <v>5818</v>
      </c>
      <c r="E514" s="20" t="s">
        <v>5819</v>
      </c>
      <c r="F514" s="20" t="s">
        <v>1512</v>
      </c>
      <c r="G514" s="20" t="s">
        <v>3777</v>
      </c>
      <c r="H514" s="20" t="s">
        <v>6</v>
      </c>
      <c r="I514" s="39">
        <v>44747.444172997682</v>
      </c>
      <c r="J514" s="39">
        <v>44747.444173043979</v>
      </c>
      <c r="K514" s="20">
        <v>0</v>
      </c>
      <c r="L514" s="17" t="str">
        <f t="shared" ref="L514:L577" si="8">HYPERLINK("https://captureandgo.cloudlab.zhaw.ch"&amp;B514)</f>
        <v>https://captureandgo.cloudlab.zhaw.ch/uploads/image_3b917887c0.jpg</v>
      </c>
    </row>
    <row r="515" spans="1:12" ht="16" x14ac:dyDescent="0.2">
      <c r="A515" s="20" t="s">
        <v>5820</v>
      </c>
      <c r="B515" s="20" t="s">
        <v>5821</v>
      </c>
      <c r="C515" s="20" t="s">
        <v>3774</v>
      </c>
      <c r="D515" s="20" t="s">
        <v>5822</v>
      </c>
      <c r="E515" s="20" t="s">
        <v>5823</v>
      </c>
      <c r="F515" s="20" t="s">
        <v>1516</v>
      </c>
      <c r="G515" s="20" t="s">
        <v>3777</v>
      </c>
      <c r="H515" s="20" t="s">
        <v>6</v>
      </c>
      <c r="I515" s="39">
        <v>44747.445643634259</v>
      </c>
      <c r="J515" s="39">
        <v>44747.44564366898</v>
      </c>
      <c r="K515" s="20">
        <v>0</v>
      </c>
      <c r="L515" s="17" t="str">
        <f t="shared" si="8"/>
        <v>https://captureandgo.cloudlab.zhaw.ch/uploads/image_017c164eb9.jpg</v>
      </c>
    </row>
    <row r="516" spans="1:12" ht="16" x14ac:dyDescent="0.2">
      <c r="A516" s="20" t="s">
        <v>5824</v>
      </c>
      <c r="B516" s="20" t="s">
        <v>5825</v>
      </c>
      <c r="C516" s="20" t="s">
        <v>3774</v>
      </c>
      <c r="D516" s="20" t="s">
        <v>5826</v>
      </c>
      <c r="E516" s="20" t="s">
        <v>5827</v>
      </c>
      <c r="F516" s="20" t="s">
        <v>1519</v>
      </c>
      <c r="G516" s="20" t="s">
        <v>3777</v>
      </c>
      <c r="H516" s="20" t="s">
        <v>6</v>
      </c>
      <c r="I516" s="39">
        <v>44747.446560775461</v>
      </c>
      <c r="J516" s="39">
        <v>44747.446560821758</v>
      </c>
      <c r="K516" s="20">
        <v>0</v>
      </c>
      <c r="L516" s="17" t="str">
        <f t="shared" si="8"/>
        <v>https://captureandgo.cloudlab.zhaw.ch/uploads/image_5423f2342f.jpg</v>
      </c>
    </row>
    <row r="517" spans="1:12" ht="16" x14ac:dyDescent="0.2">
      <c r="A517" s="20" t="s">
        <v>5828</v>
      </c>
      <c r="B517" s="20" t="s">
        <v>5829</v>
      </c>
      <c r="C517" s="20" t="s">
        <v>3774</v>
      </c>
      <c r="D517" s="20" t="s">
        <v>5830</v>
      </c>
      <c r="E517" s="20" t="s">
        <v>5831</v>
      </c>
      <c r="F517" s="20" t="s">
        <v>1522</v>
      </c>
      <c r="G517" s="20" t="s">
        <v>3777</v>
      </c>
      <c r="H517" s="20" t="s">
        <v>6</v>
      </c>
      <c r="I517" s="39">
        <v>44747.447352453702</v>
      </c>
      <c r="J517" s="39">
        <v>44747.447352499999</v>
      </c>
      <c r="K517" s="20">
        <v>0</v>
      </c>
      <c r="L517" s="17" t="str">
        <f t="shared" si="8"/>
        <v>https://captureandgo.cloudlab.zhaw.ch/uploads/image_f5ffa1b420.jpg</v>
      </c>
    </row>
    <row r="518" spans="1:12" ht="16" x14ac:dyDescent="0.2">
      <c r="A518" s="20" t="s">
        <v>5832</v>
      </c>
      <c r="B518" s="20" t="s">
        <v>5833</v>
      </c>
      <c r="C518" s="20" t="s">
        <v>3774</v>
      </c>
      <c r="D518" s="20" t="s">
        <v>5834</v>
      </c>
      <c r="E518" s="20" t="s">
        <v>5835</v>
      </c>
      <c r="F518" s="20" t="s">
        <v>1525</v>
      </c>
      <c r="G518" s="20" t="s">
        <v>3777</v>
      </c>
      <c r="H518" s="20" t="s">
        <v>6</v>
      </c>
      <c r="I518" s="39">
        <v>44747.447908229165</v>
      </c>
      <c r="J518" s="39">
        <v>44747.447908263886</v>
      </c>
      <c r="K518" s="20">
        <v>0</v>
      </c>
      <c r="L518" s="17" t="str">
        <f t="shared" si="8"/>
        <v>https://captureandgo.cloudlab.zhaw.ch/uploads/image_6b5ddddbc7.jpg</v>
      </c>
    </row>
    <row r="519" spans="1:12" ht="16" x14ac:dyDescent="0.2">
      <c r="A519" s="20" t="s">
        <v>5836</v>
      </c>
      <c r="B519" s="20" t="s">
        <v>5837</v>
      </c>
      <c r="C519" s="20" t="s">
        <v>3774</v>
      </c>
      <c r="D519" s="20" t="s">
        <v>5838</v>
      </c>
      <c r="E519" s="20" t="s">
        <v>5839</v>
      </c>
      <c r="F519" s="20" t="s">
        <v>1529</v>
      </c>
      <c r="G519" s="20" t="s">
        <v>3777</v>
      </c>
      <c r="H519" s="20" t="s">
        <v>6</v>
      </c>
      <c r="I519" s="39">
        <v>44747.44889201389</v>
      </c>
      <c r="J519" s="39">
        <v>44747.448892060187</v>
      </c>
      <c r="K519" s="20">
        <v>0</v>
      </c>
      <c r="L519" s="17" t="str">
        <f t="shared" si="8"/>
        <v>https://captureandgo.cloudlab.zhaw.ch/uploads/image_a771b0e672.jpg</v>
      </c>
    </row>
    <row r="520" spans="1:12" ht="16" x14ac:dyDescent="0.2">
      <c r="A520" s="20" t="s">
        <v>5840</v>
      </c>
      <c r="B520" s="20" t="s">
        <v>5841</v>
      </c>
      <c r="C520" s="20" t="s">
        <v>3774</v>
      </c>
      <c r="D520" s="20" t="s">
        <v>5842</v>
      </c>
      <c r="E520" s="20" t="s">
        <v>5843</v>
      </c>
      <c r="F520" s="20" t="s">
        <v>1532</v>
      </c>
      <c r="G520" s="20" t="s">
        <v>3777</v>
      </c>
      <c r="H520" s="20" t="s">
        <v>6</v>
      </c>
      <c r="I520" s="39">
        <v>44747.450493877317</v>
      </c>
      <c r="J520" s="39">
        <v>44747.450493946759</v>
      </c>
      <c r="K520" s="20">
        <v>0</v>
      </c>
      <c r="L520" s="17" t="str">
        <f t="shared" si="8"/>
        <v>https://captureandgo.cloudlab.zhaw.ch/uploads/image_0a199dffd6.jpg</v>
      </c>
    </row>
    <row r="521" spans="1:12" ht="16" x14ac:dyDescent="0.2">
      <c r="A521" s="20" t="s">
        <v>5844</v>
      </c>
      <c r="B521" s="20" t="s">
        <v>5845</v>
      </c>
      <c r="C521" s="20" t="s">
        <v>3774</v>
      </c>
      <c r="D521" s="20" t="s">
        <v>5846</v>
      </c>
      <c r="E521" s="20" t="s">
        <v>5847</v>
      </c>
      <c r="F521" s="20" t="s">
        <v>1535</v>
      </c>
      <c r="G521" s="20" t="s">
        <v>3777</v>
      </c>
      <c r="H521" s="20" t="s">
        <v>6</v>
      </c>
      <c r="I521" s="39">
        <v>44747.451510185187</v>
      </c>
      <c r="J521" s="39">
        <v>44747.451510231484</v>
      </c>
      <c r="K521" s="20">
        <v>0</v>
      </c>
      <c r="L521" s="17" t="str">
        <f t="shared" si="8"/>
        <v>https://captureandgo.cloudlab.zhaw.ch/uploads/image_4df11b92b9.jpg</v>
      </c>
    </row>
    <row r="522" spans="1:12" ht="16" x14ac:dyDescent="0.2">
      <c r="A522" s="20" t="s">
        <v>5848</v>
      </c>
      <c r="B522" s="20" t="s">
        <v>5849</v>
      </c>
      <c r="C522" s="20" t="s">
        <v>3774</v>
      </c>
      <c r="D522" s="20" t="s">
        <v>5850</v>
      </c>
      <c r="E522" s="20" t="s">
        <v>5851</v>
      </c>
      <c r="F522" s="20" t="s">
        <v>1538</v>
      </c>
      <c r="G522" s="20" t="s">
        <v>3777</v>
      </c>
      <c r="H522" s="20" t="s">
        <v>6</v>
      </c>
      <c r="I522" s="39">
        <v>44747.452722175927</v>
      </c>
      <c r="J522" s="39">
        <v>44747.452722210648</v>
      </c>
      <c r="K522" s="20">
        <v>0</v>
      </c>
      <c r="L522" s="17" t="str">
        <f t="shared" si="8"/>
        <v>https://captureandgo.cloudlab.zhaw.ch/uploads/image_eca861f4a0.jpg</v>
      </c>
    </row>
    <row r="523" spans="1:12" ht="16" x14ac:dyDescent="0.2">
      <c r="A523" s="20" t="s">
        <v>5852</v>
      </c>
      <c r="B523" s="20" t="s">
        <v>5853</v>
      </c>
      <c r="C523" s="20" t="s">
        <v>3774</v>
      </c>
      <c r="D523" s="20" t="s">
        <v>5854</v>
      </c>
      <c r="E523" s="20" t="s">
        <v>5855</v>
      </c>
      <c r="F523" s="20" t="s">
        <v>1541</v>
      </c>
      <c r="G523" s="20" t="s">
        <v>3777</v>
      </c>
      <c r="H523" s="20" t="s">
        <v>6</v>
      </c>
      <c r="I523" s="39">
        <v>44747.453037812498</v>
      </c>
      <c r="J523" s="39">
        <v>44747.453037847219</v>
      </c>
      <c r="K523" s="20">
        <v>0</v>
      </c>
      <c r="L523" s="17" t="str">
        <f t="shared" si="8"/>
        <v>https://captureandgo.cloudlab.zhaw.ch/uploads/image_064aea87a9.jpg</v>
      </c>
    </row>
    <row r="524" spans="1:12" ht="16" x14ac:dyDescent="0.2">
      <c r="A524" s="20" t="s">
        <v>5856</v>
      </c>
      <c r="B524" s="20" t="s">
        <v>5857</v>
      </c>
      <c r="C524" s="20" t="s">
        <v>3774</v>
      </c>
      <c r="D524" s="20" t="s">
        <v>5858</v>
      </c>
      <c r="E524" s="20" t="s">
        <v>5859</v>
      </c>
      <c r="F524" s="20" t="s">
        <v>1544</v>
      </c>
      <c r="G524" s="20" t="s">
        <v>3777</v>
      </c>
      <c r="H524" s="20" t="s">
        <v>6</v>
      </c>
      <c r="I524" s="39">
        <v>44747.453543981479</v>
      </c>
      <c r="J524" s="39">
        <v>44747.453544050928</v>
      </c>
      <c r="K524" s="20">
        <v>0</v>
      </c>
      <c r="L524" s="17" t="str">
        <f t="shared" si="8"/>
        <v>https://captureandgo.cloudlab.zhaw.ch/uploads/image_18d7c22d02.jpg</v>
      </c>
    </row>
    <row r="525" spans="1:12" ht="16" x14ac:dyDescent="0.2">
      <c r="A525" s="20" t="s">
        <v>5860</v>
      </c>
      <c r="B525" s="20" t="s">
        <v>5861</v>
      </c>
      <c r="C525" s="20" t="s">
        <v>3774</v>
      </c>
      <c r="D525" s="20" t="s">
        <v>5862</v>
      </c>
      <c r="E525" s="20" t="s">
        <v>5863</v>
      </c>
      <c r="F525" s="20" t="s">
        <v>1547</v>
      </c>
      <c r="G525" s="20" t="s">
        <v>3777</v>
      </c>
      <c r="H525" s="20" t="s">
        <v>6</v>
      </c>
      <c r="I525" s="39">
        <v>44747.454457268519</v>
      </c>
      <c r="J525" s="39">
        <v>44747.45445730324</v>
      </c>
      <c r="K525" s="20">
        <v>0</v>
      </c>
      <c r="L525" s="17" t="str">
        <f t="shared" si="8"/>
        <v>https://captureandgo.cloudlab.zhaw.ch/uploads/image_dff4a53983.jpg</v>
      </c>
    </row>
    <row r="526" spans="1:12" ht="16" x14ac:dyDescent="0.2">
      <c r="A526" s="20" t="s">
        <v>5864</v>
      </c>
      <c r="B526" s="20" t="s">
        <v>5865</v>
      </c>
      <c r="C526" s="20" t="s">
        <v>3774</v>
      </c>
      <c r="D526" s="20" t="s">
        <v>5866</v>
      </c>
      <c r="E526" s="20" t="s">
        <v>5867</v>
      </c>
      <c r="F526" s="20" t="s">
        <v>1550</v>
      </c>
      <c r="G526" s="20" t="s">
        <v>3777</v>
      </c>
      <c r="H526" s="20" t="s">
        <v>6</v>
      </c>
      <c r="I526" s="39">
        <v>44747.455861249997</v>
      </c>
      <c r="J526" s="39">
        <v>44747.455861273149</v>
      </c>
      <c r="K526" s="20">
        <v>0</v>
      </c>
      <c r="L526" s="17" t="str">
        <f t="shared" si="8"/>
        <v>https://captureandgo.cloudlab.zhaw.ch/uploads/image_fca9e98f35.jpg</v>
      </c>
    </row>
    <row r="527" spans="1:12" ht="16" x14ac:dyDescent="0.2">
      <c r="A527" s="20" t="s">
        <v>5868</v>
      </c>
      <c r="B527" s="20" t="s">
        <v>5869</v>
      </c>
      <c r="C527" s="20" t="s">
        <v>3774</v>
      </c>
      <c r="D527" s="20" t="s">
        <v>5870</v>
      </c>
      <c r="E527" s="20" t="s">
        <v>5871</v>
      </c>
      <c r="F527" s="20" t="s">
        <v>1554</v>
      </c>
      <c r="G527" s="20" t="s">
        <v>3777</v>
      </c>
      <c r="H527" s="20" t="s">
        <v>6</v>
      </c>
      <c r="I527" s="39">
        <v>44747.457111412034</v>
      </c>
      <c r="J527" s="39">
        <v>44747.457111469907</v>
      </c>
      <c r="K527" s="20">
        <v>0</v>
      </c>
      <c r="L527" s="17" t="str">
        <f t="shared" si="8"/>
        <v>https://captureandgo.cloudlab.zhaw.ch/uploads/image_cfbb277621.jpg</v>
      </c>
    </row>
    <row r="528" spans="1:12" ht="16" x14ac:dyDescent="0.2">
      <c r="A528" s="20" t="s">
        <v>5872</v>
      </c>
      <c r="B528" s="20" t="s">
        <v>5873</v>
      </c>
      <c r="C528" s="20" t="s">
        <v>3774</v>
      </c>
      <c r="D528" s="20" t="s">
        <v>5874</v>
      </c>
      <c r="E528" s="20" t="s">
        <v>5875</v>
      </c>
      <c r="F528" s="20" t="s">
        <v>1558</v>
      </c>
      <c r="G528" s="20" t="s">
        <v>3777</v>
      </c>
      <c r="H528" s="20" t="s">
        <v>6</v>
      </c>
      <c r="I528" s="39">
        <v>44747.458275613426</v>
      </c>
      <c r="J528" s="39">
        <v>44747.458275659723</v>
      </c>
      <c r="K528" s="20">
        <v>0</v>
      </c>
      <c r="L528" s="17" t="str">
        <f t="shared" si="8"/>
        <v>https://captureandgo.cloudlab.zhaw.ch/uploads/image_3c264af965.jpg</v>
      </c>
    </row>
    <row r="529" spans="1:12" ht="16" x14ac:dyDescent="0.2">
      <c r="A529" s="20" t="s">
        <v>5876</v>
      </c>
      <c r="B529" s="20" t="s">
        <v>5877</v>
      </c>
      <c r="C529" s="20" t="s">
        <v>3774</v>
      </c>
      <c r="D529" s="20" t="s">
        <v>5878</v>
      </c>
      <c r="E529" s="20" t="s">
        <v>5879</v>
      </c>
      <c r="F529" s="20" t="s">
        <v>1562</v>
      </c>
      <c r="G529" s="20" t="s">
        <v>3777</v>
      </c>
      <c r="H529" s="20" t="s">
        <v>6</v>
      </c>
      <c r="I529" s="39">
        <v>44747.459598310183</v>
      </c>
      <c r="J529" s="39">
        <v>44747.45959835648</v>
      </c>
      <c r="K529" s="20">
        <v>0</v>
      </c>
      <c r="L529" s="17" t="str">
        <f t="shared" si="8"/>
        <v>https://captureandgo.cloudlab.zhaw.ch/uploads/image_b436eceba6.jpg</v>
      </c>
    </row>
    <row r="530" spans="1:12" ht="16" x14ac:dyDescent="0.2">
      <c r="A530" s="20" t="s">
        <v>5880</v>
      </c>
      <c r="B530" s="20" t="s">
        <v>5881</v>
      </c>
      <c r="C530" s="20" t="s">
        <v>3774</v>
      </c>
      <c r="D530" s="20" t="s">
        <v>5882</v>
      </c>
      <c r="E530" s="20" t="s">
        <v>5883</v>
      </c>
      <c r="F530" s="20" t="s">
        <v>1568</v>
      </c>
      <c r="G530" s="20" t="s">
        <v>3777</v>
      </c>
      <c r="H530" s="20" t="s">
        <v>6</v>
      </c>
      <c r="I530" s="39">
        <v>44747.46585414352</v>
      </c>
      <c r="J530" s="39">
        <v>44747.465854189817</v>
      </c>
      <c r="K530" s="20">
        <v>0</v>
      </c>
      <c r="L530" s="17" t="str">
        <f t="shared" si="8"/>
        <v>https://captureandgo.cloudlab.zhaw.ch/uploads/image_ad88de3739.jpg</v>
      </c>
    </row>
    <row r="531" spans="1:12" ht="16" x14ac:dyDescent="0.2">
      <c r="A531" s="20" t="s">
        <v>5884</v>
      </c>
      <c r="B531" s="20" t="s">
        <v>5885</v>
      </c>
      <c r="C531" s="20" t="s">
        <v>3774</v>
      </c>
      <c r="D531" s="20" t="s">
        <v>5886</v>
      </c>
      <c r="E531" s="20" t="s">
        <v>5887</v>
      </c>
      <c r="F531" s="20" t="s">
        <v>1571</v>
      </c>
      <c r="G531" s="20" t="s">
        <v>3777</v>
      </c>
      <c r="H531" s="20" t="s">
        <v>6</v>
      </c>
      <c r="I531" s="39">
        <v>44747.466284120368</v>
      </c>
      <c r="J531" s="39">
        <v>44747.466284155096</v>
      </c>
      <c r="K531" s="20">
        <v>0</v>
      </c>
      <c r="L531" s="17" t="str">
        <f t="shared" si="8"/>
        <v>https://captureandgo.cloudlab.zhaw.ch/uploads/image_14c530c12f.jpg</v>
      </c>
    </row>
    <row r="532" spans="1:12" ht="16" x14ac:dyDescent="0.2">
      <c r="A532" s="20" t="s">
        <v>5888</v>
      </c>
      <c r="B532" s="20" t="s">
        <v>5889</v>
      </c>
      <c r="C532" s="20" t="s">
        <v>3774</v>
      </c>
      <c r="D532" s="20" t="s">
        <v>5890</v>
      </c>
      <c r="E532" s="20" t="s">
        <v>5891</v>
      </c>
      <c r="F532" s="20" t="s">
        <v>1575</v>
      </c>
      <c r="G532" s="20" t="s">
        <v>3777</v>
      </c>
      <c r="H532" s="20" t="s">
        <v>6</v>
      </c>
      <c r="I532" s="39">
        <v>44747.466962604165</v>
      </c>
      <c r="J532" s="39">
        <v>44747.466962638886</v>
      </c>
      <c r="K532" s="20">
        <v>0</v>
      </c>
      <c r="L532" s="17" t="str">
        <f t="shared" si="8"/>
        <v>https://captureandgo.cloudlab.zhaw.ch/uploads/image_e6bb5ef394.jpg</v>
      </c>
    </row>
    <row r="533" spans="1:12" ht="16" x14ac:dyDescent="0.2">
      <c r="A533" s="20" t="s">
        <v>5892</v>
      </c>
      <c r="B533" s="20" t="s">
        <v>5893</v>
      </c>
      <c r="C533" s="20" t="s">
        <v>3774</v>
      </c>
      <c r="D533" s="20" t="s">
        <v>5894</v>
      </c>
      <c r="E533" s="20" t="s">
        <v>5895</v>
      </c>
      <c r="F533" s="20" t="s">
        <v>1578</v>
      </c>
      <c r="G533" s="20" t="s">
        <v>3777</v>
      </c>
      <c r="H533" s="20" t="s">
        <v>6</v>
      </c>
      <c r="I533" s="39">
        <v>44747.467332106484</v>
      </c>
      <c r="J533" s="39">
        <v>44747.467332141205</v>
      </c>
      <c r="K533" s="20">
        <v>0</v>
      </c>
      <c r="L533" s="17" t="str">
        <f t="shared" si="8"/>
        <v>https://captureandgo.cloudlab.zhaw.ch/uploads/image_9b39dd5dbe.jpg</v>
      </c>
    </row>
    <row r="534" spans="1:12" ht="16" x14ac:dyDescent="0.2">
      <c r="A534" s="20" t="s">
        <v>5896</v>
      </c>
      <c r="B534" s="20" t="s">
        <v>5897</v>
      </c>
      <c r="C534" s="20" t="s">
        <v>3774</v>
      </c>
      <c r="D534" s="20" t="s">
        <v>5898</v>
      </c>
      <c r="E534" s="20" t="s">
        <v>5899</v>
      </c>
      <c r="F534" s="20" t="s">
        <v>1581</v>
      </c>
      <c r="G534" s="20" t="s">
        <v>3777</v>
      </c>
      <c r="H534" s="20" t="s">
        <v>6</v>
      </c>
      <c r="I534" s="39">
        <v>44747.468117152777</v>
      </c>
      <c r="J534" s="39">
        <v>44747.46811721065</v>
      </c>
      <c r="K534" s="20">
        <v>0</v>
      </c>
      <c r="L534" s="17" t="str">
        <f t="shared" si="8"/>
        <v>https://captureandgo.cloudlab.zhaw.ch/uploads/image_bce5356297.jpg</v>
      </c>
    </row>
    <row r="535" spans="1:12" ht="16" x14ac:dyDescent="0.2">
      <c r="A535" s="20" t="s">
        <v>5900</v>
      </c>
      <c r="B535" s="20" t="s">
        <v>5901</v>
      </c>
      <c r="C535" s="20" t="s">
        <v>3774</v>
      </c>
      <c r="D535" s="20" t="s">
        <v>5902</v>
      </c>
      <c r="E535" s="20" t="s">
        <v>5903</v>
      </c>
      <c r="F535" s="20" t="s">
        <v>1584</v>
      </c>
      <c r="G535" s="20" t="s">
        <v>3777</v>
      </c>
      <c r="H535" s="20" t="s">
        <v>6</v>
      </c>
      <c r="I535" s="39">
        <v>44747.470509768522</v>
      </c>
      <c r="J535" s="39">
        <v>44747.470509803243</v>
      </c>
      <c r="K535" s="20">
        <v>0</v>
      </c>
      <c r="L535" s="17" t="str">
        <f t="shared" si="8"/>
        <v>https://captureandgo.cloudlab.zhaw.ch/uploads/image_2a9c0b9c58.jpg</v>
      </c>
    </row>
    <row r="536" spans="1:12" ht="16" x14ac:dyDescent="0.2">
      <c r="A536" s="20" t="s">
        <v>5904</v>
      </c>
      <c r="B536" s="20" t="s">
        <v>5905</v>
      </c>
      <c r="C536" s="20" t="s">
        <v>3774</v>
      </c>
      <c r="D536" s="20" t="s">
        <v>5906</v>
      </c>
      <c r="E536" s="20" t="s">
        <v>5907</v>
      </c>
      <c r="F536" s="20" t="s">
        <v>1588</v>
      </c>
      <c r="G536" s="20" t="s">
        <v>3777</v>
      </c>
      <c r="H536" s="20" t="s">
        <v>6</v>
      </c>
      <c r="I536" s="39">
        <v>44747.475295046293</v>
      </c>
      <c r="J536" s="39">
        <v>44747.47529509259</v>
      </c>
      <c r="K536" s="20">
        <v>0</v>
      </c>
      <c r="L536" s="17" t="str">
        <f t="shared" si="8"/>
        <v>https://captureandgo.cloudlab.zhaw.ch/uploads/image_3b5f04b681.jpg</v>
      </c>
    </row>
    <row r="537" spans="1:12" ht="16" x14ac:dyDescent="0.2">
      <c r="A537" s="20" t="s">
        <v>5908</v>
      </c>
      <c r="B537" s="20" t="s">
        <v>5909</v>
      </c>
      <c r="C537" s="20" t="s">
        <v>3774</v>
      </c>
      <c r="D537" s="20" t="s">
        <v>5910</v>
      </c>
      <c r="E537" s="20" t="s">
        <v>5911</v>
      </c>
      <c r="F537" s="20" t="s">
        <v>1588</v>
      </c>
      <c r="G537" s="20" t="s">
        <v>3777</v>
      </c>
      <c r="H537" s="20" t="s">
        <v>6</v>
      </c>
      <c r="I537" s="39">
        <v>44747.47545943287</v>
      </c>
      <c r="J537" s="39">
        <v>44747.475459467591</v>
      </c>
      <c r="K537" s="20">
        <v>0</v>
      </c>
      <c r="L537" s="17" t="str">
        <f t="shared" si="8"/>
        <v>https://captureandgo.cloudlab.zhaw.ch/uploads/image_6ea24a17fd.jpg</v>
      </c>
    </row>
    <row r="538" spans="1:12" ht="16" x14ac:dyDescent="0.2">
      <c r="A538" s="20" t="s">
        <v>5912</v>
      </c>
      <c r="B538" s="20" t="s">
        <v>5913</v>
      </c>
      <c r="C538" s="20" t="s">
        <v>3774</v>
      </c>
      <c r="D538" s="20" t="s">
        <v>5914</v>
      </c>
      <c r="E538" s="20" t="s">
        <v>5915</v>
      </c>
      <c r="F538" s="20" t="s">
        <v>1588</v>
      </c>
      <c r="G538" s="20" t="s">
        <v>3777</v>
      </c>
      <c r="H538" s="20" t="s">
        <v>6</v>
      </c>
      <c r="I538" s="39">
        <v>44747.475540810185</v>
      </c>
      <c r="J538" s="39">
        <v>44747.475540833337</v>
      </c>
      <c r="K538" s="20">
        <v>0</v>
      </c>
      <c r="L538" s="17" t="str">
        <f t="shared" si="8"/>
        <v>https://captureandgo.cloudlab.zhaw.ch/uploads/image_8ae2d4778d.jpg</v>
      </c>
    </row>
    <row r="539" spans="1:12" ht="16" x14ac:dyDescent="0.2">
      <c r="A539" s="20" t="s">
        <v>5916</v>
      </c>
      <c r="B539" s="20" t="s">
        <v>5917</v>
      </c>
      <c r="C539" s="20" t="s">
        <v>3774</v>
      </c>
      <c r="D539" s="20" t="s">
        <v>5918</v>
      </c>
      <c r="E539" s="20" t="s">
        <v>5919</v>
      </c>
      <c r="F539" s="20" t="s">
        <v>1591</v>
      </c>
      <c r="G539" s="20" t="s">
        <v>3777</v>
      </c>
      <c r="H539" s="20" t="s">
        <v>6</v>
      </c>
      <c r="I539" s="39">
        <v>44747.47614914352</v>
      </c>
      <c r="J539" s="39">
        <v>44747.476149178241</v>
      </c>
      <c r="K539" s="20">
        <v>0</v>
      </c>
      <c r="L539" s="17" t="str">
        <f t="shared" si="8"/>
        <v>https://captureandgo.cloudlab.zhaw.ch/uploads/image_bdcf96c2bb.jpg</v>
      </c>
    </row>
    <row r="540" spans="1:12" ht="16" x14ac:dyDescent="0.2">
      <c r="A540" s="20" t="s">
        <v>5920</v>
      </c>
      <c r="B540" s="20" t="s">
        <v>5921</v>
      </c>
      <c r="C540" s="20" t="s">
        <v>3774</v>
      </c>
      <c r="D540" s="20" t="s">
        <v>5922</v>
      </c>
      <c r="E540" s="20" t="s">
        <v>5923</v>
      </c>
      <c r="F540" s="20" t="s">
        <v>1595</v>
      </c>
      <c r="G540" s="20" t="s">
        <v>3777</v>
      </c>
      <c r="H540" s="20" t="s">
        <v>6</v>
      </c>
      <c r="I540" s="39">
        <v>44747.476922997688</v>
      </c>
      <c r="J540" s="39">
        <v>44747.476923032409</v>
      </c>
      <c r="K540" s="20">
        <v>0</v>
      </c>
      <c r="L540" s="17" t="str">
        <f t="shared" si="8"/>
        <v>https://captureandgo.cloudlab.zhaw.ch/uploads/image_66c7d8e05b.jpg</v>
      </c>
    </row>
    <row r="541" spans="1:12" ht="16" x14ac:dyDescent="0.2">
      <c r="A541" s="20" t="s">
        <v>5924</v>
      </c>
      <c r="B541" s="20" t="s">
        <v>5925</v>
      </c>
      <c r="C541" s="20" t="s">
        <v>3774</v>
      </c>
      <c r="D541" s="20" t="s">
        <v>5926</v>
      </c>
      <c r="E541" s="20" t="s">
        <v>5927</v>
      </c>
      <c r="F541" s="20" t="s">
        <v>1599</v>
      </c>
      <c r="G541" s="20" t="s">
        <v>3777</v>
      </c>
      <c r="H541" s="20" t="s">
        <v>6</v>
      </c>
      <c r="I541" s="39">
        <v>44747.477934722221</v>
      </c>
      <c r="J541" s="39">
        <v>44747.477934756942</v>
      </c>
      <c r="K541" s="20">
        <v>0</v>
      </c>
      <c r="L541" s="17" t="str">
        <f t="shared" si="8"/>
        <v>https://captureandgo.cloudlab.zhaw.ch/uploads/image_0ec155530c.jpg</v>
      </c>
    </row>
    <row r="542" spans="1:12" ht="16" x14ac:dyDescent="0.2">
      <c r="A542" s="20" t="s">
        <v>5928</v>
      </c>
      <c r="B542" s="20" t="s">
        <v>5929</v>
      </c>
      <c r="C542" s="20" t="s">
        <v>3774</v>
      </c>
      <c r="D542" s="20" t="s">
        <v>5930</v>
      </c>
      <c r="E542" s="20" t="s">
        <v>5931</v>
      </c>
      <c r="F542" s="20" t="s">
        <v>1602</v>
      </c>
      <c r="G542" s="20" t="s">
        <v>3777</v>
      </c>
      <c r="H542" s="20" t="s">
        <v>6</v>
      </c>
      <c r="I542" s="39">
        <v>44747.47821883102</v>
      </c>
      <c r="J542" s="39">
        <v>44747.478218865741</v>
      </c>
      <c r="K542" s="20">
        <v>0</v>
      </c>
      <c r="L542" s="17" t="str">
        <f t="shared" si="8"/>
        <v>https://captureandgo.cloudlab.zhaw.ch/uploads/image_0de406b269.jpg</v>
      </c>
    </row>
    <row r="543" spans="1:12" ht="16" x14ac:dyDescent="0.2">
      <c r="A543" s="20" t="s">
        <v>5932</v>
      </c>
      <c r="B543" s="20" t="s">
        <v>5933</v>
      </c>
      <c r="C543" s="20" t="s">
        <v>3774</v>
      </c>
      <c r="D543" s="20" t="s">
        <v>5934</v>
      </c>
      <c r="E543" s="20" t="s">
        <v>5935</v>
      </c>
      <c r="F543" s="20" t="s">
        <v>1605</v>
      </c>
      <c r="G543" s="20" t="s">
        <v>3777</v>
      </c>
      <c r="H543" s="20" t="s">
        <v>6</v>
      </c>
      <c r="I543" s="39">
        <v>44747.479196203705</v>
      </c>
      <c r="J543" s="39">
        <v>44747.479196250002</v>
      </c>
      <c r="K543" s="20">
        <v>0</v>
      </c>
      <c r="L543" s="17" t="str">
        <f t="shared" si="8"/>
        <v>https://captureandgo.cloudlab.zhaw.ch/uploads/image_52aeb297eb.jpg</v>
      </c>
    </row>
    <row r="544" spans="1:12" ht="16" x14ac:dyDescent="0.2">
      <c r="A544" s="20" t="s">
        <v>5936</v>
      </c>
      <c r="B544" s="20" t="s">
        <v>5937</v>
      </c>
      <c r="C544" s="20" t="s">
        <v>3774</v>
      </c>
      <c r="D544" s="20" t="s">
        <v>5938</v>
      </c>
      <c r="E544" s="20" t="s">
        <v>5939</v>
      </c>
      <c r="F544" s="20" t="s">
        <v>1608</v>
      </c>
      <c r="G544" s="20" t="s">
        <v>3777</v>
      </c>
      <c r="H544" s="20" t="s">
        <v>6</v>
      </c>
      <c r="I544" s="39">
        <v>44747.479766215278</v>
      </c>
      <c r="J544" s="39">
        <v>44747.479766238423</v>
      </c>
      <c r="K544" s="20">
        <v>0</v>
      </c>
      <c r="L544" s="17" t="str">
        <f t="shared" si="8"/>
        <v>https://captureandgo.cloudlab.zhaw.ch/uploads/image_e59fadd35c.jpg</v>
      </c>
    </row>
    <row r="545" spans="1:12" ht="16" x14ac:dyDescent="0.2">
      <c r="A545" s="20" t="s">
        <v>5940</v>
      </c>
      <c r="B545" s="20" t="s">
        <v>5941</v>
      </c>
      <c r="C545" s="20" t="s">
        <v>3774</v>
      </c>
      <c r="D545" s="20" t="s">
        <v>5942</v>
      </c>
      <c r="E545" s="20" t="s">
        <v>5943</v>
      </c>
      <c r="F545" s="20" t="s">
        <v>1611</v>
      </c>
      <c r="G545" s="20" t="s">
        <v>3777</v>
      </c>
      <c r="H545" s="20" t="s">
        <v>6</v>
      </c>
      <c r="I545" s="39">
        <v>44747.483144293983</v>
      </c>
      <c r="J545" s="39">
        <v>44747.48314434028</v>
      </c>
      <c r="K545" s="20">
        <v>0</v>
      </c>
      <c r="L545" s="17" t="str">
        <f t="shared" si="8"/>
        <v>https://captureandgo.cloudlab.zhaw.ch/uploads/image_4244f5d5bd.jpg</v>
      </c>
    </row>
    <row r="546" spans="1:12" ht="16" x14ac:dyDescent="0.2">
      <c r="A546" s="20" t="s">
        <v>5944</v>
      </c>
      <c r="B546" s="20" t="s">
        <v>5945</v>
      </c>
      <c r="C546" s="20" t="s">
        <v>3774</v>
      </c>
      <c r="D546" s="20" t="s">
        <v>5946</v>
      </c>
      <c r="E546" s="20" t="s">
        <v>5947</v>
      </c>
      <c r="F546" s="20" t="s">
        <v>1615</v>
      </c>
      <c r="G546" s="20" t="s">
        <v>3777</v>
      </c>
      <c r="H546" s="20" t="s">
        <v>6</v>
      </c>
      <c r="I546" s="39">
        <v>44747.484301412034</v>
      </c>
      <c r="J546" s="39">
        <v>44747.484301458331</v>
      </c>
      <c r="K546" s="20">
        <v>0</v>
      </c>
      <c r="L546" s="17" t="str">
        <f t="shared" si="8"/>
        <v>https://captureandgo.cloudlab.zhaw.ch/uploads/image_379e8166fb.jpg</v>
      </c>
    </row>
    <row r="547" spans="1:12" ht="16" x14ac:dyDescent="0.2">
      <c r="A547" s="20" t="s">
        <v>5948</v>
      </c>
      <c r="B547" s="20" t="s">
        <v>5949</v>
      </c>
      <c r="C547" s="20" t="s">
        <v>3774</v>
      </c>
      <c r="D547" s="20" t="s">
        <v>5950</v>
      </c>
      <c r="E547" s="20" t="s">
        <v>5951</v>
      </c>
      <c r="F547" s="20" t="s">
        <v>1618</v>
      </c>
      <c r="G547" s="20" t="s">
        <v>3777</v>
      </c>
      <c r="H547" s="20" t="s">
        <v>6</v>
      </c>
      <c r="I547" s="39">
        <v>44747.485203368058</v>
      </c>
      <c r="J547" s="39">
        <v>44747.485203402779</v>
      </c>
      <c r="K547" s="20">
        <v>0</v>
      </c>
      <c r="L547" s="17" t="str">
        <f t="shared" si="8"/>
        <v>https://captureandgo.cloudlab.zhaw.ch/uploads/image_b7eb5989f5.jpg</v>
      </c>
    </row>
    <row r="548" spans="1:12" ht="16" x14ac:dyDescent="0.2">
      <c r="A548" s="20" t="s">
        <v>5952</v>
      </c>
      <c r="B548" s="20" t="s">
        <v>5953</v>
      </c>
      <c r="C548" s="20" t="s">
        <v>3774</v>
      </c>
      <c r="D548" s="20" t="s">
        <v>5954</v>
      </c>
      <c r="E548" s="20" t="s">
        <v>5955</v>
      </c>
      <c r="F548" s="20" t="s">
        <v>1621</v>
      </c>
      <c r="G548" s="20" t="s">
        <v>3777</v>
      </c>
      <c r="H548" s="20" t="s">
        <v>6</v>
      </c>
      <c r="I548" s="39">
        <v>44747.485896944447</v>
      </c>
      <c r="J548" s="39">
        <v>44747.485897025465</v>
      </c>
      <c r="K548" s="20">
        <v>0</v>
      </c>
      <c r="L548" s="17" t="str">
        <f t="shared" si="8"/>
        <v>https://captureandgo.cloudlab.zhaw.ch/uploads/image_2dc6f59ebc.jpg</v>
      </c>
    </row>
    <row r="549" spans="1:12" ht="16" x14ac:dyDescent="0.2">
      <c r="A549" s="20" t="s">
        <v>5956</v>
      </c>
      <c r="B549" s="20" t="s">
        <v>5957</v>
      </c>
      <c r="C549" s="20" t="s">
        <v>3774</v>
      </c>
      <c r="D549" s="20" t="s">
        <v>5958</v>
      </c>
      <c r="E549" s="20" t="s">
        <v>5959</v>
      </c>
      <c r="F549" s="20" t="s">
        <v>1624</v>
      </c>
      <c r="G549" s="20" t="s">
        <v>3777</v>
      </c>
      <c r="H549" s="20" t="s">
        <v>6</v>
      </c>
      <c r="I549" s="39">
        <v>44747.486469201387</v>
      </c>
      <c r="J549" s="39">
        <v>44747.486469247684</v>
      </c>
      <c r="K549" s="20">
        <v>0</v>
      </c>
      <c r="L549" s="17" t="str">
        <f t="shared" si="8"/>
        <v>https://captureandgo.cloudlab.zhaw.ch/uploads/image_2aa6396a59.jpg</v>
      </c>
    </row>
    <row r="550" spans="1:12" ht="16" x14ac:dyDescent="0.2">
      <c r="A550" s="20" t="s">
        <v>5960</v>
      </c>
      <c r="B550" s="20" t="s">
        <v>5961</v>
      </c>
      <c r="C550" s="20" t="s">
        <v>3774</v>
      </c>
      <c r="D550" s="20" t="s">
        <v>5962</v>
      </c>
      <c r="E550" s="20" t="s">
        <v>5963</v>
      </c>
      <c r="F550" s="20" t="s">
        <v>1628</v>
      </c>
      <c r="G550" s="20" t="s">
        <v>3777</v>
      </c>
      <c r="H550" s="20" t="s">
        <v>6</v>
      </c>
      <c r="I550" s="39">
        <v>44747.487574189814</v>
      </c>
      <c r="J550" s="39">
        <v>44747.487574305553</v>
      </c>
      <c r="K550" s="20">
        <v>0</v>
      </c>
      <c r="L550" s="17" t="str">
        <f t="shared" si="8"/>
        <v>https://captureandgo.cloudlab.zhaw.ch/uploads/image_39e87c3e21.jpg</v>
      </c>
    </row>
    <row r="551" spans="1:12" ht="16" x14ac:dyDescent="0.2">
      <c r="A551" s="20" t="s">
        <v>5964</v>
      </c>
      <c r="B551" s="20" t="s">
        <v>5965</v>
      </c>
      <c r="C551" s="20" t="s">
        <v>3774</v>
      </c>
      <c r="D551" s="20" t="s">
        <v>5966</v>
      </c>
      <c r="E551" s="20" t="s">
        <v>5967</v>
      </c>
      <c r="F551" s="20" t="s">
        <v>1632</v>
      </c>
      <c r="G551" s="20" t="s">
        <v>3777</v>
      </c>
      <c r="H551" s="20" t="s">
        <v>6</v>
      </c>
      <c r="I551" s="39">
        <v>44747.48887296296</v>
      </c>
      <c r="J551" s="39">
        <v>44747.488872997688</v>
      </c>
      <c r="K551" s="20">
        <v>0</v>
      </c>
      <c r="L551" s="17" t="str">
        <f t="shared" si="8"/>
        <v>https://captureandgo.cloudlab.zhaw.ch/uploads/image_2b52cf48d2.jpg</v>
      </c>
    </row>
    <row r="552" spans="1:12" ht="16" x14ac:dyDescent="0.2">
      <c r="A552" s="20" t="s">
        <v>5968</v>
      </c>
      <c r="B552" s="20" t="s">
        <v>5969</v>
      </c>
      <c r="C552" s="20" t="s">
        <v>3774</v>
      </c>
      <c r="D552" s="20" t="s">
        <v>5970</v>
      </c>
      <c r="E552" s="20" t="s">
        <v>5971</v>
      </c>
      <c r="F552" s="20" t="s">
        <v>1635</v>
      </c>
      <c r="G552" s="20" t="s">
        <v>3777</v>
      </c>
      <c r="H552" s="20" t="s">
        <v>6</v>
      </c>
      <c r="I552" s="39">
        <v>44747.490172523147</v>
      </c>
      <c r="J552" s="39">
        <v>44747.490172569444</v>
      </c>
      <c r="K552" s="20">
        <v>0</v>
      </c>
      <c r="L552" s="17" t="str">
        <f t="shared" si="8"/>
        <v>https://captureandgo.cloudlab.zhaw.ch/uploads/image_3ddb2c9340.jpg</v>
      </c>
    </row>
    <row r="553" spans="1:12" ht="16" x14ac:dyDescent="0.2">
      <c r="A553" s="20" t="s">
        <v>5972</v>
      </c>
      <c r="B553" s="20" t="s">
        <v>5973</v>
      </c>
      <c r="C553" s="20" t="s">
        <v>3774</v>
      </c>
      <c r="D553" s="20" t="s">
        <v>5974</v>
      </c>
      <c r="E553" s="20" t="s">
        <v>5975</v>
      </c>
      <c r="F553" s="20" t="s">
        <v>1638</v>
      </c>
      <c r="G553" s="20" t="s">
        <v>3777</v>
      </c>
      <c r="H553" s="20" t="s">
        <v>6</v>
      </c>
      <c r="I553" s="39">
        <v>44747.491459710647</v>
      </c>
      <c r="J553" s="39">
        <v>44747.491459756944</v>
      </c>
      <c r="K553" s="20">
        <v>0</v>
      </c>
      <c r="L553" s="17" t="str">
        <f t="shared" si="8"/>
        <v>https://captureandgo.cloudlab.zhaw.ch/uploads/image_2678e1698c.jpg</v>
      </c>
    </row>
    <row r="554" spans="1:12" ht="16" x14ac:dyDescent="0.2">
      <c r="A554" s="20" t="s">
        <v>5976</v>
      </c>
      <c r="B554" s="20" t="s">
        <v>5977</v>
      </c>
      <c r="C554" s="20" t="s">
        <v>3774</v>
      </c>
      <c r="D554" s="20" t="s">
        <v>5978</v>
      </c>
      <c r="E554" s="20" t="s">
        <v>5979</v>
      </c>
      <c r="F554" s="20" t="s">
        <v>1641</v>
      </c>
      <c r="G554" s="20" t="s">
        <v>3777</v>
      </c>
      <c r="H554" s="20" t="s">
        <v>6</v>
      </c>
      <c r="I554" s="39">
        <v>44747.492471990743</v>
      </c>
      <c r="J554" s="39">
        <v>44747.49247203704</v>
      </c>
      <c r="K554" s="20">
        <v>0</v>
      </c>
      <c r="L554" s="17" t="str">
        <f t="shared" si="8"/>
        <v>https://captureandgo.cloudlab.zhaw.ch/uploads/image_c42d64c56d.jpg</v>
      </c>
    </row>
    <row r="555" spans="1:12" ht="16" x14ac:dyDescent="0.2">
      <c r="A555" s="20" t="s">
        <v>5980</v>
      </c>
      <c r="B555" s="20" t="s">
        <v>5981</v>
      </c>
      <c r="C555" s="20" t="s">
        <v>3774</v>
      </c>
      <c r="D555" s="20" t="s">
        <v>5982</v>
      </c>
      <c r="E555" s="20" t="s">
        <v>5983</v>
      </c>
      <c r="F555" s="20" t="s">
        <v>1644</v>
      </c>
      <c r="G555" s="20" t="s">
        <v>3777</v>
      </c>
      <c r="H555" s="20" t="s">
        <v>6</v>
      </c>
      <c r="I555" s="39">
        <v>44747.49363986111</v>
      </c>
      <c r="J555" s="39">
        <v>44747.493639895831</v>
      </c>
      <c r="K555" s="20">
        <v>0</v>
      </c>
      <c r="L555" s="17" t="str">
        <f t="shared" si="8"/>
        <v>https://captureandgo.cloudlab.zhaw.ch/uploads/image_6f66d89fa9.jpg</v>
      </c>
    </row>
    <row r="556" spans="1:12" ht="16" x14ac:dyDescent="0.2">
      <c r="A556" s="20" t="s">
        <v>5984</v>
      </c>
      <c r="B556" s="20" t="s">
        <v>5985</v>
      </c>
      <c r="C556" s="20" t="s">
        <v>3774</v>
      </c>
      <c r="D556" s="20" t="s">
        <v>5986</v>
      </c>
      <c r="E556" s="20" t="s">
        <v>5987</v>
      </c>
      <c r="F556" s="20" t="s">
        <v>1648</v>
      </c>
      <c r="G556" s="20" t="s">
        <v>3777</v>
      </c>
      <c r="H556" s="20" t="s">
        <v>6</v>
      </c>
      <c r="I556" s="39">
        <v>44747.495292326392</v>
      </c>
      <c r="J556" s="39">
        <v>44747.495292372689</v>
      </c>
      <c r="K556" s="20">
        <v>0</v>
      </c>
      <c r="L556" s="17" t="str">
        <f t="shared" si="8"/>
        <v>https://captureandgo.cloudlab.zhaw.ch/uploads/image_40b9be906b.jpg</v>
      </c>
    </row>
    <row r="557" spans="1:12" ht="16" x14ac:dyDescent="0.2">
      <c r="A557" s="20" t="s">
        <v>5988</v>
      </c>
      <c r="B557" s="20" t="s">
        <v>5989</v>
      </c>
      <c r="C557" s="20" t="s">
        <v>3774</v>
      </c>
      <c r="D557" s="20" t="s">
        <v>5990</v>
      </c>
      <c r="E557" s="20" t="s">
        <v>5991</v>
      </c>
      <c r="F557" s="20" t="s">
        <v>1651</v>
      </c>
      <c r="G557" s="20" t="s">
        <v>3777</v>
      </c>
      <c r="H557" s="20" t="s">
        <v>6</v>
      </c>
      <c r="I557" s="39">
        <v>44747.498386273146</v>
      </c>
      <c r="J557" s="39">
        <v>44747.498386307867</v>
      </c>
      <c r="K557" s="20">
        <v>0</v>
      </c>
      <c r="L557" s="17" t="str">
        <f t="shared" si="8"/>
        <v>https://captureandgo.cloudlab.zhaw.ch/uploads/image_10c3f7c9ac.jpg</v>
      </c>
    </row>
    <row r="558" spans="1:12" ht="16" x14ac:dyDescent="0.2">
      <c r="A558" s="20" t="s">
        <v>5992</v>
      </c>
      <c r="B558" s="20" t="s">
        <v>5993</v>
      </c>
      <c r="C558" s="20" t="s">
        <v>3774</v>
      </c>
      <c r="D558" s="20" t="s">
        <v>5994</v>
      </c>
      <c r="E558" s="20" t="s">
        <v>5995</v>
      </c>
      <c r="F558" s="20" t="s">
        <v>1655</v>
      </c>
      <c r="G558" s="20" t="s">
        <v>3777</v>
      </c>
      <c r="H558" s="20" t="s">
        <v>6</v>
      </c>
      <c r="I558" s="39">
        <v>44747.499369571757</v>
      </c>
      <c r="J558" s="39">
        <v>44747.499369606485</v>
      </c>
      <c r="K558" s="20">
        <v>0</v>
      </c>
      <c r="L558" s="17" t="str">
        <f t="shared" si="8"/>
        <v>https://captureandgo.cloudlab.zhaw.ch/uploads/image_062a830cc1.jpg</v>
      </c>
    </row>
    <row r="559" spans="1:12" ht="16" x14ac:dyDescent="0.2">
      <c r="A559" s="20" t="s">
        <v>5996</v>
      </c>
      <c r="B559" s="20" t="s">
        <v>5997</v>
      </c>
      <c r="C559" s="20" t="s">
        <v>3774</v>
      </c>
      <c r="D559" s="20" t="s">
        <v>5998</v>
      </c>
      <c r="E559" s="20" t="s">
        <v>5999</v>
      </c>
      <c r="F559" s="20" t="s">
        <v>1659</v>
      </c>
      <c r="G559" s="20" t="s">
        <v>3777</v>
      </c>
      <c r="H559" s="20" t="s">
        <v>6</v>
      </c>
      <c r="I559" s="39">
        <v>44747.50050263889</v>
      </c>
      <c r="J559" s="39">
        <v>44747.500502673611</v>
      </c>
      <c r="K559" s="20">
        <v>0</v>
      </c>
      <c r="L559" s="17" t="str">
        <f t="shared" si="8"/>
        <v>https://captureandgo.cloudlab.zhaw.ch/uploads/image_f0c47098b1.jpg</v>
      </c>
    </row>
    <row r="560" spans="1:12" ht="16" x14ac:dyDescent="0.2">
      <c r="A560" s="20" t="s">
        <v>6000</v>
      </c>
      <c r="B560" s="20" t="s">
        <v>6001</v>
      </c>
      <c r="C560" s="20" t="s">
        <v>3774</v>
      </c>
      <c r="D560" s="20" t="s">
        <v>6002</v>
      </c>
      <c r="E560" s="20" t="s">
        <v>6003</v>
      </c>
      <c r="F560" s="20" t="s">
        <v>1662</v>
      </c>
      <c r="G560" s="20" t="s">
        <v>3777</v>
      </c>
      <c r="H560" s="20" t="s">
        <v>6</v>
      </c>
      <c r="I560" s="39">
        <v>44747.500790266204</v>
      </c>
      <c r="J560" s="39">
        <v>44747.500790300925</v>
      </c>
      <c r="K560" s="20">
        <v>0</v>
      </c>
      <c r="L560" s="17" t="str">
        <f t="shared" si="8"/>
        <v>https://captureandgo.cloudlab.zhaw.ch/uploads/image_11ac842315.jpg</v>
      </c>
    </row>
    <row r="561" spans="1:12" ht="16" x14ac:dyDescent="0.2">
      <c r="A561" s="20" t="s">
        <v>6004</v>
      </c>
      <c r="B561" s="20" t="s">
        <v>6005</v>
      </c>
      <c r="C561" s="20" t="s">
        <v>3774</v>
      </c>
      <c r="D561" s="20" t="s">
        <v>6006</v>
      </c>
      <c r="E561" s="20" t="s">
        <v>6007</v>
      </c>
      <c r="F561" s="20" t="s">
        <v>1665</v>
      </c>
      <c r="G561" s="20" t="s">
        <v>3777</v>
      </c>
      <c r="H561" s="20" t="s">
        <v>6</v>
      </c>
      <c r="I561" s="39">
        <v>44747.50162747685</v>
      </c>
      <c r="J561" s="39">
        <v>44747.501627511578</v>
      </c>
      <c r="K561" s="20">
        <v>0</v>
      </c>
      <c r="L561" s="17" t="str">
        <f t="shared" si="8"/>
        <v>https://captureandgo.cloudlab.zhaw.ch/uploads/image_2823e0914c.jpg</v>
      </c>
    </row>
    <row r="562" spans="1:12" ht="16" x14ac:dyDescent="0.2">
      <c r="A562" s="20" t="s">
        <v>6008</v>
      </c>
      <c r="B562" s="20" t="s">
        <v>6009</v>
      </c>
      <c r="C562" s="20" t="s">
        <v>3774</v>
      </c>
      <c r="D562" s="20" t="s">
        <v>6010</v>
      </c>
      <c r="E562" s="20" t="s">
        <v>6011</v>
      </c>
      <c r="F562" s="20" t="s">
        <v>1669</v>
      </c>
      <c r="G562" s="20" t="s">
        <v>3777</v>
      </c>
      <c r="H562" s="20" t="s">
        <v>6</v>
      </c>
      <c r="I562" s="39">
        <v>44747.502947685185</v>
      </c>
      <c r="J562" s="39">
        <v>44747.502947754627</v>
      </c>
      <c r="K562" s="20">
        <v>0</v>
      </c>
      <c r="L562" s="17" t="str">
        <f t="shared" si="8"/>
        <v>https://captureandgo.cloudlab.zhaw.ch/uploads/image_2c392dbc32.jpg</v>
      </c>
    </row>
    <row r="563" spans="1:12" ht="16" x14ac:dyDescent="0.2">
      <c r="A563" s="20" t="s">
        <v>6012</v>
      </c>
      <c r="B563" s="20" t="s">
        <v>6013</v>
      </c>
      <c r="C563" s="20" t="s">
        <v>3774</v>
      </c>
      <c r="D563" s="20" t="s">
        <v>6014</v>
      </c>
      <c r="E563" s="20" t="s">
        <v>6015</v>
      </c>
      <c r="F563" s="20" t="s">
        <v>1672</v>
      </c>
      <c r="G563" s="20" t="s">
        <v>3777</v>
      </c>
      <c r="H563" s="20" t="s">
        <v>6</v>
      </c>
      <c r="I563" s="39">
        <v>44747.503310254629</v>
      </c>
      <c r="J563" s="39">
        <v>44747.503310324071</v>
      </c>
      <c r="K563" s="20">
        <v>0</v>
      </c>
      <c r="L563" s="17" t="str">
        <f t="shared" si="8"/>
        <v>https://captureandgo.cloudlab.zhaw.ch/uploads/image_1dd39a3765.jpg</v>
      </c>
    </row>
    <row r="564" spans="1:12" ht="16" x14ac:dyDescent="0.2">
      <c r="A564" s="20" t="s">
        <v>6016</v>
      </c>
      <c r="B564" s="20" t="s">
        <v>6017</v>
      </c>
      <c r="C564" s="20" t="s">
        <v>3774</v>
      </c>
      <c r="D564" s="20" t="s">
        <v>6018</v>
      </c>
      <c r="E564" s="20" t="s">
        <v>6019</v>
      </c>
      <c r="F564" s="20" t="s">
        <v>1677</v>
      </c>
      <c r="G564" s="20" t="s">
        <v>3777</v>
      </c>
      <c r="H564" s="20" t="s">
        <v>6</v>
      </c>
      <c r="I564" s="39">
        <v>44747.504668055553</v>
      </c>
      <c r="J564" s="39">
        <v>44747.504668090274</v>
      </c>
      <c r="K564" s="20">
        <v>0</v>
      </c>
      <c r="L564" s="17" t="str">
        <f t="shared" si="8"/>
        <v>https://captureandgo.cloudlab.zhaw.ch/uploads/image_3b2a365ff9.jpg</v>
      </c>
    </row>
    <row r="565" spans="1:12" ht="16" x14ac:dyDescent="0.2">
      <c r="A565" s="20" t="s">
        <v>6020</v>
      </c>
      <c r="B565" s="20" t="s">
        <v>6021</v>
      </c>
      <c r="C565" s="20" t="s">
        <v>3774</v>
      </c>
      <c r="D565" s="20" t="s">
        <v>6022</v>
      </c>
      <c r="E565" s="20" t="s">
        <v>6023</v>
      </c>
      <c r="F565" s="20" t="s">
        <v>1681</v>
      </c>
      <c r="G565" s="20" t="s">
        <v>3777</v>
      </c>
      <c r="H565" s="20" t="s">
        <v>6</v>
      </c>
      <c r="I565" s="39">
        <v>44747.505897164352</v>
      </c>
      <c r="J565" s="39">
        <v>44747.505897199073</v>
      </c>
      <c r="K565" s="20">
        <v>0</v>
      </c>
      <c r="L565" s="17" t="str">
        <f t="shared" si="8"/>
        <v>https://captureandgo.cloudlab.zhaw.ch/uploads/image_6af1959915.jpg</v>
      </c>
    </row>
    <row r="566" spans="1:12" ht="16" x14ac:dyDescent="0.2">
      <c r="A566" s="20" t="s">
        <v>6024</v>
      </c>
      <c r="B566" s="20" t="s">
        <v>6025</v>
      </c>
      <c r="C566" s="20" t="s">
        <v>3774</v>
      </c>
      <c r="D566" s="20" t="s">
        <v>6026</v>
      </c>
      <c r="E566" s="20" t="s">
        <v>6027</v>
      </c>
      <c r="F566" s="20" t="s">
        <v>1684</v>
      </c>
      <c r="G566" s="20" t="s">
        <v>3777</v>
      </c>
      <c r="H566" s="20" t="s">
        <v>6</v>
      </c>
      <c r="I566" s="39">
        <v>44747.507081018521</v>
      </c>
      <c r="J566" s="39">
        <v>44747.507081064818</v>
      </c>
      <c r="K566" s="20">
        <v>0</v>
      </c>
      <c r="L566" s="17" t="str">
        <f t="shared" si="8"/>
        <v>https://captureandgo.cloudlab.zhaw.ch/uploads/image_5625c46a05.jpg</v>
      </c>
    </row>
    <row r="567" spans="1:12" ht="16" x14ac:dyDescent="0.2">
      <c r="A567" s="20" t="s">
        <v>6028</v>
      </c>
      <c r="B567" s="20" t="s">
        <v>6029</v>
      </c>
      <c r="C567" s="20" t="s">
        <v>3774</v>
      </c>
      <c r="D567" s="20" t="s">
        <v>6030</v>
      </c>
      <c r="E567" s="20" t="s">
        <v>6031</v>
      </c>
      <c r="F567" s="20" t="s">
        <v>1689</v>
      </c>
      <c r="G567" s="20" t="s">
        <v>3777</v>
      </c>
      <c r="H567" s="20" t="s">
        <v>6</v>
      </c>
      <c r="I567" s="39">
        <v>44747.508767523148</v>
      </c>
      <c r="J567" s="39">
        <v>44747.508767557869</v>
      </c>
      <c r="K567" s="20">
        <v>0</v>
      </c>
      <c r="L567" s="17" t="str">
        <f t="shared" si="8"/>
        <v>https://captureandgo.cloudlab.zhaw.ch/uploads/image_de46b9757d.jpg</v>
      </c>
    </row>
    <row r="568" spans="1:12" ht="16" x14ac:dyDescent="0.2">
      <c r="A568" s="20" t="s">
        <v>6032</v>
      </c>
      <c r="B568" s="20" t="s">
        <v>6033</v>
      </c>
      <c r="C568" s="20" t="s">
        <v>3774</v>
      </c>
      <c r="D568" s="20" t="s">
        <v>6034</v>
      </c>
      <c r="E568" s="20" t="s">
        <v>6035</v>
      </c>
      <c r="F568" s="20" t="s">
        <v>1692</v>
      </c>
      <c r="G568" s="20" t="s">
        <v>3777</v>
      </c>
      <c r="H568" s="20" t="s">
        <v>6</v>
      </c>
      <c r="I568" s="39">
        <v>44747.50979290509</v>
      </c>
      <c r="J568" s="39">
        <v>44747.509792939818</v>
      </c>
      <c r="K568" s="20">
        <v>0</v>
      </c>
      <c r="L568" s="17" t="str">
        <f t="shared" si="8"/>
        <v>https://captureandgo.cloudlab.zhaw.ch/uploads/image_bf9cccdb30.jpg</v>
      </c>
    </row>
    <row r="569" spans="1:12" ht="16" x14ac:dyDescent="0.2">
      <c r="A569" s="20" t="s">
        <v>6036</v>
      </c>
      <c r="B569" s="20" t="s">
        <v>6037</v>
      </c>
      <c r="C569" s="20" t="s">
        <v>3774</v>
      </c>
      <c r="D569" s="20" t="s">
        <v>6038</v>
      </c>
      <c r="E569" s="20" t="s">
        <v>6039</v>
      </c>
      <c r="F569" s="20" t="s">
        <v>1695</v>
      </c>
      <c r="G569" s="20" t="s">
        <v>3777</v>
      </c>
      <c r="H569" s="20" t="s">
        <v>6</v>
      </c>
      <c r="I569" s="39">
        <v>44747.511433657404</v>
      </c>
      <c r="J569" s="39">
        <v>44747.511433703701</v>
      </c>
      <c r="K569" s="20">
        <v>0</v>
      </c>
      <c r="L569" s="17" t="str">
        <f t="shared" si="8"/>
        <v>https://captureandgo.cloudlab.zhaw.ch/uploads/image_c86d3ae718.jpg</v>
      </c>
    </row>
    <row r="570" spans="1:12" ht="16" x14ac:dyDescent="0.2">
      <c r="A570" s="20" t="s">
        <v>6040</v>
      </c>
      <c r="B570" s="20" t="s">
        <v>6041</v>
      </c>
      <c r="C570" s="20" t="s">
        <v>3774</v>
      </c>
      <c r="D570" s="20" t="s">
        <v>6042</v>
      </c>
      <c r="E570" s="20" t="s">
        <v>6043</v>
      </c>
      <c r="F570" s="20" t="s">
        <v>1698</v>
      </c>
      <c r="G570" s="20" t="s">
        <v>3777</v>
      </c>
      <c r="H570" s="20" t="s">
        <v>6</v>
      </c>
      <c r="I570" s="39">
        <v>44747.511891817128</v>
      </c>
      <c r="J570" s="39">
        <v>44747.511891851849</v>
      </c>
      <c r="K570" s="20">
        <v>0</v>
      </c>
      <c r="L570" s="17" t="str">
        <f t="shared" si="8"/>
        <v>https://captureandgo.cloudlab.zhaw.ch/uploads/image_92af603b5a.jpg</v>
      </c>
    </row>
    <row r="571" spans="1:12" ht="16" x14ac:dyDescent="0.2">
      <c r="A571" s="20" t="s">
        <v>6044</v>
      </c>
      <c r="B571" s="20" t="s">
        <v>6045</v>
      </c>
      <c r="C571" s="20" t="s">
        <v>3774</v>
      </c>
      <c r="D571" s="20" t="s">
        <v>6046</v>
      </c>
      <c r="E571" s="20" t="s">
        <v>6047</v>
      </c>
      <c r="F571" s="20" t="s">
        <v>1702</v>
      </c>
      <c r="G571" s="20" t="s">
        <v>3777</v>
      </c>
      <c r="H571" s="20" t="s">
        <v>6</v>
      </c>
      <c r="I571" s="39">
        <v>44747.512430567127</v>
      </c>
      <c r="J571" s="39">
        <v>44747.512430601855</v>
      </c>
      <c r="K571" s="20">
        <v>0</v>
      </c>
      <c r="L571" s="17" t="str">
        <f t="shared" si="8"/>
        <v>https://captureandgo.cloudlab.zhaw.ch/uploads/image_5a5b88b2cf.jpg</v>
      </c>
    </row>
    <row r="572" spans="1:12" ht="16" x14ac:dyDescent="0.2">
      <c r="A572" s="20" t="s">
        <v>6048</v>
      </c>
      <c r="B572" s="20" t="s">
        <v>6049</v>
      </c>
      <c r="C572" s="20" t="s">
        <v>3774</v>
      </c>
      <c r="D572" s="20" t="s">
        <v>6050</v>
      </c>
      <c r="E572" s="20" t="s">
        <v>6051</v>
      </c>
      <c r="F572" s="20" t="s">
        <v>1705</v>
      </c>
      <c r="G572" s="20" t="s">
        <v>3777</v>
      </c>
      <c r="H572" s="20" t="s">
        <v>6</v>
      </c>
      <c r="I572" s="39">
        <v>44747.513348749999</v>
      </c>
      <c r="J572" s="39">
        <v>44747.51334878472</v>
      </c>
      <c r="K572" s="20">
        <v>0</v>
      </c>
      <c r="L572" s="17" t="str">
        <f t="shared" si="8"/>
        <v>https://captureandgo.cloudlab.zhaw.ch/uploads/image_924fb67925.jpg</v>
      </c>
    </row>
    <row r="573" spans="1:12" ht="16" x14ac:dyDescent="0.2">
      <c r="A573" s="20" t="s">
        <v>6052</v>
      </c>
      <c r="B573" s="20" t="s">
        <v>6053</v>
      </c>
      <c r="C573" s="20" t="s">
        <v>3774</v>
      </c>
      <c r="D573" s="20" t="s">
        <v>6054</v>
      </c>
      <c r="E573" s="20" t="s">
        <v>6055</v>
      </c>
      <c r="F573" s="20" t="s">
        <v>1708</v>
      </c>
      <c r="G573" s="20" t="s">
        <v>3777</v>
      </c>
      <c r="H573" s="20" t="s">
        <v>6</v>
      </c>
      <c r="I573" s="39">
        <v>44747.513626192129</v>
      </c>
      <c r="J573" s="39">
        <v>44747.51362622685</v>
      </c>
      <c r="K573" s="20">
        <v>0</v>
      </c>
      <c r="L573" s="17" t="str">
        <f t="shared" si="8"/>
        <v>https://captureandgo.cloudlab.zhaw.ch/uploads/image_bea4a917d9.jpg</v>
      </c>
    </row>
    <row r="574" spans="1:12" ht="16" x14ac:dyDescent="0.2">
      <c r="A574" s="20" t="s">
        <v>6056</v>
      </c>
      <c r="B574" s="20" t="s">
        <v>6057</v>
      </c>
      <c r="C574" s="20" t="s">
        <v>3774</v>
      </c>
      <c r="D574" s="20" t="s">
        <v>6058</v>
      </c>
      <c r="E574" s="20" t="s">
        <v>6059</v>
      </c>
      <c r="F574" s="20" t="s">
        <v>1712</v>
      </c>
      <c r="G574" s="20" t="s">
        <v>3777</v>
      </c>
      <c r="H574" s="20" t="s">
        <v>6</v>
      </c>
      <c r="I574" s="39">
        <v>44747.514539247684</v>
      </c>
      <c r="J574" s="39">
        <v>44747.514539282405</v>
      </c>
      <c r="K574" s="20">
        <v>0</v>
      </c>
      <c r="L574" s="17" t="str">
        <f t="shared" si="8"/>
        <v>https://captureandgo.cloudlab.zhaw.ch/uploads/image_79cac3a1b5.jpg</v>
      </c>
    </row>
    <row r="575" spans="1:12" ht="16" x14ac:dyDescent="0.2">
      <c r="A575" s="20" t="s">
        <v>6060</v>
      </c>
      <c r="B575" s="20" t="s">
        <v>6061</v>
      </c>
      <c r="C575" s="20" t="s">
        <v>3774</v>
      </c>
      <c r="D575" s="20" t="s">
        <v>6062</v>
      </c>
      <c r="E575" s="20" t="s">
        <v>6063</v>
      </c>
      <c r="F575" s="20" t="s">
        <v>1715</v>
      </c>
      <c r="G575" s="20" t="s">
        <v>3777</v>
      </c>
      <c r="H575" s="20" t="s">
        <v>6</v>
      </c>
      <c r="I575" s="39">
        <v>44747.514813738424</v>
      </c>
      <c r="J575" s="39">
        <v>44747.51481390046</v>
      </c>
      <c r="K575" s="20">
        <v>0</v>
      </c>
      <c r="L575" s="17" t="str">
        <f t="shared" si="8"/>
        <v>https://captureandgo.cloudlab.zhaw.ch/uploads/image_c77e880f3c.jpg</v>
      </c>
    </row>
    <row r="576" spans="1:12" ht="16" x14ac:dyDescent="0.2">
      <c r="A576" s="20" t="s">
        <v>6064</v>
      </c>
      <c r="B576" s="20" t="s">
        <v>6065</v>
      </c>
      <c r="C576" s="20" t="s">
        <v>3774</v>
      </c>
      <c r="D576" s="20" t="s">
        <v>6066</v>
      </c>
      <c r="E576" s="20" t="s">
        <v>6067</v>
      </c>
      <c r="F576" s="20" t="s">
        <v>1718</v>
      </c>
      <c r="G576" s="20" t="s">
        <v>3777</v>
      </c>
      <c r="H576" s="20" t="s">
        <v>6</v>
      </c>
      <c r="I576" s="39">
        <v>44747.516009560182</v>
      </c>
      <c r="J576" s="39">
        <v>44747.5160096412</v>
      </c>
      <c r="K576" s="20">
        <v>0</v>
      </c>
      <c r="L576" s="17" t="str">
        <f t="shared" si="8"/>
        <v>https://captureandgo.cloudlab.zhaw.ch/uploads/image_9c66ff7236.jpg</v>
      </c>
    </row>
    <row r="577" spans="1:12" ht="16" x14ac:dyDescent="0.2">
      <c r="A577" s="20" t="s">
        <v>6068</v>
      </c>
      <c r="B577" s="20" t="s">
        <v>6069</v>
      </c>
      <c r="C577" s="20" t="s">
        <v>3774</v>
      </c>
      <c r="D577" s="20" t="s">
        <v>6070</v>
      </c>
      <c r="E577" s="20" t="s">
        <v>6071</v>
      </c>
      <c r="F577" s="20" t="s">
        <v>1721</v>
      </c>
      <c r="G577" s="20" t="s">
        <v>3777</v>
      </c>
      <c r="H577" s="20" t="s">
        <v>6</v>
      </c>
      <c r="I577" s="39">
        <v>44747.51629295139</v>
      </c>
      <c r="J577" s="39">
        <v>44747.516293020832</v>
      </c>
      <c r="K577" s="20">
        <v>0</v>
      </c>
      <c r="L577" s="17" t="str">
        <f t="shared" si="8"/>
        <v>https://captureandgo.cloudlab.zhaw.ch/uploads/image_829f023702.jpg</v>
      </c>
    </row>
    <row r="578" spans="1:12" ht="16" x14ac:dyDescent="0.2">
      <c r="A578" s="20" t="s">
        <v>6072</v>
      </c>
      <c r="B578" s="20" t="s">
        <v>6073</v>
      </c>
      <c r="C578" s="20" t="s">
        <v>3774</v>
      </c>
      <c r="D578" s="20" t="s">
        <v>6074</v>
      </c>
      <c r="E578" s="20" t="s">
        <v>6075</v>
      </c>
      <c r="F578" s="20" t="s">
        <v>1723</v>
      </c>
      <c r="G578" s="20" t="s">
        <v>3777</v>
      </c>
      <c r="H578" s="20" t="s">
        <v>6</v>
      </c>
      <c r="I578" s="39">
        <v>44747.51726025463</v>
      </c>
      <c r="J578" s="39">
        <v>44747.517260300927</v>
      </c>
      <c r="K578" s="20">
        <v>0</v>
      </c>
      <c r="L578" s="17" t="str">
        <f t="shared" ref="L578:L641" si="9">HYPERLINK("https://captureandgo.cloudlab.zhaw.ch"&amp;B578)</f>
        <v>https://captureandgo.cloudlab.zhaw.ch/uploads/image_cde6cfd24d.jpg</v>
      </c>
    </row>
    <row r="579" spans="1:12" ht="16" x14ac:dyDescent="0.2">
      <c r="A579" s="20" t="s">
        <v>6076</v>
      </c>
      <c r="B579" s="20" t="s">
        <v>6077</v>
      </c>
      <c r="C579" s="20" t="s">
        <v>3774</v>
      </c>
      <c r="D579" s="20" t="s">
        <v>6078</v>
      </c>
      <c r="E579" s="20" t="s">
        <v>6079</v>
      </c>
      <c r="F579" s="20" t="s">
        <v>1726</v>
      </c>
      <c r="G579" s="20" t="s">
        <v>3777</v>
      </c>
      <c r="H579" s="20" t="s">
        <v>6</v>
      </c>
      <c r="I579" s="39">
        <v>44747.519210578706</v>
      </c>
      <c r="J579" s="39">
        <v>44747.519210613427</v>
      </c>
      <c r="K579" s="20">
        <v>0</v>
      </c>
      <c r="L579" s="17" t="str">
        <f t="shared" si="9"/>
        <v>https://captureandgo.cloudlab.zhaw.ch/uploads/image_d7b853af6c.jpg</v>
      </c>
    </row>
    <row r="580" spans="1:12" ht="16" x14ac:dyDescent="0.2">
      <c r="A580" s="20" t="s">
        <v>6080</v>
      </c>
      <c r="B580" s="20" t="s">
        <v>6081</v>
      </c>
      <c r="C580" s="20" t="s">
        <v>3774</v>
      </c>
      <c r="D580" s="20" t="s">
        <v>6082</v>
      </c>
      <c r="E580" s="20" t="s">
        <v>6083</v>
      </c>
      <c r="F580" s="20" t="s">
        <v>1729</v>
      </c>
      <c r="G580" s="20" t="s">
        <v>3777</v>
      </c>
      <c r="H580" s="20" t="s">
        <v>6</v>
      </c>
      <c r="I580" s="39">
        <v>44747.520240868056</v>
      </c>
      <c r="J580" s="39">
        <v>44747.520240914353</v>
      </c>
      <c r="K580" s="20">
        <v>0</v>
      </c>
      <c r="L580" s="17" t="str">
        <f t="shared" si="9"/>
        <v>https://captureandgo.cloudlab.zhaw.ch/uploads/image_20066d765d.jpg</v>
      </c>
    </row>
    <row r="581" spans="1:12" ht="16" x14ac:dyDescent="0.2">
      <c r="A581" s="20" t="s">
        <v>6084</v>
      </c>
      <c r="B581" s="20" t="s">
        <v>6085</v>
      </c>
      <c r="C581" s="20" t="s">
        <v>3774</v>
      </c>
      <c r="D581" s="20" t="s">
        <v>6086</v>
      </c>
      <c r="E581" s="20" t="s">
        <v>6087</v>
      </c>
      <c r="F581" s="20" t="s">
        <v>1732</v>
      </c>
      <c r="G581" s="20" t="s">
        <v>3777</v>
      </c>
      <c r="H581" s="20" t="s">
        <v>6</v>
      </c>
      <c r="I581" s="39">
        <v>44747.521904201392</v>
      </c>
      <c r="J581" s="39">
        <v>44747.521904247682</v>
      </c>
      <c r="K581" s="20">
        <v>0</v>
      </c>
      <c r="L581" s="17" t="str">
        <f t="shared" si="9"/>
        <v>https://captureandgo.cloudlab.zhaw.ch/uploads/image_1ff66c9976.jpg</v>
      </c>
    </row>
    <row r="582" spans="1:12" ht="16" x14ac:dyDescent="0.2">
      <c r="A582" s="20" t="s">
        <v>6088</v>
      </c>
      <c r="B582" s="20" t="s">
        <v>6089</v>
      </c>
      <c r="C582" s="20" t="s">
        <v>3774</v>
      </c>
      <c r="D582" s="20" t="s">
        <v>6090</v>
      </c>
      <c r="E582" s="20" t="s">
        <v>6091</v>
      </c>
      <c r="F582" s="20" t="s">
        <v>1735</v>
      </c>
      <c r="G582" s="20" t="s">
        <v>3777</v>
      </c>
      <c r="H582" s="20" t="s">
        <v>6</v>
      </c>
      <c r="I582" s="39">
        <v>44747.524891446759</v>
      </c>
      <c r="J582" s="39">
        <v>44747.524891493056</v>
      </c>
      <c r="K582" s="20">
        <v>0</v>
      </c>
      <c r="L582" s="17" t="str">
        <f t="shared" si="9"/>
        <v>https://captureandgo.cloudlab.zhaw.ch/uploads/image_e4101216b8.jpg</v>
      </c>
    </row>
    <row r="583" spans="1:12" ht="16" x14ac:dyDescent="0.2">
      <c r="A583" s="20" t="s">
        <v>6092</v>
      </c>
      <c r="B583" s="20" t="s">
        <v>6093</v>
      </c>
      <c r="C583" s="20" t="s">
        <v>3774</v>
      </c>
      <c r="D583" s="20" t="s">
        <v>6094</v>
      </c>
      <c r="E583" s="20" t="s">
        <v>6095</v>
      </c>
      <c r="F583" s="20" t="s">
        <v>1739</v>
      </c>
      <c r="G583" s="20" t="s">
        <v>3777</v>
      </c>
      <c r="H583" s="20" t="s">
        <v>6</v>
      </c>
      <c r="I583" s="39">
        <v>44747.526042442129</v>
      </c>
      <c r="J583" s="39">
        <v>44747.526042476849</v>
      </c>
      <c r="K583" s="20">
        <v>0</v>
      </c>
      <c r="L583" s="17" t="str">
        <f t="shared" si="9"/>
        <v>https://captureandgo.cloudlab.zhaw.ch/uploads/image_2a21b6a114.jpg</v>
      </c>
    </row>
    <row r="584" spans="1:12" ht="16" x14ac:dyDescent="0.2">
      <c r="A584" s="20" t="s">
        <v>6096</v>
      </c>
      <c r="B584" s="20" t="s">
        <v>6097</v>
      </c>
      <c r="C584" s="20" t="s">
        <v>3774</v>
      </c>
      <c r="D584" s="20" t="s">
        <v>6098</v>
      </c>
      <c r="E584" s="20" t="s">
        <v>6099</v>
      </c>
      <c r="F584" s="20" t="s">
        <v>1743</v>
      </c>
      <c r="G584" s="20" t="s">
        <v>3777</v>
      </c>
      <c r="H584" s="20" t="s">
        <v>6</v>
      </c>
      <c r="I584" s="39">
        <v>44748.590622685188</v>
      </c>
      <c r="J584" s="39">
        <v>44748.590622731484</v>
      </c>
      <c r="K584" s="20">
        <v>0</v>
      </c>
      <c r="L584" s="17" t="str">
        <f t="shared" si="9"/>
        <v>https://captureandgo.cloudlab.zhaw.ch/uploads/image_38bf99ba51.jpg</v>
      </c>
    </row>
    <row r="585" spans="1:12" ht="16" x14ac:dyDescent="0.2">
      <c r="A585" s="20" t="s">
        <v>6100</v>
      </c>
      <c r="B585" s="20" t="s">
        <v>6101</v>
      </c>
      <c r="C585" s="20" t="s">
        <v>3774</v>
      </c>
      <c r="D585" s="20" t="s">
        <v>6102</v>
      </c>
      <c r="E585" s="20" t="s">
        <v>6103</v>
      </c>
      <c r="F585" s="20" t="s">
        <v>1746</v>
      </c>
      <c r="G585" s="20" t="s">
        <v>3777</v>
      </c>
      <c r="H585" s="20" t="s">
        <v>6</v>
      </c>
      <c r="I585" s="39">
        <v>44748.591464421297</v>
      </c>
      <c r="J585" s="39">
        <v>44748.591464467594</v>
      </c>
      <c r="K585" s="20">
        <v>0</v>
      </c>
      <c r="L585" s="17" t="str">
        <f t="shared" si="9"/>
        <v>https://captureandgo.cloudlab.zhaw.ch/uploads/image_7a561c1a7a.jpg</v>
      </c>
    </row>
    <row r="586" spans="1:12" ht="16" x14ac:dyDescent="0.2">
      <c r="A586" s="20" t="s">
        <v>6104</v>
      </c>
      <c r="B586" s="20" t="s">
        <v>6105</v>
      </c>
      <c r="C586" s="20" t="s">
        <v>3774</v>
      </c>
      <c r="D586" s="20" t="s">
        <v>6106</v>
      </c>
      <c r="E586" s="20" t="s">
        <v>6107</v>
      </c>
      <c r="F586" s="20" t="s">
        <v>1750</v>
      </c>
      <c r="G586" s="20" t="s">
        <v>3777</v>
      </c>
      <c r="H586" s="20" t="s">
        <v>6</v>
      </c>
      <c r="I586" s="39">
        <v>44748.59255760417</v>
      </c>
      <c r="J586" s="39">
        <v>44748.59255765046</v>
      </c>
      <c r="K586" s="20">
        <v>0</v>
      </c>
      <c r="L586" s="17" t="str">
        <f t="shared" si="9"/>
        <v>https://captureandgo.cloudlab.zhaw.ch/uploads/image_5b6e93cdee.jpg</v>
      </c>
    </row>
    <row r="587" spans="1:12" ht="16" x14ac:dyDescent="0.2">
      <c r="A587" s="20" t="s">
        <v>6108</v>
      </c>
      <c r="B587" s="20" t="s">
        <v>6109</v>
      </c>
      <c r="C587" s="20" t="s">
        <v>3774</v>
      </c>
      <c r="D587" s="20" t="s">
        <v>6110</v>
      </c>
      <c r="E587" s="20" t="s">
        <v>6111</v>
      </c>
      <c r="F587" s="20" t="s">
        <v>1753</v>
      </c>
      <c r="G587" s="20" t="s">
        <v>3777</v>
      </c>
      <c r="H587" s="20" t="s">
        <v>6</v>
      </c>
      <c r="I587" s="39">
        <v>44748.593095011573</v>
      </c>
      <c r="J587" s="39">
        <v>44748.593095046293</v>
      </c>
      <c r="K587" s="20">
        <v>0</v>
      </c>
      <c r="L587" s="17" t="str">
        <f t="shared" si="9"/>
        <v>https://captureandgo.cloudlab.zhaw.ch/uploads/image_01bc082a8e.jpg</v>
      </c>
    </row>
    <row r="588" spans="1:12" ht="16" x14ac:dyDescent="0.2">
      <c r="A588" s="20" t="s">
        <v>6112</v>
      </c>
      <c r="B588" s="20" t="s">
        <v>6113</v>
      </c>
      <c r="C588" s="20" t="s">
        <v>3774</v>
      </c>
      <c r="D588" s="20" t="s">
        <v>6114</v>
      </c>
      <c r="E588" s="20" t="s">
        <v>6115</v>
      </c>
      <c r="F588" s="20" t="s">
        <v>1756</v>
      </c>
      <c r="G588" s="20" t="s">
        <v>3777</v>
      </c>
      <c r="H588" s="20" t="s">
        <v>6</v>
      </c>
      <c r="I588" s="39">
        <v>44748.593825405093</v>
      </c>
      <c r="J588" s="39">
        <v>44748.593825439813</v>
      </c>
      <c r="K588" s="20">
        <v>0</v>
      </c>
      <c r="L588" s="17" t="str">
        <f t="shared" si="9"/>
        <v>https://captureandgo.cloudlab.zhaw.ch/uploads/image_100187f24d.jpg</v>
      </c>
    </row>
    <row r="589" spans="1:12" ht="16" x14ac:dyDescent="0.2">
      <c r="A589" s="20" t="s">
        <v>6116</v>
      </c>
      <c r="B589" s="20" t="s">
        <v>6117</v>
      </c>
      <c r="C589" s="20" t="s">
        <v>3774</v>
      </c>
      <c r="D589" s="20" t="s">
        <v>6118</v>
      </c>
      <c r="E589" s="20" t="s">
        <v>6119</v>
      </c>
      <c r="F589" s="20" t="s">
        <v>1759</v>
      </c>
      <c r="G589" s="20" t="s">
        <v>3777</v>
      </c>
      <c r="H589" s="20" t="s">
        <v>6</v>
      </c>
      <c r="I589" s="39">
        <v>44748.594699664354</v>
      </c>
      <c r="J589" s="39">
        <v>44748.594699699075</v>
      </c>
      <c r="K589" s="20">
        <v>0</v>
      </c>
      <c r="L589" s="17" t="str">
        <f t="shared" si="9"/>
        <v>https://captureandgo.cloudlab.zhaw.ch/uploads/image_1600e86052.jpg</v>
      </c>
    </row>
    <row r="590" spans="1:12" ht="16" x14ac:dyDescent="0.2">
      <c r="A590" s="20" t="s">
        <v>6120</v>
      </c>
      <c r="B590" s="20" t="s">
        <v>6121</v>
      </c>
      <c r="C590" s="20" t="s">
        <v>3774</v>
      </c>
      <c r="D590" s="20" t="s">
        <v>6122</v>
      </c>
      <c r="E590" s="20" t="s">
        <v>6123</v>
      </c>
      <c r="F590" s="20" t="s">
        <v>1762</v>
      </c>
      <c r="G590" s="20" t="s">
        <v>3777</v>
      </c>
      <c r="H590" s="20" t="s">
        <v>6</v>
      </c>
      <c r="I590" s="39">
        <v>44748.595422962964</v>
      </c>
      <c r="J590" s="39">
        <v>44748.595422997685</v>
      </c>
      <c r="K590" s="20">
        <v>0</v>
      </c>
      <c r="L590" s="17" t="str">
        <f t="shared" si="9"/>
        <v>https://captureandgo.cloudlab.zhaw.ch/uploads/image_99a1e605c7.jpg</v>
      </c>
    </row>
    <row r="591" spans="1:12" ht="16" x14ac:dyDescent="0.2">
      <c r="A591" s="20" t="s">
        <v>6124</v>
      </c>
      <c r="B591" s="20" t="s">
        <v>6125</v>
      </c>
      <c r="C591" s="20" t="s">
        <v>3774</v>
      </c>
      <c r="D591" s="20" t="s">
        <v>6126</v>
      </c>
      <c r="E591" s="20" t="s">
        <v>6127</v>
      </c>
      <c r="F591" s="20" t="s">
        <v>1766</v>
      </c>
      <c r="G591" s="20" t="s">
        <v>3777</v>
      </c>
      <c r="H591" s="20" t="s">
        <v>6</v>
      </c>
      <c r="I591" s="39">
        <v>44748.596618043979</v>
      </c>
      <c r="J591" s="39">
        <v>44748.596618229167</v>
      </c>
      <c r="K591" s="20">
        <v>0</v>
      </c>
      <c r="L591" s="17" t="str">
        <f t="shared" si="9"/>
        <v>https://captureandgo.cloudlab.zhaw.ch/uploads/image_316d01a2a3.jpg</v>
      </c>
    </row>
    <row r="592" spans="1:12" ht="16" x14ac:dyDescent="0.2">
      <c r="A592" s="20" t="s">
        <v>6128</v>
      </c>
      <c r="B592" s="20" t="s">
        <v>6129</v>
      </c>
      <c r="C592" s="20" t="s">
        <v>3774</v>
      </c>
      <c r="D592" s="20" t="s">
        <v>6130</v>
      </c>
      <c r="E592" s="20" t="s">
        <v>6131</v>
      </c>
      <c r="F592" s="20" t="s">
        <v>1769</v>
      </c>
      <c r="G592" s="20" t="s">
        <v>3777</v>
      </c>
      <c r="H592" s="20" t="s">
        <v>6</v>
      </c>
      <c r="I592" s="39">
        <v>44748.597125983797</v>
      </c>
      <c r="J592" s="39">
        <v>44748.597126018518</v>
      </c>
      <c r="K592" s="20">
        <v>0</v>
      </c>
      <c r="L592" s="17" t="str">
        <f t="shared" si="9"/>
        <v>https://captureandgo.cloudlab.zhaw.ch/uploads/image_ff88e7f40a.jpg</v>
      </c>
    </row>
    <row r="593" spans="1:12" ht="16" x14ac:dyDescent="0.2">
      <c r="A593" s="20" t="s">
        <v>6132</v>
      </c>
      <c r="B593" s="20" t="s">
        <v>6133</v>
      </c>
      <c r="C593" s="20" t="s">
        <v>3774</v>
      </c>
      <c r="D593" s="20" t="s">
        <v>6134</v>
      </c>
      <c r="E593" s="20" t="s">
        <v>6135</v>
      </c>
      <c r="F593" s="20" t="s">
        <v>1772</v>
      </c>
      <c r="G593" s="20" t="s">
        <v>3777</v>
      </c>
      <c r="H593" s="20" t="s">
        <v>6</v>
      </c>
      <c r="I593" s="39">
        <v>44748.597396331017</v>
      </c>
      <c r="J593" s="39">
        <v>44748.597396365738</v>
      </c>
      <c r="K593" s="20">
        <v>0</v>
      </c>
      <c r="L593" s="17" t="str">
        <f t="shared" si="9"/>
        <v>https://captureandgo.cloudlab.zhaw.ch/uploads/image_3f20bcabe0.jpg</v>
      </c>
    </row>
    <row r="594" spans="1:12" ht="16" x14ac:dyDescent="0.2">
      <c r="A594" s="20" t="s">
        <v>6136</v>
      </c>
      <c r="B594" s="20" t="s">
        <v>6137</v>
      </c>
      <c r="C594" s="20" t="s">
        <v>3774</v>
      </c>
      <c r="D594" s="20" t="s">
        <v>6138</v>
      </c>
      <c r="E594" s="20" t="s">
        <v>6139</v>
      </c>
      <c r="F594" s="20" t="s">
        <v>1775</v>
      </c>
      <c r="G594" s="20" t="s">
        <v>3777</v>
      </c>
      <c r="H594" s="20" t="s">
        <v>6</v>
      </c>
      <c r="I594" s="39">
        <v>44748.599749594905</v>
      </c>
      <c r="J594" s="39">
        <v>44748.599749641202</v>
      </c>
      <c r="K594" s="20">
        <v>0</v>
      </c>
      <c r="L594" s="17" t="str">
        <f t="shared" si="9"/>
        <v>https://captureandgo.cloudlab.zhaw.ch/uploads/image_dee2a4ab1f.jpg</v>
      </c>
    </row>
    <row r="595" spans="1:12" ht="16" x14ac:dyDescent="0.2">
      <c r="A595" s="20" t="s">
        <v>6140</v>
      </c>
      <c r="B595" s="20" t="s">
        <v>6141</v>
      </c>
      <c r="C595" s="20" t="s">
        <v>3774</v>
      </c>
      <c r="D595" s="20" t="s">
        <v>6142</v>
      </c>
      <c r="E595" s="20" t="s">
        <v>6143</v>
      </c>
      <c r="F595" s="20" t="s">
        <v>1780</v>
      </c>
      <c r="G595" s="20" t="s">
        <v>3777</v>
      </c>
      <c r="H595" s="20" t="s">
        <v>6</v>
      </c>
      <c r="I595" s="39">
        <v>44748.601327395831</v>
      </c>
      <c r="J595" s="39">
        <v>44748.601327442128</v>
      </c>
      <c r="K595" s="20">
        <v>0</v>
      </c>
      <c r="L595" s="17" t="str">
        <f t="shared" si="9"/>
        <v>https://captureandgo.cloudlab.zhaw.ch/uploads/image_3d5d55487b.jpg</v>
      </c>
    </row>
    <row r="596" spans="1:12" ht="16" x14ac:dyDescent="0.2">
      <c r="A596" s="20" t="s">
        <v>6144</v>
      </c>
      <c r="B596" s="20" t="s">
        <v>6145</v>
      </c>
      <c r="C596" s="20" t="s">
        <v>3774</v>
      </c>
      <c r="D596" s="20" t="s">
        <v>6146</v>
      </c>
      <c r="E596" s="20" t="s">
        <v>6147</v>
      </c>
      <c r="F596" s="20" t="s">
        <v>1783</v>
      </c>
      <c r="G596" s="20" t="s">
        <v>3777</v>
      </c>
      <c r="H596" s="20" t="s">
        <v>6</v>
      </c>
      <c r="I596" s="39">
        <v>44748.602642199075</v>
      </c>
      <c r="J596" s="39">
        <v>44748.602642233796</v>
      </c>
      <c r="K596" s="20">
        <v>0</v>
      </c>
      <c r="L596" s="17" t="str">
        <f t="shared" si="9"/>
        <v>https://captureandgo.cloudlab.zhaw.ch/uploads/image_7e37d73ce5.jpg</v>
      </c>
    </row>
    <row r="597" spans="1:12" ht="16" x14ac:dyDescent="0.2">
      <c r="A597" s="20" t="s">
        <v>6148</v>
      </c>
      <c r="B597" s="20" t="s">
        <v>6149</v>
      </c>
      <c r="C597" s="20" t="s">
        <v>3774</v>
      </c>
      <c r="D597" s="20" t="s">
        <v>6150</v>
      </c>
      <c r="E597" s="20" t="s">
        <v>6151</v>
      </c>
      <c r="F597" s="20" t="s">
        <v>1786</v>
      </c>
      <c r="G597" s="20" t="s">
        <v>3777</v>
      </c>
      <c r="H597" s="20" t="s">
        <v>6</v>
      </c>
      <c r="I597" s="39">
        <v>44748.603398449071</v>
      </c>
      <c r="J597" s="39">
        <v>44748.603398495368</v>
      </c>
      <c r="K597" s="20">
        <v>0</v>
      </c>
      <c r="L597" s="17" t="str">
        <f t="shared" si="9"/>
        <v>https://captureandgo.cloudlab.zhaw.ch/uploads/image_86ad1a2a63.jpg</v>
      </c>
    </row>
    <row r="598" spans="1:12" ht="16" x14ac:dyDescent="0.2">
      <c r="A598" s="20" t="s">
        <v>6152</v>
      </c>
      <c r="B598" s="20" t="s">
        <v>6153</v>
      </c>
      <c r="C598" s="20" t="s">
        <v>3774</v>
      </c>
      <c r="D598" s="20" t="s">
        <v>6154</v>
      </c>
      <c r="E598" s="20" t="s">
        <v>6155</v>
      </c>
      <c r="F598" s="20" t="s">
        <v>1789</v>
      </c>
      <c r="G598" s="20" t="s">
        <v>3777</v>
      </c>
      <c r="H598" s="20" t="s">
        <v>6</v>
      </c>
      <c r="I598" s="39">
        <v>44748.604122777775</v>
      </c>
      <c r="J598" s="39">
        <v>44748.604122835648</v>
      </c>
      <c r="K598" s="20">
        <v>0</v>
      </c>
      <c r="L598" s="17" t="str">
        <f t="shared" si="9"/>
        <v>https://captureandgo.cloudlab.zhaw.ch/uploads/image_34271b3fbd.jpg</v>
      </c>
    </row>
    <row r="599" spans="1:12" ht="16" x14ac:dyDescent="0.2">
      <c r="A599" s="20" t="s">
        <v>6156</v>
      </c>
      <c r="B599" s="20" t="s">
        <v>6157</v>
      </c>
      <c r="C599" s="20" t="s">
        <v>3774</v>
      </c>
      <c r="D599" s="20" t="s">
        <v>6158</v>
      </c>
      <c r="E599" s="20" t="s">
        <v>6159</v>
      </c>
      <c r="F599" s="20" t="s">
        <v>1792</v>
      </c>
      <c r="G599" s="20" t="s">
        <v>3777</v>
      </c>
      <c r="H599" s="20" t="s">
        <v>6</v>
      </c>
      <c r="I599" s="39">
        <v>44748.605076874999</v>
      </c>
      <c r="J599" s="39">
        <v>44748.60507690972</v>
      </c>
      <c r="K599" s="20">
        <v>0</v>
      </c>
      <c r="L599" s="17" t="str">
        <f t="shared" si="9"/>
        <v>https://captureandgo.cloudlab.zhaw.ch/uploads/image_70cb1f47db.jpg</v>
      </c>
    </row>
    <row r="600" spans="1:12" ht="16" x14ac:dyDescent="0.2">
      <c r="A600" s="20" t="s">
        <v>6160</v>
      </c>
      <c r="B600" s="20" t="s">
        <v>6161</v>
      </c>
      <c r="C600" s="20" t="s">
        <v>3774</v>
      </c>
      <c r="D600" s="20" t="s">
        <v>6162</v>
      </c>
      <c r="E600" s="20" t="s">
        <v>6163</v>
      </c>
      <c r="F600" s="20" t="s">
        <v>1795</v>
      </c>
      <c r="G600" s="20" t="s">
        <v>3777</v>
      </c>
      <c r="H600" s="20" t="s">
        <v>6</v>
      </c>
      <c r="I600" s="39">
        <v>44748.606506898148</v>
      </c>
      <c r="J600" s="39">
        <v>44748.606506944445</v>
      </c>
      <c r="K600" s="20">
        <v>0</v>
      </c>
      <c r="L600" s="17" t="str">
        <f t="shared" si="9"/>
        <v>https://captureandgo.cloudlab.zhaw.ch/uploads/image_8ffd4f1225.jpg</v>
      </c>
    </row>
    <row r="601" spans="1:12" ht="16" x14ac:dyDescent="0.2">
      <c r="A601" s="20" t="s">
        <v>6164</v>
      </c>
      <c r="B601" s="20" t="s">
        <v>6165</v>
      </c>
      <c r="C601" s="20" t="s">
        <v>3774</v>
      </c>
      <c r="D601" s="20" t="s">
        <v>6166</v>
      </c>
      <c r="E601" s="20" t="s">
        <v>6167</v>
      </c>
      <c r="F601" s="20" t="s">
        <v>1798</v>
      </c>
      <c r="G601" s="20" t="s">
        <v>3777</v>
      </c>
      <c r="H601" s="20" t="s">
        <v>6</v>
      </c>
      <c r="I601" s="39">
        <v>44748.607370787038</v>
      </c>
      <c r="J601" s="39">
        <v>44748.607370833335</v>
      </c>
      <c r="K601" s="20">
        <v>0</v>
      </c>
      <c r="L601" s="17" t="str">
        <f t="shared" si="9"/>
        <v>https://captureandgo.cloudlab.zhaw.ch/uploads/image_5490c6c041.jpg</v>
      </c>
    </row>
    <row r="602" spans="1:12" ht="16" x14ac:dyDescent="0.2">
      <c r="A602" s="20" t="s">
        <v>6168</v>
      </c>
      <c r="B602" s="20" t="s">
        <v>6169</v>
      </c>
      <c r="C602" s="20" t="s">
        <v>3774</v>
      </c>
      <c r="D602" s="20" t="s">
        <v>6170</v>
      </c>
      <c r="E602" s="20" t="s">
        <v>6171</v>
      </c>
      <c r="F602" s="20" t="s">
        <v>1801</v>
      </c>
      <c r="G602" s="20" t="s">
        <v>3777</v>
      </c>
      <c r="H602" s="20" t="s">
        <v>6</v>
      </c>
      <c r="I602" s="39">
        <v>44748.609977835651</v>
      </c>
      <c r="J602" s="39">
        <v>44748.609977870372</v>
      </c>
      <c r="K602" s="20">
        <v>0</v>
      </c>
      <c r="L602" s="17" t="str">
        <f t="shared" si="9"/>
        <v>https://captureandgo.cloudlab.zhaw.ch/uploads/image_e20b402561.jpg</v>
      </c>
    </row>
    <row r="603" spans="1:12" ht="16" x14ac:dyDescent="0.2">
      <c r="A603" s="20" t="s">
        <v>6172</v>
      </c>
      <c r="B603" s="20" t="s">
        <v>6173</v>
      </c>
      <c r="C603" s="20" t="s">
        <v>3774</v>
      </c>
      <c r="D603" s="20" t="s">
        <v>6174</v>
      </c>
      <c r="E603" s="20" t="s">
        <v>6175</v>
      </c>
      <c r="F603" s="20" t="s">
        <v>1804</v>
      </c>
      <c r="G603" s="20" t="s">
        <v>3777</v>
      </c>
      <c r="H603" s="20" t="s">
        <v>6</v>
      </c>
      <c r="I603" s="39">
        <v>44748.611855324074</v>
      </c>
      <c r="J603" s="39">
        <v>44748.611855370371</v>
      </c>
      <c r="K603" s="20">
        <v>0</v>
      </c>
      <c r="L603" s="17" t="str">
        <f t="shared" si="9"/>
        <v>https://captureandgo.cloudlab.zhaw.ch/uploads/image_5ed43b4290.jpg</v>
      </c>
    </row>
    <row r="604" spans="1:12" ht="16" x14ac:dyDescent="0.2">
      <c r="A604" s="20" t="s">
        <v>6176</v>
      </c>
      <c r="B604" s="20" t="s">
        <v>6177</v>
      </c>
      <c r="C604" s="20" t="s">
        <v>3774</v>
      </c>
      <c r="D604" s="20" t="s">
        <v>6178</v>
      </c>
      <c r="E604" s="20" t="s">
        <v>6179</v>
      </c>
      <c r="F604" s="20" t="s">
        <v>1807</v>
      </c>
      <c r="G604" s="20" t="s">
        <v>3777</v>
      </c>
      <c r="H604" s="20" t="s">
        <v>6</v>
      </c>
      <c r="I604" s="39">
        <v>44748.612460254626</v>
      </c>
      <c r="J604" s="39">
        <v>44748.612460289354</v>
      </c>
      <c r="K604" s="20">
        <v>0</v>
      </c>
      <c r="L604" s="17" t="str">
        <f t="shared" si="9"/>
        <v>https://captureandgo.cloudlab.zhaw.ch/uploads/image_f93f4b0205.jpg</v>
      </c>
    </row>
    <row r="605" spans="1:12" ht="16" x14ac:dyDescent="0.2">
      <c r="A605" s="20" t="s">
        <v>6180</v>
      </c>
      <c r="B605" s="20" t="s">
        <v>6181</v>
      </c>
      <c r="C605" s="20" t="s">
        <v>3774</v>
      </c>
      <c r="D605" s="20" t="s">
        <v>6182</v>
      </c>
      <c r="E605" s="20" t="s">
        <v>6183</v>
      </c>
      <c r="F605" s="20" t="s">
        <v>1811</v>
      </c>
      <c r="G605" s="20" t="s">
        <v>3777</v>
      </c>
      <c r="H605" s="20" t="s">
        <v>6</v>
      </c>
      <c r="I605" s="39">
        <v>44748.613817314814</v>
      </c>
      <c r="J605" s="39">
        <v>44748.613817337966</v>
      </c>
      <c r="K605" s="20">
        <v>0</v>
      </c>
      <c r="L605" s="17" t="str">
        <f t="shared" si="9"/>
        <v>https://captureandgo.cloudlab.zhaw.ch/uploads/image_c5dd3a1913.jpg</v>
      </c>
    </row>
    <row r="606" spans="1:12" ht="16" x14ac:dyDescent="0.2">
      <c r="A606" s="20" t="s">
        <v>6184</v>
      </c>
      <c r="B606" s="20" t="s">
        <v>6185</v>
      </c>
      <c r="C606" s="20" t="s">
        <v>3774</v>
      </c>
      <c r="D606" s="20" t="s">
        <v>6186</v>
      </c>
      <c r="E606" s="20" t="s">
        <v>6187</v>
      </c>
      <c r="F606" s="20" t="s">
        <v>1814</v>
      </c>
      <c r="G606" s="20" t="s">
        <v>3777</v>
      </c>
      <c r="H606" s="20" t="s">
        <v>6</v>
      </c>
      <c r="I606" s="39">
        <v>44748.615948784725</v>
      </c>
      <c r="J606" s="39">
        <v>44748.615948831015</v>
      </c>
      <c r="K606" s="20">
        <v>0</v>
      </c>
      <c r="L606" s="17" t="str">
        <f t="shared" si="9"/>
        <v>https://captureandgo.cloudlab.zhaw.ch/uploads/image_5830eae2cd.jpg</v>
      </c>
    </row>
    <row r="607" spans="1:12" ht="16" x14ac:dyDescent="0.2">
      <c r="A607" s="20" t="s">
        <v>6188</v>
      </c>
      <c r="B607" s="20" t="s">
        <v>6189</v>
      </c>
      <c r="C607" s="20" t="s">
        <v>3774</v>
      </c>
      <c r="D607" s="20" t="s">
        <v>6190</v>
      </c>
      <c r="E607" s="20" t="s">
        <v>6191</v>
      </c>
      <c r="F607" s="20" t="s">
        <v>1817</v>
      </c>
      <c r="G607" s="20" t="s">
        <v>3777</v>
      </c>
      <c r="H607" s="20" t="s">
        <v>6</v>
      </c>
      <c r="I607" s="39">
        <v>44748.61641386574</v>
      </c>
      <c r="J607" s="39">
        <v>44748.616413900461</v>
      </c>
      <c r="K607" s="20">
        <v>0</v>
      </c>
      <c r="L607" s="17" t="str">
        <f t="shared" si="9"/>
        <v>https://captureandgo.cloudlab.zhaw.ch/uploads/image_197ea622c2.jpg</v>
      </c>
    </row>
    <row r="608" spans="1:12" ht="16" x14ac:dyDescent="0.2">
      <c r="A608" s="20" t="s">
        <v>6192</v>
      </c>
      <c r="B608" s="20" t="s">
        <v>6193</v>
      </c>
      <c r="C608" s="20" t="s">
        <v>3774</v>
      </c>
      <c r="D608" s="20" t="s">
        <v>6194</v>
      </c>
      <c r="E608" s="20" t="s">
        <v>6195</v>
      </c>
      <c r="F608" s="20" t="s">
        <v>1820</v>
      </c>
      <c r="G608" s="20" t="s">
        <v>3777</v>
      </c>
      <c r="H608" s="20" t="s">
        <v>6</v>
      </c>
      <c r="I608" s="39">
        <v>44748.617685081015</v>
      </c>
      <c r="J608" s="39">
        <v>44748.617685115743</v>
      </c>
      <c r="K608" s="20">
        <v>0</v>
      </c>
      <c r="L608" s="17" t="str">
        <f t="shared" si="9"/>
        <v>https://captureandgo.cloudlab.zhaw.ch/uploads/image_fcc0ac92d2.jpg</v>
      </c>
    </row>
    <row r="609" spans="1:12" ht="16" x14ac:dyDescent="0.2">
      <c r="A609" s="20" t="s">
        <v>6196</v>
      </c>
      <c r="B609" s="20" t="s">
        <v>6197</v>
      </c>
      <c r="C609" s="20" t="s">
        <v>3774</v>
      </c>
      <c r="D609" s="20" t="s">
        <v>6198</v>
      </c>
      <c r="E609" s="20" t="s">
        <v>6199</v>
      </c>
      <c r="F609" s="20" t="s">
        <v>1828</v>
      </c>
      <c r="G609" s="20" t="s">
        <v>3777</v>
      </c>
      <c r="H609" s="20" t="s">
        <v>6</v>
      </c>
      <c r="I609" s="39">
        <v>44748.632634895832</v>
      </c>
      <c r="J609" s="39">
        <v>44748.632634942129</v>
      </c>
      <c r="K609" s="20">
        <v>0</v>
      </c>
      <c r="L609" s="17" t="str">
        <f t="shared" si="9"/>
        <v>https://captureandgo.cloudlab.zhaw.ch/uploads/image_a71a51e7a3.jpg</v>
      </c>
    </row>
    <row r="610" spans="1:12" ht="16" x14ac:dyDescent="0.2">
      <c r="A610" s="20" t="s">
        <v>6200</v>
      </c>
      <c r="B610" s="20" t="s">
        <v>6201</v>
      </c>
      <c r="C610" s="20" t="s">
        <v>3774</v>
      </c>
      <c r="D610" s="20" t="s">
        <v>6202</v>
      </c>
      <c r="E610" s="20" t="s">
        <v>6203</v>
      </c>
      <c r="F610" s="20" t="s">
        <v>1844</v>
      </c>
      <c r="G610" s="20" t="s">
        <v>3777</v>
      </c>
      <c r="H610" s="20" t="s">
        <v>6</v>
      </c>
      <c r="I610" s="39">
        <v>44748.641816226853</v>
      </c>
      <c r="J610" s="39">
        <v>44748.641816284726</v>
      </c>
      <c r="K610" s="20">
        <v>0</v>
      </c>
      <c r="L610" s="17" t="str">
        <f t="shared" si="9"/>
        <v>https://captureandgo.cloudlab.zhaw.ch/uploads/image_067e74dcb0.jpg</v>
      </c>
    </row>
    <row r="611" spans="1:12" ht="16" x14ac:dyDescent="0.2">
      <c r="A611" s="20" t="s">
        <v>6204</v>
      </c>
      <c r="B611" s="20" t="s">
        <v>6205</v>
      </c>
      <c r="C611" s="20" t="s">
        <v>3774</v>
      </c>
      <c r="D611" s="20" t="s">
        <v>6206</v>
      </c>
      <c r="E611" s="20" t="s">
        <v>6207</v>
      </c>
      <c r="F611" s="20" t="s">
        <v>1847</v>
      </c>
      <c r="G611" s="20" t="s">
        <v>3777</v>
      </c>
      <c r="H611" s="20" t="s">
        <v>6</v>
      </c>
      <c r="I611" s="39">
        <v>44748.644454976849</v>
      </c>
      <c r="J611" s="39">
        <v>44748.644455011578</v>
      </c>
      <c r="K611" s="20">
        <v>0</v>
      </c>
      <c r="L611" s="17" t="str">
        <f t="shared" si="9"/>
        <v>https://captureandgo.cloudlab.zhaw.ch/uploads/image_e1e728ba67.jpg</v>
      </c>
    </row>
    <row r="612" spans="1:12" ht="16" x14ac:dyDescent="0.2">
      <c r="A612" s="20" t="s">
        <v>6208</v>
      </c>
      <c r="B612" s="20" t="s">
        <v>6209</v>
      </c>
      <c r="C612" s="20" t="s">
        <v>3774</v>
      </c>
      <c r="D612" s="20" t="s">
        <v>6210</v>
      </c>
      <c r="E612" s="20" t="s">
        <v>6211</v>
      </c>
      <c r="F612" s="20" t="s">
        <v>1853</v>
      </c>
      <c r="G612" s="20" t="s">
        <v>3777</v>
      </c>
      <c r="H612" s="20" t="s">
        <v>6</v>
      </c>
      <c r="I612" s="39">
        <v>44748.646736180555</v>
      </c>
      <c r="J612" s="39">
        <v>44748.646736215276</v>
      </c>
      <c r="K612" s="20">
        <v>0</v>
      </c>
      <c r="L612" s="17" t="str">
        <f t="shared" si="9"/>
        <v>https://captureandgo.cloudlab.zhaw.ch/uploads/image_7584ac006f.jpg</v>
      </c>
    </row>
    <row r="613" spans="1:12" ht="16" x14ac:dyDescent="0.2">
      <c r="A613" s="20" t="s">
        <v>6212</v>
      </c>
      <c r="B613" s="20" t="s">
        <v>6213</v>
      </c>
      <c r="C613" s="20" t="s">
        <v>3774</v>
      </c>
      <c r="D613" s="20" t="s">
        <v>6214</v>
      </c>
      <c r="E613" s="20" t="s">
        <v>6215</v>
      </c>
      <c r="F613" s="20" t="s">
        <v>1856</v>
      </c>
      <c r="G613" s="20" t="s">
        <v>3777</v>
      </c>
      <c r="H613" s="20" t="s">
        <v>6</v>
      </c>
      <c r="I613" s="39">
        <v>44748.647757673614</v>
      </c>
      <c r="J613" s="39">
        <v>44748.647757719904</v>
      </c>
      <c r="K613" s="20">
        <v>0</v>
      </c>
      <c r="L613" s="17" t="str">
        <f t="shared" si="9"/>
        <v>https://captureandgo.cloudlab.zhaw.ch/uploads/image_b0eb8569c0.jpg</v>
      </c>
    </row>
    <row r="614" spans="1:12" ht="16" x14ac:dyDescent="0.2">
      <c r="A614" s="20" t="s">
        <v>6216</v>
      </c>
      <c r="B614" s="20" t="s">
        <v>6217</v>
      </c>
      <c r="C614" s="20" t="s">
        <v>3774</v>
      </c>
      <c r="D614" s="20" t="s">
        <v>6218</v>
      </c>
      <c r="E614" s="20" t="s">
        <v>6219</v>
      </c>
      <c r="F614" s="20" t="s">
        <v>1859</v>
      </c>
      <c r="G614" s="20" t="s">
        <v>3777</v>
      </c>
      <c r="H614" s="20" t="s">
        <v>6</v>
      </c>
      <c r="I614" s="39">
        <v>44748.649259456019</v>
      </c>
      <c r="J614" s="39">
        <v>44748.649259502316</v>
      </c>
      <c r="K614" s="20">
        <v>0</v>
      </c>
      <c r="L614" s="17" t="str">
        <f t="shared" si="9"/>
        <v>https://captureandgo.cloudlab.zhaw.ch/uploads/image_a75e426a2b.jpg</v>
      </c>
    </row>
    <row r="615" spans="1:12" ht="16" x14ac:dyDescent="0.2">
      <c r="A615" s="20" t="s">
        <v>6220</v>
      </c>
      <c r="B615" s="20" t="s">
        <v>6221</v>
      </c>
      <c r="C615" s="20" t="s">
        <v>3774</v>
      </c>
      <c r="D615" s="20" t="s">
        <v>6222</v>
      </c>
      <c r="E615" s="20" t="s">
        <v>6223</v>
      </c>
      <c r="F615" s="20" t="s">
        <v>1862</v>
      </c>
      <c r="G615" s="20" t="s">
        <v>3777</v>
      </c>
      <c r="H615" s="20" t="s">
        <v>6</v>
      </c>
      <c r="I615" s="39">
        <v>44748.65001114583</v>
      </c>
      <c r="J615" s="39">
        <v>44748.650011168982</v>
      </c>
      <c r="K615" s="20">
        <v>0</v>
      </c>
      <c r="L615" s="17" t="str">
        <f t="shared" si="9"/>
        <v>https://captureandgo.cloudlab.zhaw.ch/uploads/image_56fbe153f7.jpg</v>
      </c>
    </row>
    <row r="616" spans="1:12" ht="16" x14ac:dyDescent="0.2">
      <c r="A616" s="20" t="s">
        <v>6224</v>
      </c>
      <c r="B616" s="20" t="s">
        <v>6225</v>
      </c>
      <c r="C616" s="20" t="s">
        <v>3774</v>
      </c>
      <c r="D616" s="20" t="s">
        <v>6226</v>
      </c>
      <c r="E616" s="20" t="s">
        <v>6227</v>
      </c>
      <c r="F616" s="20" t="s">
        <v>1867</v>
      </c>
      <c r="G616" s="20" t="s">
        <v>3777</v>
      </c>
      <c r="H616" s="20" t="s">
        <v>6</v>
      </c>
      <c r="I616" s="39">
        <v>44748.652374189813</v>
      </c>
      <c r="J616" s="39">
        <v>44748.652374224534</v>
      </c>
      <c r="K616" s="20">
        <v>0</v>
      </c>
      <c r="L616" s="17" t="str">
        <f t="shared" si="9"/>
        <v>https://captureandgo.cloudlab.zhaw.ch/uploads/image_e57ee236d9.jpg</v>
      </c>
    </row>
    <row r="617" spans="1:12" ht="16" x14ac:dyDescent="0.2">
      <c r="A617" s="20" t="s">
        <v>6228</v>
      </c>
      <c r="B617" s="20" t="s">
        <v>6229</v>
      </c>
      <c r="C617" s="20" t="s">
        <v>3774</v>
      </c>
      <c r="D617" s="20" t="s">
        <v>6230</v>
      </c>
      <c r="E617" s="20" t="s">
        <v>6231</v>
      </c>
      <c r="F617" s="20" t="s">
        <v>1870</v>
      </c>
      <c r="G617" s="20" t="s">
        <v>3777</v>
      </c>
      <c r="H617" s="20" t="s">
        <v>6</v>
      </c>
      <c r="I617" s="39">
        <v>44748.652691238429</v>
      </c>
      <c r="J617" s="39">
        <v>44748.65269127315</v>
      </c>
      <c r="K617" s="20">
        <v>0</v>
      </c>
      <c r="L617" s="17" t="str">
        <f t="shared" si="9"/>
        <v>https://captureandgo.cloudlab.zhaw.ch/uploads/image_886b70dc62.jpg</v>
      </c>
    </row>
    <row r="618" spans="1:12" ht="16" x14ac:dyDescent="0.2">
      <c r="A618" s="20" t="s">
        <v>6232</v>
      </c>
      <c r="B618" s="20" t="s">
        <v>6233</v>
      </c>
      <c r="C618" s="20" t="s">
        <v>3774</v>
      </c>
      <c r="D618" s="20" t="s">
        <v>6234</v>
      </c>
      <c r="E618" s="20" t="s">
        <v>6235</v>
      </c>
      <c r="F618" s="20" t="s">
        <v>1873</v>
      </c>
      <c r="G618" s="20" t="s">
        <v>3777</v>
      </c>
      <c r="H618" s="20" t="s">
        <v>6</v>
      </c>
      <c r="I618" s="39">
        <v>44748.653666412036</v>
      </c>
      <c r="J618" s="39">
        <v>44748.653666458333</v>
      </c>
      <c r="K618" s="20">
        <v>0</v>
      </c>
      <c r="L618" s="17" t="str">
        <f t="shared" si="9"/>
        <v>https://captureandgo.cloudlab.zhaw.ch/uploads/image_e6171e66d9.jpg</v>
      </c>
    </row>
    <row r="619" spans="1:12" ht="16" x14ac:dyDescent="0.2">
      <c r="A619" s="20" t="s">
        <v>6236</v>
      </c>
      <c r="B619" s="20" t="s">
        <v>6237</v>
      </c>
      <c r="C619" s="20" t="s">
        <v>3774</v>
      </c>
      <c r="D619" s="20" t="s">
        <v>6238</v>
      </c>
      <c r="E619" s="20" t="s">
        <v>6239</v>
      </c>
      <c r="F619" s="20" t="s">
        <v>1876</v>
      </c>
      <c r="G619" s="20" t="s">
        <v>3777</v>
      </c>
      <c r="H619" s="20" t="s">
        <v>6</v>
      </c>
      <c r="I619" s="39">
        <v>44748.656170543982</v>
      </c>
      <c r="J619" s="39">
        <v>44748.656170590279</v>
      </c>
      <c r="K619" s="20">
        <v>0</v>
      </c>
      <c r="L619" s="17" t="str">
        <f t="shared" si="9"/>
        <v>https://captureandgo.cloudlab.zhaw.ch/uploads/image_8db6bb7203.jpg</v>
      </c>
    </row>
    <row r="620" spans="1:12" ht="16" x14ac:dyDescent="0.2">
      <c r="A620" s="20" t="s">
        <v>6240</v>
      </c>
      <c r="B620" s="20" t="s">
        <v>6241</v>
      </c>
      <c r="C620" s="20" t="s">
        <v>3774</v>
      </c>
      <c r="D620" s="20" t="s">
        <v>6242</v>
      </c>
      <c r="E620" s="20" t="s">
        <v>6243</v>
      </c>
      <c r="F620" s="20" t="s">
        <v>1879</v>
      </c>
      <c r="G620" s="20" t="s">
        <v>3777</v>
      </c>
      <c r="H620" s="20" t="s">
        <v>6</v>
      </c>
      <c r="I620" s="39">
        <v>44748.657915393516</v>
      </c>
      <c r="J620" s="39">
        <v>44748.657915439813</v>
      </c>
      <c r="K620" s="20">
        <v>0</v>
      </c>
      <c r="L620" s="17" t="str">
        <f t="shared" si="9"/>
        <v>https://captureandgo.cloudlab.zhaw.ch/uploads/image_ae6e7d8740.jpg</v>
      </c>
    </row>
    <row r="621" spans="1:12" ht="16" x14ac:dyDescent="0.2">
      <c r="A621" s="20" t="s">
        <v>6244</v>
      </c>
      <c r="B621" s="20" t="s">
        <v>6245</v>
      </c>
      <c r="C621" s="20" t="s">
        <v>3774</v>
      </c>
      <c r="D621" s="20" t="s">
        <v>6246</v>
      </c>
      <c r="E621" s="20" t="s">
        <v>6247</v>
      </c>
      <c r="F621" s="20" t="s">
        <v>1882</v>
      </c>
      <c r="G621" s="20" t="s">
        <v>3777</v>
      </c>
      <c r="H621" s="20" t="s">
        <v>6</v>
      </c>
      <c r="I621" s="39">
        <v>44748.658424733796</v>
      </c>
      <c r="J621" s="39">
        <v>44748.658424768517</v>
      </c>
      <c r="K621" s="20">
        <v>0</v>
      </c>
      <c r="L621" s="17" t="str">
        <f t="shared" si="9"/>
        <v>https://captureandgo.cloudlab.zhaw.ch/uploads/image_6dfa3de0a9.jpg</v>
      </c>
    </row>
    <row r="622" spans="1:12" ht="16" x14ac:dyDescent="0.2">
      <c r="A622" s="20" t="s">
        <v>6248</v>
      </c>
      <c r="B622" s="20" t="s">
        <v>6249</v>
      </c>
      <c r="C622" s="20" t="s">
        <v>3774</v>
      </c>
      <c r="D622" s="20" t="s">
        <v>6250</v>
      </c>
      <c r="E622" s="20" t="s">
        <v>6251</v>
      </c>
      <c r="F622" s="20" t="s">
        <v>1885</v>
      </c>
      <c r="G622" s="20" t="s">
        <v>3777</v>
      </c>
      <c r="H622" s="20" t="s">
        <v>6</v>
      </c>
      <c r="I622" s="39">
        <v>44748.659789502315</v>
      </c>
      <c r="J622" s="39">
        <v>44748.659789537036</v>
      </c>
      <c r="K622" s="20">
        <v>0</v>
      </c>
      <c r="L622" s="17" t="str">
        <f t="shared" si="9"/>
        <v>https://captureandgo.cloudlab.zhaw.ch/uploads/image_e4442200db.jpg</v>
      </c>
    </row>
    <row r="623" spans="1:12" ht="16" x14ac:dyDescent="0.2">
      <c r="A623" s="20" t="s">
        <v>6252</v>
      </c>
      <c r="B623" s="20" t="s">
        <v>6253</v>
      </c>
      <c r="C623" s="20" t="s">
        <v>3774</v>
      </c>
      <c r="D623" s="20" t="s">
        <v>6254</v>
      </c>
      <c r="E623" s="20" t="s">
        <v>6255</v>
      </c>
      <c r="F623" s="20" t="s">
        <v>1888</v>
      </c>
      <c r="G623" s="20" t="s">
        <v>3777</v>
      </c>
      <c r="H623" s="20" t="s">
        <v>6</v>
      </c>
      <c r="I623" s="39">
        <v>44748.665485150465</v>
      </c>
      <c r="J623" s="39">
        <v>44748.665485196761</v>
      </c>
      <c r="K623" s="20">
        <v>0</v>
      </c>
      <c r="L623" s="17" t="str">
        <f t="shared" si="9"/>
        <v>https://captureandgo.cloudlab.zhaw.ch/uploads/image_51d75da107.jpg</v>
      </c>
    </row>
    <row r="624" spans="1:12" ht="16" x14ac:dyDescent="0.2">
      <c r="A624" s="20" t="s">
        <v>6256</v>
      </c>
      <c r="B624" s="20" t="s">
        <v>6257</v>
      </c>
      <c r="C624" s="20" t="s">
        <v>3774</v>
      </c>
      <c r="D624" s="20" t="s">
        <v>6258</v>
      </c>
      <c r="E624" s="20" t="s">
        <v>6259</v>
      </c>
      <c r="F624" s="20" t="s">
        <v>1892</v>
      </c>
      <c r="G624" s="20" t="s">
        <v>3777</v>
      </c>
      <c r="H624" s="20" t="s">
        <v>6</v>
      </c>
      <c r="I624" s="39">
        <v>44748.666976712964</v>
      </c>
      <c r="J624" s="39">
        <v>44748.666976759261</v>
      </c>
      <c r="K624" s="20">
        <v>0</v>
      </c>
      <c r="L624" s="17" t="str">
        <f t="shared" si="9"/>
        <v>https://captureandgo.cloudlab.zhaw.ch/uploads/image_a0951f1e49.jpg</v>
      </c>
    </row>
    <row r="625" spans="1:12" ht="16" x14ac:dyDescent="0.2">
      <c r="A625" s="20" t="s">
        <v>6260</v>
      </c>
      <c r="B625" s="20" t="s">
        <v>6261</v>
      </c>
      <c r="C625" s="20" t="s">
        <v>3774</v>
      </c>
      <c r="D625" s="20" t="s">
        <v>6262</v>
      </c>
      <c r="E625" s="20" t="s">
        <v>6263</v>
      </c>
      <c r="F625" s="20" t="s">
        <v>1895</v>
      </c>
      <c r="G625" s="20" t="s">
        <v>3777</v>
      </c>
      <c r="H625" s="20" t="s">
        <v>6</v>
      </c>
      <c r="I625" s="39">
        <v>44748.668085150464</v>
      </c>
      <c r="J625" s="39">
        <v>44748.668085196761</v>
      </c>
      <c r="K625" s="20">
        <v>0</v>
      </c>
      <c r="L625" s="17" t="str">
        <f t="shared" si="9"/>
        <v>https://captureandgo.cloudlab.zhaw.ch/uploads/image_79a74afe1c.jpg</v>
      </c>
    </row>
    <row r="626" spans="1:12" ht="16" x14ac:dyDescent="0.2">
      <c r="A626" s="20" t="s">
        <v>6264</v>
      </c>
      <c r="B626" s="20" t="s">
        <v>6265</v>
      </c>
      <c r="C626" s="20" t="s">
        <v>3774</v>
      </c>
      <c r="D626" s="20" t="s">
        <v>6266</v>
      </c>
      <c r="E626" s="20" t="s">
        <v>6267</v>
      </c>
      <c r="F626" s="20" t="s">
        <v>1902</v>
      </c>
      <c r="G626" s="20" t="s">
        <v>3777</v>
      </c>
      <c r="H626" s="20" t="s">
        <v>6</v>
      </c>
      <c r="I626" s="39">
        <v>44748.669897256943</v>
      </c>
      <c r="J626" s="39">
        <v>44748.669897314816</v>
      </c>
      <c r="K626" s="20">
        <v>0</v>
      </c>
      <c r="L626" s="17" t="str">
        <f t="shared" si="9"/>
        <v>https://captureandgo.cloudlab.zhaw.ch/uploads/image_6244ee00af.jpg</v>
      </c>
    </row>
    <row r="627" spans="1:12" ht="16" x14ac:dyDescent="0.2">
      <c r="A627" s="20" t="s">
        <v>6268</v>
      </c>
      <c r="B627" s="20" t="s">
        <v>6269</v>
      </c>
      <c r="C627" s="20" t="s">
        <v>3774</v>
      </c>
      <c r="D627" s="20" t="s">
        <v>6270</v>
      </c>
      <c r="E627" s="20" t="s">
        <v>6271</v>
      </c>
      <c r="F627" s="20" t="s">
        <v>1902</v>
      </c>
      <c r="G627" s="20" t="s">
        <v>3777</v>
      </c>
      <c r="H627" s="20" t="s">
        <v>6</v>
      </c>
      <c r="I627" s="39">
        <v>44748.669985891203</v>
      </c>
      <c r="J627" s="39">
        <v>44748.669985925924</v>
      </c>
      <c r="K627" s="20">
        <v>0</v>
      </c>
      <c r="L627" s="17" t="str">
        <f t="shared" si="9"/>
        <v>https://captureandgo.cloudlab.zhaw.ch/uploads/image_b8a720367f.jpg</v>
      </c>
    </row>
    <row r="628" spans="1:12" ht="16" x14ac:dyDescent="0.2">
      <c r="A628" s="20" t="s">
        <v>6272</v>
      </c>
      <c r="B628" s="20" t="s">
        <v>6273</v>
      </c>
      <c r="C628" s="20" t="s">
        <v>3774</v>
      </c>
      <c r="D628" s="20" t="s">
        <v>6274</v>
      </c>
      <c r="E628" s="20" t="s">
        <v>6275</v>
      </c>
      <c r="F628" s="20" t="s">
        <v>1902</v>
      </c>
      <c r="G628" s="20" t="s">
        <v>3777</v>
      </c>
      <c r="H628" s="20" t="s">
        <v>6</v>
      </c>
      <c r="I628" s="39">
        <v>44748.669997581019</v>
      </c>
      <c r="J628" s="39">
        <v>44748.66999761574</v>
      </c>
      <c r="K628" s="20">
        <v>0</v>
      </c>
      <c r="L628" s="17" t="str">
        <f t="shared" si="9"/>
        <v>https://captureandgo.cloudlab.zhaw.ch/uploads/image_0c0178f66c.jpg</v>
      </c>
    </row>
    <row r="629" spans="1:12" ht="16" x14ac:dyDescent="0.2">
      <c r="A629" s="20" t="s">
        <v>6276</v>
      </c>
      <c r="B629" s="20" t="s">
        <v>6277</v>
      </c>
      <c r="C629" s="20" t="s">
        <v>3774</v>
      </c>
      <c r="D629" s="20" t="s">
        <v>6278</v>
      </c>
      <c r="E629" s="20" t="s">
        <v>6279</v>
      </c>
      <c r="F629" s="20" t="s">
        <v>1902</v>
      </c>
      <c r="G629" s="20" t="s">
        <v>3777</v>
      </c>
      <c r="H629" s="20" t="s">
        <v>6</v>
      </c>
      <c r="I629" s="39">
        <v>44748.670016886572</v>
      </c>
      <c r="J629" s="39">
        <v>44748.670016921293</v>
      </c>
      <c r="K629" s="20">
        <v>0</v>
      </c>
      <c r="L629" s="17" t="str">
        <f t="shared" si="9"/>
        <v>https://captureandgo.cloudlab.zhaw.ch/uploads/image_35e35c5599.jpg</v>
      </c>
    </row>
    <row r="630" spans="1:12" ht="16" x14ac:dyDescent="0.2">
      <c r="A630" s="20" t="s">
        <v>6280</v>
      </c>
      <c r="B630" s="20" t="s">
        <v>6281</v>
      </c>
      <c r="C630" s="20" t="s">
        <v>3774</v>
      </c>
      <c r="D630" s="20" t="s">
        <v>6282</v>
      </c>
      <c r="E630" s="20" t="s">
        <v>6283</v>
      </c>
      <c r="F630" s="20" t="s">
        <v>1905</v>
      </c>
      <c r="G630" s="20" t="s">
        <v>3777</v>
      </c>
      <c r="H630" s="20" t="s">
        <v>6</v>
      </c>
      <c r="I630" s="39">
        <v>44748.671626979165</v>
      </c>
      <c r="J630" s="39">
        <v>44748.671627013886</v>
      </c>
      <c r="K630" s="20">
        <v>0</v>
      </c>
      <c r="L630" s="17" t="str">
        <f t="shared" si="9"/>
        <v>https://captureandgo.cloudlab.zhaw.ch/uploads/image_f6b2e86ac8.jpg</v>
      </c>
    </row>
    <row r="631" spans="1:12" ht="16" x14ac:dyDescent="0.2">
      <c r="A631" s="20" t="s">
        <v>6284</v>
      </c>
      <c r="B631" s="20" t="s">
        <v>6285</v>
      </c>
      <c r="C631" s="20" t="s">
        <v>3774</v>
      </c>
      <c r="D631" s="20" t="s">
        <v>6286</v>
      </c>
      <c r="E631" s="20" t="s">
        <v>6287</v>
      </c>
      <c r="F631" s="20" t="s">
        <v>1908</v>
      </c>
      <c r="G631" s="20" t="s">
        <v>3777</v>
      </c>
      <c r="H631" s="20" t="s">
        <v>6</v>
      </c>
      <c r="I631" s="39">
        <v>44748.674282835651</v>
      </c>
      <c r="J631" s="39">
        <v>44748.674282881948</v>
      </c>
      <c r="K631" s="20">
        <v>0</v>
      </c>
      <c r="L631" s="17" t="str">
        <f t="shared" si="9"/>
        <v>https://captureandgo.cloudlab.zhaw.ch/uploads/image_70d81dbf7d.jpg</v>
      </c>
    </row>
    <row r="632" spans="1:12" ht="16" x14ac:dyDescent="0.2">
      <c r="A632" s="20" t="s">
        <v>6288</v>
      </c>
      <c r="B632" s="20" t="s">
        <v>6289</v>
      </c>
      <c r="C632" s="20" t="s">
        <v>3774</v>
      </c>
      <c r="D632" s="20" t="s">
        <v>6290</v>
      </c>
      <c r="E632" s="20" t="s">
        <v>6291</v>
      </c>
      <c r="F632" s="20" t="s">
        <v>1911</v>
      </c>
      <c r="G632" s="20" t="s">
        <v>3777</v>
      </c>
      <c r="H632" s="20" t="s">
        <v>6</v>
      </c>
      <c r="I632" s="39">
        <v>44748.67529496528</v>
      </c>
      <c r="J632" s="39">
        <v>44748.675295000001</v>
      </c>
      <c r="K632" s="20">
        <v>0</v>
      </c>
      <c r="L632" s="17" t="str">
        <f t="shared" si="9"/>
        <v>https://captureandgo.cloudlab.zhaw.ch/uploads/image_966307d892.jpg</v>
      </c>
    </row>
    <row r="633" spans="1:12" ht="16" x14ac:dyDescent="0.2">
      <c r="A633" s="20" t="s">
        <v>6292</v>
      </c>
      <c r="B633" s="20" t="s">
        <v>6293</v>
      </c>
      <c r="C633" s="20" t="s">
        <v>3774</v>
      </c>
      <c r="D633" s="20" t="s">
        <v>6294</v>
      </c>
      <c r="E633" s="20" t="s">
        <v>6295</v>
      </c>
      <c r="F633" s="20" t="s">
        <v>1914</v>
      </c>
      <c r="G633" s="20" t="s">
        <v>3777</v>
      </c>
      <c r="H633" s="20" t="s">
        <v>6</v>
      </c>
      <c r="I633" s="39">
        <v>44748.676357141201</v>
      </c>
      <c r="J633" s="39">
        <v>44748.676357187498</v>
      </c>
      <c r="K633" s="20">
        <v>0</v>
      </c>
      <c r="L633" s="17" t="str">
        <f t="shared" si="9"/>
        <v>https://captureandgo.cloudlab.zhaw.ch/uploads/image_c48e261ca3.jpg</v>
      </c>
    </row>
    <row r="634" spans="1:12" ht="16" x14ac:dyDescent="0.2">
      <c r="A634" s="20" t="s">
        <v>6296</v>
      </c>
      <c r="B634" s="20" t="s">
        <v>6297</v>
      </c>
      <c r="C634" s="20" t="s">
        <v>3774</v>
      </c>
      <c r="D634" s="20" t="s">
        <v>6298</v>
      </c>
      <c r="E634" s="20" t="s">
        <v>6299</v>
      </c>
      <c r="F634" s="20" t="s">
        <v>1917</v>
      </c>
      <c r="G634" s="20" t="s">
        <v>3777</v>
      </c>
      <c r="H634" s="20" t="s">
        <v>6</v>
      </c>
      <c r="I634" s="39">
        <v>44748.676680787037</v>
      </c>
      <c r="J634" s="39">
        <v>44748.676680821758</v>
      </c>
      <c r="K634" s="20">
        <v>0</v>
      </c>
      <c r="L634" s="17" t="str">
        <f t="shared" si="9"/>
        <v>https://captureandgo.cloudlab.zhaw.ch/uploads/image_b2539a7b73.jpg</v>
      </c>
    </row>
    <row r="635" spans="1:12" ht="16" x14ac:dyDescent="0.2">
      <c r="A635" s="20" t="s">
        <v>6300</v>
      </c>
      <c r="B635" s="20" t="s">
        <v>6301</v>
      </c>
      <c r="C635" s="20" t="s">
        <v>3774</v>
      </c>
      <c r="D635" s="20" t="s">
        <v>6302</v>
      </c>
      <c r="E635" s="20" t="s">
        <v>6303</v>
      </c>
      <c r="F635" s="20" t="s">
        <v>1921</v>
      </c>
      <c r="G635" s="20" t="s">
        <v>3777</v>
      </c>
      <c r="H635" s="20" t="s">
        <v>6</v>
      </c>
      <c r="I635" s="39">
        <v>44748.677845752318</v>
      </c>
      <c r="J635" s="39">
        <v>44748.677845798615</v>
      </c>
      <c r="K635" s="20">
        <v>0</v>
      </c>
      <c r="L635" s="17" t="str">
        <f t="shared" si="9"/>
        <v>https://captureandgo.cloudlab.zhaw.ch/uploads/image_0c7df4bee4.jpg</v>
      </c>
    </row>
    <row r="636" spans="1:12" ht="16" x14ac:dyDescent="0.2">
      <c r="A636" s="20" t="s">
        <v>6304</v>
      </c>
      <c r="B636" s="20" t="s">
        <v>6305</v>
      </c>
      <c r="C636" s="20" t="s">
        <v>3774</v>
      </c>
      <c r="D636" s="20" t="s">
        <v>6306</v>
      </c>
      <c r="E636" s="20" t="s">
        <v>6307</v>
      </c>
      <c r="F636" s="20" t="s">
        <v>1924</v>
      </c>
      <c r="G636" s="20" t="s">
        <v>3777</v>
      </c>
      <c r="H636" s="20" t="s">
        <v>6</v>
      </c>
      <c r="I636" s="39">
        <v>44748.679014236113</v>
      </c>
      <c r="J636" s="39">
        <v>44748.67901428241</v>
      </c>
      <c r="K636" s="20">
        <v>0</v>
      </c>
      <c r="L636" s="17" t="str">
        <f t="shared" si="9"/>
        <v>https://captureandgo.cloudlab.zhaw.ch/uploads/image_251adf6f8e.jpg</v>
      </c>
    </row>
    <row r="637" spans="1:12" ht="16" x14ac:dyDescent="0.2">
      <c r="A637" s="20" t="s">
        <v>6308</v>
      </c>
      <c r="B637" s="20" t="s">
        <v>6309</v>
      </c>
      <c r="C637" s="20" t="s">
        <v>3774</v>
      </c>
      <c r="D637" s="20" t="s">
        <v>6310</v>
      </c>
      <c r="E637" s="20" t="s">
        <v>6311</v>
      </c>
      <c r="F637" s="20" t="s">
        <v>1927</v>
      </c>
      <c r="G637" s="20" t="s">
        <v>3777</v>
      </c>
      <c r="H637" s="20" t="s">
        <v>6</v>
      </c>
      <c r="I637" s="39">
        <v>44748.681129282406</v>
      </c>
      <c r="J637" s="39">
        <v>44748.681129363424</v>
      </c>
      <c r="K637" s="20">
        <v>0</v>
      </c>
      <c r="L637" s="17" t="str">
        <f t="shared" si="9"/>
        <v>https://captureandgo.cloudlab.zhaw.ch/uploads/image_17294f505a.jpg</v>
      </c>
    </row>
    <row r="638" spans="1:12" ht="16" x14ac:dyDescent="0.2">
      <c r="A638" s="20" t="s">
        <v>6312</v>
      </c>
      <c r="B638" s="20" t="s">
        <v>6313</v>
      </c>
      <c r="C638" s="20" t="s">
        <v>3774</v>
      </c>
      <c r="D638" s="20" t="s">
        <v>6314</v>
      </c>
      <c r="E638" s="20" t="s">
        <v>6315</v>
      </c>
      <c r="F638" s="20" t="s">
        <v>1930</v>
      </c>
      <c r="G638" s="20" t="s">
        <v>3777</v>
      </c>
      <c r="H638" s="20" t="s">
        <v>6</v>
      </c>
      <c r="I638" s="39">
        <v>44748.681588819447</v>
      </c>
      <c r="J638" s="39">
        <v>44748.681588912033</v>
      </c>
      <c r="K638" s="20">
        <v>0</v>
      </c>
      <c r="L638" s="17" t="str">
        <f t="shared" si="9"/>
        <v>https://captureandgo.cloudlab.zhaw.ch/uploads/image_158cbe4ae2.jpg</v>
      </c>
    </row>
    <row r="639" spans="1:12" ht="16" x14ac:dyDescent="0.2">
      <c r="A639" s="20" t="s">
        <v>6316</v>
      </c>
      <c r="B639" s="20" t="s">
        <v>6317</v>
      </c>
      <c r="C639" s="20" t="s">
        <v>3774</v>
      </c>
      <c r="D639" s="20" t="s">
        <v>6318</v>
      </c>
      <c r="E639" s="20" t="s">
        <v>6319</v>
      </c>
      <c r="F639" s="20" t="s">
        <v>1933</v>
      </c>
      <c r="G639" s="20" t="s">
        <v>3777</v>
      </c>
      <c r="H639" s="20" t="s">
        <v>6</v>
      </c>
      <c r="I639" s="39">
        <v>44748.681938078706</v>
      </c>
      <c r="J639" s="39">
        <v>44748.681938113426</v>
      </c>
      <c r="K639" s="20">
        <v>0</v>
      </c>
      <c r="L639" s="17" t="str">
        <f t="shared" si="9"/>
        <v>https://captureandgo.cloudlab.zhaw.ch/uploads/image_29c2420d7a.jpg</v>
      </c>
    </row>
    <row r="640" spans="1:12" ht="16" x14ac:dyDescent="0.2">
      <c r="A640" s="20" t="s">
        <v>6320</v>
      </c>
      <c r="B640" s="20" t="s">
        <v>6321</v>
      </c>
      <c r="C640" s="20" t="s">
        <v>3774</v>
      </c>
      <c r="D640" s="20" t="s">
        <v>6322</v>
      </c>
      <c r="E640" s="20" t="s">
        <v>6323</v>
      </c>
      <c r="F640" s="20" t="s">
        <v>1936</v>
      </c>
      <c r="G640" s="20" t="s">
        <v>3777</v>
      </c>
      <c r="H640" s="20" t="s">
        <v>6</v>
      </c>
      <c r="I640" s="39">
        <v>44748.68218866898</v>
      </c>
      <c r="J640" s="39">
        <v>44748.6821887037</v>
      </c>
      <c r="K640" s="20">
        <v>0</v>
      </c>
      <c r="L640" s="17" t="str">
        <f t="shared" si="9"/>
        <v>https://captureandgo.cloudlab.zhaw.ch/uploads/image_9fb5b41537.jpg</v>
      </c>
    </row>
    <row r="641" spans="1:12" ht="16" x14ac:dyDescent="0.2">
      <c r="A641" s="20" t="s">
        <v>6324</v>
      </c>
      <c r="B641" s="20" t="s">
        <v>6325</v>
      </c>
      <c r="C641" s="20" t="s">
        <v>3774</v>
      </c>
      <c r="D641" s="20" t="s">
        <v>6326</v>
      </c>
      <c r="E641" s="20" t="s">
        <v>6327</v>
      </c>
      <c r="F641" s="20" t="s">
        <v>1939</v>
      </c>
      <c r="G641" s="20" t="s">
        <v>3777</v>
      </c>
      <c r="H641" s="20" t="s">
        <v>6</v>
      </c>
      <c r="I641" s="39">
        <v>44748.682485590274</v>
      </c>
      <c r="J641" s="39">
        <v>44748.682485625002</v>
      </c>
      <c r="K641" s="20">
        <v>0</v>
      </c>
      <c r="L641" s="17" t="str">
        <f t="shared" si="9"/>
        <v>https://captureandgo.cloudlab.zhaw.ch/uploads/image_8455ece0bb.jpg</v>
      </c>
    </row>
    <row r="642" spans="1:12" ht="16" x14ac:dyDescent="0.2">
      <c r="A642" s="20" t="s">
        <v>6328</v>
      </c>
      <c r="B642" s="20" t="s">
        <v>6329</v>
      </c>
      <c r="C642" s="20" t="s">
        <v>3774</v>
      </c>
      <c r="D642" s="20" t="s">
        <v>6330</v>
      </c>
      <c r="E642" s="20" t="s">
        <v>6331</v>
      </c>
      <c r="F642" s="20" t="s">
        <v>1946</v>
      </c>
      <c r="G642" s="20" t="s">
        <v>3777</v>
      </c>
      <c r="H642" s="20" t="s">
        <v>6</v>
      </c>
      <c r="I642" s="39">
        <v>44748.69903974537</v>
      </c>
      <c r="J642" s="39">
        <v>44748.699039791667</v>
      </c>
      <c r="K642" s="20">
        <v>0</v>
      </c>
      <c r="L642" s="17" t="str">
        <f t="shared" ref="L642:L705" si="10">HYPERLINK("https://captureandgo.cloudlab.zhaw.ch"&amp;B642)</f>
        <v>https://captureandgo.cloudlab.zhaw.ch/uploads/image_c0334f877d.jpg</v>
      </c>
    </row>
    <row r="643" spans="1:12" ht="16" x14ac:dyDescent="0.2">
      <c r="A643" s="20" t="s">
        <v>6332</v>
      </c>
      <c r="B643" s="20" t="s">
        <v>6333</v>
      </c>
      <c r="C643" s="20" t="s">
        <v>3774</v>
      </c>
      <c r="D643" s="20" t="s">
        <v>6334</v>
      </c>
      <c r="E643" s="20" t="s">
        <v>6335</v>
      </c>
      <c r="F643" s="20" t="s">
        <v>1949</v>
      </c>
      <c r="G643" s="20" t="s">
        <v>3777</v>
      </c>
      <c r="H643" s="20" t="s">
        <v>6</v>
      </c>
      <c r="I643" s="39">
        <v>44748.699707442131</v>
      </c>
      <c r="J643" s="39">
        <v>44748.699707476851</v>
      </c>
      <c r="K643" s="20">
        <v>0</v>
      </c>
      <c r="L643" s="17" t="str">
        <f t="shared" si="10"/>
        <v>https://captureandgo.cloudlab.zhaw.ch/uploads/image_0140c63537.jpg</v>
      </c>
    </row>
    <row r="644" spans="1:12" ht="16" x14ac:dyDescent="0.2">
      <c r="A644" s="20" t="s">
        <v>6336</v>
      </c>
      <c r="B644" s="20" t="s">
        <v>6337</v>
      </c>
      <c r="C644" s="20" t="s">
        <v>3774</v>
      </c>
      <c r="D644" s="20" t="s">
        <v>6338</v>
      </c>
      <c r="E644" s="20" t="s">
        <v>6339</v>
      </c>
      <c r="F644" s="20" t="s">
        <v>1960</v>
      </c>
      <c r="G644" s="20" t="s">
        <v>3777</v>
      </c>
      <c r="H644" s="20" t="s">
        <v>6</v>
      </c>
      <c r="I644" s="39">
        <v>44748.702172511577</v>
      </c>
      <c r="J644" s="39">
        <v>44748.702172557867</v>
      </c>
      <c r="K644" s="20">
        <v>0</v>
      </c>
      <c r="L644" s="17" t="str">
        <f t="shared" si="10"/>
        <v>https://captureandgo.cloudlab.zhaw.ch/uploads/image_e6af1d1420.jpg</v>
      </c>
    </row>
    <row r="645" spans="1:12" ht="16" x14ac:dyDescent="0.2">
      <c r="A645" s="20" t="s">
        <v>6340</v>
      </c>
      <c r="B645" s="20" t="s">
        <v>6341</v>
      </c>
      <c r="C645" s="20" t="s">
        <v>3774</v>
      </c>
      <c r="D645" s="20" t="s">
        <v>6342</v>
      </c>
      <c r="E645" s="20" t="s">
        <v>6343</v>
      </c>
      <c r="F645" s="20" t="s">
        <v>1965</v>
      </c>
      <c r="G645" s="20" t="s">
        <v>3777</v>
      </c>
      <c r="H645" s="20" t="s">
        <v>6</v>
      </c>
      <c r="I645" s="39">
        <v>44748.703201331016</v>
      </c>
      <c r="J645" s="39">
        <v>44748.703201388889</v>
      </c>
      <c r="K645" s="20">
        <v>0</v>
      </c>
      <c r="L645" s="17" t="str">
        <f t="shared" si="10"/>
        <v>https://captureandgo.cloudlab.zhaw.ch/uploads/image_ccdbde2456.jpg</v>
      </c>
    </row>
    <row r="646" spans="1:12" ht="16" x14ac:dyDescent="0.2">
      <c r="A646" s="20" t="s">
        <v>6344</v>
      </c>
      <c r="B646" s="20" t="s">
        <v>6345</v>
      </c>
      <c r="C646" s="20" t="s">
        <v>3774</v>
      </c>
      <c r="D646" s="20" t="s">
        <v>6346</v>
      </c>
      <c r="E646" s="20" t="s">
        <v>6347</v>
      </c>
      <c r="F646" s="20" t="s">
        <v>1970</v>
      </c>
      <c r="G646" s="20" t="s">
        <v>3777</v>
      </c>
      <c r="H646" s="20" t="s">
        <v>6</v>
      </c>
      <c r="I646" s="39">
        <v>44748.703977638892</v>
      </c>
      <c r="J646" s="39">
        <v>44748.703977916666</v>
      </c>
      <c r="K646" s="20">
        <v>0</v>
      </c>
      <c r="L646" s="17" t="str">
        <f t="shared" si="10"/>
        <v>https://captureandgo.cloudlab.zhaw.ch/uploads/image_b6f565924b.jpg</v>
      </c>
    </row>
    <row r="647" spans="1:12" ht="16" x14ac:dyDescent="0.2">
      <c r="A647" s="20" t="s">
        <v>6348</v>
      </c>
      <c r="B647" s="20" t="s">
        <v>6349</v>
      </c>
      <c r="C647" s="20" t="s">
        <v>3774</v>
      </c>
      <c r="D647" s="20" t="s">
        <v>6350</v>
      </c>
      <c r="E647" s="20" t="s">
        <v>6351</v>
      </c>
      <c r="F647" s="20" t="s">
        <v>1973</v>
      </c>
      <c r="G647" s="20" t="s">
        <v>3777</v>
      </c>
      <c r="H647" s="20" t="s">
        <v>6</v>
      </c>
      <c r="I647" s="39">
        <v>44748.704321145837</v>
      </c>
      <c r="J647" s="39">
        <v>44748.704321180558</v>
      </c>
      <c r="K647" s="20">
        <v>0</v>
      </c>
      <c r="L647" s="17" t="str">
        <f t="shared" si="10"/>
        <v>https://captureandgo.cloudlab.zhaw.ch/uploads/image_3f4ad86514.jpg</v>
      </c>
    </row>
    <row r="648" spans="1:12" ht="16" x14ac:dyDescent="0.2">
      <c r="A648" s="20" t="s">
        <v>6352</v>
      </c>
      <c r="B648" s="20" t="s">
        <v>6353</v>
      </c>
      <c r="C648" s="20" t="s">
        <v>3774</v>
      </c>
      <c r="D648" s="20" t="s">
        <v>6354</v>
      </c>
      <c r="E648" s="20" t="s">
        <v>6355</v>
      </c>
      <c r="F648" s="20" t="s">
        <v>1976</v>
      </c>
      <c r="G648" s="20" t="s">
        <v>3777</v>
      </c>
      <c r="H648" s="20" t="s">
        <v>6</v>
      </c>
      <c r="I648" s="39">
        <v>44748.704810115742</v>
      </c>
      <c r="J648" s="39">
        <v>44748.704810150462</v>
      </c>
      <c r="K648" s="20">
        <v>0</v>
      </c>
      <c r="L648" s="17" t="str">
        <f t="shared" si="10"/>
        <v>https://captureandgo.cloudlab.zhaw.ch/uploads/image_5ab59b3bc9.jpg</v>
      </c>
    </row>
    <row r="649" spans="1:12" ht="16" x14ac:dyDescent="0.2">
      <c r="A649" s="20" t="s">
        <v>6356</v>
      </c>
      <c r="B649" s="20" t="s">
        <v>6357</v>
      </c>
      <c r="C649" s="20" t="s">
        <v>3774</v>
      </c>
      <c r="D649" s="20" t="s">
        <v>6358</v>
      </c>
      <c r="E649" s="20" t="s">
        <v>6359</v>
      </c>
      <c r="F649" s="20" t="s">
        <v>1984</v>
      </c>
      <c r="G649" s="20" t="s">
        <v>3777</v>
      </c>
      <c r="H649" s="20" t="s">
        <v>6</v>
      </c>
      <c r="I649" s="39">
        <v>44748.706726099539</v>
      </c>
      <c r="J649" s="39">
        <v>44748.70672613426</v>
      </c>
      <c r="K649" s="20">
        <v>0</v>
      </c>
      <c r="L649" s="17" t="str">
        <f t="shared" si="10"/>
        <v>https://captureandgo.cloudlab.zhaw.ch/uploads/image_7f4537b076.jpg</v>
      </c>
    </row>
    <row r="650" spans="1:12" ht="16" x14ac:dyDescent="0.2">
      <c r="A650" s="20" t="s">
        <v>6360</v>
      </c>
      <c r="B650" s="20" t="s">
        <v>6361</v>
      </c>
      <c r="C650" s="20" t="s">
        <v>3774</v>
      </c>
      <c r="D650" s="20" t="s">
        <v>6362</v>
      </c>
      <c r="E650" s="20" t="s">
        <v>6363</v>
      </c>
      <c r="F650" s="20" t="s">
        <v>1989</v>
      </c>
      <c r="G650" s="20" t="s">
        <v>3777</v>
      </c>
      <c r="H650" s="20" t="s">
        <v>6</v>
      </c>
      <c r="I650" s="39">
        <v>44748.709882905096</v>
      </c>
      <c r="J650" s="39">
        <v>44748.709882951393</v>
      </c>
      <c r="K650" s="20">
        <v>0</v>
      </c>
      <c r="L650" s="17" t="str">
        <f t="shared" si="10"/>
        <v>https://captureandgo.cloudlab.zhaw.ch/uploads/image_ae1eaed561.jpg</v>
      </c>
    </row>
    <row r="651" spans="1:12" ht="16" x14ac:dyDescent="0.2">
      <c r="A651" s="20" t="s">
        <v>6364</v>
      </c>
      <c r="B651" s="20" t="s">
        <v>6365</v>
      </c>
      <c r="C651" s="20" t="s">
        <v>3774</v>
      </c>
      <c r="D651" s="20" t="s">
        <v>6366</v>
      </c>
      <c r="E651" s="20" t="s">
        <v>6367</v>
      </c>
      <c r="F651" s="20" t="s">
        <v>1998</v>
      </c>
      <c r="G651" s="20" t="s">
        <v>3777</v>
      </c>
      <c r="H651" s="20" t="s">
        <v>6</v>
      </c>
      <c r="I651" s="39">
        <v>44748.715284456019</v>
      </c>
      <c r="J651" s="39">
        <v>44748.715284502316</v>
      </c>
      <c r="K651" s="20">
        <v>0</v>
      </c>
      <c r="L651" s="17" t="str">
        <f t="shared" si="10"/>
        <v>https://captureandgo.cloudlab.zhaw.ch/uploads/image_0a4e1e141a.jpg</v>
      </c>
    </row>
    <row r="652" spans="1:12" ht="16" x14ac:dyDescent="0.2">
      <c r="A652" s="20" t="s">
        <v>6368</v>
      </c>
      <c r="B652" s="20" t="s">
        <v>6369</v>
      </c>
      <c r="C652" s="20" t="s">
        <v>3774</v>
      </c>
      <c r="D652" s="20" t="s">
        <v>6370</v>
      </c>
      <c r="E652" s="20" t="s">
        <v>6371</v>
      </c>
      <c r="F652" s="20" t="s">
        <v>2001</v>
      </c>
      <c r="G652" s="20" t="s">
        <v>3777</v>
      </c>
      <c r="H652" s="20" t="s">
        <v>6</v>
      </c>
      <c r="I652" s="39">
        <v>44748.716253368053</v>
      </c>
      <c r="J652" s="39">
        <v>44748.716253437502</v>
      </c>
      <c r="K652" s="20">
        <v>0</v>
      </c>
      <c r="L652" s="17" t="str">
        <f t="shared" si="10"/>
        <v>https://captureandgo.cloudlab.zhaw.ch/uploads/image_4ea574faf5.jpg</v>
      </c>
    </row>
    <row r="653" spans="1:12" ht="16" x14ac:dyDescent="0.2">
      <c r="A653" s="20" t="s">
        <v>6372</v>
      </c>
      <c r="B653" s="20" t="s">
        <v>6373</v>
      </c>
      <c r="C653" s="20" t="s">
        <v>3774</v>
      </c>
      <c r="D653" s="20" t="s">
        <v>6374</v>
      </c>
      <c r="E653" s="20" t="s">
        <v>6375</v>
      </c>
      <c r="F653" s="20" t="s">
        <v>2007</v>
      </c>
      <c r="G653" s="20" t="s">
        <v>3777</v>
      </c>
      <c r="H653" s="20" t="s">
        <v>6</v>
      </c>
      <c r="I653" s="39">
        <v>44748.717226597226</v>
      </c>
      <c r="J653" s="39">
        <v>44748.717226631947</v>
      </c>
      <c r="K653" s="20">
        <v>0</v>
      </c>
      <c r="L653" s="17" t="str">
        <f t="shared" si="10"/>
        <v>https://captureandgo.cloudlab.zhaw.ch/uploads/image_3277c43941.jpg</v>
      </c>
    </row>
    <row r="654" spans="1:12" ht="16" x14ac:dyDescent="0.2">
      <c r="A654" s="20" t="s">
        <v>6376</v>
      </c>
      <c r="B654" s="20" t="s">
        <v>6377</v>
      </c>
      <c r="C654" s="20" t="s">
        <v>3774</v>
      </c>
      <c r="D654" s="20" t="s">
        <v>6378</v>
      </c>
      <c r="E654" s="20" t="s">
        <v>6379</v>
      </c>
      <c r="F654" s="20" t="s">
        <v>2011</v>
      </c>
      <c r="G654" s="20" t="s">
        <v>3777</v>
      </c>
      <c r="H654" s="20" t="s">
        <v>6</v>
      </c>
      <c r="I654" s="39">
        <v>44748.719293680559</v>
      </c>
      <c r="J654" s="39">
        <v>44748.719293726848</v>
      </c>
      <c r="K654" s="20">
        <v>0</v>
      </c>
      <c r="L654" s="17" t="str">
        <f t="shared" si="10"/>
        <v>https://captureandgo.cloudlab.zhaw.ch/uploads/image_9ef362505d.jpg</v>
      </c>
    </row>
    <row r="655" spans="1:12" ht="16" x14ac:dyDescent="0.2">
      <c r="A655" s="20" t="s">
        <v>6380</v>
      </c>
      <c r="B655" s="20" t="s">
        <v>6381</v>
      </c>
      <c r="C655" s="20" t="s">
        <v>3774</v>
      </c>
      <c r="D655" s="20" t="s">
        <v>6382</v>
      </c>
      <c r="E655" s="20" t="s">
        <v>6383</v>
      </c>
      <c r="F655" s="20" t="s">
        <v>2015</v>
      </c>
      <c r="G655" s="20" t="s">
        <v>3777</v>
      </c>
      <c r="H655" s="20" t="s">
        <v>6</v>
      </c>
      <c r="I655" s="39">
        <v>44748.720009780096</v>
      </c>
      <c r="J655" s="39">
        <v>44748.720009803241</v>
      </c>
      <c r="K655" s="20">
        <v>0</v>
      </c>
      <c r="L655" s="17" t="str">
        <f t="shared" si="10"/>
        <v>https://captureandgo.cloudlab.zhaw.ch/uploads/image_7bdd9c52a6.jpg</v>
      </c>
    </row>
    <row r="656" spans="1:12" ht="16" x14ac:dyDescent="0.2">
      <c r="A656" s="20" t="s">
        <v>6384</v>
      </c>
      <c r="B656" s="20" t="s">
        <v>6385</v>
      </c>
      <c r="C656" s="20" t="s">
        <v>3774</v>
      </c>
      <c r="D656" s="20" t="s">
        <v>6386</v>
      </c>
      <c r="E656" s="20" t="s">
        <v>6387</v>
      </c>
      <c r="F656" s="20" t="s">
        <v>2021</v>
      </c>
      <c r="G656" s="20" t="s">
        <v>3777</v>
      </c>
      <c r="H656" s="20" t="s">
        <v>6</v>
      </c>
      <c r="I656" s="39">
        <v>44749.406027638892</v>
      </c>
      <c r="J656" s="39">
        <v>44749.40602771991</v>
      </c>
      <c r="K656" s="20">
        <v>0</v>
      </c>
      <c r="L656" s="17" t="str">
        <f t="shared" si="10"/>
        <v>https://captureandgo.cloudlab.zhaw.ch/uploads/image_fa60b0c39a.jpg</v>
      </c>
    </row>
    <row r="657" spans="1:12" ht="16" x14ac:dyDescent="0.2">
      <c r="A657" s="20" t="s">
        <v>6388</v>
      </c>
      <c r="B657" s="20" t="s">
        <v>6389</v>
      </c>
      <c r="C657" s="20" t="s">
        <v>3774</v>
      </c>
      <c r="D657" s="20" t="s">
        <v>6390</v>
      </c>
      <c r="E657" s="20" t="s">
        <v>6391</v>
      </c>
      <c r="F657" s="20" t="s">
        <v>2026</v>
      </c>
      <c r="G657" s="20" t="s">
        <v>3777</v>
      </c>
      <c r="H657" s="20" t="s">
        <v>6</v>
      </c>
      <c r="I657" s="39">
        <v>44749.408026134261</v>
      </c>
      <c r="J657" s="39">
        <v>44749.408026180557</v>
      </c>
      <c r="K657" s="20">
        <v>0</v>
      </c>
      <c r="L657" s="17" t="str">
        <f t="shared" si="10"/>
        <v>https://captureandgo.cloudlab.zhaw.ch/uploads/image_03bdaaa262.jpg</v>
      </c>
    </row>
    <row r="658" spans="1:12" ht="16" x14ac:dyDescent="0.2">
      <c r="A658" s="20" t="s">
        <v>6392</v>
      </c>
      <c r="B658" s="20" t="s">
        <v>6393</v>
      </c>
      <c r="C658" s="20" t="s">
        <v>3774</v>
      </c>
      <c r="D658" s="20" t="s">
        <v>6394</v>
      </c>
      <c r="E658" s="20" t="s">
        <v>6395</v>
      </c>
      <c r="F658" s="20" t="s">
        <v>2026</v>
      </c>
      <c r="G658" s="20" t="s">
        <v>3777</v>
      </c>
      <c r="H658" s="20" t="s">
        <v>6</v>
      </c>
      <c r="I658" s="39">
        <v>44749.408145046298</v>
      </c>
      <c r="J658" s="39">
        <v>44749.408145081019</v>
      </c>
      <c r="K658" s="20">
        <v>0</v>
      </c>
      <c r="L658" s="17" t="str">
        <f t="shared" si="10"/>
        <v>https://captureandgo.cloudlab.zhaw.ch/uploads/image_5d516e5b3a.jpg</v>
      </c>
    </row>
    <row r="659" spans="1:12" ht="16" x14ac:dyDescent="0.2">
      <c r="A659" s="20" t="s">
        <v>6396</v>
      </c>
      <c r="B659" s="20" t="s">
        <v>6397</v>
      </c>
      <c r="C659" s="20" t="s">
        <v>3774</v>
      </c>
      <c r="D659" s="20" t="s">
        <v>6398</v>
      </c>
      <c r="E659" s="20" t="s">
        <v>6399</v>
      </c>
      <c r="F659" s="20" t="s">
        <v>2026</v>
      </c>
      <c r="G659" s="20" t="s">
        <v>3777</v>
      </c>
      <c r="H659" s="20" t="s">
        <v>6</v>
      </c>
      <c r="I659" s="39">
        <v>44749.408197835648</v>
      </c>
      <c r="J659" s="39">
        <v>44749.408197858793</v>
      </c>
      <c r="K659" s="20">
        <v>0</v>
      </c>
      <c r="L659" s="17" t="str">
        <f t="shared" si="10"/>
        <v>https://captureandgo.cloudlab.zhaw.ch/uploads/image_8096fe34b2.jpg</v>
      </c>
    </row>
    <row r="660" spans="1:12" ht="16" x14ac:dyDescent="0.2">
      <c r="A660" s="20" t="s">
        <v>6400</v>
      </c>
      <c r="B660" s="20" t="s">
        <v>6401</v>
      </c>
      <c r="C660" s="20" t="s">
        <v>3774</v>
      </c>
      <c r="D660" s="20" t="s">
        <v>6402</v>
      </c>
      <c r="E660" s="20" t="s">
        <v>6403</v>
      </c>
      <c r="F660" s="20" t="s">
        <v>2029</v>
      </c>
      <c r="G660" s="20" t="s">
        <v>3777</v>
      </c>
      <c r="H660" s="20" t="s">
        <v>6</v>
      </c>
      <c r="I660" s="39">
        <v>44749.409786458331</v>
      </c>
      <c r="J660" s="39">
        <v>44749.409786504628</v>
      </c>
      <c r="K660" s="20">
        <v>0</v>
      </c>
      <c r="L660" s="17" t="str">
        <f t="shared" si="10"/>
        <v>https://captureandgo.cloudlab.zhaw.ch/uploads/image_f28f2885af.jpg</v>
      </c>
    </row>
    <row r="661" spans="1:12" ht="16" x14ac:dyDescent="0.2">
      <c r="A661" s="20" t="s">
        <v>6404</v>
      </c>
      <c r="B661" s="20" t="s">
        <v>6405</v>
      </c>
      <c r="C661" s="20" t="s">
        <v>3774</v>
      </c>
      <c r="D661" s="20" t="s">
        <v>6406</v>
      </c>
      <c r="E661" s="20" t="s">
        <v>6407</v>
      </c>
      <c r="F661" s="20" t="s">
        <v>2032</v>
      </c>
      <c r="G661" s="20" t="s">
        <v>3777</v>
      </c>
      <c r="H661" s="20" t="s">
        <v>6</v>
      </c>
      <c r="I661" s="39">
        <v>44749.41072550926</v>
      </c>
      <c r="J661" s="39">
        <v>44749.410725555557</v>
      </c>
      <c r="K661" s="20">
        <v>0</v>
      </c>
      <c r="L661" s="17" t="str">
        <f t="shared" si="10"/>
        <v>https://captureandgo.cloudlab.zhaw.ch/uploads/image_cfff33c40d.jpg</v>
      </c>
    </row>
    <row r="662" spans="1:12" ht="16" x14ac:dyDescent="0.2">
      <c r="A662" s="20" t="s">
        <v>6408</v>
      </c>
      <c r="B662" s="20" t="s">
        <v>6409</v>
      </c>
      <c r="C662" s="20" t="s">
        <v>3774</v>
      </c>
      <c r="D662" s="20" t="s">
        <v>6410</v>
      </c>
      <c r="E662" s="20" t="s">
        <v>6411</v>
      </c>
      <c r="F662" s="20" t="s">
        <v>2036</v>
      </c>
      <c r="G662" s="20" t="s">
        <v>3777</v>
      </c>
      <c r="H662" s="20" t="s">
        <v>6</v>
      </c>
      <c r="I662" s="39">
        <v>44749.411508807869</v>
      </c>
      <c r="J662" s="39">
        <v>44749.411508854166</v>
      </c>
      <c r="K662" s="20">
        <v>0</v>
      </c>
      <c r="L662" s="17" t="str">
        <f t="shared" si="10"/>
        <v>https://captureandgo.cloudlab.zhaw.ch/uploads/image_495c6e4c1a.jpg</v>
      </c>
    </row>
    <row r="663" spans="1:12" ht="16" x14ac:dyDescent="0.2">
      <c r="A663" s="20" t="s">
        <v>6412</v>
      </c>
      <c r="B663" s="20" t="s">
        <v>6413</v>
      </c>
      <c r="C663" s="20" t="s">
        <v>3774</v>
      </c>
      <c r="D663" s="20" t="s">
        <v>6414</v>
      </c>
      <c r="E663" s="20" t="s">
        <v>6415</v>
      </c>
      <c r="F663" s="20" t="s">
        <v>2041</v>
      </c>
      <c r="G663" s="20" t="s">
        <v>3777</v>
      </c>
      <c r="H663" s="20" t="s">
        <v>6</v>
      </c>
      <c r="I663" s="39">
        <v>44749.413581168985</v>
      </c>
      <c r="J663" s="39">
        <v>44749.413581215274</v>
      </c>
      <c r="K663" s="20">
        <v>0</v>
      </c>
      <c r="L663" s="17" t="str">
        <f t="shared" si="10"/>
        <v>https://captureandgo.cloudlab.zhaw.ch/uploads/image_30d17d5359.jpg</v>
      </c>
    </row>
    <row r="664" spans="1:12" ht="16" x14ac:dyDescent="0.2">
      <c r="A664" s="20" t="s">
        <v>6416</v>
      </c>
      <c r="B664" s="20" t="s">
        <v>6417</v>
      </c>
      <c r="C664" s="20" t="s">
        <v>3774</v>
      </c>
      <c r="D664" s="20" t="s">
        <v>6418</v>
      </c>
      <c r="E664" s="20" t="s">
        <v>6419</v>
      </c>
      <c r="F664" s="20" t="s">
        <v>2045</v>
      </c>
      <c r="G664" s="20" t="s">
        <v>3777</v>
      </c>
      <c r="H664" s="20" t="s">
        <v>6</v>
      </c>
      <c r="I664" s="39">
        <v>44749.414085925928</v>
      </c>
      <c r="J664" s="39">
        <v>44749.414085972225</v>
      </c>
      <c r="K664" s="20">
        <v>0</v>
      </c>
      <c r="L664" s="17" t="str">
        <f t="shared" si="10"/>
        <v>https://captureandgo.cloudlab.zhaw.ch/uploads/image_6cb6ebe531.jpg</v>
      </c>
    </row>
    <row r="665" spans="1:12" ht="16" x14ac:dyDescent="0.2">
      <c r="A665" s="20" t="s">
        <v>6420</v>
      </c>
      <c r="B665" s="20" t="s">
        <v>6421</v>
      </c>
      <c r="C665" s="20" t="s">
        <v>3774</v>
      </c>
      <c r="D665" s="20" t="s">
        <v>6422</v>
      </c>
      <c r="E665" s="20" t="s">
        <v>6423</v>
      </c>
      <c r="F665" s="20" t="s">
        <v>2049</v>
      </c>
      <c r="G665" s="20" t="s">
        <v>3777</v>
      </c>
      <c r="H665" s="20" t="s">
        <v>6</v>
      </c>
      <c r="I665" s="39">
        <v>44749.414959444446</v>
      </c>
      <c r="J665" s="39">
        <v>44749.414959479167</v>
      </c>
      <c r="K665" s="20">
        <v>0</v>
      </c>
      <c r="L665" s="17" t="str">
        <f t="shared" si="10"/>
        <v>https://captureandgo.cloudlab.zhaw.ch/uploads/image_5c9b67abcb.jpg</v>
      </c>
    </row>
    <row r="666" spans="1:12" ht="16" x14ac:dyDescent="0.2">
      <c r="A666" s="20" t="s">
        <v>6424</v>
      </c>
      <c r="B666" s="20" t="s">
        <v>6425</v>
      </c>
      <c r="C666" s="20" t="s">
        <v>3774</v>
      </c>
      <c r="D666" s="20" t="s">
        <v>6426</v>
      </c>
      <c r="E666" s="20" t="s">
        <v>6427</v>
      </c>
      <c r="F666" s="20" t="s">
        <v>2052</v>
      </c>
      <c r="G666" s="20" t="s">
        <v>3777</v>
      </c>
      <c r="H666" s="20" t="s">
        <v>6</v>
      </c>
      <c r="I666" s="39">
        <v>44749.416870196757</v>
      </c>
      <c r="J666" s="39">
        <v>44749.416870231478</v>
      </c>
      <c r="K666" s="20">
        <v>0</v>
      </c>
      <c r="L666" s="17" t="str">
        <f t="shared" si="10"/>
        <v>https://captureandgo.cloudlab.zhaw.ch/uploads/image_0cdb663923.jpg</v>
      </c>
    </row>
    <row r="667" spans="1:12" ht="16" x14ac:dyDescent="0.2">
      <c r="A667" s="20" t="s">
        <v>6428</v>
      </c>
      <c r="B667" s="20" t="s">
        <v>6429</v>
      </c>
      <c r="C667" s="20" t="s">
        <v>3774</v>
      </c>
      <c r="D667" s="20" t="s">
        <v>6430</v>
      </c>
      <c r="E667" s="20" t="s">
        <v>6431</v>
      </c>
      <c r="F667" s="20" t="s">
        <v>2056</v>
      </c>
      <c r="G667" s="20" t="s">
        <v>3777</v>
      </c>
      <c r="H667" s="20" t="s">
        <v>6</v>
      </c>
      <c r="I667" s="39">
        <v>44749.419347662035</v>
      </c>
      <c r="J667" s="39">
        <v>44749.419347708332</v>
      </c>
      <c r="K667" s="20">
        <v>0</v>
      </c>
      <c r="L667" s="17" t="str">
        <f t="shared" si="10"/>
        <v>https://captureandgo.cloudlab.zhaw.ch/uploads/image_401537fc82.jpg</v>
      </c>
    </row>
    <row r="668" spans="1:12" ht="16" x14ac:dyDescent="0.2">
      <c r="A668" s="20" t="s">
        <v>6432</v>
      </c>
      <c r="B668" s="20" t="s">
        <v>6433</v>
      </c>
      <c r="C668" s="20" t="s">
        <v>3774</v>
      </c>
      <c r="D668" s="20" t="s">
        <v>6434</v>
      </c>
      <c r="E668" s="20" t="s">
        <v>6435</v>
      </c>
      <c r="F668" s="20" t="s">
        <v>2060</v>
      </c>
      <c r="G668" s="20" t="s">
        <v>3777</v>
      </c>
      <c r="H668" s="20" t="s">
        <v>6</v>
      </c>
      <c r="I668" s="39">
        <v>44749.420114432869</v>
      </c>
      <c r="J668" s="39">
        <v>44749.420114513887</v>
      </c>
      <c r="K668" s="20">
        <v>0</v>
      </c>
      <c r="L668" s="17" t="str">
        <f t="shared" si="10"/>
        <v>https://captureandgo.cloudlab.zhaw.ch/uploads/image_bbceb1c9f8.jpg</v>
      </c>
    </row>
    <row r="669" spans="1:12" ht="16" x14ac:dyDescent="0.2">
      <c r="A669" s="20" t="s">
        <v>6436</v>
      </c>
      <c r="B669" s="20" t="s">
        <v>6437</v>
      </c>
      <c r="C669" s="20" t="s">
        <v>3774</v>
      </c>
      <c r="D669" s="20" t="s">
        <v>6438</v>
      </c>
      <c r="E669" s="20" t="s">
        <v>6439</v>
      </c>
      <c r="F669" s="20" t="s">
        <v>2064</v>
      </c>
      <c r="G669" s="20" t="s">
        <v>3777</v>
      </c>
      <c r="H669" s="20" t="s">
        <v>6</v>
      </c>
      <c r="I669" s="39">
        <v>44749.421771539353</v>
      </c>
      <c r="J669" s="39">
        <v>44749.42177158565</v>
      </c>
      <c r="K669" s="20">
        <v>0</v>
      </c>
      <c r="L669" s="17" t="str">
        <f t="shared" si="10"/>
        <v>https://captureandgo.cloudlab.zhaw.ch/uploads/image_a8640625c0.jpg</v>
      </c>
    </row>
    <row r="670" spans="1:12" ht="16" x14ac:dyDescent="0.2">
      <c r="A670" s="20" t="s">
        <v>6440</v>
      </c>
      <c r="B670" s="20" t="s">
        <v>6441</v>
      </c>
      <c r="C670" s="20" t="s">
        <v>3774</v>
      </c>
      <c r="D670" s="20" t="s">
        <v>6442</v>
      </c>
      <c r="E670" s="20" t="s">
        <v>6443</v>
      </c>
      <c r="F670" s="20" t="s">
        <v>2067</v>
      </c>
      <c r="G670" s="20" t="s">
        <v>3777</v>
      </c>
      <c r="H670" s="20" t="s">
        <v>6</v>
      </c>
      <c r="I670" s="39">
        <v>44749.423242395831</v>
      </c>
      <c r="J670" s="39">
        <v>44749.423242442128</v>
      </c>
      <c r="K670" s="20">
        <v>0</v>
      </c>
      <c r="L670" s="17" t="str">
        <f t="shared" si="10"/>
        <v>https://captureandgo.cloudlab.zhaw.ch/uploads/image_96376a92a9.jpg</v>
      </c>
    </row>
    <row r="671" spans="1:12" ht="16" x14ac:dyDescent="0.2">
      <c r="A671" s="20" t="s">
        <v>6444</v>
      </c>
      <c r="B671" s="20" t="s">
        <v>6445</v>
      </c>
      <c r="C671" s="20" t="s">
        <v>3774</v>
      </c>
      <c r="D671" s="20" t="s">
        <v>6446</v>
      </c>
      <c r="E671" s="20" t="s">
        <v>6447</v>
      </c>
      <c r="F671" s="20" t="s">
        <v>2071</v>
      </c>
      <c r="G671" s="20" t="s">
        <v>3777</v>
      </c>
      <c r="H671" s="20" t="s">
        <v>6</v>
      </c>
      <c r="I671" s="39">
        <v>44749.42419258102</v>
      </c>
      <c r="J671" s="39">
        <v>44749.424192627317</v>
      </c>
      <c r="K671" s="20">
        <v>0</v>
      </c>
      <c r="L671" s="17" t="str">
        <f t="shared" si="10"/>
        <v>https://captureandgo.cloudlab.zhaw.ch/uploads/image_a1b17c2f5a.jpg</v>
      </c>
    </row>
    <row r="672" spans="1:12" ht="16" x14ac:dyDescent="0.2">
      <c r="A672" s="20" t="s">
        <v>6448</v>
      </c>
      <c r="B672" s="20" t="s">
        <v>6449</v>
      </c>
      <c r="C672" s="20" t="s">
        <v>3774</v>
      </c>
      <c r="D672" s="20" t="s">
        <v>6450</v>
      </c>
      <c r="E672" s="20" t="s">
        <v>6451</v>
      </c>
      <c r="F672" s="20" t="s">
        <v>2074</v>
      </c>
      <c r="G672" s="20" t="s">
        <v>3777</v>
      </c>
      <c r="H672" s="20" t="s">
        <v>6</v>
      </c>
      <c r="I672" s="39">
        <v>44749.424876793979</v>
      </c>
      <c r="J672" s="39">
        <v>44749.424876840276</v>
      </c>
      <c r="K672" s="20">
        <v>0</v>
      </c>
      <c r="L672" s="17" t="str">
        <f t="shared" si="10"/>
        <v>https://captureandgo.cloudlab.zhaw.ch/uploads/image_b6f8de239f.jpg</v>
      </c>
    </row>
    <row r="673" spans="1:12" ht="16" x14ac:dyDescent="0.2">
      <c r="A673" s="20" t="s">
        <v>6452</v>
      </c>
      <c r="B673" s="20" t="s">
        <v>6453</v>
      </c>
      <c r="C673" s="20" t="s">
        <v>3774</v>
      </c>
      <c r="D673" s="20" t="s">
        <v>6454</v>
      </c>
      <c r="E673" s="20" t="s">
        <v>6455</v>
      </c>
      <c r="F673" s="20" t="s">
        <v>2077</v>
      </c>
      <c r="G673" s="20" t="s">
        <v>3777</v>
      </c>
      <c r="H673" s="20" t="s">
        <v>6</v>
      </c>
      <c r="I673" s="39">
        <v>44749.425568506944</v>
      </c>
      <c r="J673" s="39">
        <v>44749.425568541665</v>
      </c>
      <c r="K673" s="20">
        <v>0</v>
      </c>
      <c r="L673" s="17" t="str">
        <f t="shared" si="10"/>
        <v>https://captureandgo.cloudlab.zhaw.ch/uploads/image_f90964e1dd.jpg</v>
      </c>
    </row>
    <row r="674" spans="1:12" ht="16" x14ac:dyDescent="0.2">
      <c r="A674" s="20" t="s">
        <v>6456</v>
      </c>
      <c r="B674" s="20" t="s">
        <v>6457</v>
      </c>
      <c r="C674" s="20" t="s">
        <v>3774</v>
      </c>
      <c r="D674" s="20" t="s">
        <v>6458</v>
      </c>
      <c r="E674" s="20" t="s">
        <v>6459</v>
      </c>
      <c r="F674" s="20" t="s">
        <v>2080</v>
      </c>
      <c r="G674" s="20" t="s">
        <v>3777</v>
      </c>
      <c r="H674" s="20" t="s">
        <v>6</v>
      </c>
      <c r="I674" s="39">
        <v>44749.426135555557</v>
      </c>
      <c r="J674" s="39">
        <v>44749.426135590278</v>
      </c>
      <c r="K674" s="20">
        <v>0</v>
      </c>
      <c r="L674" s="17" t="str">
        <f t="shared" si="10"/>
        <v>https://captureandgo.cloudlab.zhaw.ch/uploads/image_50f2272e58.jpg</v>
      </c>
    </row>
    <row r="675" spans="1:12" ht="16" x14ac:dyDescent="0.2">
      <c r="A675" s="20" t="s">
        <v>6460</v>
      </c>
      <c r="B675" s="20" t="s">
        <v>6461</v>
      </c>
      <c r="C675" s="20" t="s">
        <v>3774</v>
      </c>
      <c r="D675" s="20" t="s">
        <v>6462</v>
      </c>
      <c r="E675" s="20" t="s">
        <v>6463</v>
      </c>
      <c r="F675" s="20" t="s">
        <v>2083</v>
      </c>
      <c r="G675" s="20" t="s">
        <v>3777</v>
      </c>
      <c r="H675" s="20" t="s">
        <v>6</v>
      </c>
      <c r="I675" s="39">
        <v>44749.426887071757</v>
      </c>
      <c r="J675" s="39">
        <v>44749.426887106485</v>
      </c>
      <c r="K675" s="20">
        <v>0</v>
      </c>
      <c r="L675" s="17" t="str">
        <f t="shared" si="10"/>
        <v>https://captureandgo.cloudlab.zhaw.ch/uploads/image_45e731f7c1.jpg</v>
      </c>
    </row>
    <row r="676" spans="1:12" ht="16" x14ac:dyDescent="0.2">
      <c r="A676" s="20" t="s">
        <v>6464</v>
      </c>
      <c r="B676" s="20" t="s">
        <v>6465</v>
      </c>
      <c r="C676" s="20" t="s">
        <v>3774</v>
      </c>
      <c r="D676" s="20" t="s">
        <v>6466</v>
      </c>
      <c r="E676" s="20" t="s">
        <v>35</v>
      </c>
      <c r="F676" s="20" t="s">
        <v>35</v>
      </c>
      <c r="G676" s="20" t="s">
        <v>35</v>
      </c>
      <c r="H676" s="20" t="s">
        <v>35</v>
      </c>
      <c r="I676" s="39">
        <v>44749.431442048612</v>
      </c>
      <c r="J676" s="39">
        <v>44749.431442048612</v>
      </c>
      <c r="K676" s="20">
        <v>0</v>
      </c>
      <c r="L676" s="17" t="str">
        <f t="shared" si="10"/>
        <v>https://captureandgo.cloudlab.zhaw.ch/uploads/image_38eaf7026d.jpg</v>
      </c>
    </row>
    <row r="677" spans="1:12" ht="16" x14ac:dyDescent="0.2">
      <c r="A677" s="20" t="s">
        <v>6467</v>
      </c>
      <c r="B677" s="20" t="s">
        <v>6468</v>
      </c>
      <c r="C677" s="20" t="s">
        <v>3774</v>
      </c>
      <c r="D677" s="20" t="s">
        <v>6469</v>
      </c>
      <c r="E677" s="20" t="s">
        <v>6470</v>
      </c>
      <c r="F677" s="20" t="s">
        <v>2089</v>
      </c>
      <c r="G677" s="20" t="s">
        <v>3777</v>
      </c>
      <c r="H677" s="20" t="s">
        <v>6</v>
      </c>
      <c r="I677" s="39">
        <v>44749.431691435188</v>
      </c>
      <c r="J677" s="39">
        <v>44749.431691481484</v>
      </c>
      <c r="K677" s="20">
        <v>0</v>
      </c>
      <c r="L677" s="17" t="str">
        <f t="shared" si="10"/>
        <v>https://captureandgo.cloudlab.zhaw.ch/uploads/image_0e1223719f.jpg</v>
      </c>
    </row>
    <row r="678" spans="1:12" ht="16" x14ac:dyDescent="0.2">
      <c r="A678" s="20" t="s">
        <v>6471</v>
      </c>
      <c r="B678" s="20" t="s">
        <v>6472</v>
      </c>
      <c r="C678" s="20" t="s">
        <v>3774</v>
      </c>
      <c r="D678" s="20" t="s">
        <v>6473</v>
      </c>
      <c r="E678" s="20" t="s">
        <v>6474</v>
      </c>
      <c r="F678" s="20" t="s">
        <v>2092</v>
      </c>
      <c r="G678" s="20" t="s">
        <v>3777</v>
      </c>
      <c r="H678" s="20" t="s">
        <v>6</v>
      </c>
      <c r="I678" s="39">
        <v>44749.433471215278</v>
      </c>
      <c r="J678" s="39">
        <v>44749.433471284719</v>
      </c>
      <c r="K678" s="20">
        <v>0</v>
      </c>
      <c r="L678" s="17" t="str">
        <f t="shared" si="10"/>
        <v>https://captureandgo.cloudlab.zhaw.ch/uploads/image_6050cefabf.jpg</v>
      </c>
    </row>
    <row r="679" spans="1:12" ht="16" x14ac:dyDescent="0.2">
      <c r="A679" s="20" t="s">
        <v>6475</v>
      </c>
      <c r="B679" s="20" t="s">
        <v>6476</v>
      </c>
      <c r="C679" s="20" t="s">
        <v>3774</v>
      </c>
      <c r="D679" s="20" t="s">
        <v>6477</v>
      </c>
      <c r="E679" s="20" t="s">
        <v>6478</v>
      </c>
      <c r="F679" s="20" t="s">
        <v>2096</v>
      </c>
      <c r="G679" s="20" t="s">
        <v>3777</v>
      </c>
      <c r="H679" s="20" t="s">
        <v>6</v>
      </c>
      <c r="I679" s="39">
        <v>44749.434198599534</v>
      </c>
      <c r="J679" s="39">
        <v>44749.434198634262</v>
      </c>
      <c r="K679" s="20">
        <v>0</v>
      </c>
      <c r="L679" s="17" t="str">
        <f t="shared" si="10"/>
        <v>https://captureandgo.cloudlab.zhaw.ch/uploads/image_50060d4d42.jpg</v>
      </c>
    </row>
    <row r="680" spans="1:12" ht="16" x14ac:dyDescent="0.2">
      <c r="A680" s="20" t="s">
        <v>6479</v>
      </c>
      <c r="B680" s="20" t="s">
        <v>6480</v>
      </c>
      <c r="C680" s="20" t="s">
        <v>3774</v>
      </c>
      <c r="D680" s="20" t="s">
        <v>6481</v>
      </c>
      <c r="E680" s="20" t="s">
        <v>6482</v>
      </c>
      <c r="F680" s="20" t="s">
        <v>2099</v>
      </c>
      <c r="G680" s="20" t="s">
        <v>3777</v>
      </c>
      <c r="H680" s="20" t="s">
        <v>6</v>
      </c>
      <c r="I680" s="39">
        <v>44749.434963125001</v>
      </c>
      <c r="J680" s="39">
        <v>44749.434963159722</v>
      </c>
      <c r="K680" s="20">
        <v>0</v>
      </c>
      <c r="L680" s="17" t="str">
        <f t="shared" si="10"/>
        <v>https://captureandgo.cloudlab.zhaw.ch/uploads/image_db40c1243e.jpg</v>
      </c>
    </row>
    <row r="681" spans="1:12" ht="16" x14ac:dyDescent="0.2">
      <c r="A681" s="20" t="s">
        <v>6483</v>
      </c>
      <c r="B681" s="20" t="s">
        <v>6484</v>
      </c>
      <c r="C681" s="20" t="s">
        <v>3774</v>
      </c>
      <c r="D681" s="20" t="s">
        <v>6485</v>
      </c>
      <c r="E681" s="20" t="s">
        <v>6486</v>
      </c>
      <c r="F681" s="20" t="s">
        <v>2103</v>
      </c>
      <c r="G681" s="20" t="s">
        <v>3777</v>
      </c>
      <c r="H681" s="20" t="s">
        <v>6</v>
      </c>
      <c r="I681" s="39">
        <v>44749.436377696758</v>
      </c>
      <c r="J681" s="39">
        <v>44749.436377731479</v>
      </c>
      <c r="K681" s="20">
        <v>0</v>
      </c>
      <c r="L681" s="17" t="str">
        <f t="shared" si="10"/>
        <v>https://captureandgo.cloudlab.zhaw.ch/uploads/image_174fe86636.jpg</v>
      </c>
    </row>
    <row r="682" spans="1:12" ht="16" x14ac:dyDescent="0.2">
      <c r="A682" s="20" t="s">
        <v>6487</v>
      </c>
      <c r="B682" s="20" t="s">
        <v>6488</v>
      </c>
      <c r="C682" s="20" t="s">
        <v>3774</v>
      </c>
      <c r="D682" s="20" t="s">
        <v>6489</v>
      </c>
      <c r="E682" s="20" t="s">
        <v>6490</v>
      </c>
      <c r="F682" s="20" t="s">
        <v>2103</v>
      </c>
      <c r="G682" s="20" t="s">
        <v>3777</v>
      </c>
      <c r="H682" s="20" t="s">
        <v>6</v>
      </c>
      <c r="I682" s="39">
        <v>44749.436444513885</v>
      </c>
      <c r="J682" s="39">
        <v>44749.436444548614</v>
      </c>
      <c r="K682" s="20">
        <v>0</v>
      </c>
      <c r="L682" s="17" t="str">
        <f t="shared" si="10"/>
        <v>https://captureandgo.cloudlab.zhaw.ch/uploads/image_7844ffac04.jpg</v>
      </c>
    </row>
    <row r="683" spans="1:12" ht="16" x14ac:dyDescent="0.2">
      <c r="A683" s="20" t="s">
        <v>6491</v>
      </c>
      <c r="B683" s="20" t="s">
        <v>6492</v>
      </c>
      <c r="C683" s="20" t="s">
        <v>3774</v>
      </c>
      <c r="D683" s="20" t="s">
        <v>6493</v>
      </c>
      <c r="E683" s="20" t="s">
        <v>6494</v>
      </c>
      <c r="F683" s="20" t="s">
        <v>2103</v>
      </c>
      <c r="G683" s="20" t="s">
        <v>3777</v>
      </c>
      <c r="H683" s="20" t="s">
        <v>6</v>
      </c>
      <c r="I683" s="39">
        <v>44749.436560462964</v>
      </c>
      <c r="J683" s="39">
        <v>44749.436560497685</v>
      </c>
      <c r="K683" s="20">
        <v>0</v>
      </c>
      <c r="L683" s="17" t="str">
        <f t="shared" si="10"/>
        <v>https://captureandgo.cloudlab.zhaw.ch/uploads/image_28e3aae20d.jpg</v>
      </c>
    </row>
    <row r="684" spans="1:12" ht="16" x14ac:dyDescent="0.2">
      <c r="A684" s="20" t="s">
        <v>6495</v>
      </c>
      <c r="B684" s="20" t="s">
        <v>6496</v>
      </c>
      <c r="C684" s="20" t="s">
        <v>3774</v>
      </c>
      <c r="D684" s="20" t="s">
        <v>6497</v>
      </c>
      <c r="E684" s="20" t="s">
        <v>6498</v>
      </c>
      <c r="F684" s="20" t="s">
        <v>2106</v>
      </c>
      <c r="G684" s="20" t="s">
        <v>3777</v>
      </c>
      <c r="H684" s="20" t="s">
        <v>6</v>
      </c>
      <c r="I684" s="39">
        <v>44749.436792361113</v>
      </c>
      <c r="J684" s="39">
        <v>44749.436792395834</v>
      </c>
      <c r="K684" s="20">
        <v>0</v>
      </c>
      <c r="L684" s="17" t="str">
        <f t="shared" si="10"/>
        <v>https://captureandgo.cloudlab.zhaw.ch/uploads/image_6062cefcb8.jpg</v>
      </c>
    </row>
    <row r="685" spans="1:12" ht="16" x14ac:dyDescent="0.2">
      <c r="A685" s="20" t="s">
        <v>6499</v>
      </c>
      <c r="B685" s="20" t="s">
        <v>6500</v>
      </c>
      <c r="C685" s="20" t="s">
        <v>3774</v>
      </c>
      <c r="D685" s="20" t="s">
        <v>6501</v>
      </c>
      <c r="E685" s="20" t="s">
        <v>6502</v>
      </c>
      <c r="F685" s="20" t="s">
        <v>2109</v>
      </c>
      <c r="G685" s="20" t="s">
        <v>3777</v>
      </c>
      <c r="H685" s="20" t="s">
        <v>6</v>
      </c>
      <c r="I685" s="39">
        <v>44749.437153009261</v>
      </c>
      <c r="J685" s="39">
        <v>44749.437153032406</v>
      </c>
      <c r="K685" s="20">
        <v>0</v>
      </c>
      <c r="L685" s="17" t="str">
        <f t="shared" si="10"/>
        <v>https://captureandgo.cloudlab.zhaw.ch/uploads/image_518bd76aa1.jpg</v>
      </c>
    </row>
    <row r="686" spans="1:12" ht="16" x14ac:dyDescent="0.2">
      <c r="A686" s="20" t="s">
        <v>6503</v>
      </c>
      <c r="B686" s="20" t="s">
        <v>6504</v>
      </c>
      <c r="C686" s="20" t="s">
        <v>3774</v>
      </c>
      <c r="D686" s="20" t="s">
        <v>6505</v>
      </c>
      <c r="E686" s="20" t="s">
        <v>6506</v>
      </c>
      <c r="F686" s="20" t="s">
        <v>2112</v>
      </c>
      <c r="G686" s="20" t="s">
        <v>3777</v>
      </c>
      <c r="H686" s="20" t="s">
        <v>6</v>
      </c>
      <c r="I686" s="39">
        <v>44749.439827013892</v>
      </c>
      <c r="J686" s="39">
        <v>44749.439827048613</v>
      </c>
      <c r="K686" s="20">
        <v>0</v>
      </c>
      <c r="L686" s="17" t="str">
        <f t="shared" si="10"/>
        <v>https://captureandgo.cloudlab.zhaw.ch/uploads/image_84c57c6047.jpg</v>
      </c>
    </row>
    <row r="687" spans="1:12" ht="16" x14ac:dyDescent="0.2">
      <c r="A687" s="20" t="s">
        <v>6507</v>
      </c>
      <c r="B687" s="20" t="s">
        <v>6508</v>
      </c>
      <c r="C687" s="20" t="s">
        <v>3774</v>
      </c>
      <c r="D687" s="20" t="s">
        <v>6509</v>
      </c>
      <c r="E687" s="20" t="s">
        <v>6510</v>
      </c>
      <c r="F687" s="20" t="s">
        <v>2115</v>
      </c>
      <c r="G687" s="20" t="s">
        <v>3777</v>
      </c>
      <c r="H687" s="20" t="s">
        <v>6</v>
      </c>
      <c r="I687" s="39">
        <v>44749.440050555553</v>
      </c>
      <c r="J687" s="39">
        <v>44749.440050868056</v>
      </c>
      <c r="K687" s="20">
        <v>0</v>
      </c>
      <c r="L687" s="17" t="str">
        <f t="shared" si="10"/>
        <v>https://captureandgo.cloudlab.zhaw.ch/uploads/image_32e2fdaa7d.jpg</v>
      </c>
    </row>
    <row r="688" spans="1:12" ht="16" x14ac:dyDescent="0.2">
      <c r="A688" s="20" t="s">
        <v>6511</v>
      </c>
      <c r="B688" s="20" t="s">
        <v>6512</v>
      </c>
      <c r="C688" s="20" t="s">
        <v>3774</v>
      </c>
      <c r="D688" s="20" t="s">
        <v>6513</v>
      </c>
      <c r="E688" s="20" t="s">
        <v>6514</v>
      </c>
      <c r="F688" s="20" t="s">
        <v>2118</v>
      </c>
      <c r="G688" s="20" t="s">
        <v>3777</v>
      </c>
      <c r="H688" s="20" t="s">
        <v>6</v>
      </c>
      <c r="I688" s="39">
        <v>44749.441476886575</v>
      </c>
      <c r="J688" s="39">
        <v>44749.441476932872</v>
      </c>
      <c r="K688" s="20">
        <v>0</v>
      </c>
      <c r="L688" s="17" t="str">
        <f t="shared" si="10"/>
        <v>https://captureandgo.cloudlab.zhaw.ch/uploads/image_cd250e5c87.jpg</v>
      </c>
    </row>
    <row r="689" spans="1:12" ht="16" x14ac:dyDescent="0.2">
      <c r="A689" s="20" t="s">
        <v>6515</v>
      </c>
      <c r="B689" s="20" t="s">
        <v>6516</v>
      </c>
      <c r="C689" s="20" t="s">
        <v>3774</v>
      </c>
      <c r="D689" s="20" t="s">
        <v>6517</v>
      </c>
      <c r="E689" s="20" t="s">
        <v>6518</v>
      </c>
      <c r="F689" s="20" t="s">
        <v>2118</v>
      </c>
      <c r="G689" s="20" t="s">
        <v>3777</v>
      </c>
      <c r="H689" s="20" t="s">
        <v>6</v>
      </c>
      <c r="I689" s="39">
        <v>44749.441597638892</v>
      </c>
      <c r="J689" s="39">
        <v>44749.441597673613</v>
      </c>
      <c r="K689" s="20">
        <v>0</v>
      </c>
      <c r="L689" s="17" t="str">
        <f t="shared" si="10"/>
        <v>https://captureandgo.cloudlab.zhaw.ch/uploads/image_18df2581f1.jpg</v>
      </c>
    </row>
    <row r="690" spans="1:12" ht="16" x14ac:dyDescent="0.2">
      <c r="A690" s="20" t="s">
        <v>6519</v>
      </c>
      <c r="B690" s="20" t="s">
        <v>6520</v>
      </c>
      <c r="C690" s="20" t="s">
        <v>3774</v>
      </c>
      <c r="D690" s="20" t="s">
        <v>6521</v>
      </c>
      <c r="E690" s="20" t="s">
        <v>6522</v>
      </c>
      <c r="F690" s="20" t="s">
        <v>2118</v>
      </c>
      <c r="G690" s="20" t="s">
        <v>3777</v>
      </c>
      <c r="H690" s="20" t="s">
        <v>6</v>
      </c>
      <c r="I690" s="39">
        <v>44749.44182010417</v>
      </c>
      <c r="J690" s="39">
        <v>44749.441820162036</v>
      </c>
      <c r="K690" s="20">
        <v>0</v>
      </c>
      <c r="L690" s="17" t="str">
        <f t="shared" si="10"/>
        <v>https://captureandgo.cloudlab.zhaw.ch/uploads/image_731c63a7f9.jpg</v>
      </c>
    </row>
    <row r="691" spans="1:12" ht="16" x14ac:dyDescent="0.2">
      <c r="A691" s="20" t="s">
        <v>6523</v>
      </c>
      <c r="B691" s="20" t="s">
        <v>6524</v>
      </c>
      <c r="C691" s="20" t="s">
        <v>3774</v>
      </c>
      <c r="D691" s="20" t="s">
        <v>6525</v>
      </c>
      <c r="E691" s="20" t="s">
        <v>6526</v>
      </c>
      <c r="F691" s="20" t="s">
        <v>2118</v>
      </c>
      <c r="G691" s="20" t="s">
        <v>3777</v>
      </c>
      <c r="H691" s="20" t="s">
        <v>6</v>
      </c>
      <c r="I691" s="39">
        <v>44749.441820266205</v>
      </c>
      <c r="J691" s="39">
        <v>44749.441820300926</v>
      </c>
      <c r="K691" s="20">
        <v>0</v>
      </c>
      <c r="L691" s="17" t="str">
        <f t="shared" si="10"/>
        <v>https://captureandgo.cloudlab.zhaw.ch/uploads/image_76788b2c6c.jpg</v>
      </c>
    </row>
    <row r="692" spans="1:12" ht="16" x14ac:dyDescent="0.2">
      <c r="A692" s="20" t="s">
        <v>6527</v>
      </c>
      <c r="B692" s="20" t="s">
        <v>6528</v>
      </c>
      <c r="C692" s="20" t="s">
        <v>3774</v>
      </c>
      <c r="D692" s="20" t="s">
        <v>6529</v>
      </c>
      <c r="E692" s="20" t="s">
        <v>6530</v>
      </c>
      <c r="F692" s="20" t="s">
        <v>2118</v>
      </c>
      <c r="G692" s="20" t="s">
        <v>3777</v>
      </c>
      <c r="H692" s="20" t="s">
        <v>6</v>
      </c>
      <c r="I692" s="39">
        <v>44749.441848912036</v>
      </c>
      <c r="J692" s="39">
        <v>44749.441848946757</v>
      </c>
      <c r="K692" s="20">
        <v>0</v>
      </c>
      <c r="L692" s="17" t="str">
        <f t="shared" si="10"/>
        <v>https://captureandgo.cloudlab.zhaw.ch/uploads/image_a591ca1ac5.jpg</v>
      </c>
    </row>
    <row r="693" spans="1:12" ht="16" x14ac:dyDescent="0.2">
      <c r="A693" s="20" t="s">
        <v>6531</v>
      </c>
      <c r="B693" s="20" t="s">
        <v>6532</v>
      </c>
      <c r="C693" s="20" t="s">
        <v>3774</v>
      </c>
      <c r="D693" s="20" t="s">
        <v>6533</v>
      </c>
      <c r="E693" s="20" t="s">
        <v>6534</v>
      </c>
      <c r="F693" s="20" t="s">
        <v>2122</v>
      </c>
      <c r="G693" s="20" t="s">
        <v>3777</v>
      </c>
      <c r="H693" s="20" t="s">
        <v>6</v>
      </c>
      <c r="I693" s="39">
        <v>44749.442289710649</v>
      </c>
      <c r="J693" s="39">
        <v>44749.44228974537</v>
      </c>
      <c r="K693" s="20">
        <v>0</v>
      </c>
      <c r="L693" s="17" t="str">
        <f t="shared" si="10"/>
        <v>https://captureandgo.cloudlab.zhaw.ch/uploads/image_823d6ea2a2.jpg</v>
      </c>
    </row>
    <row r="694" spans="1:12" ht="16" x14ac:dyDescent="0.2">
      <c r="A694" s="20" t="s">
        <v>6535</v>
      </c>
      <c r="B694" s="20" t="s">
        <v>6536</v>
      </c>
      <c r="C694" s="20" t="s">
        <v>3774</v>
      </c>
      <c r="D694" s="20" t="s">
        <v>6537</v>
      </c>
      <c r="E694" s="20" t="s">
        <v>6538</v>
      </c>
      <c r="F694" s="20" t="s">
        <v>2125</v>
      </c>
      <c r="G694" s="20" t="s">
        <v>3777</v>
      </c>
      <c r="H694" s="20" t="s">
        <v>6</v>
      </c>
      <c r="I694" s="39">
        <v>44749.443708738429</v>
      </c>
      <c r="J694" s="39">
        <v>44749.443708773149</v>
      </c>
      <c r="K694" s="20">
        <v>0</v>
      </c>
      <c r="L694" s="17" t="str">
        <f t="shared" si="10"/>
        <v>https://captureandgo.cloudlab.zhaw.ch/uploads/image_ee34164a66.jpg</v>
      </c>
    </row>
    <row r="695" spans="1:12" ht="16" x14ac:dyDescent="0.2">
      <c r="A695" s="20" t="s">
        <v>6539</v>
      </c>
      <c r="B695" s="20" t="s">
        <v>6540</v>
      </c>
      <c r="C695" s="20" t="s">
        <v>3774</v>
      </c>
      <c r="D695" s="20" t="s">
        <v>6541</v>
      </c>
      <c r="E695" s="20" t="s">
        <v>6542</v>
      </c>
      <c r="F695" s="20" t="s">
        <v>2128</v>
      </c>
      <c r="G695" s="20" t="s">
        <v>3777</v>
      </c>
      <c r="H695" s="20" t="s">
        <v>6</v>
      </c>
      <c r="I695" s="39">
        <v>44749.444802048609</v>
      </c>
      <c r="J695" s="39">
        <v>44749.444802094906</v>
      </c>
      <c r="K695" s="20">
        <v>0</v>
      </c>
      <c r="L695" s="17" t="str">
        <f t="shared" si="10"/>
        <v>https://captureandgo.cloudlab.zhaw.ch/uploads/image_dcff59cd12.jpg</v>
      </c>
    </row>
    <row r="696" spans="1:12" ht="16" x14ac:dyDescent="0.2">
      <c r="A696" s="20" t="s">
        <v>6543</v>
      </c>
      <c r="B696" s="20" t="s">
        <v>6544</v>
      </c>
      <c r="C696" s="20" t="s">
        <v>3774</v>
      </c>
      <c r="D696" s="20" t="s">
        <v>6545</v>
      </c>
      <c r="E696" s="20" t="s">
        <v>6546</v>
      </c>
      <c r="F696" s="20" t="s">
        <v>2131</v>
      </c>
      <c r="G696" s="20" t="s">
        <v>3777</v>
      </c>
      <c r="H696" s="20" t="s">
        <v>6</v>
      </c>
      <c r="I696" s="39">
        <v>44749.445777442132</v>
      </c>
      <c r="J696" s="39">
        <v>44749.445777476853</v>
      </c>
      <c r="K696" s="20">
        <v>0</v>
      </c>
      <c r="L696" s="17" t="str">
        <f t="shared" si="10"/>
        <v>https://captureandgo.cloudlab.zhaw.ch/uploads/image_47d57722c9.jpg</v>
      </c>
    </row>
    <row r="697" spans="1:12" ht="16" x14ac:dyDescent="0.2">
      <c r="A697" s="20" t="s">
        <v>6547</v>
      </c>
      <c r="B697" s="20" t="s">
        <v>6548</v>
      </c>
      <c r="C697" s="20" t="s">
        <v>3774</v>
      </c>
      <c r="D697" s="20" t="s">
        <v>6549</v>
      </c>
      <c r="E697" s="20" t="s">
        <v>6550</v>
      </c>
      <c r="F697" s="20" t="s">
        <v>2135</v>
      </c>
      <c r="G697" s="20" t="s">
        <v>3777</v>
      </c>
      <c r="H697" s="20" t="s">
        <v>6</v>
      </c>
      <c r="I697" s="39">
        <v>44749.446260821758</v>
      </c>
      <c r="J697" s="39">
        <v>44749.446260856479</v>
      </c>
      <c r="K697" s="20">
        <v>0</v>
      </c>
      <c r="L697" s="17" t="str">
        <f t="shared" si="10"/>
        <v>https://captureandgo.cloudlab.zhaw.ch/uploads/image_6e626693f8.jpg</v>
      </c>
    </row>
    <row r="698" spans="1:12" ht="16" x14ac:dyDescent="0.2">
      <c r="A698" s="20" t="s">
        <v>6551</v>
      </c>
      <c r="B698" s="20" t="s">
        <v>6552</v>
      </c>
      <c r="C698" s="20" t="s">
        <v>3774</v>
      </c>
      <c r="D698" s="20" t="s">
        <v>6553</v>
      </c>
      <c r="E698" s="20" t="s">
        <v>6554</v>
      </c>
      <c r="F698" s="20" t="s">
        <v>2138</v>
      </c>
      <c r="G698" s="20" t="s">
        <v>3777</v>
      </c>
      <c r="H698" s="20" t="s">
        <v>6</v>
      </c>
      <c r="I698" s="39">
        <v>44749.449476111113</v>
      </c>
      <c r="J698" s="39">
        <v>44749.44947615741</v>
      </c>
      <c r="K698" s="20">
        <v>0</v>
      </c>
      <c r="L698" s="17" t="str">
        <f t="shared" si="10"/>
        <v>https://captureandgo.cloudlab.zhaw.ch/uploads/image_6713862226.jpg</v>
      </c>
    </row>
    <row r="699" spans="1:12" ht="16" x14ac:dyDescent="0.2">
      <c r="A699" s="20" t="s">
        <v>6555</v>
      </c>
      <c r="B699" s="20" t="s">
        <v>6556</v>
      </c>
      <c r="C699" s="20" t="s">
        <v>3774</v>
      </c>
      <c r="D699" s="20" t="s">
        <v>6557</v>
      </c>
      <c r="E699" s="20" t="s">
        <v>6558</v>
      </c>
      <c r="F699" s="20" t="s">
        <v>2141</v>
      </c>
      <c r="G699" s="20" t="s">
        <v>3777</v>
      </c>
      <c r="H699" s="20" t="s">
        <v>6</v>
      </c>
      <c r="I699" s="39">
        <v>44749.450479178238</v>
      </c>
      <c r="J699" s="39">
        <v>44749.45047920139</v>
      </c>
      <c r="K699" s="20">
        <v>0</v>
      </c>
      <c r="L699" s="17" t="str">
        <f t="shared" si="10"/>
        <v>https://captureandgo.cloudlab.zhaw.ch/uploads/image_669fec428b.jpg</v>
      </c>
    </row>
    <row r="700" spans="1:12" ht="16" x14ac:dyDescent="0.2">
      <c r="A700" s="20" t="s">
        <v>6559</v>
      </c>
      <c r="B700" s="20" t="s">
        <v>6560</v>
      </c>
      <c r="C700" s="20" t="s">
        <v>3774</v>
      </c>
      <c r="D700" s="20" t="s">
        <v>6561</v>
      </c>
      <c r="E700" s="20" t="s">
        <v>6562</v>
      </c>
      <c r="F700" s="20" t="s">
        <v>2144</v>
      </c>
      <c r="G700" s="20" t="s">
        <v>3777</v>
      </c>
      <c r="H700" s="20" t="s">
        <v>6</v>
      </c>
      <c r="I700" s="39">
        <v>44749.450789143521</v>
      </c>
      <c r="J700" s="39">
        <v>44749.450789178241</v>
      </c>
      <c r="K700" s="20">
        <v>0</v>
      </c>
      <c r="L700" s="17" t="str">
        <f t="shared" si="10"/>
        <v>https://captureandgo.cloudlab.zhaw.ch/uploads/image_42d93cdac5.jpg</v>
      </c>
    </row>
    <row r="701" spans="1:12" ht="16" x14ac:dyDescent="0.2">
      <c r="A701" s="20" t="s">
        <v>6563</v>
      </c>
      <c r="B701" s="20" t="s">
        <v>6564</v>
      </c>
      <c r="C701" s="20" t="s">
        <v>3774</v>
      </c>
      <c r="D701" s="20" t="s">
        <v>6565</v>
      </c>
      <c r="E701" s="20" t="s">
        <v>6566</v>
      </c>
      <c r="F701" s="20" t="s">
        <v>2147</v>
      </c>
      <c r="G701" s="20" t="s">
        <v>3777</v>
      </c>
      <c r="H701" s="20" t="s">
        <v>6</v>
      </c>
      <c r="I701" s="39">
        <v>44749.45187070602</v>
      </c>
      <c r="J701" s="39">
        <v>44749.451870752317</v>
      </c>
      <c r="K701" s="20">
        <v>0</v>
      </c>
      <c r="L701" s="17" t="str">
        <f t="shared" si="10"/>
        <v>https://captureandgo.cloudlab.zhaw.ch/uploads/image_f72c831c1d.jpg</v>
      </c>
    </row>
    <row r="702" spans="1:12" ht="16" x14ac:dyDescent="0.2">
      <c r="A702" s="20" t="s">
        <v>6567</v>
      </c>
      <c r="B702" s="20" t="s">
        <v>6568</v>
      </c>
      <c r="C702" s="20" t="s">
        <v>3774</v>
      </c>
      <c r="D702" s="20" t="s">
        <v>6569</v>
      </c>
      <c r="E702" s="20" t="s">
        <v>6570</v>
      </c>
      <c r="F702" s="20" t="s">
        <v>2147</v>
      </c>
      <c r="G702" s="20" t="s">
        <v>3777</v>
      </c>
      <c r="H702" s="20" t="s">
        <v>6</v>
      </c>
      <c r="I702" s="39">
        <v>44749.451932638891</v>
      </c>
      <c r="J702" s="39">
        <v>44749.451932673612</v>
      </c>
      <c r="K702" s="20">
        <v>0</v>
      </c>
      <c r="L702" s="17" t="str">
        <f t="shared" si="10"/>
        <v>https://captureandgo.cloudlab.zhaw.ch/uploads/image_98aa2c52d4.jpg</v>
      </c>
    </row>
    <row r="703" spans="1:12" ht="16" x14ac:dyDescent="0.2">
      <c r="A703" s="20" t="s">
        <v>6571</v>
      </c>
      <c r="B703" s="20" t="s">
        <v>6572</v>
      </c>
      <c r="C703" s="20" t="s">
        <v>3774</v>
      </c>
      <c r="D703" s="20" t="s">
        <v>6573</v>
      </c>
      <c r="E703" s="20" t="s">
        <v>6574</v>
      </c>
      <c r="F703" s="20" t="s">
        <v>2151</v>
      </c>
      <c r="G703" s="20" t="s">
        <v>3777</v>
      </c>
      <c r="H703" s="20" t="s">
        <v>6</v>
      </c>
      <c r="I703" s="39">
        <v>44749.452456423613</v>
      </c>
      <c r="J703" s="39">
        <v>44749.452456458333</v>
      </c>
      <c r="K703" s="20">
        <v>0</v>
      </c>
      <c r="L703" s="17" t="str">
        <f t="shared" si="10"/>
        <v>https://captureandgo.cloudlab.zhaw.ch/uploads/image_26646461ea.jpg</v>
      </c>
    </row>
    <row r="704" spans="1:12" ht="16" x14ac:dyDescent="0.2">
      <c r="A704" s="20" t="s">
        <v>6575</v>
      </c>
      <c r="B704" s="20" t="s">
        <v>6576</v>
      </c>
      <c r="C704" s="20" t="s">
        <v>3774</v>
      </c>
      <c r="D704" s="20" t="s">
        <v>6577</v>
      </c>
      <c r="E704" s="20" t="s">
        <v>6578</v>
      </c>
      <c r="F704" s="20" t="s">
        <v>2154</v>
      </c>
      <c r="G704" s="20" t="s">
        <v>3777</v>
      </c>
      <c r="H704" s="20" t="s">
        <v>6</v>
      </c>
      <c r="I704" s="39">
        <v>44749.452872187503</v>
      </c>
      <c r="J704" s="39">
        <v>44749.452872222224</v>
      </c>
      <c r="K704" s="20">
        <v>0</v>
      </c>
      <c r="L704" s="17" t="str">
        <f t="shared" si="10"/>
        <v>https://captureandgo.cloudlab.zhaw.ch/uploads/image_3fd176fd95.jpg</v>
      </c>
    </row>
    <row r="705" spans="1:12" ht="16" x14ac:dyDescent="0.2">
      <c r="A705" s="20" t="s">
        <v>6579</v>
      </c>
      <c r="B705" s="20" t="s">
        <v>6580</v>
      </c>
      <c r="C705" s="20" t="s">
        <v>3774</v>
      </c>
      <c r="D705" s="20" t="s">
        <v>6581</v>
      </c>
      <c r="E705" s="20" t="s">
        <v>6582</v>
      </c>
      <c r="F705" s="20" t="s">
        <v>2157</v>
      </c>
      <c r="G705" s="20" t="s">
        <v>3777</v>
      </c>
      <c r="H705" s="20" t="s">
        <v>6</v>
      </c>
      <c r="I705" s="39">
        <v>44749.454662986114</v>
      </c>
      <c r="J705" s="39">
        <v>44749.454663032404</v>
      </c>
      <c r="K705" s="20">
        <v>0</v>
      </c>
      <c r="L705" s="17" t="str">
        <f t="shared" si="10"/>
        <v>https://captureandgo.cloudlab.zhaw.ch/uploads/image_db46a77188.jpg</v>
      </c>
    </row>
    <row r="706" spans="1:12" ht="16" x14ac:dyDescent="0.2">
      <c r="A706" s="20" t="s">
        <v>6583</v>
      </c>
      <c r="B706" s="20" t="s">
        <v>6584</v>
      </c>
      <c r="C706" s="20" t="s">
        <v>3774</v>
      </c>
      <c r="D706" s="20" t="s">
        <v>6585</v>
      </c>
      <c r="E706" s="20" t="s">
        <v>6586</v>
      </c>
      <c r="F706" s="20" t="s">
        <v>2161</v>
      </c>
      <c r="G706" s="20" t="s">
        <v>3777</v>
      </c>
      <c r="H706" s="20" t="s">
        <v>6</v>
      </c>
      <c r="I706" s="39">
        <v>44749.455015162035</v>
      </c>
      <c r="J706" s="39">
        <v>44749.455015185187</v>
      </c>
      <c r="K706" s="20">
        <v>0</v>
      </c>
      <c r="L706" s="17" t="str">
        <f t="shared" ref="L706:L769" si="11">HYPERLINK("https://captureandgo.cloudlab.zhaw.ch"&amp;B706)</f>
        <v>https://captureandgo.cloudlab.zhaw.ch/uploads/image_0045dd97ac.jpg</v>
      </c>
    </row>
    <row r="707" spans="1:12" ht="16" x14ac:dyDescent="0.2">
      <c r="A707" s="20" t="s">
        <v>6587</v>
      </c>
      <c r="B707" s="20" t="s">
        <v>6588</v>
      </c>
      <c r="C707" s="20" t="s">
        <v>3774</v>
      </c>
      <c r="D707" s="20" t="s">
        <v>6589</v>
      </c>
      <c r="E707" s="20" t="s">
        <v>6590</v>
      </c>
      <c r="F707" s="20" t="s">
        <v>2167</v>
      </c>
      <c r="G707" s="20" t="s">
        <v>3777</v>
      </c>
      <c r="H707" s="20" t="s">
        <v>6</v>
      </c>
      <c r="I707" s="39">
        <v>44749.456795763886</v>
      </c>
      <c r="J707" s="39">
        <v>44749.456795798615</v>
      </c>
      <c r="K707" s="20">
        <v>0</v>
      </c>
      <c r="L707" s="17" t="str">
        <f t="shared" si="11"/>
        <v>https://captureandgo.cloudlab.zhaw.ch/uploads/image_61bad1e425.jpg</v>
      </c>
    </row>
    <row r="708" spans="1:12" ht="16" x14ac:dyDescent="0.2">
      <c r="A708" s="20" t="s">
        <v>6591</v>
      </c>
      <c r="B708" s="20" t="s">
        <v>6592</v>
      </c>
      <c r="C708" s="20" t="s">
        <v>3774</v>
      </c>
      <c r="D708" s="20" t="s">
        <v>6593</v>
      </c>
      <c r="E708" s="20" t="s">
        <v>6594</v>
      </c>
      <c r="F708" s="20" t="s">
        <v>2171</v>
      </c>
      <c r="G708" s="20" t="s">
        <v>3777</v>
      </c>
      <c r="H708" s="20" t="s">
        <v>6</v>
      </c>
      <c r="I708" s="39">
        <v>44749.457613877312</v>
      </c>
      <c r="J708" s="39">
        <v>44749.45761391204</v>
      </c>
      <c r="K708" s="20">
        <v>0</v>
      </c>
      <c r="L708" s="17" t="str">
        <f t="shared" si="11"/>
        <v>https://captureandgo.cloudlab.zhaw.ch/uploads/image_5a322b700c.jpg</v>
      </c>
    </row>
    <row r="709" spans="1:12" ht="16" x14ac:dyDescent="0.2">
      <c r="A709" s="20" t="s">
        <v>6595</v>
      </c>
      <c r="B709" s="20" t="s">
        <v>6596</v>
      </c>
      <c r="C709" s="20" t="s">
        <v>3774</v>
      </c>
      <c r="D709" s="20" t="s">
        <v>6597</v>
      </c>
      <c r="E709" s="20" t="s">
        <v>6598</v>
      </c>
      <c r="F709" s="20" t="s">
        <v>2175</v>
      </c>
      <c r="G709" s="20" t="s">
        <v>3777</v>
      </c>
      <c r="H709" s="20" t="s">
        <v>6</v>
      </c>
      <c r="I709" s="39">
        <v>44749.458253310186</v>
      </c>
      <c r="J709" s="39">
        <v>44749.458253344907</v>
      </c>
      <c r="K709" s="20">
        <v>0</v>
      </c>
      <c r="L709" s="17" t="str">
        <f t="shared" si="11"/>
        <v>https://captureandgo.cloudlab.zhaw.ch/uploads/image_c66e5c06de.jpg</v>
      </c>
    </row>
    <row r="710" spans="1:12" ht="16" x14ac:dyDescent="0.2">
      <c r="A710" s="20" t="s">
        <v>6599</v>
      </c>
      <c r="B710" s="20" t="s">
        <v>6600</v>
      </c>
      <c r="C710" s="20" t="s">
        <v>3774</v>
      </c>
      <c r="D710" s="20" t="s">
        <v>6601</v>
      </c>
      <c r="E710" s="20" t="s">
        <v>6602</v>
      </c>
      <c r="F710" s="20" t="s">
        <v>2175</v>
      </c>
      <c r="G710" s="20" t="s">
        <v>3777</v>
      </c>
      <c r="H710" s="20" t="s">
        <v>6</v>
      </c>
      <c r="I710" s="39">
        <v>44749.458349988425</v>
      </c>
      <c r="J710" s="39">
        <v>44749.458350011577</v>
      </c>
      <c r="K710" s="20">
        <v>0</v>
      </c>
      <c r="L710" s="17" t="str">
        <f t="shared" si="11"/>
        <v>https://captureandgo.cloudlab.zhaw.ch/uploads/image_062815b778.jpg</v>
      </c>
    </row>
    <row r="711" spans="1:12" ht="16" x14ac:dyDescent="0.2">
      <c r="A711" s="20" t="s">
        <v>6603</v>
      </c>
      <c r="B711" s="20" t="s">
        <v>6604</v>
      </c>
      <c r="C711" s="20" t="s">
        <v>3774</v>
      </c>
      <c r="D711" s="20" t="s">
        <v>6605</v>
      </c>
      <c r="E711" s="20" t="s">
        <v>6606</v>
      </c>
      <c r="F711" s="20" t="s">
        <v>2175</v>
      </c>
      <c r="G711" s="20" t="s">
        <v>3777</v>
      </c>
      <c r="H711" s="20" t="s">
        <v>6</v>
      </c>
      <c r="I711" s="39">
        <v>44749.45842427083</v>
      </c>
      <c r="J711" s="39">
        <v>44749.458424305558</v>
      </c>
      <c r="K711" s="20">
        <v>0</v>
      </c>
      <c r="L711" s="17" t="str">
        <f t="shared" si="11"/>
        <v>https://captureandgo.cloudlab.zhaw.ch/uploads/image_01ac6b0b35.jpg</v>
      </c>
    </row>
    <row r="712" spans="1:12" ht="16" x14ac:dyDescent="0.2">
      <c r="A712" s="20" t="s">
        <v>6607</v>
      </c>
      <c r="B712" s="20" t="s">
        <v>6608</v>
      </c>
      <c r="C712" s="20" t="s">
        <v>3774</v>
      </c>
      <c r="D712" s="20" t="s">
        <v>6609</v>
      </c>
      <c r="E712" s="20" t="s">
        <v>6610</v>
      </c>
      <c r="F712" s="20" t="s">
        <v>2178</v>
      </c>
      <c r="G712" s="20" t="s">
        <v>3777</v>
      </c>
      <c r="H712" s="20" t="s">
        <v>6</v>
      </c>
      <c r="I712" s="39">
        <v>44749.458961851851</v>
      </c>
      <c r="J712" s="39">
        <v>44749.458961898148</v>
      </c>
      <c r="K712" s="20">
        <v>0</v>
      </c>
      <c r="L712" s="17" t="str">
        <f t="shared" si="11"/>
        <v>https://captureandgo.cloudlab.zhaw.ch/uploads/image_32146c927f.jpg</v>
      </c>
    </row>
    <row r="713" spans="1:12" ht="16" x14ac:dyDescent="0.2">
      <c r="A713" s="20" t="s">
        <v>6611</v>
      </c>
      <c r="B713" s="20" t="s">
        <v>6612</v>
      </c>
      <c r="C713" s="20" t="s">
        <v>3774</v>
      </c>
      <c r="D713" s="20" t="s">
        <v>6613</v>
      </c>
      <c r="E713" s="20" t="s">
        <v>6614</v>
      </c>
      <c r="F713" s="20" t="s">
        <v>2181</v>
      </c>
      <c r="G713" s="20" t="s">
        <v>3777</v>
      </c>
      <c r="H713" s="20" t="s">
        <v>6</v>
      </c>
      <c r="I713" s="39">
        <v>44749.459488159722</v>
      </c>
      <c r="J713" s="39">
        <v>44749.459488182867</v>
      </c>
      <c r="K713" s="20">
        <v>0</v>
      </c>
      <c r="L713" s="17" t="str">
        <f t="shared" si="11"/>
        <v>https://captureandgo.cloudlab.zhaw.ch/uploads/image_a6a38ca5d0.jpg</v>
      </c>
    </row>
    <row r="714" spans="1:12" ht="16" x14ac:dyDescent="0.2">
      <c r="A714" s="20" t="s">
        <v>6615</v>
      </c>
      <c r="B714" s="20" t="s">
        <v>6616</v>
      </c>
      <c r="C714" s="20" t="s">
        <v>3774</v>
      </c>
      <c r="D714" s="20" t="s">
        <v>6617</v>
      </c>
      <c r="E714" s="20" t="s">
        <v>6618</v>
      </c>
      <c r="F714" s="20" t="s">
        <v>2187</v>
      </c>
      <c r="G714" s="20" t="s">
        <v>3777</v>
      </c>
      <c r="H714" s="20" t="s">
        <v>6</v>
      </c>
      <c r="I714" s="39">
        <v>44749.461007141203</v>
      </c>
      <c r="J714" s="39">
        <v>44749.461007175923</v>
      </c>
      <c r="K714" s="20">
        <v>0</v>
      </c>
      <c r="L714" s="17" t="str">
        <f t="shared" si="11"/>
        <v>https://captureandgo.cloudlab.zhaw.ch/uploads/image_66f52a3b22.jpg</v>
      </c>
    </row>
    <row r="715" spans="1:12" ht="16" x14ac:dyDescent="0.2">
      <c r="A715" s="20" t="s">
        <v>6619</v>
      </c>
      <c r="B715" s="20" t="s">
        <v>6620</v>
      </c>
      <c r="C715" s="20" t="s">
        <v>3774</v>
      </c>
      <c r="D715" s="20" t="s">
        <v>6621</v>
      </c>
      <c r="E715" s="20" t="s">
        <v>6622</v>
      </c>
      <c r="F715" s="20" t="s">
        <v>2190</v>
      </c>
      <c r="G715" s="20" t="s">
        <v>3777</v>
      </c>
      <c r="H715" s="20" t="s">
        <v>6</v>
      </c>
      <c r="I715" s="39">
        <v>44749.46144324074</v>
      </c>
      <c r="J715" s="39">
        <v>44749.461443275461</v>
      </c>
      <c r="K715" s="20">
        <v>0</v>
      </c>
      <c r="L715" s="17" t="str">
        <f t="shared" si="11"/>
        <v>https://captureandgo.cloudlab.zhaw.ch/uploads/image_37c7edf7c5.jpg</v>
      </c>
    </row>
    <row r="716" spans="1:12" ht="16" x14ac:dyDescent="0.2">
      <c r="A716" s="20" t="s">
        <v>6623</v>
      </c>
      <c r="B716" s="20" t="s">
        <v>6624</v>
      </c>
      <c r="C716" s="20" t="s">
        <v>3774</v>
      </c>
      <c r="D716" s="20" t="s">
        <v>6625</v>
      </c>
      <c r="E716" s="20" t="s">
        <v>6626</v>
      </c>
      <c r="F716" s="20" t="s">
        <v>2193</v>
      </c>
      <c r="G716" s="20" t="s">
        <v>3777</v>
      </c>
      <c r="H716" s="20" t="s">
        <v>6</v>
      </c>
      <c r="I716" s="39">
        <v>44749.461845439815</v>
      </c>
      <c r="J716" s="39">
        <v>44749.461845474536</v>
      </c>
      <c r="K716" s="20">
        <v>0</v>
      </c>
      <c r="L716" s="17" t="str">
        <f t="shared" si="11"/>
        <v>https://captureandgo.cloudlab.zhaw.ch/uploads/image_1b6bcadc71.jpg</v>
      </c>
    </row>
    <row r="717" spans="1:12" ht="16" x14ac:dyDescent="0.2">
      <c r="A717" s="20" t="s">
        <v>6627</v>
      </c>
      <c r="B717" s="20" t="s">
        <v>6628</v>
      </c>
      <c r="C717" s="20" t="s">
        <v>3774</v>
      </c>
      <c r="D717" s="20" t="s">
        <v>6629</v>
      </c>
      <c r="E717" s="20" t="s">
        <v>6630</v>
      </c>
      <c r="F717" s="20" t="s">
        <v>2198</v>
      </c>
      <c r="G717" s="20" t="s">
        <v>3777</v>
      </c>
      <c r="H717" s="20" t="s">
        <v>6</v>
      </c>
      <c r="I717" s="39">
        <v>44749.463762395833</v>
      </c>
      <c r="J717" s="39">
        <v>44749.463762430554</v>
      </c>
      <c r="K717" s="20">
        <v>0</v>
      </c>
      <c r="L717" s="17" t="str">
        <f t="shared" si="11"/>
        <v>https://captureandgo.cloudlab.zhaw.ch/uploads/image_8c8d290eb2.jpg</v>
      </c>
    </row>
    <row r="718" spans="1:12" ht="16" x14ac:dyDescent="0.2">
      <c r="A718" s="20" t="s">
        <v>6631</v>
      </c>
      <c r="B718" s="20" t="s">
        <v>6632</v>
      </c>
      <c r="C718" s="20" t="s">
        <v>3774</v>
      </c>
      <c r="D718" s="20" t="s">
        <v>6633</v>
      </c>
      <c r="E718" s="20" t="s">
        <v>6634</v>
      </c>
      <c r="F718" s="20" t="s">
        <v>2201</v>
      </c>
      <c r="G718" s="20" t="s">
        <v>3777</v>
      </c>
      <c r="H718" s="20" t="s">
        <v>6</v>
      </c>
      <c r="I718" s="39">
        <v>44749.464252627316</v>
      </c>
      <c r="J718" s="39">
        <v>44749.464252847225</v>
      </c>
      <c r="K718" s="20">
        <v>0</v>
      </c>
      <c r="L718" s="17" t="str">
        <f t="shared" si="11"/>
        <v>https://captureandgo.cloudlab.zhaw.ch/uploads/image_c2c99c21f8.jpg</v>
      </c>
    </row>
    <row r="719" spans="1:12" ht="16" x14ac:dyDescent="0.2">
      <c r="A719" s="20" t="s">
        <v>6635</v>
      </c>
      <c r="B719" s="20" t="s">
        <v>6636</v>
      </c>
      <c r="C719" s="20" t="s">
        <v>3774</v>
      </c>
      <c r="D719" s="20" t="s">
        <v>6637</v>
      </c>
      <c r="E719" s="20" t="s">
        <v>6638</v>
      </c>
      <c r="F719" s="20" t="s">
        <v>2204</v>
      </c>
      <c r="G719" s="20" t="s">
        <v>3777</v>
      </c>
      <c r="H719" s="20" t="s">
        <v>6</v>
      </c>
      <c r="I719" s="39">
        <v>44749.465521678241</v>
      </c>
      <c r="J719" s="39">
        <v>44749.465521712962</v>
      </c>
      <c r="K719" s="20">
        <v>0</v>
      </c>
      <c r="L719" s="17" t="str">
        <f t="shared" si="11"/>
        <v>https://captureandgo.cloudlab.zhaw.ch/uploads/image_8e23dd3ab0.jpg</v>
      </c>
    </row>
    <row r="720" spans="1:12" ht="16" x14ac:dyDescent="0.2">
      <c r="A720" s="20" t="s">
        <v>6639</v>
      </c>
      <c r="B720" s="20" t="s">
        <v>6640</v>
      </c>
      <c r="C720" s="20" t="s">
        <v>3774</v>
      </c>
      <c r="D720" s="20" t="s">
        <v>6641</v>
      </c>
      <c r="E720" s="20" t="s">
        <v>6642</v>
      </c>
      <c r="F720" s="20" t="s">
        <v>2208</v>
      </c>
      <c r="G720" s="20" t="s">
        <v>3777</v>
      </c>
      <c r="H720" s="20" t="s">
        <v>6</v>
      </c>
      <c r="I720" s="39">
        <v>44749.466252337967</v>
      </c>
      <c r="J720" s="39">
        <v>44749.466252372687</v>
      </c>
      <c r="K720" s="20">
        <v>0</v>
      </c>
      <c r="L720" s="17" t="str">
        <f t="shared" si="11"/>
        <v>https://captureandgo.cloudlab.zhaw.ch/uploads/image_15f88e6b8d.jpg</v>
      </c>
    </row>
    <row r="721" spans="1:12" ht="16" x14ac:dyDescent="0.2">
      <c r="A721" s="20" t="s">
        <v>6643</v>
      </c>
      <c r="B721" s="20" t="s">
        <v>6644</v>
      </c>
      <c r="C721" s="20" t="s">
        <v>3774</v>
      </c>
      <c r="D721" s="20" t="s">
        <v>6645</v>
      </c>
      <c r="E721" s="20" t="s">
        <v>6646</v>
      </c>
      <c r="F721" s="20" t="s">
        <v>2211</v>
      </c>
      <c r="G721" s="20" t="s">
        <v>3777</v>
      </c>
      <c r="H721" s="20" t="s">
        <v>6</v>
      </c>
      <c r="I721" s="39">
        <v>44749.466558194443</v>
      </c>
      <c r="J721" s="39">
        <v>44749.466558229164</v>
      </c>
      <c r="K721" s="20">
        <v>0</v>
      </c>
      <c r="L721" s="17" t="str">
        <f t="shared" si="11"/>
        <v>https://captureandgo.cloudlab.zhaw.ch/uploads/image_ff2cc43d6c.jpg</v>
      </c>
    </row>
    <row r="722" spans="1:12" ht="16" x14ac:dyDescent="0.2">
      <c r="A722" s="20" t="s">
        <v>6647</v>
      </c>
      <c r="B722" s="20" t="s">
        <v>6648</v>
      </c>
      <c r="C722" s="20" t="s">
        <v>3774</v>
      </c>
      <c r="D722" s="20" t="s">
        <v>6649</v>
      </c>
      <c r="E722" s="20" t="s">
        <v>6650</v>
      </c>
      <c r="F722" s="20" t="s">
        <v>2215</v>
      </c>
      <c r="G722" s="20" t="s">
        <v>3777</v>
      </c>
      <c r="H722" s="20" t="s">
        <v>6</v>
      </c>
      <c r="I722" s="39">
        <v>44749.467389861114</v>
      </c>
      <c r="J722" s="39">
        <v>44749.467389895835</v>
      </c>
      <c r="K722" s="20">
        <v>0</v>
      </c>
      <c r="L722" s="17" t="str">
        <f t="shared" si="11"/>
        <v>https://captureandgo.cloudlab.zhaw.ch/uploads/image_6f7b0aadf9.jpg</v>
      </c>
    </row>
    <row r="723" spans="1:12" ht="16" x14ac:dyDescent="0.2">
      <c r="A723" s="20" t="s">
        <v>6651</v>
      </c>
      <c r="B723" s="20" t="s">
        <v>6652</v>
      </c>
      <c r="C723" s="20" t="s">
        <v>3774</v>
      </c>
      <c r="D723" s="20" t="s">
        <v>6653</v>
      </c>
      <c r="E723" s="20" t="s">
        <v>6654</v>
      </c>
      <c r="F723" s="20" t="s">
        <v>2218</v>
      </c>
      <c r="G723" s="20" t="s">
        <v>3777</v>
      </c>
      <c r="H723" s="20" t="s">
        <v>6</v>
      </c>
      <c r="I723" s="39">
        <v>44749.468356168982</v>
      </c>
      <c r="J723" s="39">
        <v>44749.468356215279</v>
      </c>
      <c r="K723" s="20">
        <v>0</v>
      </c>
      <c r="L723" s="17" t="str">
        <f t="shared" si="11"/>
        <v>https://captureandgo.cloudlab.zhaw.ch/uploads/image_a7b9c13c7a.jpg</v>
      </c>
    </row>
    <row r="724" spans="1:12" ht="16" x14ac:dyDescent="0.2">
      <c r="A724" s="20" t="s">
        <v>6655</v>
      </c>
      <c r="B724" s="20" t="s">
        <v>6656</v>
      </c>
      <c r="C724" s="20" t="s">
        <v>3774</v>
      </c>
      <c r="D724" s="20" t="s">
        <v>6657</v>
      </c>
      <c r="E724" s="20" t="s">
        <v>6658</v>
      </c>
      <c r="F724" s="20" t="s">
        <v>2218</v>
      </c>
      <c r="G724" s="20" t="s">
        <v>3777</v>
      </c>
      <c r="H724" s="20" t="s">
        <v>6</v>
      </c>
      <c r="I724" s="39">
        <v>44749.468596064813</v>
      </c>
      <c r="J724" s="39">
        <v>44749.468596099534</v>
      </c>
      <c r="K724" s="20">
        <v>0</v>
      </c>
      <c r="L724" s="17" t="str">
        <f t="shared" si="11"/>
        <v>https://captureandgo.cloudlab.zhaw.ch/uploads/image_3df3445253.jpg</v>
      </c>
    </row>
    <row r="725" spans="1:12" ht="16" x14ac:dyDescent="0.2">
      <c r="A725" s="20" t="s">
        <v>6659</v>
      </c>
      <c r="B725" s="20" t="s">
        <v>6660</v>
      </c>
      <c r="C725" s="20" t="s">
        <v>3774</v>
      </c>
      <c r="D725" s="20" t="s">
        <v>6661</v>
      </c>
      <c r="E725" s="20" t="s">
        <v>6662</v>
      </c>
      <c r="F725" s="20" t="s">
        <v>2221</v>
      </c>
      <c r="G725" s="20" t="s">
        <v>3777</v>
      </c>
      <c r="H725" s="20" t="s">
        <v>6</v>
      </c>
      <c r="I725" s="39">
        <v>44749.468921250002</v>
      </c>
      <c r="J725" s="39">
        <v>44749.468921284722</v>
      </c>
      <c r="K725" s="20">
        <v>0</v>
      </c>
      <c r="L725" s="17" t="str">
        <f t="shared" si="11"/>
        <v>https://captureandgo.cloudlab.zhaw.ch/uploads/image_c798b41768.jpg</v>
      </c>
    </row>
    <row r="726" spans="1:12" ht="16" x14ac:dyDescent="0.2">
      <c r="A726" s="20" t="s">
        <v>6663</v>
      </c>
      <c r="B726" s="20" t="s">
        <v>6664</v>
      </c>
      <c r="C726" s="20" t="s">
        <v>3774</v>
      </c>
      <c r="D726" s="20" t="s">
        <v>6665</v>
      </c>
      <c r="E726" s="20" t="s">
        <v>6666</v>
      </c>
      <c r="F726" s="20" t="s">
        <v>2224</v>
      </c>
      <c r="G726" s="20" t="s">
        <v>3777</v>
      </c>
      <c r="H726" s="20" t="s">
        <v>6</v>
      </c>
      <c r="I726" s="39">
        <v>44749.46928459491</v>
      </c>
      <c r="J726" s="39">
        <v>44749.469284641207</v>
      </c>
      <c r="K726" s="20">
        <v>0</v>
      </c>
      <c r="L726" s="17" t="str">
        <f t="shared" si="11"/>
        <v>https://captureandgo.cloudlab.zhaw.ch/uploads/image_1a1bb19fb5.jpg</v>
      </c>
    </row>
    <row r="727" spans="1:12" ht="16" x14ac:dyDescent="0.2">
      <c r="A727" s="20" t="s">
        <v>6667</v>
      </c>
      <c r="B727" s="20" t="s">
        <v>6668</v>
      </c>
      <c r="C727" s="20" t="s">
        <v>3774</v>
      </c>
      <c r="D727" s="20" t="s">
        <v>6669</v>
      </c>
      <c r="E727" s="20" t="s">
        <v>6670</v>
      </c>
      <c r="F727" s="20" t="s">
        <v>2227</v>
      </c>
      <c r="G727" s="20" t="s">
        <v>3777</v>
      </c>
      <c r="H727" s="20" t="s">
        <v>6</v>
      </c>
      <c r="I727" s="39">
        <v>44749.472245185185</v>
      </c>
      <c r="J727" s="39">
        <v>44749.47224520833</v>
      </c>
      <c r="K727" s="20">
        <v>0</v>
      </c>
      <c r="L727" s="17" t="str">
        <f t="shared" si="11"/>
        <v>https://captureandgo.cloudlab.zhaw.ch/uploads/image_7c4bb6f3b3.jpg</v>
      </c>
    </row>
    <row r="728" spans="1:12" ht="16" x14ac:dyDescent="0.2">
      <c r="A728" s="20" t="s">
        <v>6671</v>
      </c>
      <c r="B728" s="20" t="s">
        <v>6672</v>
      </c>
      <c r="C728" s="20" t="s">
        <v>3774</v>
      </c>
      <c r="D728" s="20" t="s">
        <v>6673</v>
      </c>
      <c r="E728" s="20" t="s">
        <v>6674</v>
      </c>
      <c r="F728" s="20" t="s">
        <v>2230</v>
      </c>
      <c r="G728" s="20" t="s">
        <v>3777</v>
      </c>
      <c r="H728" s="20" t="s">
        <v>6</v>
      </c>
      <c r="I728" s="39">
        <v>44749.473456157408</v>
      </c>
      <c r="J728" s="39">
        <v>44749.473456203705</v>
      </c>
      <c r="K728" s="20">
        <v>0</v>
      </c>
      <c r="L728" s="17" t="str">
        <f t="shared" si="11"/>
        <v>https://captureandgo.cloudlab.zhaw.ch/uploads/image_ff265609cb.jpg</v>
      </c>
    </row>
    <row r="729" spans="1:12" ht="16" x14ac:dyDescent="0.2">
      <c r="A729" s="20" t="s">
        <v>6675</v>
      </c>
      <c r="B729" s="20" t="s">
        <v>6676</v>
      </c>
      <c r="C729" s="20" t="s">
        <v>3774</v>
      </c>
      <c r="D729" s="20" t="s">
        <v>6677</v>
      </c>
      <c r="E729" s="20" t="s">
        <v>6678</v>
      </c>
      <c r="F729" s="20" t="s">
        <v>2234</v>
      </c>
      <c r="G729" s="20" t="s">
        <v>3777</v>
      </c>
      <c r="H729" s="20" t="s">
        <v>6</v>
      </c>
      <c r="I729" s="39">
        <v>44749.474143831016</v>
      </c>
      <c r="J729" s="39">
        <v>44749.474143946762</v>
      </c>
      <c r="K729" s="20">
        <v>0</v>
      </c>
      <c r="L729" s="17" t="str">
        <f t="shared" si="11"/>
        <v>https://captureandgo.cloudlab.zhaw.ch/uploads/image_8934a3cca1.jpg</v>
      </c>
    </row>
    <row r="730" spans="1:12" ht="16" x14ac:dyDescent="0.2">
      <c r="A730" s="20" t="s">
        <v>6679</v>
      </c>
      <c r="B730" s="20" t="s">
        <v>6680</v>
      </c>
      <c r="C730" s="20" t="s">
        <v>3774</v>
      </c>
      <c r="D730" s="20" t="s">
        <v>6681</v>
      </c>
      <c r="E730" s="20" t="s">
        <v>6682</v>
      </c>
      <c r="F730" s="20" t="s">
        <v>2234</v>
      </c>
      <c r="G730" s="20" t="s">
        <v>3777</v>
      </c>
      <c r="H730" s="20" t="s">
        <v>6</v>
      </c>
      <c r="I730" s="39">
        <v>44749.474488900465</v>
      </c>
      <c r="J730" s="39">
        <v>44749.474488969907</v>
      </c>
      <c r="K730" s="20">
        <v>0</v>
      </c>
      <c r="L730" s="17" t="str">
        <f t="shared" si="11"/>
        <v>https://captureandgo.cloudlab.zhaw.ch/uploads/image_bd9eaafd70.jpg</v>
      </c>
    </row>
    <row r="731" spans="1:12" ht="16" x14ac:dyDescent="0.2">
      <c r="A731" s="20" t="s">
        <v>6683</v>
      </c>
      <c r="B731" s="20" t="s">
        <v>6684</v>
      </c>
      <c r="C731" s="20" t="s">
        <v>3774</v>
      </c>
      <c r="D731" s="20" t="s">
        <v>6685</v>
      </c>
      <c r="E731" s="20" t="s">
        <v>6686</v>
      </c>
      <c r="F731" s="20" t="s">
        <v>2234</v>
      </c>
      <c r="G731" s="20" t="s">
        <v>3777</v>
      </c>
      <c r="H731" s="20" t="s">
        <v>6</v>
      </c>
      <c r="I731" s="39">
        <v>44749.474567037039</v>
      </c>
      <c r="J731" s="39">
        <v>44749.474567060184</v>
      </c>
      <c r="K731" s="20">
        <v>0</v>
      </c>
      <c r="L731" s="17" t="str">
        <f t="shared" si="11"/>
        <v>https://captureandgo.cloudlab.zhaw.ch/uploads/image_ffeb6843d1.jpg</v>
      </c>
    </row>
    <row r="732" spans="1:12" ht="16" x14ac:dyDescent="0.2">
      <c r="A732" s="20" t="s">
        <v>6687</v>
      </c>
      <c r="B732" s="20" t="s">
        <v>6688</v>
      </c>
      <c r="C732" s="20" t="s">
        <v>3774</v>
      </c>
      <c r="D732" s="20" t="s">
        <v>6689</v>
      </c>
      <c r="E732" s="20" t="s">
        <v>6690</v>
      </c>
      <c r="F732" s="20" t="s">
        <v>2237</v>
      </c>
      <c r="G732" s="20" t="s">
        <v>3777</v>
      </c>
      <c r="H732" s="20" t="s">
        <v>6</v>
      </c>
      <c r="I732" s="39">
        <v>44749.474855983797</v>
      </c>
      <c r="J732" s="39">
        <v>44749.474856018518</v>
      </c>
      <c r="K732" s="20">
        <v>0</v>
      </c>
      <c r="L732" s="17" t="str">
        <f t="shared" si="11"/>
        <v>https://captureandgo.cloudlab.zhaw.ch/uploads/image_fb9677975b.jpg</v>
      </c>
    </row>
    <row r="733" spans="1:12" ht="16" x14ac:dyDescent="0.2">
      <c r="A733" s="20" t="s">
        <v>6691</v>
      </c>
      <c r="B733" s="20" t="s">
        <v>6692</v>
      </c>
      <c r="C733" s="20" t="s">
        <v>3774</v>
      </c>
      <c r="D733" s="20" t="s">
        <v>6693</v>
      </c>
      <c r="E733" s="20" t="s">
        <v>6694</v>
      </c>
      <c r="F733" s="20" t="s">
        <v>2240</v>
      </c>
      <c r="G733" s="20" t="s">
        <v>3777</v>
      </c>
      <c r="H733" s="20" t="s">
        <v>6</v>
      </c>
      <c r="I733" s="39">
        <v>44749.47545755787</v>
      </c>
      <c r="J733" s="39">
        <v>44749.475457592591</v>
      </c>
      <c r="K733" s="20">
        <v>0</v>
      </c>
      <c r="L733" s="17" t="str">
        <f t="shared" si="11"/>
        <v>https://captureandgo.cloudlab.zhaw.ch/uploads/image_a92013c5db.jpg</v>
      </c>
    </row>
    <row r="734" spans="1:12" ht="16" x14ac:dyDescent="0.2">
      <c r="A734" s="20" t="s">
        <v>6695</v>
      </c>
      <c r="B734" s="20" t="s">
        <v>6696</v>
      </c>
      <c r="C734" s="20" t="s">
        <v>3774</v>
      </c>
      <c r="D734" s="20" t="s">
        <v>6697</v>
      </c>
      <c r="E734" s="20" t="s">
        <v>6698</v>
      </c>
      <c r="F734" s="20" t="s">
        <v>2243</v>
      </c>
      <c r="G734" s="20" t="s">
        <v>3777</v>
      </c>
      <c r="H734" s="20" t="s">
        <v>6</v>
      </c>
      <c r="I734" s="39">
        <v>44749.475956944443</v>
      </c>
      <c r="J734" s="39">
        <v>44749.475956979164</v>
      </c>
      <c r="K734" s="20">
        <v>0</v>
      </c>
      <c r="L734" s="17" t="str">
        <f t="shared" si="11"/>
        <v>https://captureandgo.cloudlab.zhaw.ch/uploads/image_62f98829c3.jpg</v>
      </c>
    </row>
    <row r="735" spans="1:12" ht="16" x14ac:dyDescent="0.2">
      <c r="A735" s="20" t="s">
        <v>6699</v>
      </c>
      <c r="B735" s="20" t="s">
        <v>6700</v>
      </c>
      <c r="C735" s="20" t="s">
        <v>3774</v>
      </c>
      <c r="D735" s="20" t="s">
        <v>6701</v>
      </c>
      <c r="E735" s="20" t="s">
        <v>6702</v>
      </c>
      <c r="F735" s="20" t="s">
        <v>2247</v>
      </c>
      <c r="G735" s="20" t="s">
        <v>3777</v>
      </c>
      <c r="H735" s="20" t="s">
        <v>6</v>
      </c>
      <c r="I735" s="39">
        <v>44749.476950983793</v>
      </c>
      <c r="J735" s="39">
        <v>44749.476951018522</v>
      </c>
      <c r="K735" s="20">
        <v>0</v>
      </c>
      <c r="L735" s="17" t="str">
        <f t="shared" si="11"/>
        <v>https://captureandgo.cloudlab.zhaw.ch/uploads/image_9d6d3d8d8f.jpg</v>
      </c>
    </row>
    <row r="736" spans="1:12" ht="16" x14ac:dyDescent="0.2">
      <c r="A736" s="20" t="s">
        <v>6703</v>
      </c>
      <c r="B736" s="20" t="s">
        <v>6704</v>
      </c>
      <c r="C736" s="20" t="s">
        <v>3774</v>
      </c>
      <c r="D736" s="20" t="s">
        <v>6705</v>
      </c>
      <c r="E736" s="20" t="s">
        <v>6706</v>
      </c>
      <c r="F736" s="20" t="s">
        <v>2250</v>
      </c>
      <c r="G736" s="20" t="s">
        <v>3777</v>
      </c>
      <c r="H736" s="20" t="s">
        <v>6</v>
      </c>
      <c r="I736" s="39">
        <v>44749.47775578704</v>
      </c>
      <c r="J736" s="39">
        <v>44749.477755879627</v>
      </c>
      <c r="K736" s="20">
        <v>0</v>
      </c>
      <c r="L736" s="17" t="str">
        <f t="shared" si="11"/>
        <v>https://captureandgo.cloudlab.zhaw.ch/uploads/image_958dd92e26.jpg</v>
      </c>
    </row>
    <row r="737" spans="1:12" ht="16" x14ac:dyDescent="0.2">
      <c r="A737" s="20" t="s">
        <v>6707</v>
      </c>
      <c r="B737" s="20" t="s">
        <v>6708</v>
      </c>
      <c r="C737" s="20" t="s">
        <v>3774</v>
      </c>
      <c r="D737" s="20" t="s">
        <v>6709</v>
      </c>
      <c r="E737" s="20" t="s">
        <v>6710</v>
      </c>
      <c r="F737" s="20" t="s">
        <v>2253</v>
      </c>
      <c r="G737" s="20" t="s">
        <v>3777</v>
      </c>
      <c r="H737" s="20" t="s">
        <v>6</v>
      </c>
      <c r="I737" s="39">
        <v>44749.478142777778</v>
      </c>
      <c r="J737" s="39">
        <v>44749.478142812499</v>
      </c>
      <c r="K737" s="20">
        <v>0</v>
      </c>
      <c r="L737" s="17" t="str">
        <f t="shared" si="11"/>
        <v>https://captureandgo.cloudlab.zhaw.ch/uploads/image_d2d7b43eb8.jpg</v>
      </c>
    </row>
    <row r="738" spans="1:12" ht="16" x14ac:dyDescent="0.2">
      <c r="A738" s="20" t="s">
        <v>6711</v>
      </c>
      <c r="B738" s="20" t="s">
        <v>6712</v>
      </c>
      <c r="C738" s="20" t="s">
        <v>3774</v>
      </c>
      <c r="D738" s="20" t="s">
        <v>6713</v>
      </c>
      <c r="E738" s="20" t="s">
        <v>6714</v>
      </c>
      <c r="F738" s="20" t="s">
        <v>2257</v>
      </c>
      <c r="G738" s="20" t="s">
        <v>3777</v>
      </c>
      <c r="H738" s="20" t="s">
        <v>6</v>
      </c>
      <c r="I738" s="39">
        <v>44749.480132847224</v>
      </c>
      <c r="J738" s="39">
        <v>44749.480132893521</v>
      </c>
      <c r="K738" s="20">
        <v>0</v>
      </c>
      <c r="L738" s="17" t="str">
        <f t="shared" si="11"/>
        <v>https://captureandgo.cloudlab.zhaw.ch/uploads/image_271571783b.jpg</v>
      </c>
    </row>
    <row r="739" spans="1:12" ht="16" x14ac:dyDescent="0.2">
      <c r="A739" s="20" t="s">
        <v>6715</v>
      </c>
      <c r="B739" s="20" t="s">
        <v>6716</v>
      </c>
      <c r="C739" s="20" t="s">
        <v>3774</v>
      </c>
      <c r="D739" s="20" t="s">
        <v>6717</v>
      </c>
      <c r="E739" s="20" t="s">
        <v>6718</v>
      </c>
      <c r="F739" s="20" t="s">
        <v>2261</v>
      </c>
      <c r="G739" s="20" t="s">
        <v>3777</v>
      </c>
      <c r="H739" s="20" t="s">
        <v>6</v>
      </c>
      <c r="I739" s="39">
        <v>44749.48063445602</v>
      </c>
      <c r="J739" s="39">
        <v>44749.480634490741</v>
      </c>
      <c r="K739" s="20">
        <v>0</v>
      </c>
      <c r="L739" s="17" t="str">
        <f t="shared" si="11"/>
        <v>https://captureandgo.cloudlab.zhaw.ch/uploads/image_5e86d9d485.jpg</v>
      </c>
    </row>
    <row r="740" spans="1:12" ht="16" x14ac:dyDescent="0.2">
      <c r="A740" s="20" t="s">
        <v>6719</v>
      </c>
      <c r="B740" s="20" t="s">
        <v>6720</v>
      </c>
      <c r="C740" s="20" t="s">
        <v>3774</v>
      </c>
      <c r="D740" s="20" t="s">
        <v>6721</v>
      </c>
      <c r="E740" s="20" t="s">
        <v>6722</v>
      </c>
      <c r="F740" s="20" t="s">
        <v>2264</v>
      </c>
      <c r="G740" s="20" t="s">
        <v>3777</v>
      </c>
      <c r="H740" s="20" t="s">
        <v>6</v>
      </c>
      <c r="I740" s="39">
        <v>44749.481068067129</v>
      </c>
      <c r="J740" s="39">
        <v>44749.48106810185</v>
      </c>
      <c r="K740" s="20">
        <v>0</v>
      </c>
      <c r="L740" s="17" t="str">
        <f t="shared" si="11"/>
        <v>https://captureandgo.cloudlab.zhaw.ch/uploads/image_ab07c86726.jpg</v>
      </c>
    </row>
    <row r="741" spans="1:12" ht="16" x14ac:dyDescent="0.2">
      <c r="A741" s="20" t="s">
        <v>6723</v>
      </c>
      <c r="B741" s="20" t="s">
        <v>6724</v>
      </c>
      <c r="C741" s="20" t="s">
        <v>3774</v>
      </c>
      <c r="D741" s="20" t="s">
        <v>6725</v>
      </c>
      <c r="E741" s="20" t="s">
        <v>6726</v>
      </c>
      <c r="F741" s="20" t="s">
        <v>2268</v>
      </c>
      <c r="G741" s="20" t="s">
        <v>3777</v>
      </c>
      <c r="H741" s="20" t="s">
        <v>6</v>
      </c>
      <c r="I741" s="39">
        <v>44749.481623194442</v>
      </c>
      <c r="J741" s="39">
        <v>44749.481623229163</v>
      </c>
      <c r="K741" s="20">
        <v>0</v>
      </c>
      <c r="L741" s="17" t="str">
        <f t="shared" si="11"/>
        <v>https://captureandgo.cloudlab.zhaw.ch/uploads/image_b797a0bb2b.jpg</v>
      </c>
    </row>
    <row r="742" spans="1:12" ht="16" x14ac:dyDescent="0.2">
      <c r="A742" s="20" t="s">
        <v>6727</v>
      </c>
      <c r="B742" s="20" t="s">
        <v>6728</v>
      </c>
      <c r="C742" s="20" t="s">
        <v>3774</v>
      </c>
      <c r="D742" s="20" t="s">
        <v>6729</v>
      </c>
      <c r="E742" s="20" t="s">
        <v>6730</v>
      </c>
      <c r="F742" s="20" t="s">
        <v>2271</v>
      </c>
      <c r="G742" s="20" t="s">
        <v>3777</v>
      </c>
      <c r="H742" s="20" t="s">
        <v>6</v>
      </c>
      <c r="I742" s="39">
        <v>44749.481918912039</v>
      </c>
      <c r="J742" s="39">
        <v>44749.48191894676</v>
      </c>
      <c r="K742" s="20">
        <v>0</v>
      </c>
      <c r="L742" s="17" t="str">
        <f t="shared" si="11"/>
        <v>https://captureandgo.cloudlab.zhaw.ch/uploads/image_1cc8cbc27d.jpg</v>
      </c>
    </row>
    <row r="743" spans="1:12" ht="16" x14ac:dyDescent="0.2">
      <c r="A743" s="20" t="s">
        <v>6731</v>
      </c>
      <c r="B743" s="20" t="s">
        <v>6732</v>
      </c>
      <c r="C743" s="20" t="s">
        <v>3774</v>
      </c>
      <c r="D743" s="20" t="s">
        <v>6733</v>
      </c>
      <c r="E743" s="20" t="s">
        <v>6734</v>
      </c>
      <c r="F743" s="20" t="s">
        <v>2275</v>
      </c>
      <c r="G743" s="20" t="s">
        <v>3777</v>
      </c>
      <c r="H743" s="20" t="s">
        <v>6</v>
      </c>
      <c r="I743" s="39">
        <v>44749.482583935183</v>
      </c>
      <c r="J743" s="39">
        <v>44749.482583969904</v>
      </c>
      <c r="K743" s="20">
        <v>0</v>
      </c>
      <c r="L743" s="17" t="str">
        <f t="shared" si="11"/>
        <v>https://captureandgo.cloudlab.zhaw.ch/uploads/image_d8db1c1d62.jpg</v>
      </c>
    </row>
    <row r="744" spans="1:12" ht="16" x14ac:dyDescent="0.2">
      <c r="A744" s="20" t="s">
        <v>6735</v>
      </c>
      <c r="B744" s="20" t="s">
        <v>6736</v>
      </c>
      <c r="C744" s="20" t="s">
        <v>3774</v>
      </c>
      <c r="D744" s="20" t="s">
        <v>6737</v>
      </c>
      <c r="E744" s="20" t="s">
        <v>6738</v>
      </c>
      <c r="F744" s="20" t="s">
        <v>2275</v>
      </c>
      <c r="G744" s="20" t="s">
        <v>3777</v>
      </c>
      <c r="H744" s="20" t="s">
        <v>6</v>
      </c>
      <c r="I744" s="39">
        <v>44749.483740046293</v>
      </c>
      <c r="J744" s="39">
        <v>44749.483740104166</v>
      </c>
      <c r="K744" s="20">
        <v>0</v>
      </c>
      <c r="L744" s="17" t="str">
        <f t="shared" si="11"/>
        <v>https://captureandgo.cloudlab.zhaw.ch/uploads/image_571fe541c5.jpg</v>
      </c>
    </row>
    <row r="745" spans="1:12" ht="16" x14ac:dyDescent="0.2">
      <c r="A745" s="20" t="s">
        <v>6739</v>
      </c>
      <c r="B745" s="20" t="s">
        <v>6740</v>
      </c>
      <c r="C745" s="20" t="s">
        <v>3774</v>
      </c>
      <c r="D745" s="20" t="s">
        <v>6741</v>
      </c>
      <c r="E745" s="20" t="s">
        <v>6742</v>
      </c>
      <c r="F745" s="20" t="s">
        <v>2275</v>
      </c>
      <c r="G745" s="20" t="s">
        <v>3777</v>
      </c>
      <c r="H745" s="20" t="s">
        <v>6</v>
      </c>
      <c r="I745" s="39">
        <v>44749.48381607639</v>
      </c>
      <c r="J745" s="39">
        <v>44749.483816111111</v>
      </c>
      <c r="K745" s="20">
        <v>0</v>
      </c>
      <c r="L745" s="17" t="str">
        <f t="shared" si="11"/>
        <v>https://captureandgo.cloudlab.zhaw.ch/uploads/image_feab86357d.jpg</v>
      </c>
    </row>
    <row r="746" spans="1:12" ht="16" x14ac:dyDescent="0.2">
      <c r="A746" s="20" t="s">
        <v>6743</v>
      </c>
      <c r="B746" s="20" t="s">
        <v>6744</v>
      </c>
      <c r="C746" s="20" t="s">
        <v>3774</v>
      </c>
      <c r="D746" s="20" t="s">
        <v>6745</v>
      </c>
      <c r="E746" s="20" t="s">
        <v>6746</v>
      </c>
      <c r="F746" s="20" t="s">
        <v>2278</v>
      </c>
      <c r="G746" s="20" t="s">
        <v>3777</v>
      </c>
      <c r="H746" s="20" t="s">
        <v>6</v>
      </c>
      <c r="I746" s="39">
        <v>44749.484139918983</v>
      </c>
      <c r="J746" s="39">
        <v>44749.484139953704</v>
      </c>
      <c r="K746" s="20">
        <v>0</v>
      </c>
      <c r="L746" s="17" t="str">
        <f t="shared" si="11"/>
        <v>https://captureandgo.cloudlab.zhaw.ch/uploads/image_721b41d8fe.jpg</v>
      </c>
    </row>
    <row r="747" spans="1:12" ht="16" x14ac:dyDescent="0.2">
      <c r="A747" s="20" t="s">
        <v>6747</v>
      </c>
      <c r="B747" s="20" t="s">
        <v>6748</v>
      </c>
      <c r="C747" s="20" t="s">
        <v>3774</v>
      </c>
      <c r="D747" s="20" t="s">
        <v>6749</v>
      </c>
      <c r="E747" s="20" t="s">
        <v>6750</v>
      </c>
      <c r="F747" s="20" t="s">
        <v>2281</v>
      </c>
      <c r="G747" s="20" t="s">
        <v>3777</v>
      </c>
      <c r="H747" s="20" t="s">
        <v>6</v>
      </c>
      <c r="I747" s="39">
        <v>44749.484589085645</v>
      </c>
      <c r="J747" s="39">
        <v>44749.484589131942</v>
      </c>
      <c r="K747" s="20">
        <v>0</v>
      </c>
      <c r="L747" s="17" t="str">
        <f t="shared" si="11"/>
        <v>https://captureandgo.cloudlab.zhaw.ch/uploads/image_febb69cebe.jpg</v>
      </c>
    </row>
    <row r="748" spans="1:12" ht="16" x14ac:dyDescent="0.2">
      <c r="A748" s="20" t="s">
        <v>6751</v>
      </c>
      <c r="B748" s="20" t="s">
        <v>6752</v>
      </c>
      <c r="C748" s="20" t="s">
        <v>3774</v>
      </c>
      <c r="D748" s="20" t="s">
        <v>6753</v>
      </c>
      <c r="E748" s="20" t="s">
        <v>6754</v>
      </c>
      <c r="F748" s="20" t="s">
        <v>2285</v>
      </c>
      <c r="G748" s="20" t="s">
        <v>3777</v>
      </c>
      <c r="H748" s="20" t="s">
        <v>6</v>
      </c>
      <c r="I748" s="39">
        <v>44749.485200914351</v>
      </c>
      <c r="J748" s="39">
        <v>44749.485200937503</v>
      </c>
      <c r="K748" s="20">
        <v>0</v>
      </c>
      <c r="L748" s="17" t="str">
        <f t="shared" si="11"/>
        <v>https://captureandgo.cloudlab.zhaw.ch/uploads/image_9ca439cb04.jpg</v>
      </c>
    </row>
    <row r="749" spans="1:12" ht="16" x14ac:dyDescent="0.2">
      <c r="A749" s="20" t="s">
        <v>6755</v>
      </c>
      <c r="B749" s="20" t="s">
        <v>6756</v>
      </c>
      <c r="C749" s="20" t="s">
        <v>3774</v>
      </c>
      <c r="D749" s="20" t="s">
        <v>6757</v>
      </c>
      <c r="E749" s="20" t="s">
        <v>6758</v>
      </c>
      <c r="F749" s="20" t="s">
        <v>2288</v>
      </c>
      <c r="G749" s="20" t="s">
        <v>3777</v>
      </c>
      <c r="H749" s="20" t="s">
        <v>6</v>
      </c>
      <c r="I749" s="39">
        <v>44749.485611203701</v>
      </c>
      <c r="J749" s="39">
        <v>44749.48561123843</v>
      </c>
      <c r="K749" s="20">
        <v>0</v>
      </c>
      <c r="L749" s="17" t="str">
        <f t="shared" si="11"/>
        <v>https://captureandgo.cloudlab.zhaw.ch/uploads/image_2403657e16.jpg</v>
      </c>
    </row>
    <row r="750" spans="1:12" ht="16" x14ac:dyDescent="0.2">
      <c r="A750" s="20" t="s">
        <v>6759</v>
      </c>
      <c r="B750" s="20" t="s">
        <v>6760</v>
      </c>
      <c r="C750" s="20" t="s">
        <v>3774</v>
      </c>
      <c r="D750" s="20" t="s">
        <v>6761</v>
      </c>
      <c r="E750" s="20" t="s">
        <v>6762</v>
      </c>
      <c r="F750" s="20" t="s">
        <v>2291</v>
      </c>
      <c r="G750" s="20" t="s">
        <v>3777</v>
      </c>
      <c r="H750" s="20" t="s">
        <v>6</v>
      </c>
      <c r="I750" s="39">
        <v>44749.486396712964</v>
      </c>
      <c r="J750" s="39">
        <v>44749.486396747685</v>
      </c>
      <c r="K750" s="20">
        <v>0</v>
      </c>
      <c r="L750" s="17" t="str">
        <f t="shared" si="11"/>
        <v>https://captureandgo.cloudlab.zhaw.ch/uploads/image_3d24a73b0f.jpg</v>
      </c>
    </row>
    <row r="751" spans="1:12" ht="16" x14ac:dyDescent="0.2">
      <c r="A751" s="20" t="s">
        <v>6763</v>
      </c>
      <c r="B751" s="20" t="s">
        <v>6764</v>
      </c>
      <c r="C751" s="20" t="s">
        <v>3774</v>
      </c>
      <c r="D751" s="20" t="s">
        <v>6765</v>
      </c>
      <c r="E751" s="20" t="s">
        <v>6766</v>
      </c>
      <c r="F751" s="20" t="s">
        <v>2294</v>
      </c>
      <c r="G751" s="20" t="s">
        <v>3777</v>
      </c>
      <c r="H751" s="20" t="s">
        <v>6</v>
      </c>
      <c r="I751" s="39">
        <v>44749.486623368059</v>
      </c>
      <c r="J751" s="39">
        <v>44749.486623391203</v>
      </c>
      <c r="K751" s="20">
        <v>0</v>
      </c>
      <c r="L751" s="17" t="str">
        <f t="shared" si="11"/>
        <v>https://captureandgo.cloudlab.zhaw.ch/uploads/image_f60993838d.jpg</v>
      </c>
    </row>
    <row r="752" spans="1:12" ht="16" x14ac:dyDescent="0.2">
      <c r="A752" s="20" t="s">
        <v>6767</v>
      </c>
      <c r="B752" s="20" t="s">
        <v>6768</v>
      </c>
      <c r="C752" s="20" t="s">
        <v>3774</v>
      </c>
      <c r="D752" s="20" t="s">
        <v>6769</v>
      </c>
      <c r="E752" s="20" t="s">
        <v>6770</v>
      </c>
      <c r="F752" s="20" t="s">
        <v>2297</v>
      </c>
      <c r="G752" s="20" t="s">
        <v>3777</v>
      </c>
      <c r="H752" s="20" t="s">
        <v>6</v>
      </c>
      <c r="I752" s="39">
        <v>44749.487860717592</v>
      </c>
      <c r="J752" s="39">
        <v>44749.487860740737</v>
      </c>
      <c r="K752" s="20">
        <v>0</v>
      </c>
      <c r="L752" s="17" t="str">
        <f t="shared" si="11"/>
        <v>https://captureandgo.cloudlab.zhaw.ch/uploads/image_8902f60074.jpg</v>
      </c>
    </row>
    <row r="753" spans="1:12" ht="16" x14ac:dyDescent="0.2">
      <c r="A753" s="20" t="s">
        <v>6771</v>
      </c>
      <c r="B753" s="20" t="s">
        <v>6772</v>
      </c>
      <c r="C753" s="20" t="s">
        <v>3774</v>
      </c>
      <c r="D753" s="20" t="s">
        <v>6773</v>
      </c>
      <c r="E753" s="20" t="s">
        <v>6774</v>
      </c>
      <c r="F753" s="20" t="s">
        <v>2300</v>
      </c>
      <c r="G753" s="20" t="s">
        <v>3777</v>
      </c>
      <c r="H753" s="20" t="s">
        <v>6</v>
      </c>
      <c r="I753" s="39">
        <v>44749.488641863427</v>
      </c>
      <c r="J753" s="39">
        <v>44749.488641909724</v>
      </c>
      <c r="K753" s="20">
        <v>0</v>
      </c>
      <c r="L753" s="17" t="str">
        <f t="shared" si="11"/>
        <v>https://captureandgo.cloudlab.zhaw.ch/uploads/image_7ba1588813.jpg</v>
      </c>
    </row>
    <row r="754" spans="1:12" ht="16" x14ac:dyDescent="0.2">
      <c r="A754" s="20" t="s">
        <v>6775</v>
      </c>
      <c r="B754" s="20" t="s">
        <v>6776</v>
      </c>
      <c r="C754" s="20" t="s">
        <v>3774</v>
      </c>
      <c r="D754" s="20" t="s">
        <v>6777</v>
      </c>
      <c r="E754" s="20" t="s">
        <v>6778</v>
      </c>
      <c r="F754" s="20" t="s">
        <v>2303</v>
      </c>
      <c r="G754" s="20" t="s">
        <v>3777</v>
      </c>
      <c r="H754" s="20" t="s">
        <v>6</v>
      </c>
      <c r="I754" s="39">
        <v>44749.490417951391</v>
      </c>
      <c r="J754" s="39">
        <v>44749.490417997687</v>
      </c>
      <c r="K754" s="20">
        <v>0</v>
      </c>
      <c r="L754" s="17" t="str">
        <f t="shared" si="11"/>
        <v>https://captureandgo.cloudlab.zhaw.ch/uploads/image_6ab9814bf1.jpg</v>
      </c>
    </row>
    <row r="755" spans="1:12" ht="16" x14ac:dyDescent="0.2">
      <c r="A755" s="20" t="s">
        <v>6779</v>
      </c>
      <c r="B755" s="20" t="s">
        <v>6780</v>
      </c>
      <c r="C755" s="20" t="s">
        <v>3774</v>
      </c>
      <c r="D755" s="20" t="s">
        <v>6781</v>
      </c>
      <c r="E755" s="20" t="s">
        <v>6782</v>
      </c>
      <c r="F755" s="20" t="s">
        <v>2303</v>
      </c>
      <c r="G755" s="20" t="s">
        <v>3777</v>
      </c>
      <c r="H755" s="20" t="s">
        <v>6</v>
      </c>
      <c r="I755" s="39">
        <v>44749.490807164351</v>
      </c>
      <c r="J755" s="39">
        <v>44749.490807210648</v>
      </c>
      <c r="K755" s="20">
        <v>0</v>
      </c>
      <c r="L755" s="17" t="str">
        <f t="shared" si="11"/>
        <v>https://captureandgo.cloudlab.zhaw.ch/uploads/image_07c7d67207.jpg</v>
      </c>
    </row>
    <row r="756" spans="1:12" ht="16" x14ac:dyDescent="0.2">
      <c r="A756" s="20" t="s">
        <v>6783</v>
      </c>
      <c r="B756" s="20" t="s">
        <v>6784</v>
      </c>
      <c r="C756" s="20" t="s">
        <v>3774</v>
      </c>
      <c r="D756" s="20" t="s">
        <v>6785</v>
      </c>
      <c r="E756" s="20" t="s">
        <v>6786</v>
      </c>
      <c r="F756" s="20" t="s">
        <v>2303</v>
      </c>
      <c r="G756" s="20" t="s">
        <v>3777</v>
      </c>
      <c r="H756" s="20" t="s">
        <v>6</v>
      </c>
      <c r="I756" s="39">
        <v>44749.49087775463</v>
      </c>
      <c r="J756" s="39">
        <v>44749.490877800927</v>
      </c>
      <c r="K756" s="20">
        <v>0</v>
      </c>
      <c r="L756" s="17" t="str">
        <f t="shared" si="11"/>
        <v>https://captureandgo.cloudlab.zhaw.ch/uploads/image_3510adf37e.jpg</v>
      </c>
    </row>
    <row r="757" spans="1:12" ht="16" x14ac:dyDescent="0.2">
      <c r="A757" s="20" t="s">
        <v>6787</v>
      </c>
      <c r="B757" s="20" t="s">
        <v>6788</v>
      </c>
      <c r="C757" s="20" t="s">
        <v>3774</v>
      </c>
      <c r="D757" s="20" t="s">
        <v>6789</v>
      </c>
      <c r="E757" s="20" t="s">
        <v>6790</v>
      </c>
      <c r="F757" s="20" t="s">
        <v>2307</v>
      </c>
      <c r="G757" s="20" t="s">
        <v>3777</v>
      </c>
      <c r="H757" s="20" t="s">
        <v>6</v>
      </c>
      <c r="I757" s="39">
        <v>44749.492012708331</v>
      </c>
      <c r="J757" s="39">
        <v>44749.492012743052</v>
      </c>
      <c r="K757" s="20">
        <v>0</v>
      </c>
      <c r="L757" s="17" t="str">
        <f t="shared" si="11"/>
        <v>https://captureandgo.cloudlab.zhaw.ch/uploads/image_161c9560a8.jpg</v>
      </c>
    </row>
    <row r="758" spans="1:12" ht="16" x14ac:dyDescent="0.2">
      <c r="A758" s="20" t="s">
        <v>6791</v>
      </c>
      <c r="B758" s="20" t="s">
        <v>6792</v>
      </c>
      <c r="C758" s="20" t="s">
        <v>3774</v>
      </c>
      <c r="D758" s="20" t="s">
        <v>6793</v>
      </c>
      <c r="E758" s="20" t="s">
        <v>6794</v>
      </c>
      <c r="F758" s="20" t="s">
        <v>2307</v>
      </c>
      <c r="G758" s="20" t="s">
        <v>3777</v>
      </c>
      <c r="H758" s="20" t="s">
        <v>6</v>
      </c>
      <c r="I758" s="39">
        <v>44749.492347685184</v>
      </c>
      <c r="J758" s="39">
        <v>44749.492347719905</v>
      </c>
      <c r="K758" s="20">
        <v>0</v>
      </c>
      <c r="L758" s="17" t="str">
        <f t="shared" si="11"/>
        <v>https://captureandgo.cloudlab.zhaw.ch/uploads/image_b7a4e21f95.jpg</v>
      </c>
    </row>
    <row r="759" spans="1:12" ht="16" x14ac:dyDescent="0.2">
      <c r="A759" s="20" t="s">
        <v>6795</v>
      </c>
      <c r="B759" s="20" t="s">
        <v>6796</v>
      </c>
      <c r="C759" s="20" t="s">
        <v>3774</v>
      </c>
      <c r="D759" s="20" t="s">
        <v>6797</v>
      </c>
      <c r="E759" s="20" t="s">
        <v>6798</v>
      </c>
      <c r="F759" s="20" t="s">
        <v>2307</v>
      </c>
      <c r="G759" s="20" t="s">
        <v>3777</v>
      </c>
      <c r="H759" s="20" t="s">
        <v>6</v>
      </c>
      <c r="I759" s="39">
        <v>44749.4924212037</v>
      </c>
      <c r="J759" s="39">
        <v>44749.492421238429</v>
      </c>
      <c r="K759" s="20">
        <v>0</v>
      </c>
      <c r="L759" s="17" t="str">
        <f t="shared" si="11"/>
        <v>https://captureandgo.cloudlab.zhaw.ch/uploads/image_3d05487a82.jpg</v>
      </c>
    </row>
    <row r="760" spans="1:12" ht="16" x14ac:dyDescent="0.2">
      <c r="A760" s="20" t="s">
        <v>6799</v>
      </c>
      <c r="B760" s="20" t="s">
        <v>6800</v>
      </c>
      <c r="C760" s="20" t="s">
        <v>3774</v>
      </c>
      <c r="D760" s="20" t="s">
        <v>6801</v>
      </c>
      <c r="E760" s="20" t="s">
        <v>6802</v>
      </c>
      <c r="F760" s="20" t="s">
        <v>2310</v>
      </c>
      <c r="G760" s="20" t="s">
        <v>3777</v>
      </c>
      <c r="H760" s="20" t="s">
        <v>6</v>
      </c>
      <c r="I760" s="39">
        <v>44749.492666481485</v>
      </c>
      <c r="J760" s="39">
        <v>44749.492666527774</v>
      </c>
      <c r="K760" s="20">
        <v>0</v>
      </c>
      <c r="L760" s="17" t="str">
        <f t="shared" si="11"/>
        <v>https://captureandgo.cloudlab.zhaw.ch/uploads/image_4946403270.jpg</v>
      </c>
    </row>
    <row r="761" spans="1:12" ht="16" x14ac:dyDescent="0.2">
      <c r="A761" s="20" t="s">
        <v>6803</v>
      </c>
      <c r="B761" s="20" t="s">
        <v>6804</v>
      </c>
      <c r="C761" s="20" t="s">
        <v>3774</v>
      </c>
      <c r="D761" s="20" t="s">
        <v>6805</v>
      </c>
      <c r="E761" s="20" t="s">
        <v>6806</v>
      </c>
      <c r="F761" s="20" t="s">
        <v>2313</v>
      </c>
      <c r="G761" s="20" t="s">
        <v>3777</v>
      </c>
      <c r="H761" s="20" t="s">
        <v>6</v>
      </c>
      <c r="I761" s="39">
        <v>44749.492942662037</v>
      </c>
      <c r="J761" s="39">
        <v>44749.492942696757</v>
      </c>
      <c r="K761" s="20">
        <v>0</v>
      </c>
      <c r="L761" s="17" t="str">
        <f t="shared" si="11"/>
        <v>https://captureandgo.cloudlab.zhaw.ch/uploads/image_282859575e.jpg</v>
      </c>
    </row>
    <row r="762" spans="1:12" ht="16" x14ac:dyDescent="0.2">
      <c r="A762" s="20" t="s">
        <v>6807</v>
      </c>
      <c r="B762" s="20" t="s">
        <v>6808</v>
      </c>
      <c r="C762" s="20" t="s">
        <v>3774</v>
      </c>
      <c r="D762" s="20" t="s">
        <v>6809</v>
      </c>
      <c r="E762" s="20" t="s">
        <v>6810</v>
      </c>
      <c r="F762" s="20" t="s">
        <v>2316</v>
      </c>
      <c r="G762" s="20" t="s">
        <v>3777</v>
      </c>
      <c r="H762" s="20" t="s">
        <v>6</v>
      </c>
      <c r="I762" s="39">
        <v>44749.493822592594</v>
      </c>
      <c r="J762" s="39">
        <v>44749.493822685188</v>
      </c>
      <c r="K762" s="20">
        <v>0</v>
      </c>
      <c r="L762" s="17" t="str">
        <f t="shared" si="11"/>
        <v>https://captureandgo.cloudlab.zhaw.ch/uploads/image_272d503115.jpg</v>
      </c>
    </row>
    <row r="763" spans="1:12" ht="16" x14ac:dyDescent="0.2">
      <c r="A763" s="20" t="s">
        <v>6811</v>
      </c>
      <c r="B763" s="20" t="s">
        <v>6812</v>
      </c>
      <c r="C763" s="20" t="s">
        <v>3774</v>
      </c>
      <c r="D763" s="20" t="s">
        <v>6813</v>
      </c>
      <c r="E763" s="20" t="s">
        <v>6814</v>
      </c>
      <c r="F763" s="20" t="s">
        <v>2320</v>
      </c>
      <c r="G763" s="20" t="s">
        <v>3777</v>
      </c>
      <c r="H763" s="20" t="s">
        <v>6</v>
      </c>
      <c r="I763" s="39">
        <v>44749.494338414355</v>
      </c>
      <c r="J763" s="39">
        <v>44749.494338449076</v>
      </c>
      <c r="K763" s="20">
        <v>0</v>
      </c>
      <c r="L763" s="17" t="str">
        <f t="shared" si="11"/>
        <v>https://captureandgo.cloudlab.zhaw.ch/uploads/image_c2da7f6997.jpg</v>
      </c>
    </row>
    <row r="764" spans="1:12" ht="16" x14ac:dyDescent="0.2">
      <c r="A764" s="20" t="s">
        <v>6815</v>
      </c>
      <c r="B764" s="20" t="s">
        <v>6816</v>
      </c>
      <c r="C764" s="20" t="s">
        <v>3774</v>
      </c>
      <c r="D764" s="20" t="s">
        <v>6817</v>
      </c>
      <c r="E764" s="20" t="s">
        <v>6818</v>
      </c>
      <c r="F764" s="20" t="s">
        <v>2323</v>
      </c>
      <c r="G764" s="20" t="s">
        <v>3777</v>
      </c>
      <c r="H764" s="20" t="s">
        <v>6</v>
      </c>
      <c r="I764" s="39">
        <v>44749.49491115741</v>
      </c>
      <c r="J764" s="39">
        <v>44749.494911192131</v>
      </c>
      <c r="K764" s="20">
        <v>0</v>
      </c>
      <c r="L764" s="17" t="str">
        <f t="shared" si="11"/>
        <v>https://captureandgo.cloudlab.zhaw.ch/uploads/image_d8168d7777.jpg</v>
      </c>
    </row>
    <row r="765" spans="1:12" ht="16" x14ac:dyDescent="0.2">
      <c r="A765" s="20" t="s">
        <v>6819</v>
      </c>
      <c r="B765" s="20" t="s">
        <v>6820</v>
      </c>
      <c r="C765" s="20" t="s">
        <v>3774</v>
      </c>
      <c r="D765" s="20" t="s">
        <v>6821</v>
      </c>
      <c r="E765" s="20" t="s">
        <v>6822</v>
      </c>
      <c r="F765" s="20" t="s">
        <v>2327</v>
      </c>
      <c r="G765" s="20" t="s">
        <v>3777</v>
      </c>
      <c r="H765" s="20" t="s">
        <v>6</v>
      </c>
      <c r="I765" s="39">
        <v>44749.495679502317</v>
      </c>
      <c r="J765" s="39">
        <v>44749.495679537038</v>
      </c>
      <c r="K765" s="20">
        <v>0</v>
      </c>
      <c r="L765" s="17" t="str">
        <f t="shared" si="11"/>
        <v>https://captureandgo.cloudlab.zhaw.ch/uploads/image_80d9e47ca1.jpg</v>
      </c>
    </row>
    <row r="766" spans="1:12" ht="16" x14ac:dyDescent="0.2">
      <c r="A766" s="20" t="s">
        <v>6823</v>
      </c>
      <c r="B766" s="20" t="s">
        <v>6824</v>
      </c>
      <c r="C766" s="20" t="s">
        <v>3774</v>
      </c>
      <c r="D766" s="20" t="s">
        <v>6825</v>
      </c>
      <c r="E766" s="20" t="s">
        <v>6826</v>
      </c>
      <c r="F766" s="20" t="s">
        <v>2330</v>
      </c>
      <c r="G766" s="20" t="s">
        <v>3777</v>
      </c>
      <c r="H766" s="20" t="s">
        <v>6</v>
      </c>
      <c r="I766" s="39">
        <v>44749.498383587961</v>
      </c>
      <c r="J766" s="39">
        <v>44749.498383645834</v>
      </c>
      <c r="K766" s="20">
        <v>0</v>
      </c>
      <c r="L766" s="17" t="str">
        <f t="shared" si="11"/>
        <v>https://captureandgo.cloudlab.zhaw.ch/uploads/image_e77a28acad.jpg</v>
      </c>
    </row>
    <row r="767" spans="1:12" ht="16" x14ac:dyDescent="0.2">
      <c r="A767" s="20" t="s">
        <v>6827</v>
      </c>
      <c r="B767" s="20" t="s">
        <v>6828</v>
      </c>
      <c r="C767" s="20" t="s">
        <v>3774</v>
      </c>
      <c r="D767" s="20" t="s">
        <v>6829</v>
      </c>
      <c r="E767" s="20" t="s">
        <v>6830</v>
      </c>
      <c r="F767" s="20" t="s">
        <v>2334</v>
      </c>
      <c r="G767" s="20" t="s">
        <v>3777</v>
      </c>
      <c r="H767" s="20" t="s">
        <v>6</v>
      </c>
      <c r="I767" s="39">
        <v>44749.500528645833</v>
      </c>
      <c r="J767" s="39">
        <v>44749.500528680554</v>
      </c>
      <c r="K767" s="20">
        <v>0</v>
      </c>
      <c r="L767" s="17" t="str">
        <f t="shared" si="11"/>
        <v>https://captureandgo.cloudlab.zhaw.ch/uploads/image_c7f3471e37.jpg</v>
      </c>
    </row>
    <row r="768" spans="1:12" ht="16" x14ac:dyDescent="0.2">
      <c r="A768" s="20" t="s">
        <v>6831</v>
      </c>
      <c r="B768" s="20" t="s">
        <v>6832</v>
      </c>
      <c r="C768" s="20" t="s">
        <v>3774</v>
      </c>
      <c r="D768" s="20" t="s">
        <v>6833</v>
      </c>
      <c r="E768" s="20" t="s">
        <v>6834</v>
      </c>
      <c r="F768" s="20" t="s">
        <v>2337</v>
      </c>
      <c r="G768" s="20" t="s">
        <v>3777</v>
      </c>
      <c r="H768" s="20" t="s">
        <v>6</v>
      </c>
      <c r="I768" s="39">
        <v>44749.500680231482</v>
      </c>
      <c r="J768" s="39">
        <v>44749.500680266203</v>
      </c>
      <c r="K768" s="20">
        <v>0</v>
      </c>
      <c r="L768" s="17" t="str">
        <f t="shared" si="11"/>
        <v>https://captureandgo.cloudlab.zhaw.ch/uploads/image_369eb1e297.jpg</v>
      </c>
    </row>
    <row r="769" spans="1:12" ht="16" x14ac:dyDescent="0.2">
      <c r="A769" s="20" t="s">
        <v>6835</v>
      </c>
      <c r="B769" s="20" t="s">
        <v>6836</v>
      </c>
      <c r="C769" s="20" t="s">
        <v>3774</v>
      </c>
      <c r="D769" s="20" t="s">
        <v>6837</v>
      </c>
      <c r="E769" s="20" t="s">
        <v>6838</v>
      </c>
      <c r="F769" s="20" t="s">
        <v>2340</v>
      </c>
      <c r="G769" s="20" t="s">
        <v>3777</v>
      </c>
      <c r="H769" s="20" t="s">
        <v>6</v>
      </c>
      <c r="I769" s="39">
        <v>44749.501534502313</v>
      </c>
      <c r="J769" s="39">
        <v>44749.50153454861</v>
      </c>
      <c r="K769" s="20">
        <v>0</v>
      </c>
      <c r="L769" s="17" t="str">
        <f t="shared" si="11"/>
        <v>https://captureandgo.cloudlab.zhaw.ch/uploads/image_91b50a128c.jpg</v>
      </c>
    </row>
    <row r="770" spans="1:12" ht="16" x14ac:dyDescent="0.2">
      <c r="A770" s="20" t="s">
        <v>6839</v>
      </c>
      <c r="B770" s="20" t="s">
        <v>6840</v>
      </c>
      <c r="C770" s="20" t="s">
        <v>3774</v>
      </c>
      <c r="D770" s="20" t="s">
        <v>6841</v>
      </c>
      <c r="E770" s="20" t="s">
        <v>6842</v>
      </c>
      <c r="F770" s="20" t="s">
        <v>2343</v>
      </c>
      <c r="G770" s="20" t="s">
        <v>3777</v>
      </c>
      <c r="H770" s="20" t="s">
        <v>6</v>
      </c>
      <c r="I770" s="39">
        <v>44749.501993379628</v>
      </c>
      <c r="J770" s="39">
        <v>44749.501993414349</v>
      </c>
      <c r="K770" s="20">
        <v>0</v>
      </c>
      <c r="L770" s="17" t="str">
        <f t="shared" ref="L770:L833" si="12">HYPERLINK("https://captureandgo.cloudlab.zhaw.ch"&amp;B770)</f>
        <v>https://captureandgo.cloudlab.zhaw.ch/uploads/image_38a8b8c164.jpg</v>
      </c>
    </row>
    <row r="771" spans="1:12" ht="16" x14ac:dyDescent="0.2">
      <c r="A771" s="20" t="s">
        <v>6843</v>
      </c>
      <c r="B771" s="20" t="s">
        <v>6844</v>
      </c>
      <c r="C771" s="20" t="s">
        <v>3774</v>
      </c>
      <c r="D771" s="20" t="s">
        <v>6845</v>
      </c>
      <c r="E771" s="20" t="s">
        <v>6846</v>
      </c>
      <c r="F771" s="20" t="s">
        <v>2348</v>
      </c>
      <c r="G771" s="20" t="s">
        <v>3777</v>
      </c>
      <c r="H771" s="20" t="s">
        <v>6</v>
      </c>
      <c r="I771" s="39">
        <v>44749.503889571759</v>
      </c>
      <c r="J771" s="39">
        <v>44749.50388960648</v>
      </c>
      <c r="K771" s="20">
        <v>0</v>
      </c>
      <c r="L771" s="17" t="str">
        <f t="shared" si="12"/>
        <v>https://captureandgo.cloudlab.zhaw.ch/uploads/image_07be750e3e.jpg</v>
      </c>
    </row>
    <row r="772" spans="1:12" ht="16" x14ac:dyDescent="0.2">
      <c r="A772" s="20" t="s">
        <v>6847</v>
      </c>
      <c r="B772" s="20" t="s">
        <v>6848</v>
      </c>
      <c r="C772" s="20" t="s">
        <v>3774</v>
      </c>
      <c r="D772" s="20" t="s">
        <v>6849</v>
      </c>
      <c r="E772" s="20" t="s">
        <v>6850</v>
      </c>
      <c r="F772" s="20" t="s">
        <v>2351</v>
      </c>
      <c r="G772" s="20" t="s">
        <v>3777</v>
      </c>
      <c r="H772" s="20" t="s">
        <v>6</v>
      </c>
      <c r="I772" s="39">
        <v>44749.504847916665</v>
      </c>
      <c r="J772" s="39">
        <v>44749.504847951386</v>
      </c>
      <c r="K772" s="20">
        <v>0</v>
      </c>
      <c r="L772" s="17" t="str">
        <f t="shared" si="12"/>
        <v>https://captureandgo.cloudlab.zhaw.ch/uploads/image_239c11ba76.jpg</v>
      </c>
    </row>
    <row r="773" spans="1:12" ht="16" x14ac:dyDescent="0.2">
      <c r="A773" s="20" t="s">
        <v>6851</v>
      </c>
      <c r="B773" s="20" t="s">
        <v>6852</v>
      </c>
      <c r="C773" s="20" t="s">
        <v>3774</v>
      </c>
      <c r="D773" s="20" t="s">
        <v>6853</v>
      </c>
      <c r="E773" s="20" t="s">
        <v>35</v>
      </c>
      <c r="F773" s="20" t="s">
        <v>35</v>
      </c>
      <c r="G773" s="20" t="s">
        <v>35</v>
      </c>
      <c r="H773" s="20" t="s">
        <v>35</v>
      </c>
      <c r="I773" s="39">
        <v>44749.507927418985</v>
      </c>
      <c r="J773" s="39">
        <v>44749.507927418985</v>
      </c>
      <c r="K773" s="20">
        <v>0</v>
      </c>
      <c r="L773" s="17" t="str">
        <f t="shared" si="12"/>
        <v>https://captureandgo.cloudlab.zhaw.ch/uploads/image_4cbe84eeb8.jpg</v>
      </c>
    </row>
    <row r="774" spans="1:12" ht="16" x14ac:dyDescent="0.2">
      <c r="A774" s="20" t="s">
        <v>6854</v>
      </c>
      <c r="B774" s="20" t="s">
        <v>6855</v>
      </c>
      <c r="C774" s="20" t="s">
        <v>3774</v>
      </c>
      <c r="D774" s="20" t="s">
        <v>6856</v>
      </c>
      <c r="E774" s="20" t="s">
        <v>6857</v>
      </c>
      <c r="F774" s="20" t="s">
        <v>2359</v>
      </c>
      <c r="G774" s="20" t="s">
        <v>3777</v>
      </c>
      <c r="H774" s="20" t="s">
        <v>6</v>
      </c>
      <c r="I774" s="39">
        <v>44749.508384270834</v>
      </c>
      <c r="J774" s="39">
        <v>44749.508384305555</v>
      </c>
      <c r="K774" s="20">
        <v>0</v>
      </c>
      <c r="L774" s="17" t="str">
        <f t="shared" si="12"/>
        <v>https://captureandgo.cloudlab.zhaw.ch/uploads/image_00ac83cd26.jpg</v>
      </c>
    </row>
    <row r="775" spans="1:12" ht="16" x14ac:dyDescent="0.2">
      <c r="A775" s="20" t="s">
        <v>6858</v>
      </c>
      <c r="B775" s="20" t="s">
        <v>6859</v>
      </c>
      <c r="C775" s="20" t="s">
        <v>3774</v>
      </c>
      <c r="D775" s="20" t="s">
        <v>6860</v>
      </c>
      <c r="E775" s="20" t="s">
        <v>6861</v>
      </c>
      <c r="F775" s="20" t="s">
        <v>2362</v>
      </c>
      <c r="G775" s="20" t="s">
        <v>3777</v>
      </c>
      <c r="H775" s="20" t="s">
        <v>6</v>
      </c>
      <c r="I775" s="39">
        <v>44749.509192962963</v>
      </c>
      <c r="J775" s="39">
        <v>44749.509192997684</v>
      </c>
      <c r="K775" s="20">
        <v>0</v>
      </c>
      <c r="L775" s="17" t="str">
        <f t="shared" si="12"/>
        <v>https://captureandgo.cloudlab.zhaw.ch/uploads/image_aa6e70afc8.jpg</v>
      </c>
    </row>
    <row r="776" spans="1:12" ht="16" x14ac:dyDescent="0.2">
      <c r="A776" s="20" t="s">
        <v>6862</v>
      </c>
      <c r="B776" s="20" t="s">
        <v>6863</v>
      </c>
      <c r="C776" s="20" t="s">
        <v>3774</v>
      </c>
      <c r="D776" s="20" t="s">
        <v>6864</v>
      </c>
      <c r="E776" s="20" t="s">
        <v>6865</v>
      </c>
      <c r="F776" s="20" t="s">
        <v>2365</v>
      </c>
      <c r="G776" s="20" t="s">
        <v>3777</v>
      </c>
      <c r="H776" s="20" t="s">
        <v>6</v>
      </c>
      <c r="I776" s="39">
        <v>44749.51034872685</v>
      </c>
      <c r="J776" s="39">
        <v>44749.510348761571</v>
      </c>
      <c r="K776" s="20">
        <v>0</v>
      </c>
      <c r="L776" s="17" t="str">
        <f t="shared" si="12"/>
        <v>https://captureandgo.cloudlab.zhaw.ch/uploads/image_5e427b1b1a.jpg</v>
      </c>
    </row>
    <row r="777" spans="1:12" ht="16" x14ac:dyDescent="0.2">
      <c r="A777" s="20" t="s">
        <v>6866</v>
      </c>
      <c r="B777" s="20" t="s">
        <v>6867</v>
      </c>
      <c r="C777" s="20" t="s">
        <v>3774</v>
      </c>
      <c r="D777" s="20" t="s">
        <v>6868</v>
      </c>
      <c r="E777" s="20" t="s">
        <v>6869</v>
      </c>
      <c r="F777" s="20" t="s">
        <v>2368</v>
      </c>
      <c r="G777" s="20" t="s">
        <v>3777</v>
      </c>
      <c r="H777" s="20" t="s">
        <v>6</v>
      </c>
      <c r="I777" s="39">
        <v>44749.510742361112</v>
      </c>
      <c r="J777" s="39">
        <v>44749.510742395832</v>
      </c>
      <c r="K777" s="20">
        <v>0</v>
      </c>
      <c r="L777" s="17" t="str">
        <f t="shared" si="12"/>
        <v>https://captureandgo.cloudlab.zhaw.ch/uploads/image_d1e661217b.jpg</v>
      </c>
    </row>
    <row r="778" spans="1:12" ht="16" x14ac:dyDescent="0.2">
      <c r="A778" s="20" t="s">
        <v>6870</v>
      </c>
      <c r="B778" s="20" t="s">
        <v>6871</v>
      </c>
      <c r="C778" s="20" t="s">
        <v>3774</v>
      </c>
      <c r="D778" s="20" t="s">
        <v>6872</v>
      </c>
      <c r="E778" s="20" t="s">
        <v>6873</v>
      </c>
      <c r="F778" s="20" t="s">
        <v>2371</v>
      </c>
      <c r="G778" s="20" t="s">
        <v>3777</v>
      </c>
      <c r="H778" s="20" t="s">
        <v>6</v>
      </c>
      <c r="I778" s="39">
        <v>44749.514156817131</v>
      </c>
      <c r="J778" s="39">
        <v>44749.514156863428</v>
      </c>
      <c r="K778" s="20">
        <v>0</v>
      </c>
      <c r="L778" s="17" t="str">
        <f t="shared" si="12"/>
        <v>https://captureandgo.cloudlab.zhaw.ch/uploads/image_e722ed92a6.jpg</v>
      </c>
    </row>
    <row r="779" spans="1:12" ht="16" x14ac:dyDescent="0.2">
      <c r="A779" s="20" t="s">
        <v>6874</v>
      </c>
      <c r="B779" s="20" t="s">
        <v>6875</v>
      </c>
      <c r="C779" s="20" t="s">
        <v>3774</v>
      </c>
      <c r="D779" s="20" t="s">
        <v>6876</v>
      </c>
      <c r="E779" s="20" t="s">
        <v>6877</v>
      </c>
      <c r="F779" s="20" t="s">
        <v>2374</v>
      </c>
      <c r="G779" s="20" t="s">
        <v>3777</v>
      </c>
      <c r="H779" s="20" t="s">
        <v>6</v>
      </c>
      <c r="I779" s="39">
        <v>44749.5147616088</v>
      </c>
      <c r="J779" s="39">
        <v>44749.514761689818</v>
      </c>
      <c r="K779" s="20">
        <v>0</v>
      </c>
      <c r="L779" s="17" t="str">
        <f t="shared" si="12"/>
        <v>https://captureandgo.cloudlab.zhaw.ch/uploads/image_983db9fb13.jpg</v>
      </c>
    </row>
    <row r="780" spans="1:12" ht="16" x14ac:dyDescent="0.2">
      <c r="A780" s="20" t="s">
        <v>6878</v>
      </c>
      <c r="B780" s="20" t="s">
        <v>6879</v>
      </c>
      <c r="C780" s="20" t="s">
        <v>3774</v>
      </c>
      <c r="D780" s="20" t="s">
        <v>6880</v>
      </c>
      <c r="E780" s="20" t="s">
        <v>6881</v>
      </c>
      <c r="F780" s="20" t="s">
        <v>2374</v>
      </c>
      <c r="G780" s="20" t="s">
        <v>3777</v>
      </c>
      <c r="H780" s="20" t="s">
        <v>6</v>
      </c>
      <c r="I780" s="39">
        <v>44749.514853402776</v>
      </c>
      <c r="J780" s="39">
        <v>44749.514853437497</v>
      </c>
      <c r="K780" s="20">
        <v>0</v>
      </c>
      <c r="L780" s="17" t="str">
        <f t="shared" si="12"/>
        <v>https://captureandgo.cloudlab.zhaw.ch/uploads/image_2378c2b09a.jpg</v>
      </c>
    </row>
    <row r="781" spans="1:12" ht="16" x14ac:dyDescent="0.2">
      <c r="A781" s="20" t="s">
        <v>6882</v>
      </c>
      <c r="B781" s="20" t="s">
        <v>6883</v>
      </c>
      <c r="C781" s="20" t="s">
        <v>3774</v>
      </c>
      <c r="D781" s="20" t="s">
        <v>6884</v>
      </c>
      <c r="E781" s="20" t="s">
        <v>6885</v>
      </c>
      <c r="F781" s="20" t="s">
        <v>2374</v>
      </c>
      <c r="G781" s="20" t="s">
        <v>3777</v>
      </c>
      <c r="H781" s="20" t="s">
        <v>6</v>
      </c>
      <c r="I781" s="39">
        <v>44749.515030844908</v>
      </c>
      <c r="J781" s="39">
        <v>44749.515030879629</v>
      </c>
      <c r="K781" s="20">
        <v>0</v>
      </c>
      <c r="L781" s="17" t="str">
        <f t="shared" si="12"/>
        <v>https://captureandgo.cloudlab.zhaw.ch/uploads/image_ed818728ae.jpg</v>
      </c>
    </row>
    <row r="782" spans="1:12" ht="16" x14ac:dyDescent="0.2">
      <c r="A782" s="20" t="s">
        <v>6886</v>
      </c>
      <c r="B782" s="20" t="s">
        <v>6887</v>
      </c>
      <c r="C782" s="20" t="s">
        <v>3774</v>
      </c>
      <c r="D782" s="20" t="s">
        <v>6888</v>
      </c>
      <c r="E782" s="20" t="s">
        <v>6889</v>
      </c>
      <c r="F782" s="20" t="s">
        <v>2377</v>
      </c>
      <c r="G782" s="20" t="s">
        <v>3777</v>
      </c>
      <c r="H782" s="20" t="s">
        <v>6</v>
      </c>
      <c r="I782" s="39">
        <v>44749.515678252312</v>
      </c>
      <c r="J782" s="39">
        <v>44749.515678275464</v>
      </c>
      <c r="K782" s="20">
        <v>0</v>
      </c>
      <c r="L782" s="17" t="str">
        <f t="shared" si="12"/>
        <v>https://captureandgo.cloudlab.zhaw.ch/uploads/image_3c93fd1d48.jpg</v>
      </c>
    </row>
    <row r="783" spans="1:12" ht="16" x14ac:dyDescent="0.2">
      <c r="A783" s="20" t="s">
        <v>6890</v>
      </c>
      <c r="B783" s="20" t="s">
        <v>6891</v>
      </c>
      <c r="C783" s="20" t="s">
        <v>3774</v>
      </c>
      <c r="D783" s="20" t="s">
        <v>6892</v>
      </c>
      <c r="E783" s="20" t="s">
        <v>6893</v>
      </c>
      <c r="F783" s="20" t="s">
        <v>2382</v>
      </c>
      <c r="G783" s="20" t="s">
        <v>3777</v>
      </c>
      <c r="H783" s="20" t="s">
        <v>6</v>
      </c>
      <c r="I783" s="39">
        <v>44749.51793371528</v>
      </c>
      <c r="J783" s="39">
        <v>44749.517933784722</v>
      </c>
      <c r="K783" s="20">
        <v>0</v>
      </c>
      <c r="L783" s="17" t="str">
        <f t="shared" si="12"/>
        <v>https://captureandgo.cloudlab.zhaw.ch/uploads/image_b2f7c6baaa.jpg</v>
      </c>
    </row>
    <row r="784" spans="1:12" ht="16" x14ac:dyDescent="0.2">
      <c r="A784" s="20" t="s">
        <v>6894</v>
      </c>
      <c r="B784" s="20" t="s">
        <v>6895</v>
      </c>
      <c r="C784" s="20" t="s">
        <v>3774</v>
      </c>
      <c r="D784" s="20" t="s">
        <v>6896</v>
      </c>
      <c r="E784" s="20" t="s">
        <v>6897</v>
      </c>
      <c r="F784" s="20" t="s">
        <v>2386</v>
      </c>
      <c r="G784" s="20" t="s">
        <v>3777</v>
      </c>
      <c r="H784" s="20" t="s">
        <v>6</v>
      </c>
      <c r="I784" s="39">
        <v>44749.518796446762</v>
      </c>
      <c r="J784" s="39">
        <v>44749.518796481483</v>
      </c>
      <c r="K784" s="20">
        <v>0</v>
      </c>
      <c r="L784" s="17" t="str">
        <f t="shared" si="12"/>
        <v>https://captureandgo.cloudlab.zhaw.ch/uploads/image_894fc183a8.jpg</v>
      </c>
    </row>
    <row r="785" spans="1:12" ht="16" x14ac:dyDescent="0.2">
      <c r="A785" s="20" t="s">
        <v>6898</v>
      </c>
      <c r="B785" s="20" t="s">
        <v>6899</v>
      </c>
      <c r="C785" s="20" t="s">
        <v>3774</v>
      </c>
      <c r="D785" s="20" t="s">
        <v>6900</v>
      </c>
      <c r="E785" s="20" t="s">
        <v>6901</v>
      </c>
      <c r="F785" s="20" t="s">
        <v>2389</v>
      </c>
      <c r="G785" s="20" t="s">
        <v>3777</v>
      </c>
      <c r="H785" s="20" t="s">
        <v>6</v>
      </c>
      <c r="I785" s="39">
        <v>44749.519072743053</v>
      </c>
      <c r="J785" s="39">
        <v>44749.519072777781</v>
      </c>
      <c r="K785" s="20">
        <v>0</v>
      </c>
      <c r="L785" s="17" t="str">
        <f t="shared" si="12"/>
        <v>https://captureandgo.cloudlab.zhaw.ch/uploads/image_5558547324.jpg</v>
      </c>
    </row>
    <row r="786" spans="1:12" ht="16" x14ac:dyDescent="0.2">
      <c r="A786" s="20" t="s">
        <v>6902</v>
      </c>
      <c r="B786" s="20" t="s">
        <v>6903</v>
      </c>
      <c r="C786" s="20" t="s">
        <v>3774</v>
      </c>
      <c r="D786" s="20" t="s">
        <v>6904</v>
      </c>
      <c r="E786" s="20" t="s">
        <v>6905</v>
      </c>
      <c r="F786" s="20" t="s">
        <v>2392</v>
      </c>
      <c r="G786" s="20" t="s">
        <v>3777</v>
      </c>
      <c r="H786" s="20" t="s">
        <v>6</v>
      </c>
      <c r="I786" s="39">
        <v>44749.521405810185</v>
      </c>
      <c r="J786" s="39">
        <v>44749.521405844906</v>
      </c>
      <c r="K786" s="20">
        <v>0</v>
      </c>
      <c r="L786" s="17" t="str">
        <f t="shared" si="12"/>
        <v>https://captureandgo.cloudlab.zhaw.ch/uploads/image_10b45aa099.jpg</v>
      </c>
    </row>
    <row r="787" spans="1:12" ht="16" x14ac:dyDescent="0.2">
      <c r="A787" s="20" t="s">
        <v>6906</v>
      </c>
      <c r="B787" s="20" t="s">
        <v>6907</v>
      </c>
      <c r="C787" s="20" t="s">
        <v>3774</v>
      </c>
      <c r="D787" s="20" t="s">
        <v>6908</v>
      </c>
      <c r="E787" s="20" t="s">
        <v>6909</v>
      </c>
      <c r="F787" s="20" t="s">
        <v>2396</v>
      </c>
      <c r="G787" s="20" t="s">
        <v>3777</v>
      </c>
      <c r="H787" s="20" t="s">
        <v>6</v>
      </c>
      <c r="I787" s="39">
        <v>44749.521908287039</v>
      </c>
      <c r="J787" s="39">
        <v>44749.52190832176</v>
      </c>
      <c r="K787" s="20">
        <v>0</v>
      </c>
      <c r="L787" s="17" t="str">
        <f t="shared" si="12"/>
        <v>https://captureandgo.cloudlab.zhaw.ch/uploads/image_1150ffa954.jpg</v>
      </c>
    </row>
    <row r="788" spans="1:12" ht="16" x14ac:dyDescent="0.2">
      <c r="A788" s="20" t="s">
        <v>6910</v>
      </c>
      <c r="B788" s="20" t="s">
        <v>6911</v>
      </c>
      <c r="C788" s="20" t="s">
        <v>3774</v>
      </c>
      <c r="D788" s="20" t="s">
        <v>6912</v>
      </c>
      <c r="E788" s="20" t="s">
        <v>6913</v>
      </c>
      <c r="F788" s="20" t="s">
        <v>2403</v>
      </c>
      <c r="G788" s="20" t="s">
        <v>3777</v>
      </c>
      <c r="H788" s="20" t="s">
        <v>6</v>
      </c>
      <c r="I788" s="39">
        <v>44753.411089259258</v>
      </c>
      <c r="J788" s="39">
        <v>44753.411089328707</v>
      </c>
      <c r="K788" s="20">
        <v>0</v>
      </c>
      <c r="L788" s="17" t="str">
        <f>HYPERLINK("https://captureandgo.cloudlab.zhaw.ch"&amp;B788)</f>
        <v>https://captureandgo.cloudlab.zhaw.ch/uploads/image_f1881e7e92.jpg</v>
      </c>
    </row>
    <row r="789" spans="1:12" ht="16" x14ac:dyDescent="0.2">
      <c r="A789" s="20" t="s">
        <v>6914</v>
      </c>
      <c r="B789" s="20" t="s">
        <v>6915</v>
      </c>
      <c r="C789" s="20" t="s">
        <v>3774</v>
      </c>
      <c r="D789" s="20" t="s">
        <v>6916</v>
      </c>
      <c r="E789" s="20" t="s">
        <v>6917</v>
      </c>
      <c r="F789" s="20" t="s">
        <v>2407</v>
      </c>
      <c r="G789" s="20" t="s">
        <v>3777</v>
      </c>
      <c r="H789" s="20" t="s">
        <v>6</v>
      </c>
      <c r="I789" s="39">
        <v>44753.412370532409</v>
      </c>
      <c r="J789" s="39">
        <v>44753.412370625003</v>
      </c>
      <c r="K789" s="20">
        <v>0</v>
      </c>
      <c r="L789" s="17" t="str">
        <f t="shared" si="12"/>
        <v>https://captureandgo.cloudlab.zhaw.ch/uploads/image_5ca671f43b.jpg</v>
      </c>
    </row>
    <row r="790" spans="1:12" ht="16" x14ac:dyDescent="0.2">
      <c r="A790" s="20" t="s">
        <v>6918</v>
      </c>
      <c r="B790" s="20" t="s">
        <v>6919</v>
      </c>
      <c r="C790" s="20" t="s">
        <v>3774</v>
      </c>
      <c r="D790" s="20" t="s">
        <v>6920</v>
      </c>
      <c r="E790" s="20" t="s">
        <v>6921</v>
      </c>
      <c r="F790" s="20" t="s">
        <v>2410</v>
      </c>
      <c r="G790" s="20" t="s">
        <v>3777</v>
      </c>
      <c r="H790" s="20" t="s">
        <v>6</v>
      </c>
      <c r="I790" s="39">
        <v>44753.412951030092</v>
      </c>
      <c r="J790" s="39">
        <v>44753.412951076389</v>
      </c>
      <c r="K790" s="20">
        <v>0</v>
      </c>
      <c r="L790" s="17" t="str">
        <f t="shared" si="12"/>
        <v>https://captureandgo.cloudlab.zhaw.ch/uploads/image_e77dab452e.jpg</v>
      </c>
    </row>
    <row r="791" spans="1:12" ht="16" x14ac:dyDescent="0.2">
      <c r="A791" s="20" t="s">
        <v>6922</v>
      </c>
      <c r="B791" s="20" t="s">
        <v>6923</v>
      </c>
      <c r="C791" s="20" t="s">
        <v>3774</v>
      </c>
      <c r="D791" s="20" t="s">
        <v>6924</v>
      </c>
      <c r="E791" s="20" t="s">
        <v>6925</v>
      </c>
      <c r="F791" s="20" t="s">
        <v>2413</v>
      </c>
      <c r="G791" s="20" t="s">
        <v>3777</v>
      </c>
      <c r="H791" s="20" t="s">
        <v>6</v>
      </c>
      <c r="I791" s="39">
        <v>44753.418420740738</v>
      </c>
      <c r="J791" s="39">
        <v>44753.418420821756</v>
      </c>
      <c r="K791" s="20">
        <v>0</v>
      </c>
      <c r="L791" s="17" t="str">
        <f t="shared" si="12"/>
        <v>https://captureandgo.cloudlab.zhaw.ch/uploads/image_9b0696a237.jpg</v>
      </c>
    </row>
    <row r="792" spans="1:12" ht="16" x14ac:dyDescent="0.2">
      <c r="A792" s="20" t="s">
        <v>6926</v>
      </c>
      <c r="B792" s="20" t="s">
        <v>6927</v>
      </c>
      <c r="C792" s="20" t="s">
        <v>3774</v>
      </c>
      <c r="D792" s="20" t="s">
        <v>6928</v>
      </c>
      <c r="E792" s="20" t="s">
        <v>6929</v>
      </c>
      <c r="F792" s="20" t="s">
        <v>2416</v>
      </c>
      <c r="G792" s="20" t="s">
        <v>3777</v>
      </c>
      <c r="H792" s="20" t="s">
        <v>6</v>
      </c>
      <c r="I792" s="39">
        <v>44753.418966076388</v>
      </c>
      <c r="J792" s="39">
        <v>44753.418966134261</v>
      </c>
      <c r="K792" s="20">
        <v>0</v>
      </c>
      <c r="L792" s="17" t="str">
        <f t="shared" si="12"/>
        <v>https://captureandgo.cloudlab.zhaw.ch/uploads/image_c439cc9d3a.jpg</v>
      </c>
    </row>
    <row r="793" spans="1:12" ht="16" x14ac:dyDescent="0.2">
      <c r="A793" s="20" t="s">
        <v>6930</v>
      </c>
      <c r="B793" s="20" t="s">
        <v>6931</v>
      </c>
      <c r="C793" s="20" t="s">
        <v>3774</v>
      </c>
      <c r="D793" s="20" t="s">
        <v>6932</v>
      </c>
      <c r="E793" s="20" t="s">
        <v>6933</v>
      </c>
      <c r="F793" s="20" t="s">
        <v>2420</v>
      </c>
      <c r="G793" s="20" t="s">
        <v>3777</v>
      </c>
      <c r="H793" s="20" t="s">
        <v>6</v>
      </c>
      <c r="I793" s="39">
        <v>44753.419874930558</v>
      </c>
      <c r="J793" s="39">
        <v>44753.419874988424</v>
      </c>
      <c r="K793" s="20">
        <v>0</v>
      </c>
      <c r="L793" s="17" t="str">
        <f t="shared" si="12"/>
        <v>https://captureandgo.cloudlab.zhaw.ch/uploads/image_5f5eba2ce2.jpg</v>
      </c>
    </row>
    <row r="794" spans="1:12" ht="16" x14ac:dyDescent="0.2">
      <c r="A794" s="20" t="s">
        <v>6934</v>
      </c>
      <c r="B794" s="20" t="s">
        <v>6935</v>
      </c>
      <c r="C794" s="20" t="s">
        <v>3774</v>
      </c>
      <c r="D794" s="20" t="s">
        <v>6936</v>
      </c>
      <c r="E794" s="20" t="s">
        <v>6937</v>
      </c>
      <c r="F794" s="20" t="s">
        <v>2424</v>
      </c>
      <c r="G794" s="20" t="s">
        <v>3777</v>
      </c>
      <c r="H794" s="20" t="s">
        <v>6</v>
      </c>
      <c r="I794" s="39">
        <v>44753.421045381947</v>
      </c>
      <c r="J794" s="39">
        <v>44753.421045428244</v>
      </c>
      <c r="K794" s="20">
        <v>0</v>
      </c>
      <c r="L794" s="17" t="str">
        <f t="shared" si="12"/>
        <v>https://captureandgo.cloudlab.zhaw.ch/uploads/image_0046d9d7fe.jpg</v>
      </c>
    </row>
    <row r="795" spans="1:12" ht="16" x14ac:dyDescent="0.2">
      <c r="A795" s="20" t="s">
        <v>6938</v>
      </c>
      <c r="B795" s="20" t="s">
        <v>6939</v>
      </c>
      <c r="C795" s="20" t="s">
        <v>3774</v>
      </c>
      <c r="D795" s="20" t="s">
        <v>6940</v>
      </c>
      <c r="E795" s="20" t="s">
        <v>6941</v>
      </c>
      <c r="F795" s="20" t="s">
        <v>2427</v>
      </c>
      <c r="G795" s="20" t="s">
        <v>3777</v>
      </c>
      <c r="H795" s="20" t="s">
        <v>6</v>
      </c>
      <c r="I795" s="39">
        <v>44753.423790127315</v>
      </c>
      <c r="J795" s="39">
        <v>44753.423790162036</v>
      </c>
      <c r="K795" s="20">
        <v>0</v>
      </c>
      <c r="L795" s="17" t="str">
        <f t="shared" si="12"/>
        <v>https://captureandgo.cloudlab.zhaw.ch/uploads/image_b02f65c31b.jpg</v>
      </c>
    </row>
    <row r="796" spans="1:12" ht="16" x14ac:dyDescent="0.2">
      <c r="A796" s="20" t="s">
        <v>6942</v>
      </c>
      <c r="B796" s="20" t="s">
        <v>6943</v>
      </c>
      <c r="C796" s="20" t="s">
        <v>3774</v>
      </c>
      <c r="D796" s="20" t="s">
        <v>6944</v>
      </c>
      <c r="E796" s="20" t="s">
        <v>6945</v>
      </c>
      <c r="F796" s="20" t="s">
        <v>2427</v>
      </c>
      <c r="G796" s="20" t="s">
        <v>3777</v>
      </c>
      <c r="H796" s="20" t="s">
        <v>6</v>
      </c>
      <c r="I796" s="39">
        <v>44753.423831354165</v>
      </c>
      <c r="J796" s="39">
        <v>44753.423831388885</v>
      </c>
      <c r="K796" s="20">
        <v>0</v>
      </c>
      <c r="L796" s="17" t="str">
        <f t="shared" si="12"/>
        <v>https://captureandgo.cloudlab.zhaw.ch/uploads/image_b14d351e31.jpg</v>
      </c>
    </row>
    <row r="797" spans="1:12" ht="16" x14ac:dyDescent="0.2">
      <c r="A797" s="20" t="s">
        <v>6946</v>
      </c>
      <c r="B797" s="20" t="s">
        <v>6947</v>
      </c>
      <c r="C797" s="20" t="s">
        <v>3774</v>
      </c>
      <c r="D797" s="20" t="s">
        <v>6948</v>
      </c>
      <c r="E797" s="20" t="s">
        <v>6949</v>
      </c>
      <c r="F797" s="20" t="s">
        <v>2427</v>
      </c>
      <c r="G797" s="20" t="s">
        <v>3777</v>
      </c>
      <c r="H797" s="20" t="s">
        <v>6</v>
      </c>
      <c r="I797" s="39">
        <v>44753.423962129629</v>
      </c>
      <c r="J797" s="39">
        <v>44753.423962187502</v>
      </c>
      <c r="K797" s="20">
        <v>0</v>
      </c>
      <c r="L797" s="17" t="str">
        <f t="shared" si="12"/>
        <v>https://captureandgo.cloudlab.zhaw.ch/uploads/image_cf2ab2f06b.jpg</v>
      </c>
    </row>
    <row r="798" spans="1:12" ht="16" x14ac:dyDescent="0.2">
      <c r="A798" s="20" t="s">
        <v>6950</v>
      </c>
      <c r="B798" s="20" t="s">
        <v>6951</v>
      </c>
      <c r="C798" s="20" t="s">
        <v>3774</v>
      </c>
      <c r="D798" s="20" t="s">
        <v>6952</v>
      </c>
      <c r="E798" s="20" t="s">
        <v>6953</v>
      </c>
      <c r="F798" s="20" t="s">
        <v>2430</v>
      </c>
      <c r="G798" s="20" t="s">
        <v>3777</v>
      </c>
      <c r="H798" s="20" t="s">
        <v>6</v>
      </c>
      <c r="I798" s="39">
        <v>44753.424633009257</v>
      </c>
      <c r="J798" s="39">
        <v>44753.424633101851</v>
      </c>
      <c r="K798" s="20">
        <v>0</v>
      </c>
      <c r="L798" s="17" t="str">
        <f t="shared" si="12"/>
        <v>https://captureandgo.cloudlab.zhaw.ch/uploads/image_4296321fbd.jpg</v>
      </c>
    </row>
    <row r="799" spans="1:12" ht="16" x14ac:dyDescent="0.2">
      <c r="A799" s="20" t="s">
        <v>6954</v>
      </c>
      <c r="B799" s="20" t="s">
        <v>6955</v>
      </c>
      <c r="C799" s="20" t="s">
        <v>3774</v>
      </c>
      <c r="D799" s="20" t="s">
        <v>6956</v>
      </c>
      <c r="E799" s="20" t="s">
        <v>6957</v>
      </c>
      <c r="F799" s="20" t="s">
        <v>2433</v>
      </c>
      <c r="G799" s="20" t="s">
        <v>3777</v>
      </c>
      <c r="H799" s="20" t="s">
        <v>6</v>
      </c>
      <c r="I799" s="39">
        <v>44753.426960254626</v>
      </c>
      <c r="J799" s="39">
        <v>44753.426960289355</v>
      </c>
      <c r="K799" s="20">
        <v>0</v>
      </c>
      <c r="L799" s="17" t="str">
        <f t="shared" si="12"/>
        <v>https://captureandgo.cloudlab.zhaw.ch/uploads/image_753ff242d1.jpg</v>
      </c>
    </row>
    <row r="800" spans="1:12" ht="16" x14ac:dyDescent="0.2">
      <c r="A800" s="20" t="s">
        <v>6958</v>
      </c>
      <c r="B800" s="20" t="s">
        <v>6959</v>
      </c>
      <c r="C800" s="20" t="s">
        <v>3774</v>
      </c>
      <c r="D800" s="20" t="s">
        <v>6960</v>
      </c>
      <c r="E800" s="20" t="s">
        <v>6961</v>
      </c>
      <c r="F800" s="20" t="s">
        <v>2433</v>
      </c>
      <c r="G800" s="20" t="s">
        <v>3777</v>
      </c>
      <c r="H800" s="20" t="s">
        <v>6</v>
      </c>
      <c r="I800" s="39">
        <v>44753.427029560182</v>
      </c>
      <c r="J800" s="39">
        <v>44753.42702959491</v>
      </c>
      <c r="K800" s="20">
        <v>0</v>
      </c>
      <c r="L800" s="17" t="str">
        <f t="shared" si="12"/>
        <v>https://captureandgo.cloudlab.zhaw.ch/uploads/image_835d2e1578.jpg</v>
      </c>
    </row>
    <row r="801" spans="1:12" ht="16" x14ac:dyDescent="0.2">
      <c r="A801" s="20" t="s">
        <v>6962</v>
      </c>
      <c r="B801" s="20" t="s">
        <v>6963</v>
      </c>
      <c r="C801" s="20" t="s">
        <v>3774</v>
      </c>
      <c r="D801" s="20" t="s">
        <v>6964</v>
      </c>
      <c r="E801" s="20" t="s">
        <v>6965</v>
      </c>
      <c r="F801" s="20" t="s">
        <v>2433</v>
      </c>
      <c r="G801" s="20" t="s">
        <v>3777</v>
      </c>
      <c r="H801" s="20" t="s">
        <v>6</v>
      </c>
      <c r="I801" s="39">
        <v>44753.42708429398</v>
      </c>
      <c r="J801" s="39">
        <v>44753.427084317133</v>
      </c>
      <c r="K801" s="20">
        <v>0</v>
      </c>
      <c r="L801" s="17" t="str">
        <f t="shared" si="12"/>
        <v>https://captureandgo.cloudlab.zhaw.ch/uploads/image_4513292328.jpg</v>
      </c>
    </row>
    <row r="802" spans="1:12" ht="16" x14ac:dyDescent="0.2">
      <c r="A802" s="20" t="s">
        <v>6966</v>
      </c>
      <c r="B802" s="20" t="s">
        <v>6967</v>
      </c>
      <c r="C802" s="20" t="s">
        <v>3774</v>
      </c>
      <c r="D802" s="20" t="s">
        <v>6968</v>
      </c>
      <c r="E802" s="20" t="s">
        <v>6969</v>
      </c>
      <c r="F802" s="20" t="s">
        <v>2436</v>
      </c>
      <c r="G802" s="20" t="s">
        <v>3777</v>
      </c>
      <c r="H802" s="20" t="s">
        <v>6</v>
      </c>
      <c r="I802" s="39">
        <v>44753.427909652775</v>
      </c>
      <c r="J802" s="39">
        <v>44753.42790988426</v>
      </c>
      <c r="K802" s="20">
        <v>0</v>
      </c>
      <c r="L802" s="17" t="str">
        <f t="shared" si="12"/>
        <v>https://captureandgo.cloudlab.zhaw.ch/uploads/image_bced0466a6.jpg</v>
      </c>
    </row>
    <row r="803" spans="1:12" ht="16" x14ac:dyDescent="0.2">
      <c r="A803" s="20" t="s">
        <v>6970</v>
      </c>
      <c r="B803" s="20" t="s">
        <v>6971</v>
      </c>
      <c r="C803" s="20" t="s">
        <v>3774</v>
      </c>
      <c r="D803" s="20" t="s">
        <v>6972</v>
      </c>
      <c r="E803" s="20" t="s">
        <v>6973</v>
      </c>
      <c r="F803" s="20" t="s">
        <v>2439</v>
      </c>
      <c r="G803" s="20" t="s">
        <v>3777</v>
      </c>
      <c r="H803" s="20" t="s">
        <v>6</v>
      </c>
      <c r="I803" s="39">
        <v>44753.428753483793</v>
      </c>
      <c r="J803" s="39">
        <v>44753.42875353009</v>
      </c>
      <c r="K803" s="20">
        <v>0</v>
      </c>
      <c r="L803" s="17" t="str">
        <f t="shared" si="12"/>
        <v>https://captureandgo.cloudlab.zhaw.ch/uploads/image_57568a03ba.jpg</v>
      </c>
    </row>
    <row r="804" spans="1:12" ht="16" x14ac:dyDescent="0.2">
      <c r="A804" s="20" t="s">
        <v>6974</v>
      </c>
      <c r="B804" s="20" t="s">
        <v>6975</v>
      </c>
      <c r="C804" s="20" t="s">
        <v>3774</v>
      </c>
      <c r="D804" s="20" t="s">
        <v>6976</v>
      </c>
      <c r="E804" s="20" t="s">
        <v>6977</v>
      </c>
      <c r="F804" s="20" t="s">
        <v>2442</v>
      </c>
      <c r="G804" s="20" t="s">
        <v>3777</v>
      </c>
      <c r="H804" s="20" t="s">
        <v>6</v>
      </c>
      <c r="I804" s="39">
        <v>44753.42929753472</v>
      </c>
      <c r="J804" s="39">
        <v>44753.429297569448</v>
      </c>
      <c r="K804" s="20">
        <v>0</v>
      </c>
      <c r="L804" s="17" t="str">
        <f t="shared" si="12"/>
        <v>https://captureandgo.cloudlab.zhaw.ch/uploads/image_9c8c30357c.jpg</v>
      </c>
    </row>
    <row r="805" spans="1:12" ht="16" x14ac:dyDescent="0.2">
      <c r="A805" s="20" t="s">
        <v>6978</v>
      </c>
      <c r="B805" s="20" t="s">
        <v>6979</v>
      </c>
      <c r="C805" s="20" t="s">
        <v>3774</v>
      </c>
      <c r="D805" s="20" t="s">
        <v>6980</v>
      </c>
      <c r="E805" s="20" t="s">
        <v>6981</v>
      </c>
      <c r="F805" s="20" t="s">
        <v>2445</v>
      </c>
      <c r="G805" s="20" t="s">
        <v>3777</v>
      </c>
      <c r="H805" s="20" t="s">
        <v>6</v>
      </c>
      <c r="I805" s="39">
        <v>44753.430485682868</v>
      </c>
      <c r="J805" s="39">
        <v>44753.430485729165</v>
      </c>
      <c r="K805" s="20">
        <v>0</v>
      </c>
      <c r="L805" s="17" t="str">
        <f t="shared" si="12"/>
        <v>https://captureandgo.cloudlab.zhaw.ch/uploads/image_ae54dd822c.jpg</v>
      </c>
    </row>
    <row r="806" spans="1:12" ht="16" x14ac:dyDescent="0.2">
      <c r="A806" s="20" t="s">
        <v>6982</v>
      </c>
      <c r="B806" s="20" t="s">
        <v>6983</v>
      </c>
      <c r="C806" s="20" t="s">
        <v>3774</v>
      </c>
      <c r="D806" s="20" t="s">
        <v>6984</v>
      </c>
      <c r="E806" s="20" t="s">
        <v>6985</v>
      </c>
      <c r="F806" s="20" t="s">
        <v>2445</v>
      </c>
      <c r="G806" s="20" t="s">
        <v>3777</v>
      </c>
      <c r="H806" s="20" t="s">
        <v>6</v>
      </c>
      <c r="I806" s="39">
        <v>44753.430924282409</v>
      </c>
      <c r="J806" s="39">
        <v>44753.430924305554</v>
      </c>
      <c r="K806" s="20">
        <v>0</v>
      </c>
      <c r="L806" s="17" t="str">
        <f t="shared" si="12"/>
        <v>https://captureandgo.cloudlab.zhaw.ch/uploads/image_024fc9efe1.jpg</v>
      </c>
    </row>
    <row r="807" spans="1:12" ht="16" x14ac:dyDescent="0.2">
      <c r="A807" s="20" t="s">
        <v>6986</v>
      </c>
      <c r="B807" s="20" t="s">
        <v>6987</v>
      </c>
      <c r="C807" s="20" t="s">
        <v>3774</v>
      </c>
      <c r="D807" s="20" t="s">
        <v>6988</v>
      </c>
      <c r="E807" s="20" t="s">
        <v>6989</v>
      </c>
      <c r="F807" s="20" t="s">
        <v>2445</v>
      </c>
      <c r="G807" s="20" t="s">
        <v>3777</v>
      </c>
      <c r="H807" s="20" t="s">
        <v>6</v>
      </c>
      <c r="I807" s="39">
        <v>44753.431015104165</v>
      </c>
      <c r="J807" s="39">
        <v>44753.431015138885</v>
      </c>
      <c r="K807" s="20">
        <v>0</v>
      </c>
      <c r="L807" s="17" t="str">
        <f t="shared" si="12"/>
        <v>https://captureandgo.cloudlab.zhaw.ch/uploads/image_0821b6979f.jpg</v>
      </c>
    </row>
    <row r="808" spans="1:12" ht="16" x14ac:dyDescent="0.2">
      <c r="A808" s="20" t="s">
        <v>6990</v>
      </c>
      <c r="B808" s="20" t="s">
        <v>6991</v>
      </c>
      <c r="C808" s="20" t="s">
        <v>3774</v>
      </c>
      <c r="D808" s="20" t="s">
        <v>6992</v>
      </c>
      <c r="E808" s="20" t="s">
        <v>6993</v>
      </c>
      <c r="F808" s="20" t="s">
        <v>2449</v>
      </c>
      <c r="G808" s="20" t="s">
        <v>3777</v>
      </c>
      <c r="H808" s="20" t="s">
        <v>6</v>
      </c>
      <c r="I808" s="39">
        <v>44753.432559548608</v>
      </c>
      <c r="J808" s="39">
        <v>44753.432559583336</v>
      </c>
      <c r="K808" s="20">
        <v>0</v>
      </c>
      <c r="L808" s="17" t="str">
        <f t="shared" si="12"/>
        <v>https://captureandgo.cloudlab.zhaw.ch/uploads/image_6e8fc72a9b.jpg</v>
      </c>
    </row>
    <row r="809" spans="1:12" ht="16" x14ac:dyDescent="0.2">
      <c r="A809" s="20" t="s">
        <v>6994</v>
      </c>
      <c r="B809" s="20" t="s">
        <v>6995</v>
      </c>
      <c r="C809" s="20" t="s">
        <v>3774</v>
      </c>
      <c r="D809" s="20" t="s">
        <v>6996</v>
      </c>
      <c r="E809" s="20" t="s">
        <v>6997</v>
      </c>
      <c r="F809" s="20" t="s">
        <v>2452</v>
      </c>
      <c r="G809" s="20" t="s">
        <v>3777</v>
      </c>
      <c r="H809" s="20" t="s">
        <v>6</v>
      </c>
      <c r="I809" s="39">
        <v>44753.433025474536</v>
      </c>
      <c r="J809" s="39">
        <v>44753.433025509257</v>
      </c>
      <c r="K809" s="20">
        <v>0</v>
      </c>
      <c r="L809" s="17" t="str">
        <f t="shared" si="12"/>
        <v>https://captureandgo.cloudlab.zhaw.ch/uploads/image_ec9cc6fab4.jpg</v>
      </c>
    </row>
    <row r="810" spans="1:12" ht="16" x14ac:dyDescent="0.2">
      <c r="A810" s="20" t="s">
        <v>6998</v>
      </c>
      <c r="B810" s="20" t="s">
        <v>6999</v>
      </c>
      <c r="C810" s="20" t="s">
        <v>3774</v>
      </c>
      <c r="D810" s="20" t="s">
        <v>7000</v>
      </c>
      <c r="E810" s="20" t="s">
        <v>7001</v>
      </c>
      <c r="F810" s="20" t="s">
        <v>2459</v>
      </c>
      <c r="G810" s="20" t="s">
        <v>3777</v>
      </c>
      <c r="H810" s="20" t="s">
        <v>6</v>
      </c>
      <c r="I810" s="39">
        <v>44753.437285740743</v>
      </c>
      <c r="J810" s="39">
        <v>44753.437285775464</v>
      </c>
      <c r="K810" s="20">
        <v>0</v>
      </c>
      <c r="L810" s="17" t="str">
        <f t="shared" si="12"/>
        <v>https://captureandgo.cloudlab.zhaw.ch/uploads/image_e7ae573fa5.jpg</v>
      </c>
    </row>
    <row r="811" spans="1:12" ht="16" x14ac:dyDescent="0.2">
      <c r="A811" s="20" t="s">
        <v>7002</v>
      </c>
      <c r="B811" s="20" t="s">
        <v>7003</v>
      </c>
      <c r="C811" s="20" t="s">
        <v>3774</v>
      </c>
      <c r="D811" s="20" t="s">
        <v>7004</v>
      </c>
      <c r="E811" s="20" t="s">
        <v>7005</v>
      </c>
      <c r="F811" s="20" t="s">
        <v>2462</v>
      </c>
      <c r="G811" s="20" t="s">
        <v>3777</v>
      </c>
      <c r="H811" s="20" t="s">
        <v>6</v>
      </c>
      <c r="I811" s="39">
        <v>44753.438210462962</v>
      </c>
      <c r="J811" s="39">
        <v>44753.438210497683</v>
      </c>
      <c r="K811" s="20">
        <v>0</v>
      </c>
      <c r="L811" s="17" t="str">
        <f t="shared" si="12"/>
        <v>https://captureandgo.cloudlab.zhaw.ch/uploads/image_bd6c726a9f.jpg</v>
      </c>
    </row>
    <row r="812" spans="1:12" ht="16" x14ac:dyDescent="0.2">
      <c r="A812" s="20" t="s">
        <v>7006</v>
      </c>
      <c r="B812" s="20" t="s">
        <v>7007</v>
      </c>
      <c r="C812" s="20" t="s">
        <v>3774</v>
      </c>
      <c r="D812" s="20" t="s">
        <v>7008</v>
      </c>
      <c r="E812" s="20" t="s">
        <v>7009</v>
      </c>
      <c r="F812" s="20" t="s">
        <v>2465</v>
      </c>
      <c r="G812" s="20" t="s">
        <v>3777</v>
      </c>
      <c r="H812" s="20" t="s">
        <v>6</v>
      </c>
      <c r="I812" s="39">
        <v>44753.438503240737</v>
      </c>
      <c r="J812" s="39">
        <v>44753.438503275465</v>
      </c>
      <c r="K812" s="20">
        <v>0</v>
      </c>
      <c r="L812" s="17" t="str">
        <f t="shared" si="12"/>
        <v>https://captureandgo.cloudlab.zhaw.ch/uploads/image_5091d18f89.jpg</v>
      </c>
    </row>
    <row r="813" spans="1:12" ht="16" x14ac:dyDescent="0.2">
      <c r="A813" s="20" t="s">
        <v>7010</v>
      </c>
      <c r="B813" s="20" t="s">
        <v>7011</v>
      </c>
      <c r="C813" s="20" t="s">
        <v>3774</v>
      </c>
      <c r="D813" s="20" t="s">
        <v>7012</v>
      </c>
      <c r="E813" s="20" t="s">
        <v>7013</v>
      </c>
      <c r="F813" s="20" t="s">
        <v>2468</v>
      </c>
      <c r="G813" s="20" t="s">
        <v>3777</v>
      </c>
      <c r="H813" s="20" t="s">
        <v>6</v>
      </c>
      <c r="I813" s="39">
        <v>44753.439678958333</v>
      </c>
      <c r="J813" s="39">
        <v>44753.43967900463</v>
      </c>
      <c r="K813" s="20">
        <v>0</v>
      </c>
      <c r="L813" s="17" t="str">
        <f t="shared" si="12"/>
        <v>https://captureandgo.cloudlab.zhaw.ch/uploads/image_8b2bad4219.jpg</v>
      </c>
    </row>
    <row r="814" spans="1:12" ht="16" x14ac:dyDescent="0.2">
      <c r="A814" s="20" t="s">
        <v>7014</v>
      </c>
      <c r="B814" s="20" t="s">
        <v>7015</v>
      </c>
      <c r="C814" s="20" t="s">
        <v>3774</v>
      </c>
      <c r="D814" s="20" t="s">
        <v>7016</v>
      </c>
      <c r="E814" s="20" t="s">
        <v>7017</v>
      </c>
      <c r="F814" s="20" t="s">
        <v>2471</v>
      </c>
      <c r="G814" s="20" t="s">
        <v>3777</v>
      </c>
      <c r="H814" s="20" t="s">
        <v>6</v>
      </c>
      <c r="I814" s="39">
        <v>44753.440220601849</v>
      </c>
      <c r="J814" s="39">
        <v>44753.440220625002</v>
      </c>
      <c r="K814" s="20">
        <v>0</v>
      </c>
      <c r="L814" s="17" t="str">
        <f t="shared" si="12"/>
        <v>https://captureandgo.cloudlab.zhaw.ch/uploads/image_c24e86929c.jpg</v>
      </c>
    </row>
    <row r="815" spans="1:12" ht="16" x14ac:dyDescent="0.2">
      <c r="A815" s="20" t="s">
        <v>7018</v>
      </c>
      <c r="B815" s="20" t="s">
        <v>7019</v>
      </c>
      <c r="C815" s="20" t="s">
        <v>3774</v>
      </c>
      <c r="D815" s="20" t="s">
        <v>7020</v>
      </c>
      <c r="E815" s="20" t="s">
        <v>7021</v>
      </c>
      <c r="F815" s="20" t="s">
        <v>2474</v>
      </c>
      <c r="G815" s="20" t="s">
        <v>3777</v>
      </c>
      <c r="H815" s="20" t="s">
        <v>6</v>
      </c>
      <c r="I815" s="39">
        <v>44753.440599641202</v>
      </c>
      <c r="J815" s="39">
        <v>44753.440599664355</v>
      </c>
      <c r="K815" s="20">
        <v>0</v>
      </c>
      <c r="L815" s="17" t="str">
        <f t="shared" si="12"/>
        <v>https://captureandgo.cloudlab.zhaw.ch/uploads/image_cef39f89e3.jpg</v>
      </c>
    </row>
    <row r="816" spans="1:12" ht="16" x14ac:dyDescent="0.2">
      <c r="A816" s="20" t="s">
        <v>7022</v>
      </c>
      <c r="B816" s="20" t="s">
        <v>7023</v>
      </c>
      <c r="C816" s="20" t="s">
        <v>3774</v>
      </c>
      <c r="D816" s="20" t="s">
        <v>7024</v>
      </c>
      <c r="E816" s="20" t="s">
        <v>7025</v>
      </c>
      <c r="F816" s="20" t="s">
        <v>2477</v>
      </c>
      <c r="G816" s="20" t="s">
        <v>3777</v>
      </c>
      <c r="H816" s="20" t="s">
        <v>6</v>
      </c>
      <c r="I816" s="39">
        <v>44753.440801400466</v>
      </c>
      <c r="J816" s="39">
        <v>44753.440801435187</v>
      </c>
      <c r="K816" s="20">
        <v>0</v>
      </c>
      <c r="L816" s="17" t="str">
        <f t="shared" si="12"/>
        <v>https://captureandgo.cloudlab.zhaw.ch/uploads/image_cb76b51b5a.jpg</v>
      </c>
    </row>
    <row r="817" spans="1:12" ht="16" x14ac:dyDescent="0.2">
      <c r="A817" s="20" t="s">
        <v>7026</v>
      </c>
      <c r="B817" s="20" t="s">
        <v>7027</v>
      </c>
      <c r="C817" s="20" t="s">
        <v>3774</v>
      </c>
      <c r="D817" s="20" t="s">
        <v>7028</v>
      </c>
      <c r="E817" s="20" t="s">
        <v>7029</v>
      </c>
      <c r="F817" s="20" t="s">
        <v>2482</v>
      </c>
      <c r="G817" s="20" t="s">
        <v>3777</v>
      </c>
      <c r="H817" s="20" t="s">
        <v>6</v>
      </c>
      <c r="I817" s="39">
        <v>44753.450585914354</v>
      </c>
      <c r="J817" s="39">
        <v>44753.450585949075</v>
      </c>
      <c r="K817" s="20">
        <v>0</v>
      </c>
      <c r="L817" s="17" t="str">
        <f t="shared" si="12"/>
        <v>https://captureandgo.cloudlab.zhaw.ch/uploads/image_5078131aaf.jpg</v>
      </c>
    </row>
    <row r="818" spans="1:12" ht="16" x14ac:dyDescent="0.2">
      <c r="A818" s="20" t="s">
        <v>7030</v>
      </c>
      <c r="B818" s="20" t="s">
        <v>7031</v>
      </c>
      <c r="C818" s="20" t="s">
        <v>3774</v>
      </c>
      <c r="D818" s="20" t="s">
        <v>7032</v>
      </c>
      <c r="E818" s="20" t="s">
        <v>7033</v>
      </c>
      <c r="F818" s="20" t="s">
        <v>2485</v>
      </c>
      <c r="G818" s="20" t="s">
        <v>3777</v>
      </c>
      <c r="H818" s="20" t="s">
        <v>6</v>
      </c>
      <c r="I818" s="39">
        <v>44753.451162233796</v>
      </c>
      <c r="J818" s="39">
        <v>44753.451162268517</v>
      </c>
      <c r="K818" s="20">
        <v>0</v>
      </c>
      <c r="L818" s="17" t="str">
        <f t="shared" si="12"/>
        <v>https://captureandgo.cloudlab.zhaw.ch/uploads/image_ad866e7626.jpg</v>
      </c>
    </row>
    <row r="819" spans="1:12" ht="16" x14ac:dyDescent="0.2">
      <c r="A819" s="20" t="s">
        <v>7034</v>
      </c>
      <c r="B819" s="20" t="s">
        <v>7035</v>
      </c>
      <c r="C819" s="20" t="s">
        <v>3774</v>
      </c>
      <c r="D819" s="20" t="s">
        <v>7036</v>
      </c>
      <c r="E819" s="20" t="s">
        <v>7037</v>
      </c>
      <c r="F819" s="20" t="s">
        <v>2488</v>
      </c>
      <c r="G819" s="20" t="s">
        <v>3777</v>
      </c>
      <c r="H819" s="20" t="s">
        <v>6</v>
      </c>
      <c r="I819" s="39">
        <v>44753.452063611112</v>
      </c>
      <c r="J819" s="39">
        <v>44753.452063645833</v>
      </c>
      <c r="K819" s="20">
        <v>0</v>
      </c>
      <c r="L819" s="17" t="str">
        <f t="shared" si="12"/>
        <v>https://captureandgo.cloudlab.zhaw.ch/uploads/image_eb9643d26e.jpg</v>
      </c>
    </row>
    <row r="820" spans="1:12" ht="16" x14ac:dyDescent="0.2">
      <c r="A820" s="20" t="s">
        <v>7038</v>
      </c>
      <c r="B820" s="20" t="s">
        <v>7039</v>
      </c>
      <c r="C820" s="20" t="s">
        <v>3774</v>
      </c>
      <c r="D820" s="20" t="s">
        <v>7040</v>
      </c>
      <c r="E820" s="20" t="s">
        <v>7041</v>
      </c>
      <c r="F820" s="20" t="s">
        <v>2491</v>
      </c>
      <c r="G820" s="20" t="s">
        <v>3777</v>
      </c>
      <c r="H820" s="20" t="s">
        <v>6</v>
      </c>
      <c r="I820" s="39">
        <v>44753.453861539354</v>
      </c>
      <c r="J820" s="39">
        <v>44753.453861585651</v>
      </c>
      <c r="K820" s="20">
        <v>0</v>
      </c>
      <c r="L820" s="17" t="str">
        <f t="shared" si="12"/>
        <v>https://captureandgo.cloudlab.zhaw.ch/uploads/image_18cc1e94f7.jpg</v>
      </c>
    </row>
    <row r="821" spans="1:12" ht="16" x14ac:dyDescent="0.2">
      <c r="A821" s="20" t="s">
        <v>7042</v>
      </c>
      <c r="B821" s="20" t="s">
        <v>7043</v>
      </c>
      <c r="C821" s="20" t="s">
        <v>3774</v>
      </c>
      <c r="D821" s="20" t="s">
        <v>7044</v>
      </c>
      <c r="E821" s="20" t="s">
        <v>7045</v>
      </c>
      <c r="F821" s="20" t="s">
        <v>2494</v>
      </c>
      <c r="G821" s="20" t="s">
        <v>3777</v>
      </c>
      <c r="H821" s="20" t="s">
        <v>6</v>
      </c>
      <c r="I821" s="39">
        <v>44753.455906655094</v>
      </c>
      <c r="J821" s="39">
        <v>44753.455906701391</v>
      </c>
      <c r="K821" s="20">
        <v>0</v>
      </c>
      <c r="L821" s="17" t="str">
        <f t="shared" si="12"/>
        <v>https://captureandgo.cloudlab.zhaw.ch/uploads/image_dd7990f93e.jpg</v>
      </c>
    </row>
    <row r="822" spans="1:12" ht="16" x14ac:dyDescent="0.2">
      <c r="A822" s="20" t="s">
        <v>7046</v>
      </c>
      <c r="B822" s="20" t="s">
        <v>7047</v>
      </c>
      <c r="C822" s="20" t="s">
        <v>3774</v>
      </c>
      <c r="D822" s="20" t="s">
        <v>7048</v>
      </c>
      <c r="E822" s="20" t="s">
        <v>7049</v>
      </c>
      <c r="F822" s="20" t="s">
        <v>2498</v>
      </c>
      <c r="G822" s="20" t="s">
        <v>3777</v>
      </c>
      <c r="H822" s="20" t="s">
        <v>6</v>
      </c>
      <c r="I822" s="39">
        <v>44753.45861833333</v>
      </c>
      <c r="J822" s="39">
        <v>44753.458618368059</v>
      </c>
      <c r="K822" s="20">
        <v>0</v>
      </c>
      <c r="L822" s="17" t="str">
        <f t="shared" si="12"/>
        <v>https://captureandgo.cloudlab.zhaw.ch/uploads/image_8ae8a56067.jpg</v>
      </c>
    </row>
    <row r="823" spans="1:12" ht="16" x14ac:dyDescent="0.2">
      <c r="A823" s="20" t="s">
        <v>7050</v>
      </c>
      <c r="B823" s="20" t="s">
        <v>7051</v>
      </c>
      <c r="C823" s="20" t="s">
        <v>3774</v>
      </c>
      <c r="D823" s="20" t="s">
        <v>7052</v>
      </c>
      <c r="E823" s="20" t="s">
        <v>7053</v>
      </c>
      <c r="F823" s="20" t="s">
        <v>2501</v>
      </c>
      <c r="G823" s="20" t="s">
        <v>3777</v>
      </c>
      <c r="H823" s="20" t="s">
        <v>6</v>
      </c>
      <c r="I823" s="39">
        <v>44753.459574085646</v>
      </c>
      <c r="J823" s="39">
        <v>44753.459574120374</v>
      </c>
      <c r="K823" s="20">
        <v>0</v>
      </c>
      <c r="L823" s="17" t="str">
        <f t="shared" si="12"/>
        <v>https://captureandgo.cloudlab.zhaw.ch/uploads/image_1b9c5d8082.jpg</v>
      </c>
    </row>
    <row r="824" spans="1:12" ht="16" x14ac:dyDescent="0.2">
      <c r="A824" s="20" t="s">
        <v>7054</v>
      </c>
      <c r="B824" s="20" t="s">
        <v>7055</v>
      </c>
      <c r="C824" s="20" t="s">
        <v>3774</v>
      </c>
      <c r="D824" s="20" t="s">
        <v>7056</v>
      </c>
      <c r="E824" s="20" t="s">
        <v>7057</v>
      </c>
      <c r="F824" s="20" t="s">
        <v>2504</v>
      </c>
      <c r="G824" s="20" t="s">
        <v>3777</v>
      </c>
      <c r="H824" s="20" t="s">
        <v>6</v>
      </c>
      <c r="I824" s="39">
        <v>44753.461400138891</v>
      </c>
      <c r="J824" s="39">
        <v>44753.461400185188</v>
      </c>
      <c r="K824" s="20">
        <v>0</v>
      </c>
      <c r="L824" s="17" t="str">
        <f t="shared" si="12"/>
        <v>https://captureandgo.cloudlab.zhaw.ch/uploads/image_967e089da9.jpg</v>
      </c>
    </row>
    <row r="825" spans="1:12" ht="16" x14ac:dyDescent="0.2">
      <c r="A825" s="20" t="s">
        <v>7058</v>
      </c>
      <c r="B825" s="20" t="s">
        <v>7059</v>
      </c>
      <c r="C825" s="20" t="s">
        <v>3774</v>
      </c>
      <c r="D825" s="20" t="s">
        <v>7060</v>
      </c>
      <c r="E825" s="20" t="s">
        <v>7061</v>
      </c>
      <c r="F825" s="20" t="s">
        <v>2507</v>
      </c>
      <c r="G825" s="20" t="s">
        <v>3777</v>
      </c>
      <c r="H825" s="20" t="s">
        <v>6</v>
      </c>
      <c r="I825" s="39">
        <v>44753.46470016204</v>
      </c>
      <c r="J825" s="39">
        <v>44753.464700196761</v>
      </c>
      <c r="K825" s="20">
        <v>0</v>
      </c>
      <c r="L825" s="17" t="str">
        <f t="shared" si="12"/>
        <v>https://captureandgo.cloudlab.zhaw.ch/uploads/image_eafbd616fa.jpg</v>
      </c>
    </row>
    <row r="826" spans="1:12" ht="16" x14ac:dyDescent="0.2">
      <c r="A826" s="20" t="s">
        <v>7062</v>
      </c>
      <c r="B826" s="20" t="s">
        <v>7063</v>
      </c>
      <c r="C826" s="20" t="s">
        <v>3774</v>
      </c>
      <c r="D826" s="20" t="s">
        <v>7064</v>
      </c>
      <c r="E826" s="20" t="s">
        <v>7065</v>
      </c>
      <c r="F826" s="20" t="s">
        <v>2510</v>
      </c>
      <c r="G826" s="20" t="s">
        <v>3777</v>
      </c>
      <c r="H826" s="20" t="s">
        <v>6</v>
      </c>
      <c r="I826" s="39">
        <v>44753.469367488426</v>
      </c>
      <c r="J826" s="39">
        <v>44753.469367523147</v>
      </c>
      <c r="K826" s="20">
        <v>0</v>
      </c>
      <c r="L826" s="17" t="str">
        <f t="shared" si="12"/>
        <v>https://captureandgo.cloudlab.zhaw.ch/uploads/image_dd7ea34263.jpg</v>
      </c>
    </row>
    <row r="827" spans="1:12" ht="16" x14ac:dyDescent="0.2">
      <c r="A827" s="20" t="s">
        <v>7066</v>
      </c>
      <c r="B827" s="20" t="s">
        <v>7067</v>
      </c>
      <c r="C827" s="20" t="s">
        <v>3774</v>
      </c>
      <c r="D827" s="20" t="s">
        <v>7068</v>
      </c>
      <c r="E827" s="20" t="s">
        <v>7069</v>
      </c>
      <c r="F827" s="20" t="s">
        <v>2513</v>
      </c>
      <c r="G827" s="20" t="s">
        <v>3777</v>
      </c>
      <c r="H827" s="20" t="s">
        <v>6</v>
      </c>
      <c r="I827" s="39">
        <v>44753.470472939814</v>
      </c>
      <c r="J827" s="39">
        <v>44753.470472974535</v>
      </c>
      <c r="K827" s="20">
        <v>0</v>
      </c>
      <c r="L827" s="17" t="str">
        <f t="shared" si="12"/>
        <v>https://captureandgo.cloudlab.zhaw.ch/uploads/image_a1e777f3b0.jpg</v>
      </c>
    </row>
    <row r="828" spans="1:12" ht="16" x14ac:dyDescent="0.2">
      <c r="A828" s="20" t="s">
        <v>7070</v>
      </c>
      <c r="B828" s="20" t="s">
        <v>7071</v>
      </c>
      <c r="C828" s="20" t="s">
        <v>3774</v>
      </c>
      <c r="D828" s="20" t="s">
        <v>7072</v>
      </c>
      <c r="E828" s="20" t="s">
        <v>7073</v>
      </c>
      <c r="F828" s="20" t="s">
        <v>2516</v>
      </c>
      <c r="G828" s="20" t="s">
        <v>3777</v>
      </c>
      <c r="H828" s="20" t="s">
        <v>6</v>
      </c>
      <c r="I828" s="39">
        <v>44753.471584305553</v>
      </c>
      <c r="J828" s="39">
        <v>44753.471584340281</v>
      </c>
      <c r="K828" s="20">
        <v>0</v>
      </c>
      <c r="L828" s="17" t="str">
        <f t="shared" si="12"/>
        <v>https://captureandgo.cloudlab.zhaw.ch/uploads/image_1c23c98843.jpg</v>
      </c>
    </row>
    <row r="829" spans="1:12" ht="16" x14ac:dyDescent="0.2">
      <c r="A829" s="20" t="s">
        <v>7074</v>
      </c>
      <c r="B829" s="20" t="s">
        <v>7075</v>
      </c>
      <c r="C829" s="20" t="s">
        <v>3774</v>
      </c>
      <c r="D829" s="20" t="s">
        <v>7076</v>
      </c>
      <c r="E829" s="20" t="s">
        <v>7077</v>
      </c>
      <c r="F829" s="20" t="s">
        <v>2519</v>
      </c>
      <c r="G829" s="20" t="s">
        <v>3777</v>
      </c>
      <c r="H829" s="20" t="s">
        <v>6</v>
      </c>
      <c r="I829" s="39">
        <v>44753.473906099534</v>
      </c>
      <c r="J829" s="39">
        <v>44753.473906134263</v>
      </c>
      <c r="K829" s="20">
        <v>0</v>
      </c>
      <c r="L829" s="17" t="str">
        <f t="shared" si="12"/>
        <v>https://captureandgo.cloudlab.zhaw.ch/uploads/image_b7e0fcd34f.jpg</v>
      </c>
    </row>
    <row r="830" spans="1:12" ht="16" x14ac:dyDescent="0.2">
      <c r="A830" s="20" t="s">
        <v>7078</v>
      </c>
      <c r="B830" s="20" t="s">
        <v>7079</v>
      </c>
      <c r="C830" s="20" t="s">
        <v>3774</v>
      </c>
      <c r="D830" s="20" t="s">
        <v>7080</v>
      </c>
      <c r="E830" s="20" t="s">
        <v>7081</v>
      </c>
      <c r="F830" s="20" t="s">
        <v>2522</v>
      </c>
      <c r="G830" s="20" t="s">
        <v>3777</v>
      </c>
      <c r="H830" s="20" t="s">
        <v>6</v>
      </c>
      <c r="I830" s="39">
        <v>44753.47460523148</v>
      </c>
      <c r="J830" s="39">
        <v>44753.474605266201</v>
      </c>
      <c r="K830" s="20">
        <v>0</v>
      </c>
      <c r="L830" s="17" t="str">
        <f t="shared" si="12"/>
        <v>https://captureandgo.cloudlab.zhaw.ch/uploads/image_e1108e3256.jpg</v>
      </c>
    </row>
    <row r="831" spans="1:12" ht="16" x14ac:dyDescent="0.2">
      <c r="A831" s="20" t="s">
        <v>7082</v>
      </c>
      <c r="B831" s="20" t="s">
        <v>7083</v>
      </c>
      <c r="C831" s="20" t="s">
        <v>3774</v>
      </c>
      <c r="D831" s="20" t="s">
        <v>7084</v>
      </c>
      <c r="E831" s="20" t="s">
        <v>7085</v>
      </c>
      <c r="F831" s="20" t="s">
        <v>2526</v>
      </c>
      <c r="G831" s="20" t="s">
        <v>3777</v>
      </c>
      <c r="H831" s="20" t="s">
        <v>6</v>
      </c>
      <c r="I831" s="39">
        <v>44753.476715462966</v>
      </c>
      <c r="J831" s="39">
        <v>44753.476715497687</v>
      </c>
      <c r="K831" s="20">
        <v>0</v>
      </c>
      <c r="L831" s="17" t="str">
        <f t="shared" si="12"/>
        <v>https://captureandgo.cloudlab.zhaw.ch/uploads/image_c64e5e7909.jpg</v>
      </c>
    </row>
    <row r="832" spans="1:12" ht="16" x14ac:dyDescent="0.2">
      <c r="A832" s="20" t="s">
        <v>7086</v>
      </c>
      <c r="B832" s="20" t="s">
        <v>7087</v>
      </c>
      <c r="C832" s="20" t="s">
        <v>3774</v>
      </c>
      <c r="D832" s="20" t="s">
        <v>7088</v>
      </c>
      <c r="E832" s="20" t="s">
        <v>7089</v>
      </c>
      <c r="F832" s="20" t="s">
        <v>2529</v>
      </c>
      <c r="G832" s="20" t="s">
        <v>3777</v>
      </c>
      <c r="H832" s="20" t="s">
        <v>6</v>
      </c>
      <c r="I832" s="39">
        <v>44753.477196458334</v>
      </c>
      <c r="J832" s="39">
        <v>44753.477196493055</v>
      </c>
      <c r="K832" s="20">
        <v>0</v>
      </c>
      <c r="L832" s="17" t="str">
        <f t="shared" si="12"/>
        <v>https://captureandgo.cloudlab.zhaw.ch/uploads/image_96ba30c85d.jpg</v>
      </c>
    </row>
    <row r="833" spans="1:12" ht="16" x14ac:dyDescent="0.2">
      <c r="A833" s="20" t="s">
        <v>7090</v>
      </c>
      <c r="B833" s="20" t="s">
        <v>7091</v>
      </c>
      <c r="C833" s="20" t="s">
        <v>3774</v>
      </c>
      <c r="D833" s="20" t="s">
        <v>7092</v>
      </c>
      <c r="E833" s="20" t="s">
        <v>7093</v>
      </c>
      <c r="F833" s="20" t="s">
        <v>2532</v>
      </c>
      <c r="G833" s="20" t="s">
        <v>3777</v>
      </c>
      <c r="H833" s="20" t="s">
        <v>6</v>
      </c>
      <c r="I833" s="39">
        <v>44753.477469027777</v>
      </c>
      <c r="J833" s="39">
        <v>44753.477469247686</v>
      </c>
      <c r="K833" s="20">
        <v>0</v>
      </c>
      <c r="L833" s="17" t="str">
        <f t="shared" si="12"/>
        <v>https://captureandgo.cloudlab.zhaw.ch/uploads/image_bcbf709d88.jpg</v>
      </c>
    </row>
    <row r="834" spans="1:12" ht="16" x14ac:dyDescent="0.2">
      <c r="A834" s="20" t="s">
        <v>7094</v>
      </c>
      <c r="B834" s="20" t="s">
        <v>7095</v>
      </c>
      <c r="C834" s="20" t="s">
        <v>3774</v>
      </c>
      <c r="D834" s="20" t="s">
        <v>7096</v>
      </c>
      <c r="E834" s="20" t="s">
        <v>7097</v>
      </c>
      <c r="F834" s="20" t="s">
        <v>2536</v>
      </c>
      <c r="G834" s="20" t="s">
        <v>3777</v>
      </c>
      <c r="H834" s="20" t="s">
        <v>6</v>
      </c>
      <c r="I834" s="39">
        <v>44753.477834155092</v>
      </c>
      <c r="J834" s="39">
        <v>44753.477834178244</v>
      </c>
      <c r="K834" s="20">
        <v>0</v>
      </c>
      <c r="L834" s="17" t="str">
        <f t="shared" ref="L834:L897" si="13">HYPERLINK("https://captureandgo.cloudlab.zhaw.ch"&amp;B834)</f>
        <v>https://captureandgo.cloudlab.zhaw.ch/uploads/image_7c6c0ddf3a.jpg</v>
      </c>
    </row>
    <row r="835" spans="1:12" ht="16" x14ac:dyDescent="0.2">
      <c r="A835" s="20" t="s">
        <v>7098</v>
      </c>
      <c r="B835" s="20" t="s">
        <v>7099</v>
      </c>
      <c r="C835" s="20" t="s">
        <v>3774</v>
      </c>
      <c r="D835" s="20" t="s">
        <v>7100</v>
      </c>
      <c r="E835" s="20" t="s">
        <v>7101</v>
      </c>
      <c r="F835" s="20" t="s">
        <v>2542</v>
      </c>
      <c r="G835" s="20" t="s">
        <v>3777</v>
      </c>
      <c r="H835" s="20" t="s">
        <v>6</v>
      </c>
      <c r="I835" s="39">
        <v>44753.478887268517</v>
      </c>
      <c r="J835" s="39">
        <v>44753.478887303238</v>
      </c>
      <c r="K835" s="20">
        <v>0</v>
      </c>
      <c r="L835" s="17" t="str">
        <f t="shared" si="13"/>
        <v>https://captureandgo.cloudlab.zhaw.ch/uploads/image_d606293a41.jpg</v>
      </c>
    </row>
    <row r="836" spans="1:12" ht="16" x14ac:dyDescent="0.2">
      <c r="A836" s="20" t="s">
        <v>7102</v>
      </c>
      <c r="B836" s="20" t="s">
        <v>7103</v>
      </c>
      <c r="C836" s="20" t="s">
        <v>3774</v>
      </c>
      <c r="D836" s="20" t="s">
        <v>7104</v>
      </c>
      <c r="E836" s="20" t="s">
        <v>7105</v>
      </c>
      <c r="F836" s="20" t="s">
        <v>2546</v>
      </c>
      <c r="G836" s="20" t="s">
        <v>3777</v>
      </c>
      <c r="H836" s="20" t="s">
        <v>6</v>
      </c>
      <c r="I836" s="39">
        <v>44753.479726111109</v>
      </c>
      <c r="J836" s="39">
        <v>44753.479726157406</v>
      </c>
      <c r="K836" s="20">
        <v>0</v>
      </c>
      <c r="L836" s="17" t="str">
        <f t="shared" si="13"/>
        <v>https://captureandgo.cloudlab.zhaw.ch/uploads/image_2db820d888.jpg</v>
      </c>
    </row>
    <row r="837" spans="1:12" ht="16" x14ac:dyDescent="0.2">
      <c r="A837" s="20" t="s">
        <v>7106</v>
      </c>
      <c r="B837" s="20" t="s">
        <v>7107</v>
      </c>
      <c r="C837" s="20" t="s">
        <v>3774</v>
      </c>
      <c r="D837" s="20" t="s">
        <v>7108</v>
      </c>
      <c r="E837" s="20" t="s">
        <v>7109</v>
      </c>
      <c r="F837" s="20" t="s">
        <v>2549</v>
      </c>
      <c r="G837" s="20" t="s">
        <v>3777</v>
      </c>
      <c r="H837" s="20" t="s">
        <v>6</v>
      </c>
      <c r="I837" s="39">
        <v>44753.480047881945</v>
      </c>
      <c r="J837" s="39">
        <v>44753.480047916666</v>
      </c>
      <c r="K837" s="20">
        <v>0</v>
      </c>
      <c r="L837" s="17" t="str">
        <f t="shared" si="13"/>
        <v>https://captureandgo.cloudlab.zhaw.ch/uploads/image_6805e1f7c3.jpg</v>
      </c>
    </row>
    <row r="838" spans="1:12" ht="16" x14ac:dyDescent="0.2">
      <c r="A838" s="20" t="s">
        <v>7110</v>
      </c>
      <c r="B838" s="20" t="s">
        <v>7111</v>
      </c>
      <c r="C838" s="20" t="s">
        <v>3774</v>
      </c>
      <c r="D838" s="20" t="s">
        <v>7112</v>
      </c>
      <c r="E838" s="20" t="s">
        <v>7113</v>
      </c>
      <c r="F838" s="20" t="s">
        <v>2552</v>
      </c>
      <c r="G838" s="20" t="s">
        <v>3777</v>
      </c>
      <c r="H838" s="20" t="s">
        <v>6</v>
      </c>
      <c r="I838" s="39">
        <v>44753.480577974537</v>
      </c>
      <c r="J838" s="39">
        <v>44753.480578009257</v>
      </c>
      <c r="K838" s="20">
        <v>0</v>
      </c>
      <c r="L838" s="17" t="str">
        <f t="shared" si="13"/>
        <v>https://captureandgo.cloudlab.zhaw.ch/uploads/image_552d55933e.jpg</v>
      </c>
    </row>
    <row r="839" spans="1:12" ht="16" x14ac:dyDescent="0.2">
      <c r="A839" s="20" t="s">
        <v>7114</v>
      </c>
      <c r="B839" s="20" t="s">
        <v>7115</v>
      </c>
      <c r="C839" s="20" t="s">
        <v>3774</v>
      </c>
      <c r="D839" s="20" t="s">
        <v>7116</v>
      </c>
      <c r="E839" s="20" t="s">
        <v>7117</v>
      </c>
      <c r="F839" s="20" t="s">
        <v>2555</v>
      </c>
      <c r="G839" s="20" t="s">
        <v>3777</v>
      </c>
      <c r="H839" s="20" t="s">
        <v>6</v>
      </c>
      <c r="I839" s="39">
        <v>44753.480745601853</v>
      </c>
      <c r="J839" s="39">
        <v>44753.480745659719</v>
      </c>
      <c r="K839" s="20">
        <v>0</v>
      </c>
      <c r="L839" s="17" t="str">
        <f t="shared" si="13"/>
        <v>https://captureandgo.cloudlab.zhaw.ch/uploads/image_4cc4432a33.jpg</v>
      </c>
    </row>
    <row r="840" spans="1:12" ht="16" x14ac:dyDescent="0.2">
      <c r="A840" s="20" t="s">
        <v>7118</v>
      </c>
      <c r="B840" s="20" t="s">
        <v>7119</v>
      </c>
      <c r="C840" s="20" t="s">
        <v>3774</v>
      </c>
      <c r="D840" s="20" t="s">
        <v>7120</v>
      </c>
      <c r="E840" s="20" t="s">
        <v>7121</v>
      </c>
      <c r="F840" s="20" t="s">
        <v>2558</v>
      </c>
      <c r="G840" s="20" t="s">
        <v>3777</v>
      </c>
      <c r="H840" s="20" t="s">
        <v>6</v>
      </c>
      <c r="I840" s="39">
        <v>44753.48104604167</v>
      </c>
      <c r="J840" s="39">
        <v>44753.481046076391</v>
      </c>
      <c r="K840" s="20">
        <v>0</v>
      </c>
      <c r="L840" s="17" t="str">
        <f t="shared" si="13"/>
        <v>https://captureandgo.cloudlab.zhaw.ch/uploads/image_300e484c67.jpg</v>
      </c>
    </row>
    <row r="841" spans="1:12" ht="16" x14ac:dyDescent="0.2">
      <c r="A841" s="20" t="s">
        <v>7122</v>
      </c>
      <c r="B841" s="20" t="s">
        <v>7123</v>
      </c>
      <c r="C841" s="20" t="s">
        <v>3774</v>
      </c>
      <c r="D841" s="20" t="s">
        <v>7124</v>
      </c>
      <c r="E841" s="20" t="s">
        <v>7125</v>
      </c>
      <c r="F841" s="20" t="s">
        <v>2561</v>
      </c>
      <c r="G841" s="20" t="s">
        <v>3777</v>
      </c>
      <c r="H841" s="20" t="s">
        <v>6</v>
      </c>
      <c r="I841" s="39">
        <v>44753.481313101853</v>
      </c>
      <c r="J841" s="39">
        <v>44753.481313136574</v>
      </c>
      <c r="K841" s="20">
        <v>0</v>
      </c>
      <c r="L841" s="17" t="str">
        <f t="shared" si="13"/>
        <v>https://captureandgo.cloudlab.zhaw.ch/uploads/image_da0a625696.jpg</v>
      </c>
    </row>
    <row r="842" spans="1:12" ht="16" x14ac:dyDescent="0.2">
      <c r="A842" s="20" t="s">
        <v>7126</v>
      </c>
      <c r="B842" s="20" t="s">
        <v>7127</v>
      </c>
      <c r="C842" s="20" t="s">
        <v>3774</v>
      </c>
      <c r="D842" s="20" t="s">
        <v>7128</v>
      </c>
      <c r="E842" s="20" t="s">
        <v>7129</v>
      </c>
      <c r="F842" s="20" t="s">
        <v>2565</v>
      </c>
      <c r="G842" s="20" t="s">
        <v>3777</v>
      </c>
      <c r="H842" s="20" t="s">
        <v>6</v>
      </c>
      <c r="I842" s="39">
        <v>44753.482690833334</v>
      </c>
      <c r="J842" s="39">
        <v>44753.482690868055</v>
      </c>
      <c r="K842" s="20">
        <v>0</v>
      </c>
      <c r="L842" s="17" t="str">
        <f t="shared" si="13"/>
        <v>https://captureandgo.cloudlab.zhaw.ch/uploads/image_5f7953f0a4.jpg</v>
      </c>
    </row>
    <row r="843" spans="1:12" ht="16" x14ac:dyDescent="0.2">
      <c r="A843" s="20" t="s">
        <v>7130</v>
      </c>
      <c r="B843" s="20" t="s">
        <v>7131</v>
      </c>
      <c r="C843" s="20" t="s">
        <v>3774</v>
      </c>
      <c r="D843" s="20" t="s">
        <v>7132</v>
      </c>
      <c r="E843" s="20" t="s">
        <v>7133</v>
      </c>
      <c r="F843" s="20" t="s">
        <v>2568</v>
      </c>
      <c r="G843" s="20" t="s">
        <v>3777</v>
      </c>
      <c r="H843" s="20" t="s">
        <v>6</v>
      </c>
      <c r="I843" s="39">
        <v>44753.483704016202</v>
      </c>
      <c r="J843" s="39">
        <v>44753.483704039354</v>
      </c>
      <c r="K843" s="20">
        <v>0</v>
      </c>
      <c r="L843" s="17" t="str">
        <f t="shared" si="13"/>
        <v>https://captureandgo.cloudlab.zhaw.ch/uploads/image_0c1a64ccbb.jpg</v>
      </c>
    </row>
    <row r="844" spans="1:12" ht="16" x14ac:dyDescent="0.2">
      <c r="A844" s="20" t="s">
        <v>7134</v>
      </c>
      <c r="B844" s="20" t="s">
        <v>7135</v>
      </c>
      <c r="C844" s="20" t="s">
        <v>3774</v>
      </c>
      <c r="D844" s="20" t="s">
        <v>7136</v>
      </c>
      <c r="E844" s="20" t="s">
        <v>7137</v>
      </c>
      <c r="F844" s="20" t="s">
        <v>2572</v>
      </c>
      <c r="G844" s="20" t="s">
        <v>3777</v>
      </c>
      <c r="H844" s="20" t="s">
        <v>6</v>
      </c>
      <c r="I844" s="39">
        <v>44753.485579502318</v>
      </c>
      <c r="J844" s="39">
        <v>44753.485579537039</v>
      </c>
      <c r="K844" s="20">
        <v>0</v>
      </c>
      <c r="L844" s="17" t="str">
        <f t="shared" si="13"/>
        <v>https://captureandgo.cloudlab.zhaw.ch/uploads/image_c5b7473f92.jpg</v>
      </c>
    </row>
    <row r="845" spans="1:12" ht="16" x14ac:dyDescent="0.2">
      <c r="A845" s="20" t="s">
        <v>7138</v>
      </c>
      <c r="B845" s="20" t="s">
        <v>7139</v>
      </c>
      <c r="C845" s="20" t="s">
        <v>3774</v>
      </c>
      <c r="D845" s="20" t="s">
        <v>7140</v>
      </c>
      <c r="E845" s="20" t="s">
        <v>7141</v>
      </c>
      <c r="F845" s="20" t="s">
        <v>2575</v>
      </c>
      <c r="G845" s="20" t="s">
        <v>3777</v>
      </c>
      <c r="H845" s="20" t="s">
        <v>6</v>
      </c>
      <c r="I845" s="39">
        <v>44753.486115821761</v>
      </c>
      <c r="J845" s="39">
        <v>44753.486115856482</v>
      </c>
      <c r="K845" s="20">
        <v>0</v>
      </c>
      <c r="L845" s="17" t="str">
        <f t="shared" si="13"/>
        <v>https://captureandgo.cloudlab.zhaw.ch/uploads/image_5bd7ff22ab.jpg</v>
      </c>
    </row>
    <row r="846" spans="1:12" ht="16" x14ac:dyDescent="0.2">
      <c r="A846" s="20" t="s">
        <v>7142</v>
      </c>
      <c r="B846" s="20" t="s">
        <v>7143</v>
      </c>
      <c r="C846" s="20" t="s">
        <v>3774</v>
      </c>
      <c r="D846" s="20" t="s">
        <v>7144</v>
      </c>
      <c r="E846" s="20" t="s">
        <v>7145</v>
      </c>
      <c r="F846" s="20" t="s">
        <v>2578</v>
      </c>
      <c r="G846" s="20" t="s">
        <v>3777</v>
      </c>
      <c r="H846" s="20" t="s">
        <v>6</v>
      </c>
      <c r="I846" s="39">
        <v>44753.488031944442</v>
      </c>
      <c r="J846" s="39">
        <v>44753.488031990739</v>
      </c>
      <c r="K846" s="20">
        <v>0</v>
      </c>
      <c r="L846" s="17" t="str">
        <f t="shared" si="13"/>
        <v>https://captureandgo.cloudlab.zhaw.ch/uploads/image_ecf0ce945b.jpg</v>
      </c>
    </row>
    <row r="847" spans="1:12" ht="16" x14ac:dyDescent="0.2">
      <c r="A847" s="20" t="s">
        <v>7146</v>
      </c>
      <c r="B847" s="20" t="s">
        <v>7147</v>
      </c>
      <c r="C847" s="20" t="s">
        <v>3774</v>
      </c>
      <c r="D847" s="20" t="s">
        <v>7148</v>
      </c>
      <c r="E847" s="20" t="s">
        <v>7149</v>
      </c>
      <c r="F847" s="20" t="s">
        <v>2581</v>
      </c>
      <c r="G847" s="20" t="s">
        <v>3777</v>
      </c>
      <c r="H847" s="20" t="s">
        <v>6</v>
      </c>
      <c r="I847" s="39">
        <v>44753.489643287037</v>
      </c>
      <c r="J847" s="39">
        <v>44753.489643321758</v>
      </c>
      <c r="K847" s="20">
        <v>0</v>
      </c>
      <c r="L847" s="17" t="str">
        <f t="shared" si="13"/>
        <v>https://captureandgo.cloudlab.zhaw.ch/uploads/image_b879d427fe.jpg</v>
      </c>
    </row>
    <row r="848" spans="1:12" ht="16" x14ac:dyDescent="0.2">
      <c r="A848" s="20" t="s">
        <v>7150</v>
      </c>
      <c r="B848" s="20" t="s">
        <v>7151</v>
      </c>
      <c r="C848" s="20" t="s">
        <v>3774</v>
      </c>
      <c r="D848" s="20" t="s">
        <v>7152</v>
      </c>
      <c r="E848" s="20" t="s">
        <v>7153</v>
      </c>
      <c r="F848" s="20" t="s">
        <v>2584</v>
      </c>
      <c r="G848" s="20" t="s">
        <v>3777</v>
      </c>
      <c r="H848" s="20" t="s">
        <v>6</v>
      </c>
      <c r="I848" s="39">
        <v>44753.49511077546</v>
      </c>
      <c r="J848" s="39">
        <v>44753.49511113426</v>
      </c>
      <c r="K848" s="20">
        <v>0</v>
      </c>
      <c r="L848" s="17" t="str">
        <f t="shared" si="13"/>
        <v>https://captureandgo.cloudlab.zhaw.ch/uploads/image_690bbaae1c.jpg</v>
      </c>
    </row>
    <row r="849" spans="1:12" ht="16" x14ac:dyDescent="0.2">
      <c r="A849" s="20" t="s">
        <v>7154</v>
      </c>
      <c r="B849" s="20" t="s">
        <v>7155</v>
      </c>
      <c r="C849" s="20" t="s">
        <v>3774</v>
      </c>
      <c r="D849" s="20" t="s">
        <v>7156</v>
      </c>
      <c r="E849" s="20" t="s">
        <v>7157</v>
      </c>
      <c r="F849" s="20" t="s">
        <v>2587</v>
      </c>
      <c r="G849" s="20" t="s">
        <v>3777</v>
      </c>
      <c r="H849" s="20" t="s">
        <v>6</v>
      </c>
      <c r="I849" s="39">
        <v>44753.496600312501</v>
      </c>
      <c r="J849" s="39">
        <v>44753.496600347222</v>
      </c>
      <c r="K849" s="20">
        <v>0</v>
      </c>
      <c r="L849" s="17" t="str">
        <f t="shared" si="13"/>
        <v>https://captureandgo.cloudlab.zhaw.ch/uploads/image_8683d00517.jpg</v>
      </c>
    </row>
    <row r="850" spans="1:12" ht="16" x14ac:dyDescent="0.2">
      <c r="A850" s="20" t="s">
        <v>7158</v>
      </c>
      <c r="B850" s="20" t="s">
        <v>7159</v>
      </c>
      <c r="C850" s="20" t="s">
        <v>3774</v>
      </c>
      <c r="D850" s="20" t="s">
        <v>7160</v>
      </c>
      <c r="E850" s="20" t="s">
        <v>7161</v>
      </c>
      <c r="F850" s="20" t="s">
        <v>2590</v>
      </c>
      <c r="G850" s="20" t="s">
        <v>3777</v>
      </c>
      <c r="H850" s="20" t="s">
        <v>6</v>
      </c>
      <c r="I850" s="39">
        <v>44753.49892903935</v>
      </c>
      <c r="J850" s="39">
        <v>44753.49892907407</v>
      </c>
      <c r="K850" s="20">
        <v>0</v>
      </c>
      <c r="L850" s="17" t="str">
        <f t="shared" si="13"/>
        <v>https://captureandgo.cloudlab.zhaw.ch/uploads/image_5ee2f21502.jpg</v>
      </c>
    </row>
    <row r="851" spans="1:12" ht="16" x14ac:dyDescent="0.2">
      <c r="A851" s="20" t="s">
        <v>7162</v>
      </c>
      <c r="B851" s="20" t="s">
        <v>7163</v>
      </c>
      <c r="C851" s="20" t="s">
        <v>3774</v>
      </c>
      <c r="D851" s="20" t="s">
        <v>7164</v>
      </c>
      <c r="E851" s="20" t="s">
        <v>7165</v>
      </c>
      <c r="F851" s="20" t="s">
        <v>2590</v>
      </c>
      <c r="G851" s="20" t="s">
        <v>3777</v>
      </c>
      <c r="H851" s="20" t="s">
        <v>6</v>
      </c>
      <c r="I851" s="39">
        <v>44753.499017291666</v>
      </c>
      <c r="J851" s="39">
        <v>44753.499017314818</v>
      </c>
      <c r="K851" s="20">
        <v>0</v>
      </c>
      <c r="L851" s="17" t="str">
        <f t="shared" si="13"/>
        <v>https://captureandgo.cloudlab.zhaw.ch/uploads/image_c277f1fbdf.jpg</v>
      </c>
    </row>
    <row r="852" spans="1:12" ht="16" x14ac:dyDescent="0.2">
      <c r="A852" s="20" t="s">
        <v>7166</v>
      </c>
      <c r="B852" s="20" t="s">
        <v>7167</v>
      </c>
      <c r="C852" s="20" t="s">
        <v>3774</v>
      </c>
      <c r="D852" s="20" t="s">
        <v>7168</v>
      </c>
      <c r="E852" s="20" t="s">
        <v>7169</v>
      </c>
      <c r="F852" s="20" t="s">
        <v>2590</v>
      </c>
      <c r="G852" s="20" t="s">
        <v>3777</v>
      </c>
      <c r="H852" s="20" t="s">
        <v>6</v>
      </c>
      <c r="I852" s="39">
        <v>44753.499099108798</v>
      </c>
      <c r="J852" s="39">
        <v>44753.499099131943</v>
      </c>
      <c r="K852" s="20">
        <v>0</v>
      </c>
      <c r="L852" s="17" t="str">
        <f t="shared" si="13"/>
        <v>https://captureandgo.cloudlab.zhaw.ch/uploads/image_1c84883525.jpg</v>
      </c>
    </row>
    <row r="853" spans="1:12" ht="16" x14ac:dyDescent="0.2">
      <c r="A853" s="20" t="s">
        <v>7170</v>
      </c>
      <c r="B853" s="20" t="s">
        <v>7171</v>
      </c>
      <c r="C853" s="20" t="s">
        <v>3774</v>
      </c>
      <c r="D853" s="20" t="s">
        <v>7172</v>
      </c>
      <c r="E853" s="20" t="s">
        <v>7173</v>
      </c>
      <c r="F853" s="20" t="s">
        <v>2593</v>
      </c>
      <c r="G853" s="20" t="s">
        <v>3777</v>
      </c>
      <c r="H853" s="20" t="s">
        <v>6</v>
      </c>
      <c r="I853" s="39">
        <v>44753.500015787038</v>
      </c>
      <c r="J853" s="39">
        <v>44753.500015821759</v>
      </c>
      <c r="K853" s="20">
        <v>0</v>
      </c>
      <c r="L853" s="17" t="str">
        <f t="shared" si="13"/>
        <v>https://captureandgo.cloudlab.zhaw.ch/uploads/image_2e56f866bd.jpg</v>
      </c>
    </row>
    <row r="854" spans="1:12" ht="16" x14ac:dyDescent="0.2">
      <c r="A854" s="20" t="s">
        <v>7174</v>
      </c>
      <c r="B854" s="20" t="s">
        <v>7175</v>
      </c>
      <c r="C854" s="20" t="s">
        <v>3774</v>
      </c>
      <c r="D854" s="20" t="s">
        <v>7176</v>
      </c>
      <c r="E854" s="20" t="s">
        <v>7177</v>
      </c>
      <c r="F854" s="20" t="s">
        <v>2596</v>
      </c>
      <c r="G854" s="20" t="s">
        <v>3777</v>
      </c>
      <c r="H854" s="20" t="s">
        <v>6</v>
      </c>
      <c r="I854" s="39">
        <v>44753.501260462966</v>
      </c>
      <c r="J854" s="39">
        <v>44753.501260497687</v>
      </c>
      <c r="K854" s="20">
        <v>0</v>
      </c>
      <c r="L854" s="17" t="str">
        <f t="shared" si="13"/>
        <v>https://captureandgo.cloudlab.zhaw.ch/uploads/image_aa04b1e8ed.jpg</v>
      </c>
    </row>
    <row r="855" spans="1:12" ht="16" x14ac:dyDescent="0.2">
      <c r="A855" s="20" t="s">
        <v>7178</v>
      </c>
      <c r="B855" s="20" t="s">
        <v>7179</v>
      </c>
      <c r="C855" s="20" t="s">
        <v>3774</v>
      </c>
      <c r="D855" s="20" t="s">
        <v>7180</v>
      </c>
      <c r="E855" s="20" t="s">
        <v>7181</v>
      </c>
      <c r="F855" s="20" t="s">
        <v>2599</v>
      </c>
      <c r="G855" s="20" t="s">
        <v>3777</v>
      </c>
      <c r="H855" s="20" t="s">
        <v>6</v>
      </c>
      <c r="I855" s="39">
        <v>44753.502227824072</v>
      </c>
      <c r="J855" s="39">
        <v>44753.502227858793</v>
      </c>
      <c r="K855" s="20">
        <v>0</v>
      </c>
      <c r="L855" s="17" t="str">
        <f t="shared" si="13"/>
        <v>https://captureandgo.cloudlab.zhaw.ch/uploads/image_b8d9dfccf9.jpg</v>
      </c>
    </row>
    <row r="856" spans="1:12" ht="16" x14ac:dyDescent="0.2">
      <c r="A856" s="20" t="s">
        <v>7182</v>
      </c>
      <c r="B856" s="20" t="s">
        <v>7183</v>
      </c>
      <c r="C856" s="20" t="s">
        <v>3774</v>
      </c>
      <c r="D856" s="20" t="s">
        <v>7184</v>
      </c>
      <c r="E856" s="20" t="s">
        <v>7185</v>
      </c>
      <c r="F856" s="20" t="s">
        <v>2602</v>
      </c>
      <c r="G856" s="20" t="s">
        <v>3777</v>
      </c>
      <c r="H856" s="20" t="s">
        <v>6</v>
      </c>
      <c r="I856" s="39">
        <v>44753.503227777779</v>
      </c>
      <c r="J856" s="39">
        <v>44753.5032278125</v>
      </c>
      <c r="K856" s="20">
        <v>0</v>
      </c>
      <c r="L856" s="17" t="str">
        <f t="shared" si="13"/>
        <v>https://captureandgo.cloudlab.zhaw.ch/uploads/image_7ded56bf66.jpg</v>
      </c>
    </row>
    <row r="857" spans="1:12" ht="16" x14ac:dyDescent="0.2">
      <c r="A857" s="20" t="s">
        <v>7186</v>
      </c>
      <c r="B857" s="20" t="s">
        <v>7187</v>
      </c>
      <c r="C857" s="20" t="s">
        <v>3774</v>
      </c>
      <c r="D857" s="20" t="s">
        <v>7188</v>
      </c>
      <c r="E857" s="20" t="s">
        <v>7189</v>
      </c>
      <c r="F857" s="20" t="s">
        <v>2602</v>
      </c>
      <c r="G857" s="20" t="s">
        <v>3777</v>
      </c>
      <c r="H857" s="20" t="s">
        <v>6</v>
      </c>
      <c r="I857" s="39">
        <v>44753.50324690972</v>
      </c>
      <c r="J857" s="39">
        <v>44753.503246932873</v>
      </c>
      <c r="K857" s="20">
        <v>0</v>
      </c>
      <c r="L857" s="17" t="str">
        <f t="shared" si="13"/>
        <v>https://captureandgo.cloudlab.zhaw.ch/uploads/image_2842c84097.jpg</v>
      </c>
    </row>
    <row r="858" spans="1:12" ht="16" x14ac:dyDescent="0.2">
      <c r="A858" s="20" t="s">
        <v>7190</v>
      </c>
      <c r="B858" s="20" t="s">
        <v>7191</v>
      </c>
      <c r="C858" s="20" t="s">
        <v>3774</v>
      </c>
      <c r="D858" s="20" t="s">
        <v>7192</v>
      </c>
      <c r="E858" s="20" t="s">
        <v>7193</v>
      </c>
      <c r="F858" s="20" t="s">
        <v>2605</v>
      </c>
      <c r="G858" s="20" t="s">
        <v>3777</v>
      </c>
      <c r="H858" s="20" t="s">
        <v>6</v>
      </c>
      <c r="I858" s="39">
        <v>44753.505072175925</v>
      </c>
      <c r="J858" s="39">
        <v>44753.505072210646</v>
      </c>
      <c r="K858" s="20">
        <v>0</v>
      </c>
      <c r="L858" s="17" t="str">
        <f t="shared" si="13"/>
        <v>https://captureandgo.cloudlab.zhaw.ch/uploads/image_f73d1879f2.jpg</v>
      </c>
    </row>
    <row r="859" spans="1:12" ht="16" x14ac:dyDescent="0.2">
      <c r="A859" s="20" t="s">
        <v>7194</v>
      </c>
      <c r="B859" s="20" t="s">
        <v>7195</v>
      </c>
      <c r="C859" s="20" t="s">
        <v>3774</v>
      </c>
      <c r="D859" s="20" t="s">
        <v>7196</v>
      </c>
      <c r="E859" s="20" t="s">
        <v>7197</v>
      </c>
      <c r="F859" s="20" t="s">
        <v>2608</v>
      </c>
      <c r="G859" s="20" t="s">
        <v>3777</v>
      </c>
      <c r="H859" s="20" t="s">
        <v>6</v>
      </c>
      <c r="I859" s="39">
        <v>44753.506605000002</v>
      </c>
      <c r="J859" s="39">
        <v>44753.506605034723</v>
      </c>
      <c r="K859" s="20">
        <v>0</v>
      </c>
      <c r="L859" s="17" t="str">
        <f t="shared" si="13"/>
        <v>https://captureandgo.cloudlab.zhaw.ch/uploads/image_9eca94974b.jpg</v>
      </c>
    </row>
    <row r="860" spans="1:12" ht="16" x14ac:dyDescent="0.2">
      <c r="A860" s="20" t="s">
        <v>7198</v>
      </c>
      <c r="B860" s="20" t="s">
        <v>7199</v>
      </c>
      <c r="C860" s="20" t="s">
        <v>3774</v>
      </c>
      <c r="D860" s="20" t="s">
        <v>7200</v>
      </c>
      <c r="E860" s="20" t="s">
        <v>7201</v>
      </c>
      <c r="F860" s="20" t="s">
        <v>2611</v>
      </c>
      <c r="G860" s="20" t="s">
        <v>3777</v>
      </c>
      <c r="H860" s="20" t="s">
        <v>6</v>
      </c>
      <c r="I860" s="39">
        <v>44753.508110960647</v>
      </c>
      <c r="J860" s="39">
        <v>44753.508111006944</v>
      </c>
      <c r="K860" s="20">
        <v>0</v>
      </c>
      <c r="L860" s="17" t="str">
        <f t="shared" si="13"/>
        <v>https://captureandgo.cloudlab.zhaw.ch/uploads/image_764d93a35b.jpg</v>
      </c>
    </row>
    <row r="861" spans="1:12" ht="16" x14ac:dyDescent="0.2">
      <c r="A861" s="20" t="s">
        <v>7202</v>
      </c>
      <c r="B861" s="20" t="s">
        <v>7203</v>
      </c>
      <c r="C861" s="20" t="s">
        <v>3774</v>
      </c>
      <c r="D861" s="20" t="s">
        <v>7204</v>
      </c>
      <c r="E861" s="20" t="s">
        <v>7205</v>
      </c>
      <c r="F861" s="20" t="s">
        <v>2614</v>
      </c>
      <c r="G861" s="20" t="s">
        <v>3777</v>
      </c>
      <c r="H861" s="20" t="s">
        <v>6</v>
      </c>
      <c r="I861" s="39">
        <v>44753.509256238423</v>
      </c>
      <c r="J861" s="39">
        <v>44753.509256504629</v>
      </c>
      <c r="K861" s="20">
        <v>0</v>
      </c>
      <c r="L861" s="17" t="str">
        <f t="shared" si="13"/>
        <v>https://captureandgo.cloudlab.zhaw.ch/uploads/image_b5f2ce2c26.jpg</v>
      </c>
    </row>
    <row r="862" spans="1:12" ht="16" x14ac:dyDescent="0.2">
      <c r="A862" s="20" t="s">
        <v>7206</v>
      </c>
      <c r="B862" s="20" t="s">
        <v>7207</v>
      </c>
      <c r="C862" s="20" t="s">
        <v>3774</v>
      </c>
      <c r="D862" s="20" t="s">
        <v>7208</v>
      </c>
      <c r="E862" s="20" t="s">
        <v>7209</v>
      </c>
      <c r="F862" s="20" t="s">
        <v>2617</v>
      </c>
      <c r="G862" s="20" t="s">
        <v>3777</v>
      </c>
      <c r="H862" s="20" t="s">
        <v>6</v>
      </c>
      <c r="I862" s="39">
        <v>44753.510035590276</v>
      </c>
      <c r="J862" s="39">
        <v>44753.510035613428</v>
      </c>
      <c r="K862" s="20">
        <v>0</v>
      </c>
      <c r="L862" s="17" t="str">
        <f t="shared" si="13"/>
        <v>https://captureandgo.cloudlab.zhaw.ch/uploads/image_83712987bf.jpg</v>
      </c>
    </row>
    <row r="863" spans="1:12" ht="16" x14ac:dyDescent="0.2">
      <c r="A863" s="20" t="s">
        <v>7210</v>
      </c>
      <c r="B863" s="20" t="s">
        <v>7211</v>
      </c>
      <c r="C863" s="20" t="s">
        <v>3774</v>
      </c>
      <c r="D863" s="20" t="s">
        <v>7212</v>
      </c>
      <c r="E863" s="20" t="s">
        <v>7213</v>
      </c>
      <c r="F863" s="20" t="s">
        <v>2617</v>
      </c>
      <c r="G863" s="20" t="s">
        <v>3777</v>
      </c>
      <c r="H863" s="20" t="s">
        <v>6</v>
      </c>
      <c r="I863" s="39">
        <v>44753.510047488424</v>
      </c>
      <c r="J863" s="39">
        <v>44753.510047511576</v>
      </c>
      <c r="K863" s="20">
        <v>0</v>
      </c>
      <c r="L863" s="17" t="str">
        <f t="shared" si="13"/>
        <v>https://captureandgo.cloudlab.zhaw.ch/uploads/image_6fa3e9555b.jpg</v>
      </c>
    </row>
    <row r="864" spans="1:12" ht="16" x14ac:dyDescent="0.2">
      <c r="A864" s="20" t="s">
        <v>7214</v>
      </c>
      <c r="B864" s="20" t="s">
        <v>7215</v>
      </c>
      <c r="C864" s="20" t="s">
        <v>3774</v>
      </c>
      <c r="D864" s="20" t="s">
        <v>7216</v>
      </c>
      <c r="E864" s="20" t="s">
        <v>7217</v>
      </c>
      <c r="F864" s="20" t="s">
        <v>2620</v>
      </c>
      <c r="G864" s="20" t="s">
        <v>3777</v>
      </c>
      <c r="H864" s="20" t="s">
        <v>6</v>
      </c>
      <c r="I864" s="39">
        <v>44753.510497824071</v>
      </c>
      <c r="J864" s="39">
        <v>44753.510497870368</v>
      </c>
      <c r="K864" s="20">
        <v>0</v>
      </c>
      <c r="L864" s="17" t="str">
        <f t="shared" si="13"/>
        <v>https://captureandgo.cloudlab.zhaw.ch/uploads/image_50d35549e4.jpg</v>
      </c>
    </row>
    <row r="865" spans="1:12" ht="16" x14ac:dyDescent="0.2">
      <c r="A865" s="20" t="s">
        <v>7218</v>
      </c>
      <c r="B865" s="20" t="s">
        <v>7219</v>
      </c>
      <c r="C865" s="20" t="s">
        <v>3774</v>
      </c>
      <c r="D865" s="20" t="s">
        <v>7220</v>
      </c>
      <c r="E865" s="20" t="s">
        <v>7221</v>
      </c>
      <c r="F865" s="20" t="s">
        <v>2623</v>
      </c>
      <c r="G865" s="20" t="s">
        <v>3777</v>
      </c>
      <c r="H865" s="20" t="s">
        <v>6</v>
      </c>
      <c r="I865" s="39">
        <v>44753.510884722222</v>
      </c>
      <c r="J865" s="39">
        <v>44753.510884756943</v>
      </c>
      <c r="K865" s="20">
        <v>0</v>
      </c>
      <c r="L865" s="17" t="str">
        <f t="shared" si="13"/>
        <v>https://captureandgo.cloudlab.zhaw.ch/uploads/image_a562e54252.jpg</v>
      </c>
    </row>
    <row r="866" spans="1:12" ht="16" x14ac:dyDescent="0.2">
      <c r="A866" s="20" t="s">
        <v>7222</v>
      </c>
      <c r="B866" s="20" t="s">
        <v>7223</v>
      </c>
      <c r="C866" s="20" t="s">
        <v>3774</v>
      </c>
      <c r="D866" s="20" t="s">
        <v>7224</v>
      </c>
      <c r="E866" s="20" t="s">
        <v>7225</v>
      </c>
      <c r="F866" s="20" t="s">
        <v>2626</v>
      </c>
      <c r="G866" s="20" t="s">
        <v>3777</v>
      </c>
      <c r="H866" s="20" t="s">
        <v>6</v>
      </c>
      <c r="I866" s="39">
        <v>44753.511867777779</v>
      </c>
      <c r="J866" s="39">
        <v>44753.511867824076</v>
      </c>
      <c r="K866" s="20">
        <v>0</v>
      </c>
      <c r="L866" s="17" t="str">
        <f t="shared" si="13"/>
        <v>https://captureandgo.cloudlab.zhaw.ch/uploads/image_49e4977de8.jpg</v>
      </c>
    </row>
    <row r="867" spans="1:12" ht="16" x14ac:dyDescent="0.2">
      <c r="A867" s="20" t="s">
        <v>7226</v>
      </c>
      <c r="B867" s="20" t="s">
        <v>7227</v>
      </c>
      <c r="C867" s="20" t="s">
        <v>3774</v>
      </c>
      <c r="D867" s="20" t="s">
        <v>7228</v>
      </c>
      <c r="E867" s="20" t="s">
        <v>7229</v>
      </c>
      <c r="F867" s="20" t="s">
        <v>2629</v>
      </c>
      <c r="G867" s="20" t="s">
        <v>3777</v>
      </c>
      <c r="H867" s="20" t="s">
        <v>6</v>
      </c>
      <c r="I867" s="39">
        <v>44753.512808680556</v>
      </c>
      <c r="J867" s="39">
        <v>44753.512808761574</v>
      </c>
      <c r="K867" s="20">
        <v>0</v>
      </c>
      <c r="L867" s="17" t="str">
        <f t="shared" si="13"/>
        <v>https://captureandgo.cloudlab.zhaw.ch/uploads/image_53e8fc0e98.jpg</v>
      </c>
    </row>
    <row r="868" spans="1:12" ht="16" x14ac:dyDescent="0.2">
      <c r="A868" s="20" t="s">
        <v>7230</v>
      </c>
      <c r="B868" s="20" t="s">
        <v>7231</v>
      </c>
      <c r="C868" s="20" t="s">
        <v>3774</v>
      </c>
      <c r="D868" s="20" t="s">
        <v>7232</v>
      </c>
      <c r="E868" s="20" t="s">
        <v>7233</v>
      </c>
      <c r="F868" s="20" t="s">
        <v>2632</v>
      </c>
      <c r="G868" s="20" t="s">
        <v>3777</v>
      </c>
      <c r="H868" s="20" t="s">
        <v>6</v>
      </c>
      <c r="I868" s="39">
        <v>44753.513720810188</v>
      </c>
      <c r="J868" s="39">
        <v>44753.513720856485</v>
      </c>
      <c r="K868" s="20">
        <v>0</v>
      </c>
      <c r="L868" s="17" t="str">
        <f t="shared" si="13"/>
        <v>https://captureandgo.cloudlab.zhaw.ch/uploads/image_e9cea09bb7.jpg</v>
      </c>
    </row>
    <row r="869" spans="1:12" ht="16" x14ac:dyDescent="0.2">
      <c r="A869" s="20" t="s">
        <v>7234</v>
      </c>
      <c r="B869" s="20" t="s">
        <v>7235</v>
      </c>
      <c r="C869" s="20" t="s">
        <v>3774</v>
      </c>
      <c r="D869" s="20" t="s">
        <v>7236</v>
      </c>
      <c r="E869" s="20" t="s">
        <v>7237</v>
      </c>
      <c r="F869" s="20" t="s">
        <v>2635</v>
      </c>
      <c r="G869" s="20" t="s">
        <v>3777</v>
      </c>
      <c r="H869" s="20" t="s">
        <v>6</v>
      </c>
      <c r="I869" s="39">
        <v>44753.51472082176</v>
      </c>
      <c r="J869" s="39">
        <v>44753.514721122687</v>
      </c>
      <c r="K869" s="20">
        <v>0</v>
      </c>
      <c r="L869" s="17" t="str">
        <f t="shared" si="13"/>
        <v>https://captureandgo.cloudlab.zhaw.ch/uploads/image_2594ca2b29.jpg</v>
      </c>
    </row>
    <row r="870" spans="1:12" ht="16" x14ac:dyDescent="0.2">
      <c r="A870" s="20" t="s">
        <v>7238</v>
      </c>
      <c r="B870" s="20" t="s">
        <v>7239</v>
      </c>
      <c r="C870" s="20" t="s">
        <v>3774</v>
      </c>
      <c r="D870" s="20" t="s">
        <v>7240</v>
      </c>
      <c r="E870" s="20" t="s">
        <v>7241</v>
      </c>
      <c r="F870" s="20" t="s">
        <v>2638</v>
      </c>
      <c r="G870" s="20" t="s">
        <v>3777</v>
      </c>
      <c r="H870" s="20" t="s">
        <v>6</v>
      </c>
      <c r="I870" s="39">
        <v>44753.515504363429</v>
      </c>
      <c r="J870" s="39">
        <v>44753.51550439815</v>
      </c>
      <c r="K870" s="20">
        <v>0</v>
      </c>
      <c r="L870" s="17" t="str">
        <f t="shared" si="13"/>
        <v>https://captureandgo.cloudlab.zhaw.ch/uploads/image_e90a038388.jpg</v>
      </c>
    </row>
    <row r="871" spans="1:12" ht="16" x14ac:dyDescent="0.2">
      <c r="A871" s="20" t="s">
        <v>7242</v>
      </c>
      <c r="B871" s="20" t="s">
        <v>7243</v>
      </c>
      <c r="C871" s="20" t="s">
        <v>3774</v>
      </c>
      <c r="D871" s="20" t="s">
        <v>7244</v>
      </c>
      <c r="E871" s="20" t="s">
        <v>7245</v>
      </c>
      <c r="F871" s="20" t="s">
        <v>2641</v>
      </c>
      <c r="G871" s="20" t="s">
        <v>3777</v>
      </c>
      <c r="H871" s="20" t="s">
        <v>6</v>
      </c>
      <c r="I871" s="39">
        <v>44753.51577283565</v>
      </c>
      <c r="J871" s="39">
        <v>44753.515772870371</v>
      </c>
      <c r="K871" s="20">
        <v>0</v>
      </c>
      <c r="L871" s="17" t="str">
        <f t="shared" si="13"/>
        <v>https://captureandgo.cloudlab.zhaw.ch/uploads/image_bfd8492c0e.jpg</v>
      </c>
    </row>
    <row r="872" spans="1:12" ht="16" x14ac:dyDescent="0.2">
      <c r="A872" s="20" t="s">
        <v>7246</v>
      </c>
      <c r="B872" s="20" t="s">
        <v>7247</v>
      </c>
      <c r="C872" s="20" t="s">
        <v>3774</v>
      </c>
      <c r="D872" s="20" t="s">
        <v>7248</v>
      </c>
      <c r="E872" s="20" t="s">
        <v>7249</v>
      </c>
      <c r="F872" s="20" t="s">
        <v>2644</v>
      </c>
      <c r="G872" s="20" t="s">
        <v>3777</v>
      </c>
      <c r="H872" s="20" t="s">
        <v>6</v>
      </c>
      <c r="I872" s="39">
        <v>44753.516234247683</v>
      </c>
      <c r="J872" s="39">
        <v>44753.516234270835</v>
      </c>
      <c r="K872" s="20">
        <v>0</v>
      </c>
      <c r="L872" s="17" t="str">
        <f t="shared" si="13"/>
        <v>https://captureandgo.cloudlab.zhaw.ch/uploads/image_6041a76518.jpg</v>
      </c>
    </row>
    <row r="873" spans="1:12" ht="16" x14ac:dyDescent="0.2">
      <c r="A873" s="20" t="s">
        <v>7250</v>
      </c>
      <c r="B873" s="20" t="s">
        <v>7251</v>
      </c>
      <c r="C873" s="20" t="s">
        <v>3774</v>
      </c>
      <c r="D873" s="20" t="s">
        <v>7252</v>
      </c>
      <c r="E873" s="20" t="s">
        <v>7253</v>
      </c>
      <c r="F873" s="20" t="s">
        <v>2647</v>
      </c>
      <c r="G873" s="20" t="s">
        <v>3777</v>
      </c>
      <c r="H873" s="20" t="s">
        <v>6</v>
      </c>
      <c r="I873" s="39">
        <v>44755.387932546299</v>
      </c>
      <c r="J873" s="39">
        <v>44755.387932592595</v>
      </c>
      <c r="K873" s="20">
        <v>0</v>
      </c>
      <c r="L873" s="17" t="str">
        <f t="shared" si="13"/>
        <v>https://captureandgo.cloudlab.zhaw.ch/uploads/image_995278cffd.jpg</v>
      </c>
    </row>
    <row r="874" spans="1:12" ht="16" x14ac:dyDescent="0.2">
      <c r="A874" s="20" t="s">
        <v>7254</v>
      </c>
      <c r="B874" s="20" t="s">
        <v>7255</v>
      </c>
      <c r="C874" s="20" t="s">
        <v>3774</v>
      </c>
      <c r="D874" s="20" t="s">
        <v>7256</v>
      </c>
      <c r="E874" s="20" t="s">
        <v>7257</v>
      </c>
      <c r="F874" s="20" t="s">
        <v>2651</v>
      </c>
      <c r="G874" s="20" t="s">
        <v>3777</v>
      </c>
      <c r="H874" s="20" t="s">
        <v>6</v>
      </c>
      <c r="I874" s="39">
        <v>44755.388985613426</v>
      </c>
      <c r="J874" s="39">
        <v>44755.388985648147</v>
      </c>
      <c r="K874" s="20">
        <v>0</v>
      </c>
      <c r="L874" s="17" t="str">
        <f t="shared" si="13"/>
        <v>https://captureandgo.cloudlab.zhaw.ch/uploads/image_a0f9f7a92e.jpg</v>
      </c>
    </row>
    <row r="875" spans="1:12" ht="16" x14ac:dyDescent="0.2">
      <c r="A875" s="20" t="s">
        <v>7258</v>
      </c>
      <c r="B875" s="20" t="s">
        <v>7259</v>
      </c>
      <c r="C875" s="20" t="s">
        <v>3774</v>
      </c>
      <c r="D875" s="20" t="s">
        <v>7260</v>
      </c>
      <c r="E875" s="20" t="s">
        <v>7261</v>
      </c>
      <c r="F875" s="20" t="s">
        <v>2655</v>
      </c>
      <c r="G875" s="20" t="s">
        <v>3777</v>
      </c>
      <c r="H875" s="20" t="s">
        <v>6</v>
      </c>
      <c r="I875" s="39">
        <v>44755.391017743059</v>
      </c>
      <c r="J875" s="39">
        <v>44755.391017789349</v>
      </c>
      <c r="K875" s="20">
        <v>0</v>
      </c>
      <c r="L875" s="17" t="str">
        <f t="shared" si="13"/>
        <v>https://captureandgo.cloudlab.zhaw.ch/uploads/image_2d224ecedc.jpg</v>
      </c>
    </row>
    <row r="876" spans="1:12" ht="16" x14ac:dyDescent="0.2">
      <c r="A876" s="20" t="s">
        <v>7262</v>
      </c>
      <c r="B876" s="20" t="s">
        <v>7263</v>
      </c>
      <c r="C876" s="20" t="s">
        <v>3774</v>
      </c>
      <c r="D876" s="20" t="s">
        <v>7264</v>
      </c>
      <c r="E876" s="20" t="s">
        <v>7265</v>
      </c>
      <c r="F876" s="20" t="s">
        <v>2659</v>
      </c>
      <c r="G876" s="20" t="s">
        <v>3777</v>
      </c>
      <c r="H876" s="20" t="s">
        <v>6</v>
      </c>
      <c r="I876" s="39">
        <v>44755.391305277779</v>
      </c>
      <c r="J876" s="39">
        <v>44755.3913053125</v>
      </c>
      <c r="K876" s="20">
        <v>0</v>
      </c>
      <c r="L876" s="17" t="str">
        <f t="shared" si="13"/>
        <v>https://captureandgo.cloudlab.zhaw.ch/uploads/image_afd7380c4c.jpg</v>
      </c>
    </row>
    <row r="877" spans="1:12" ht="16" x14ac:dyDescent="0.2">
      <c r="A877" s="20" t="s">
        <v>7266</v>
      </c>
      <c r="B877" s="20" t="s">
        <v>7267</v>
      </c>
      <c r="C877" s="20" t="s">
        <v>3774</v>
      </c>
      <c r="D877" s="20" t="s">
        <v>7268</v>
      </c>
      <c r="E877" s="20" t="s">
        <v>7269</v>
      </c>
      <c r="F877" s="20" t="s">
        <v>2663</v>
      </c>
      <c r="G877" s="20" t="s">
        <v>3777</v>
      </c>
      <c r="H877" s="20" t="s">
        <v>6</v>
      </c>
      <c r="I877" s="39">
        <v>44755.391560532407</v>
      </c>
      <c r="J877" s="39">
        <v>44755.391560567128</v>
      </c>
      <c r="K877" s="20">
        <v>0</v>
      </c>
      <c r="L877" s="17" t="str">
        <f t="shared" si="13"/>
        <v>https://captureandgo.cloudlab.zhaw.ch/uploads/image_85632f4ff6.jpg</v>
      </c>
    </row>
    <row r="878" spans="1:12" ht="16" x14ac:dyDescent="0.2">
      <c r="A878" s="20" t="s">
        <v>7270</v>
      </c>
      <c r="B878" s="20" t="s">
        <v>7271</v>
      </c>
      <c r="C878" s="20" t="s">
        <v>3774</v>
      </c>
      <c r="D878" s="20" t="s">
        <v>7272</v>
      </c>
      <c r="E878" s="20" t="s">
        <v>7273</v>
      </c>
      <c r="F878" s="20" t="s">
        <v>2666</v>
      </c>
      <c r="G878" s="20" t="s">
        <v>3777</v>
      </c>
      <c r="H878" s="20" t="s">
        <v>6</v>
      </c>
      <c r="I878" s="39">
        <v>44755.392508437501</v>
      </c>
      <c r="J878" s="39">
        <v>44755.392508472221</v>
      </c>
      <c r="K878" s="20">
        <v>0</v>
      </c>
      <c r="L878" s="17" t="str">
        <f t="shared" si="13"/>
        <v>https://captureandgo.cloudlab.zhaw.ch/uploads/image_fee73f44fc.jpg</v>
      </c>
    </row>
    <row r="879" spans="1:12" ht="16" x14ac:dyDescent="0.2">
      <c r="A879" s="20" t="s">
        <v>7274</v>
      </c>
      <c r="B879" s="20" t="s">
        <v>7275</v>
      </c>
      <c r="C879" s="20" t="s">
        <v>3774</v>
      </c>
      <c r="D879" s="20" t="s">
        <v>7276</v>
      </c>
      <c r="E879" s="20" t="s">
        <v>7277</v>
      </c>
      <c r="F879" s="20" t="s">
        <v>2669</v>
      </c>
      <c r="G879" s="20" t="s">
        <v>3777</v>
      </c>
      <c r="H879" s="20" t="s">
        <v>6</v>
      </c>
      <c r="I879" s="39">
        <v>44755.395607673614</v>
      </c>
      <c r="J879" s="39">
        <v>44755.395607754632</v>
      </c>
      <c r="K879" s="20">
        <v>0</v>
      </c>
      <c r="L879" s="17" t="str">
        <f t="shared" si="13"/>
        <v>https://captureandgo.cloudlab.zhaw.ch/uploads/image_734ff1bd79.jpg</v>
      </c>
    </row>
    <row r="880" spans="1:12" ht="16" x14ac:dyDescent="0.2">
      <c r="A880" s="20" t="s">
        <v>7278</v>
      </c>
      <c r="B880" s="20" t="s">
        <v>7279</v>
      </c>
      <c r="C880" s="20" t="s">
        <v>3774</v>
      </c>
      <c r="D880" s="20" t="s">
        <v>7280</v>
      </c>
      <c r="E880" s="20" t="s">
        <v>7281</v>
      </c>
      <c r="F880" s="20" t="s">
        <v>2672</v>
      </c>
      <c r="G880" s="20" t="s">
        <v>3777</v>
      </c>
      <c r="H880" s="20" t="s">
        <v>6</v>
      </c>
      <c r="I880" s="39">
        <v>44755.397773807868</v>
      </c>
      <c r="J880" s="39">
        <v>44755.397773842589</v>
      </c>
      <c r="K880" s="20">
        <v>0</v>
      </c>
      <c r="L880" s="17" t="str">
        <f t="shared" si="13"/>
        <v>https://captureandgo.cloudlab.zhaw.ch/uploads/image_55e0a36830.jpg</v>
      </c>
    </row>
    <row r="881" spans="1:12" ht="16" x14ac:dyDescent="0.2">
      <c r="A881" s="20" t="s">
        <v>7282</v>
      </c>
      <c r="B881" s="20" t="s">
        <v>7283</v>
      </c>
      <c r="C881" s="20" t="s">
        <v>3774</v>
      </c>
      <c r="D881" s="20" t="s">
        <v>7284</v>
      </c>
      <c r="E881" s="20" t="s">
        <v>7285</v>
      </c>
      <c r="F881" s="20" t="s">
        <v>2675</v>
      </c>
      <c r="G881" s="20" t="s">
        <v>3777</v>
      </c>
      <c r="H881" s="20" t="s">
        <v>6</v>
      </c>
      <c r="I881" s="39">
        <v>44755.399126550925</v>
      </c>
      <c r="J881" s="39">
        <v>44755.399126597222</v>
      </c>
      <c r="K881" s="20">
        <v>0</v>
      </c>
      <c r="L881" s="17" t="str">
        <f t="shared" si="13"/>
        <v>https://captureandgo.cloudlab.zhaw.ch/uploads/image_834d90c07b.jpg</v>
      </c>
    </row>
    <row r="882" spans="1:12" ht="16" x14ac:dyDescent="0.2">
      <c r="A882" s="20" t="s">
        <v>7286</v>
      </c>
      <c r="B882" s="20" t="s">
        <v>7287</v>
      </c>
      <c r="C882" s="20" t="s">
        <v>3774</v>
      </c>
      <c r="D882" s="20" t="s">
        <v>7288</v>
      </c>
      <c r="E882" s="20" t="s">
        <v>7289</v>
      </c>
      <c r="F882" s="20" t="s">
        <v>2678</v>
      </c>
      <c r="G882" s="20" t="s">
        <v>3777</v>
      </c>
      <c r="H882" s="20" t="s">
        <v>6</v>
      </c>
      <c r="I882" s="39">
        <v>44755.40031478009</v>
      </c>
      <c r="J882" s="39">
        <v>44755.400314814811</v>
      </c>
      <c r="K882" s="20">
        <v>0</v>
      </c>
      <c r="L882" s="17" t="str">
        <f t="shared" si="13"/>
        <v>https://captureandgo.cloudlab.zhaw.ch/uploads/image_76bd7561df.jpg</v>
      </c>
    </row>
    <row r="883" spans="1:12" ht="16" x14ac:dyDescent="0.2">
      <c r="A883" s="20" t="s">
        <v>7290</v>
      </c>
      <c r="B883" s="20" t="s">
        <v>7291</v>
      </c>
      <c r="C883" s="20" t="s">
        <v>3774</v>
      </c>
      <c r="D883" s="20" t="s">
        <v>7292</v>
      </c>
      <c r="E883" s="20" t="s">
        <v>7293</v>
      </c>
      <c r="F883" s="20" t="s">
        <v>2681</v>
      </c>
      <c r="G883" s="20" t="s">
        <v>3777</v>
      </c>
      <c r="H883" s="20" t="s">
        <v>6</v>
      </c>
      <c r="I883" s="39">
        <v>44755.401853668984</v>
      </c>
      <c r="J883" s="39">
        <v>44755.401853715281</v>
      </c>
      <c r="K883" s="20">
        <v>0</v>
      </c>
      <c r="L883" s="17" t="str">
        <f t="shared" si="13"/>
        <v>https://captureandgo.cloudlab.zhaw.ch/uploads/image_c98feed872.jpg</v>
      </c>
    </row>
    <row r="884" spans="1:12" ht="16" x14ac:dyDescent="0.2">
      <c r="A884" s="20" t="s">
        <v>7294</v>
      </c>
      <c r="B884" s="20" t="s">
        <v>7295</v>
      </c>
      <c r="C884" s="20" t="s">
        <v>3774</v>
      </c>
      <c r="D884" s="20" t="s">
        <v>7296</v>
      </c>
      <c r="E884" s="20" t="s">
        <v>7297</v>
      </c>
      <c r="F884" s="20" t="s">
        <v>2685</v>
      </c>
      <c r="G884" s="20" t="s">
        <v>3777</v>
      </c>
      <c r="H884" s="20" t="s">
        <v>6</v>
      </c>
      <c r="I884" s="39">
        <v>44755.403211215278</v>
      </c>
      <c r="J884" s="39">
        <v>44755.403211261575</v>
      </c>
      <c r="K884" s="20">
        <v>0</v>
      </c>
      <c r="L884" s="17" t="str">
        <f t="shared" si="13"/>
        <v>https://captureandgo.cloudlab.zhaw.ch/uploads/image_b3e7bb27a7.jpg</v>
      </c>
    </row>
    <row r="885" spans="1:12" ht="16" x14ac:dyDescent="0.2">
      <c r="A885" s="20" t="s">
        <v>7298</v>
      </c>
      <c r="B885" s="20" t="s">
        <v>7299</v>
      </c>
      <c r="C885" s="20" t="s">
        <v>3774</v>
      </c>
      <c r="D885" s="20" t="s">
        <v>7300</v>
      </c>
      <c r="E885" s="20" t="s">
        <v>7301</v>
      </c>
      <c r="F885" s="20" t="s">
        <v>2688</v>
      </c>
      <c r="G885" s="20" t="s">
        <v>3777</v>
      </c>
      <c r="H885" s="20" t="s">
        <v>6</v>
      </c>
      <c r="I885" s="39">
        <v>44755.403849664355</v>
      </c>
      <c r="J885" s="39">
        <v>44755.403849699076</v>
      </c>
      <c r="K885" s="20">
        <v>0</v>
      </c>
      <c r="L885" s="17" t="str">
        <f t="shared" si="13"/>
        <v>https://captureandgo.cloudlab.zhaw.ch/uploads/image_3b5f11a044.jpg</v>
      </c>
    </row>
    <row r="886" spans="1:12" ht="16" x14ac:dyDescent="0.2">
      <c r="A886" s="20" t="s">
        <v>7302</v>
      </c>
      <c r="B886" s="20" t="s">
        <v>7303</v>
      </c>
      <c r="C886" s="20" t="s">
        <v>3774</v>
      </c>
      <c r="D886" s="20" t="s">
        <v>7304</v>
      </c>
      <c r="E886" s="20" t="s">
        <v>7305</v>
      </c>
      <c r="F886" s="20" t="s">
        <v>2691</v>
      </c>
      <c r="G886" s="20" t="s">
        <v>3777</v>
      </c>
      <c r="H886" s="20" t="s">
        <v>6</v>
      </c>
      <c r="I886" s="39">
        <v>44755.404710358795</v>
      </c>
      <c r="J886" s="39">
        <v>44755.404710393515</v>
      </c>
      <c r="K886" s="20">
        <v>0</v>
      </c>
      <c r="L886" s="17" t="str">
        <f t="shared" si="13"/>
        <v>https://captureandgo.cloudlab.zhaw.ch/uploads/image_6f22069a00.jpg</v>
      </c>
    </row>
    <row r="887" spans="1:12" ht="16" x14ac:dyDescent="0.2">
      <c r="A887" s="20" t="s">
        <v>7306</v>
      </c>
      <c r="B887" s="20" t="s">
        <v>7307</v>
      </c>
      <c r="C887" s="20" t="s">
        <v>3774</v>
      </c>
      <c r="D887" s="20" t="s">
        <v>7308</v>
      </c>
      <c r="E887" s="20" t="s">
        <v>7309</v>
      </c>
      <c r="F887" s="20" t="s">
        <v>2694</v>
      </c>
      <c r="G887" s="20" t="s">
        <v>3777</v>
      </c>
      <c r="H887" s="20" t="s">
        <v>6</v>
      </c>
      <c r="I887" s="39">
        <v>44755.405094201386</v>
      </c>
      <c r="J887" s="39">
        <v>44755.405094236114</v>
      </c>
      <c r="K887" s="20">
        <v>0</v>
      </c>
      <c r="L887" s="17" t="str">
        <f t="shared" si="13"/>
        <v>https://captureandgo.cloudlab.zhaw.ch/uploads/image_8e7b027c22.jpg</v>
      </c>
    </row>
    <row r="888" spans="1:12" ht="16" x14ac:dyDescent="0.2">
      <c r="A888" s="20" t="s">
        <v>7310</v>
      </c>
      <c r="B888" s="20" t="s">
        <v>7311</v>
      </c>
      <c r="C888" s="20" t="s">
        <v>3774</v>
      </c>
      <c r="D888" s="20" t="s">
        <v>7312</v>
      </c>
      <c r="E888" s="20" t="s">
        <v>7313</v>
      </c>
      <c r="F888" s="20" t="s">
        <v>2698</v>
      </c>
      <c r="G888" s="20" t="s">
        <v>3777</v>
      </c>
      <c r="H888" s="20" t="s">
        <v>6</v>
      </c>
      <c r="I888" s="39">
        <v>44755.407983217592</v>
      </c>
      <c r="J888" s="39">
        <v>44755.407983263889</v>
      </c>
      <c r="K888" s="20">
        <v>0</v>
      </c>
      <c r="L888" s="17" t="str">
        <f t="shared" si="13"/>
        <v>https://captureandgo.cloudlab.zhaw.ch/uploads/image_caae17a719.jpg</v>
      </c>
    </row>
    <row r="889" spans="1:12" ht="16" x14ac:dyDescent="0.2">
      <c r="A889" s="20" t="s">
        <v>7314</v>
      </c>
      <c r="B889" s="20" t="s">
        <v>7315</v>
      </c>
      <c r="C889" s="20" t="s">
        <v>3774</v>
      </c>
      <c r="D889" s="20" t="s">
        <v>7316</v>
      </c>
      <c r="E889" s="20" t="s">
        <v>7317</v>
      </c>
      <c r="F889" s="20" t="s">
        <v>2701</v>
      </c>
      <c r="G889" s="20" t="s">
        <v>3777</v>
      </c>
      <c r="H889" s="20" t="s">
        <v>6</v>
      </c>
      <c r="I889" s="39">
        <v>44755.410610324077</v>
      </c>
      <c r="J889" s="39">
        <v>44755.410610370367</v>
      </c>
      <c r="K889" s="20">
        <v>0</v>
      </c>
      <c r="L889" s="17" t="str">
        <f t="shared" si="13"/>
        <v>https://captureandgo.cloudlab.zhaw.ch/uploads/image_658d70a275.jpg</v>
      </c>
    </row>
    <row r="890" spans="1:12" ht="16" x14ac:dyDescent="0.2">
      <c r="A890" s="20" t="s">
        <v>7318</v>
      </c>
      <c r="B890" s="20" t="s">
        <v>7319</v>
      </c>
      <c r="C890" s="20" t="s">
        <v>3774</v>
      </c>
      <c r="D890" s="20" t="s">
        <v>7320</v>
      </c>
      <c r="E890" s="20" t="s">
        <v>7321</v>
      </c>
      <c r="F890" s="20" t="s">
        <v>2701</v>
      </c>
      <c r="G890" s="20" t="s">
        <v>3777</v>
      </c>
      <c r="H890" s="20" t="s">
        <v>6</v>
      </c>
      <c r="I890" s="39">
        <v>44755.410628275466</v>
      </c>
      <c r="J890" s="39">
        <v>44755.410628310186</v>
      </c>
      <c r="K890" s="20">
        <v>0</v>
      </c>
      <c r="L890" s="17" t="str">
        <f t="shared" si="13"/>
        <v>https://captureandgo.cloudlab.zhaw.ch/uploads/image_9e3600b87f.jpg</v>
      </c>
    </row>
    <row r="891" spans="1:12" ht="16" x14ac:dyDescent="0.2">
      <c r="A891" s="20" t="s">
        <v>7322</v>
      </c>
      <c r="B891" s="20" t="s">
        <v>7323</v>
      </c>
      <c r="C891" s="20" t="s">
        <v>3774</v>
      </c>
      <c r="D891" s="20" t="s">
        <v>7324</v>
      </c>
      <c r="E891" s="20" t="s">
        <v>7325</v>
      </c>
      <c r="F891" s="20" t="s">
        <v>2701</v>
      </c>
      <c r="G891" s="20" t="s">
        <v>3777</v>
      </c>
      <c r="H891" s="20" t="s">
        <v>6</v>
      </c>
      <c r="I891" s="39">
        <v>44755.410734942132</v>
      </c>
      <c r="J891" s="39">
        <v>44755.410734976853</v>
      </c>
      <c r="K891" s="20">
        <v>0</v>
      </c>
      <c r="L891" s="17" t="str">
        <f t="shared" si="13"/>
        <v>https://captureandgo.cloudlab.zhaw.ch/uploads/image_98684b06f1.jpg</v>
      </c>
    </row>
    <row r="892" spans="1:12" ht="16" x14ac:dyDescent="0.2">
      <c r="A892" s="20" t="s">
        <v>7326</v>
      </c>
      <c r="B892" s="20" t="s">
        <v>7327</v>
      </c>
      <c r="C892" s="20" t="s">
        <v>3774</v>
      </c>
      <c r="D892" s="20" t="s">
        <v>7328</v>
      </c>
      <c r="E892" s="20" t="s">
        <v>7329</v>
      </c>
      <c r="F892" s="20" t="s">
        <v>2705</v>
      </c>
      <c r="G892" s="20" t="s">
        <v>3777</v>
      </c>
      <c r="H892" s="20" t="s">
        <v>6</v>
      </c>
      <c r="I892" s="39">
        <v>44755.411329224538</v>
      </c>
      <c r="J892" s="39">
        <v>44755.411329259259</v>
      </c>
      <c r="K892" s="20">
        <v>0</v>
      </c>
      <c r="L892" s="17" t="str">
        <f t="shared" si="13"/>
        <v>https://captureandgo.cloudlab.zhaw.ch/uploads/image_956b0f3ece.jpg</v>
      </c>
    </row>
    <row r="893" spans="1:12" ht="16" x14ac:dyDescent="0.2">
      <c r="A893" s="20" t="s">
        <v>7330</v>
      </c>
      <c r="B893" s="20" t="s">
        <v>7331</v>
      </c>
      <c r="C893" s="20" t="s">
        <v>3774</v>
      </c>
      <c r="D893" s="20" t="s">
        <v>7332</v>
      </c>
      <c r="E893" s="20" t="s">
        <v>7333</v>
      </c>
      <c r="F893" s="20" t="s">
        <v>2708</v>
      </c>
      <c r="G893" s="20" t="s">
        <v>3777</v>
      </c>
      <c r="H893" s="20" t="s">
        <v>6</v>
      </c>
      <c r="I893" s="39">
        <v>44755.412026261576</v>
      </c>
      <c r="J893" s="39">
        <v>44755.412026296297</v>
      </c>
      <c r="K893" s="20">
        <v>0</v>
      </c>
      <c r="L893" s="17" t="str">
        <f t="shared" si="13"/>
        <v>https://captureandgo.cloudlab.zhaw.ch/uploads/image_fc7a8af438.jpg</v>
      </c>
    </row>
    <row r="894" spans="1:12" ht="16" x14ac:dyDescent="0.2">
      <c r="A894" s="20" t="s">
        <v>7334</v>
      </c>
      <c r="B894" s="20" t="s">
        <v>7335</v>
      </c>
      <c r="C894" s="20" t="s">
        <v>3774</v>
      </c>
      <c r="D894" s="20" t="s">
        <v>7336</v>
      </c>
      <c r="E894" s="20" t="s">
        <v>7337</v>
      </c>
      <c r="F894" s="20" t="s">
        <v>2711</v>
      </c>
      <c r="G894" s="20" t="s">
        <v>3777</v>
      </c>
      <c r="H894" s="20" t="s">
        <v>6</v>
      </c>
      <c r="I894" s="39">
        <v>44755.412194710647</v>
      </c>
      <c r="J894" s="39">
        <v>44755.412194733799</v>
      </c>
      <c r="K894" s="20">
        <v>0</v>
      </c>
      <c r="L894" s="17" t="str">
        <f t="shared" si="13"/>
        <v>https://captureandgo.cloudlab.zhaw.ch/uploads/image_2d584922c1.jpg</v>
      </c>
    </row>
    <row r="895" spans="1:12" ht="16" x14ac:dyDescent="0.2">
      <c r="A895" s="20" t="s">
        <v>7338</v>
      </c>
      <c r="B895" s="20" t="s">
        <v>7339</v>
      </c>
      <c r="C895" s="20" t="s">
        <v>3774</v>
      </c>
      <c r="D895" s="20" t="s">
        <v>7340</v>
      </c>
      <c r="E895" s="20" t="s">
        <v>7341</v>
      </c>
      <c r="F895" s="20" t="s">
        <v>2715</v>
      </c>
      <c r="G895" s="20" t="s">
        <v>3777</v>
      </c>
      <c r="H895" s="20" t="s">
        <v>6</v>
      </c>
      <c r="I895" s="39">
        <v>44755.412653553241</v>
      </c>
      <c r="J895" s="39">
        <v>44755.412653587962</v>
      </c>
      <c r="K895" s="20">
        <v>0</v>
      </c>
      <c r="L895" s="17" t="str">
        <f t="shared" si="13"/>
        <v>https://captureandgo.cloudlab.zhaw.ch/uploads/image_5978296977.jpg</v>
      </c>
    </row>
    <row r="896" spans="1:12" ht="16" x14ac:dyDescent="0.2">
      <c r="A896" s="20" t="s">
        <v>7342</v>
      </c>
      <c r="B896" s="20" t="s">
        <v>7343</v>
      </c>
      <c r="C896" s="20" t="s">
        <v>3774</v>
      </c>
      <c r="D896" s="20" t="s">
        <v>7344</v>
      </c>
      <c r="E896" s="20" t="s">
        <v>7345</v>
      </c>
      <c r="F896" s="20" t="s">
        <v>2719</v>
      </c>
      <c r="G896" s="20" t="s">
        <v>3777</v>
      </c>
      <c r="H896" s="20" t="s">
        <v>6</v>
      </c>
      <c r="I896" s="39">
        <v>44755.414521539351</v>
      </c>
      <c r="J896" s="39">
        <v>44755.414521574072</v>
      </c>
      <c r="K896" s="20">
        <v>0</v>
      </c>
      <c r="L896" s="17" t="str">
        <f t="shared" si="13"/>
        <v>https://captureandgo.cloudlab.zhaw.ch/uploads/image_c4a8f7b56d.jpg</v>
      </c>
    </row>
    <row r="897" spans="1:12" ht="16" x14ac:dyDescent="0.2">
      <c r="A897" s="20" t="s">
        <v>7346</v>
      </c>
      <c r="B897" s="20" t="s">
        <v>7347</v>
      </c>
      <c r="C897" s="20" t="s">
        <v>3774</v>
      </c>
      <c r="D897" s="20" t="s">
        <v>7348</v>
      </c>
      <c r="E897" s="20" t="s">
        <v>7349</v>
      </c>
      <c r="F897" s="20" t="s">
        <v>2722</v>
      </c>
      <c r="G897" s="20" t="s">
        <v>3777</v>
      </c>
      <c r="H897" s="20" t="s">
        <v>6</v>
      </c>
      <c r="I897" s="39">
        <v>44755.415979513891</v>
      </c>
      <c r="J897" s="39">
        <v>44755.415979560188</v>
      </c>
      <c r="K897" s="20">
        <v>0</v>
      </c>
      <c r="L897" s="17" t="str">
        <f t="shared" si="13"/>
        <v>https://captureandgo.cloudlab.zhaw.ch/uploads/image_9e41785778.jpg</v>
      </c>
    </row>
    <row r="898" spans="1:12" ht="16" x14ac:dyDescent="0.2">
      <c r="A898" s="20" t="s">
        <v>7350</v>
      </c>
      <c r="B898" s="20" t="s">
        <v>7351</v>
      </c>
      <c r="C898" s="20" t="s">
        <v>3774</v>
      </c>
      <c r="D898" s="20" t="s">
        <v>7352</v>
      </c>
      <c r="E898" s="20" t="s">
        <v>7353</v>
      </c>
      <c r="F898" s="20" t="s">
        <v>2725</v>
      </c>
      <c r="G898" s="20" t="s">
        <v>3777</v>
      </c>
      <c r="H898" s="20" t="s">
        <v>6</v>
      </c>
      <c r="I898" s="39">
        <v>44755.416355671296</v>
      </c>
      <c r="J898" s="39">
        <v>44755.416355706016</v>
      </c>
      <c r="K898" s="20">
        <v>0</v>
      </c>
      <c r="L898" s="17" t="str">
        <f t="shared" ref="L898:L961" si="14">HYPERLINK("https://captureandgo.cloudlab.zhaw.ch"&amp;B898)</f>
        <v>https://captureandgo.cloudlab.zhaw.ch/uploads/image_e6ad64810d.jpg</v>
      </c>
    </row>
    <row r="899" spans="1:12" ht="16" x14ac:dyDescent="0.2">
      <c r="A899" s="20" t="s">
        <v>7354</v>
      </c>
      <c r="B899" s="20" t="s">
        <v>7355</v>
      </c>
      <c r="C899" s="20" t="s">
        <v>3774</v>
      </c>
      <c r="D899" s="20" t="s">
        <v>7356</v>
      </c>
      <c r="E899" s="20" t="s">
        <v>7357</v>
      </c>
      <c r="F899" s="20" t="s">
        <v>2728</v>
      </c>
      <c r="G899" s="20" t="s">
        <v>3777</v>
      </c>
      <c r="H899" s="20" t="s">
        <v>6</v>
      </c>
      <c r="I899" s="39">
        <v>44755.417062592591</v>
      </c>
      <c r="J899" s="39">
        <v>44755.417062615743</v>
      </c>
      <c r="K899" s="20">
        <v>0</v>
      </c>
      <c r="L899" s="17" t="str">
        <f t="shared" si="14"/>
        <v>https://captureandgo.cloudlab.zhaw.ch/uploads/image_10fe386e9a.jpg</v>
      </c>
    </row>
    <row r="900" spans="1:12" ht="16" x14ac:dyDescent="0.2">
      <c r="A900" s="20" t="s">
        <v>7358</v>
      </c>
      <c r="B900" s="20" t="s">
        <v>7359</v>
      </c>
      <c r="C900" s="20" t="s">
        <v>3774</v>
      </c>
      <c r="D900" s="20" t="s">
        <v>7360</v>
      </c>
      <c r="E900" s="20" t="s">
        <v>7361</v>
      </c>
      <c r="F900" s="20" t="s">
        <v>2732</v>
      </c>
      <c r="G900" s="20" t="s">
        <v>3777</v>
      </c>
      <c r="H900" s="20" t="s">
        <v>6</v>
      </c>
      <c r="I900" s="39">
        <v>44755.417857974535</v>
      </c>
      <c r="J900" s="39">
        <v>44755.417858009256</v>
      </c>
      <c r="K900" s="20">
        <v>0</v>
      </c>
      <c r="L900" s="17" t="str">
        <f t="shared" si="14"/>
        <v>https://captureandgo.cloudlab.zhaw.ch/uploads/image_6ee71d4303.jpg</v>
      </c>
    </row>
    <row r="901" spans="1:12" ht="16" x14ac:dyDescent="0.2">
      <c r="A901" s="20" t="s">
        <v>7362</v>
      </c>
      <c r="B901" s="20" t="s">
        <v>7363</v>
      </c>
      <c r="C901" s="20" t="s">
        <v>3774</v>
      </c>
      <c r="D901" s="20" t="s">
        <v>7364</v>
      </c>
      <c r="E901" s="20" t="s">
        <v>7365</v>
      </c>
      <c r="F901" s="20" t="s">
        <v>2735</v>
      </c>
      <c r="G901" s="20" t="s">
        <v>3777</v>
      </c>
      <c r="H901" s="20" t="s">
        <v>6</v>
      </c>
      <c r="I901" s="39">
        <v>44755.418713136576</v>
      </c>
      <c r="J901" s="39">
        <v>44755.418713182873</v>
      </c>
      <c r="K901" s="20">
        <v>0</v>
      </c>
      <c r="L901" s="17" t="str">
        <f t="shared" si="14"/>
        <v>https://captureandgo.cloudlab.zhaw.ch/uploads/image_19a321580c.jpg</v>
      </c>
    </row>
    <row r="902" spans="1:12" ht="16" x14ac:dyDescent="0.2">
      <c r="A902" s="20" t="s">
        <v>7366</v>
      </c>
      <c r="B902" s="20" t="s">
        <v>7367</v>
      </c>
      <c r="C902" s="20" t="s">
        <v>3774</v>
      </c>
      <c r="D902" s="20" t="s">
        <v>7368</v>
      </c>
      <c r="E902" s="20" t="s">
        <v>7369</v>
      </c>
      <c r="F902" s="20" t="s">
        <v>2738</v>
      </c>
      <c r="G902" s="20" t="s">
        <v>3777</v>
      </c>
      <c r="H902" s="20" t="s">
        <v>6</v>
      </c>
      <c r="I902" s="39">
        <v>44755.419105601854</v>
      </c>
      <c r="J902" s="39">
        <v>44755.419105636574</v>
      </c>
      <c r="K902" s="20">
        <v>0</v>
      </c>
      <c r="L902" s="17" t="str">
        <f t="shared" si="14"/>
        <v>https://captureandgo.cloudlab.zhaw.ch/uploads/image_9d91473e26.jpg</v>
      </c>
    </row>
    <row r="903" spans="1:12" ht="16" x14ac:dyDescent="0.2">
      <c r="A903" s="20" t="s">
        <v>7370</v>
      </c>
      <c r="B903" s="20" t="s">
        <v>7371</v>
      </c>
      <c r="C903" s="20" t="s">
        <v>3774</v>
      </c>
      <c r="D903" s="20" t="s">
        <v>7372</v>
      </c>
      <c r="E903" s="20" t="s">
        <v>7373</v>
      </c>
      <c r="F903" s="20" t="s">
        <v>2741</v>
      </c>
      <c r="G903" s="20" t="s">
        <v>3777</v>
      </c>
      <c r="H903" s="20" t="s">
        <v>6</v>
      </c>
      <c r="I903" s="39">
        <v>44755.419284988428</v>
      </c>
      <c r="J903" s="39">
        <v>44755.419285011572</v>
      </c>
      <c r="K903" s="20">
        <v>0</v>
      </c>
      <c r="L903" s="17" t="str">
        <f t="shared" si="14"/>
        <v>https://captureandgo.cloudlab.zhaw.ch/uploads/image_636a3f92e8.jpg</v>
      </c>
    </row>
    <row r="904" spans="1:12" ht="16" x14ac:dyDescent="0.2">
      <c r="A904" s="20" t="s">
        <v>7374</v>
      </c>
      <c r="B904" s="20" t="s">
        <v>7375</v>
      </c>
      <c r="C904" s="20" t="s">
        <v>3774</v>
      </c>
      <c r="D904" s="20" t="s">
        <v>7376</v>
      </c>
      <c r="E904" s="20" t="s">
        <v>7377</v>
      </c>
      <c r="F904" s="20" t="s">
        <v>2745</v>
      </c>
      <c r="G904" s="20" t="s">
        <v>3777</v>
      </c>
      <c r="H904" s="20" t="s">
        <v>6</v>
      </c>
      <c r="I904" s="39">
        <v>44755.421891863429</v>
      </c>
      <c r="J904" s="39">
        <v>44755.42189189815</v>
      </c>
      <c r="K904" s="20">
        <v>0</v>
      </c>
      <c r="L904" s="17" t="str">
        <f t="shared" si="14"/>
        <v>https://captureandgo.cloudlab.zhaw.ch/uploads/image_70fcd55385.jpg</v>
      </c>
    </row>
    <row r="905" spans="1:12" ht="16" x14ac:dyDescent="0.2">
      <c r="A905" s="20" t="s">
        <v>7378</v>
      </c>
      <c r="B905" s="20" t="s">
        <v>7379</v>
      </c>
      <c r="C905" s="20" t="s">
        <v>3774</v>
      </c>
      <c r="D905" s="20" t="s">
        <v>7380</v>
      </c>
      <c r="E905" s="20" t="s">
        <v>7381</v>
      </c>
      <c r="F905" s="20" t="s">
        <v>2749</v>
      </c>
      <c r="G905" s="20" t="s">
        <v>3777</v>
      </c>
      <c r="H905" s="20" t="s">
        <v>6</v>
      </c>
      <c r="I905" s="39">
        <v>44755.426073043978</v>
      </c>
      <c r="J905" s="39">
        <v>44755.426073078706</v>
      </c>
      <c r="K905" s="20">
        <v>0</v>
      </c>
      <c r="L905" s="17" t="str">
        <f t="shared" si="14"/>
        <v>https://captureandgo.cloudlab.zhaw.ch/uploads/image_5591b37f25.jpg</v>
      </c>
    </row>
    <row r="906" spans="1:12" ht="16" x14ac:dyDescent="0.2">
      <c r="A906" s="20" t="s">
        <v>7382</v>
      </c>
      <c r="B906" s="20" t="s">
        <v>7383</v>
      </c>
      <c r="C906" s="20" t="s">
        <v>3774</v>
      </c>
      <c r="D906" s="20" t="s">
        <v>7384</v>
      </c>
      <c r="E906" s="20" t="s">
        <v>7385</v>
      </c>
      <c r="F906" s="20" t="s">
        <v>2752</v>
      </c>
      <c r="G906" s="20" t="s">
        <v>3777</v>
      </c>
      <c r="H906" s="20" t="s">
        <v>6</v>
      </c>
      <c r="I906" s="39">
        <v>44755.428193240739</v>
      </c>
      <c r="J906" s="39">
        <v>44755.428193356478</v>
      </c>
      <c r="K906" s="20">
        <v>0</v>
      </c>
      <c r="L906" s="17" t="str">
        <f t="shared" si="14"/>
        <v>https://captureandgo.cloudlab.zhaw.ch/uploads/image_0b4399c025.jpg</v>
      </c>
    </row>
    <row r="907" spans="1:12" ht="16" x14ac:dyDescent="0.2">
      <c r="A907" s="20" t="s">
        <v>7386</v>
      </c>
      <c r="B907" s="20" t="s">
        <v>7387</v>
      </c>
      <c r="C907" s="20" t="s">
        <v>3774</v>
      </c>
      <c r="D907" s="20" t="s">
        <v>7388</v>
      </c>
      <c r="E907" s="20" t="s">
        <v>7389</v>
      </c>
      <c r="F907" s="20" t="s">
        <v>2755</v>
      </c>
      <c r="G907" s="20" t="s">
        <v>3777</v>
      </c>
      <c r="H907" s="20" t="s">
        <v>6</v>
      </c>
      <c r="I907" s="39">
        <v>44755.428912962961</v>
      </c>
      <c r="J907" s="39">
        <v>44755.428913113428</v>
      </c>
      <c r="K907" s="20">
        <v>0</v>
      </c>
      <c r="L907" s="17" t="str">
        <f t="shared" si="14"/>
        <v>https://captureandgo.cloudlab.zhaw.ch/uploads/image_f0ed631745.jpg</v>
      </c>
    </row>
    <row r="908" spans="1:12" ht="16" x14ac:dyDescent="0.2">
      <c r="A908" s="20" t="s">
        <v>7390</v>
      </c>
      <c r="B908" s="20" t="s">
        <v>7391</v>
      </c>
      <c r="C908" s="20" t="s">
        <v>3774</v>
      </c>
      <c r="D908" s="20" t="s">
        <v>7392</v>
      </c>
      <c r="E908" s="20" t="s">
        <v>7393</v>
      </c>
      <c r="F908" s="20" t="s">
        <v>2758</v>
      </c>
      <c r="G908" s="20" t="s">
        <v>3777</v>
      </c>
      <c r="H908" s="20" t="s">
        <v>6</v>
      </c>
      <c r="I908" s="39">
        <v>44755.429898622686</v>
      </c>
      <c r="J908" s="39">
        <v>44755.429898668983</v>
      </c>
      <c r="K908" s="20">
        <v>0</v>
      </c>
      <c r="L908" s="17" t="str">
        <f t="shared" si="14"/>
        <v>https://captureandgo.cloudlab.zhaw.ch/uploads/image_c4a9eada32.jpg</v>
      </c>
    </row>
    <row r="909" spans="1:12" ht="16" x14ac:dyDescent="0.2">
      <c r="A909" s="20" t="s">
        <v>7394</v>
      </c>
      <c r="B909" s="20" t="s">
        <v>7395</v>
      </c>
      <c r="C909" s="20" t="s">
        <v>3774</v>
      </c>
      <c r="D909" s="20" t="s">
        <v>7396</v>
      </c>
      <c r="E909" s="20" t="s">
        <v>7397</v>
      </c>
      <c r="F909" s="20" t="s">
        <v>2761</v>
      </c>
      <c r="G909" s="20" t="s">
        <v>3777</v>
      </c>
      <c r="H909" s="20" t="s">
        <v>6</v>
      </c>
      <c r="I909" s="39">
        <v>44755.431146238428</v>
      </c>
      <c r="J909" s="39">
        <v>44755.431146273149</v>
      </c>
      <c r="K909" s="20">
        <v>0</v>
      </c>
      <c r="L909" s="17" t="str">
        <f t="shared" si="14"/>
        <v>https://captureandgo.cloudlab.zhaw.ch/uploads/image_b8ac19d063.jpg</v>
      </c>
    </row>
    <row r="910" spans="1:12" ht="16" x14ac:dyDescent="0.2">
      <c r="A910" s="20" t="s">
        <v>7398</v>
      </c>
      <c r="B910" s="20" t="s">
        <v>7399</v>
      </c>
      <c r="C910" s="20" t="s">
        <v>3774</v>
      </c>
      <c r="D910" s="20" t="s">
        <v>7400</v>
      </c>
      <c r="E910" s="20" t="s">
        <v>7401</v>
      </c>
      <c r="F910" s="20" t="s">
        <v>2764</v>
      </c>
      <c r="G910" s="20" t="s">
        <v>3777</v>
      </c>
      <c r="H910" s="20" t="s">
        <v>6</v>
      </c>
      <c r="I910" s="39">
        <v>44755.432601909721</v>
      </c>
      <c r="J910" s="39">
        <v>44755.432601956018</v>
      </c>
      <c r="K910" s="20">
        <v>0</v>
      </c>
      <c r="L910" s="17" t="str">
        <f t="shared" si="14"/>
        <v>https://captureandgo.cloudlab.zhaw.ch/uploads/image_a719467579.jpg</v>
      </c>
    </row>
    <row r="911" spans="1:12" ht="16" x14ac:dyDescent="0.2">
      <c r="A911" s="20" t="s">
        <v>7402</v>
      </c>
      <c r="B911" s="20" t="s">
        <v>7403</v>
      </c>
      <c r="C911" s="20" t="s">
        <v>3774</v>
      </c>
      <c r="D911" s="20" t="s">
        <v>7404</v>
      </c>
      <c r="E911" s="20" t="s">
        <v>7405</v>
      </c>
      <c r="F911" s="20" t="s">
        <v>2768</v>
      </c>
      <c r="G911" s="20" t="s">
        <v>3777</v>
      </c>
      <c r="H911" s="20" t="s">
        <v>6</v>
      </c>
      <c r="I911" s="39">
        <v>44755.434044861111</v>
      </c>
      <c r="J911" s="39">
        <v>44755.434044907408</v>
      </c>
      <c r="K911" s="20">
        <v>0</v>
      </c>
      <c r="L911" s="17" t="str">
        <f t="shared" si="14"/>
        <v>https://captureandgo.cloudlab.zhaw.ch/uploads/image_f7468e480e.jpg</v>
      </c>
    </row>
    <row r="912" spans="1:12" ht="16" x14ac:dyDescent="0.2">
      <c r="A912" s="20" t="s">
        <v>7406</v>
      </c>
      <c r="B912" s="20" t="s">
        <v>7407</v>
      </c>
      <c r="C912" s="20" t="s">
        <v>3774</v>
      </c>
      <c r="D912" s="20" t="s">
        <v>7408</v>
      </c>
      <c r="E912" s="20" t="s">
        <v>7409</v>
      </c>
      <c r="F912" s="20" t="s">
        <v>2768</v>
      </c>
      <c r="G912" s="20" t="s">
        <v>3777</v>
      </c>
      <c r="H912" s="20" t="s">
        <v>6</v>
      </c>
      <c r="I912" s="39">
        <v>44755.43413332176</v>
      </c>
      <c r="J912" s="39">
        <v>44755.434133344905</v>
      </c>
      <c r="K912" s="20">
        <v>0</v>
      </c>
      <c r="L912" s="17" t="str">
        <f t="shared" si="14"/>
        <v>https://captureandgo.cloudlab.zhaw.ch/uploads/image_24326accba.jpg</v>
      </c>
    </row>
    <row r="913" spans="1:12" ht="16" x14ac:dyDescent="0.2">
      <c r="A913" s="20" t="s">
        <v>7410</v>
      </c>
      <c r="B913" s="20" t="s">
        <v>7411</v>
      </c>
      <c r="C913" s="20" t="s">
        <v>3774</v>
      </c>
      <c r="D913" s="20" t="s">
        <v>7412</v>
      </c>
      <c r="E913" s="20" t="s">
        <v>7413</v>
      </c>
      <c r="F913" s="20" t="s">
        <v>2772</v>
      </c>
      <c r="G913" s="20" t="s">
        <v>3777</v>
      </c>
      <c r="H913" s="20" t="s">
        <v>6</v>
      </c>
      <c r="I913" s="39">
        <v>44755.435038495372</v>
      </c>
      <c r="J913" s="39">
        <v>44755.435038564814</v>
      </c>
      <c r="K913" s="20">
        <v>0</v>
      </c>
      <c r="L913" s="17" t="str">
        <f t="shared" si="14"/>
        <v>https://captureandgo.cloudlab.zhaw.ch/uploads/image_b427aa0acb.jpg</v>
      </c>
    </row>
    <row r="914" spans="1:12" ht="16" x14ac:dyDescent="0.2">
      <c r="A914" s="20" t="s">
        <v>7414</v>
      </c>
      <c r="B914" s="20" t="s">
        <v>7415</v>
      </c>
      <c r="C914" s="20" t="s">
        <v>3774</v>
      </c>
      <c r="D914" s="20" t="s">
        <v>7416</v>
      </c>
      <c r="E914" s="20" t="s">
        <v>7417</v>
      </c>
      <c r="F914" s="20" t="s">
        <v>2775</v>
      </c>
      <c r="G914" s="20" t="s">
        <v>3777</v>
      </c>
      <c r="H914" s="20" t="s">
        <v>6</v>
      </c>
      <c r="I914" s="39">
        <v>44755.435737164349</v>
      </c>
      <c r="J914" s="39">
        <v>44755.435737199077</v>
      </c>
      <c r="K914" s="20">
        <v>0</v>
      </c>
      <c r="L914" s="17" t="str">
        <f t="shared" si="14"/>
        <v>https://captureandgo.cloudlab.zhaw.ch/uploads/image_a75683b473.jpg</v>
      </c>
    </row>
    <row r="915" spans="1:12" ht="16" x14ac:dyDescent="0.2">
      <c r="A915" s="20" t="s">
        <v>7418</v>
      </c>
      <c r="B915" s="20" t="s">
        <v>7419</v>
      </c>
      <c r="C915" s="20" t="s">
        <v>3774</v>
      </c>
      <c r="D915" s="20" t="s">
        <v>7420</v>
      </c>
      <c r="E915" s="20" t="s">
        <v>7421</v>
      </c>
      <c r="F915" s="20" t="s">
        <v>2778</v>
      </c>
      <c r="G915" s="20" t="s">
        <v>3777</v>
      </c>
      <c r="H915" s="20" t="s">
        <v>6</v>
      </c>
      <c r="I915" s="39">
        <v>44755.436404976848</v>
      </c>
      <c r="J915" s="39">
        <v>44755.436405011576</v>
      </c>
      <c r="K915" s="20">
        <v>0</v>
      </c>
      <c r="L915" s="17" t="str">
        <f t="shared" si="14"/>
        <v>https://captureandgo.cloudlab.zhaw.ch/uploads/image_dff3099ff7.jpg</v>
      </c>
    </row>
    <row r="916" spans="1:12" ht="16" x14ac:dyDescent="0.2">
      <c r="A916" s="20" t="s">
        <v>7422</v>
      </c>
      <c r="B916" s="20" t="s">
        <v>7423</v>
      </c>
      <c r="C916" s="20" t="s">
        <v>3774</v>
      </c>
      <c r="D916" s="20" t="s">
        <v>7424</v>
      </c>
      <c r="E916" s="20" t="s">
        <v>7425</v>
      </c>
      <c r="F916" s="20" t="s">
        <v>2781</v>
      </c>
      <c r="G916" s="20" t="s">
        <v>3777</v>
      </c>
      <c r="H916" s="20" t="s">
        <v>6</v>
      </c>
      <c r="I916" s="39">
        <v>44755.438152881943</v>
      </c>
      <c r="J916" s="39">
        <v>44755.43815292824</v>
      </c>
      <c r="K916" s="20">
        <v>0</v>
      </c>
      <c r="L916" s="17" t="str">
        <f t="shared" si="14"/>
        <v>https://captureandgo.cloudlab.zhaw.ch/uploads/image_3a9fedec44.jpg</v>
      </c>
    </row>
    <row r="917" spans="1:12" ht="16" x14ac:dyDescent="0.2">
      <c r="A917" s="20" t="s">
        <v>7426</v>
      </c>
      <c r="B917" s="20" t="s">
        <v>7427</v>
      </c>
      <c r="C917" s="20" t="s">
        <v>3774</v>
      </c>
      <c r="D917" s="20" t="s">
        <v>7428</v>
      </c>
      <c r="E917" s="20" t="s">
        <v>7429</v>
      </c>
      <c r="F917" s="20" t="s">
        <v>2784</v>
      </c>
      <c r="G917" s="20" t="s">
        <v>3777</v>
      </c>
      <c r="H917" s="20" t="s">
        <v>6</v>
      </c>
      <c r="I917" s="39">
        <v>44755.438711759256</v>
      </c>
      <c r="J917" s="39">
        <v>44755.438711793984</v>
      </c>
      <c r="K917" s="20">
        <v>0</v>
      </c>
      <c r="L917" s="17" t="str">
        <f t="shared" si="14"/>
        <v>https://captureandgo.cloudlab.zhaw.ch/uploads/image_84b6e6ca79.jpg</v>
      </c>
    </row>
    <row r="918" spans="1:12" ht="16" x14ac:dyDescent="0.2">
      <c r="A918" s="20" t="s">
        <v>7430</v>
      </c>
      <c r="B918" s="20" t="s">
        <v>7431</v>
      </c>
      <c r="C918" s="20" t="s">
        <v>3774</v>
      </c>
      <c r="D918" s="20" t="s">
        <v>7432</v>
      </c>
      <c r="E918" s="20" t="s">
        <v>7433</v>
      </c>
      <c r="F918" s="20" t="s">
        <v>2787</v>
      </c>
      <c r="G918" s="20" t="s">
        <v>3777</v>
      </c>
      <c r="H918" s="20" t="s">
        <v>6</v>
      </c>
      <c r="I918" s="39">
        <v>44755.439639247685</v>
      </c>
      <c r="J918" s="39">
        <v>44755.439639293982</v>
      </c>
      <c r="K918" s="20">
        <v>0</v>
      </c>
      <c r="L918" s="17" t="str">
        <f t="shared" si="14"/>
        <v>https://captureandgo.cloudlab.zhaw.ch/uploads/image_3e1343efe2.jpg</v>
      </c>
    </row>
    <row r="919" spans="1:12" ht="16" x14ac:dyDescent="0.2">
      <c r="A919" s="20" t="s">
        <v>7434</v>
      </c>
      <c r="B919" s="20" t="s">
        <v>7435</v>
      </c>
      <c r="C919" s="20" t="s">
        <v>3774</v>
      </c>
      <c r="D919" s="20" t="s">
        <v>7436</v>
      </c>
      <c r="E919" s="20" t="s">
        <v>7437</v>
      </c>
      <c r="F919" s="20" t="s">
        <v>2790</v>
      </c>
      <c r="G919" s="20" t="s">
        <v>3777</v>
      </c>
      <c r="H919" s="20" t="s">
        <v>6</v>
      </c>
      <c r="I919" s="39">
        <v>44755.441229745367</v>
      </c>
      <c r="J919" s="39">
        <v>44755.441229780095</v>
      </c>
      <c r="K919" s="20">
        <v>0</v>
      </c>
      <c r="L919" s="17" t="str">
        <f t="shared" si="14"/>
        <v>https://captureandgo.cloudlab.zhaw.ch/uploads/image_795ad7330a.jpg</v>
      </c>
    </row>
    <row r="920" spans="1:12" ht="16" x14ac:dyDescent="0.2">
      <c r="A920" s="20" t="s">
        <v>7438</v>
      </c>
      <c r="B920" s="20" t="s">
        <v>7439</v>
      </c>
      <c r="C920" s="20" t="s">
        <v>3774</v>
      </c>
      <c r="D920" s="20" t="s">
        <v>7440</v>
      </c>
      <c r="E920" s="20" t="s">
        <v>7441</v>
      </c>
      <c r="F920" s="20" t="s">
        <v>2790</v>
      </c>
      <c r="G920" s="20" t="s">
        <v>3777</v>
      </c>
      <c r="H920" s="20" t="s">
        <v>6</v>
      </c>
      <c r="I920" s="39">
        <v>44755.442098437503</v>
      </c>
      <c r="J920" s="39">
        <v>44755.442098460648</v>
      </c>
      <c r="K920" s="20">
        <v>0</v>
      </c>
      <c r="L920" s="17" t="str">
        <f t="shared" si="14"/>
        <v>https://captureandgo.cloudlab.zhaw.ch/uploads/image_b11d8719bd.jpg</v>
      </c>
    </row>
    <row r="921" spans="1:12" ht="16" x14ac:dyDescent="0.2">
      <c r="A921" s="20" t="s">
        <v>7442</v>
      </c>
      <c r="B921" s="20" t="s">
        <v>7443</v>
      </c>
      <c r="C921" s="20" t="s">
        <v>3774</v>
      </c>
      <c r="D921" s="20" t="s">
        <v>7444</v>
      </c>
      <c r="E921" s="20" t="s">
        <v>7445</v>
      </c>
      <c r="F921" s="20" t="s">
        <v>2793</v>
      </c>
      <c r="G921" s="20" t="s">
        <v>3777</v>
      </c>
      <c r="H921" s="20" t="s">
        <v>6</v>
      </c>
      <c r="I921" s="39">
        <v>44755.442858865739</v>
      </c>
      <c r="J921" s="39">
        <v>44755.44285890046</v>
      </c>
      <c r="K921" s="20">
        <v>0</v>
      </c>
      <c r="L921" s="17" t="str">
        <f t="shared" si="14"/>
        <v>https://captureandgo.cloudlab.zhaw.ch/uploads/image_24a693f625.jpg</v>
      </c>
    </row>
    <row r="922" spans="1:12" ht="16" x14ac:dyDescent="0.2">
      <c r="A922" s="20" t="s">
        <v>7446</v>
      </c>
      <c r="B922" s="20" t="s">
        <v>7447</v>
      </c>
      <c r="C922" s="20" t="s">
        <v>3774</v>
      </c>
      <c r="D922" s="20" t="s">
        <v>7448</v>
      </c>
      <c r="E922" s="20" t="s">
        <v>7449</v>
      </c>
      <c r="F922" s="20" t="s">
        <v>2796</v>
      </c>
      <c r="G922" s="20" t="s">
        <v>3777</v>
      </c>
      <c r="H922" s="20" t="s">
        <v>6</v>
      </c>
      <c r="I922" s="39">
        <v>44755.443293645832</v>
      </c>
      <c r="J922" s="39">
        <v>44755.443293668985</v>
      </c>
      <c r="K922" s="20">
        <v>0</v>
      </c>
      <c r="L922" s="17" t="str">
        <f t="shared" si="14"/>
        <v>https://captureandgo.cloudlab.zhaw.ch/uploads/image_655a656cdf.jpg</v>
      </c>
    </row>
    <row r="923" spans="1:12" ht="16" x14ac:dyDescent="0.2">
      <c r="A923" s="20" t="s">
        <v>7450</v>
      </c>
      <c r="B923" s="20" t="s">
        <v>7451</v>
      </c>
      <c r="C923" s="20" t="s">
        <v>3774</v>
      </c>
      <c r="D923" s="20" t="s">
        <v>7452</v>
      </c>
      <c r="E923" s="20" t="s">
        <v>7453</v>
      </c>
      <c r="F923" s="20" t="s">
        <v>2799</v>
      </c>
      <c r="G923" s="20" t="s">
        <v>3777</v>
      </c>
      <c r="H923" s="20" t="s">
        <v>6</v>
      </c>
      <c r="I923" s="39">
        <v>44755.444150798612</v>
      </c>
      <c r="J923" s="39">
        <v>44755.444150821757</v>
      </c>
      <c r="K923" s="20">
        <v>0</v>
      </c>
      <c r="L923" s="17" t="str">
        <f t="shared" si="14"/>
        <v>https://captureandgo.cloudlab.zhaw.ch/uploads/image_8876b10918.jpg</v>
      </c>
    </row>
    <row r="924" spans="1:12" ht="16" x14ac:dyDescent="0.2">
      <c r="A924" s="20" t="s">
        <v>7454</v>
      </c>
      <c r="B924" s="20" t="s">
        <v>7455</v>
      </c>
      <c r="C924" s="20" t="s">
        <v>3774</v>
      </c>
      <c r="D924" s="20" t="s">
        <v>7456</v>
      </c>
      <c r="E924" s="20" t="s">
        <v>7457</v>
      </c>
      <c r="F924" s="20" t="s">
        <v>2804</v>
      </c>
      <c r="G924" s="20" t="s">
        <v>3777</v>
      </c>
      <c r="H924" s="20" t="s">
        <v>6</v>
      </c>
      <c r="I924" s="39">
        <v>44755.445997488423</v>
      </c>
      <c r="J924" s="39">
        <v>44755.445997557872</v>
      </c>
      <c r="K924" s="20">
        <v>0</v>
      </c>
      <c r="L924" s="17" t="str">
        <f t="shared" si="14"/>
        <v>https://captureandgo.cloudlab.zhaw.ch/uploads/image_ded05a5af4.jpg</v>
      </c>
    </row>
    <row r="925" spans="1:12" ht="16" x14ac:dyDescent="0.2">
      <c r="A925" s="20" t="s">
        <v>7458</v>
      </c>
      <c r="B925" s="20" t="s">
        <v>7459</v>
      </c>
      <c r="C925" s="20" t="s">
        <v>3774</v>
      </c>
      <c r="D925" s="20" t="s">
        <v>7460</v>
      </c>
      <c r="E925" s="20" t="s">
        <v>7461</v>
      </c>
      <c r="F925" s="20" t="s">
        <v>2808</v>
      </c>
      <c r="G925" s="20" t="s">
        <v>3777</v>
      </c>
      <c r="H925" s="20" t="s">
        <v>6</v>
      </c>
      <c r="I925" s="39">
        <v>44755.446493368057</v>
      </c>
      <c r="J925" s="39">
        <v>44755.446493402778</v>
      </c>
      <c r="K925" s="20">
        <v>0</v>
      </c>
      <c r="L925" s="17" t="str">
        <f t="shared" si="14"/>
        <v>https://captureandgo.cloudlab.zhaw.ch/uploads/image_a55722d39d.jpg</v>
      </c>
    </row>
    <row r="926" spans="1:12" ht="16" x14ac:dyDescent="0.2">
      <c r="A926" s="20" t="s">
        <v>7462</v>
      </c>
      <c r="B926" s="20" t="s">
        <v>7463</v>
      </c>
      <c r="C926" s="20" t="s">
        <v>3774</v>
      </c>
      <c r="D926" s="20" t="s">
        <v>7464</v>
      </c>
      <c r="E926" s="20" t="s">
        <v>7465</v>
      </c>
      <c r="F926" s="20" t="s">
        <v>2811</v>
      </c>
      <c r="G926" s="20" t="s">
        <v>3777</v>
      </c>
      <c r="H926" s="20" t="s">
        <v>6</v>
      </c>
      <c r="I926" s="39">
        <v>44755.449520636575</v>
      </c>
      <c r="J926" s="39">
        <v>44755.449520682872</v>
      </c>
      <c r="K926" s="20">
        <v>0</v>
      </c>
      <c r="L926" s="17" t="str">
        <f t="shared" si="14"/>
        <v>https://captureandgo.cloudlab.zhaw.ch/uploads/image_cf786a664d.jpg</v>
      </c>
    </row>
    <row r="927" spans="1:12" ht="16" x14ac:dyDescent="0.2">
      <c r="A927" s="20" t="s">
        <v>7466</v>
      </c>
      <c r="B927" s="20" t="s">
        <v>7467</v>
      </c>
      <c r="C927" s="20" t="s">
        <v>3774</v>
      </c>
      <c r="D927" s="20" t="s">
        <v>7468</v>
      </c>
      <c r="E927" s="20" t="s">
        <v>7469</v>
      </c>
      <c r="F927" s="20" t="s">
        <v>2814</v>
      </c>
      <c r="G927" s="20" t="s">
        <v>3777</v>
      </c>
      <c r="H927" s="20" t="s">
        <v>6</v>
      </c>
      <c r="I927" s="39">
        <v>44755.449745821759</v>
      </c>
      <c r="J927" s="39">
        <v>44755.44974585648</v>
      </c>
      <c r="K927" s="20">
        <v>0</v>
      </c>
      <c r="L927" s="17" t="str">
        <f t="shared" si="14"/>
        <v>https://captureandgo.cloudlab.zhaw.ch/uploads/image_7322a66c8e.jpg</v>
      </c>
    </row>
    <row r="928" spans="1:12" ht="16" x14ac:dyDescent="0.2">
      <c r="A928" s="20" t="s">
        <v>7470</v>
      </c>
      <c r="B928" s="20" t="s">
        <v>7471</v>
      </c>
      <c r="C928" s="20" t="s">
        <v>3774</v>
      </c>
      <c r="D928" s="20" t="s">
        <v>7472</v>
      </c>
      <c r="E928" s="20" t="s">
        <v>7473</v>
      </c>
      <c r="F928" s="20" t="s">
        <v>2817</v>
      </c>
      <c r="G928" s="20" t="s">
        <v>3777</v>
      </c>
      <c r="H928" s="20" t="s">
        <v>6</v>
      </c>
      <c r="I928" s="39">
        <v>44755.450305925922</v>
      </c>
      <c r="J928" s="39">
        <v>44755.45030596065</v>
      </c>
      <c r="K928" s="20">
        <v>0</v>
      </c>
      <c r="L928" s="17" t="str">
        <f t="shared" si="14"/>
        <v>https://captureandgo.cloudlab.zhaw.ch/uploads/image_3597fee036.jpg</v>
      </c>
    </row>
    <row r="929" spans="1:12" ht="16" x14ac:dyDescent="0.2">
      <c r="A929" s="20" t="s">
        <v>7474</v>
      </c>
      <c r="B929" s="20" t="s">
        <v>7475</v>
      </c>
      <c r="C929" s="20" t="s">
        <v>3774</v>
      </c>
      <c r="D929" s="20" t="s">
        <v>7476</v>
      </c>
      <c r="E929" s="20" t="s">
        <v>7477</v>
      </c>
      <c r="F929" s="20" t="s">
        <v>2820</v>
      </c>
      <c r="G929" s="20" t="s">
        <v>3777</v>
      </c>
      <c r="H929" s="20" t="s">
        <v>6</v>
      </c>
      <c r="I929" s="39">
        <v>44755.450878206022</v>
      </c>
      <c r="J929" s="39">
        <v>44755.450878240743</v>
      </c>
      <c r="K929" s="20">
        <v>0</v>
      </c>
      <c r="L929" s="17" t="str">
        <f t="shared" si="14"/>
        <v>https://captureandgo.cloudlab.zhaw.ch/uploads/image_f7507b3116.jpg</v>
      </c>
    </row>
    <row r="930" spans="1:12" ht="16" x14ac:dyDescent="0.2">
      <c r="A930" s="20" t="s">
        <v>7478</v>
      </c>
      <c r="B930" s="20" t="s">
        <v>7479</v>
      </c>
      <c r="C930" s="20" t="s">
        <v>3774</v>
      </c>
      <c r="D930" s="20" t="s">
        <v>7480</v>
      </c>
      <c r="E930" s="20" t="s">
        <v>7481</v>
      </c>
      <c r="F930" s="20" t="s">
        <v>2824</v>
      </c>
      <c r="G930" s="20" t="s">
        <v>3777</v>
      </c>
      <c r="H930" s="20" t="s">
        <v>6</v>
      </c>
      <c r="I930" s="39">
        <v>44755.451579143519</v>
      </c>
      <c r="J930" s="39">
        <v>44755.45157917824</v>
      </c>
      <c r="K930" s="20">
        <v>0</v>
      </c>
      <c r="L930" s="17" t="str">
        <f t="shared" si="14"/>
        <v>https://captureandgo.cloudlab.zhaw.ch/uploads/image_013d8309a8.jpg</v>
      </c>
    </row>
    <row r="931" spans="1:12" ht="16" x14ac:dyDescent="0.2">
      <c r="A931" s="20" t="s">
        <v>7482</v>
      </c>
      <c r="B931" s="20" t="s">
        <v>7483</v>
      </c>
      <c r="C931" s="20" t="s">
        <v>3774</v>
      </c>
      <c r="D931" s="20" t="s">
        <v>7484</v>
      </c>
      <c r="E931" s="20" t="s">
        <v>7485</v>
      </c>
      <c r="F931" s="20" t="s">
        <v>2828</v>
      </c>
      <c r="G931" s="20" t="s">
        <v>3777</v>
      </c>
      <c r="H931" s="20" t="s">
        <v>6</v>
      </c>
      <c r="I931" s="39">
        <v>44755.453887233794</v>
      </c>
      <c r="J931" s="39">
        <v>44755.453887268515</v>
      </c>
      <c r="K931" s="20">
        <v>0</v>
      </c>
      <c r="L931" s="17" t="str">
        <f t="shared" si="14"/>
        <v>https://captureandgo.cloudlab.zhaw.ch/uploads/image_e997d73104.jpg</v>
      </c>
    </row>
    <row r="932" spans="1:12" ht="16" x14ac:dyDescent="0.2">
      <c r="A932" s="20" t="s">
        <v>7486</v>
      </c>
      <c r="B932" s="20" t="s">
        <v>7487</v>
      </c>
      <c r="C932" s="20" t="s">
        <v>3774</v>
      </c>
      <c r="D932" s="20" t="s">
        <v>7488</v>
      </c>
      <c r="E932" s="20" t="s">
        <v>7489</v>
      </c>
      <c r="F932" s="20" t="s">
        <v>2831</v>
      </c>
      <c r="G932" s="20" t="s">
        <v>3777</v>
      </c>
      <c r="H932" s="20" t="s">
        <v>6</v>
      </c>
      <c r="I932" s="39">
        <v>44755.458139259259</v>
      </c>
      <c r="J932" s="39">
        <v>44755.45813929398</v>
      </c>
      <c r="K932" s="20">
        <v>0</v>
      </c>
      <c r="L932" s="17" t="str">
        <f t="shared" si="14"/>
        <v>https://captureandgo.cloudlab.zhaw.ch/uploads/image_d83939e561.jpg</v>
      </c>
    </row>
    <row r="933" spans="1:12" ht="16" x14ac:dyDescent="0.2">
      <c r="A933" s="20" t="s">
        <v>7490</v>
      </c>
      <c r="B933" s="20" t="s">
        <v>7491</v>
      </c>
      <c r="C933" s="20" t="s">
        <v>3774</v>
      </c>
      <c r="D933" s="20" t="s">
        <v>7492</v>
      </c>
      <c r="E933" s="20" t="s">
        <v>7493</v>
      </c>
      <c r="F933" s="20" t="s">
        <v>2834</v>
      </c>
      <c r="G933" s="20" t="s">
        <v>3777</v>
      </c>
      <c r="H933" s="20" t="s">
        <v>6</v>
      </c>
      <c r="I933" s="39">
        <v>44755.458352986112</v>
      </c>
      <c r="J933" s="39">
        <v>44755.458353217589</v>
      </c>
      <c r="K933" s="20">
        <v>0</v>
      </c>
      <c r="L933" s="17" t="str">
        <f t="shared" si="14"/>
        <v>https://captureandgo.cloudlab.zhaw.ch/uploads/image_e372e0fca7.jpg</v>
      </c>
    </row>
    <row r="934" spans="1:12" ht="16" x14ac:dyDescent="0.2">
      <c r="A934" s="20" t="s">
        <v>7494</v>
      </c>
      <c r="B934" s="20" t="s">
        <v>7495</v>
      </c>
      <c r="C934" s="20" t="s">
        <v>3774</v>
      </c>
      <c r="D934" s="20" t="s">
        <v>7496</v>
      </c>
      <c r="E934" s="20" t="s">
        <v>7497</v>
      </c>
      <c r="F934" s="20" t="s">
        <v>2837</v>
      </c>
      <c r="G934" s="20" t="s">
        <v>3777</v>
      </c>
      <c r="H934" s="20" t="s">
        <v>6</v>
      </c>
      <c r="I934" s="39">
        <v>44762.351817488423</v>
      </c>
      <c r="J934" s="39">
        <v>44762.351817546296</v>
      </c>
      <c r="K934" s="20">
        <v>0</v>
      </c>
      <c r="L934" s="17" t="str">
        <f t="shared" si="14"/>
        <v>https://captureandgo.cloudlab.zhaw.ch/uploads/image_d74e9b6cf5.jpg</v>
      </c>
    </row>
    <row r="935" spans="1:12" ht="16" x14ac:dyDescent="0.2">
      <c r="A935" s="20" t="s">
        <v>7498</v>
      </c>
      <c r="B935" s="20" t="s">
        <v>7499</v>
      </c>
      <c r="C935" s="20" t="s">
        <v>3774</v>
      </c>
      <c r="D935" s="20" t="s">
        <v>7500</v>
      </c>
      <c r="E935" s="20" t="s">
        <v>7501</v>
      </c>
      <c r="F935" s="20" t="s">
        <v>2841</v>
      </c>
      <c r="G935" s="20" t="s">
        <v>3777</v>
      </c>
      <c r="H935" s="20" t="s">
        <v>6</v>
      </c>
      <c r="I935" s="39">
        <v>44762.353185</v>
      </c>
      <c r="J935" s="39">
        <v>44762.353185057873</v>
      </c>
      <c r="K935" s="20">
        <v>0</v>
      </c>
      <c r="L935" s="17" t="str">
        <f t="shared" si="14"/>
        <v>https://captureandgo.cloudlab.zhaw.ch/uploads/image_41b5ba1280.jpg</v>
      </c>
    </row>
    <row r="936" spans="1:12" ht="16" x14ac:dyDescent="0.2">
      <c r="A936" s="20" t="s">
        <v>7502</v>
      </c>
      <c r="B936" s="20" t="s">
        <v>7503</v>
      </c>
      <c r="C936" s="20" t="s">
        <v>3774</v>
      </c>
      <c r="D936" s="20" t="s">
        <v>7504</v>
      </c>
      <c r="E936" s="20" t="s">
        <v>7505</v>
      </c>
      <c r="F936" s="20" t="s">
        <v>2844</v>
      </c>
      <c r="G936" s="20" t="s">
        <v>3777</v>
      </c>
      <c r="H936" s="20" t="s">
        <v>6</v>
      </c>
      <c r="I936" s="39">
        <v>44762.353532407411</v>
      </c>
      <c r="J936" s="39">
        <v>44762.353532476853</v>
      </c>
      <c r="K936" s="20">
        <v>0</v>
      </c>
      <c r="L936" s="17" t="str">
        <f t="shared" si="14"/>
        <v>https://captureandgo.cloudlab.zhaw.ch/uploads/image_79ce8afbff.jpg</v>
      </c>
    </row>
    <row r="937" spans="1:12" ht="16" x14ac:dyDescent="0.2">
      <c r="A937" s="20" t="s">
        <v>7506</v>
      </c>
      <c r="B937" s="20" t="s">
        <v>7507</v>
      </c>
      <c r="C937" s="20" t="s">
        <v>3774</v>
      </c>
      <c r="D937" s="20" t="s">
        <v>7508</v>
      </c>
      <c r="E937" s="20" t="s">
        <v>7509</v>
      </c>
      <c r="F937" s="20" t="s">
        <v>2847</v>
      </c>
      <c r="G937" s="20" t="s">
        <v>3777</v>
      </c>
      <c r="H937" s="20" t="s">
        <v>6</v>
      </c>
      <c r="I937" s="39">
        <v>44762.35441162037</v>
      </c>
      <c r="J937" s="39">
        <v>44762.354411678243</v>
      </c>
      <c r="K937" s="20">
        <v>0</v>
      </c>
      <c r="L937" s="17" t="str">
        <f t="shared" si="14"/>
        <v>https://captureandgo.cloudlab.zhaw.ch/uploads/image_0a71de0d41.jpg</v>
      </c>
    </row>
    <row r="938" spans="1:12" ht="16" x14ac:dyDescent="0.2">
      <c r="A938" s="20" t="s">
        <v>7510</v>
      </c>
      <c r="B938" s="20" t="s">
        <v>7511</v>
      </c>
      <c r="C938" s="20" t="s">
        <v>3774</v>
      </c>
      <c r="D938" s="20" t="s">
        <v>7512</v>
      </c>
      <c r="E938" s="20" t="s">
        <v>7513</v>
      </c>
      <c r="F938" s="20" t="s">
        <v>2850</v>
      </c>
      <c r="G938" s="20" t="s">
        <v>3777</v>
      </c>
      <c r="H938" s="20" t="s">
        <v>6</v>
      </c>
      <c r="I938" s="39">
        <v>44762.355454259261</v>
      </c>
      <c r="J938" s="39">
        <v>44762.355454293982</v>
      </c>
      <c r="K938" s="20">
        <v>0</v>
      </c>
      <c r="L938" s="17" t="str">
        <f t="shared" si="14"/>
        <v>https://captureandgo.cloudlab.zhaw.ch/uploads/image_70d90058a2.jpg</v>
      </c>
    </row>
    <row r="939" spans="1:12" ht="16" x14ac:dyDescent="0.2">
      <c r="A939" s="20" t="s">
        <v>7514</v>
      </c>
      <c r="B939" s="20" t="s">
        <v>7515</v>
      </c>
      <c r="C939" s="20" t="s">
        <v>3774</v>
      </c>
      <c r="D939" s="20" t="s">
        <v>7516</v>
      </c>
      <c r="E939" s="20" t="s">
        <v>7517</v>
      </c>
      <c r="F939" s="20" t="s">
        <v>2853</v>
      </c>
      <c r="G939" s="20" t="s">
        <v>3777</v>
      </c>
      <c r="H939" s="20" t="s">
        <v>6</v>
      </c>
      <c r="I939" s="39">
        <v>44762.355743969907</v>
      </c>
      <c r="J939" s="39">
        <v>44762.355744004628</v>
      </c>
      <c r="K939" s="20">
        <v>0</v>
      </c>
      <c r="L939" s="17" t="str">
        <f t="shared" si="14"/>
        <v>https://captureandgo.cloudlab.zhaw.ch/uploads/image_51df2e3143.jpg</v>
      </c>
    </row>
    <row r="940" spans="1:12" ht="16" x14ac:dyDescent="0.2">
      <c r="A940" s="20" t="s">
        <v>7518</v>
      </c>
      <c r="B940" s="20" t="s">
        <v>7519</v>
      </c>
      <c r="C940" s="20" t="s">
        <v>3774</v>
      </c>
      <c r="D940" s="20" t="s">
        <v>7520</v>
      </c>
      <c r="E940" s="20" t="s">
        <v>7521</v>
      </c>
      <c r="F940" s="20" t="s">
        <v>2856</v>
      </c>
      <c r="G940" s="20" t="s">
        <v>3777</v>
      </c>
      <c r="H940" s="20" t="s">
        <v>6</v>
      </c>
      <c r="I940" s="39">
        <v>44762.355956446758</v>
      </c>
      <c r="J940" s="39">
        <v>44762.355956539352</v>
      </c>
      <c r="K940" s="20">
        <v>0</v>
      </c>
      <c r="L940" s="17" t="str">
        <f t="shared" si="14"/>
        <v>https://captureandgo.cloudlab.zhaw.ch/uploads/image_6bcd5c74fb.jpg</v>
      </c>
    </row>
    <row r="941" spans="1:12" ht="16" x14ac:dyDescent="0.2">
      <c r="A941" s="20" t="s">
        <v>7522</v>
      </c>
      <c r="B941" s="20" t="s">
        <v>7523</v>
      </c>
      <c r="C941" s="20" t="s">
        <v>3774</v>
      </c>
      <c r="D941" s="20" t="s">
        <v>7524</v>
      </c>
      <c r="E941" s="20" t="s">
        <v>7525</v>
      </c>
      <c r="F941" s="20" t="s">
        <v>2859</v>
      </c>
      <c r="G941" s="20" t="s">
        <v>3777</v>
      </c>
      <c r="H941" s="20" t="s">
        <v>6</v>
      </c>
      <c r="I941" s="39">
        <v>44762.356436620372</v>
      </c>
      <c r="J941" s="39">
        <v>44762.356436655093</v>
      </c>
      <c r="K941" s="20">
        <v>0</v>
      </c>
      <c r="L941" s="17" t="str">
        <f t="shared" si="14"/>
        <v>https://captureandgo.cloudlab.zhaw.ch/uploads/image_42b9d1892e.jpg</v>
      </c>
    </row>
    <row r="942" spans="1:12" ht="16" x14ac:dyDescent="0.2">
      <c r="A942" s="20" t="s">
        <v>7526</v>
      </c>
      <c r="B942" s="20" t="s">
        <v>7527</v>
      </c>
      <c r="C942" s="20" t="s">
        <v>3774</v>
      </c>
      <c r="D942" s="20" t="s">
        <v>7528</v>
      </c>
      <c r="E942" s="20" t="s">
        <v>7529</v>
      </c>
      <c r="F942" s="20" t="s">
        <v>2862</v>
      </c>
      <c r="G942" s="20" t="s">
        <v>3777</v>
      </c>
      <c r="H942" s="20" t="s">
        <v>6</v>
      </c>
      <c r="I942" s="39">
        <v>44762.356928900466</v>
      </c>
      <c r="J942" s="39">
        <v>44762.356928946756</v>
      </c>
      <c r="K942" s="20">
        <v>0</v>
      </c>
      <c r="L942" s="17" t="str">
        <f t="shared" si="14"/>
        <v>https://captureandgo.cloudlab.zhaw.ch/uploads/image_a03e3db693.jpg</v>
      </c>
    </row>
    <row r="943" spans="1:12" ht="16" x14ac:dyDescent="0.2">
      <c r="A943" s="20" t="s">
        <v>7530</v>
      </c>
      <c r="B943" s="20" t="s">
        <v>7531</v>
      </c>
      <c r="C943" s="20" t="s">
        <v>3774</v>
      </c>
      <c r="D943" s="20" t="s">
        <v>7532</v>
      </c>
      <c r="E943" s="20" t="s">
        <v>7533</v>
      </c>
      <c r="F943" s="20" t="s">
        <v>2865</v>
      </c>
      <c r="G943" s="20" t="s">
        <v>3777</v>
      </c>
      <c r="H943" s="20" t="s">
        <v>6</v>
      </c>
      <c r="I943" s="39">
        <v>44762.358776550929</v>
      </c>
      <c r="J943" s="39">
        <v>44762.35877658565</v>
      </c>
      <c r="K943" s="20">
        <v>0</v>
      </c>
      <c r="L943" s="17" t="str">
        <f t="shared" si="14"/>
        <v>https://captureandgo.cloudlab.zhaw.ch/uploads/image_c077099354.jpg</v>
      </c>
    </row>
    <row r="944" spans="1:12" ht="16" x14ac:dyDescent="0.2">
      <c r="A944" s="20" t="s">
        <v>7534</v>
      </c>
      <c r="B944" s="20" t="s">
        <v>7535</v>
      </c>
      <c r="C944" s="20" t="s">
        <v>3774</v>
      </c>
      <c r="D944" s="20" t="s">
        <v>7536</v>
      </c>
      <c r="E944" s="20" t="s">
        <v>7537</v>
      </c>
      <c r="F944" s="20" t="s">
        <v>2868</v>
      </c>
      <c r="G944" s="20" t="s">
        <v>3777</v>
      </c>
      <c r="H944" s="20" t="s">
        <v>6</v>
      </c>
      <c r="I944" s="39">
        <v>44762.359116157408</v>
      </c>
      <c r="J944" s="39">
        <v>44762.359116203705</v>
      </c>
      <c r="K944" s="20">
        <v>0</v>
      </c>
      <c r="L944" s="17" t="str">
        <f t="shared" si="14"/>
        <v>https://captureandgo.cloudlab.zhaw.ch/uploads/image_d59a4d5f32.jpg</v>
      </c>
    </row>
    <row r="945" spans="1:12" ht="16" x14ac:dyDescent="0.2">
      <c r="A945" s="20" t="s">
        <v>7538</v>
      </c>
      <c r="B945" s="20" t="s">
        <v>7539</v>
      </c>
      <c r="C945" s="20" t="s">
        <v>3774</v>
      </c>
      <c r="D945" s="20" t="s">
        <v>7540</v>
      </c>
      <c r="E945" s="20" t="s">
        <v>7541</v>
      </c>
      <c r="F945" s="20" t="s">
        <v>2871</v>
      </c>
      <c r="G945" s="20" t="s">
        <v>3777</v>
      </c>
      <c r="H945" s="20" t="s">
        <v>6</v>
      </c>
      <c r="I945" s="39">
        <v>44762.359647037039</v>
      </c>
      <c r="J945" s="39">
        <v>44762.359647083336</v>
      </c>
      <c r="K945" s="20">
        <v>0</v>
      </c>
      <c r="L945" s="17" t="str">
        <f t="shared" si="14"/>
        <v>https://captureandgo.cloudlab.zhaw.ch/uploads/image_6d9e95231d.jpg</v>
      </c>
    </row>
    <row r="946" spans="1:12" ht="16" x14ac:dyDescent="0.2">
      <c r="A946" s="20" t="s">
        <v>7542</v>
      </c>
      <c r="B946" s="20" t="s">
        <v>7543</v>
      </c>
      <c r="C946" s="20" t="s">
        <v>3774</v>
      </c>
      <c r="D946" s="20" t="s">
        <v>7544</v>
      </c>
      <c r="E946" s="20" t="s">
        <v>7545</v>
      </c>
      <c r="F946" s="20" t="s">
        <v>2874</v>
      </c>
      <c r="G946" s="20" t="s">
        <v>3777</v>
      </c>
      <c r="H946" s="20" t="s">
        <v>6</v>
      </c>
      <c r="I946" s="39">
        <v>44762.360678321762</v>
      </c>
      <c r="J946" s="39">
        <v>44762.360678356483</v>
      </c>
      <c r="K946" s="20">
        <v>0</v>
      </c>
      <c r="L946" s="17" t="str">
        <f t="shared" si="14"/>
        <v>https://captureandgo.cloudlab.zhaw.ch/uploads/image_d27383cc3e.jpg</v>
      </c>
    </row>
    <row r="947" spans="1:12" ht="16" x14ac:dyDescent="0.2">
      <c r="A947" s="20" t="s">
        <v>7546</v>
      </c>
      <c r="B947" s="20" t="s">
        <v>7547</v>
      </c>
      <c r="C947" s="20" t="s">
        <v>3774</v>
      </c>
      <c r="D947" s="20" t="s">
        <v>7548</v>
      </c>
      <c r="E947" s="20" t="s">
        <v>7549</v>
      </c>
      <c r="F947" s="20" t="s">
        <v>2878</v>
      </c>
      <c r="G947" s="20" t="s">
        <v>3777</v>
      </c>
      <c r="H947" s="20" t="s">
        <v>6</v>
      </c>
      <c r="I947" s="39">
        <v>44762.361478217594</v>
      </c>
      <c r="J947" s="39">
        <v>44762.361478240739</v>
      </c>
      <c r="K947" s="20">
        <v>0</v>
      </c>
      <c r="L947" s="17" t="str">
        <f t="shared" si="14"/>
        <v>https://captureandgo.cloudlab.zhaw.ch/uploads/image_79bb357e43.jpg</v>
      </c>
    </row>
    <row r="948" spans="1:12" ht="16" x14ac:dyDescent="0.2">
      <c r="A948" s="20" t="s">
        <v>7550</v>
      </c>
      <c r="B948" s="20" t="s">
        <v>7551</v>
      </c>
      <c r="C948" s="20" t="s">
        <v>3774</v>
      </c>
      <c r="D948" s="20" t="s">
        <v>7552</v>
      </c>
      <c r="E948" s="20" t="s">
        <v>7553</v>
      </c>
      <c r="F948" s="20" t="s">
        <v>2882</v>
      </c>
      <c r="G948" s="20" t="s">
        <v>3777</v>
      </c>
      <c r="H948" s="20" t="s">
        <v>6</v>
      </c>
      <c r="I948" s="39">
        <v>44762.361990381942</v>
      </c>
      <c r="J948" s="39">
        <v>44762.36199041667</v>
      </c>
      <c r="K948" s="20">
        <v>0</v>
      </c>
      <c r="L948" s="17" t="str">
        <f t="shared" si="14"/>
        <v>https://captureandgo.cloudlab.zhaw.ch/uploads/image_4f0cfc6621.jpg</v>
      </c>
    </row>
    <row r="949" spans="1:12" ht="16" x14ac:dyDescent="0.2">
      <c r="A949" s="20" t="s">
        <v>7554</v>
      </c>
      <c r="B949" s="20" t="s">
        <v>7555</v>
      </c>
      <c r="C949" s="20" t="s">
        <v>3774</v>
      </c>
      <c r="D949" s="20" t="s">
        <v>7556</v>
      </c>
      <c r="E949" s="20" t="s">
        <v>7557</v>
      </c>
      <c r="F949" s="20" t="s">
        <v>2885</v>
      </c>
      <c r="G949" s="20" t="s">
        <v>3777</v>
      </c>
      <c r="H949" s="20" t="s">
        <v>6</v>
      </c>
      <c r="I949" s="39">
        <v>44762.362543587966</v>
      </c>
      <c r="J949" s="39">
        <v>44762.362543611111</v>
      </c>
      <c r="K949" s="20">
        <v>0</v>
      </c>
      <c r="L949" s="17" t="str">
        <f t="shared" si="14"/>
        <v>https://captureandgo.cloudlab.zhaw.ch/uploads/image_004cbe811c.jpg</v>
      </c>
    </row>
    <row r="950" spans="1:12" ht="16" x14ac:dyDescent="0.2">
      <c r="A950" s="20" t="s">
        <v>7558</v>
      </c>
      <c r="B950" s="20" t="s">
        <v>7559</v>
      </c>
      <c r="C950" s="20" t="s">
        <v>3774</v>
      </c>
      <c r="D950" s="20" t="s">
        <v>7560</v>
      </c>
      <c r="E950" s="20" t="s">
        <v>7561</v>
      </c>
      <c r="F950" s="20" t="s">
        <v>2888</v>
      </c>
      <c r="G950" s="20" t="s">
        <v>3777</v>
      </c>
      <c r="H950" s="20" t="s">
        <v>6</v>
      </c>
      <c r="I950" s="39">
        <v>44762.362861875001</v>
      </c>
      <c r="J950" s="39">
        <v>44762.362861909722</v>
      </c>
      <c r="K950" s="20">
        <v>0</v>
      </c>
      <c r="L950" s="17" t="str">
        <f t="shared" si="14"/>
        <v>https://captureandgo.cloudlab.zhaw.ch/uploads/image_2038c21de3.jpg</v>
      </c>
    </row>
    <row r="951" spans="1:12" ht="16" x14ac:dyDescent="0.2">
      <c r="A951" s="20" t="s">
        <v>7562</v>
      </c>
      <c r="B951" s="20" t="s">
        <v>7563</v>
      </c>
      <c r="C951" s="20" t="s">
        <v>3774</v>
      </c>
      <c r="D951" s="20" t="s">
        <v>7564</v>
      </c>
      <c r="E951" s="20" t="s">
        <v>7565</v>
      </c>
      <c r="F951" s="20" t="s">
        <v>2891</v>
      </c>
      <c r="G951" s="20" t="s">
        <v>3777</v>
      </c>
      <c r="H951" s="20" t="s">
        <v>6</v>
      </c>
      <c r="I951" s="39">
        <v>44762.36314296296</v>
      </c>
      <c r="J951" s="39">
        <v>44762.363142997689</v>
      </c>
      <c r="K951" s="20">
        <v>0</v>
      </c>
      <c r="L951" s="17" t="str">
        <f t="shared" si="14"/>
        <v>https://captureandgo.cloudlab.zhaw.ch/uploads/image_8d21339ac7.jpg</v>
      </c>
    </row>
    <row r="952" spans="1:12" ht="16" x14ac:dyDescent="0.2">
      <c r="A952" s="20" t="s">
        <v>7566</v>
      </c>
      <c r="B952" s="20" t="s">
        <v>7567</v>
      </c>
      <c r="C952" s="20" t="s">
        <v>3774</v>
      </c>
      <c r="D952" s="20" t="s">
        <v>7568</v>
      </c>
      <c r="E952" s="20" t="s">
        <v>7569</v>
      </c>
      <c r="F952" s="20" t="s">
        <v>2895</v>
      </c>
      <c r="G952" s="20" t="s">
        <v>3777</v>
      </c>
      <c r="H952" s="20" t="s">
        <v>6</v>
      </c>
      <c r="I952" s="39">
        <v>44762.364567974539</v>
      </c>
      <c r="J952" s="39">
        <v>44762.36456800926</v>
      </c>
      <c r="K952" s="20">
        <v>0</v>
      </c>
      <c r="L952" s="17" t="str">
        <f t="shared" si="14"/>
        <v>https://captureandgo.cloudlab.zhaw.ch/uploads/image_badccb2845.jpg</v>
      </c>
    </row>
    <row r="953" spans="1:12" ht="16" x14ac:dyDescent="0.2">
      <c r="A953" s="20" t="s">
        <v>7570</v>
      </c>
      <c r="B953" s="20" t="s">
        <v>7571</v>
      </c>
      <c r="C953" s="20" t="s">
        <v>3774</v>
      </c>
      <c r="D953" s="20" t="s">
        <v>7572</v>
      </c>
      <c r="E953" s="20" t="s">
        <v>7573</v>
      </c>
      <c r="F953" s="20" t="s">
        <v>2898</v>
      </c>
      <c r="G953" s="20" t="s">
        <v>3777</v>
      </c>
      <c r="H953" s="20" t="s">
        <v>6</v>
      </c>
      <c r="I953" s="39">
        <v>44762.364902592592</v>
      </c>
      <c r="J953" s="39">
        <v>44762.364902627312</v>
      </c>
      <c r="K953" s="20">
        <v>0</v>
      </c>
      <c r="L953" s="17" t="str">
        <f t="shared" si="14"/>
        <v>https://captureandgo.cloudlab.zhaw.ch/uploads/image_05c795017b.jpg</v>
      </c>
    </row>
    <row r="954" spans="1:12" ht="16" x14ac:dyDescent="0.2">
      <c r="A954" s="20" t="s">
        <v>7574</v>
      </c>
      <c r="B954" s="20" t="s">
        <v>7575</v>
      </c>
      <c r="C954" s="20" t="s">
        <v>3774</v>
      </c>
      <c r="D954" s="20" t="s">
        <v>7576</v>
      </c>
      <c r="E954" s="20" t="s">
        <v>7577</v>
      </c>
      <c r="F954" s="20" t="s">
        <v>2901</v>
      </c>
      <c r="G954" s="20" t="s">
        <v>3777</v>
      </c>
      <c r="H954" s="20" t="s">
        <v>6</v>
      </c>
      <c r="I954" s="39">
        <v>44762.366029108794</v>
      </c>
      <c r="J954" s="39">
        <v>44762.366029155091</v>
      </c>
      <c r="K954" s="20">
        <v>0</v>
      </c>
      <c r="L954" s="17" t="str">
        <f t="shared" si="14"/>
        <v>https://captureandgo.cloudlab.zhaw.ch/uploads/image_8b80498c5d.jpg</v>
      </c>
    </row>
    <row r="955" spans="1:12" ht="16" x14ac:dyDescent="0.2">
      <c r="A955" s="20" t="s">
        <v>7578</v>
      </c>
      <c r="B955" s="20" t="s">
        <v>7579</v>
      </c>
      <c r="C955" s="20" t="s">
        <v>3774</v>
      </c>
      <c r="D955" s="20" t="s">
        <v>7580</v>
      </c>
      <c r="E955" s="20" t="s">
        <v>7581</v>
      </c>
      <c r="F955" s="20" t="s">
        <v>2904</v>
      </c>
      <c r="G955" s="20" t="s">
        <v>3777</v>
      </c>
      <c r="H955" s="20" t="s">
        <v>6</v>
      </c>
      <c r="I955" s="39">
        <v>44762.367245416666</v>
      </c>
      <c r="J955" s="39">
        <v>44762.367245474539</v>
      </c>
      <c r="K955" s="20">
        <v>0</v>
      </c>
      <c r="L955" s="17" t="str">
        <f t="shared" si="14"/>
        <v>https://captureandgo.cloudlab.zhaw.ch/uploads/image_10b591ef61.jpg</v>
      </c>
    </row>
    <row r="956" spans="1:12" ht="16" x14ac:dyDescent="0.2">
      <c r="A956" s="20" t="s">
        <v>7582</v>
      </c>
      <c r="B956" s="20" t="s">
        <v>7583</v>
      </c>
      <c r="C956" s="20" t="s">
        <v>3774</v>
      </c>
      <c r="D956" s="20" t="s">
        <v>7584</v>
      </c>
      <c r="E956" s="20" t="s">
        <v>7585</v>
      </c>
      <c r="F956" s="20" t="s">
        <v>2908</v>
      </c>
      <c r="G956" s="20" t="s">
        <v>3777</v>
      </c>
      <c r="H956" s="20" t="s">
        <v>6</v>
      </c>
      <c r="I956" s="39">
        <v>44762.36873923611</v>
      </c>
      <c r="J956" s="39">
        <v>44762.368739270831</v>
      </c>
      <c r="K956" s="20">
        <v>0</v>
      </c>
      <c r="L956" s="17" t="str">
        <f t="shared" si="14"/>
        <v>https://captureandgo.cloudlab.zhaw.ch/uploads/image_0efc586d0b.jpg</v>
      </c>
    </row>
    <row r="957" spans="1:12" ht="16" x14ac:dyDescent="0.2">
      <c r="A957" s="20" t="s">
        <v>7586</v>
      </c>
      <c r="B957" s="20" t="s">
        <v>7587</v>
      </c>
      <c r="C957" s="20" t="s">
        <v>3774</v>
      </c>
      <c r="D957" s="20" t="s">
        <v>7588</v>
      </c>
      <c r="E957" s="20" t="s">
        <v>7589</v>
      </c>
      <c r="F957" s="20" t="s">
        <v>2912</v>
      </c>
      <c r="G957" s="20" t="s">
        <v>3777</v>
      </c>
      <c r="H957" s="20" t="s">
        <v>6</v>
      </c>
      <c r="I957" s="39">
        <v>44762.370111793978</v>
      </c>
      <c r="J957" s="39">
        <v>44762.370111840275</v>
      </c>
      <c r="K957" s="20">
        <v>0</v>
      </c>
      <c r="L957" s="17" t="str">
        <f t="shared" si="14"/>
        <v>https://captureandgo.cloudlab.zhaw.ch/uploads/image_e8aa624bb6.jpg</v>
      </c>
    </row>
    <row r="958" spans="1:12" ht="16" x14ac:dyDescent="0.2">
      <c r="A958" s="20" t="s">
        <v>7590</v>
      </c>
      <c r="B958" s="20" t="s">
        <v>7591</v>
      </c>
      <c r="C958" s="20" t="s">
        <v>3774</v>
      </c>
      <c r="D958" s="20" t="s">
        <v>7592</v>
      </c>
      <c r="E958" s="20" t="s">
        <v>7593</v>
      </c>
      <c r="F958" s="20" t="s">
        <v>2912</v>
      </c>
      <c r="G958" s="20" t="s">
        <v>3777</v>
      </c>
      <c r="H958" s="20" t="s">
        <v>6</v>
      </c>
      <c r="I958" s="39">
        <v>44762.370223854166</v>
      </c>
      <c r="J958" s="39">
        <v>44762.370223888887</v>
      </c>
      <c r="K958" s="20">
        <v>0</v>
      </c>
      <c r="L958" s="17" t="str">
        <f t="shared" si="14"/>
        <v>https://captureandgo.cloudlab.zhaw.ch/uploads/image_fba7a480b2.jpg</v>
      </c>
    </row>
    <row r="959" spans="1:12" ht="16" x14ac:dyDescent="0.2">
      <c r="A959" s="20" t="s">
        <v>7594</v>
      </c>
      <c r="B959" s="20" t="s">
        <v>7595</v>
      </c>
      <c r="C959" s="20" t="s">
        <v>3774</v>
      </c>
      <c r="D959" s="20" t="s">
        <v>7596</v>
      </c>
      <c r="E959" s="20" t="s">
        <v>7597</v>
      </c>
      <c r="F959" s="20" t="s">
        <v>2912</v>
      </c>
      <c r="G959" s="20" t="s">
        <v>3777</v>
      </c>
      <c r="H959" s="20" t="s">
        <v>6</v>
      </c>
      <c r="I959" s="39">
        <v>44762.370268113424</v>
      </c>
      <c r="J959" s="39">
        <v>44762.370268136576</v>
      </c>
      <c r="K959" s="20">
        <v>0</v>
      </c>
      <c r="L959" s="17" t="str">
        <f t="shared" si="14"/>
        <v>https://captureandgo.cloudlab.zhaw.ch/uploads/image_30024d99c0.jpg</v>
      </c>
    </row>
    <row r="960" spans="1:12" ht="16" x14ac:dyDescent="0.2">
      <c r="A960" s="20" t="s">
        <v>7598</v>
      </c>
      <c r="B960" s="20" t="s">
        <v>7599</v>
      </c>
      <c r="C960" s="20" t="s">
        <v>3774</v>
      </c>
      <c r="D960" s="20" t="s">
        <v>7600</v>
      </c>
      <c r="E960" s="20" t="s">
        <v>7601</v>
      </c>
      <c r="F960" s="20" t="s">
        <v>2915</v>
      </c>
      <c r="G960" s="20" t="s">
        <v>3777</v>
      </c>
      <c r="H960" s="20" t="s">
        <v>6</v>
      </c>
      <c r="I960" s="39">
        <v>44762.370962870373</v>
      </c>
      <c r="J960" s="39">
        <v>44762.370962905094</v>
      </c>
      <c r="K960" s="20">
        <v>0</v>
      </c>
      <c r="L960" s="17" t="str">
        <f t="shared" si="14"/>
        <v>https://captureandgo.cloudlab.zhaw.ch/uploads/image_677a9f2b9e.jpg</v>
      </c>
    </row>
    <row r="961" spans="1:12" ht="16" x14ac:dyDescent="0.2">
      <c r="A961" s="20" t="s">
        <v>7602</v>
      </c>
      <c r="B961" s="20" t="s">
        <v>7603</v>
      </c>
      <c r="C961" s="20" t="s">
        <v>3774</v>
      </c>
      <c r="D961" s="20" t="s">
        <v>7604</v>
      </c>
      <c r="E961" s="20" t="s">
        <v>7605</v>
      </c>
      <c r="F961" s="20" t="s">
        <v>2918</v>
      </c>
      <c r="G961" s="20" t="s">
        <v>3777</v>
      </c>
      <c r="H961" s="20" t="s">
        <v>6</v>
      </c>
      <c r="I961" s="39">
        <v>44762.371746689816</v>
      </c>
      <c r="J961" s="39">
        <v>44762.371746724537</v>
      </c>
      <c r="K961" s="20">
        <v>0</v>
      </c>
      <c r="L961" s="17" t="str">
        <f t="shared" si="14"/>
        <v>https://captureandgo.cloudlab.zhaw.ch/uploads/image_7f7592d84e.jpg</v>
      </c>
    </row>
    <row r="962" spans="1:12" ht="16" x14ac:dyDescent="0.2">
      <c r="A962" s="20" t="s">
        <v>7606</v>
      </c>
      <c r="B962" s="20" t="s">
        <v>7607</v>
      </c>
      <c r="C962" s="20" t="s">
        <v>3774</v>
      </c>
      <c r="D962" s="20" t="s">
        <v>7608</v>
      </c>
      <c r="E962" s="20" t="s">
        <v>7609</v>
      </c>
      <c r="F962" s="20" t="s">
        <v>2921</v>
      </c>
      <c r="G962" s="20" t="s">
        <v>3777</v>
      </c>
      <c r="H962" s="20" t="s">
        <v>6</v>
      </c>
      <c r="I962" s="39">
        <v>44762.373729756946</v>
      </c>
      <c r="J962" s="39">
        <v>44762.373729791667</v>
      </c>
      <c r="K962" s="20">
        <v>0</v>
      </c>
      <c r="L962" s="17" t="str">
        <f t="shared" ref="L962:L1025" si="15">HYPERLINK("https://captureandgo.cloudlab.zhaw.ch"&amp;B962)</f>
        <v>https://captureandgo.cloudlab.zhaw.ch/uploads/image_5bd0152067.jpg</v>
      </c>
    </row>
    <row r="963" spans="1:12" ht="16" x14ac:dyDescent="0.2">
      <c r="A963" s="20" t="s">
        <v>7610</v>
      </c>
      <c r="B963" s="20" t="s">
        <v>7611</v>
      </c>
      <c r="C963" s="20" t="s">
        <v>3774</v>
      </c>
      <c r="D963" s="20" t="s">
        <v>7612</v>
      </c>
      <c r="E963" s="20" t="s">
        <v>7613</v>
      </c>
      <c r="F963" s="20" t="s">
        <v>2924</v>
      </c>
      <c r="G963" s="20" t="s">
        <v>3777</v>
      </c>
      <c r="H963" s="20" t="s">
        <v>6</v>
      </c>
      <c r="I963" s="39">
        <v>44762.374040925926</v>
      </c>
      <c r="J963" s="39">
        <v>44762.374040983799</v>
      </c>
      <c r="K963" s="20">
        <v>0</v>
      </c>
      <c r="L963" s="17" t="str">
        <f t="shared" si="15"/>
        <v>https://captureandgo.cloudlab.zhaw.ch/uploads/image_06e1731d02.jpg</v>
      </c>
    </row>
    <row r="964" spans="1:12" ht="16" x14ac:dyDescent="0.2">
      <c r="A964" s="20" t="s">
        <v>7614</v>
      </c>
      <c r="B964" s="20" t="s">
        <v>7615</v>
      </c>
      <c r="C964" s="20" t="s">
        <v>3774</v>
      </c>
      <c r="D964" s="20" t="s">
        <v>7616</v>
      </c>
      <c r="E964" s="20" t="s">
        <v>7617</v>
      </c>
      <c r="F964" s="20" t="s">
        <v>2927</v>
      </c>
      <c r="G964" s="20" t="s">
        <v>3777</v>
      </c>
      <c r="H964" s="20" t="s">
        <v>6</v>
      </c>
      <c r="I964" s="39">
        <v>44762.374804733794</v>
      </c>
      <c r="J964" s="39">
        <v>44762.374804768522</v>
      </c>
      <c r="K964" s="20">
        <v>0</v>
      </c>
      <c r="L964" s="17" t="str">
        <f t="shared" si="15"/>
        <v>https://captureandgo.cloudlab.zhaw.ch/uploads/image_2f12426689.jpg</v>
      </c>
    </row>
    <row r="965" spans="1:12" ht="16" x14ac:dyDescent="0.2">
      <c r="A965" s="20" t="s">
        <v>7618</v>
      </c>
      <c r="B965" s="20" t="s">
        <v>7619</v>
      </c>
      <c r="C965" s="20" t="s">
        <v>3774</v>
      </c>
      <c r="D965" s="20" t="s">
        <v>7620</v>
      </c>
      <c r="E965" s="20" t="s">
        <v>7621</v>
      </c>
      <c r="F965" s="20" t="s">
        <v>2930</v>
      </c>
      <c r="G965" s="20" t="s">
        <v>3777</v>
      </c>
      <c r="H965" s="20" t="s">
        <v>6</v>
      </c>
      <c r="I965" s="39">
        <v>44762.375929768517</v>
      </c>
      <c r="J965" s="39">
        <v>44762.375929814814</v>
      </c>
      <c r="K965" s="20">
        <v>0</v>
      </c>
      <c r="L965" s="17" t="str">
        <f t="shared" si="15"/>
        <v>https://captureandgo.cloudlab.zhaw.ch/uploads/image_b88ad7bba1.jpg</v>
      </c>
    </row>
    <row r="966" spans="1:12" ht="16" x14ac:dyDescent="0.2">
      <c r="A966" s="20" t="s">
        <v>7622</v>
      </c>
      <c r="B966" s="20" t="s">
        <v>7623</v>
      </c>
      <c r="C966" s="20" t="s">
        <v>3774</v>
      </c>
      <c r="D966" s="20" t="s">
        <v>7624</v>
      </c>
      <c r="E966" s="20" t="s">
        <v>7625</v>
      </c>
      <c r="F966" s="20" t="s">
        <v>2934</v>
      </c>
      <c r="G966" s="20" t="s">
        <v>3777</v>
      </c>
      <c r="H966" s="20" t="s">
        <v>6</v>
      </c>
      <c r="I966" s="39">
        <v>44762.376907627317</v>
      </c>
      <c r="J966" s="39">
        <v>44762.376907673613</v>
      </c>
      <c r="K966" s="20">
        <v>0</v>
      </c>
      <c r="L966" s="17" t="str">
        <f t="shared" si="15"/>
        <v>https://captureandgo.cloudlab.zhaw.ch/uploads/image_6f71883ac6.jpg</v>
      </c>
    </row>
    <row r="967" spans="1:12" ht="16" x14ac:dyDescent="0.2">
      <c r="A967" s="20" t="s">
        <v>7626</v>
      </c>
      <c r="B967" s="20" t="s">
        <v>7627</v>
      </c>
      <c r="C967" s="20" t="s">
        <v>3774</v>
      </c>
      <c r="D967" s="20" t="s">
        <v>7628</v>
      </c>
      <c r="E967" s="20" t="s">
        <v>7629</v>
      </c>
      <c r="F967" s="20" t="s">
        <v>2934</v>
      </c>
      <c r="G967" s="20" t="s">
        <v>3777</v>
      </c>
      <c r="H967" s="20" t="s">
        <v>6</v>
      </c>
      <c r="I967" s="39">
        <v>44762.376961759262</v>
      </c>
      <c r="J967" s="39">
        <v>44762.376961793983</v>
      </c>
      <c r="K967" s="20">
        <v>0</v>
      </c>
      <c r="L967" s="17" t="str">
        <f t="shared" si="15"/>
        <v>https://captureandgo.cloudlab.zhaw.ch/uploads/image_670cdb7f21.jpg</v>
      </c>
    </row>
    <row r="968" spans="1:12" ht="16" x14ac:dyDescent="0.2">
      <c r="A968" s="20" t="s">
        <v>7630</v>
      </c>
      <c r="B968" s="20" t="s">
        <v>7631</v>
      </c>
      <c r="C968" s="20" t="s">
        <v>3774</v>
      </c>
      <c r="D968" s="20" t="s">
        <v>7632</v>
      </c>
      <c r="E968" s="20" t="s">
        <v>7633</v>
      </c>
      <c r="F968" s="20" t="s">
        <v>2934</v>
      </c>
      <c r="G968" s="20" t="s">
        <v>3777</v>
      </c>
      <c r="H968" s="20" t="s">
        <v>6</v>
      </c>
      <c r="I968" s="39">
        <v>44762.376981631947</v>
      </c>
      <c r="J968" s="39">
        <v>44762.376981655092</v>
      </c>
      <c r="K968" s="20">
        <v>0</v>
      </c>
      <c r="L968" s="17" t="str">
        <f t="shared" si="15"/>
        <v>https://captureandgo.cloudlab.zhaw.ch/uploads/image_09415f0ad3.jpg</v>
      </c>
    </row>
    <row r="969" spans="1:12" ht="16" x14ac:dyDescent="0.2">
      <c r="A969" s="20" t="s">
        <v>7634</v>
      </c>
      <c r="B969" s="20" t="s">
        <v>7635</v>
      </c>
      <c r="C969" s="20" t="s">
        <v>3774</v>
      </c>
      <c r="D969" s="20" t="s">
        <v>7636</v>
      </c>
      <c r="E969" s="20" t="s">
        <v>7637</v>
      </c>
      <c r="F969" s="20" t="s">
        <v>2934</v>
      </c>
      <c r="G969" s="20" t="s">
        <v>3777</v>
      </c>
      <c r="H969" s="20" t="s">
        <v>6</v>
      </c>
      <c r="I969" s="39">
        <v>44762.377010787037</v>
      </c>
      <c r="J969" s="39">
        <v>44762.37701084491</v>
      </c>
      <c r="K969" s="20">
        <v>0</v>
      </c>
      <c r="L969" s="17" t="str">
        <f t="shared" si="15"/>
        <v>https://captureandgo.cloudlab.zhaw.ch/uploads/image_52ec0d7b08.jpg</v>
      </c>
    </row>
    <row r="970" spans="1:12" ht="16" x14ac:dyDescent="0.2">
      <c r="A970" s="20" t="s">
        <v>7638</v>
      </c>
      <c r="B970" s="20" t="s">
        <v>7639</v>
      </c>
      <c r="C970" s="20" t="s">
        <v>3774</v>
      </c>
      <c r="D970" s="20" t="s">
        <v>7640</v>
      </c>
      <c r="E970" s="20" t="s">
        <v>7641</v>
      </c>
      <c r="F970" s="20" t="s">
        <v>2937</v>
      </c>
      <c r="G970" s="20" t="s">
        <v>3777</v>
      </c>
      <c r="H970" s="20" t="s">
        <v>6</v>
      </c>
      <c r="I970" s="39">
        <v>44762.377460000003</v>
      </c>
      <c r="J970" s="39">
        <v>44762.377460034724</v>
      </c>
      <c r="K970" s="20">
        <v>0</v>
      </c>
      <c r="L970" s="17" t="str">
        <f t="shared" si="15"/>
        <v>https://captureandgo.cloudlab.zhaw.ch/uploads/image_24906163fb.jpg</v>
      </c>
    </row>
    <row r="971" spans="1:12" ht="16" x14ac:dyDescent="0.2">
      <c r="A971" s="20" t="s">
        <v>7642</v>
      </c>
      <c r="B971" s="20" t="s">
        <v>7643</v>
      </c>
      <c r="C971" s="20" t="s">
        <v>3774</v>
      </c>
      <c r="D971" s="20" t="s">
        <v>7644</v>
      </c>
      <c r="E971" s="20" t="s">
        <v>7645</v>
      </c>
      <c r="F971" s="20" t="s">
        <v>2940</v>
      </c>
      <c r="G971" s="20" t="s">
        <v>3777</v>
      </c>
      <c r="H971" s="20" t="s">
        <v>6</v>
      </c>
      <c r="I971" s="39">
        <v>44762.378645196761</v>
      </c>
      <c r="J971" s="39">
        <v>44762.378645231482</v>
      </c>
      <c r="K971" s="20">
        <v>0</v>
      </c>
      <c r="L971" s="17" t="str">
        <f t="shared" si="15"/>
        <v>https://captureandgo.cloudlab.zhaw.ch/uploads/image_460847880a.jpg</v>
      </c>
    </row>
    <row r="972" spans="1:12" ht="16" x14ac:dyDescent="0.2">
      <c r="A972" s="20" t="s">
        <v>7646</v>
      </c>
      <c r="B972" s="20" t="s">
        <v>7647</v>
      </c>
      <c r="C972" s="20" t="s">
        <v>3774</v>
      </c>
      <c r="D972" s="20" t="s">
        <v>7648</v>
      </c>
      <c r="E972" s="20" t="s">
        <v>35</v>
      </c>
      <c r="F972" s="20" t="s">
        <v>35</v>
      </c>
      <c r="G972" s="20" t="s">
        <v>35</v>
      </c>
      <c r="H972" s="20" t="s">
        <v>35</v>
      </c>
      <c r="I972" s="39">
        <v>44762.380662175929</v>
      </c>
      <c r="J972" s="39">
        <v>44762.380662175929</v>
      </c>
      <c r="K972" s="20">
        <v>0</v>
      </c>
      <c r="L972" s="17" t="str">
        <f t="shared" si="15"/>
        <v>https://captureandgo.cloudlab.zhaw.ch/uploads/image_014d391dac.jpg</v>
      </c>
    </row>
    <row r="973" spans="1:12" ht="16" x14ac:dyDescent="0.2">
      <c r="A973" s="20" t="s">
        <v>7649</v>
      </c>
      <c r="B973" s="20" t="s">
        <v>7650</v>
      </c>
      <c r="C973" s="20" t="s">
        <v>3774</v>
      </c>
      <c r="D973" s="20" t="s">
        <v>7651</v>
      </c>
      <c r="E973" s="20" t="s">
        <v>7652</v>
      </c>
      <c r="F973" s="20" t="s">
        <v>2945</v>
      </c>
      <c r="G973" s="20" t="s">
        <v>3777</v>
      </c>
      <c r="H973" s="20" t="s">
        <v>6</v>
      </c>
      <c r="I973" s="39">
        <v>44762.381989085647</v>
      </c>
      <c r="J973" s="39">
        <v>44762.381989155096</v>
      </c>
      <c r="K973" s="20">
        <v>0</v>
      </c>
      <c r="L973" s="17" t="str">
        <f t="shared" si="15"/>
        <v>https://captureandgo.cloudlab.zhaw.ch/uploads/image_ba30abf8e8.jpg</v>
      </c>
    </row>
    <row r="974" spans="1:12" ht="16" x14ac:dyDescent="0.2">
      <c r="A974" s="20" t="s">
        <v>7653</v>
      </c>
      <c r="B974" s="20" t="s">
        <v>7654</v>
      </c>
      <c r="C974" s="20" t="s">
        <v>3774</v>
      </c>
      <c r="D974" s="20" t="s">
        <v>7655</v>
      </c>
      <c r="E974" s="20" t="s">
        <v>7656</v>
      </c>
      <c r="F974" s="20" t="s">
        <v>2948</v>
      </c>
      <c r="G974" s="20" t="s">
        <v>3777</v>
      </c>
      <c r="H974" s="20" t="s">
        <v>6</v>
      </c>
      <c r="I974" s="39">
        <v>44762.382976689812</v>
      </c>
      <c r="J974" s="39">
        <v>44762.382976724541</v>
      </c>
      <c r="K974" s="20">
        <v>0</v>
      </c>
      <c r="L974" s="17" t="str">
        <f t="shared" si="15"/>
        <v>https://captureandgo.cloudlab.zhaw.ch/uploads/image_88bcb614a2.jpg</v>
      </c>
    </row>
    <row r="975" spans="1:12" ht="16" x14ac:dyDescent="0.2">
      <c r="A975" s="20" t="s">
        <v>7657</v>
      </c>
      <c r="B975" s="20" t="s">
        <v>7658</v>
      </c>
      <c r="C975" s="20" t="s">
        <v>3774</v>
      </c>
      <c r="D975" s="20" t="s">
        <v>7659</v>
      </c>
      <c r="E975" s="20" t="s">
        <v>7660</v>
      </c>
      <c r="F975" s="20" t="s">
        <v>2953</v>
      </c>
      <c r="G975" s="20" t="s">
        <v>3777</v>
      </c>
      <c r="H975" s="20" t="s">
        <v>6</v>
      </c>
      <c r="I975" s="39">
        <v>44762.384027824075</v>
      </c>
      <c r="J975" s="39">
        <v>44762.384027870372</v>
      </c>
      <c r="K975" s="20">
        <v>0</v>
      </c>
      <c r="L975" s="17" t="str">
        <f t="shared" si="15"/>
        <v>https://captureandgo.cloudlab.zhaw.ch/uploads/image_121b19a0d5.jpg</v>
      </c>
    </row>
    <row r="976" spans="1:12" ht="16" x14ac:dyDescent="0.2">
      <c r="A976" s="20" t="s">
        <v>7661</v>
      </c>
      <c r="B976" s="20" t="s">
        <v>7662</v>
      </c>
      <c r="C976" s="20" t="s">
        <v>3774</v>
      </c>
      <c r="D976" s="20" t="s">
        <v>7663</v>
      </c>
      <c r="E976" s="20" t="s">
        <v>7664</v>
      </c>
      <c r="F976" s="20" t="s">
        <v>2956</v>
      </c>
      <c r="G976" s="20" t="s">
        <v>3777</v>
      </c>
      <c r="H976" s="20" t="s">
        <v>6</v>
      </c>
      <c r="I976" s="39">
        <v>44762.385297314817</v>
      </c>
      <c r="J976" s="39">
        <v>44762.385297349538</v>
      </c>
      <c r="K976" s="20">
        <v>0</v>
      </c>
      <c r="L976" s="17" t="str">
        <f t="shared" si="15"/>
        <v>https://captureandgo.cloudlab.zhaw.ch/uploads/image_eb234a88d0.jpg</v>
      </c>
    </row>
    <row r="977" spans="1:12" ht="16" x14ac:dyDescent="0.2">
      <c r="A977" s="20" t="s">
        <v>7665</v>
      </c>
      <c r="B977" s="20" t="s">
        <v>7666</v>
      </c>
      <c r="C977" s="20" t="s">
        <v>3774</v>
      </c>
      <c r="D977" s="20" t="s">
        <v>7667</v>
      </c>
      <c r="E977" s="20" t="s">
        <v>7668</v>
      </c>
      <c r="F977" s="20" t="s">
        <v>2959</v>
      </c>
      <c r="G977" s="20" t="s">
        <v>3777</v>
      </c>
      <c r="H977" s="20" t="s">
        <v>6</v>
      </c>
      <c r="I977" s="39">
        <v>44762.385676296297</v>
      </c>
      <c r="J977" s="39">
        <v>44762.385676342594</v>
      </c>
      <c r="K977" s="20">
        <v>0</v>
      </c>
      <c r="L977" s="17" t="str">
        <f t="shared" si="15"/>
        <v>https://captureandgo.cloudlab.zhaw.ch/uploads/image_37e7bc08e5.jpg</v>
      </c>
    </row>
    <row r="978" spans="1:12" ht="16" x14ac:dyDescent="0.2">
      <c r="A978" s="20" t="s">
        <v>7669</v>
      </c>
      <c r="B978" s="20" t="s">
        <v>7670</v>
      </c>
      <c r="C978" s="20" t="s">
        <v>3774</v>
      </c>
      <c r="D978" s="20" t="s">
        <v>7671</v>
      </c>
      <c r="E978" s="20" t="s">
        <v>7672</v>
      </c>
      <c r="F978" s="20" t="s">
        <v>2962</v>
      </c>
      <c r="G978" s="20" t="s">
        <v>3777</v>
      </c>
      <c r="H978" s="20" t="s">
        <v>6</v>
      </c>
      <c r="I978" s="39">
        <v>44762.386015625001</v>
      </c>
      <c r="J978" s="39">
        <v>44762.386015659722</v>
      </c>
      <c r="K978" s="20">
        <v>0</v>
      </c>
      <c r="L978" s="17" t="str">
        <f t="shared" si="15"/>
        <v>https://captureandgo.cloudlab.zhaw.ch/uploads/image_611a83d717.jpg</v>
      </c>
    </row>
    <row r="979" spans="1:12" ht="16" x14ac:dyDescent="0.2">
      <c r="A979" s="20" t="s">
        <v>7673</v>
      </c>
      <c r="B979" s="20" t="s">
        <v>7674</v>
      </c>
      <c r="C979" s="20" t="s">
        <v>3774</v>
      </c>
      <c r="D979" s="20" t="s">
        <v>7675</v>
      </c>
      <c r="E979" s="20" t="s">
        <v>7676</v>
      </c>
      <c r="F979" s="20" t="s">
        <v>2965</v>
      </c>
      <c r="G979" s="20" t="s">
        <v>3777</v>
      </c>
      <c r="H979" s="20" t="s">
        <v>6</v>
      </c>
      <c r="I979" s="39">
        <v>44762.38690229167</v>
      </c>
      <c r="J979" s="39">
        <v>44762.386902337959</v>
      </c>
      <c r="K979" s="20">
        <v>0</v>
      </c>
      <c r="L979" s="17" t="str">
        <f t="shared" si="15"/>
        <v>https://captureandgo.cloudlab.zhaw.ch/uploads/image_540c31de9c.jpg</v>
      </c>
    </row>
    <row r="980" spans="1:12" ht="16" x14ac:dyDescent="0.2">
      <c r="A980" s="20" t="s">
        <v>7677</v>
      </c>
      <c r="B980" s="20" t="s">
        <v>7678</v>
      </c>
      <c r="C980" s="20" t="s">
        <v>3774</v>
      </c>
      <c r="D980" s="20" t="s">
        <v>7679</v>
      </c>
      <c r="E980" s="20" t="s">
        <v>7680</v>
      </c>
      <c r="F980" s="20" t="s">
        <v>2968</v>
      </c>
      <c r="G980" s="20" t="s">
        <v>3777</v>
      </c>
      <c r="H980" s="20" t="s">
        <v>6</v>
      </c>
      <c r="I980" s="39">
        <v>44762.387921631947</v>
      </c>
      <c r="J980" s="39">
        <v>44762.387921666668</v>
      </c>
      <c r="K980" s="20">
        <v>0</v>
      </c>
      <c r="L980" s="17" t="str">
        <f t="shared" si="15"/>
        <v>https://captureandgo.cloudlab.zhaw.ch/uploads/image_465878ac99.jpg</v>
      </c>
    </row>
    <row r="981" spans="1:12" ht="16" x14ac:dyDescent="0.2">
      <c r="A981" s="20" t="s">
        <v>7681</v>
      </c>
      <c r="B981" s="20" t="s">
        <v>7682</v>
      </c>
      <c r="C981" s="20" t="s">
        <v>3774</v>
      </c>
      <c r="D981" s="20" t="s">
        <v>7683</v>
      </c>
      <c r="E981" s="20" t="s">
        <v>7684</v>
      </c>
      <c r="F981" s="20" t="s">
        <v>2971</v>
      </c>
      <c r="G981" s="20" t="s">
        <v>3777</v>
      </c>
      <c r="H981" s="20" t="s">
        <v>6</v>
      </c>
      <c r="I981" s="39">
        <v>44762.38901392361</v>
      </c>
      <c r="J981" s="39">
        <v>44762.389013969907</v>
      </c>
      <c r="K981" s="20">
        <v>0</v>
      </c>
      <c r="L981" s="17" t="str">
        <f t="shared" si="15"/>
        <v>https://captureandgo.cloudlab.zhaw.ch/uploads/image_80e4e67242.jpg</v>
      </c>
    </row>
    <row r="982" spans="1:12" ht="16" x14ac:dyDescent="0.2">
      <c r="A982" s="20" t="s">
        <v>7685</v>
      </c>
      <c r="B982" s="20" t="s">
        <v>7686</v>
      </c>
      <c r="C982" s="20" t="s">
        <v>3774</v>
      </c>
      <c r="D982" s="20" t="s">
        <v>7687</v>
      </c>
      <c r="E982" s="20" t="s">
        <v>7688</v>
      </c>
      <c r="F982" s="20" t="s">
        <v>2974</v>
      </c>
      <c r="G982" s="20" t="s">
        <v>3777</v>
      </c>
      <c r="H982" s="20" t="s">
        <v>6</v>
      </c>
      <c r="I982" s="39">
        <v>44762.390671539353</v>
      </c>
      <c r="J982" s="39">
        <v>44762.390671597219</v>
      </c>
      <c r="K982" s="20">
        <v>0</v>
      </c>
      <c r="L982" s="17" t="str">
        <f t="shared" si="15"/>
        <v>https://captureandgo.cloudlab.zhaw.ch/uploads/image_614fdb3fa0.jpg</v>
      </c>
    </row>
    <row r="983" spans="1:12" ht="16" x14ac:dyDescent="0.2">
      <c r="A983" s="20" t="s">
        <v>7689</v>
      </c>
      <c r="B983" s="20" t="s">
        <v>7690</v>
      </c>
      <c r="C983" s="20" t="s">
        <v>3774</v>
      </c>
      <c r="D983" s="20" t="s">
        <v>7691</v>
      </c>
      <c r="E983" s="20" t="s">
        <v>7692</v>
      </c>
      <c r="F983" s="20" t="s">
        <v>2977</v>
      </c>
      <c r="G983" s="20" t="s">
        <v>3777</v>
      </c>
      <c r="H983" s="20" t="s">
        <v>6</v>
      </c>
      <c r="I983" s="39">
        <v>44762.390947569445</v>
      </c>
      <c r="J983" s="39">
        <v>44762.390947604166</v>
      </c>
      <c r="K983" s="20">
        <v>0</v>
      </c>
      <c r="L983" s="17" t="str">
        <f t="shared" si="15"/>
        <v>https://captureandgo.cloudlab.zhaw.ch/uploads/image_59bf4d4620.jpg</v>
      </c>
    </row>
    <row r="984" spans="1:12" ht="16" x14ac:dyDescent="0.2">
      <c r="A984" s="20" t="s">
        <v>7693</v>
      </c>
      <c r="B984" s="20" t="s">
        <v>7694</v>
      </c>
      <c r="C984" s="20" t="s">
        <v>3774</v>
      </c>
      <c r="D984" s="20" t="s">
        <v>7695</v>
      </c>
      <c r="E984" s="20" t="s">
        <v>7696</v>
      </c>
      <c r="F984" s="20" t="s">
        <v>2980</v>
      </c>
      <c r="G984" s="20" t="s">
        <v>3777</v>
      </c>
      <c r="H984" s="20" t="s">
        <v>6</v>
      </c>
      <c r="I984" s="39">
        <v>44762.391619097223</v>
      </c>
      <c r="J984" s="39">
        <v>44762.39161914352</v>
      </c>
      <c r="K984" s="20">
        <v>0</v>
      </c>
      <c r="L984" s="17" t="str">
        <f t="shared" si="15"/>
        <v>https://captureandgo.cloudlab.zhaw.ch/uploads/image_0ccedfc53e.jpg</v>
      </c>
    </row>
    <row r="985" spans="1:12" ht="16" x14ac:dyDescent="0.2">
      <c r="A985" s="20" t="s">
        <v>7697</v>
      </c>
      <c r="B985" s="20" t="s">
        <v>7698</v>
      </c>
      <c r="C985" s="20" t="s">
        <v>3774</v>
      </c>
      <c r="D985" s="20" t="s">
        <v>7699</v>
      </c>
      <c r="E985" s="20" t="s">
        <v>7700</v>
      </c>
      <c r="F985" s="20" t="s">
        <v>2983</v>
      </c>
      <c r="G985" s="20" t="s">
        <v>3777</v>
      </c>
      <c r="H985" s="20" t="s">
        <v>6</v>
      </c>
      <c r="I985" s="39">
        <v>44762.393667326389</v>
      </c>
      <c r="J985" s="39">
        <v>44762.393667372686</v>
      </c>
      <c r="K985" s="20">
        <v>0</v>
      </c>
      <c r="L985" s="17" t="str">
        <f t="shared" si="15"/>
        <v>https://captureandgo.cloudlab.zhaw.ch/uploads/image_c9afd8e37e.jpg</v>
      </c>
    </row>
    <row r="986" spans="1:12" ht="16" x14ac:dyDescent="0.2">
      <c r="A986" s="20" t="s">
        <v>7701</v>
      </c>
      <c r="B986" s="20" t="s">
        <v>7702</v>
      </c>
      <c r="C986" s="20" t="s">
        <v>3774</v>
      </c>
      <c r="D986" s="20" t="s">
        <v>7703</v>
      </c>
      <c r="E986" s="20" t="s">
        <v>7704</v>
      </c>
      <c r="F986" s="20" t="s">
        <v>2986</v>
      </c>
      <c r="G986" s="20" t="s">
        <v>3777</v>
      </c>
      <c r="H986" s="20" t="s">
        <v>6</v>
      </c>
      <c r="I986" s="39">
        <v>44762.39422613426</v>
      </c>
      <c r="J986" s="39">
        <v>44762.394226168981</v>
      </c>
      <c r="K986" s="20">
        <v>0</v>
      </c>
      <c r="L986" s="17" t="str">
        <f t="shared" si="15"/>
        <v>https://captureandgo.cloudlab.zhaw.ch/uploads/image_037ee7a62d.jpg</v>
      </c>
    </row>
    <row r="987" spans="1:12" ht="16" x14ac:dyDescent="0.2">
      <c r="A987" s="20" t="s">
        <v>7705</v>
      </c>
      <c r="B987" s="20" t="s">
        <v>7706</v>
      </c>
      <c r="C987" s="20" t="s">
        <v>3774</v>
      </c>
      <c r="D987" s="20" t="s">
        <v>7707</v>
      </c>
      <c r="E987" s="20" t="s">
        <v>7708</v>
      </c>
      <c r="F987" s="20" t="s">
        <v>2989</v>
      </c>
      <c r="G987" s="20" t="s">
        <v>3777</v>
      </c>
      <c r="H987" s="20" t="s">
        <v>6</v>
      </c>
      <c r="I987" s="39">
        <v>44762.396087187502</v>
      </c>
      <c r="J987" s="39">
        <v>44762.396087222223</v>
      </c>
      <c r="K987" s="20">
        <v>0</v>
      </c>
      <c r="L987" s="17" t="str">
        <f t="shared" si="15"/>
        <v>https://captureandgo.cloudlab.zhaw.ch/uploads/image_8209e4bbce.jpg</v>
      </c>
    </row>
    <row r="988" spans="1:12" ht="16" x14ac:dyDescent="0.2">
      <c r="A988" s="20" t="s">
        <v>7709</v>
      </c>
      <c r="B988" s="20" t="s">
        <v>7710</v>
      </c>
      <c r="C988" s="20" t="s">
        <v>3774</v>
      </c>
      <c r="D988" s="20" t="s">
        <v>7711</v>
      </c>
      <c r="E988" s="20" t="s">
        <v>7712</v>
      </c>
      <c r="F988" s="20" t="s">
        <v>2993</v>
      </c>
      <c r="G988" s="20" t="s">
        <v>3777</v>
      </c>
      <c r="H988" s="20" t="s">
        <v>6</v>
      </c>
      <c r="I988" s="39">
        <v>44762.396873217593</v>
      </c>
      <c r="J988" s="39">
        <v>44762.396873252314</v>
      </c>
      <c r="K988" s="20">
        <v>0</v>
      </c>
      <c r="L988" s="17" t="str">
        <f t="shared" si="15"/>
        <v>https://captureandgo.cloudlab.zhaw.ch/uploads/image_d6c54e1b8d.jpg</v>
      </c>
    </row>
    <row r="989" spans="1:12" ht="16" x14ac:dyDescent="0.2">
      <c r="A989" s="20" t="s">
        <v>7713</v>
      </c>
      <c r="B989" s="20" t="s">
        <v>7714</v>
      </c>
      <c r="C989" s="20" t="s">
        <v>3774</v>
      </c>
      <c r="D989" s="20" t="s">
        <v>7715</v>
      </c>
      <c r="E989" s="20" t="s">
        <v>7716</v>
      </c>
      <c r="F989" s="20" t="s">
        <v>2996</v>
      </c>
      <c r="G989" s="20" t="s">
        <v>3777</v>
      </c>
      <c r="H989" s="20" t="s">
        <v>6</v>
      </c>
      <c r="I989" s="39">
        <v>44762.397716261577</v>
      </c>
      <c r="J989" s="39">
        <v>44762.397716307867</v>
      </c>
      <c r="K989" s="20">
        <v>0</v>
      </c>
      <c r="L989" s="17" t="str">
        <f t="shared" si="15"/>
        <v>https://captureandgo.cloudlab.zhaw.ch/uploads/image_1ed36d104e.jpg</v>
      </c>
    </row>
    <row r="990" spans="1:12" ht="16" x14ac:dyDescent="0.2">
      <c r="A990" s="20" t="s">
        <v>7717</v>
      </c>
      <c r="B990" s="20" t="s">
        <v>7718</v>
      </c>
      <c r="C990" s="20" t="s">
        <v>3774</v>
      </c>
      <c r="D990" s="20" t="s">
        <v>7719</v>
      </c>
      <c r="E990" s="20" t="s">
        <v>7720</v>
      </c>
      <c r="F990" s="20" t="s">
        <v>2999</v>
      </c>
      <c r="G990" s="20" t="s">
        <v>3777</v>
      </c>
      <c r="H990" s="20" t="s">
        <v>6</v>
      </c>
      <c r="I990" s="39">
        <v>44762.398181168981</v>
      </c>
      <c r="J990" s="39">
        <v>44762.398181203702</v>
      </c>
      <c r="K990" s="20">
        <v>0</v>
      </c>
      <c r="L990" s="17" t="str">
        <f t="shared" si="15"/>
        <v>https://captureandgo.cloudlab.zhaw.ch/uploads/image_5d954aaeda.jpg</v>
      </c>
    </row>
    <row r="991" spans="1:12" ht="16" x14ac:dyDescent="0.2">
      <c r="A991" s="20" t="s">
        <v>7721</v>
      </c>
      <c r="B991" s="20" t="s">
        <v>7722</v>
      </c>
      <c r="C991" s="20" t="s">
        <v>3774</v>
      </c>
      <c r="D991" s="20" t="s">
        <v>7723</v>
      </c>
      <c r="E991" s="20" t="s">
        <v>7724</v>
      </c>
      <c r="F991" s="20" t="s">
        <v>3002</v>
      </c>
      <c r="G991" s="20" t="s">
        <v>3777</v>
      </c>
      <c r="H991" s="20" t="s">
        <v>6</v>
      </c>
      <c r="I991" s="39">
        <v>44762.398633368059</v>
      </c>
      <c r="J991" s="39">
        <v>44762.39863340278</v>
      </c>
      <c r="K991" s="20">
        <v>0</v>
      </c>
      <c r="L991" s="17" t="str">
        <f t="shared" si="15"/>
        <v>https://captureandgo.cloudlab.zhaw.ch/uploads/image_9e2da4387d.jpg</v>
      </c>
    </row>
    <row r="992" spans="1:12" ht="16" x14ac:dyDescent="0.2">
      <c r="A992" s="20" t="s">
        <v>7725</v>
      </c>
      <c r="B992" s="20" t="s">
        <v>7726</v>
      </c>
      <c r="C992" s="20" t="s">
        <v>3774</v>
      </c>
      <c r="D992" s="20" t="s">
        <v>7727</v>
      </c>
      <c r="E992" s="20" t="s">
        <v>7728</v>
      </c>
      <c r="F992" s="20" t="s">
        <v>3005</v>
      </c>
      <c r="G992" s="20" t="s">
        <v>3777</v>
      </c>
      <c r="H992" s="20" t="s">
        <v>6</v>
      </c>
      <c r="I992" s="39">
        <v>44762.39961753472</v>
      </c>
      <c r="J992" s="39">
        <v>44762.399617569441</v>
      </c>
      <c r="K992" s="20">
        <v>0</v>
      </c>
      <c r="L992" s="17" t="str">
        <f t="shared" si="15"/>
        <v>https://captureandgo.cloudlab.zhaw.ch/uploads/image_44e1c42be9.jpg</v>
      </c>
    </row>
    <row r="993" spans="1:12" ht="16" x14ac:dyDescent="0.2">
      <c r="A993" s="20" t="s">
        <v>7729</v>
      </c>
      <c r="B993" s="20" t="s">
        <v>7730</v>
      </c>
      <c r="C993" s="20" t="s">
        <v>3774</v>
      </c>
      <c r="D993" s="20" t="s">
        <v>7731</v>
      </c>
      <c r="E993" s="20" t="s">
        <v>7732</v>
      </c>
      <c r="F993" s="20" t="s">
        <v>3008</v>
      </c>
      <c r="G993" s="20" t="s">
        <v>3777</v>
      </c>
      <c r="H993" s="20" t="s">
        <v>6</v>
      </c>
      <c r="I993" s="39">
        <v>44762.400467627318</v>
      </c>
      <c r="J993" s="39">
        <v>44762.400467685184</v>
      </c>
      <c r="K993" s="20">
        <v>0</v>
      </c>
      <c r="L993" s="17" t="str">
        <f t="shared" si="15"/>
        <v>https://captureandgo.cloudlab.zhaw.ch/uploads/image_5045dc7292.jpg</v>
      </c>
    </row>
    <row r="994" spans="1:12" ht="16" x14ac:dyDescent="0.2">
      <c r="A994" s="20" t="s">
        <v>7733</v>
      </c>
      <c r="B994" s="20" t="s">
        <v>7734</v>
      </c>
      <c r="C994" s="20" t="s">
        <v>3774</v>
      </c>
      <c r="D994" s="20" t="s">
        <v>7735</v>
      </c>
      <c r="E994" s="20" t="s">
        <v>7736</v>
      </c>
      <c r="F994" s="20" t="s">
        <v>3011</v>
      </c>
      <c r="G994" s="20" t="s">
        <v>3777</v>
      </c>
      <c r="H994" s="20" t="s">
        <v>6</v>
      </c>
      <c r="I994" s="39">
        <v>44762.401007581022</v>
      </c>
      <c r="J994" s="39">
        <v>44762.401007615743</v>
      </c>
      <c r="K994" s="20">
        <v>0</v>
      </c>
      <c r="L994" s="17" t="str">
        <f t="shared" si="15"/>
        <v>https://captureandgo.cloudlab.zhaw.ch/uploads/image_860cbe9589.jpg</v>
      </c>
    </row>
    <row r="995" spans="1:12" ht="16" x14ac:dyDescent="0.2">
      <c r="A995" s="20" t="s">
        <v>7737</v>
      </c>
      <c r="B995" s="20" t="s">
        <v>7738</v>
      </c>
      <c r="C995" s="20" t="s">
        <v>3774</v>
      </c>
      <c r="D995" s="20" t="s">
        <v>7739</v>
      </c>
      <c r="E995" s="20" t="s">
        <v>7740</v>
      </c>
      <c r="F995" s="20" t="s">
        <v>3014</v>
      </c>
      <c r="G995" s="20" t="s">
        <v>3777</v>
      </c>
      <c r="H995" s="20" t="s">
        <v>6</v>
      </c>
      <c r="I995" s="39">
        <v>44762.402429768517</v>
      </c>
      <c r="J995" s="39">
        <v>44762.402429814814</v>
      </c>
      <c r="K995" s="20">
        <v>0</v>
      </c>
      <c r="L995" s="17" t="str">
        <f t="shared" si="15"/>
        <v>https://captureandgo.cloudlab.zhaw.ch/uploads/image_0310a27db5.jpg</v>
      </c>
    </row>
    <row r="996" spans="1:12" ht="16" x14ac:dyDescent="0.2">
      <c r="A996" s="20" t="s">
        <v>7741</v>
      </c>
      <c r="B996" s="20" t="s">
        <v>7742</v>
      </c>
      <c r="C996" s="20" t="s">
        <v>3774</v>
      </c>
      <c r="D996" s="20" t="s">
        <v>7743</v>
      </c>
      <c r="E996" s="20" t="s">
        <v>7744</v>
      </c>
      <c r="F996" s="20" t="s">
        <v>3017</v>
      </c>
      <c r="G996" s="20" t="s">
        <v>3777</v>
      </c>
      <c r="H996" s="20" t="s">
        <v>6</v>
      </c>
      <c r="I996" s="39">
        <v>44762.402775856484</v>
      </c>
      <c r="J996" s="39">
        <v>44762.402775891205</v>
      </c>
      <c r="K996" s="20">
        <v>0</v>
      </c>
      <c r="L996" s="17" t="str">
        <f t="shared" si="15"/>
        <v>https://captureandgo.cloudlab.zhaw.ch/uploads/image_f84457a4be.jpg</v>
      </c>
    </row>
    <row r="997" spans="1:12" ht="16" x14ac:dyDescent="0.2">
      <c r="A997" s="20" t="s">
        <v>7745</v>
      </c>
      <c r="B997" s="20" t="s">
        <v>7746</v>
      </c>
      <c r="C997" s="20" t="s">
        <v>3774</v>
      </c>
      <c r="D997" s="20" t="s">
        <v>7747</v>
      </c>
      <c r="E997" s="20" t="s">
        <v>7748</v>
      </c>
      <c r="F997" s="20" t="s">
        <v>3020</v>
      </c>
      <c r="G997" s="20" t="s">
        <v>3777</v>
      </c>
      <c r="H997" s="20" t="s">
        <v>6</v>
      </c>
      <c r="I997" s="39">
        <v>44762.403853425923</v>
      </c>
      <c r="J997" s="39">
        <v>44762.40385347222</v>
      </c>
      <c r="K997" s="20">
        <v>0</v>
      </c>
      <c r="L997" s="17" t="str">
        <f t="shared" si="15"/>
        <v>https://captureandgo.cloudlab.zhaw.ch/uploads/image_355dde41d3.jpg</v>
      </c>
    </row>
    <row r="998" spans="1:12" ht="16" x14ac:dyDescent="0.2">
      <c r="A998" s="20" t="s">
        <v>7749</v>
      </c>
      <c r="B998" s="20" t="s">
        <v>7750</v>
      </c>
      <c r="C998" s="20" t="s">
        <v>3774</v>
      </c>
      <c r="D998" s="20" t="s">
        <v>7751</v>
      </c>
      <c r="E998" s="20" t="s">
        <v>7752</v>
      </c>
      <c r="F998" s="20" t="s">
        <v>3023</v>
      </c>
      <c r="G998" s="20" t="s">
        <v>3777</v>
      </c>
      <c r="H998" s="20" t="s">
        <v>6</v>
      </c>
      <c r="I998" s="39">
        <v>44762.405216608793</v>
      </c>
      <c r="J998" s="39">
        <v>44762.40521665509</v>
      </c>
      <c r="K998" s="20">
        <v>0</v>
      </c>
      <c r="L998" s="17" t="str">
        <f t="shared" si="15"/>
        <v>https://captureandgo.cloudlab.zhaw.ch/uploads/image_347ed68ead.jpg</v>
      </c>
    </row>
    <row r="999" spans="1:12" ht="16" x14ac:dyDescent="0.2">
      <c r="A999" s="20" t="s">
        <v>7753</v>
      </c>
      <c r="B999" s="20" t="s">
        <v>7754</v>
      </c>
      <c r="C999" s="20" t="s">
        <v>3774</v>
      </c>
      <c r="D999" s="20" t="s">
        <v>7755</v>
      </c>
      <c r="E999" s="20" t="s">
        <v>7756</v>
      </c>
      <c r="F999" s="20" t="s">
        <v>3026</v>
      </c>
      <c r="G999" s="20" t="s">
        <v>3777</v>
      </c>
      <c r="H999" s="20" t="s">
        <v>6</v>
      </c>
      <c r="I999" s="39">
        <v>44762.405644537037</v>
      </c>
      <c r="J999" s="39">
        <v>44762.405644618055</v>
      </c>
      <c r="K999" s="20">
        <v>0</v>
      </c>
      <c r="L999" s="17" t="str">
        <f t="shared" si="15"/>
        <v>https://captureandgo.cloudlab.zhaw.ch/uploads/image_fa8e3dc733.jpg</v>
      </c>
    </row>
    <row r="1000" spans="1:12" ht="16" x14ac:dyDescent="0.2">
      <c r="A1000" s="20" t="s">
        <v>7757</v>
      </c>
      <c r="B1000" s="20" t="s">
        <v>7758</v>
      </c>
      <c r="C1000" s="20" t="s">
        <v>3774</v>
      </c>
      <c r="D1000" s="20" t="s">
        <v>7759</v>
      </c>
      <c r="E1000" s="20" t="s">
        <v>7760</v>
      </c>
      <c r="F1000" s="20" t="s">
        <v>3030</v>
      </c>
      <c r="G1000" s="20" t="s">
        <v>3777</v>
      </c>
      <c r="H1000" s="20" t="s">
        <v>6</v>
      </c>
      <c r="I1000" s="39">
        <v>44762.406439050923</v>
      </c>
      <c r="J1000" s="39">
        <v>44762.406439085651</v>
      </c>
      <c r="K1000" s="20">
        <v>0</v>
      </c>
      <c r="L1000" s="17" t="str">
        <f t="shared" si="15"/>
        <v>https://captureandgo.cloudlab.zhaw.ch/uploads/image_c6ae51fbc3.jpg</v>
      </c>
    </row>
    <row r="1001" spans="1:12" ht="16" x14ac:dyDescent="0.2">
      <c r="A1001" s="20" t="s">
        <v>7761</v>
      </c>
      <c r="B1001" s="20" t="s">
        <v>7762</v>
      </c>
      <c r="C1001" s="20" t="s">
        <v>3774</v>
      </c>
      <c r="D1001" s="20" t="s">
        <v>7763</v>
      </c>
      <c r="E1001" s="20" t="s">
        <v>7764</v>
      </c>
      <c r="F1001" s="20" t="s">
        <v>3033</v>
      </c>
      <c r="G1001" s="20" t="s">
        <v>3777</v>
      </c>
      <c r="H1001" s="20" t="s">
        <v>6</v>
      </c>
      <c r="I1001" s="39">
        <v>44762.411823472219</v>
      </c>
      <c r="J1001" s="39">
        <v>44762.411823518516</v>
      </c>
      <c r="K1001" s="20">
        <v>0</v>
      </c>
      <c r="L1001" s="17" t="str">
        <f t="shared" si="15"/>
        <v>https://captureandgo.cloudlab.zhaw.ch/uploads/image_877c39557d.jpg</v>
      </c>
    </row>
    <row r="1002" spans="1:12" ht="16" x14ac:dyDescent="0.2">
      <c r="A1002" s="20" t="s">
        <v>7765</v>
      </c>
      <c r="B1002" s="20" t="s">
        <v>7766</v>
      </c>
      <c r="C1002" s="20" t="s">
        <v>3774</v>
      </c>
      <c r="D1002" s="20" t="s">
        <v>7767</v>
      </c>
      <c r="E1002" s="20" t="s">
        <v>7768</v>
      </c>
      <c r="F1002" s="20" t="s">
        <v>3036</v>
      </c>
      <c r="G1002" s="20" t="s">
        <v>3777</v>
      </c>
      <c r="H1002" s="20" t="s">
        <v>6</v>
      </c>
      <c r="I1002" s="39">
        <v>44762.412613159722</v>
      </c>
      <c r="J1002" s="39">
        <v>44762.412613194443</v>
      </c>
      <c r="K1002" s="20">
        <v>0</v>
      </c>
      <c r="L1002" s="17" t="str">
        <f t="shared" si="15"/>
        <v>https://captureandgo.cloudlab.zhaw.ch/uploads/image_4bc7556363.jpg</v>
      </c>
    </row>
    <row r="1003" spans="1:12" ht="16" x14ac:dyDescent="0.2">
      <c r="A1003" s="20" t="s">
        <v>7769</v>
      </c>
      <c r="B1003" s="20" t="s">
        <v>7770</v>
      </c>
      <c r="C1003" s="20" t="s">
        <v>3774</v>
      </c>
      <c r="D1003" s="20" t="s">
        <v>7771</v>
      </c>
      <c r="E1003" s="20" t="s">
        <v>7772</v>
      </c>
      <c r="F1003" s="20" t="s">
        <v>3039</v>
      </c>
      <c r="G1003" s="20" t="s">
        <v>3777</v>
      </c>
      <c r="H1003" s="20" t="s">
        <v>6</v>
      </c>
      <c r="I1003" s="39">
        <v>44762.413269467594</v>
      </c>
      <c r="J1003" s="39">
        <v>44762.413269513891</v>
      </c>
      <c r="K1003" s="20">
        <v>0</v>
      </c>
      <c r="L1003" s="17" t="str">
        <f t="shared" si="15"/>
        <v>https://captureandgo.cloudlab.zhaw.ch/uploads/image_f0689d7dc1.jpg</v>
      </c>
    </row>
    <row r="1004" spans="1:12" ht="16" x14ac:dyDescent="0.2">
      <c r="A1004" s="20" t="s">
        <v>7773</v>
      </c>
      <c r="B1004" s="20" t="s">
        <v>7774</v>
      </c>
      <c r="C1004" s="20" t="s">
        <v>3774</v>
      </c>
      <c r="D1004" s="20" t="s">
        <v>7775</v>
      </c>
      <c r="E1004" s="20" t="s">
        <v>7776</v>
      </c>
      <c r="F1004" s="20" t="s">
        <v>3042</v>
      </c>
      <c r="G1004" s="20" t="s">
        <v>3777</v>
      </c>
      <c r="H1004" s="20" t="s">
        <v>6</v>
      </c>
      <c r="I1004" s="39">
        <v>44762.413524814816</v>
      </c>
      <c r="J1004" s="39">
        <v>44762.413524849537</v>
      </c>
      <c r="K1004" s="20">
        <v>0</v>
      </c>
      <c r="L1004" s="17" t="str">
        <f t="shared" si="15"/>
        <v>https://captureandgo.cloudlab.zhaw.ch/uploads/image_6e7cf06b1d.jpg</v>
      </c>
    </row>
    <row r="1005" spans="1:12" ht="16" x14ac:dyDescent="0.2">
      <c r="A1005" s="20" t="s">
        <v>7777</v>
      </c>
      <c r="B1005" s="20" t="s">
        <v>7778</v>
      </c>
      <c r="C1005" s="20" t="s">
        <v>3774</v>
      </c>
      <c r="D1005" s="20" t="s">
        <v>7779</v>
      </c>
      <c r="E1005" s="20" t="s">
        <v>7780</v>
      </c>
      <c r="F1005" s="20" t="s">
        <v>3045</v>
      </c>
      <c r="G1005" s="20" t="s">
        <v>3777</v>
      </c>
      <c r="H1005" s="20" t="s">
        <v>6</v>
      </c>
      <c r="I1005" s="39">
        <v>44762.413738819443</v>
      </c>
      <c r="J1005" s="39">
        <v>44762.413738854164</v>
      </c>
      <c r="K1005" s="20">
        <v>0</v>
      </c>
      <c r="L1005" s="17" t="str">
        <f t="shared" si="15"/>
        <v>https://captureandgo.cloudlab.zhaw.ch/uploads/image_e5cf34dab2.jpg</v>
      </c>
    </row>
    <row r="1006" spans="1:12" ht="16" x14ac:dyDescent="0.2">
      <c r="A1006" s="20" t="s">
        <v>7781</v>
      </c>
      <c r="B1006" s="20" t="s">
        <v>7782</v>
      </c>
      <c r="C1006" s="20" t="s">
        <v>3774</v>
      </c>
      <c r="D1006" s="20" t="s">
        <v>7783</v>
      </c>
      <c r="E1006" s="20" t="s">
        <v>7784</v>
      </c>
      <c r="F1006" s="20" t="s">
        <v>3048</v>
      </c>
      <c r="G1006" s="20" t="s">
        <v>3777</v>
      </c>
      <c r="H1006" s="20" t="s">
        <v>6</v>
      </c>
      <c r="I1006" s="39">
        <v>44762.414439490742</v>
      </c>
      <c r="J1006" s="39">
        <v>44762.414439537039</v>
      </c>
      <c r="K1006" s="20">
        <v>0</v>
      </c>
      <c r="L1006" s="17" t="str">
        <f t="shared" si="15"/>
        <v>https://captureandgo.cloudlab.zhaw.ch/uploads/image_2b4d0b22c9.jpg</v>
      </c>
    </row>
    <row r="1007" spans="1:12" ht="16" x14ac:dyDescent="0.2">
      <c r="A1007" s="20" t="s">
        <v>7785</v>
      </c>
      <c r="B1007" s="20" t="s">
        <v>7786</v>
      </c>
      <c r="C1007" s="20" t="s">
        <v>3774</v>
      </c>
      <c r="D1007" s="20" t="s">
        <v>7787</v>
      </c>
      <c r="E1007" s="20" t="s">
        <v>7788</v>
      </c>
      <c r="F1007" s="20" t="s">
        <v>3052</v>
      </c>
      <c r="G1007" s="20" t="s">
        <v>3777</v>
      </c>
      <c r="H1007" s="20" t="s">
        <v>6</v>
      </c>
      <c r="I1007" s="39">
        <v>44762.419534224537</v>
      </c>
      <c r="J1007" s="39">
        <v>44762.419534270834</v>
      </c>
      <c r="K1007" s="20">
        <v>0</v>
      </c>
      <c r="L1007" s="17" t="str">
        <f t="shared" si="15"/>
        <v>https://captureandgo.cloudlab.zhaw.ch/uploads/image_9a5a2dc3e2.jpg</v>
      </c>
    </row>
    <row r="1008" spans="1:12" ht="16" x14ac:dyDescent="0.2">
      <c r="A1008" s="20" t="s">
        <v>7789</v>
      </c>
      <c r="B1008" s="20" t="s">
        <v>7790</v>
      </c>
      <c r="C1008" s="20" t="s">
        <v>3774</v>
      </c>
      <c r="D1008" s="20" t="s">
        <v>7791</v>
      </c>
      <c r="E1008" s="20" t="s">
        <v>7792</v>
      </c>
      <c r="F1008" s="20" t="s">
        <v>3056</v>
      </c>
      <c r="G1008" s="20" t="s">
        <v>3777</v>
      </c>
      <c r="H1008" s="20" t="s">
        <v>6</v>
      </c>
      <c r="I1008" s="39">
        <v>44762.42017420139</v>
      </c>
      <c r="J1008" s="39">
        <v>44762.420174236111</v>
      </c>
      <c r="K1008" s="20">
        <v>0</v>
      </c>
      <c r="L1008" s="17" t="str">
        <f t="shared" si="15"/>
        <v>https://captureandgo.cloudlab.zhaw.ch/uploads/image_e42f4f5a26.jpg</v>
      </c>
    </row>
    <row r="1009" spans="1:12" ht="16" x14ac:dyDescent="0.2">
      <c r="A1009" s="20" t="s">
        <v>7793</v>
      </c>
      <c r="B1009" s="20" t="s">
        <v>7794</v>
      </c>
      <c r="C1009" s="20" t="s">
        <v>3774</v>
      </c>
      <c r="D1009" s="20" t="s">
        <v>7795</v>
      </c>
      <c r="E1009" s="20" t="s">
        <v>7796</v>
      </c>
      <c r="F1009" s="20" t="s">
        <v>3059</v>
      </c>
      <c r="G1009" s="20" t="s">
        <v>3777</v>
      </c>
      <c r="H1009" s="20" t="s">
        <v>6</v>
      </c>
      <c r="I1009" s="39">
        <v>44762.421154456017</v>
      </c>
      <c r="J1009" s="39">
        <v>44762.421154490738</v>
      </c>
      <c r="K1009" s="20">
        <v>0</v>
      </c>
      <c r="L1009" s="17" t="str">
        <f t="shared" si="15"/>
        <v>https://captureandgo.cloudlab.zhaw.ch/uploads/image_1b3c655780.jpg</v>
      </c>
    </row>
    <row r="1010" spans="1:12" ht="16" x14ac:dyDescent="0.2">
      <c r="A1010" s="20" t="s">
        <v>7797</v>
      </c>
      <c r="B1010" s="20" t="s">
        <v>7798</v>
      </c>
      <c r="C1010" s="20" t="s">
        <v>3774</v>
      </c>
      <c r="D1010" s="20" t="s">
        <v>7799</v>
      </c>
      <c r="E1010" s="20" t="s">
        <v>7800</v>
      </c>
      <c r="F1010" s="20" t="s">
        <v>3065</v>
      </c>
      <c r="G1010" s="20" t="s">
        <v>3777</v>
      </c>
      <c r="H1010" s="20" t="s">
        <v>6</v>
      </c>
      <c r="I1010" s="39">
        <v>44762.423652199075</v>
      </c>
      <c r="J1010" s="39">
        <v>44762.423652233796</v>
      </c>
      <c r="K1010" s="20">
        <v>0</v>
      </c>
      <c r="L1010" s="17" t="str">
        <f t="shared" si="15"/>
        <v>https://captureandgo.cloudlab.zhaw.ch/uploads/image_39cad3fbc9.jpg</v>
      </c>
    </row>
    <row r="1011" spans="1:12" ht="16" x14ac:dyDescent="0.2">
      <c r="A1011" s="20" t="s">
        <v>7801</v>
      </c>
      <c r="B1011" s="20" t="s">
        <v>7802</v>
      </c>
      <c r="C1011" s="20" t="s">
        <v>3774</v>
      </c>
      <c r="D1011" s="20" t="s">
        <v>7803</v>
      </c>
      <c r="E1011" s="20" t="s">
        <v>7804</v>
      </c>
      <c r="F1011" s="20" t="s">
        <v>3068</v>
      </c>
      <c r="G1011" s="20" t="s">
        <v>3777</v>
      </c>
      <c r="H1011" s="20" t="s">
        <v>6</v>
      </c>
      <c r="I1011" s="39">
        <v>44762.424122708333</v>
      </c>
      <c r="J1011" s="39">
        <v>44762.424122743054</v>
      </c>
      <c r="K1011" s="20">
        <v>0</v>
      </c>
      <c r="L1011" s="17" t="str">
        <f t="shared" si="15"/>
        <v>https://captureandgo.cloudlab.zhaw.ch/uploads/image_039fbe7d48.jpg</v>
      </c>
    </row>
    <row r="1012" spans="1:12" ht="16" x14ac:dyDescent="0.2">
      <c r="A1012" s="20" t="s">
        <v>7805</v>
      </c>
      <c r="B1012" s="20" t="s">
        <v>7806</v>
      </c>
      <c r="C1012" s="20" t="s">
        <v>3774</v>
      </c>
      <c r="D1012" s="20" t="s">
        <v>7807</v>
      </c>
      <c r="E1012" s="20" t="s">
        <v>7808</v>
      </c>
      <c r="F1012" s="20" t="s">
        <v>3072</v>
      </c>
      <c r="G1012" s="20" t="s">
        <v>3777</v>
      </c>
      <c r="H1012" s="20" t="s">
        <v>6</v>
      </c>
      <c r="I1012" s="39">
        <v>44762.425274699075</v>
      </c>
      <c r="J1012" s="39">
        <v>44762.425274745372</v>
      </c>
      <c r="K1012" s="20">
        <v>0</v>
      </c>
      <c r="L1012" s="17" t="str">
        <f t="shared" si="15"/>
        <v>https://captureandgo.cloudlab.zhaw.ch/uploads/image_d820601663.jpg</v>
      </c>
    </row>
    <row r="1013" spans="1:12" ht="16" x14ac:dyDescent="0.2">
      <c r="A1013" s="20" t="s">
        <v>7809</v>
      </c>
      <c r="B1013" s="20" t="s">
        <v>7810</v>
      </c>
      <c r="C1013" s="20" t="s">
        <v>3774</v>
      </c>
      <c r="D1013" s="20" t="s">
        <v>7811</v>
      </c>
      <c r="E1013" s="20" t="s">
        <v>7812</v>
      </c>
      <c r="F1013" s="20" t="s">
        <v>3075</v>
      </c>
      <c r="G1013" s="20" t="s">
        <v>3777</v>
      </c>
      <c r="H1013" s="20" t="s">
        <v>6</v>
      </c>
      <c r="I1013" s="39">
        <v>44762.426436493057</v>
      </c>
      <c r="J1013" s="39">
        <v>44762.426436539354</v>
      </c>
      <c r="K1013" s="20">
        <v>0</v>
      </c>
      <c r="L1013" s="17" t="str">
        <f t="shared" si="15"/>
        <v>https://captureandgo.cloudlab.zhaw.ch/uploads/image_02b5bfca19.jpg</v>
      </c>
    </row>
    <row r="1014" spans="1:12" ht="16" x14ac:dyDescent="0.2">
      <c r="A1014" s="20" t="s">
        <v>7813</v>
      </c>
      <c r="B1014" s="20" t="s">
        <v>7814</v>
      </c>
      <c r="C1014" s="20" t="s">
        <v>3774</v>
      </c>
      <c r="D1014" s="20" t="s">
        <v>7815</v>
      </c>
      <c r="E1014" s="20" t="s">
        <v>7816</v>
      </c>
      <c r="F1014" s="20" t="s">
        <v>3078</v>
      </c>
      <c r="G1014" s="20" t="s">
        <v>3777</v>
      </c>
      <c r="H1014" s="20" t="s">
        <v>6</v>
      </c>
      <c r="I1014" s="39">
        <v>44762.427512858798</v>
      </c>
      <c r="J1014" s="39">
        <v>44762.427512905095</v>
      </c>
      <c r="K1014" s="20">
        <v>0</v>
      </c>
      <c r="L1014" s="17" t="str">
        <f t="shared" si="15"/>
        <v>https://captureandgo.cloudlab.zhaw.ch/uploads/image_4340e7fbaf.jpg</v>
      </c>
    </row>
    <row r="1015" spans="1:12" ht="16" x14ac:dyDescent="0.2">
      <c r="A1015" s="20" t="s">
        <v>7817</v>
      </c>
      <c r="B1015" s="20" t="s">
        <v>7818</v>
      </c>
      <c r="C1015" s="20" t="s">
        <v>3774</v>
      </c>
      <c r="D1015" s="20" t="s">
        <v>7819</v>
      </c>
      <c r="E1015" s="20" t="s">
        <v>7820</v>
      </c>
      <c r="F1015" s="20" t="s">
        <v>3081</v>
      </c>
      <c r="G1015" s="20" t="s">
        <v>3777</v>
      </c>
      <c r="H1015" s="20" t="s">
        <v>6</v>
      </c>
      <c r="I1015" s="39">
        <v>44762.428695972223</v>
      </c>
      <c r="J1015" s="39">
        <v>44762.42869601852</v>
      </c>
      <c r="K1015" s="20">
        <v>0</v>
      </c>
      <c r="L1015" s="17" t="str">
        <f t="shared" si="15"/>
        <v>https://captureandgo.cloudlab.zhaw.ch/uploads/image_38d42c4660.jpg</v>
      </c>
    </row>
    <row r="1016" spans="1:12" ht="16" x14ac:dyDescent="0.2">
      <c r="A1016" s="20" t="s">
        <v>7821</v>
      </c>
      <c r="B1016" s="20" t="s">
        <v>7822</v>
      </c>
      <c r="C1016" s="20" t="s">
        <v>3774</v>
      </c>
      <c r="D1016" s="20" t="s">
        <v>7823</v>
      </c>
      <c r="E1016" s="20" t="s">
        <v>7824</v>
      </c>
      <c r="F1016" s="20" t="s">
        <v>3084</v>
      </c>
      <c r="G1016" s="20" t="s">
        <v>3777</v>
      </c>
      <c r="H1016" s="20" t="s">
        <v>6</v>
      </c>
      <c r="I1016" s="39">
        <v>44762.42922322917</v>
      </c>
      <c r="J1016" s="39">
        <v>44762.429223263891</v>
      </c>
      <c r="K1016" s="20">
        <v>0</v>
      </c>
      <c r="L1016" s="17" t="str">
        <f t="shared" si="15"/>
        <v>https://captureandgo.cloudlab.zhaw.ch/uploads/image_60de457eee.jpg</v>
      </c>
    </row>
    <row r="1017" spans="1:12" ht="16" x14ac:dyDescent="0.2">
      <c r="A1017" s="20" t="s">
        <v>7825</v>
      </c>
      <c r="B1017" s="20" t="s">
        <v>7826</v>
      </c>
      <c r="C1017" s="20" t="s">
        <v>3774</v>
      </c>
      <c r="D1017" s="20" t="s">
        <v>7827</v>
      </c>
      <c r="E1017" s="20" t="s">
        <v>7828</v>
      </c>
      <c r="F1017" s="20" t="s">
        <v>3087</v>
      </c>
      <c r="G1017" s="20" t="s">
        <v>3777</v>
      </c>
      <c r="H1017" s="20" t="s">
        <v>6</v>
      </c>
      <c r="I1017" s="39">
        <v>44762.430309189818</v>
      </c>
      <c r="J1017" s="39">
        <v>44762.430309270836</v>
      </c>
      <c r="K1017" s="20">
        <v>0</v>
      </c>
      <c r="L1017" s="17" t="str">
        <f t="shared" si="15"/>
        <v>https://captureandgo.cloudlab.zhaw.ch/uploads/image_dde59c9174.jpg</v>
      </c>
    </row>
    <row r="1018" spans="1:12" ht="16" x14ac:dyDescent="0.2">
      <c r="A1018" s="20" t="s">
        <v>7829</v>
      </c>
      <c r="B1018" s="20" t="s">
        <v>7830</v>
      </c>
      <c r="C1018" s="20" t="s">
        <v>3774</v>
      </c>
      <c r="D1018" s="20" t="s">
        <v>7831</v>
      </c>
      <c r="E1018" s="20" t="s">
        <v>7832</v>
      </c>
      <c r="F1018" s="20" t="s">
        <v>3090</v>
      </c>
      <c r="G1018" s="20" t="s">
        <v>3777</v>
      </c>
      <c r="H1018" s="20" t="s">
        <v>6</v>
      </c>
      <c r="I1018" s="39">
        <v>44762.431008321757</v>
      </c>
      <c r="J1018" s="39">
        <v>44762.431008356485</v>
      </c>
      <c r="K1018" s="20">
        <v>0</v>
      </c>
      <c r="L1018" s="17" t="str">
        <f t="shared" si="15"/>
        <v>https://captureandgo.cloudlab.zhaw.ch/uploads/image_20873510e8.jpg</v>
      </c>
    </row>
    <row r="1019" spans="1:12" ht="16" x14ac:dyDescent="0.2">
      <c r="A1019" s="20" t="s">
        <v>7833</v>
      </c>
      <c r="B1019" s="20" t="s">
        <v>7834</v>
      </c>
      <c r="C1019" s="20" t="s">
        <v>3774</v>
      </c>
      <c r="D1019" s="20" t="s">
        <v>7835</v>
      </c>
      <c r="E1019" s="20" t="s">
        <v>7836</v>
      </c>
      <c r="F1019" s="20" t="s">
        <v>3093</v>
      </c>
      <c r="G1019" s="20" t="s">
        <v>3777</v>
      </c>
      <c r="H1019" s="20" t="s">
        <v>6</v>
      </c>
      <c r="I1019" s="39">
        <v>44762.432218043985</v>
      </c>
      <c r="J1019" s="39">
        <v>44762.432218090275</v>
      </c>
      <c r="K1019" s="20">
        <v>0</v>
      </c>
      <c r="L1019" s="17" t="str">
        <f t="shared" si="15"/>
        <v>https://captureandgo.cloudlab.zhaw.ch/uploads/image_22498f1bd8.jpg</v>
      </c>
    </row>
    <row r="1020" spans="1:12" ht="16" x14ac:dyDescent="0.2">
      <c r="A1020" s="20" t="s">
        <v>7837</v>
      </c>
      <c r="B1020" s="20" t="s">
        <v>7838</v>
      </c>
      <c r="C1020" s="20" t="s">
        <v>3774</v>
      </c>
      <c r="D1020" s="20" t="s">
        <v>7839</v>
      </c>
      <c r="E1020" s="20" t="s">
        <v>7840</v>
      </c>
      <c r="F1020" s="20" t="s">
        <v>3096</v>
      </c>
      <c r="G1020" s="20" t="s">
        <v>3777</v>
      </c>
      <c r="H1020" s="20" t="s">
        <v>6</v>
      </c>
      <c r="I1020" s="39">
        <v>44762.433156180552</v>
      </c>
      <c r="J1020" s="39">
        <v>44762.43315621528</v>
      </c>
      <c r="K1020" s="20">
        <v>0</v>
      </c>
      <c r="L1020" s="17" t="str">
        <f t="shared" si="15"/>
        <v>https://captureandgo.cloudlab.zhaw.ch/uploads/image_d2527159c2.jpg</v>
      </c>
    </row>
    <row r="1021" spans="1:12" ht="16" x14ac:dyDescent="0.2">
      <c r="A1021" s="20" t="s">
        <v>7841</v>
      </c>
      <c r="B1021" s="20" t="s">
        <v>7842</v>
      </c>
      <c r="C1021" s="20" t="s">
        <v>3774</v>
      </c>
      <c r="D1021" s="20" t="s">
        <v>7843</v>
      </c>
      <c r="E1021" s="20" t="s">
        <v>7844</v>
      </c>
      <c r="F1021" s="20" t="s">
        <v>3099</v>
      </c>
      <c r="G1021" s="20" t="s">
        <v>3777</v>
      </c>
      <c r="H1021" s="20" t="s">
        <v>6</v>
      </c>
      <c r="I1021" s="39">
        <v>44762.433411562502</v>
      </c>
      <c r="J1021" s="39">
        <v>44762.433411585647</v>
      </c>
      <c r="K1021" s="20">
        <v>0</v>
      </c>
      <c r="L1021" s="17" t="str">
        <f t="shared" si="15"/>
        <v>https://captureandgo.cloudlab.zhaw.ch/uploads/image_e66d2a3ad4.jpg</v>
      </c>
    </row>
    <row r="1022" spans="1:12" ht="16" x14ac:dyDescent="0.2">
      <c r="A1022" s="20" t="s">
        <v>7845</v>
      </c>
      <c r="B1022" s="20" t="s">
        <v>7846</v>
      </c>
      <c r="C1022" s="20" t="s">
        <v>3774</v>
      </c>
      <c r="D1022" s="20" t="s">
        <v>7847</v>
      </c>
      <c r="E1022" s="20" t="s">
        <v>7848</v>
      </c>
      <c r="F1022" s="20" t="s">
        <v>3102</v>
      </c>
      <c r="G1022" s="20" t="s">
        <v>3777</v>
      </c>
      <c r="H1022" s="20" t="s">
        <v>6</v>
      </c>
      <c r="I1022" s="39">
        <v>44762.433954803244</v>
      </c>
      <c r="J1022" s="39">
        <v>44762.433954826389</v>
      </c>
      <c r="K1022" s="20">
        <v>0</v>
      </c>
      <c r="L1022" s="17" t="str">
        <f t="shared" si="15"/>
        <v>https://captureandgo.cloudlab.zhaw.ch/uploads/image_1a1bcf7538.jpg</v>
      </c>
    </row>
    <row r="1023" spans="1:12" ht="16" x14ac:dyDescent="0.2">
      <c r="A1023" s="20" t="s">
        <v>7849</v>
      </c>
      <c r="B1023" s="20" t="s">
        <v>7850</v>
      </c>
      <c r="C1023" s="20" t="s">
        <v>3774</v>
      </c>
      <c r="D1023" s="20" t="s">
        <v>7851</v>
      </c>
      <c r="E1023" s="20" t="s">
        <v>7852</v>
      </c>
      <c r="F1023" s="20" t="s">
        <v>3106</v>
      </c>
      <c r="G1023" s="20" t="s">
        <v>3777</v>
      </c>
      <c r="H1023" s="20" t="s">
        <v>6</v>
      </c>
      <c r="I1023" s="39">
        <v>44762.43530769676</v>
      </c>
      <c r="J1023" s="39">
        <v>44762.435307743057</v>
      </c>
      <c r="K1023" s="20">
        <v>0</v>
      </c>
      <c r="L1023" s="17" t="str">
        <f t="shared" si="15"/>
        <v>https://captureandgo.cloudlab.zhaw.ch/uploads/image_2650d2f53f.jpg</v>
      </c>
    </row>
    <row r="1024" spans="1:12" ht="16" x14ac:dyDescent="0.2">
      <c r="A1024" s="20" t="s">
        <v>7853</v>
      </c>
      <c r="B1024" s="20" t="s">
        <v>7854</v>
      </c>
      <c r="C1024" s="20" t="s">
        <v>3774</v>
      </c>
      <c r="D1024" s="20" t="s">
        <v>7855</v>
      </c>
      <c r="E1024" s="20" t="s">
        <v>7856</v>
      </c>
      <c r="F1024" s="20" t="s">
        <v>3109</v>
      </c>
      <c r="G1024" s="20" t="s">
        <v>3777</v>
      </c>
      <c r="H1024" s="20" t="s">
        <v>6</v>
      </c>
      <c r="I1024" s="39">
        <v>44762.436882731483</v>
      </c>
      <c r="J1024" s="39">
        <v>44762.43688277778</v>
      </c>
      <c r="K1024" s="20">
        <v>0</v>
      </c>
      <c r="L1024" s="17" t="str">
        <f t="shared" si="15"/>
        <v>https://captureandgo.cloudlab.zhaw.ch/uploads/image_da6aa8ef75.jpg</v>
      </c>
    </row>
    <row r="1025" spans="1:12" ht="16" x14ac:dyDescent="0.2">
      <c r="A1025" s="20" t="s">
        <v>7857</v>
      </c>
      <c r="B1025" s="20" t="s">
        <v>7858</v>
      </c>
      <c r="C1025" s="20" t="s">
        <v>3774</v>
      </c>
      <c r="D1025" s="20" t="s">
        <v>7859</v>
      </c>
      <c r="E1025" s="20" t="s">
        <v>7860</v>
      </c>
      <c r="F1025" s="20" t="s">
        <v>3112</v>
      </c>
      <c r="G1025" s="20" t="s">
        <v>3777</v>
      </c>
      <c r="H1025" s="20" t="s">
        <v>6</v>
      </c>
      <c r="I1025" s="39">
        <v>44762.439175601852</v>
      </c>
      <c r="J1025" s="39">
        <v>44762.439175659725</v>
      </c>
      <c r="K1025" s="20">
        <v>0</v>
      </c>
      <c r="L1025" s="17" t="str">
        <f t="shared" si="15"/>
        <v>https://captureandgo.cloudlab.zhaw.ch/uploads/image_72f711926a.jpg</v>
      </c>
    </row>
    <row r="1026" spans="1:12" ht="16" x14ac:dyDescent="0.2">
      <c r="A1026" s="20" t="s">
        <v>7861</v>
      </c>
      <c r="B1026" s="20" t="s">
        <v>7862</v>
      </c>
      <c r="C1026" s="20" t="s">
        <v>3774</v>
      </c>
      <c r="D1026" s="20" t="s">
        <v>7863</v>
      </c>
      <c r="E1026" s="20" t="s">
        <v>7864</v>
      </c>
      <c r="F1026" s="20" t="s">
        <v>3115</v>
      </c>
      <c r="G1026" s="20" t="s">
        <v>3777</v>
      </c>
      <c r="H1026" s="20" t="s">
        <v>6</v>
      </c>
      <c r="I1026" s="39">
        <v>44762.439485694442</v>
      </c>
      <c r="J1026" s="39">
        <v>44762.43948572917</v>
      </c>
      <c r="K1026" s="20">
        <v>0</v>
      </c>
      <c r="L1026" s="17" t="str">
        <f t="shared" ref="L1026:L1089" si="16">HYPERLINK("https://captureandgo.cloudlab.zhaw.ch"&amp;B1026)</f>
        <v>https://captureandgo.cloudlab.zhaw.ch/uploads/image_7b3ee20341.jpg</v>
      </c>
    </row>
    <row r="1027" spans="1:12" ht="16" x14ac:dyDescent="0.2">
      <c r="A1027" s="20" t="s">
        <v>7865</v>
      </c>
      <c r="B1027" s="20" t="s">
        <v>7866</v>
      </c>
      <c r="C1027" s="20" t="s">
        <v>3774</v>
      </c>
      <c r="D1027" s="20" t="s">
        <v>7867</v>
      </c>
      <c r="E1027" s="20" t="s">
        <v>7868</v>
      </c>
      <c r="F1027" s="20" t="s">
        <v>3118</v>
      </c>
      <c r="G1027" s="20" t="s">
        <v>3777</v>
      </c>
      <c r="H1027" s="20" t="s">
        <v>6</v>
      </c>
      <c r="I1027" s="39">
        <v>44762.479268402778</v>
      </c>
      <c r="J1027" s="39">
        <v>44762.479268703704</v>
      </c>
      <c r="K1027" s="20">
        <v>0</v>
      </c>
      <c r="L1027" s="17" t="str">
        <f t="shared" si="16"/>
        <v>https://captureandgo.cloudlab.zhaw.ch/uploads/image_6bea6fdbfd.jpg</v>
      </c>
    </row>
    <row r="1028" spans="1:12" ht="16" x14ac:dyDescent="0.2">
      <c r="A1028" s="20" t="s">
        <v>7869</v>
      </c>
      <c r="B1028" s="20" t="s">
        <v>7870</v>
      </c>
      <c r="C1028" s="20" t="s">
        <v>3774</v>
      </c>
      <c r="D1028" s="20" t="s">
        <v>7871</v>
      </c>
      <c r="E1028" s="20" t="s">
        <v>7872</v>
      </c>
      <c r="F1028" s="20" t="s">
        <v>3121</v>
      </c>
      <c r="G1028" s="20" t="s">
        <v>3777</v>
      </c>
      <c r="H1028" s="20" t="s">
        <v>6</v>
      </c>
      <c r="I1028" s="39">
        <v>44762.479862037035</v>
      </c>
      <c r="J1028" s="39">
        <v>44762.479862071756</v>
      </c>
      <c r="K1028" s="20">
        <v>0</v>
      </c>
      <c r="L1028" s="17" t="str">
        <f t="shared" si="16"/>
        <v>https://captureandgo.cloudlab.zhaw.ch/uploads/image_8d74abcf7e.jpg</v>
      </c>
    </row>
    <row r="1029" spans="1:12" ht="16" x14ac:dyDescent="0.2">
      <c r="A1029" s="20" t="s">
        <v>7873</v>
      </c>
      <c r="B1029" s="20" t="s">
        <v>7874</v>
      </c>
      <c r="C1029" s="20" t="s">
        <v>3774</v>
      </c>
      <c r="D1029" s="20" t="s">
        <v>7875</v>
      </c>
      <c r="E1029" s="20" t="s">
        <v>7876</v>
      </c>
      <c r="F1029" s="20" t="s">
        <v>3124</v>
      </c>
      <c r="G1029" s="20" t="s">
        <v>3777</v>
      </c>
      <c r="H1029" s="20" t="s">
        <v>6</v>
      </c>
      <c r="I1029" s="39">
        <v>44762.481889953706</v>
      </c>
      <c r="J1029" s="39">
        <v>44762.481890000003</v>
      </c>
      <c r="K1029" s="20">
        <v>0</v>
      </c>
      <c r="L1029" s="17" t="str">
        <f t="shared" si="16"/>
        <v>https://captureandgo.cloudlab.zhaw.ch/uploads/image_3312f32153.jpg</v>
      </c>
    </row>
    <row r="1030" spans="1:12" ht="16" x14ac:dyDescent="0.2">
      <c r="A1030" s="20" t="s">
        <v>7877</v>
      </c>
      <c r="B1030" s="20" t="s">
        <v>7878</v>
      </c>
      <c r="C1030" s="20" t="s">
        <v>3774</v>
      </c>
      <c r="D1030" s="20" t="s">
        <v>7879</v>
      </c>
      <c r="E1030" s="20" t="s">
        <v>7880</v>
      </c>
      <c r="F1030" s="20" t="s">
        <v>3127</v>
      </c>
      <c r="G1030" s="20" t="s">
        <v>3777</v>
      </c>
      <c r="H1030" s="20" t="s">
        <v>6</v>
      </c>
      <c r="I1030" s="39">
        <v>44762.482201053244</v>
      </c>
      <c r="J1030" s="39">
        <v>44762.482201099534</v>
      </c>
      <c r="K1030" s="20">
        <v>0</v>
      </c>
      <c r="L1030" s="17" t="str">
        <f t="shared" si="16"/>
        <v>https://captureandgo.cloudlab.zhaw.ch/uploads/image_b2c108aaee.jpg</v>
      </c>
    </row>
    <row r="1031" spans="1:12" ht="16" x14ac:dyDescent="0.2">
      <c r="A1031" s="20" t="s">
        <v>7881</v>
      </c>
      <c r="B1031" s="20" t="s">
        <v>7882</v>
      </c>
      <c r="C1031" s="20" t="s">
        <v>3774</v>
      </c>
      <c r="D1031" s="20" t="s">
        <v>7883</v>
      </c>
      <c r="E1031" s="20" t="s">
        <v>7884</v>
      </c>
      <c r="F1031" s="20" t="s">
        <v>3131</v>
      </c>
      <c r="G1031" s="20" t="s">
        <v>3777</v>
      </c>
      <c r="H1031" s="20" t="s">
        <v>6</v>
      </c>
      <c r="I1031" s="39">
        <v>44762.483293703706</v>
      </c>
      <c r="J1031" s="39">
        <v>44762.483293761572</v>
      </c>
      <c r="K1031" s="20">
        <v>0</v>
      </c>
      <c r="L1031" s="17" t="str">
        <f t="shared" si="16"/>
        <v>https://captureandgo.cloudlab.zhaw.ch/uploads/image_e916c72d24.jpg</v>
      </c>
    </row>
    <row r="1032" spans="1:12" ht="16" x14ac:dyDescent="0.2">
      <c r="A1032" s="20" t="s">
        <v>7885</v>
      </c>
      <c r="B1032" s="20" t="s">
        <v>7886</v>
      </c>
      <c r="C1032" s="20" t="s">
        <v>3774</v>
      </c>
      <c r="D1032" s="20" t="s">
        <v>7887</v>
      </c>
      <c r="E1032" s="20" t="s">
        <v>7888</v>
      </c>
      <c r="F1032" s="20" t="s">
        <v>3134</v>
      </c>
      <c r="G1032" s="20" t="s">
        <v>3777</v>
      </c>
      <c r="H1032" s="20" t="s">
        <v>6</v>
      </c>
      <c r="I1032" s="39">
        <v>44762.484257037038</v>
      </c>
      <c r="J1032" s="39">
        <v>44762.484257071759</v>
      </c>
      <c r="K1032" s="20">
        <v>0</v>
      </c>
      <c r="L1032" s="17" t="str">
        <f t="shared" si="16"/>
        <v>https://captureandgo.cloudlab.zhaw.ch/uploads/image_5fa3c68c18.jpg</v>
      </c>
    </row>
    <row r="1033" spans="1:12" ht="16" x14ac:dyDescent="0.2">
      <c r="A1033" s="20" t="s">
        <v>7889</v>
      </c>
      <c r="B1033" s="20" t="s">
        <v>7890</v>
      </c>
      <c r="C1033" s="20" t="s">
        <v>3774</v>
      </c>
      <c r="D1033" s="20" t="s">
        <v>7891</v>
      </c>
      <c r="E1033" s="20" t="s">
        <v>7892</v>
      </c>
      <c r="F1033" s="20" t="s">
        <v>3137</v>
      </c>
      <c r="G1033" s="20" t="s">
        <v>3777</v>
      </c>
      <c r="H1033" s="20" t="s">
        <v>6</v>
      </c>
      <c r="I1033" s="39">
        <v>44762.485255057873</v>
      </c>
      <c r="J1033" s="39">
        <v>44762.485255092593</v>
      </c>
      <c r="K1033" s="20">
        <v>0</v>
      </c>
      <c r="L1033" s="17" t="str">
        <f t="shared" si="16"/>
        <v>https://captureandgo.cloudlab.zhaw.ch/uploads/image_76f14257e0.jpg</v>
      </c>
    </row>
    <row r="1034" spans="1:12" ht="16" x14ac:dyDescent="0.2">
      <c r="A1034" s="20" t="s">
        <v>7893</v>
      </c>
      <c r="B1034" s="20" t="s">
        <v>7894</v>
      </c>
      <c r="C1034" s="20" t="s">
        <v>3774</v>
      </c>
      <c r="D1034" s="20" t="s">
        <v>7895</v>
      </c>
      <c r="E1034" s="20" t="s">
        <v>7896</v>
      </c>
      <c r="F1034" s="20" t="s">
        <v>3140</v>
      </c>
      <c r="G1034" s="20" t="s">
        <v>3777</v>
      </c>
      <c r="H1034" s="20" t="s">
        <v>6</v>
      </c>
      <c r="I1034" s="39">
        <v>44762.485921168984</v>
      </c>
      <c r="J1034" s="39">
        <v>44762.485921192128</v>
      </c>
      <c r="K1034" s="20">
        <v>0</v>
      </c>
      <c r="L1034" s="17" t="str">
        <f t="shared" si="16"/>
        <v>https://captureandgo.cloudlab.zhaw.ch/uploads/image_c6ddad5204.jpg</v>
      </c>
    </row>
    <row r="1035" spans="1:12" ht="16" x14ac:dyDescent="0.2">
      <c r="A1035" s="20" t="s">
        <v>7897</v>
      </c>
      <c r="B1035" s="20" t="s">
        <v>7898</v>
      </c>
      <c r="C1035" s="20" t="s">
        <v>3774</v>
      </c>
      <c r="D1035" s="20" t="s">
        <v>7899</v>
      </c>
      <c r="E1035" s="20" t="s">
        <v>7900</v>
      </c>
      <c r="F1035" s="20" t="s">
        <v>3143</v>
      </c>
      <c r="G1035" s="20" t="s">
        <v>3777</v>
      </c>
      <c r="H1035" s="20" t="s">
        <v>6</v>
      </c>
      <c r="I1035" s="39">
        <v>44762.486432442129</v>
      </c>
      <c r="J1035" s="39">
        <v>44762.48643247685</v>
      </c>
      <c r="K1035" s="20">
        <v>0</v>
      </c>
      <c r="L1035" s="17" t="str">
        <f t="shared" si="16"/>
        <v>https://captureandgo.cloudlab.zhaw.ch/uploads/image_40c55c0410.jpg</v>
      </c>
    </row>
    <row r="1036" spans="1:12" ht="16" x14ac:dyDescent="0.2">
      <c r="A1036" s="20" t="s">
        <v>7901</v>
      </c>
      <c r="B1036" s="20" t="s">
        <v>7902</v>
      </c>
      <c r="C1036" s="20" t="s">
        <v>3774</v>
      </c>
      <c r="D1036" s="20" t="s">
        <v>7903</v>
      </c>
      <c r="E1036" s="20" t="s">
        <v>7904</v>
      </c>
      <c r="F1036" s="20" t="s">
        <v>3146</v>
      </c>
      <c r="G1036" s="20" t="s">
        <v>3777</v>
      </c>
      <c r="H1036" s="20" t="s">
        <v>6</v>
      </c>
      <c r="I1036" s="39">
        <v>44762.486776388891</v>
      </c>
      <c r="J1036" s="39">
        <v>44762.486776423611</v>
      </c>
      <c r="K1036" s="20">
        <v>0</v>
      </c>
      <c r="L1036" s="17" t="str">
        <f t="shared" si="16"/>
        <v>https://captureandgo.cloudlab.zhaw.ch/uploads/image_4ea345d9da.jpg</v>
      </c>
    </row>
    <row r="1037" spans="1:12" ht="16" x14ac:dyDescent="0.2">
      <c r="A1037" s="20" t="s">
        <v>7905</v>
      </c>
      <c r="B1037" s="20" t="s">
        <v>7906</v>
      </c>
      <c r="C1037" s="20" t="s">
        <v>3774</v>
      </c>
      <c r="D1037" s="20" t="s">
        <v>7907</v>
      </c>
      <c r="E1037" s="20" t="s">
        <v>7908</v>
      </c>
      <c r="F1037" s="20" t="s">
        <v>3149</v>
      </c>
      <c r="G1037" s="20" t="s">
        <v>3777</v>
      </c>
      <c r="H1037" s="20" t="s">
        <v>6</v>
      </c>
      <c r="I1037" s="39">
        <v>44762.487314930557</v>
      </c>
      <c r="J1037" s="39">
        <v>44762.487315081016</v>
      </c>
      <c r="K1037" s="20">
        <v>0</v>
      </c>
      <c r="L1037" s="17" t="str">
        <f t="shared" si="16"/>
        <v>https://captureandgo.cloudlab.zhaw.ch/uploads/image_ec6b5284cb.jpg</v>
      </c>
    </row>
    <row r="1038" spans="1:12" ht="16" x14ac:dyDescent="0.2">
      <c r="A1038" s="20" t="s">
        <v>7909</v>
      </c>
      <c r="B1038" s="20" t="s">
        <v>7910</v>
      </c>
      <c r="C1038" s="20" t="s">
        <v>3774</v>
      </c>
      <c r="D1038" s="20" t="s">
        <v>7911</v>
      </c>
      <c r="E1038" s="20" t="s">
        <v>7912</v>
      </c>
      <c r="F1038" s="20" t="s">
        <v>3153</v>
      </c>
      <c r="G1038" s="20" t="s">
        <v>3777</v>
      </c>
      <c r="H1038" s="20" t="s">
        <v>6</v>
      </c>
      <c r="I1038" s="39">
        <v>44762.489639652777</v>
      </c>
      <c r="J1038" s="39">
        <v>44762.489639699073</v>
      </c>
      <c r="K1038" s="20">
        <v>0</v>
      </c>
      <c r="L1038" s="17" t="str">
        <f t="shared" si="16"/>
        <v>https://captureandgo.cloudlab.zhaw.ch/uploads/image_c4b25becec.jpg</v>
      </c>
    </row>
    <row r="1039" spans="1:12" ht="16" x14ac:dyDescent="0.2">
      <c r="A1039" s="20" t="s">
        <v>7913</v>
      </c>
      <c r="B1039" s="20" t="s">
        <v>7914</v>
      </c>
      <c r="C1039" s="20" t="s">
        <v>3774</v>
      </c>
      <c r="D1039" s="20" t="s">
        <v>7915</v>
      </c>
      <c r="E1039" s="20" t="s">
        <v>7916</v>
      </c>
      <c r="F1039" s="20" t="s">
        <v>3159</v>
      </c>
      <c r="G1039" s="20" t="s">
        <v>3777</v>
      </c>
      <c r="H1039" s="20" t="s">
        <v>6</v>
      </c>
      <c r="I1039" s="39">
        <v>44762.490859988429</v>
      </c>
      <c r="J1039" s="39">
        <v>44762.49086002315</v>
      </c>
      <c r="K1039" s="20">
        <v>0</v>
      </c>
      <c r="L1039" s="17" t="str">
        <f t="shared" si="16"/>
        <v>https://captureandgo.cloudlab.zhaw.ch/uploads/image_61cd6905ad.jpg</v>
      </c>
    </row>
    <row r="1040" spans="1:12" ht="16" x14ac:dyDescent="0.2">
      <c r="A1040" s="20" t="s">
        <v>7917</v>
      </c>
      <c r="B1040" s="20" t="s">
        <v>7918</v>
      </c>
      <c r="C1040" s="20" t="s">
        <v>3774</v>
      </c>
      <c r="D1040" s="20" t="s">
        <v>7919</v>
      </c>
      <c r="E1040" s="20" t="s">
        <v>7920</v>
      </c>
      <c r="F1040" s="20" t="s">
        <v>3162</v>
      </c>
      <c r="G1040" s="20" t="s">
        <v>3777</v>
      </c>
      <c r="H1040" s="20" t="s">
        <v>6</v>
      </c>
      <c r="I1040" s="39">
        <v>44762.491508032406</v>
      </c>
      <c r="J1040" s="39">
        <v>44762.491508078703</v>
      </c>
      <c r="K1040" s="20">
        <v>0</v>
      </c>
      <c r="L1040" s="17" t="str">
        <f t="shared" si="16"/>
        <v>https://captureandgo.cloudlab.zhaw.ch/uploads/image_e4a20b4317.jpg</v>
      </c>
    </row>
    <row r="1041" spans="1:12" ht="16" x14ac:dyDescent="0.2">
      <c r="A1041" s="20" t="s">
        <v>7921</v>
      </c>
      <c r="B1041" s="20" t="s">
        <v>7922</v>
      </c>
      <c r="C1041" s="20" t="s">
        <v>3774</v>
      </c>
      <c r="D1041" s="20" t="s">
        <v>7923</v>
      </c>
      <c r="E1041" s="20" t="s">
        <v>7924</v>
      </c>
      <c r="F1041" s="20" t="s">
        <v>3165</v>
      </c>
      <c r="G1041" s="20" t="s">
        <v>3777</v>
      </c>
      <c r="H1041" s="20" t="s">
        <v>6</v>
      </c>
      <c r="I1041" s="39">
        <v>44762.492169583333</v>
      </c>
      <c r="J1041" s="39">
        <v>44762.492169641206</v>
      </c>
      <c r="K1041" s="20">
        <v>0</v>
      </c>
      <c r="L1041" s="17" t="str">
        <f t="shared" si="16"/>
        <v>https://captureandgo.cloudlab.zhaw.ch/uploads/image_7d73bca4f3.jpg</v>
      </c>
    </row>
    <row r="1042" spans="1:12" ht="16" x14ac:dyDescent="0.2">
      <c r="A1042" s="20" t="s">
        <v>7925</v>
      </c>
      <c r="B1042" s="20" t="s">
        <v>7926</v>
      </c>
      <c r="C1042" s="20" t="s">
        <v>3774</v>
      </c>
      <c r="D1042" s="20" t="s">
        <v>7927</v>
      </c>
      <c r="E1042" s="20" t="s">
        <v>7928</v>
      </c>
      <c r="F1042" s="20" t="s">
        <v>3168</v>
      </c>
      <c r="G1042" s="20" t="s">
        <v>3777</v>
      </c>
      <c r="H1042" s="20" t="s">
        <v>6</v>
      </c>
      <c r="I1042" s="39">
        <v>44762.49262261574</v>
      </c>
      <c r="J1042" s="39">
        <v>44762.492622650461</v>
      </c>
      <c r="K1042" s="20">
        <v>0</v>
      </c>
      <c r="L1042" s="17" t="str">
        <f t="shared" si="16"/>
        <v>https://captureandgo.cloudlab.zhaw.ch/uploads/image_cd6ddfe783.jpg</v>
      </c>
    </row>
    <row r="1043" spans="1:12" ht="16" x14ac:dyDescent="0.2">
      <c r="A1043" s="20" t="s">
        <v>7929</v>
      </c>
      <c r="B1043" s="20" t="s">
        <v>7930</v>
      </c>
      <c r="C1043" s="20" t="s">
        <v>3774</v>
      </c>
      <c r="D1043" s="20" t="s">
        <v>7931</v>
      </c>
      <c r="E1043" s="20" t="s">
        <v>7932</v>
      </c>
      <c r="F1043" s="20" t="s">
        <v>3171</v>
      </c>
      <c r="G1043" s="20" t="s">
        <v>3777</v>
      </c>
      <c r="H1043" s="20" t="s">
        <v>6</v>
      </c>
      <c r="I1043" s="39">
        <v>44762.492980625</v>
      </c>
      <c r="J1043" s="39">
        <v>44762.492980659721</v>
      </c>
      <c r="K1043" s="20">
        <v>0</v>
      </c>
      <c r="L1043" s="17" t="str">
        <f t="shared" si="16"/>
        <v>https://captureandgo.cloudlab.zhaw.ch/uploads/image_1e8e3cab9c.jpg</v>
      </c>
    </row>
    <row r="1044" spans="1:12" ht="16" x14ac:dyDescent="0.2">
      <c r="A1044" s="20" t="s">
        <v>7933</v>
      </c>
      <c r="B1044" s="20" t="s">
        <v>7934</v>
      </c>
      <c r="C1044" s="20" t="s">
        <v>3774</v>
      </c>
      <c r="D1044" s="20" t="s">
        <v>7935</v>
      </c>
      <c r="E1044" s="20" t="s">
        <v>7936</v>
      </c>
      <c r="F1044" s="20" t="s">
        <v>3174</v>
      </c>
      <c r="G1044" s="20" t="s">
        <v>3777</v>
      </c>
      <c r="H1044" s="20" t="s">
        <v>6</v>
      </c>
      <c r="I1044" s="39">
        <v>44762.493701493055</v>
      </c>
      <c r="J1044" s="39">
        <v>44762.493701539352</v>
      </c>
      <c r="K1044" s="20">
        <v>0</v>
      </c>
      <c r="L1044" s="17" t="str">
        <f t="shared" si="16"/>
        <v>https://captureandgo.cloudlab.zhaw.ch/uploads/image_3865215a4d.jpg</v>
      </c>
    </row>
    <row r="1045" spans="1:12" ht="16" x14ac:dyDescent="0.2">
      <c r="A1045" s="20" t="s">
        <v>7937</v>
      </c>
      <c r="B1045" s="20" t="s">
        <v>7938</v>
      </c>
      <c r="C1045" s="20" t="s">
        <v>3774</v>
      </c>
      <c r="D1045" s="20" t="s">
        <v>7939</v>
      </c>
      <c r="E1045" s="20" t="s">
        <v>7940</v>
      </c>
      <c r="F1045" s="20" t="s">
        <v>3177</v>
      </c>
      <c r="G1045" s="20" t="s">
        <v>3777</v>
      </c>
      <c r="H1045" s="20" t="s">
        <v>6</v>
      </c>
      <c r="I1045" s="39">
        <v>44762.495477939818</v>
      </c>
      <c r="J1045" s="39">
        <v>44762.495477974539</v>
      </c>
      <c r="K1045" s="20">
        <v>0</v>
      </c>
      <c r="L1045" s="17" t="str">
        <f t="shared" si="16"/>
        <v>https://captureandgo.cloudlab.zhaw.ch/uploads/image_4a70aece79.jpg</v>
      </c>
    </row>
    <row r="1046" spans="1:12" ht="16" x14ac:dyDescent="0.2">
      <c r="A1046" s="20" t="s">
        <v>7941</v>
      </c>
      <c r="B1046" s="20" t="s">
        <v>7942</v>
      </c>
      <c r="C1046" s="20" t="s">
        <v>3774</v>
      </c>
      <c r="D1046" s="20" t="s">
        <v>7943</v>
      </c>
      <c r="E1046" s="20" t="s">
        <v>7944</v>
      </c>
      <c r="F1046" s="20" t="s">
        <v>3180</v>
      </c>
      <c r="G1046" s="20" t="s">
        <v>3777</v>
      </c>
      <c r="H1046" s="20" t="s">
        <v>6</v>
      </c>
      <c r="I1046" s="39">
        <v>44762.495716435187</v>
      </c>
      <c r="J1046" s="39">
        <v>44762.495716458332</v>
      </c>
      <c r="K1046" s="20">
        <v>0</v>
      </c>
      <c r="L1046" s="17" t="str">
        <f t="shared" si="16"/>
        <v>https://captureandgo.cloudlab.zhaw.ch/uploads/image_37c233851d.jpg</v>
      </c>
    </row>
    <row r="1047" spans="1:12" ht="16" x14ac:dyDescent="0.2">
      <c r="A1047" s="20" t="s">
        <v>7945</v>
      </c>
      <c r="B1047" s="20" t="s">
        <v>7946</v>
      </c>
      <c r="C1047" s="20" t="s">
        <v>3774</v>
      </c>
      <c r="D1047" s="20" t="s">
        <v>7947</v>
      </c>
      <c r="E1047" s="20" t="s">
        <v>7948</v>
      </c>
      <c r="F1047" s="20" t="s">
        <v>3183</v>
      </c>
      <c r="G1047" s="20" t="s">
        <v>3777</v>
      </c>
      <c r="H1047" s="20" t="s">
        <v>6</v>
      </c>
      <c r="I1047" s="39">
        <v>44762.496846319445</v>
      </c>
      <c r="J1047" s="39">
        <v>44762.496846365742</v>
      </c>
      <c r="K1047" s="20">
        <v>0</v>
      </c>
      <c r="L1047" s="17" t="str">
        <f t="shared" si="16"/>
        <v>https://captureandgo.cloudlab.zhaw.ch/uploads/image_68197d9bbd.jpg</v>
      </c>
    </row>
    <row r="1048" spans="1:12" ht="16" x14ac:dyDescent="0.2">
      <c r="A1048" s="20" t="s">
        <v>7949</v>
      </c>
      <c r="B1048" s="20" t="s">
        <v>7950</v>
      </c>
      <c r="C1048" s="20" t="s">
        <v>3774</v>
      </c>
      <c r="D1048" s="20" t="s">
        <v>7951</v>
      </c>
      <c r="E1048" s="20" t="s">
        <v>7952</v>
      </c>
      <c r="F1048" s="20" t="s">
        <v>3187</v>
      </c>
      <c r="G1048" s="20" t="s">
        <v>3777</v>
      </c>
      <c r="H1048" s="20" t="s">
        <v>6</v>
      </c>
      <c r="I1048" s="39">
        <v>44762.497978796295</v>
      </c>
      <c r="J1048" s="39">
        <v>44762.497978831016</v>
      </c>
      <c r="K1048" s="20">
        <v>0</v>
      </c>
      <c r="L1048" s="17" t="str">
        <f t="shared" si="16"/>
        <v>https://captureandgo.cloudlab.zhaw.ch/uploads/image_106074dddb.jpg</v>
      </c>
    </row>
    <row r="1049" spans="1:12" ht="16" x14ac:dyDescent="0.2">
      <c r="A1049" s="20" t="s">
        <v>7953</v>
      </c>
      <c r="B1049" s="20" t="s">
        <v>7954</v>
      </c>
      <c r="C1049" s="20" t="s">
        <v>3774</v>
      </c>
      <c r="D1049" s="20" t="s">
        <v>7955</v>
      </c>
      <c r="E1049" s="20" t="s">
        <v>7956</v>
      </c>
      <c r="F1049" s="20" t="s">
        <v>3191</v>
      </c>
      <c r="G1049" s="20" t="s">
        <v>3777</v>
      </c>
      <c r="H1049" s="20" t="s">
        <v>6</v>
      </c>
      <c r="I1049" s="39">
        <v>44762.498769224534</v>
      </c>
      <c r="J1049" s="39">
        <v>44762.498769259262</v>
      </c>
      <c r="K1049" s="20">
        <v>0</v>
      </c>
      <c r="L1049" s="17" t="str">
        <f t="shared" si="16"/>
        <v>https://captureandgo.cloudlab.zhaw.ch/uploads/image_01bdad3614.jpg</v>
      </c>
    </row>
    <row r="1050" spans="1:12" ht="16" x14ac:dyDescent="0.2">
      <c r="A1050" s="20" t="s">
        <v>7957</v>
      </c>
      <c r="B1050" s="20" t="s">
        <v>7958</v>
      </c>
      <c r="C1050" s="20" t="s">
        <v>3774</v>
      </c>
      <c r="D1050" s="20" t="s">
        <v>7959</v>
      </c>
      <c r="E1050" s="20" t="s">
        <v>7960</v>
      </c>
      <c r="F1050" s="20" t="s">
        <v>3194</v>
      </c>
      <c r="G1050" s="20" t="s">
        <v>3777</v>
      </c>
      <c r="H1050" s="20" t="s">
        <v>6</v>
      </c>
      <c r="I1050" s="39">
        <v>44762.500307465278</v>
      </c>
      <c r="J1050" s="39">
        <v>44762.500307488423</v>
      </c>
      <c r="K1050" s="20">
        <v>0</v>
      </c>
      <c r="L1050" s="17" t="str">
        <f t="shared" si="16"/>
        <v>https://captureandgo.cloudlab.zhaw.ch/uploads/image_7cb5822c56.jpg</v>
      </c>
    </row>
    <row r="1051" spans="1:12" ht="16" x14ac:dyDescent="0.2">
      <c r="A1051" s="20" t="s">
        <v>7961</v>
      </c>
      <c r="B1051" s="20" t="s">
        <v>7962</v>
      </c>
      <c r="C1051" s="20" t="s">
        <v>3774</v>
      </c>
      <c r="D1051" s="20" t="s">
        <v>7963</v>
      </c>
      <c r="E1051" s="20" t="s">
        <v>7964</v>
      </c>
      <c r="F1051" s="20" t="s">
        <v>3197</v>
      </c>
      <c r="G1051" s="20" t="s">
        <v>3777</v>
      </c>
      <c r="H1051" s="20" t="s">
        <v>6</v>
      </c>
      <c r="I1051" s="39">
        <v>44762.50142443287</v>
      </c>
      <c r="J1051" s="39">
        <v>44762.501424479167</v>
      </c>
      <c r="K1051" s="20">
        <v>0</v>
      </c>
      <c r="L1051" s="17" t="str">
        <f t="shared" si="16"/>
        <v>https://captureandgo.cloudlab.zhaw.ch/uploads/image_dc1a35b5de.jpg</v>
      </c>
    </row>
    <row r="1052" spans="1:12" ht="16" x14ac:dyDescent="0.2">
      <c r="A1052" s="20" t="s">
        <v>7965</v>
      </c>
      <c r="B1052" s="20" t="s">
        <v>7966</v>
      </c>
      <c r="C1052" s="20" t="s">
        <v>3774</v>
      </c>
      <c r="D1052" s="20" t="s">
        <v>7967</v>
      </c>
      <c r="E1052" s="20" t="s">
        <v>7968</v>
      </c>
      <c r="F1052" s="20" t="s">
        <v>3200</v>
      </c>
      <c r="G1052" s="20" t="s">
        <v>3777</v>
      </c>
      <c r="H1052" s="20" t="s">
        <v>6</v>
      </c>
      <c r="I1052" s="39">
        <v>44762.502302511573</v>
      </c>
      <c r="J1052" s="39">
        <v>44762.502302546294</v>
      </c>
      <c r="K1052" s="20">
        <v>0</v>
      </c>
      <c r="L1052" s="17" t="str">
        <f t="shared" si="16"/>
        <v>https://captureandgo.cloudlab.zhaw.ch/uploads/image_11ce94a046.jpg</v>
      </c>
    </row>
    <row r="1053" spans="1:12" ht="16" x14ac:dyDescent="0.2">
      <c r="A1053" s="20" t="s">
        <v>7969</v>
      </c>
      <c r="B1053" s="20" t="s">
        <v>7970</v>
      </c>
      <c r="C1053" s="20" t="s">
        <v>3774</v>
      </c>
      <c r="D1053" s="20" t="s">
        <v>7971</v>
      </c>
      <c r="E1053" s="20" t="s">
        <v>7972</v>
      </c>
      <c r="F1053" s="20" t="s">
        <v>3204</v>
      </c>
      <c r="G1053" s="20" t="s">
        <v>3777</v>
      </c>
      <c r="H1053" s="20" t="s">
        <v>6</v>
      </c>
      <c r="I1053" s="39">
        <v>44762.503553020833</v>
      </c>
      <c r="J1053" s="39">
        <v>44762.50355306713</v>
      </c>
      <c r="K1053" s="20">
        <v>0</v>
      </c>
      <c r="L1053" s="17" t="str">
        <f t="shared" si="16"/>
        <v>https://captureandgo.cloudlab.zhaw.ch/uploads/image_c6f4b038d7.jpg</v>
      </c>
    </row>
    <row r="1054" spans="1:12" ht="16" x14ac:dyDescent="0.2">
      <c r="A1054" s="20" t="s">
        <v>7973</v>
      </c>
      <c r="B1054" s="20" t="s">
        <v>7974</v>
      </c>
      <c r="C1054" s="20" t="s">
        <v>3774</v>
      </c>
      <c r="D1054" s="20" t="s">
        <v>7975</v>
      </c>
      <c r="E1054" s="20" t="s">
        <v>7976</v>
      </c>
      <c r="F1054" s="20" t="s">
        <v>3207</v>
      </c>
      <c r="G1054" s="20" t="s">
        <v>3777</v>
      </c>
      <c r="H1054" s="20" t="s">
        <v>6</v>
      </c>
      <c r="I1054" s="39">
        <v>44762.503843206017</v>
      </c>
      <c r="J1054" s="39">
        <v>44762.503843240738</v>
      </c>
      <c r="K1054" s="20">
        <v>0</v>
      </c>
      <c r="L1054" s="17" t="str">
        <f t="shared" si="16"/>
        <v>https://captureandgo.cloudlab.zhaw.ch/uploads/image_19516fd663.jpg</v>
      </c>
    </row>
    <row r="1055" spans="1:12" ht="16" x14ac:dyDescent="0.2">
      <c r="A1055" s="20" t="s">
        <v>7977</v>
      </c>
      <c r="B1055" s="20" t="s">
        <v>7978</v>
      </c>
      <c r="C1055" s="20" t="s">
        <v>3774</v>
      </c>
      <c r="D1055" s="20" t="s">
        <v>7979</v>
      </c>
      <c r="E1055" s="20" t="s">
        <v>7980</v>
      </c>
      <c r="F1055" s="20" t="s">
        <v>3210</v>
      </c>
      <c r="G1055" s="20" t="s">
        <v>3777</v>
      </c>
      <c r="H1055" s="20" t="s">
        <v>6</v>
      </c>
      <c r="I1055" s="39">
        <v>44762.504868506941</v>
      </c>
      <c r="J1055" s="39">
        <v>44762.504868553238</v>
      </c>
      <c r="K1055" s="20">
        <v>0</v>
      </c>
      <c r="L1055" s="17" t="str">
        <f t="shared" si="16"/>
        <v>https://captureandgo.cloudlab.zhaw.ch/uploads/image_9650fba4bd.jpg</v>
      </c>
    </row>
    <row r="1056" spans="1:12" ht="16" x14ac:dyDescent="0.2">
      <c r="A1056" s="20" t="s">
        <v>7981</v>
      </c>
      <c r="B1056" s="20" t="s">
        <v>7982</v>
      </c>
      <c r="C1056" s="20" t="s">
        <v>3774</v>
      </c>
      <c r="D1056" s="20" t="s">
        <v>7983</v>
      </c>
      <c r="E1056" s="20" t="s">
        <v>7984</v>
      </c>
      <c r="F1056" s="20" t="s">
        <v>3214</v>
      </c>
      <c r="G1056" s="20" t="s">
        <v>3777</v>
      </c>
      <c r="H1056" s="20" t="s">
        <v>6</v>
      </c>
      <c r="I1056" s="39">
        <v>44762.505616099537</v>
      </c>
      <c r="J1056" s="39">
        <v>44762.505616134258</v>
      </c>
      <c r="K1056" s="20">
        <v>0</v>
      </c>
      <c r="L1056" s="17" t="str">
        <f t="shared" si="16"/>
        <v>https://captureandgo.cloudlab.zhaw.ch/uploads/image_8ef31a465f.jpg</v>
      </c>
    </row>
    <row r="1057" spans="1:12" ht="16" x14ac:dyDescent="0.2">
      <c r="A1057" s="20" t="s">
        <v>7985</v>
      </c>
      <c r="B1057" s="20" t="s">
        <v>7986</v>
      </c>
      <c r="C1057" s="20" t="s">
        <v>3774</v>
      </c>
      <c r="D1057" s="20" t="s">
        <v>7987</v>
      </c>
      <c r="E1057" s="20" t="s">
        <v>7988</v>
      </c>
      <c r="F1057" s="20" t="s">
        <v>3217</v>
      </c>
      <c r="G1057" s="20" t="s">
        <v>3777</v>
      </c>
      <c r="H1057" s="20" t="s">
        <v>6</v>
      </c>
      <c r="I1057" s="39">
        <v>44762.506307303243</v>
      </c>
      <c r="J1057" s="39">
        <v>44762.506307430558</v>
      </c>
      <c r="K1057" s="20">
        <v>0</v>
      </c>
      <c r="L1057" s="17" t="str">
        <f t="shared" si="16"/>
        <v>https://captureandgo.cloudlab.zhaw.ch/uploads/image_a303ba0dce.jpg</v>
      </c>
    </row>
    <row r="1058" spans="1:12" ht="16" x14ac:dyDescent="0.2">
      <c r="A1058" s="20" t="s">
        <v>7989</v>
      </c>
      <c r="B1058" s="20" t="s">
        <v>7990</v>
      </c>
      <c r="C1058" s="20" t="s">
        <v>3774</v>
      </c>
      <c r="D1058" s="20" t="s">
        <v>7991</v>
      </c>
      <c r="E1058" s="20" t="s">
        <v>7992</v>
      </c>
      <c r="F1058" s="20" t="s">
        <v>3220</v>
      </c>
      <c r="G1058" s="20" t="s">
        <v>3777</v>
      </c>
      <c r="H1058" s="20" t="s">
        <v>6</v>
      </c>
      <c r="I1058" s="39">
        <v>44762.509308379631</v>
      </c>
      <c r="J1058" s="39">
        <v>44762.509308414352</v>
      </c>
      <c r="K1058" s="20">
        <v>0</v>
      </c>
      <c r="L1058" s="17" t="str">
        <f t="shared" si="16"/>
        <v>https://captureandgo.cloudlab.zhaw.ch/uploads/image_9bc5270470.jpg</v>
      </c>
    </row>
    <row r="1059" spans="1:12" ht="16" x14ac:dyDescent="0.2">
      <c r="A1059" s="20" t="s">
        <v>7993</v>
      </c>
      <c r="B1059" s="20" t="s">
        <v>7994</v>
      </c>
      <c r="C1059" s="20" t="s">
        <v>3774</v>
      </c>
      <c r="D1059" s="20" t="s">
        <v>7995</v>
      </c>
      <c r="E1059" s="20" t="s">
        <v>7996</v>
      </c>
      <c r="F1059" s="20" t="s">
        <v>3223</v>
      </c>
      <c r="G1059" s="20" t="s">
        <v>3777</v>
      </c>
      <c r="H1059" s="20" t="s">
        <v>6</v>
      </c>
      <c r="I1059" s="39">
        <v>44762.509747291668</v>
      </c>
      <c r="J1059" s="39">
        <v>44762.509747337965</v>
      </c>
      <c r="K1059" s="20">
        <v>0</v>
      </c>
      <c r="L1059" s="17" t="str">
        <f t="shared" si="16"/>
        <v>https://captureandgo.cloudlab.zhaw.ch/uploads/image_834891f56a.jpg</v>
      </c>
    </row>
    <row r="1060" spans="1:12" ht="16" x14ac:dyDescent="0.2">
      <c r="A1060" s="20" t="s">
        <v>7997</v>
      </c>
      <c r="B1060" s="20" t="s">
        <v>7998</v>
      </c>
      <c r="C1060" s="20" t="s">
        <v>3774</v>
      </c>
      <c r="D1060" s="20" t="s">
        <v>7999</v>
      </c>
      <c r="E1060" s="20" t="s">
        <v>8000</v>
      </c>
      <c r="F1060" s="20" t="s">
        <v>3227</v>
      </c>
      <c r="G1060" s="20" t="s">
        <v>3777</v>
      </c>
      <c r="H1060" s="20" t="s">
        <v>6</v>
      </c>
      <c r="I1060" s="39">
        <v>44762.510062546295</v>
      </c>
      <c r="J1060" s="39">
        <v>44762.510062604168</v>
      </c>
      <c r="K1060" s="20">
        <v>0</v>
      </c>
      <c r="L1060" s="17" t="str">
        <f t="shared" si="16"/>
        <v>https://captureandgo.cloudlab.zhaw.ch/uploads/image_85e8723d58.jpg</v>
      </c>
    </row>
    <row r="1061" spans="1:12" ht="16" x14ac:dyDescent="0.2">
      <c r="A1061" s="20" t="s">
        <v>8001</v>
      </c>
      <c r="B1061" s="20" t="s">
        <v>8002</v>
      </c>
      <c r="C1061" s="20" t="s">
        <v>3774</v>
      </c>
      <c r="D1061" s="20" t="s">
        <v>8003</v>
      </c>
      <c r="E1061" s="20" t="s">
        <v>8004</v>
      </c>
      <c r="F1061" s="20" t="s">
        <v>3230</v>
      </c>
      <c r="G1061" s="20" t="s">
        <v>3777</v>
      </c>
      <c r="H1061" s="20" t="s">
        <v>6</v>
      </c>
      <c r="I1061" s="39">
        <v>44762.510266516205</v>
      </c>
      <c r="J1061" s="39">
        <v>44762.51026653935</v>
      </c>
      <c r="K1061" s="20">
        <v>0</v>
      </c>
      <c r="L1061" s="17" t="str">
        <f t="shared" si="16"/>
        <v>https://captureandgo.cloudlab.zhaw.ch/uploads/image_751cb16cb0.jpg</v>
      </c>
    </row>
    <row r="1062" spans="1:12" ht="16" x14ac:dyDescent="0.2">
      <c r="A1062" s="20" t="s">
        <v>8005</v>
      </c>
      <c r="B1062" s="20" t="s">
        <v>8006</v>
      </c>
      <c r="C1062" s="20" t="s">
        <v>3774</v>
      </c>
      <c r="D1062" s="20" t="s">
        <v>8007</v>
      </c>
      <c r="E1062" s="20" t="s">
        <v>8008</v>
      </c>
      <c r="F1062" s="20" t="s">
        <v>3233</v>
      </c>
      <c r="G1062" s="20" t="s">
        <v>3777</v>
      </c>
      <c r="H1062" s="20" t="s">
        <v>6</v>
      </c>
      <c r="I1062" s="39">
        <v>44762.510619722219</v>
      </c>
      <c r="J1062" s="39">
        <v>44762.510619756948</v>
      </c>
      <c r="K1062" s="20">
        <v>0</v>
      </c>
      <c r="L1062" s="17" t="str">
        <f t="shared" si="16"/>
        <v>https://captureandgo.cloudlab.zhaw.ch/uploads/image_842aa5f10e.jpg</v>
      </c>
    </row>
    <row r="1063" spans="1:12" ht="16" x14ac:dyDescent="0.2">
      <c r="A1063" s="20" t="s">
        <v>8009</v>
      </c>
      <c r="B1063" s="20" t="s">
        <v>8010</v>
      </c>
      <c r="C1063" s="20" t="s">
        <v>3774</v>
      </c>
      <c r="D1063" s="20" t="s">
        <v>8011</v>
      </c>
      <c r="E1063" s="20" t="s">
        <v>8012</v>
      </c>
      <c r="F1063" s="20" t="s">
        <v>3236</v>
      </c>
      <c r="G1063" s="20" t="s">
        <v>3777</v>
      </c>
      <c r="H1063" s="20" t="s">
        <v>6</v>
      </c>
      <c r="I1063" s="39">
        <v>44762.510912106482</v>
      </c>
      <c r="J1063" s="39">
        <v>44762.510912141202</v>
      </c>
      <c r="K1063" s="20">
        <v>0</v>
      </c>
      <c r="L1063" s="17" t="str">
        <f t="shared" si="16"/>
        <v>https://captureandgo.cloudlab.zhaw.ch/uploads/image_4fc526e27b.jpg</v>
      </c>
    </row>
    <row r="1064" spans="1:12" ht="16" x14ac:dyDescent="0.2">
      <c r="A1064" s="20" t="s">
        <v>8013</v>
      </c>
      <c r="B1064" s="20" t="s">
        <v>8014</v>
      </c>
      <c r="C1064" s="20" t="s">
        <v>3774</v>
      </c>
      <c r="D1064" s="20" t="s">
        <v>8015</v>
      </c>
      <c r="E1064" s="20" t="s">
        <v>8016</v>
      </c>
      <c r="F1064" s="20" t="s">
        <v>3239</v>
      </c>
      <c r="G1064" s="20" t="s">
        <v>3777</v>
      </c>
      <c r="H1064" s="20" t="s">
        <v>6</v>
      </c>
      <c r="I1064" s="39">
        <v>44762.511155312503</v>
      </c>
      <c r="J1064" s="39">
        <v>44762.511155347223</v>
      </c>
      <c r="K1064" s="20">
        <v>0</v>
      </c>
      <c r="L1064" s="17" t="str">
        <f t="shared" si="16"/>
        <v>https://captureandgo.cloudlab.zhaw.ch/uploads/image_6f594efe86.jpg</v>
      </c>
    </row>
    <row r="1065" spans="1:12" ht="16" x14ac:dyDescent="0.2">
      <c r="A1065" s="20" t="s">
        <v>8017</v>
      </c>
      <c r="B1065" s="20" t="s">
        <v>8018</v>
      </c>
      <c r="C1065" s="20" t="s">
        <v>3774</v>
      </c>
      <c r="D1065" s="20" t="s">
        <v>8019</v>
      </c>
      <c r="E1065" s="20" t="s">
        <v>8020</v>
      </c>
      <c r="F1065" s="20" t="s">
        <v>3242</v>
      </c>
      <c r="G1065" s="20" t="s">
        <v>3777</v>
      </c>
      <c r="H1065" s="20" t="s">
        <v>6</v>
      </c>
      <c r="I1065" s="39">
        <v>44762.511512094905</v>
      </c>
      <c r="J1065" s="39">
        <v>44762.511512129633</v>
      </c>
      <c r="K1065" s="20">
        <v>0</v>
      </c>
      <c r="L1065" s="17" t="str">
        <f t="shared" si="16"/>
        <v>https://captureandgo.cloudlab.zhaw.ch/uploads/image_29f4a7c5af.jpg</v>
      </c>
    </row>
    <row r="1066" spans="1:12" ht="16" x14ac:dyDescent="0.2">
      <c r="A1066" s="20" t="s">
        <v>8021</v>
      </c>
      <c r="B1066" s="20" t="s">
        <v>8022</v>
      </c>
      <c r="C1066" s="20" t="s">
        <v>3774</v>
      </c>
      <c r="D1066" s="20" t="s">
        <v>8023</v>
      </c>
      <c r="E1066" s="20" t="s">
        <v>8024</v>
      </c>
      <c r="F1066" s="20" t="s">
        <v>3245</v>
      </c>
      <c r="G1066" s="20" t="s">
        <v>3777</v>
      </c>
      <c r="H1066" s="20" t="s">
        <v>6</v>
      </c>
      <c r="I1066" s="39">
        <v>44764.361438483793</v>
      </c>
      <c r="J1066" s="39">
        <v>44764.361438576387</v>
      </c>
      <c r="K1066" s="20">
        <v>0</v>
      </c>
      <c r="L1066" s="17" t="str">
        <f t="shared" si="16"/>
        <v>https://captureandgo.cloudlab.zhaw.ch/uploads/image_ced4c627d3.jpg</v>
      </c>
    </row>
    <row r="1067" spans="1:12" ht="16" x14ac:dyDescent="0.2">
      <c r="A1067" s="20" t="s">
        <v>8025</v>
      </c>
      <c r="B1067" s="20" t="s">
        <v>8026</v>
      </c>
      <c r="C1067" s="20" t="s">
        <v>3774</v>
      </c>
      <c r="D1067" s="20" t="s">
        <v>8027</v>
      </c>
      <c r="E1067" s="20" t="s">
        <v>8028</v>
      </c>
      <c r="F1067" s="20" t="s">
        <v>3249</v>
      </c>
      <c r="G1067" s="20" t="s">
        <v>3777</v>
      </c>
      <c r="H1067" s="20" t="s">
        <v>6</v>
      </c>
      <c r="I1067" s="39">
        <v>44764.362106689812</v>
      </c>
      <c r="J1067" s="39">
        <v>44764.36210672454</v>
      </c>
      <c r="K1067" s="20">
        <v>0</v>
      </c>
      <c r="L1067" s="17" t="str">
        <f t="shared" si="16"/>
        <v>https://captureandgo.cloudlab.zhaw.ch/uploads/image_a908a104cc.jpg</v>
      </c>
    </row>
    <row r="1068" spans="1:12" ht="16" x14ac:dyDescent="0.2">
      <c r="A1068" s="20" t="s">
        <v>8029</v>
      </c>
      <c r="B1068" s="20" t="s">
        <v>8030</v>
      </c>
      <c r="C1068" s="20" t="s">
        <v>3774</v>
      </c>
      <c r="D1068" s="20" t="s">
        <v>8031</v>
      </c>
      <c r="E1068" s="20" t="s">
        <v>8032</v>
      </c>
      <c r="F1068" s="20" t="s">
        <v>3253</v>
      </c>
      <c r="G1068" s="20" t="s">
        <v>3777</v>
      </c>
      <c r="H1068" s="20" t="s">
        <v>6</v>
      </c>
      <c r="I1068" s="39">
        <v>44764.362720648147</v>
      </c>
      <c r="J1068" s="39">
        <v>44764.362720694444</v>
      </c>
      <c r="K1068" s="20">
        <v>0</v>
      </c>
      <c r="L1068" s="17" t="str">
        <f t="shared" si="16"/>
        <v>https://captureandgo.cloudlab.zhaw.ch/uploads/image_1a0304f754.jpg</v>
      </c>
    </row>
    <row r="1069" spans="1:12" ht="16" x14ac:dyDescent="0.2">
      <c r="A1069" s="20" t="s">
        <v>8033</v>
      </c>
      <c r="B1069" s="20" t="s">
        <v>8034</v>
      </c>
      <c r="C1069" s="20" t="s">
        <v>3774</v>
      </c>
      <c r="D1069" s="20" t="s">
        <v>8035</v>
      </c>
      <c r="E1069" s="20" t="s">
        <v>8036</v>
      </c>
      <c r="F1069" s="20" t="s">
        <v>3256</v>
      </c>
      <c r="G1069" s="20" t="s">
        <v>3777</v>
      </c>
      <c r="H1069" s="20" t="s">
        <v>6</v>
      </c>
      <c r="I1069" s="39">
        <v>44764.363275648146</v>
      </c>
      <c r="J1069" s="39">
        <v>44764.363275682874</v>
      </c>
      <c r="K1069" s="20">
        <v>0</v>
      </c>
      <c r="L1069" s="17" t="str">
        <f t="shared" si="16"/>
        <v>https://captureandgo.cloudlab.zhaw.ch/uploads/image_289e8e094a.jpg</v>
      </c>
    </row>
    <row r="1070" spans="1:12" ht="16" x14ac:dyDescent="0.2">
      <c r="A1070" s="20" t="s">
        <v>8037</v>
      </c>
      <c r="B1070" s="20" t="s">
        <v>8038</v>
      </c>
      <c r="C1070" s="20" t="s">
        <v>3774</v>
      </c>
      <c r="D1070" s="20" t="s">
        <v>8039</v>
      </c>
      <c r="E1070" s="20" t="s">
        <v>8040</v>
      </c>
      <c r="F1070" s="20" t="s">
        <v>3259</v>
      </c>
      <c r="G1070" s="20" t="s">
        <v>3777</v>
      </c>
      <c r="H1070" s="20" t="s">
        <v>6</v>
      </c>
      <c r="I1070" s="39">
        <v>44764.364312361111</v>
      </c>
      <c r="J1070" s="39">
        <v>44764.364312407408</v>
      </c>
      <c r="K1070" s="20">
        <v>0</v>
      </c>
      <c r="L1070" s="17" t="str">
        <f t="shared" si="16"/>
        <v>https://captureandgo.cloudlab.zhaw.ch/uploads/image_a1ecab09c4.jpg</v>
      </c>
    </row>
    <row r="1071" spans="1:12" ht="16" x14ac:dyDescent="0.2">
      <c r="A1071" s="20" t="s">
        <v>8041</v>
      </c>
      <c r="B1071" s="20" t="s">
        <v>8042</v>
      </c>
      <c r="C1071" s="20" t="s">
        <v>3774</v>
      </c>
      <c r="D1071" s="20" t="s">
        <v>8043</v>
      </c>
      <c r="E1071" s="20" t="s">
        <v>8044</v>
      </c>
      <c r="F1071" s="20" t="s">
        <v>3262</v>
      </c>
      <c r="G1071" s="20" t="s">
        <v>3777</v>
      </c>
      <c r="H1071" s="20" t="s">
        <v>6</v>
      </c>
      <c r="I1071" s="39">
        <v>44764.364875335647</v>
      </c>
      <c r="J1071" s="39">
        <v>44764.364875370367</v>
      </c>
      <c r="K1071" s="20">
        <v>0</v>
      </c>
      <c r="L1071" s="17" t="str">
        <f t="shared" si="16"/>
        <v>https://captureandgo.cloudlab.zhaw.ch/uploads/image_5f9e9666cd.jpg</v>
      </c>
    </row>
    <row r="1072" spans="1:12" ht="16" x14ac:dyDescent="0.2">
      <c r="A1072" s="20" t="s">
        <v>8045</v>
      </c>
      <c r="B1072" s="20" t="s">
        <v>8046</v>
      </c>
      <c r="C1072" s="20" t="s">
        <v>3774</v>
      </c>
      <c r="D1072" s="20" t="s">
        <v>8047</v>
      </c>
      <c r="E1072" s="20" t="s">
        <v>8048</v>
      </c>
      <c r="F1072" s="20" t="s">
        <v>3265</v>
      </c>
      <c r="G1072" s="20" t="s">
        <v>3777</v>
      </c>
      <c r="H1072" s="20" t="s">
        <v>6</v>
      </c>
      <c r="I1072" s="39">
        <v>44764.365414282409</v>
      </c>
      <c r="J1072" s="39">
        <v>44764.365414398148</v>
      </c>
      <c r="K1072" s="20">
        <v>0</v>
      </c>
      <c r="L1072" s="17" t="str">
        <f t="shared" si="16"/>
        <v>https://captureandgo.cloudlab.zhaw.ch/uploads/image_4da9812a5a.jpg</v>
      </c>
    </row>
    <row r="1073" spans="1:12" ht="16" x14ac:dyDescent="0.2">
      <c r="A1073" s="20" t="s">
        <v>8049</v>
      </c>
      <c r="B1073" s="20" t="s">
        <v>8050</v>
      </c>
      <c r="C1073" s="20" t="s">
        <v>3774</v>
      </c>
      <c r="D1073" s="20" t="s">
        <v>8051</v>
      </c>
      <c r="E1073" s="20" t="s">
        <v>8052</v>
      </c>
      <c r="F1073" s="20" t="s">
        <v>3268</v>
      </c>
      <c r="G1073" s="20" t="s">
        <v>3777</v>
      </c>
      <c r="H1073" s="20" t="s">
        <v>6</v>
      </c>
      <c r="I1073" s="39">
        <v>44764.365985092591</v>
      </c>
      <c r="J1073" s="39">
        <v>44764.365985127311</v>
      </c>
      <c r="K1073" s="20">
        <v>0</v>
      </c>
      <c r="L1073" s="17" t="str">
        <f t="shared" si="16"/>
        <v>https://captureandgo.cloudlab.zhaw.ch/uploads/image_c1de1354e8.jpg</v>
      </c>
    </row>
    <row r="1074" spans="1:12" ht="16" x14ac:dyDescent="0.2">
      <c r="A1074" s="20" t="s">
        <v>8053</v>
      </c>
      <c r="B1074" s="20" t="s">
        <v>8054</v>
      </c>
      <c r="C1074" s="20" t="s">
        <v>3774</v>
      </c>
      <c r="D1074" s="20" t="s">
        <v>8055</v>
      </c>
      <c r="E1074" s="20" t="s">
        <v>8056</v>
      </c>
      <c r="F1074" s="20" t="s">
        <v>3271</v>
      </c>
      <c r="G1074" s="20" t="s">
        <v>3777</v>
      </c>
      <c r="H1074" s="20" t="s">
        <v>6</v>
      </c>
      <c r="I1074" s="39">
        <v>44764.366491493056</v>
      </c>
      <c r="J1074" s="39">
        <v>44764.366491597226</v>
      </c>
      <c r="K1074" s="20">
        <v>0</v>
      </c>
      <c r="L1074" s="17" t="str">
        <f t="shared" si="16"/>
        <v>https://captureandgo.cloudlab.zhaw.ch/uploads/image_7917a93b1f.jpg</v>
      </c>
    </row>
    <row r="1075" spans="1:12" ht="16" x14ac:dyDescent="0.2">
      <c r="A1075" s="20" t="s">
        <v>8057</v>
      </c>
      <c r="B1075" s="20" t="s">
        <v>8058</v>
      </c>
      <c r="C1075" s="20" t="s">
        <v>3774</v>
      </c>
      <c r="D1075" s="20" t="s">
        <v>8059</v>
      </c>
      <c r="E1075" s="20" t="s">
        <v>8060</v>
      </c>
      <c r="F1075" s="20" t="s">
        <v>3274</v>
      </c>
      <c r="G1075" s="20" t="s">
        <v>3777</v>
      </c>
      <c r="H1075" s="20" t="s">
        <v>6</v>
      </c>
      <c r="I1075" s="39">
        <v>44764.367004340274</v>
      </c>
      <c r="J1075" s="39">
        <v>44764.367004375003</v>
      </c>
      <c r="K1075" s="20">
        <v>0</v>
      </c>
      <c r="L1075" s="17" t="str">
        <f t="shared" si="16"/>
        <v>https://captureandgo.cloudlab.zhaw.ch/uploads/image_efb020b942.jpg</v>
      </c>
    </row>
    <row r="1076" spans="1:12" ht="16" x14ac:dyDescent="0.2">
      <c r="A1076" s="20" t="s">
        <v>8061</v>
      </c>
      <c r="B1076" s="20" t="s">
        <v>8062</v>
      </c>
      <c r="C1076" s="20" t="s">
        <v>3774</v>
      </c>
      <c r="D1076" s="20" t="s">
        <v>8063</v>
      </c>
      <c r="E1076" s="20" t="s">
        <v>8064</v>
      </c>
      <c r="F1076" s="20" t="s">
        <v>3277</v>
      </c>
      <c r="G1076" s="20" t="s">
        <v>3777</v>
      </c>
      <c r="H1076" s="20" t="s">
        <v>6</v>
      </c>
      <c r="I1076" s="39">
        <v>44764.367949525462</v>
      </c>
      <c r="J1076" s="39">
        <v>44764.367949560183</v>
      </c>
      <c r="K1076" s="20">
        <v>0</v>
      </c>
      <c r="L1076" s="17" t="str">
        <f t="shared" si="16"/>
        <v>https://captureandgo.cloudlab.zhaw.ch/uploads/image_3a7f5c15c1.jpg</v>
      </c>
    </row>
    <row r="1077" spans="1:12" ht="16" x14ac:dyDescent="0.2">
      <c r="A1077" s="20" t="s">
        <v>8065</v>
      </c>
      <c r="B1077" s="20" t="s">
        <v>8066</v>
      </c>
      <c r="C1077" s="20" t="s">
        <v>3774</v>
      </c>
      <c r="D1077" s="20" t="s">
        <v>8067</v>
      </c>
      <c r="E1077" s="20" t="s">
        <v>8068</v>
      </c>
      <c r="F1077" s="20" t="s">
        <v>3281</v>
      </c>
      <c r="G1077" s="20" t="s">
        <v>3777</v>
      </c>
      <c r="H1077" s="20" t="s">
        <v>6</v>
      </c>
      <c r="I1077" s="39">
        <v>44764.37062613426</v>
      </c>
      <c r="J1077" s="39">
        <v>44764.37062627315</v>
      </c>
      <c r="K1077" s="20">
        <v>0</v>
      </c>
      <c r="L1077" s="17" t="str">
        <f t="shared" si="16"/>
        <v>https://captureandgo.cloudlab.zhaw.ch/uploads/image_eb622a0b1a.jpg</v>
      </c>
    </row>
    <row r="1078" spans="1:12" ht="16" x14ac:dyDescent="0.2">
      <c r="A1078" s="20" t="s">
        <v>8069</v>
      </c>
      <c r="B1078" s="20" t="s">
        <v>8070</v>
      </c>
      <c r="C1078" s="20" t="s">
        <v>3774</v>
      </c>
      <c r="D1078" s="20" t="s">
        <v>8071</v>
      </c>
      <c r="E1078" s="20" t="s">
        <v>8072</v>
      </c>
      <c r="F1078" s="20" t="s">
        <v>3284</v>
      </c>
      <c r="G1078" s="20" t="s">
        <v>3777</v>
      </c>
      <c r="H1078" s="20" t="s">
        <v>6</v>
      </c>
      <c r="I1078" s="39">
        <v>44764.371845520836</v>
      </c>
      <c r="J1078" s="39">
        <v>44764.371845868052</v>
      </c>
      <c r="K1078" s="20">
        <v>0</v>
      </c>
      <c r="L1078" s="17" t="str">
        <f t="shared" si="16"/>
        <v>https://captureandgo.cloudlab.zhaw.ch/uploads/image_88b47d2e58.jpg</v>
      </c>
    </row>
    <row r="1079" spans="1:12" ht="16" x14ac:dyDescent="0.2">
      <c r="A1079" s="20" t="s">
        <v>8073</v>
      </c>
      <c r="B1079" s="20" t="s">
        <v>8074</v>
      </c>
      <c r="C1079" s="20" t="s">
        <v>3774</v>
      </c>
      <c r="D1079" s="20" t="s">
        <v>8075</v>
      </c>
      <c r="E1079" s="20" t="s">
        <v>8076</v>
      </c>
      <c r="F1079" s="20" t="s">
        <v>3284</v>
      </c>
      <c r="G1079" s="20" t="s">
        <v>3777</v>
      </c>
      <c r="H1079" s="20" t="s">
        <v>6</v>
      </c>
      <c r="I1079" s="39">
        <v>44764.371918310186</v>
      </c>
      <c r="J1079" s="39">
        <v>44764.371918333331</v>
      </c>
      <c r="K1079" s="20">
        <v>0</v>
      </c>
      <c r="L1079" s="17" t="str">
        <f t="shared" si="16"/>
        <v>https://captureandgo.cloudlab.zhaw.ch/uploads/image_706dae97dd.jpg</v>
      </c>
    </row>
    <row r="1080" spans="1:12" ht="16" x14ac:dyDescent="0.2">
      <c r="A1080" s="20" t="s">
        <v>8077</v>
      </c>
      <c r="B1080" s="20" t="s">
        <v>8078</v>
      </c>
      <c r="C1080" s="20" t="s">
        <v>3774</v>
      </c>
      <c r="D1080" s="20" t="s">
        <v>8079</v>
      </c>
      <c r="E1080" s="20" t="s">
        <v>8080</v>
      </c>
      <c r="F1080" s="20" t="s">
        <v>3287</v>
      </c>
      <c r="G1080" s="20" t="s">
        <v>3777</v>
      </c>
      <c r="H1080" s="20" t="s">
        <v>6</v>
      </c>
      <c r="I1080" s="39">
        <v>44764.372186736109</v>
      </c>
      <c r="J1080" s="39">
        <v>44764.37218677083</v>
      </c>
      <c r="K1080" s="20">
        <v>0</v>
      </c>
      <c r="L1080" s="17" t="str">
        <f t="shared" si="16"/>
        <v>https://captureandgo.cloudlab.zhaw.ch/uploads/image_9a5dc04ee4.jpg</v>
      </c>
    </row>
    <row r="1081" spans="1:12" ht="16" x14ac:dyDescent="0.2">
      <c r="A1081" s="20" t="s">
        <v>8081</v>
      </c>
      <c r="B1081" s="20" t="s">
        <v>8082</v>
      </c>
      <c r="C1081" s="20" t="s">
        <v>3774</v>
      </c>
      <c r="D1081" s="20" t="s">
        <v>8083</v>
      </c>
      <c r="E1081" s="20" t="s">
        <v>8084</v>
      </c>
      <c r="F1081" s="20" t="s">
        <v>3290</v>
      </c>
      <c r="G1081" s="20" t="s">
        <v>3777</v>
      </c>
      <c r="H1081" s="20" t="s">
        <v>6</v>
      </c>
      <c r="I1081" s="39">
        <v>44764.376514756943</v>
      </c>
      <c r="J1081" s="39">
        <v>44764.376514780095</v>
      </c>
      <c r="K1081" s="20">
        <v>0</v>
      </c>
      <c r="L1081" s="17" t="str">
        <f t="shared" si="16"/>
        <v>https://captureandgo.cloudlab.zhaw.ch/uploads/image_8a74b4fd78.jpg</v>
      </c>
    </row>
    <row r="1082" spans="1:12" ht="16" x14ac:dyDescent="0.2">
      <c r="A1082" s="20" t="s">
        <v>8085</v>
      </c>
      <c r="B1082" s="20" t="s">
        <v>8086</v>
      </c>
      <c r="C1082" s="20" t="s">
        <v>3774</v>
      </c>
      <c r="D1082" s="20" t="s">
        <v>8087</v>
      </c>
      <c r="E1082" s="20" t="s">
        <v>8088</v>
      </c>
      <c r="F1082" s="20" t="s">
        <v>3293</v>
      </c>
      <c r="G1082" s="20" t="s">
        <v>3777</v>
      </c>
      <c r="H1082" s="20" t="s">
        <v>6</v>
      </c>
      <c r="I1082" s="39">
        <v>44764.377269456018</v>
      </c>
      <c r="J1082" s="39">
        <v>44764.377269490738</v>
      </c>
      <c r="K1082" s="20">
        <v>0</v>
      </c>
      <c r="L1082" s="17" t="str">
        <f t="shared" si="16"/>
        <v>https://captureandgo.cloudlab.zhaw.ch/uploads/image_9bfa7018f4.jpg</v>
      </c>
    </row>
    <row r="1083" spans="1:12" ht="16" x14ac:dyDescent="0.2">
      <c r="A1083" s="20" t="s">
        <v>8089</v>
      </c>
      <c r="B1083" s="20" t="s">
        <v>8090</v>
      </c>
      <c r="C1083" s="20" t="s">
        <v>3774</v>
      </c>
      <c r="D1083" s="20" t="s">
        <v>8091</v>
      </c>
      <c r="E1083" s="20" t="s">
        <v>8092</v>
      </c>
      <c r="F1083" s="20" t="s">
        <v>3293</v>
      </c>
      <c r="G1083" s="20" t="s">
        <v>3777</v>
      </c>
      <c r="H1083" s="20" t="s">
        <v>6</v>
      </c>
      <c r="I1083" s="39">
        <v>44764.377396331016</v>
      </c>
      <c r="J1083" s="39">
        <v>44764.377396388889</v>
      </c>
      <c r="K1083" s="20">
        <v>0</v>
      </c>
      <c r="L1083" s="17" t="str">
        <f t="shared" si="16"/>
        <v>https://captureandgo.cloudlab.zhaw.ch/uploads/image_17ac00e297.jpg</v>
      </c>
    </row>
    <row r="1084" spans="1:12" ht="16" x14ac:dyDescent="0.2">
      <c r="A1084" s="20" t="s">
        <v>8093</v>
      </c>
      <c r="B1084" s="20" t="s">
        <v>8094</v>
      </c>
      <c r="C1084" s="20" t="s">
        <v>3774</v>
      </c>
      <c r="D1084" s="20" t="s">
        <v>8095</v>
      </c>
      <c r="E1084" s="20" t="s">
        <v>8096</v>
      </c>
      <c r="F1084" s="20" t="s">
        <v>3293</v>
      </c>
      <c r="G1084" s="20" t="s">
        <v>3777</v>
      </c>
      <c r="H1084" s="20" t="s">
        <v>6</v>
      </c>
      <c r="I1084" s="39">
        <v>44764.377396481483</v>
      </c>
      <c r="J1084" s="39">
        <v>44764.377396504628</v>
      </c>
      <c r="K1084" s="20">
        <v>0</v>
      </c>
      <c r="L1084" s="17" t="str">
        <f t="shared" si="16"/>
        <v>https://captureandgo.cloudlab.zhaw.ch/uploads/image_f27724d65f.jpg</v>
      </c>
    </row>
    <row r="1085" spans="1:12" ht="16" x14ac:dyDescent="0.2">
      <c r="A1085" s="20" t="s">
        <v>8097</v>
      </c>
      <c r="B1085" s="20" t="s">
        <v>8098</v>
      </c>
      <c r="C1085" s="20" t="s">
        <v>3774</v>
      </c>
      <c r="D1085" s="20" t="s">
        <v>8099</v>
      </c>
      <c r="E1085" s="20" t="s">
        <v>8100</v>
      </c>
      <c r="F1085" s="20" t="s">
        <v>3293</v>
      </c>
      <c r="G1085" s="20" t="s">
        <v>3777</v>
      </c>
      <c r="H1085" s="20" t="s">
        <v>6</v>
      </c>
      <c r="I1085" s="39">
        <v>44764.377455243055</v>
      </c>
      <c r="J1085" s="39">
        <v>44764.377455277776</v>
      </c>
      <c r="K1085" s="20">
        <v>0</v>
      </c>
      <c r="L1085" s="17" t="str">
        <f t="shared" si="16"/>
        <v>https://captureandgo.cloudlab.zhaw.ch/uploads/image_f52a33c1f7.jpg</v>
      </c>
    </row>
    <row r="1086" spans="1:12" ht="16" x14ac:dyDescent="0.2">
      <c r="A1086" s="20" t="s">
        <v>8101</v>
      </c>
      <c r="B1086" s="20" t="s">
        <v>8102</v>
      </c>
      <c r="C1086" s="20" t="s">
        <v>3774</v>
      </c>
      <c r="D1086" s="20" t="s">
        <v>8103</v>
      </c>
      <c r="E1086" s="20" t="s">
        <v>8104</v>
      </c>
      <c r="F1086" s="20" t="s">
        <v>3296</v>
      </c>
      <c r="G1086" s="20" t="s">
        <v>3777</v>
      </c>
      <c r="H1086" s="20" t="s">
        <v>6</v>
      </c>
      <c r="I1086" s="39">
        <v>44764.378437962965</v>
      </c>
      <c r="J1086" s="39">
        <v>44764.378437997686</v>
      </c>
      <c r="K1086" s="20">
        <v>0</v>
      </c>
      <c r="L1086" s="17" t="str">
        <f t="shared" si="16"/>
        <v>https://captureandgo.cloudlab.zhaw.ch/uploads/image_8392fcc851.jpg</v>
      </c>
    </row>
    <row r="1087" spans="1:12" ht="16" x14ac:dyDescent="0.2">
      <c r="A1087" s="20" t="s">
        <v>8105</v>
      </c>
      <c r="B1087" s="20" t="s">
        <v>8106</v>
      </c>
      <c r="C1087" s="20" t="s">
        <v>3774</v>
      </c>
      <c r="D1087" s="20" t="s">
        <v>8107</v>
      </c>
      <c r="E1087" s="20" t="s">
        <v>35</v>
      </c>
      <c r="F1087" s="20" t="s">
        <v>35</v>
      </c>
      <c r="G1087" s="20" t="s">
        <v>35</v>
      </c>
      <c r="H1087" s="20" t="s">
        <v>35</v>
      </c>
      <c r="I1087" s="39">
        <v>44764.380600763892</v>
      </c>
      <c r="J1087" s="39">
        <v>44764.380600763892</v>
      </c>
      <c r="K1087" s="20">
        <v>0</v>
      </c>
      <c r="L1087" s="17" t="str">
        <f t="shared" si="16"/>
        <v>https://captureandgo.cloudlab.zhaw.ch/uploads/image_9b14570add.jpg</v>
      </c>
    </row>
    <row r="1088" spans="1:12" ht="16" x14ac:dyDescent="0.2">
      <c r="A1088" s="20" t="s">
        <v>8108</v>
      </c>
      <c r="B1088" s="20" t="s">
        <v>8109</v>
      </c>
      <c r="C1088" s="20" t="s">
        <v>3774</v>
      </c>
      <c r="D1088" s="20" t="s">
        <v>8110</v>
      </c>
      <c r="E1088" s="20" t="s">
        <v>35</v>
      </c>
      <c r="F1088" s="20" t="s">
        <v>35</v>
      </c>
      <c r="G1088" s="20" t="s">
        <v>35</v>
      </c>
      <c r="H1088" s="20" t="s">
        <v>35</v>
      </c>
      <c r="I1088" s="39">
        <v>44764.38060261574</v>
      </c>
      <c r="J1088" s="39">
        <v>44764.38060261574</v>
      </c>
      <c r="K1088" s="20">
        <v>0</v>
      </c>
      <c r="L1088" s="17" t="str">
        <f t="shared" si="16"/>
        <v>https://captureandgo.cloudlab.zhaw.ch/uploads/image_188dc20c5d.jpg</v>
      </c>
    </row>
    <row r="1089" spans="1:12" ht="16" x14ac:dyDescent="0.2">
      <c r="A1089" s="20" t="s">
        <v>8111</v>
      </c>
      <c r="B1089" s="20" t="s">
        <v>8112</v>
      </c>
      <c r="C1089" s="20" t="s">
        <v>3774</v>
      </c>
      <c r="D1089" s="20" t="s">
        <v>8113</v>
      </c>
      <c r="E1089" s="20" t="s">
        <v>35</v>
      </c>
      <c r="F1089" s="20" t="s">
        <v>35</v>
      </c>
      <c r="G1089" s="20" t="s">
        <v>35</v>
      </c>
      <c r="H1089" s="20" t="s">
        <v>35</v>
      </c>
      <c r="I1089" s="39">
        <v>44764.380606574072</v>
      </c>
      <c r="J1089" s="39">
        <v>44764.380606574072</v>
      </c>
      <c r="K1089" s="20">
        <v>0</v>
      </c>
      <c r="L1089" s="17" t="str">
        <f t="shared" si="16"/>
        <v>https://captureandgo.cloudlab.zhaw.ch/uploads/image_e67480974f.jpg</v>
      </c>
    </row>
    <row r="1090" spans="1:12" ht="16" x14ac:dyDescent="0.2">
      <c r="A1090" s="20" t="s">
        <v>8114</v>
      </c>
      <c r="B1090" s="20" t="s">
        <v>8115</v>
      </c>
      <c r="C1090" s="20" t="s">
        <v>3774</v>
      </c>
      <c r="D1090" s="20" t="s">
        <v>8116</v>
      </c>
      <c r="E1090" s="20" t="s">
        <v>35</v>
      </c>
      <c r="F1090" s="20" t="s">
        <v>35</v>
      </c>
      <c r="G1090" s="20" t="s">
        <v>35</v>
      </c>
      <c r="H1090" s="20" t="s">
        <v>35</v>
      </c>
      <c r="I1090" s="39">
        <v>44764.38061270833</v>
      </c>
      <c r="J1090" s="39">
        <v>44764.38061270833</v>
      </c>
      <c r="K1090" s="20">
        <v>0</v>
      </c>
      <c r="L1090" s="17" t="str">
        <f t="shared" ref="L1090:L1153" si="17">HYPERLINK("https://captureandgo.cloudlab.zhaw.ch"&amp;B1090)</f>
        <v>https://captureandgo.cloudlab.zhaw.ch/uploads/image_34711472f6.jpg</v>
      </c>
    </row>
    <row r="1091" spans="1:12" ht="16" x14ac:dyDescent="0.2">
      <c r="A1091" s="20" t="s">
        <v>8117</v>
      </c>
      <c r="B1091" s="20" t="s">
        <v>8118</v>
      </c>
      <c r="C1091" s="20" t="s">
        <v>3774</v>
      </c>
      <c r="D1091" s="20" t="s">
        <v>8119</v>
      </c>
      <c r="E1091" s="20" t="s">
        <v>35</v>
      </c>
      <c r="F1091" s="20" t="s">
        <v>35</v>
      </c>
      <c r="G1091" s="20" t="s">
        <v>35</v>
      </c>
      <c r="H1091" s="20" t="s">
        <v>35</v>
      </c>
      <c r="I1091" s="39">
        <v>44764.380612789355</v>
      </c>
      <c r="J1091" s="39">
        <v>44764.380612789355</v>
      </c>
      <c r="K1091" s="20">
        <v>0</v>
      </c>
      <c r="L1091" s="17" t="str">
        <f t="shared" si="17"/>
        <v>https://captureandgo.cloudlab.zhaw.ch/uploads/image_fa71d57b03.jpg</v>
      </c>
    </row>
    <row r="1092" spans="1:12" ht="16" x14ac:dyDescent="0.2">
      <c r="A1092" s="20" t="s">
        <v>8120</v>
      </c>
      <c r="B1092" s="20" t="s">
        <v>8121</v>
      </c>
      <c r="C1092" s="20" t="s">
        <v>3774</v>
      </c>
      <c r="D1092" s="20" t="s">
        <v>8122</v>
      </c>
      <c r="E1092" s="20" t="s">
        <v>8123</v>
      </c>
      <c r="F1092" s="20" t="s">
        <v>3305</v>
      </c>
      <c r="G1092" s="20" t="s">
        <v>3777</v>
      </c>
      <c r="H1092" s="20" t="s">
        <v>6</v>
      </c>
      <c r="I1092" s="39">
        <v>44764.380702789349</v>
      </c>
      <c r="J1092" s="39">
        <v>44764.380702824077</v>
      </c>
      <c r="K1092" s="20">
        <v>0</v>
      </c>
      <c r="L1092" s="17" t="str">
        <f t="shared" si="17"/>
        <v>https://captureandgo.cloudlab.zhaw.ch/uploads/image_2bc50898c4.jpg</v>
      </c>
    </row>
    <row r="1093" spans="1:12" ht="16" x14ac:dyDescent="0.2">
      <c r="A1093" s="20" t="s">
        <v>8124</v>
      </c>
      <c r="B1093" s="20" t="s">
        <v>8125</v>
      </c>
      <c r="C1093" s="20" t="s">
        <v>3774</v>
      </c>
      <c r="D1093" s="20" t="s">
        <v>8126</v>
      </c>
      <c r="E1093" s="20" t="s">
        <v>8127</v>
      </c>
      <c r="F1093" s="20" t="s">
        <v>3308</v>
      </c>
      <c r="G1093" s="20" t="s">
        <v>3777</v>
      </c>
      <c r="H1093" s="20" t="s">
        <v>6</v>
      </c>
      <c r="I1093" s="39">
        <v>44764.382053344911</v>
      </c>
      <c r="J1093" s="39">
        <v>44764.382053437497</v>
      </c>
      <c r="K1093" s="20">
        <v>0</v>
      </c>
      <c r="L1093" s="17" t="str">
        <f t="shared" si="17"/>
        <v>https://captureandgo.cloudlab.zhaw.ch/uploads/image_f6563660d7.jpg</v>
      </c>
    </row>
    <row r="1094" spans="1:12" ht="16" x14ac:dyDescent="0.2">
      <c r="A1094" s="20" t="s">
        <v>8128</v>
      </c>
      <c r="B1094" s="20" t="s">
        <v>8129</v>
      </c>
      <c r="C1094" s="20" t="s">
        <v>3774</v>
      </c>
      <c r="D1094" s="20" t="s">
        <v>8130</v>
      </c>
      <c r="E1094" s="20" t="s">
        <v>8131</v>
      </c>
      <c r="F1094" s="20" t="s">
        <v>3311</v>
      </c>
      <c r="G1094" s="20" t="s">
        <v>3777</v>
      </c>
      <c r="H1094" s="20" t="s">
        <v>6</v>
      </c>
      <c r="I1094" s="39">
        <v>44764.382529548609</v>
      </c>
      <c r="J1094" s="39">
        <v>44764.38252958333</v>
      </c>
      <c r="K1094" s="20">
        <v>0</v>
      </c>
      <c r="L1094" s="17" t="str">
        <f t="shared" si="17"/>
        <v>https://captureandgo.cloudlab.zhaw.ch/uploads/image_c9347e28a4.jpg</v>
      </c>
    </row>
    <row r="1095" spans="1:12" ht="16" x14ac:dyDescent="0.2">
      <c r="A1095" s="20" t="s">
        <v>8132</v>
      </c>
      <c r="B1095" s="20" t="s">
        <v>8133</v>
      </c>
      <c r="C1095" s="20" t="s">
        <v>3774</v>
      </c>
      <c r="D1095" s="20" t="s">
        <v>8134</v>
      </c>
      <c r="E1095" s="20" t="s">
        <v>8135</v>
      </c>
      <c r="F1095" s="20" t="s">
        <v>3314</v>
      </c>
      <c r="G1095" s="20" t="s">
        <v>3777</v>
      </c>
      <c r="H1095" s="20" t="s">
        <v>6</v>
      </c>
      <c r="I1095" s="39">
        <v>44764.383858842593</v>
      </c>
      <c r="J1095" s="39">
        <v>44764.383858877314</v>
      </c>
      <c r="K1095" s="20">
        <v>0</v>
      </c>
      <c r="L1095" s="17" t="str">
        <f t="shared" si="17"/>
        <v>https://captureandgo.cloudlab.zhaw.ch/uploads/image_074480ac91.jpg</v>
      </c>
    </row>
    <row r="1096" spans="1:12" ht="16" x14ac:dyDescent="0.2">
      <c r="A1096" s="20" t="s">
        <v>8136</v>
      </c>
      <c r="B1096" s="20" t="s">
        <v>8137</v>
      </c>
      <c r="C1096" s="20" t="s">
        <v>3774</v>
      </c>
      <c r="D1096" s="20" t="s">
        <v>8138</v>
      </c>
      <c r="E1096" s="20" t="s">
        <v>8139</v>
      </c>
      <c r="F1096" s="20" t="s">
        <v>3317</v>
      </c>
      <c r="G1096" s="20" t="s">
        <v>3777</v>
      </c>
      <c r="H1096" s="20" t="s">
        <v>6</v>
      </c>
      <c r="I1096" s="39">
        <v>44764.385355729166</v>
      </c>
      <c r="J1096" s="39">
        <v>44764.385355763887</v>
      </c>
      <c r="K1096" s="20">
        <v>0</v>
      </c>
      <c r="L1096" s="17" t="str">
        <f t="shared" si="17"/>
        <v>https://captureandgo.cloudlab.zhaw.ch/uploads/image_ee55eab9ac.jpg</v>
      </c>
    </row>
    <row r="1097" spans="1:12" ht="16" x14ac:dyDescent="0.2">
      <c r="A1097" s="20" t="s">
        <v>8140</v>
      </c>
      <c r="B1097" s="20" t="s">
        <v>8141</v>
      </c>
      <c r="C1097" s="20" t="s">
        <v>3774</v>
      </c>
      <c r="D1097" s="20" t="s">
        <v>8142</v>
      </c>
      <c r="E1097" s="20" t="s">
        <v>8143</v>
      </c>
      <c r="F1097" s="20" t="s">
        <v>3320</v>
      </c>
      <c r="G1097" s="20" t="s">
        <v>3777</v>
      </c>
      <c r="H1097" s="20" t="s">
        <v>6</v>
      </c>
      <c r="I1097" s="39">
        <v>44764.386294583332</v>
      </c>
      <c r="J1097" s="39">
        <v>44764.386294629629</v>
      </c>
      <c r="K1097" s="20">
        <v>0</v>
      </c>
      <c r="L1097" s="17" t="str">
        <f t="shared" si="17"/>
        <v>https://captureandgo.cloudlab.zhaw.ch/uploads/image_0c657172c4.jpg</v>
      </c>
    </row>
    <row r="1098" spans="1:12" ht="16" x14ac:dyDescent="0.2">
      <c r="A1098" s="20" t="s">
        <v>8144</v>
      </c>
      <c r="B1098" s="20" t="s">
        <v>8145</v>
      </c>
      <c r="C1098" s="20" t="s">
        <v>3774</v>
      </c>
      <c r="D1098" s="20" t="s">
        <v>8146</v>
      </c>
      <c r="E1098" s="20" t="s">
        <v>8147</v>
      </c>
      <c r="F1098" s="20" t="s">
        <v>3323</v>
      </c>
      <c r="G1098" s="20" t="s">
        <v>3777</v>
      </c>
      <c r="H1098" s="20" t="s">
        <v>6</v>
      </c>
      <c r="I1098" s="39">
        <v>44764.38873402778</v>
      </c>
      <c r="J1098" s="39">
        <v>44764.388734247688</v>
      </c>
      <c r="K1098" s="20">
        <v>0</v>
      </c>
      <c r="L1098" s="17" t="str">
        <f t="shared" si="17"/>
        <v>https://captureandgo.cloudlab.zhaw.ch/uploads/image_037885e4cd.jpg</v>
      </c>
    </row>
    <row r="1099" spans="1:12" ht="16" x14ac:dyDescent="0.2">
      <c r="A1099" s="20" t="s">
        <v>8148</v>
      </c>
      <c r="B1099" s="20" t="s">
        <v>8149</v>
      </c>
      <c r="C1099" s="20" t="s">
        <v>3774</v>
      </c>
      <c r="D1099" s="20" t="s">
        <v>8150</v>
      </c>
      <c r="E1099" s="20" t="s">
        <v>8151</v>
      </c>
      <c r="F1099" s="20" t="s">
        <v>3326</v>
      </c>
      <c r="G1099" s="20" t="s">
        <v>3777</v>
      </c>
      <c r="H1099" s="20" t="s">
        <v>6</v>
      </c>
      <c r="I1099" s="39">
        <v>44764.389517303243</v>
      </c>
      <c r="J1099" s="39">
        <v>44764.389517337964</v>
      </c>
      <c r="K1099" s="20">
        <v>0</v>
      </c>
      <c r="L1099" s="17" t="str">
        <f t="shared" si="17"/>
        <v>https://captureandgo.cloudlab.zhaw.ch/uploads/image_bba11e7e68.jpg</v>
      </c>
    </row>
    <row r="1100" spans="1:12" ht="16" x14ac:dyDescent="0.2">
      <c r="A1100" s="20" t="s">
        <v>8152</v>
      </c>
      <c r="B1100" s="20" t="s">
        <v>8153</v>
      </c>
      <c r="C1100" s="20" t="s">
        <v>3774</v>
      </c>
      <c r="D1100" s="20" t="s">
        <v>8154</v>
      </c>
      <c r="E1100" s="20" t="s">
        <v>8155</v>
      </c>
      <c r="F1100" s="20" t="s">
        <v>3329</v>
      </c>
      <c r="G1100" s="20" t="s">
        <v>3777</v>
      </c>
      <c r="H1100" s="20" t="s">
        <v>6</v>
      </c>
      <c r="I1100" s="39">
        <v>44764.391085092589</v>
      </c>
      <c r="J1100" s="39">
        <v>44764.391085138886</v>
      </c>
      <c r="K1100" s="20">
        <v>0</v>
      </c>
      <c r="L1100" s="17" t="str">
        <f t="shared" si="17"/>
        <v>https://captureandgo.cloudlab.zhaw.ch/uploads/image_e5444dd301.jpg</v>
      </c>
    </row>
    <row r="1101" spans="1:12" ht="16" x14ac:dyDescent="0.2">
      <c r="A1101" s="20" t="s">
        <v>8156</v>
      </c>
      <c r="B1101" s="20" t="s">
        <v>8157</v>
      </c>
      <c r="C1101" s="20" t="s">
        <v>3774</v>
      </c>
      <c r="D1101" s="20" t="s">
        <v>8158</v>
      </c>
      <c r="E1101" s="20" t="s">
        <v>8159</v>
      </c>
      <c r="F1101" s="20" t="s">
        <v>3332</v>
      </c>
      <c r="G1101" s="20" t="s">
        <v>3777</v>
      </c>
      <c r="H1101" s="20" t="s">
        <v>6</v>
      </c>
      <c r="I1101" s="39">
        <v>44764.392509745368</v>
      </c>
      <c r="J1101" s="39">
        <v>44764.392509791665</v>
      </c>
      <c r="K1101" s="20">
        <v>0</v>
      </c>
      <c r="L1101" s="17" t="str">
        <f t="shared" si="17"/>
        <v>https://captureandgo.cloudlab.zhaw.ch/uploads/image_b551ae7379.jpg</v>
      </c>
    </row>
    <row r="1102" spans="1:12" ht="16" x14ac:dyDescent="0.2">
      <c r="A1102" s="20" t="s">
        <v>8160</v>
      </c>
      <c r="B1102" s="20" t="s">
        <v>8161</v>
      </c>
      <c r="C1102" s="20" t="s">
        <v>3774</v>
      </c>
      <c r="D1102" s="20" t="s">
        <v>8162</v>
      </c>
      <c r="E1102" s="20" t="s">
        <v>8163</v>
      </c>
      <c r="F1102" s="20" t="s">
        <v>3335</v>
      </c>
      <c r="G1102" s="20" t="s">
        <v>3777</v>
      </c>
      <c r="H1102" s="20" t="s">
        <v>6</v>
      </c>
      <c r="I1102" s="39">
        <v>44764.393321238429</v>
      </c>
      <c r="J1102" s="39">
        <v>44764.39332127315</v>
      </c>
      <c r="K1102" s="20">
        <v>0</v>
      </c>
      <c r="L1102" s="17" t="str">
        <f t="shared" si="17"/>
        <v>https://captureandgo.cloudlab.zhaw.ch/uploads/image_b09dfb45d2.jpg</v>
      </c>
    </row>
    <row r="1103" spans="1:12" ht="16" x14ac:dyDescent="0.2">
      <c r="A1103" s="20" t="s">
        <v>8164</v>
      </c>
      <c r="B1103" s="20" t="s">
        <v>8165</v>
      </c>
      <c r="C1103" s="20" t="s">
        <v>3774</v>
      </c>
      <c r="D1103" s="20" t="s">
        <v>8166</v>
      </c>
      <c r="E1103" s="20" t="s">
        <v>8167</v>
      </c>
      <c r="F1103" s="20" t="s">
        <v>3338</v>
      </c>
      <c r="G1103" s="20" t="s">
        <v>3777</v>
      </c>
      <c r="H1103" s="20" t="s">
        <v>6</v>
      </c>
      <c r="I1103" s="39">
        <v>44764.39374915509</v>
      </c>
      <c r="J1103" s="39">
        <v>44764.393749178242</v>
      </c>
      <c r="K1103" s="20">
        <v>0</v>
      </c>
      <c r="L1103" s="17" t="str">
        <f t="shared" si="17"/>
        <v>https://captureandgo.cloudlab.zhaw.ch/uploads/image_cc9d5f7141.jpg</v>
      </c>
    </row>
    <row r="1104" spans="1:12" ht="16" x14ac:dyDescent="0.2">
      <c r="A1104" s="20" t="s">
        <v>8168</v>
      </c>
      <c r="B1104" s="20" t="s">
        <v>8169</v>
      </c>
      <c r="C1104" s="20" t="s">
        <v>3774</v>
      </c>
      <c r="D1104" s="20" t="s">
        <v>8170</v>
      </c>
      <c r="E1104" s="20" t="s">
        <v>8171</v>
      </c>
      <c r="F1104" s="20" t="s">
        <v>3341</v>
      </c>
      <c r="G1104" s="20" t="s">
        <v>3777</v>
      </c>
      <c r="H1104" s="20" t="s">
        <v>6</v>
      </c>
      <c r="I1104" s="39">
        <v>44764.394238530091</v>
      </c>
      <c r="J1104" s="39">
        <v>44764.394238564812</v>
      </c>
      <c r="K1104" s="20">
        <v>0</v>
      </c>
      <c r="L1104" s="17" t="str">
        <f t="shared" si="17"/>
        <v>https://captureandgo.cloudlab.zhaw.ch/uploads/image_b7b97e1462.jpg</v>
      </c>
    </row>
    <row r="1105" spans="1:12" ht="16" x14ac:dyDescent="0.2">
      <c r="A1105" s="20" t="s">
        <v>8172</v>
      </c>
      <c r="B1105" s="20" t="s">
        <v>8173</v>
      </c>
      <c r="C1105" s="20" t="s">
        <v>3774</v>
      </c>
      <c r="D1105" s="20" t="s">
        <v>8174</v>
      </c>
      <c r="E1105" s="20" t="s">
        <v>8175</v>
      </c>
      <c r="F1105" s="20" t="s">
        <v>3344</v>
      </c>
      <c r="G1105" s="20" t="s">
        <v>3777</v>
      </c>
      <c r="H1105" s="20" t="s">
        <v>6</v>
      </c>
      <c r="I1105" s="39">
        <v>44764.395139085645</v>
      </c>
      <c r="J1105" s="39">
        <v>44764.395139120374</v>
      </c>
      <c r="K1105" s="20">
        <v>0</v>
      </c>
      <c r="L1105" s="17" t="str">
        <f t="shared" si="17"/>
        <v>https://captureandgo.cloudlab.zhaw.ch/uploads/image_7285811e7e.jpg</v>
      </c>
    </row>
    <row r="1106" spans="1:12" ht="16" x14ac:dyDescent="0.2">
      <c r="A1106" s="20" t="s">
        <v>8176</v>
      </c>
      <c r="B1106" s="20" t="s">
        <v>8177</v>
      </c>
      <c r="C1106" s="20" t="s">
        <v>3774</v>
      </c>
      <c r="D1106" s="20" t="s">
        <v>8178</v>
      </c>
      <c r="E1106" s="20" t="s">
        <v>8179</v>
      </c>
      <c r="F1106" s="20" t="s">
        <v>3349</v>
      </c>
      <c r="G1106" s="20" t="s">
        <v>3777</v>
      </c>
      <c r="H1106" s="20" t="s">
        <v>6</v>
      </c>
      <c r="I1106" s="39">
        <v>44764.398172210647</v>
      </c>
      <c r="J1106" s="39">
        <v>44764.398172245368</v>
      </c>
      <c r="K1106" s="20">
        <v>0</v>
      </c>
      <c r="L1106" s="17" t="str">
        <f t="shared" si="17"/>
        <v>https://captureandgo.cloudlab.zhaw.ch/uploads/image_221aeb2577.jpg</v>
      </c>
    </row>
    <row r="1107" spans="1:12" ht="16" x14ac:dyDescent="0.2">
      <c r="A1107" s="20" t="s">
        <v>8180</v>
      </c>
      <c r="B1107" s="20" t="s">
        <v>8181</v>
      </c>
      <c r="C1107" s="20" t="s">
        <v>3774</v>
      </c>
      <c r="D1107" s="20" t="s">
        <v>8182</v>
      </c>
      <c r="E1107" s="20" t="s">
        <v>8183</v>
      </c>
      <c r="F1107" s="20" t="s">
        <v>3352</v>
      </c>
      <c r="G1107" s="20" t="s">
        <v>3777</v>
      </c>
      <c r="H1107" s="20" t="s">
        <v>6</v>
      </c>
      <c r="I1107" s="39">
        <v>44764.399243321757</v>
      </c>
      <c r="J1107" s="39">
        <v>44764.399243356478</v>
      </c>
      <c r="K1107" s="20">
        <v>0</v>
      </c>
      <c r="L1107" s="17" t="str">
        <f t="shared" si="17"/>
        <v>https://captureandgo.cloudlab.zhaw.ch/uploads/image_62369c8ba8.jpg</v>
      </c>
    </row>
    <row r="1108" spans="1:12" ht="16" x14ac:dyDescent="0.2">
      <c r="A1108" s="20" t="s">
        <v>8184</v>
      </c>
      <c r="B1108" s="20" t="s">
        <v>8185</v>
      </c>
      <c r="C1108" s="20" t="s">
        <v>3774</v>
      </c>
      <c r="D1108" s="20" t="s">
        <v>8186</v>
      </c>
      <c r="E1108" s="20" t="s">
        <v>8187</v>
      </c>
      <c r="F1108" s="20" t="s">
        <v>3355</v>
      </c>
      <c r="G1108" s="20" t="s">
        <v>3777</v>
      </c>
      <c r="H1108" s="20" t="s">
        <v>6</v>
      </c>
      <c r="I1108" s="39">
        <v>44764.400098900463</v>
      </c>
      <c r="J1108" s="39">
        <v>44764.400098935184</v>
      </c>
      <c r="K1108" s="20">
        <v>0</v>
      </c>
      <c r="L1108" s="17" t="str">
        <f t="shared" si="17"/>
        <v>https://captureandgo.cloudlab.zhaw.ch/uploads/image_ee6cd84ec4.jpg</v>
      </c>
    </row>
    <row r="1109" spans="1:12" ht="16" x14ac:dyDescent="0.2">
      <c r="A1109" s="20" t="s">
        <v>8188</v>
      </c>
      <c r="B1109" s="20" t="s">
        <v>8189</v>
      </c>
      <c r="C1109" s="20" t="s">
        <v>3774</v>
      </c>
      <c r="D1109" s="20" t="s">
        <v>8190</v>
      </c>
      <c r="E1109" s="20" t="s">
        <v>8191</v>
      </c>
      <c r="F1109" s="20" t="s">
        <v>3358</v>
      </c>
      <c r="G1109" s="20" t="s">
        <v>3777</v>
      </c>
      <c r="H1109" s="20" t="s">
        <v>6</v>
      </c>
      <c r="I1109" s="39">
        <v>44764.401975000001</v>
      </c>
      <c r="J1109" s="39">
        <v>44764.401975046298</v>
      </c>
      <c r="K1109" s="20">
        <v>0</v>
      </c>
      <c r="L1109" s="17" t="str">
        <f t="shared" si="17"/>
        <v>https://captureandgo.cloudlab.zhaw.ch/uploads/image_c8f5e07595.jpg</v>
      </c>
    </row>
    <row r="1110" spans="1:12" ht="16" x14ac:dyDescent="0.2">
      <c r="A1110" s="20" t="s">
        <v>8192</v>
      </c>
      <c r="B1110" s="20" t="s">
        <v>8193</v>
      </c>
      <c r="C1110" s="20" t="s">
        <v>3774</v>
      </c>
      <c r="D1110" s="20" t="s">
        <v>8194</v>
      </c>
      <c r="E1110" s="20" t="s">
        <v>8195</v>
      </c>
      <c r="F1110" s="20" t="s">
        <v>3363</v>
      </c>
      <c r="G1110" s="20" t="s">
        <v>3777</v>
      </c>
      <c r="H1110" s="20" t="s">
        <v>6</v>
      </c>
      <c r="I1110" s="39">
        <v>44764.413881944442</v>
      </c>
      <c r="J1110" s="39">
        <v>44764.41388197917</v>
      </c>
      <c r="K1110" s="20">
        <v>0</v>
      </c>
      <c r="L1110" s="17" t="str">
        <f t="shared" si="17"/>
        <v>https://captureandgo.cloudlab.zhaw.ch/uploads/image_1e7a046a38.jpg</v>
      </c>
    </row>
    <row r="1111" spans="1:12" ht="16" x14ac:dyDescent="0.2">
      <c r="A1111" s="20" t="s">
        <v>8196</v>
      </c>
      <c r="B1111" s="20" t="s">
        <v>8197</v>
      </c>
      <c r="C1111" s="20" t="s">
        <v>3774</v>
      </c>
      <c r="D1111" s="20" t="s">
        <v>8198</v>
      </c>
      <c r="E1111" s="20" t="s">
        <v>8199</v>
      </c>
      <c r="F1111" s="20" t="s">
        <v>3366</v>
      </c>
      <c r="G1111" s="20" t="s">
        <v>3777</v>
      </c>
      <c r="H1111" s="20" t="s">
        <v>6</v>
      </c>
      <c r="I1111" s="39">
        <v>44764.414774027777</v>
      </c>
      <c r="J1111" s="39">
        <v>44764.414774062498</v>
      </c>
      <c r="K1111" s="20">
        <v>0</v>
      </c>
      <c r="L1111" s="17" t="str">
        <f t="shared" si="17"/>
        <v>https://captureandgo.cloudlab.zhaw.ch/uploads/image_0dec1846e5.jpg</v>
      </c>
    </row>
    <row r="1112" spans="1:12" ht="16" x14ac:dyDescent="0.2">
      <c r="A1112" s="20" t="s">
        <v>8200</v>
      </c>
      <c r="B1112" s="20" t="s">
        <v>8201</v>
      </c>
      <c r="C1112" s="20" t="s">
        <v>3774</v>
      </c>
      <c r="D1112" s="20" t="s">
        <v>8202</v>
      </c>
      <c r="E1112" s="20" t="s">
        <v>8203</v>
      </c>
      <c r="F1112" s="20" t="s">
        <v>3369</v>
      </c>
      <c r="G1112" s="20" t="s">
        <v>3777</v>
      </c>
      <c r="H1112" s="20" t="s">
        <v>6</v>
      </c>
      <c r="I1112" s="39">
        <v>44764.416089722225</v>
      </c>
      <c r="J1112" s="39">
        <v>44764.41608978009</v>
      </c>
      <c r="K1112" s="20">
        <v>0</v>
      </c>
      <c r="L1112" s="17" t="str">
        <f t="shared" si="17"/>
        <v>https://captureandgo.cloudlab.zhaw.ch/uploads/image_08265dff7a.jpg</v>
      </c>
    </row>
    <row r="1113" spans="1:12" ht="16" x14ac:dyDescent="0.2">
      <c r="A1113" s="20" t="s">
        <v>8204</v>
      </c>
      <c r="B1113" s="20" t="s">
        <v>8205</v>
      </c>
      <c r="C1113" s="20" t="s">
        <v>3774</v>
      </c>
      <c r="D1113" s="20" t="s">
        <v>8206</v>
      </c>
      <c r="E1113" s="20" t="s">
        <v>8207</v>
      </c>
      <c r="F1113" s="20" t="s">
        <v>3372</v>
      </c>
      <c r="G1113" s="20" t="s">
        <v>3777</v>
      </c>
      <c r="H1113" s="20" t="s">
        <v>6</v>
      </c>
      <c r="I1113" s="39">
        <v>44764.416581018515</v>
      </c>
      <c r="J1113" s="39">
        <v>44764.416581064812</v>
      </c>
      <c r="K1113" s="20">
        <v>0</v>
      </c>
      <c r="L1113" s="17" t="str">
        <f t="shared" si="17"/>
        <v>https://captureandgo.cloudlab.zhaw.ch/uploads/image_620a3d510c.jpg</v>
      </c>
    </row>
    <row r="1114" spans="1:12" ht="16" x14ac:dyDescent="0.2">
      <c r="A1114" s="20" t="s">
        <v>8208</v>
      </c>
      <c r="B1114" s="20" t="s">
        <v>8209</v>
      </c>
      <c r="C1114" s="20" t="s">
        <v>3774</v>
      </c>
      <c r="D1114" s="20" t="s">
        <v>8210</v>
      </c>
      <c r="E1114" s="20" t="s">
        <v>8211</v>
      </c>
      <c r="F1114" s="20" t="s">
        <v>3375</v>
      </c>
      <c r="G1114" s="20" t="s">
        <v>3777</v>
      </c>
      <c r="H1114" s="20" t="s">
        <v>6</v>
      </c>
      <c r="I1114" s="39">
        <v>44764.416849861111</v>
      </c>
      <c r="J1114" s="39">
        <v>44764.416849895832</v>
      </c>
      <c r="K1114" s="20">
        <v>0</v>
      </c>
      <c r="L1114" s="17" t="str">
        <f t="shared" si="17"/>
        <v>https://captureandgo.cloudlab.zhaw.ch/uploads/image_196c294600.jpg</v>
      </c>
    </row>
    <row r="1115" spans="1:12" ht="16" x14ac:dyDescent="0.2">
      <c r="A1115" s="20" t="s">
        <v>8212</v>
      </c>
      <c r="B1115" s="20" t="s">
        <v>8213</v>
      </c>
      <c r="C1115" s="20" t="s">
        <v>3774</v>
      </c>
      <c r="D1115" s="20" t="s">
        <v>8214</v>
      </c>
      <c r="E1115" s="20" t="s">
        <v>8215</v>
      </c>
      <c r="F1115" s="20" t="s">
        <v>3378</v>
      </c>
      <c r="G1115" s="20" t="s">
        <v>3777</v>
      </c>
      <c r="H1115" s="20" t="s">
        <v>6</v>
      </c>
      <c r="I1115" s="39">
        <v>44764.422355636576</v>
      </c>
      <c r="J1115" s="39">
        <v>44764.422355682873</v>
      </c>
      <c r="K1115" s="20">
        <v>0</v>
      </c>
      <c r="L1115" s="17" t="str">
        <f t="shared" si="17"/>
        <v>https://captureandgo.cloudlab.zhaw.ch/uploads/image_cbae954195.jpg</v>
      </c>
    </row>
    <row r="1116" spans="1:12" ht="16" x14ac:dyDescent="0.2">
      <c r="A1116" s="20" t="s">
        <v>8216</v>
      </c>
      <c r="B1116" s="20" t="s">
        <v>8217</v>
      </c>
      <c r="C1116" s="20" t="s">
        <v>3774</v>
      </c>
      <c r="D1116" s="20" t="s">
        <v>8218</v>
      </c>
      <c r="E1116" s="20" t="s">
        <v>8219</v>
      </c>
      <c r="F1116" s="20" t="s">
        <v>3381</v>
      </c>
      <c r="G1116" s="20" t="s">
        <v>3777</v>
      </c>
      <c r="H1116" s="20" t="s">
        <v>6</v>
      </c>
      <c r="I1116" s="39">
        <v>44764.42266434028</v>
      </c>
      <c r="J1116" s="39">
        <v>44764.422664363425</v>
      </c>
      <c r="K1116" s="20">
        <v>0</v>
      </c>
      <c r="L1116" s="17" t="str">
        <f t="shared" si="17"/>
        <v>https://captureandgo.cloudlab.zhaw.ch/uploads/image_d89bd5e8a0.jpg</v>
      </c>
    </row>
    <row r="1117" spans="1:12" ht="16" x14ac:dyDescent="0.2">
      <c r="A1117" s="20" t="s">
        <v>8220</v>
      </c>
      <c r="B1117" s="20" t="s">
        <v>8221</v>
      </c>
      <c r="C1117" s="20" t="s">
        <v>3774</v>
      </c>
      <c r="D1117" s="20" t="s">
        <v>8222</v>
      </c>
      <c r="E1117" s="20" t="s">
        <v>8223</v>
      </c>
      <c r="F1117" s="20" t="s">
        <v>3384</v>
      </c>
      <c r="G1117" s="20" t="s">
        <v>3777</v>
      </c>
      <c r="H1117" s="20" t="s">
        <v>6</v>
      </c>
      <c r="I1117" s="39">
        <v>44764.425273738423</v>
      </c>
      <c r="J1117" s="39">
        <v>44764.425273773151</v>
      </c>
      <c r="K1117" s="20">
        <v>0</v>
      </c>
      <c r="L1117" s="17" t="str">
        <f t="shared" si="17"/>
        <v>https://captureandgo.cloudlab.zhaw.ch/uploads/image_856f609e72.jpg</v>
      </c>
    </row>
    <row r="1118" spans="1:12" ht="16" x14ac:dyDescent="0.2">
      <c r="A1118" s="20" t="s">
        <v>8224</v>
      </c>
      <c r="B1118" s="20" t="s">
        <v>8225</v>
      </c>
      <c r="C1118" s="20" t="s">
        <v>3774</v>
      </c>
      <c r="D1118" s="20" t="s">
        <v>8226</v>
      </c>
      <c r="E1118" s="20" t="s">
        <v>8227</v>
      </c>
      <c r="F1118" s="20" t="s">
        <v>3388</v>
      </c>
      <c r="G1118" s="20" t="s">
        <v>3777</v>
      </c>
      <c r="H1118" s="20" t="s">
        <v>6</v>
      </c>
      <c r="I1118" s="39">
        <v>44764.427146296293</v>
      </c>
      <c r="J1118" s="39">
        <v>44764.427146331022</v>
      </c>
      <c r="K1118" s="20">
        <v>0</v>
      </c>
      <c r="L1118" s="17" t="str">
        <f t="shared" si="17"/>
        <v>https://captureandgo.cloudlab.zhaw.ch/uploads/image_038070469b.jpg</v>
      </c>
    </row>
    <row r="1119" spans="1:12" ht="16" x14ac:dyDescent="0.2">
      <c r="A1119" s="20" t="s">
        <v>8228</v>
      </c>
      <c r="B1119" s="20" t="s">
        <v>8229</v>
      </c>
      <c r="C1119" s="20" t="s">
        <v>3774</v>
      </c>
      <c r="D1119" s="20" t="s">
        <v>8230</v>
      </c>
      <c r="E1119" s="20" t="s">
        <v>8231</v>
      </c>
      <c r="F1119" s="20" t="s">
        <v>3391</v>
      </c>
      <c r="G1119" s="20" t="s">
        <v>3777</v>
      </c>
      <c r="H1119" s="20" t="s">
        <v>6</v>
      </c>
      <c r="I1119" s="39">
        <v>44764.429802569444</v>
      </c>
      <c r="J1119" s="39">
        <v>44764.429802604165</v>
      </c>
      <c r="K1119" s="20">
        <v>0</v>
      </c>
      <c r="L1119" s="17" t="str">
        <f t="shared" si="17"/>
        <v>https://captureandgo.cloudlab.zhaw.ch/uploads/image_a65726b0ee.jpg</v>
      </c>
    </row>
    <row r="1120" spans="1:12" ht="16" x14ac:dyDescent="0.2">
      <c r="A1120" s="20" t="s">
        <v>8232</v>
      </c>
      <c r="B1120" s="20" t="s">
        <v>8233</v>
      </c>
      <c r="C1120" s="20" t="s">
        <v>3774</v>
      </c>
      <c r="D1120" s="20" t="s">
        <v>8234</v>
      </c>
      <c r="E1120" s="20" t="s">
        <v>8235</v>
      </c>
      <c r="F1120" s="20" t="s">
        <v>3391</v>
      </c>
      <c r="G1120" s="20" t="s">
        <v>3777</v>
      </c>
      <c r="H1120" s="20" t="s">
        <v>6</v>
      </c>
      <c r="I1120" s="39">
        <v>44764.431874768517</v>
      </c>
      <c r="J1120" s="39">
        <v>44764.431875254631</v>
      </c>
      <c r="K1120" s="20">
        <v>0</v>
      </c>
      <c r="L1120" s="17" t="str">
        <f t="shared" si="17"/>
        <v>https://captureandgo.cloudlab.zhaw.ch/uploads/image_8b2017b876.jpg</v>
      </c>
    </row>
    <row r="1121" spans="1:12" ht="16" x14ac:dyDescent="0.2">
      <c r="A1121" s="20" t="s">
        <v>8236</v>
      </c>
      <c r="B1121" s="20" t="s">
        <v>8237</v>
      </c>
      <c r="C1121" s="20" t="s">
        <v>3774</v>
      </c>
      <c r="D1121" s="20" t="s">
        <v>8238</v>
      </c>
      <c r="E1121" s="20" t="s">
        <v>8239</v>
      </c>
      <c r="F1121" s="20" t="s">
        <v>3394</v>
      </c>
      <c r="G1121" s="20" t="s">
        <v>3777</v>
      </c>
      <c r="H1121" s="20" t="s">
        <v>6</v>
      </c>
      <c r="I1121" s="39">
        <v>44764.432280289351</v>
      </c>
      <c r="J1121" s="39">
        <v>44764.432280324072</v>
      </c>
      <c r="K1121" s="20">
        <v>0</v>
      </c>
      <c r="L1121" s="17" t="str">
        <f t="shared" si="17"/>
        <v>https://captureandgo.cloudlab.zhaw.ch/uploads/image_ad5166404f.jpg</v>
      </c>
    </row>
    <row r="1122" spans="1:12" ht="16" x14ac:dyDescent="0.2">
      <c r="A1122" s="20" t="s">
        <v>8240</v>
      </c>
      <c r="B1122" s="20" t="s">
        <v>8241</v>
      </c>
      <c r="C1122" s="20" t="s">
        <v>3774</v>
      </c>
      <c r="D1122" s="20" t="s">
        <v>8242</v>
      </c>
      <c r="E1122" s="20" t="s">
        <v>8243</v>
      </c>
      <c r="F1122" s="20" t="s">
        <v>3397</v>
      </c>
      <c r="G1122" s="20" t="s">
        <v>3777</v>
      </c>
      <c r="H1122" s="20" t="s">
        <v>6</v>
      </c>
      <c r="I1122" s="39">
        <v>44764.432565891206</v>
      </c>
      <c r="J1122" s="39">
        <v>44764.432565972224</v>
      </c>
      <c r="K1122" s="20">
        <v>0</v>
      </c>
      <c r="L1122" s="17" t="str">
        <f t="shared" si="17"/>
        <v>https://captureandgo.cloudlab.zhaw.ch/uploads/image_9299847aca.jpg</v>
      </c>
    </row>
    <row r="1123" spans="1:12" ht="16" x14ac:dyDescent="0.2">
      <c r="A1123" s="20" t="s">
        <v>8244</v>
      </c>
      <c r="B1123" s="20" t="s">
        <v>8245</v>
      </c>
      <c r="C1123" s="20" t="s">
        <v>3774</v>
      </c>
      <c r="D1123" s="20" t="s">
        <v>8246</v>
      </c>
      <c r="E1123" s="20" t="s">
        <v>8247</v>
      </c>
      <c r="F1123" s="20" t="s">
        <v>3400</v>
      </c>
      <c r="G1123" s="20" t="s">
        <v>3777</v>
      </c>
      <c r="H1123" s="20" t="s">
        <v>6</v>
      </c>
      <c r="I1123" s="39">
        <v>44764.433309722219</v>
      </c>
      <c r="J1123" s="39">
        <v>44764.433309745371</v>
      </c>
      <c r="K1123" s="20">
        <v>0</v>
      </c>
      <c r="L1123" s="17" t="str">
        <f t="shared" si="17"/>
        <v>https://captureandgo.cloudlab.zhaw.ch/uploads/image_dffa810d47.jpg</v>
      </c>
    </row>
    <row r="1124" spans="1:12" ht="16" x14ac:dyDescent="0.2">
      <c r="A1124" s="20" t="s">
        <v>8248</v>
      </c>
      <c r="B1124" s="20" t="s">
        <v>8249</v>
      </c>
      <c r="C1124" s="20" t="s">
        <v>3774</v>
      </c>
      <c r="D1124" s="20" t="s">
        <v>8250</v>
      </c>
      <c r="E1124" s="20" t="s">
        <v>8251</v>
      </c>
      <c r="F1124" s="20" t="s">
        <v>3403</v>
      </c>
      <c r="G1124" s="20" t="s">
        <v>3777</v>
      </c>
      <c r="H1124" s="20" t="s">
        <v>6</v>
      </c>
      <c r="I1124" s="39">
        <v>44764.433640312498</v>
      </c>
      <c r="J1124" s="39">
        <v>44764.433640347219</v>
      </c>
      <c r="K1124" s="20">
        <v>0</v>
      </c>
      <c r="L1124" s="17" t="str">
        <f t="shared" si="17"/>
        <v>https://captureandgo.cloudlab.zhaw.ch/uploads/image_17563b2fda.jpg</v>
      </c>
    </row>
    <row r="1125" spans="1:12" ht="16" x14ac:dyDescent="0.2">
      <c r="A1125" s="20" t="s">
        <v>8252</v>
      </c>
      <c r="B1125" s="20" t="s">
        <v>8253</v>
      </c>
      <c r="C1125" s="20" t="s">
        <v>3774</v>
      </c>
      <c r="D1125" s="20" t="s">
        <v>8254</v>
      </c>
      <c r="E1125" s="20" t="s">
        <v>8255</v>
      </c>
      <c r="F1125" s="20" t="s">
        <v>3406</v>
      </c>
      <c r="G1125" s="20" t="s">
        <v>3777</v>
      </c>
      <c r="H1125" s="20" t="s">
        <v>6</v>
      </c>
      <c r="I1125" s="39">
        <v>44764.434495844907</v>
      </c>
      <c r="J1125" s="39">
        <v>44764.434495891204</v>
      </c>
      <c r="K1125" s="20">
        <v>0</v>
      </c>
      <c r="L1125" s="17" t="str">
        <f t="shared" si="17"/>
        <v>https://captureandgo.cloudlab.zhaw.ch/uploads/image_07d76729fb.jpg</v>
      </c>
    </row>
    <row r="1126" spans="1:12" ht="16" x14ac:dyDescent="0.2">
      <c r="A1126" s="20" t="s">
        <v>8256</v>
      </c>
      <c r="B1126" s="20" t="s">
        <v>8257</v>
      </c>
      <c r="C1126" s="20" t="s">
        <v>3774</v>
      </c>
      <c r="D1126" s="20" t="s">
        <v>8258</v>
      </c>
      <c r="E1126" s="20" t="s">
        <v>8259</v>
      </c>
      <c r="F1126" s="20" t="s">
        <v>3409</v>
      </c>
      <c r="G1126" s="20" t="s">
        <v>3777</v>
      </c>
      <c r="H1126" s="20" t="s">
        <v>6</v>
      </c>
      <c r="I1126" s="39">
        <v>44764.434918321756</v>
      </c>
      <c r="J1126" s="39">
        <v>44764.434918344909</v>
      </c>
      <c r="K1126" s="20">
        <v>0</v>
      </c>
      <c r="L1126" s="17" t="str">
        <f t="shared" si="17"/>
        <v>https://captureandgo.cloudlab.zhaw.ch/uploads/image_46b04a0681.jpg</v>
      </c>
    </row>
    <row r="1127" spans="1:12" ht="16" x14ac:dyDescent="0.2">
      <c r="A1127" s="20" t="s">
        <v>8260</v>
      </c>
      <c r="B1127" s="20" t="s">
        <v>8261</v>
      </c>
      <c r="C1127" s="20" t="s">
        <v>3774</v>
      </c>
      <c r="D1127" s="20" t="s">
        <v>8262</v>
      </c>
      <c r="E1127" s="20" t="s">
        <v>8263</v>
      </c>
      <c r="F1127" s="20" t="s">
        <v>3412</v>
      </c>
      <c r="G1127" s="20" t="s">
        <v>3777</v>
      </c>
      <c r="H1127" s="20" t="s">
        <v>6</v>
      </c>
      <c r="I1127" s="39">
        <v>44764.43522550926</v>
      </c>
      <c r="J1127" s="39">
        <v>44764.435225532405</v>
      </c>
      <c r="K1127" s="20">
        <v>0</v>
      </c>
      <c r="L1127" s="17" t="str">
        <f t="shared" si="17"/>
        <v>https://captureandgo.cloudlab.zhaw.ch/uploads/image_3d6971b4b6.jpg</v>
      </c>
    </row>
    <row r="1128" spans="1:12" ht="16" x14ac:dyDescent="0.2">
      <c r="A1128" s="20" t="s">
        <v>8264</v>
      </c>
      <c r="B1128" s="20" t="s">
        <v>8265</v>
      </c>
      <c r="C1128" s="20" t="s">
        <v>3774</v>
      </c>
      <c r="D1128" s="20" t="s">
        <v>8266</v>
      </c>
      <c r="E1128" s="20" t="s">
        <v>8267</v>
      </c>
      <c r="F1128" s="20" t="s">
        <v>3415</v>
      </c>
      <c r="G1128" s="20" t="s">
        <v>3777</v>
      </c>
      <c r="H1128" s="20" t="s">
        <v>6</v>
      </c>
      <c r="I1128" s="39">
        <v>44764.435493946759</v>
      </c>
      <c r="J1128" s="39">
        <v>44764.435493969904</v>
      </c>
      <c r="K1128" s="20">
        <v>0</v>
      </c>
      <c r="L1128" s="17" t="str">
        <f t="shared" si="17"/>
        <v>https://captureandgo.cloudlab.zhaw.ch/uploads/image_0bbbb76007.jpg</v>
      </c>
    </row>
    <row r="1129" spans="1:12" ht="16" x14ac:dyDescent="0.2">
      <c r="A1129" s="20" t="s">
        <v>8268</v>
      </c>
      <c r="B1129" s="20" t="s">
        <v>8269</v>
      </c>
      <c r="C1129" s="20" t="s">
        <v>3774</v>
      </c>
      <c r="D1129" s="20" t="s">
        <v>8270</v>
      </c>
      <c r="E1129" s="20" t="s">
        <v>8271</v>
      </c>
      <c r="F1129" s="20" t="s">
        <v>3418</v>
      </c>
      <c r="G1129" s="20" t="s">
        <v>3777</v>
      </c>
      <c r="H1129" s="20" t="s">
        <v>6</v>
      </c>
      <c r="I1129" s="39">
        <v>44764.435735613428</v>
      </c>
      <c r="J1129" s="39">
        <v>44764.435735636573</v>
      </c>
      <c r="K1129" s="20">
        <v>0</v>
      </c>
      <c r="L1129" s="17" t="str">
        <f t="shared" si="17"/>
        <v>https://captureandgo.cloudlab.zhaw.ch/uploads/image_d3ad4d1082.jpg</v>
      </c>
    </row>
    <row r="1130" spans="1:12" ht="16" x14ac:dyDescent="0.2">
      <c r="A1130" s="20" t="s">
        <v>8272</v>
      </c>
      <c r="B1130" s="20" t="s">
        <v>8273</v>
      </c>
      <c r="C1130" s="20" t="s">
        <v>3774</v>
      </c>
      <c r="D1130" s="20" t="s">
        <v>8274</v>
      </c>
      <c r="E1130" s="20" t="s">
        <v>8275</v>
      </c>
      <c r="F1130" s="20" t="s">
        <v>3421</v>
      </c>
      <c r="G1130" s="20" t="s">
        <v>3777</v>
      </c>
      <c r="H1130" s="20" t="s">
        <v>6</v>
      </c>
      <c r="I1130" s="39">
        <v>44764.436599143519</v>
      </c>
      <c r="J1130" s="39">
        <v>44764.436599166664</v>
      </c>
      <c r="K1130" s="20">
        <v>0</v>
      </c>
      <c r="L1130" s="17" t="str">
        <f t="shared" si="17"/>
        <v>https://captureandgo.cloudlab.zhaw.ch/uploads/image_2e29ea9891.jpg</v>
      </c>
    </row>
    <row r="1131" spans="1:12" ht="16" x14ac:dyDescent="0.2">
      <c r="A1131" s="20" t="s">
        <v>8276</v>
      </c>
      <c r="B1131" s="20" t="s">
        <v>8277</v>
      </c>
      <c r="C1131" s="20" t="s">
        <v>3774</v>
      </c>
      <c r="D1131" s="20" t="s">
        <v>8278</v>
      </c>
      <c r="E1131" s="20" t="s">
        <v>8279</v>
      </c>
      <c r="F1131" s="20" t="s">
        <v>3424</v>
      </c>
      <c r="G1131" s="20" t="s">
        <v>3777</v>
      </c>
      <c r="H1131" s="20" t="s">
        <v>6</v>
      </c>
      <c r="I1131" s="39">
        <v>44764.439959814816</v>
      </c>
      <c r="J1131" s="39">
        <v>44764.439959849537</v>
      </c>
      <c r="K1131" s="20">
        <v>0</v>
      </c>
      <c r="L1131" s="17" t="str">
        <f t="shared" si="17"/>
        <v>https://captureandgo.cloudlab.zhaw.ch/uploads/image_93855129e8.jpg</v>
      </c>
    </row>
    <row r="1132" spans="1:12" ht="16" x14ac:dyDescent="0.2">
      <c r="A1132" s="20" t="s">
        <v>8280</v>
      </c>
      <c r="B1132" s="20" t="s">
        <v>8281</v>
      </c>
      <c r="C1132" s="20" t="s">
        <v>3774</v>
      </c>
      <c r="D1132" s="20" t="s">
        <v>8282</v>
      </c>
      <c r="E1132" s="20" t="s">
        <v>8283</v>
      </c>
      <c r="F1132" s="20" t="s">
        <v>3427</v>
      </c>
      <c r="G1132" s="20" t="s">
        <v>3777</v>
      </c>
      <c r="H1132" s="20" t="s">
        <v>6</v>
      </c>
      <c r="I1132" s="39">
        <v>44764.440249155094</v>
      </c>
      <c r="J1132" s="39">
        <v>44764.440249189814</v>
      </c>
      <c r="K1132" s="20">
        <v>0</v>
      </c>
      <c r="L1132" s="17" t="str">
        <f t="shared" si="17"/>
        <v>https://captureandgo.cloudlab.zhaw.ch/uploads/image_9521376c14.jpg</v>
      </c>
    </row>
    <row r="1133" spans="1:12" ht="16" x14ac:dyDescent="0.2">
      <c r="A1133" s="20" t="s">
        <v>8284</v>
      </c>
      <c r="B1133" s="20" t="s">
        <v>8285</v>
      </c>
      <c r="C1133" s="20" t="s">
        <v>3774</v>
      </c>
      <c r="D1133" s="20" t="s">
        <v>8286</v>
      </c>
      <c r="E1133" s="20" t="s">
        <v>8287</v>
      </c>
      <c r="F1133" s="20" t="s">
        <v>3430</v>
      </c>
      <c r="G1133" s="20" t="s">
        <v>3777</v>
      </c>
      <c r="H1133" s="20" t="s">
        <v>6</v>
      </c>
      <c r="I1133" s="39">
        <v>44764.44149986111</v>
      </c>
      <c r="J1133" s="39">
        <v>44764.441499895831</v>
      </c>
      <c r="K1133" s="20">
        <v>0</v>
      </c>
      <c r="L1133" s="17" t="str">
        <f t="shared" si="17"/>
        <v>https://captureandgo.cloudlab.zhaw.ch/uploads/image_4e29967ecc.jpg</v>
      </c>
    </row>
    <row r="1134" spans="1:12" ht="16" x14ac:dyDescent="0.2">
      <c r="A1134" s="20" t="s">
        <v>8288</v>
      </c>
      <c r="B1134" s="20" t="s">
        <v>8289</v>
      </c>
      <c r="C1134" s="20" t="s">
        <v>3774</v>
      </c>
      <c r="D1134" s="20" t="s">
        <v>8290</v>
      </c>
      <c r="E1134" s="20" t="s">
        <v>8291</v>
      </c>
      <c r="F1134" s="20" t="s">
        <v>3433</v>
      </c>
      <c r="G1134" s="20" t="s">
        <v>3777</v>
      </c>
      <c r="H1134" s="20" t="s">
        <v>6</v>
      </c>
      <c r="I1134" s="39">
        <v>44764.442967916664</v>
      </c>
      <c r="J1134" s="39">
        <v>44764.442967962961</v>
      </c>
      <c r="K1134" s="20">
        <v>0</v>
      </c>
      <c r="L1134" s="17" t="str">
        <f t="shared" si="17"/>
        <v>https://captureandgo.cloudlab.zhaw.ch/uploads/image_4c1b2006ab.jpg</v>
      </c>
    </row>
    <row r="1135" spans="1:12" ht="16" x14ac:dyDescent="0.2">
      <c r="A1135" s="20" t="s">
        <v>8292</v>
      </c>
      <c r="B1135" s="20" t="s">
        <v>8293</v>
      </c>
      <c r="C1135" s="20" t="s">
        <v>3774</v>
      </c>
      <c r="D1135" s="20" t="s">
        <v>8294</v>
      </c>
      <c r="E1135" s="20" t="s">
        <v>8295</v>
      </c>
      <c r="F1135" s="20" t="s">
        <v>3436</v>
      </c>
      <c r="G1135" s="20" t="s">
        <v>3777</v>
      </c>
      <c r="H1135" s="20" t="s">
        <v>6</v>
      </c>
      <c r="I1135" s="39">
        <v>44764.443348865738</v>
      </c>
      <c r="J1135" s="39">
        <v>44764.44334888889</v>
      </c>
      <c r="K1135" s="20">
        <v>0</v>
      </c>
      <c r="L1135" s="17" t="str">
        <f t="shared" si="17"/>
        <v>https://captureandgo.cloudlab.zhaw.ch/uploads/image_4af4fbfa75.jpg</v>
      </c>
    </row>
    <row r="1136" spans="1:12" ht="16" x14ac:dyDescent="0.2">
      <c r="A1136" s="20" t="s">
        <v>8296</v>
      </c>
      <c r="B1136" s="20" t="s">
        <v>8297</v>
      </c>
      <c r="C1136" s="20" t="s">
        <v>3774</v>
      </c>
      <c r="D1136" s="20" t="s">
        <v>8298</v>
      </c>
      <c r="E1136" s="20" t="s">
        <v>8299</v>
      </c>
      <c r="F1136" s="20" t="s">
        <v>3439</v>
      </c>
      <c r="G1136" s="20" t="s">
        <v>3777</v>
      </c>
      <c r="H1136" s="20" t="s">
        <v>6</v>
      </c>
      <c r="I1136" s="39">
        <v>44764.443770046295</v>
      </c>
      <c r="J1136" s="39">
        <v>44764.443770081016</v>
      </c>
      <c r="K1136" s="20">
        <v>0</v>
      </c>
      <c r="L1136" s="17" t="str">
        <f t="shared" si="17"/>
        <v>https://captureandgo.cloudlab.zhaw.ch/uploads/image_1124aa1068.jpg</v>
      </c>
    </row>
    <row r="1137" spans="1:12" ht="16" x14ac:dyDescent="0.2">
      <c r="A1137" s="20" t="s">
        <v>8300</v>
      </c>
      <c r="B1137" s="20" t="s">
        <v>8301</v>
      </c>
      <c r="C1137" s="20" t="s">
        <v>3774</v>
      </c>
      <c r="D1137" s="20" t="s">
        <v>8302</v>
      </c>
      <c r="E1137" s="20" t="s">
        <v>8303</v>
      </c>
      <c r="F1137" s="20" t="s">
        <v>3442</v>
      </c>
      <c r="G1137" s="20" t="s">
        <v>3777</v>
      </c>
      <c r="H1137" s="20" t="s">
        <v>6</v>
      </c>
      <c r="I1137" s="39">
        <v>44764.445232361111</v>
      </c>
      <c r="J1137" s="39">
        <v>44764.445232546299</v>
      </c>
      <c r="K1137" s="20">
        <v>0</v>
      </c>
      <c r="L1137" s="17" t="str">
        <f t="shared" si="17"/>
        <v>https://captureandgo.cloudlab.zhaw.ch/uploads/image_624771b17d.jpg</v>
      </c>
    </row>
    <row r="1138" spans="1:12" ht="16" x14ac:dyDescent="0.2">
      <c r="A1138" s="20" t="s">
        <v>8304</v>
      </c>
      <c r="B1138" s="20" t="s">
        <v>8305</v>
      </c>
      <c r="C1138" s="20" t="s">
        <v>3774</v>
      </c>
      <c r="D1138" s="20" t="s">
        <v>8306</v>
      </c>
      <c r="E1138" s="20" t="s">
        <v>8307</v>
      </c>
      <c r="F1138" s="20" t="s">
        <v>3445</v>
      </c>
      <c r="G1138" s="20" t="s">
        <v>3777</v>
      </c>
      <c r="H1138" s="20" t="s">
        <v>6</v>
      </c>
      <c r="I1138" s="39">
        <v>44764.445520810186</v>
      </c>
      <c r="J1138" s="39">
        <v>44764.445520856483</v>
      </c>
      <c r="K1138" s="20">
        <v>0</v>
      </c>
      <c r="L1138" s="17" t="str">
        <f t="shared" si="17"/>
        <v>https://captureandgo.cloudlab.zhaw.ch/uploads/image_84740490c2.jpg</v>
      </c>
    </row>
    <row r="1139" spans="1:12" ht="16" x14ac:dyDescent="0.2">
      <c r="A1139" s="20" t="s">
        <v>8308</v>
      </c>
      <c r="B1139" s="20" t="s">
        <v>8309</v>
      </c>
      <c r="C1139" s="20" t="s">
        <v>3774</v>
      </c>
      <c r="D1139" s="20" t="s">
        <v>8310</v>
      </c>
      <c r="E1139" s="20" t="s">
        <v>8311</v>
      </c>
      <c r="F1139" s="20" t="s">
        <v>3448</v>
      </c>
      <c r="G1139" s="20" t="s">
        <v>3777</v>
      </c>
      <c r="H1139" s="20" t="s">
        <v>6</v>
      </c>
      <c r="I1139" s="39">
        <v>44764.445858067127</v>
      </c>
      <c r="J1139" s="39">
        <v>44764.445858101855</v>
      </c>
      <c r="K1139" s="20">
        <v>0</v>
      </c>
      <c r="L1139" s="17" t="str">
        <f t="shared" si="17"/>
        <v>https://captureandgo.cloudlab.zhaw.ch/uploads/image_4fd77b3548.jpg</v>
      </c>
    </row>
    <row r="1140" spans="1:12" ht="16" x14ac:dyDescent="0.2">
      <c r="A1140" s="20" t="s">
        <v>8312</v>
      </c>
      <c r="B1140" s="20" t="s">
        <v>8313</v>
      </c>
      <c r="C1140" s="20" t="s">
        <v>3774</v>
      </c>
      <c r="D1140" s="20" t="s">
        <v>8314</v>
      </c>
      <c r="E1140" s="20" t="s">
        <v>8315</v>
      </c>
      <c r="F1140" s="20" t="s">
        <v>3451</v>
      </c>
      <c r="G1140" s="20" t="s">
        <v>3777</v>
      </c>
      <c r="H1140" s="20" t="s">
        <v>6</v>
      </c>
      <c r="I1140" s="39">
        <v>44764.446502199076</v>
      </c>
      <c r="J1140" s="39">
        <v>44764.446502222221</v>
      </c>
      <c r="K1140" s="20">
        <v>0</v>
      </c>
      <c r="L1140" s="17" t="str">
        <f t="shared" si="17"/>
        <v>https://captureandgo.cloudlab.zhaw.ch/uploads/image_8f8de2f126.jpg</v>
      </c>
    </row>
    <row r="1141" spans="1:12" ht="16" x14ac:dyDescent="0.2">
      <c r="A1141" s="20" t="s">
        <v>8316</v>
      </c>
      <c r="B1141" s="20" t="s">
        <v>8317</v>
      </c>
      <c r="C1141" s="20" t="s">
        <v>3774</v>
      </c>
      <c r="D1141" s="20" t="s">
        <v>8318</v>
      </c>
      <c r="E1141" s="20" t="s">
        <v>8319</v>
      </c>
      <c r="F1141" s="20" t="s">
        <v>3456</v>
      </c>
      <c r="G1141" s="20" t="s">
        <v>3777</v>
      </c>
      <c r="H1141" s="20" t="s">
        <v>6</v>
      </c>
      <c r="I1141" s="39">
        <v>44764.447590914351</v>
      </c>
      <c r="J1141" s="39">
        <v>44764.447590949072</v>
      </c>
      <c r="K1141" s="20">
        <v>0</v>
      </c>
      <c r="L1141" s="17" t="str">
        <f t="shared" si="17"/>
        <v>https://captureandgo.cloudlab.zhaw.ch/uploads/image_ac91742727.jpg</v>
      </c>
    </row>
    <row r="1142" spans="1:12" ht="16" x14ac:dyDescent="0.2">
      <c r="A1142" s="20" t="s">
        <v>8320</v>
      </c>
      <c r="B1142" s="20" t="s">
        <v>8321</v>
      </c>
      <c r="C1142" s="20" t="s">
        <v>3774</v>
      </c>
      <c r="D1142" s="20" t="s">
        <v>8322</v>
      </c>
      <c r="E1142" s="20" t="s">
        <v>8323</v>
      </c>
      <c r="F1142" s="20" t="s">
        <v>3460</v>
      </c>
      <c r="G1142" s="20" t="s">
        <v>3777</v>
      </c>
      <c r="H1142" s="20" t="s">
        <v>6</v>
      </c>
      <c r="I1142" s="39">
        <v>44764.449013726851</v>
      </c>
      <c r="J1142" s="39">
        <v>44764.449013761572</v>
      </c>
      <c r="K1142" s="20">
        <v>0</v>
      </c>
      <c r="L1142" s="17" t="str">
        <f t="shared" si="17"/>
        <v>https://captureandgo.cloudlab.zhaw.ch/uploads/image_aa625294e1.jpg</v>
      </c>
    </row>
    <row r="1143" spans="1:12" ht="16" x14ac:dyDescent="0.2">
      <c r="A1143" s="20" t="s">
        <v>8324</v>
      </c>
      <c r="B1143" s="20" t="s">
        <v>8325</v>
      </c>
      <c r="C1143" s="20" t="s">
        <v>3774</v>
      </c>
      <c r="D1143" s="20" t="s">
        <v>8326</v>
      </c>
      <c r="E1143" s="20" t="s">
        <v>8327</v>
      </c>
      <c r="F1143" s="20" t="s">
        <v>3464</v>
      </c>
      <c r="G1143" s="20" t="s">
        <v>3777</v>
      </c>
      <c r="H1143" s="20" t="s">
        <v>6</v>
      </c>
      <c r="I1143" s="39">
        <v>44764.452855219904</v>
      </c>
      <c r="J1143" s="39">
        <v>44764.452855254633</v>
      </c>
      <c r="K1143" s="20">
        <v>0</v>
      </c>
      <c r="L1143" s="17" t="str">
        <f t="shared" si="17"/>
        <v>https://captureandgo.cloudlab.zhaw.ch/uploads/image_80308e4cfb.jpg</v>
      </c>
    </row>
    <row r="1144" spans="1:12" ht="16" x14ac:dyDescent="0.2">
      <c r="A1144" s="20" t="s">
        <v>8328</v>
      </c>
      <c r="B1144" s="20" t="s">
        <v>8329</v>
      </c>
      <c r="C1144" s="20" t="s">
        <v>3774</v>
      </c>
      <c r="D1144" s="20" t="s">
        <v>8330</v>
      </c>
      <c r="E1144" s="20" t="s">
        <v>8331</v>
      </c>
      <c r="F1144" s="20" t="s">
        <v>3467</v>
      </c>
      <c r="G1144" s="20" t="s">
        <v>3777</v>
      </c>
      <c r="H1144" s="20" t="s">
        <v>6</v>
      </c>
      <c r="I1144" s="39">
        <v>44764.454063287034</v>
      </c>
      <c r="J1144" s="39">
        <v>44764.454063310186</v>
      </c>
      <c r="K1144" s="20">
        <v>0</v>
      </c>
      <c r="L1144" s="17" t="str">
        <f t="shared" si="17"/>
        <v>https://captureandgo.cloudlab.zhaw.ch/uploads/image_8f91520d3e.jpg</v>
      </c>
    </row>
    <row r="1145" spans="1:12" ht="16" x14ac:dyDescent="0.2">
      <c r="A1145" s="20" t="s">
        <v>8332</v>
      </c>
      <c r="B1145" s="20" t="s">
        <v>8333</v>
      </c>
      <c r="C1145" s="20" t="s">
        <v>3774</v>
      </c>
      <c r="D1145" s="20" t="s">
        <v>8334</v>
      </c>
      <c r="E1145" s="20" t="s">
        <v>8335</v>
      </c>
      <c r="F1145" s="20" t="s">
        <v>3471</v>
      </c>
      <c r="G1145" s="20" t="s">
        <v>3777</v>
      </c>
      <c r="H1145" s="20" t="s">
        <v>6</v>
      </c>
      <c r="I1145" s="39">
        <v>44764.454434988424</v>
      </c>
      <c r="J1145" s="39">
        <v>44764.454435023152</v>
      </c>
      <c r="K1145" s="20">
        <v>0</v>
      </c>
      <c r="L1145" s="17" t="str">
        <f t="shared" si="17"/>
        <v>https://captureandgo.cloudlab.zhaw.ch/uploads/image_e6d35a993b.jpg</v>
      </c>
    </row>
    <row r="1146" spans="1:12" ht="16" x14ac:dyDescent="0.2">
      <c r="A1146" s="20" t="s">
        <v>8336</v>
      </c>
      <c r="B1146" s="20" t="s">
        <v>8337</v>
      </c>
      <c r="C1146" s="20" t="s">
        <v>3774</v>
      </c>
      <c r="D1146" s="20" t="s">
        <v>8338</v>
      </c>
      <c r="E1146" s="20" t="s">
        <v>8339</v>
      </c>
      <c r="F1146" s="20" t="s">
        <v>3474</v>
      </c>
      <c r="G1146" s="20" t="s">
        <v>3777</v>
      </c>
      <c r="H1146" s="20" t="s">
        <v>6</v>
      </c>
      <c r="I1146" s="39">
        <v>44764.457774131944</v>
      </c>
      <c r="J1146" s="39">
        <v>44764.457774166665</v>
      </c>
      <c r="K1146" s="20">
        <v>0</v>
      </c>
      <c r="L1146" s="17" t="str">
        <f t="shared" si="17"/>
        <v>https://captureandgo.cloudlab.zhaw.ch/uploads/image_ce7336f25e.jpg</v>
      </c>
    </row>
    <row r="1147" spans="1:12" ht="16" x14ac:dyDescent="0.2">
      <c r="A1147" s="20" t="s">
        <v>8340</v>
      </c>
      <c r="B1147" s="20" t="s">
        <v>8341</v>
      </c>
      <c r="C1147" s="20" t="s">
        <v>3774</v>
      </c>
      <c r="D1147" s="20" t="s">
        <v>8342</v>
      </c>
      <c r="E1147" s="20" t="s">
        <v>8343</v>
      </c>
      <c r="F1147" s="20" t="s">
        <v>3477</v>
      </c>
      <c r="G1147" s="20" t="s">
        <v>3777</v>
      </c>
      <c r="H1147" s="20" t="s">
        <v>6</v>
      </c>
      <c r="I1147" s="39">
        <v>44764.458543715278</v>
      </c>
      <c r="J1147" s="39">
        <v>44764.458543749999</v>
      </c>
      <c r="K1147" s="20">
        <v>0</v>
      </c>
      <c r="L1147" s="17" t="str">
        <f t="shared" si="17"/>
        <v>https://captureandgo.cloudlab.zhaw.ch/uploads/image_3b21d03571.jpg</v>
      </c>
    </row>
    <row r="1148" spans="1:12" ht="16" x14ac:dyDescent="0.2">
      <c r="A1148" s="20" t="s">
        <v>8344</v>
      </c>
      <c r="B1148" s="20" t="s">
        <v>8345</v>
      </c>
      <c r="C1148" s="20" t="s">
        <v>3774</v>
      </c>
      <c r="D1148" s="20" t="s">
        <v>8346</v>
      </c>
      <c r="E1148" s="20" t="s">
        <v>8347</v>
      </c>
      <c r="F1148" s="20" t="s">
        <v>3480</v>
      </c>
      <c r="G1148" s="20" t="s">
        <v>3777</v>
      </c>
      <c r="H1148" s="20" t="s">
        <v>6</v>
      </c>
      <c r="I1148" s="39">
        <v>44764.464165324076</v>
      </c>
      <c r="J1148" s="39">
        <v>44764.464165347221</v>
      </c>
      <c r="K1148" s="20">
        <v>0</v>
      </c>
      <c r="L1148" s="17" t="str">
        <f t="shared" si="17"/>
        <v>https://captureandgo.cloudlab.zhaw.ch/uploads/image_7718323138.jpg</v>
      </c>
    </row>
    <row r="1149" spans="1:12" ht="16" x14ac:dyDescent="0.2">
      <c r="A1149" s="20" t="s">
        <v>8348</v>
      </c>
      <c r="B1149" s="20" t="s">
        <v>8349</v>
      </c>
      <c r="C1149" s="20" t="s">
        <v>3774</v>
      </c>
      <c r="D1149" s="20" t="s">
        <v>8350</v>
      </c>
      <c r="E1149" s="20" t="s">
        <v>8351</v>
      </c>
      <c r="F1149" s="20" t="s">
        <v>3483</v>
      </c>
      <c r="G1149" s="20" t="s">
        <v>3777</v>
      </c>
      <c r="H1149" s="20" t="s">
        <v>6</v>
      </c>
      <c r="I1149" s="39">
        <v>44764.464935266202</v>
      </c>
      <c r="J1149" s="39">
        <v>44764.464935289354</v>
      </c>
      <c r="K1149" s="20">
        <v>0</v>
      </c>
      <c r="L1149" s="17" t="str">
        <f t="shared" si="17"/>
        <v>https://captureandgo.cloudlab.zhaw.ch/uploads/image_e451efd8ef.jpg</v>
      </c>
    </row>
    <row r="1150" spans="1:12" ht="16" x14ac:dyDescent="0.2">
      <c r="A1150" s="20" t="s">
        <v>8352</v>
      </c>
      <c r="B1150" s="20" t="s">
        <v>8353</v>
      </c>
      <c r="C1150" s="20" t="s">
        <v>3774</v>
      </c>
      <c r="D1150" s="20" t="s">
        <v>8354</v>
      </c>
      <c r="E1150" s="20" t="s">
        <v>8355</v>
      </c>
      <c r="F1150" s="20" t="s">
        <v>3486</v>
      </c>
      <c r="G1150" s="20" t="s">
        <v>3777</v>
      </c>
      <c r="H1150" s="20" t="s">
        <v>6</v>
      </c>
      <c r="I1150" s="39">
        <v>44764.470235856483</v>
      </c>
      <c r="J1150" s="39">
        <v>44764.470235891204</v>
      </c>
      <c r="K1150" s="20">
        <v>0</v>
      </c>
      <c r="L1150" s="17" t="str">
        <f t="shared" si="17"/>
        <v>https://captureandgo.cloudlab.zhaw.ch/uploads/image_7e07f4d124.jpg</v>
      </c>
    </row>
    <row r="1151" spans="1:12" ht="16" x14ac:dyDescent="0.2">
      <c r="A1151" s="20" t="s">
        <v>8356</v>
      </c>
      <c r="B1151" s="20" t="s">
        <v>8357</v>
      </c>
      <c r="C1151" s="20" t="s">
        <v>3774</v>
      </c>
      <c r="D1151" s="20" t="s">
        <v>8358</v>
      </c>
      <c r="E1151" s="20" t="s">
        <v>8359</v>
      </c>
      <c r="F1151" s="20" t="s">
        <v>3489</v>
      </c>
      <c r="G1151" s="20" t="s">
        <v>3777</v>
      </c>
      <c r="H1151" s="20" t="s">
        <v>6</v>
      </c>
      <c r="I1151" s="39">
        <v>44764.471503136578</v>
      </c>
      <c r="J1151" s="39">
        <v>44764.471503159722</v>
      </c>
      <c r="K1151" s="20">
        <v>0</v>
      </c>
      <c r="L1151" s="17" t="str">
        <f t="shared" si="17"/>
        <v>https://captureandgo.cloudlab.zhaw.ch/uploads/image_98b34914ea.jpg</v>
      </c>
    </row>
    <row r="1152" spans="1:12" ht="16" x14ac:dyDescent="0.2">
      <c r="A1152" s="20" t="s">
        <v>8360</v>
      </c>
      <c r="B1152" s="20" t="s">
        <v>8361</v>
      </c>
      <c r="C1152" s="20" t="s">
        <v>3774</v>
      </c>
      <c r="D1152" s="20" t="s">
        <v>8362</v>
      </c>
      <c r="E1152" s="20" t="s">
        <v>8363</v>
      </c>
      <c r="F1152" s="20" t="s">
        <v>3492</v>
      </c>
      <c r="G1152" s="20" t="s">
        <v>3777</v>
      </c>
      <c r="H1152" s="20" t="s">
        <v>6</v>
      </c>
      <c r="I1152" s="39">
        <v>44764.474190277775</v>
      </c>
      <c r="J1152" s="39">
        <v>44764.474190324072</v>
      </c>
      <c r="K1152" s="20">
        <v>0</v>
      </c>
      <c r="L1152" s="17" t="str">
        <f t="shared" si="17"/>
        <v>https://captureandgo.cloudlab.zhaw.ch/uploads/image_0561a8703e.jpg</v>
      </c>
    </row>
    <row r="1153" spans="1:12" ht="16" x14ac:dyDescent="0.2">
      <c r="A1153" s="20" t="s">
        <v>8364</v>
      </c>
      <c r="B1153" s="20" t="s">
        <v>8365</v>
      </c>
      <c r="C1153" s="20" t="s">
        <v>3774</v>
      </c>
      <c r="D1153" s="20" t="s">
        <v>8366</v>
      </c>
      <c r="E1153" s="20" t="s">
        <v>8367</v>
      </c>
      <c r="F1153" s="20" t="s">
        <v>3495</v>
      </c>
      <c r="G1153" s="20" t="s">
        <v>3777</v>
      </c>
      <c r="H1153" s="20" t="s">
        <v>6</v>
      </c>
      <c r="I1153" s="39">
        <v>44764.477789722223</v>
      </c>
      <c r="J1153" s="39">
        <v>44764.47778976852</v>
      </c>
      <c r="K1153" s="20">
        <v>0</v>
      </c>
      <c r="L1153" s="17" t="str">
        <f t="shared" si="17"/>
        <v>https://captureandgo.cloudlab.zhaw.ch/uploads/image_d85ca1cf4d.jpg</v>
      </c>
    </row>
    <row r="1154" spans="1:12" ht="16" x14ac:dyDescent="0.2">
      <c r="A1154" s="20" t="s">
        <v>8368</v>
      </c>
      <c r="B1154" s="20" t="s">
        <v>8369</v>
      </c>
      <c r="C1154" s="20" t="s">
        <v>3774</v>
      </c>
      <c r="D1154" s="20" t="s">
        <v>8370</v>
      </c>
      <c r="E1154" s="20" t="s">
        <v>8371</v>
      </c>
      <c r="F1154" s="20" t="s">
        <v>3500</v>
      </c>
      <c r="G1154" s="20" t="s">
        <v>3777</v>
      </c>
      <c r="H1154" s="20" t="s">
        <v>6</v>
      </c>
      <c r="I1154" s="39">
        <v>44769.38729770833</v>
      </c>
      <c r="J1154" s="39">
        <v>44769.387298229165</v>
      </c>
      <c r="K1154" s="20">
        <v>0</v>
      </c>
      <c r="L1154" s="17" t="str">
        <f t="shared" ref="L1154:L1217" si="18">HYPERLINK("https://captureandgo.cloudlab.zhaw.ch"&amp;B1154)</f>
        <v>https://captureandgo.cloudlab.zhaw.ch/uploads/image_e869db83da.jpg</v>
      </c>
    </row>
    <row r="1155" spans="1:12" ht="16" x14ac:dyDescent="0.2">
      <c r="A1155" s="20" t="s">
        <v>8372</v>
      </c>
      <c r="B1155" s="20" t="s">
        <v>8373</v>
      </c>
      <c r="C1155" s="20" t="s">
        <v>3774</v>
      </c>
      <c r="D1155" s="20" t="s">
        <v>8374</v>
      </c>
      <c r="E1155" s="20" t="s">
        <v>8375</v>
      </c>
      <c r="F1155" s="20" t="s">
        <v>3503</v>
      </c>
      <c r="G1155" s="20" t="s">
        <v>3777</v>
      </c>
      <c r="H1155" s="20" t="s">
        <v>6</v>
      </c>
      <c r="I1155" s="39">
        <v>44769.388183657407</v>
      </c>
      <c r="J1155" s="39">
        <v>44769.388183726849</v>
      </c>
      <c r="K1155" s="20">
        <v>0</v>
      </c>
      <c r="L1155" s="17" t="str">
        <f t="shared" si="18"/>
        <v>https://captureandgo.cloudlab.zhaw.ch/uploads/image_f30322d4a1.jpg</v>
      </c>
    </row>
    <row r="1156" spans="1:12" ht="16" x14ac:dyDescent="0.2">
      <c r="A1156" s="20" t="s">
        <v>8376</v>
      </c>
      <c r="B1156" s="20" t="s">
        <v>8377</v>
      </c>
      <c r="C1156" s="20" t="s">
        <v>3774</v>
      </c>
      <c r="D1156" s="20" t="s">
        <v>8378</v>
      </c>
      <c r="E1156" s="20" t="s">
        <v>8379</v>
      </c>
      <c r="F1156" s="20" t="s">
        <v>3506</v>
      </c>
      <c r="G1156" s="20" t="s">
        <v>3777</v>
      </c>
      <c r="H1156" s="20" t="s">
        <v>6</v>
      </c>
      <c r="I1156" s="39">
        <v>44769.388987812497</v>
      </c>
      <c r="J1156" s="39">
        <v>44769.388987858794</v>
      </c>
      <c r="K1156" s="20">
        <v>0</v>
      </c>
      <c r="L1156" s="17" t="str">
        <f t="shared" si="18"/>
        <v>https://captureandgo.cloudlab.zhaw.ch/uploads/image_7a558713ca.jpg</v>
      </c>
    </row>
    <row r="1157" spans="1:12" ht="16" x14ac:dyDescent="0.2">
      <c r="A1157" s="20" t="s">
        <v>8380</v>
      </c>
      <c r="B1157" s="20" t="s">
        <v>8381</v>
      </c>
      <c r="C1157" s="20" t="s">
        <v>3774</v>
      </c>
      <c r="D1157" s="20" t="s">
        <v>8382</v>
      </c>
      <c r="E1157" s="20" t="s">
        <v>8383</v>
      </c>
      <c r="F1157" s="20" t="s">
        <v>3509</v>
      </c>
      <c r="G1157" s="20" t="s">
        <v>3777</v>
      </c>
      <c r="H1157" s="20" t="s">
        <v>6</v>
      </c>
      <c r="I1157" s="39">
        <v>44769.38977952546</v>
      </c>
      <c r="J1157" s="39">
        <v>44769.389779571757</v>
      </c>
      <c r="K1157" s="20">
        <v>0</v>
      </c>
      <c r="L1157" s="17" t="str">
        <f t="shared" si="18"/>
        <v>https://captureandgo.cloudlab.zhaw.ch/uploads/image_1e99f85993.jpg</v>
      </c>
    </row>
    <row r="1158" spans="1:12" ht="16" x14ac:dyDescent="0.2">
      <c r="A1158" s="20" t="s">
        <v>8384</v>
      </c>
      <c r="B1158" s="20" t="s">
        <v>8385</v>
      </c>
      <c r="C1158" s="20" t="s">
        <v>3774</v>
      </c>
      <c r="D1158" s="20" t="s">
        <v>8386</v>
      </c>
      <c r="E1158" s="20" t="s">
        <v>8387</v>
      </c>
      <c r="F1158" s="20" t="s">
        <v>3513</v>
      </c>
      <c r="G1158" s="20" t="s">
        <v>3777</v>
      </c>
      <c r="H1158" s="20" t="s">
        <v>6</v>
      </c>
      <c r="I1158" s="39">
        <v>44769.391772210649</v>
      </c>
      <c r="J1158" s="39">
        <v>44769.391772256946</v>
      </c>
      <c r="K1158" s="20">
        <v>0</v>
      </c>
      <c r="L1158" s="17" t="str">
        <f t="shared" si="18"/>
        <v>https://captureandgo.cloudlab.zhaw.ch/uploads/image_11e2c9f5e8.jpg</v>
      </c>
    </row>
    <row r="1159" spans="1:12" ht="16" x14ac:dyDescent="0.2">
      <c r="A1159" s="20" t="s">
        <v>8388</v>
      </c>
      <c r="B1159" s="20" t="s">
        <v>8389</v>
      </c>
      <c r="C1159" s="20" t="s">
        <v>3774</v>
      </c>
      <c r="D1159" s="20" t="s">
        <v>8390</v>
      </c>
      <c r="E1159" s="20" t="s">
        <v>8391</v>
      </c>
      <c r="F1159" s="20" t="s">
        <v>3517</v>
      </c>
      <c r="G1159" s="20" t="s">
        <v>3777</v>
      </c>
      <c r="H1159" s="20" t="s">
        <v>6</v>
      </c>
      <c r="I1159" s="39">
        <v>44769.39280065972</v>
      </c>
      <c r="J1159" s="39">
        <v>44769.392800706017</v>
      </c>
      <c r="K1159" s="20">
        <v>0</v>
      </c>
      <c r="L1159" s="17" t="str">
        <f t="shared" si="18"/>
        <v>https://captureandgo.cloudlab.zhaw.ch/uploads/image_445d324161.jpg</v>
      </c>
    </row>
    <row r="1160" spans="1:12" ht="16" x14ac:dyDescent="0.2">
      <c r="A1160" s="20" t="s">
        <v>8392</v>
      </c>
      <c r="B1160" s="20" t="s">
        <v>8393</v>
      </c>
      <c r="C1160" s="20" t="s">
        <v>3774</v>
      </c>
      <c r="D1160" s="20" t="s">
        <v>8394</v>
      </c>
      <c r="E1160" s="20" t="s">
        <v>8395</v>
      </c>
      <c r="F1160" s="20" t="s">
        <v>3521</v>
      </c>
      <c r="G1160" s="20" t="s">
        <v>3777</v>
      </c>
      <c r="H1160" s="20" t="s">
        <v>6</v>
      </c>
      <c r="I1160" s="39">
        <v>44769.393893252316</v>
      </c>
      <c r="J1160" s="39">
        <v>44769.393893287037</v>
      </c>
      <c r="K1160" s="20">
        <v>0</v>
      </c>
      <c r="L1160" s="17" t="str">
        <f t="shared" si="18"/>
        <v>https://captureandgo.cloudlab.zhaw.ch/uploads/image_47dd5c8571.jpg</v>
      </c>
    </row>
    <row r="1161" spans="1:12" ht="16" x14ac:dyDescent="0.2">
      <c r="A1161" s="20" t="s">
        <v>8396</v>
      </c>
      <c r="B1161" s="20" t="s">
        <v>8397</v>
      </c>
      <c r="C1161" s="20" t="s">
        <v>3774</v>
      </c>
      <c r="D1161" s="20" t="s">
        <v>8398</v>
      </c>
      <c r="E1161" s="20" t="s">
        <v>8399</v>
      </c>
      <c r="F1161" s="20" t="s">
        <v>3525</v>
      </c>
      <c r="G1161" s="20" t="s">
        <v>3777</v>
      </c>
      <c r="H1161" s="20" t="s">
        <v>6</v>
      </c>
      <c r="I1161" s="39">
        <v>44769.394265474541</v>
      </c>
      <c r="J1161" s="39">
        <v>44769.394265532406</v>
      </c>
      <c r="K1161" s="20">
        <v>0</v>
      </c>
      <c r="L1161" s="17" t="str">
        <f t="shared" si="18"/>
        <v>https://captureandgo.cloudlab.zhaw.ch/uploads/image_6ede3fb158.jpg</v>
      </c>
    </row>
    <row r="1162" spans="1:12" ht="16" x14ac:dyDescent="0.2">
      <c r="A1162" s="20" t="s">
        <v>8400</v>
      </c>
      <c r="B1162" s="20" t="s">
        <v>8401</v>
      </c>
      <c r="C1162" s="20" t="s">
        <v>3774</v>
      </c>
      <c r="D1162" s="20" t="s">
        <v>8402</v>
      </c>
      <c r="E1162" s="20" t="s">
        <v>8403</v>
      </c>
      <c r="F1162" s="20" t="s">
        <v>3528</v>
      </c>
      <c r="G1162" s="20" t="s">
        <v>3777</v>
      </c>
      <c r="H1162" s="20" t="s">
        <v>6</v>
      </c>
      <c r="I1162" s="39">
        <v>44769.394914085649</v>
      </c>
      <c r="J1162" s="39">
        <v>44769.39491412037</v>
      </c>
      <c r="K1162" s="20">
        <v>0</v>
      </c>
      <c r="L1162" s="17" t="str">
        <f t="shared" si="18"/>
        <v>https://captureandgo.cloudlab.zhaw.ch/uploads/image_44571de4b0.jpg</v>
      </c>
    </row>
    <row r="1163" spans="1:12" ht="16" x14ac:dyDescent="0.2">
      <c r="A1163" s="20" t="s">
        <v>8404</v>
      </c>
      <c r="B1163" s="20" t="s">
        <v>8405</v>
      </c>
      <c r="C1163" s="20" t="s">
        <v>3774</v>
      </c>
      <c r="D1163" s="20" t="s">
        <v>8406</v>
      </c>
      <c r="E1163" s="20" t="s">
        <v>8407</v>
      </c>
      <c r="F1163" s="20" t="s">
        <v>3531</v>
      </c>
      <c r="G1163" s="20" t="s">
        <v>3777</v>
      </c>
      <c r="H1163" s="20" t="s">
        <v>6</v>
      </c>
      <c r="I1163" s="39">
        <v>44769.396370011571</v>
      </c>
      <c r="J1163" s="39">
        <v>44769.396370057868</v>
      </c>
      <c r="K1163" s="20">
        <v>0</v>
      </c>
      <c r="L1163" s="17" t="str">
        <f t="shared" si="18"/>
        <v>https://captureandgo.cloudlab.zhaw.ch/uploads/image_5f6ad9164f.jpg</v>
      </c>
    </row>
    <row r="1164" spans="1:12" ht="16" x14ac:dyDescent="0.2">
      <c r="A1164" s="20" t="s">
        <v>8408</v>
      </c>
      <c r="B1164" s="20" t="s">
        <v>8409</v>
      </c>
      <c r="C1164" s="20" t="s">
        <v>3774</v>
      </c>
      <c r="D1164" s="20" t="s">
        <v>8410</v>
      </c>
      <c r="E1164" s="20" t="s">
        <v>8411</v>
      </c>
      <c r="F1164" s="20" t="s">
        <v>3531</v>
      </c>
      <c r="G1164" s="20" t="s">
        <v>3777</v>
      </c>
      <c r="H1164" s="20" t="s">
        <v>6</v>
      </c>
      <c r="I1164" s="39">
        <v>44769.396450069442</v>
      </c>
      <c r="J1164" s="39">
        <v>44769.39645010417</v>
      </c>
      <c r="K1164" s="20">
        <v>0</v>
      </c>
      <c r="L1164" s="17" t="str">
        <f t="shared" si="18"/>
        <v>https://captureandgo.cloudlab.zhaw.ch/uploads/image_1313b36c01.jpg</v>
      </c>
    </row>
    <row r="1165" spans="1:12" ht="16" x14ac:dyDescent="0.2">
      <c r="A1165" s="20" t="s">
        <v>8412</v>
      </c>
      <c r="B1165" s="20" t="s">
        <v>8413</v>
      </c>
      <c r="C1165" s="20" t="s">
        <v>3774</v>
      </c>
      <c r="D1165" s="20" t="s">
        <v>8414</v>
      </c>
      <c r="E1165" s="20" t="s">
        <v>8415</v>
      </c>
      <c r="F1165" s="20" t="s">
        <v>3531</v>
      </c>
      <c r="G1165" s="20" t="s">
        <v>3777</v>
      </c>
      <c r="H1165" s="20" t="s">
        <v>6</v>
      </c>
      <c r="I1165" s="39">
        <v>44769.396461365737</v>
      </c>
      <c r="J1165" s="39">
        <v>44769.396461469907</v>
      </c>
      <c r="K1165" s="20">
        <v>0</v>
      </c>
      <c r="L1165" s="17" t="str">
        <f t="shared" si="18"/>
        <v>https://captureandgo.cloudlab.zhaw.ch/uploads/image_4dda1c22e2.jpg</v>
      </c>
    </row>
    <row r="1166" spans="1:12" ht="16" x14ac:dyDescent="0.2">
      <c r="A1166" s="20" t="s">
        <v>8416</v>
      </c>
      <c r="B1166" s="20" t="s">
        <v>8417</v>
      </c>
      <c r="C1166" s="20" t="s">
        <v>3774</v>
      </c>
      <c r="D1166" s="20" t="s">
        <v>8418</v>
      </c>
      <c r="E1166" s="20" t="s">
        <v>8419</v>
      </c>
      <c r="F1166" s="20" t="s">
        <v>3535</v>
      </c>
      <c r="G1166" s="20" t="s">
        <v>3777</v>
      </c>
      <c r="H1166" s="20" t="s">
        <v>6</v>
      </c>
      <c r="I1166" s="39">
        <v>44769.406918275461</v>
      </c>
      <c r="J1166" s="39">
        <v>44769.406918333334</v>
      </c>
      <c r="K1166" s="20">
        <v>0</v>
      </c>
      <c r="L1166" s="17" t="str">
        <f t="shared" si="18"/>
        <v>https://captureandgo.cloudlab.zhaw.ch/uploads/image_4c1e301119.jpg</v>
      </c>
    </row>
    <row r="1167" spans="1:12" ht="16" x14ac:dyDescent="0.2">
      <c r="A1167" s="20" t="s">
        <v>8420</v>
      </c>
      <c r="B1167" s="20" t="s">
        <v>8421</v>
      </c>
      <c r="C1167" s="20" t="s">
        <v>3774</v>
      </c>
      <c r="D1167" s="20" t="s">
        <v>8422</v>
      </c>
      <c r="E1167" s="20" t="s">
        <v>8423</v>
      </c>
      <c r="F1167" s="20" t="s">
        <v>3538</v>
      </c>
      <c r="G1167" s="20" t="s">
        <v>3777</v>
      </c>
      <c r="H1167" s="20" t="s">
        <v>6</v>
      </c>
      <c r="I1167" s="39">
        <v>44769.407492523147</v>
      </c>
      <c r="J1167" s="39">
        <v>44769.407492569444</v>
      </c>
      <c r="K1167" s="20">
        <v>0</v>
      </c>
      <c r="L1167" s="17" t="str">
        <f t="shared" si="18"/>
        <v>https://captureandgo.cloudlab.zhaw.ch/uploads/image_14dc808dad.jpg</v>
      </c>
    </row>
    <row r="1168" spans="1:12" ht="16" x14ac:dyDescent="0.2">
      <c r="A1168" s="20" t="s">
        <v>8424</v>
      </c>
      <c r="B1168" s="20" t="s">
        <v>8425</v>
      </c>
      <c r="C1168" s="20" t="s">
        <v>3774</v>
      </c>
      <c r="D1168" s="20" t="s">
        <v>8426</v>
      </c>
      <c r="E1168" s="20" t="s">
        <v>8427</v>
      </c>
      <c r="F1168" s="20" t="s">
        <v>3541</v>
      </c>
      <c r="G1168" s="20" t="s">
        <v>3777</v>
      </c>
      <c r="H1168" s="20" t="s">
        <v>6</v>
      </c>
      <c r="I1168" s="39">
        <v>44769.40842284722</v>
      </c>
      <c r="J1168" s="39">
        <v>44769.408422881941</v>
      </c>
      <c r="K1168" s="20">
        <v>0</v>
      </c>
      <c r="L1168" s="17" t="str">
        <f t="shared" si="18"/>
        <v>https://captureandgo.cloudlab.zhaw.ch/uploads/image_0797b9faac.jpg</v>
      </c>
    </row>
    <row r="1169" spans="1:12" ht="16" x14ac:dyDescent="0.2">
      <c r="A1169" s="20" t="s">
        <v>8428</v>
      </c>
      <c r="B1169" s="20" t="s">
        <v>8429</v>
      </c>
      <c r="C1169" s="20" t="s">
        <v>3774</v>
      </c>
      <c r="D1169" s="20" t="s">
        <v>8430</v>
      </c>
      <c r="E1169" s="20" t="s">
        <v>8431</v>
      </c>
      <c r="F1169" s="20" t="s">
        <v>3544</v>
      </c>
      <c r="G1169" s="20" t="s">
        <v>3777</v>
      </c>
      <c r="H1169" s="20" t="s">
        <v>6</v>
      </c>
      <c r="I1169" s="39">
        <v>44769.408955300925</v>
      </c>
      <c r="J1169" s="39">
        <v>44769.408955335646</v>
      </c>
      <c r="K1169" s="20">
        <v>0</v>
      </c>
      <c r="L1169" s="17" t="str">
        <f t="shared" si="18"/>
        <v>https://captureandgo.cloudlab.zhaw.ch/uploads/image_149faac7c7.jpg</v>
      </c>
    </row>
    <row r="1170" spans="1:12" ht="16" x14ac:dyDescent="0.2">
      <c r="A1170" s="20" t="s">
        <v>8432</v>
      </c>
      <c r="B1170" s="20" t="s">
        <v>8433</v>
      </c>
      <c r="C1170" s="20" t="s">
        <v>3774</v>
      </c>
      <c r="D1170" s="20" t="s">
        <v>8434</v>
      </c>
      <c r="E1170" s="20" t="s">
        <v>8435</v>
      </c>
      <c r="F1170" s="20" t="s">
        <v>3544</v>
      </c>
      <c r="G1170" s="20" t="s">
        <v>3777</v>
      </c>
      <c r="H1170" s="20" t="s">
        <v>6</v>
      </c>
      <c r="I1170" s="39">
        <v>44769.409050324073</v>
      </c>
      <c r="J1170" s="39">
        <v>44769.40905037037</v>
      </c>
      <c r="K1170" s="20">
        <v>0</v>
      </c>
      <c r="L1170" s="17" t="str">
        <f t="shared" si="18"/>
        <v>https://captureandgo.cloudlab.zhaw.ch/uploads/image_4f2a3f1ba5.jpg</v>
      </c>
    </row>
    <row r="1171" spans="1:12" ht="16" x14ac:dyDescent="0.2">
      <c r="A1171" s="20" t="s">
        <v>8436</v>
      </c>
      <c r="B1171" s="20" t="s">
        <v>8437</v>
      </c>
      <c r="C1171" s="20" t="s">
        <v>3774</v>
      </c>
      <c r="D1171" s="20" t="s">
        <v>8438</v>
      </c>
      <c r="E1171" s="20" t="s">
        <v>8439</v>
      </c>
      <c r="F1171" s="20" t="s">
        <v>3544</v>
      </c>
      <c r="G1171" s="20" t="s">
        <v>3777</v>
      </c>
      <c r="H1171" s="20" t="s">
        <v>6</v>
      </c>
      <c r="I1171" s="39">
        <v>44769.409114664355</v>
      </c>
      <c r="J1171" s="39">
        <v>44769.409114722221</v>
      </c>
      <c r="K1171" s="20">
        <v>0</v>
      </c>
      <c r="L1171" s="17" t="str">
        <f t="shared" si="18"/>
        <v>https://captureandgo.cloudlab.zhaw.ch/uploads/image_c48b894691.jpg</v>
      </c>
    </row>
    <row r="1172" spans="1:12" ht="16" x14ac:dyDescent="0.2">
      <c r="A1172" s="20" t="s">
        <v>8440</v>
      </c>
      <c r="B1172" s="20" t="s">
        <v>8441</v>
      </c>
      <c r="C1172" s="20" t="s">
        <v>3774</v>
      </c>
      <c r="D1172" s="20" t="s">
        <v>8442</v>
      </c>
      <c r="E1172" s="20" t="s">
        <v>8443</v>
      </c>
      <c r="F1172" s="20" t="s">
        <v>3547</v>
      </c>
      <c r="G1172" s="20" t="s">
        <v>3777</v>
      </c>
      <c r="H1172" s="20" t="s">
        <v>6</v>
      </c>
      <c r="I1172" s="39">
        <v>44769.409310810188</v>
      </c>
      <c r="J1172" s="39">
        <v>44769.409310844909</v>
      </c>
      <c r="K1172" s="20">
        <v>0</v>
      </c>
      <c r="L1172" s="17" t="str">
        <f t="shared" si="18"/>
        <v>https://captureandgo.cloudlab.zhaw.ch/uploads/image_af3940e65e.jpg</v>
      </c>
    </row>
    <row r="1173" spans="1:12" ht="16" x14ac:dyDescent="0.2">
      <c r="A1173" s="20" t="s">
        <v>8444</v>
      </c>
      <c r="B1173" s="20" t="s">
        <v>8445</v>
      </c>
      <c r="C1173" s="20" t="s">
        <v>3774</v>
      </c>
      <c r="D1173" s="20" t="s">
        <v>8446</v>
      </c>
      <c r="E1173" s="20" t="s">
        <v>8447</v>
      </c>
      <c r="F1173" s="20" t="s">
        <v>3550</v>
      </c>
      <c r="G1173" s="20" t="s">
        <v>3777</v>
      </c>
      <c r="H1173" s="20" t="s">
        <v>6</v>
      </c>
      <c r="I1173" s="39">
        <v>44769.410088495373</v>
      </c>
      <c r="J1173" s="39">
        <v>44769.410088553239</v>
      </c>
      <c r="K1173" s="20">
        <v>0</v>
      </c>
      <c r="L1173" s="17" t="str">
        <f t="shared" si="18"/>
        <v>https://captureandgo.cloudlab.zhaw.ch/uploads/image_6b04ebbf83.jpg</v>
      </c>
    </row>
    <row r="1174" spans="1:12" ht="16" x14ac:dyDescent="0.2">
      <c r="A1174" s="20" t="s">
        <v>8448</v>
      </c>
      <c r="B1174" s="20" t="s">
        <v>8449</v>
      </c>
      <c r="C1174" s="20" t="s">
        <v>3774</v>
      </c>
      <c r="D1174" s="20" t="s">
        <v>8450</v>
      </c>
      <c r="E1174" s="20" t="s">
        <v>8451</v>
      </c>
      <c r="F1174" s="20" t="s">
        <v>3553</v>
      </c>
      <c r="G1174" s="20" t="s">
        <v>3777</v>
      </c>
      <c r="H1174" s="20" t="s">
        <v>6</v>
      </c>
      <c r="I1174" s="39">
        <v>44769.411538958331</v>
      </c>
      <c r="J1174" s="39">
        <v>44769.41153902778</v>
      </c>
      <c r="K1174" s="20">
        <v>0</v>
      </c>
      <c r="L1174" s="17" t="str">
        <f t="shared" si="18"/>
        <v>https://captureandgo.cloudlab.zhaw.ch/uploads/image_78f04549d7.jpg</v>
      </c>
    </row>
    <row r="1175" spans="1:12" ht="16" x14ac:dyDescent="0.2">
      <c r="A1175" s="20" t="s">
        <v>8452</v>
      </c>
      <c r="B1175" s="20" t="s">
        <v>8453</v>
      </c>
      <c r="C1175" s="20" t="s">
        <v>3774</v>
      </c>
      <c r="D1175" s="20" t="s">
        <v>8454</v>
      </c>
      <c r="E1175" s="20" t="s">
        <v>8455</v>
      </c>
      <c r="F1175" s="20" t="s">
        <v>3556</v>
      </c>
      <c r="G1175" s="20" t="s">
        <v>3777</v>
      </c>
      <c r="H1175" s="20" t="s">
        <v>6</v>
      </c>
      <c r="I1175" s="39">
        <v>44769.412376400462</v>
      </c>
      <c r="J1175" s="39">
        <v>44769.412376458335</v>
      </c>
      <c r="K1175" s="20">
        <v>0</v>
      </c>
      <c r="L1175" s="17" t="str">
        <f t="shared" si="18"/>
        <v>https://captureandgo.cloudlab.zhaw.ch/uploads/image_620e0d6bb1.jpg</v>
      </c>
    </row>
    <row r="1176" spans="1:12" ht="16" x14ac:dyDescent="0.2">
      <c r="A1176" s="20" t="s">
        <v>8456</v>
      </c>
      <c r="B1176" s="20" t="s">
        <v>8457</v>
      </c>
      <c r="C1176" s="20" t="s">
        <v>3774</v>
      </c>
      <c r="D1176" s="20" t="s">
        <v>8458</v>
      </c>
      <c r="E1176" s="20" t="s">
        <v>8459</v>
      </c>
      <c r="F1176" s="20" t="s">
        <v>3560</v>
      </c>
      <c r="G1176" s="20" t="s">
        <v>3777</v>
      </c>
      <c r="H1176" s="20" t="s">
        <v>6</v>
      </c>
      <c r="I1176" s="39">
        <v>44769.41324577546</v>
      </c>
      <c r="J1176" s="39">
        <v>44769.413245821757</v>
      </c>
      <c r="K1176" s="20">
        <v>0</v>
      </c>
      <c r="L1176" s="17" t="str">
        <f t="shared" si="18"/>
        <v>https://captureandgo.cloudlab.zhaw.ch/uploads/image_7fd3a27ccd.jpg</v>
      </c>
    </row>
    <row r="1177" spans="1:12" ht="16" x14ac:dyDescent="0.2">
      <c r="A1177" s="20" t="s">
        <v>8460</v>
      </c>
      <c r="B1177" s="20" t="s">
        <v>8461</v>
      </c>
      <c r="C1177" s="20" t="s">
        <v>3774</v>
      </c>
      <c r="D1177" s="20" t="s">
        <v>8462</v>
      </c>
      <c r="E1177" s="20" t="s">
        <v>8463</v>
      </c>
      <c r="F1177" s="20" t="s">
        <v>3563</v>
      </c>
      <c r="G1177" s="20" t="s">
        <v>3777</v>
      </c>
      <c r="H1177" s="20" t="s">
        <v>6</v>
      </c>
      <c r="I1177" s="39">
        <v>44769.414267430555</v>
      </c>
      <c r="J1177" s="39">
        <v>44769.414267465276</v>
      </c>
      <c r="K1177" s="20">
        <v>0</v>
      </c>
      <c r="L1177" s="17" t="str">
        <f t="shared" si="18"/>
        <v>https://captureandgo.cloudlab.zhaw.ch/uploads/image_992cd63cc8.jpg</v>
      </c>
    </row>
    <row r="1178" spans="1:12" ht="16" x14ac:dyDescent="0.2">
      <c r="A1178" s="20" t="s">
        <v>8464</v>
      </c>
      <c r="B1178" s="20" t="s">
        <v>8465</v>
      </c>
      <c r="C1178" s="20" t="s">
        <v>3774</v>
      </c>
      <c r="D1178" s="20" t="s">
        <v>8466</v>
      </c>
      <c r="E1178" s="20" t="s">
        <v>8467</v>
      </c>
      <c r="F1178" s="20" t="s">
        <v>3567</v>
      </c>
      <c r="G1178" s="20" t="s">
        <v>3777</v>
      </c>
      <c r="H1178" s="20" t="s">
        <v>6</v>
      </c>
      <c r="I1178" s="39">
        <v>44769.415223460652</v>
      </c>
      <c r="J1178" s="39">
        <v>44769.415223506941</v>
      </c>
      <c r="K1178" s="20">
        <v>0</v>
      </c>
      <c r="L1178" s="17" t="str">
        <f t="shared" si="18"/>
        <v>https://captureandgo.cloudlab.zhaw.ch/uploads/image_670d694eb7.jpg</v>
      </c>
    </row>
    <row r="1179" spans="1:12" ht="16" x14ac:dyDescent="0.2">
      <c r="A1179" s="20" t="s">
        <v>8468</v>
      </c>
      <c r="B1179" s="20" t="s">
        <v>8469</v>
      </c>
      <c r="C1179" s="20" t="s">
        <v>3774</v>
      </c>
      <c r="D1179" s="20" t="s">
        <v>8470</v>
      </c>
      <c r="E1179" s="20" t="s">
        <v>8471</v>
      </c>
      <c r="F1179" s="20" t="s">
        <v>3570</v>
      </c>
      <c r="G1179" s="20" t="s">
        <v>3777</v>
      </c>
      <c r="H1179" s="20" t="s">
        <v>6</v>
      </c>
      <c r="I1179" s="39">
        <v>44769.415582557871</v>
      </c>
      <c r="J1179" s="39">
        <v>44769.415582604168</v>
      </c>
      <c r="K1179" s="20">
        <v>0</v>
      </c>
      <c r="L1179" s="17" t="str">
        <f t="shared" si="18"/>
        <v>https://captureandgo.cloudlab.zhaw.ch/uploads/image_d38a4c4bf4.jpg</v>
      </c>
    </row>
    <row r="1180" spans="1:12" ht="16" x14ac:dyDescent="0.2">
      <c r="A1180" s="20" t="s">
        <v>8472</v>
      </c>
      <c r="B1180" s="20" t="s">
        <v>8473</v>
      </c>
      <c r="C1180" s="20" t="s">
        <v>3774</v>
      </c>
      <c r="D1180" s="20" t="s">
        <v>8474</v>
      </c>
      <c r="E1180" s="20" t="s">
        <v>8475</v>
      </c>
      <c r="F1180" s="20" t="s">
        <v>3574</v>
      </c>
      <c r="G1180" s="20" t="s">
        <v>3777</v>
      </c>
      <c r="H1180" s="20" t="s">
        <v>6</v>
      </c>
      <c r="I1180" s="39">
        <v>44769.416691932871</v>
      </c>
      <c r="J1180" s="39">
        <v>44769.416691979168</v>
      </c>
      <c r="K1180" s="20">
        <v>0</v>
      </c>
      <c r="L1180" s="17" t="str">
        <f t="shared" si="18"/>
        <v>https://captureandgo.cloudlab.zhaw.ch/uploads/image_c73771031f.jpg</v>
      </c>
    </row>
    <row r="1181" spans="1:12" ht="16" x14ac:dyDescent="0.2">
      <c r="A1181" s="20" t="s">
        <v>8476</v>
      </c>
      <c r="B1181" s="20" t="s">
        <v>8477</v>
      </c>
      <c r="C1181" s="20" t="s">
        <v>3774</v>
      </c>
      <c r="D1181" s="20" t="s">
        <v>8478</v>
      </c>
      <c r="E1181" s="20" t="s">
        <v>8479</v>
      </c>
      <c r="F1181" s="20" t="s">
        <v>3578</v>
      </c>
      <c r="G1181" s="20" t="s">
        <v>3777</v>
      </c>
      <c r="H1181" s="20" t="s">
        <v>6</v>
      </c>
      <c r="I1181" s="39">
        <v>44769.417525231482</v>
      </c>
      <c r="J1181" s="39">
        <v>44769.417525266203</v>
      </c>
      <c r="K1181" s="20">
        <v>0</v>
      </c>
      <c r="L1181" s="17" t="str">
        <f t="shared" si="18"/>
        <v>https://captureandgo.cloudlab.zhaw.ch/uploads/image_97e17abbe7.jpg</v>
      </c>
    </row>
    <row r="1182" spans="1:12" ht="16" x14ac:dyDescent="0.2">
      <c r="A1182" s="20" t="s">
        <v>8480</v>
      </c>
      <c r="B1182" s="20" t="s">
        <v>8481</v>
      </c>
      <c r="C1182" s="20" t="s">
        <v>3774</v>
      </c>
      <c r="D1182" s="20" t="s">
        <v>8482</v>
      </c>
      <c r="E1182" s="20" t="s">
        <v>8483</v>
      </c>
      <c r="F1182" s="20" t="s">
        <v>3581</v>
      </c>
      <c r="G1182" s="20" t="s">
        <v>3777</v>
      </c>
      <c r="H1182" s="20" t="s">
        <v>6</v>
      </c>
      <c r="I1182" s="39">
        <v>44769.418494641206</v>
      </c>
      <c r="J1182" s="39">
        <v>44769.418494687503</v>
      </c>
      <c r="K1182" s="20">
        <v>0</v>
      </c>
      <c r="L1182" s="17" t="str">
        <f t="shared" si="18"/>
        <v>https://captureandgo.cloudlab.zhaw.ch/uploads/image_8052a4fe15.jpg</v>
      </c>
    </row>
    <row r="1183" spans="1:12" ht="16" x14ac:dyDescent="0.2">
      <c r="A1183" s="20" t="s">
        <v>8484</v>
      </c>
      <c r="B1183" s="20" t="s">
        <v>8485</v>
      </c>
      <c r="C1183" s="20" t="s">
        <v>3774</v>
      </c>
      <c r="D1183" s="20" t="s">
        <v>8486</v>
      </c>
      <c r="E1183" s="20" t="s">
        <v>8487</v>
      </c>
      <c r="F1183" s="20" t="s">
        <v>3584</v>
      </c>
      <c r="G1183" s="20" t="s">
        <v>3777</v>
      </c>
      <c r="H1183" s="20" t="s">
        <v>6</v>
      </c>
      <c r="I1183" s="39">
        <v>44769.419147731482</v>
      </c>
      <c r="J1183" s="39">
        <v>44769.419147766203</v>
      </c>
      <c r="K1183" s="20">
        <v>0</v>
      </c>
      <c r="L1183" s="17" t="str">
        <f t="shared" si="18"/>
        <v>https://captureandgo.cloudlab.zhaw.ch/uploads/image_27309cd7d6.jpg</v>
      </c>
    </row>
    <row r="1184" spans="1:12" ht="16" x14ac:dyDescent="0.2">
      <c r="A1184" s="20" t="s">
        <v>8488</v>
      </c>
      <c r="B1184" s="20" t="s">
        <v>8489</v>
      </c>
      <c r="C1184" s="20" t="s">
        <v>3774</v>
      </c>
      <c r="D1184" s="20" t="s">
        <v>8490</v>
      </c>
      <c r="E1184" s="20" t="s">
        <v>8491</v>
      </c>
      <c r="F1184" s="20" t="s">
        <v>3587</v>
      </c>
      <c r="G1184" s="20" t="s">
        <v>3777</v>
      </c>
      <c r="H1184" s="20" t="s">
        <v>6</v>
      </c>
      <c r="I1184" s="39">
        <v>44769.419466203704</v>
      </c>
      <c r="J1184" s="39">
        <v>44769.419466238425</v>
      </c>
      <c r="K1184" s="20">
        <v>0</v>
      </c>
      <c r="L1184" s="17" t="str">
        <f t="shared" si="18"/>
        <v>https://captureandgo.cloudlab.zhaw.ch/uploads/image_2f09607a6f.jpg</v>
      </c>
    </row>
    <row r="1185" spans="1:12" ht="16" x14ac:dyDescent="0.2">
      <c r="A1185" s="20" t="s">
        <v>8492</v>
      </c>
      <c r="B1185" s="20" t="s">
        <v>8493</v>
      </c>
      <c r="C1185" s="20" t="s">
        <v>3774</v>
      </c>
      <c r="D1185" s="20" t="s">
        <v>8494</v>
      </c>
      <c r="E1185" s="20" t="s">
        <v>8495</v>
      </c>
      <c r="F1185" s="20" t="s">
        <v>3587</v>
      </c>
      <c r="G1185" s="20" t="s">
        <v>3777</v>
      </c>
      <c r="H1185" s="20" t="s">
        <v>6</v>
      </c>
      <c r="I1185" s="39">
        <v>44769.419741516205</v>
      </c>
      <c r="J1185" s="39">
        <v>44769.419741550926</v>
      </c>
      <c r="K1185" s="20">
        <v>0</v>
      </c>
      <c r="L1185" s="17" t="str">
        <f t="shared" si="18"/>
        <v>https://captureandgo.cloudlab.zhaw.ch/uploads/image_fdc1770439.jpg</v>
      </c>
    </row>
    <row r="1186" spans="1:12" ht="16" x14ac:dyDescent="0.2">
      <c r="A1186" s="20" t="s">
        <v>8496</v>
      </c>
      <c r="B1186" s="20" t="s">
        <v>8497</v>
      </c>
      <c r="C1186" s="20" t="s">
        <v>3774</v>
      </c>
      <c r="D1186" s="20" t="s">
        <v>8498</v>
      </c>
      <c r="E1186" s="20" t="s">
        <v>8499</v>
      </c>
      <c r="F1186" s="20" t="s">
        <v>3587</v>
      </c>
      <c r="G1186" s="20" t="s">
        <v>3777</v>
      </c>
      <c r="H1186" s="20" t="s">
        <v>6</v>
      </c>
      <c r="I1186" s="39">
        <v>44769.419780775461</v>
      </c>
      <c r="J1186" s="39">
        <v>44769.419780798613</v>
      </c>
      <c r="K1186" s="20">
        <v>0</v>
      </c>
      <c r="L1186" s="17" t="str">
        <f t="shared" si="18"/>
        <v>https://captureandgo.cloudlab.zhaw.ch/uploads/image_085331b128.jpg</v>
      </c>
    </row>
    <row r="1187" spans="1:12" ht="16" x14ac:dyDescent="0.2">
      <c r="A1187" s="20" t="s">
        <v>8500</v>
      </c>
      <c r="B1187" s="20" t="s">
        <v>8501</v>
      </c>
      <c r="C1187" s="20" t="s">
        <v>3774</v>
      </c>
      <c r="D1187" s="20" t="s">
        <v>8502</v>
      </c>
      <c r="E1187" s="20" t="s">
        <v>8503</v>
      </c>
      <c r="F1187" s="20" t="s">
        <v>3590</v>
      </c>
      <c r="G1187" s="20" t="s">
        <v>3777</v>
      </c>
      <c r="H1187" s="20" t="s">
        <v>6</v>
      </c>
      <c r="I1187" s="39">
        <v>44769.421878622685</v>
      </c>
      <c r="J1187" s="39">
        <v>44769.421878668982</v>
      </c>
      <c r="K1187" s="20">
        <v>0</v>
      </c>
      <c r="L1187" s="17" t="str">
        <f t="shared" si="18"/>
        <v>https://captureandgo.cloudlab.zhaw.ch/uploads/image_2d91ed4e09.jpg</v>
      </c>
    </row>
    <row r="1188" spans="1:12" ht="16" x14ac:dyDescent="0.2">
      <c r="A1188" s="20" t="s">
        <v>8504</v>
      </c>
      <c r="B1188" s="20" t="s">
        <v>8505</v>
      </c>
      <c r="C1188" s="20" t="s">
        <v>3774</v>
      </c>
      <c r="D1188" s="20" t="s">
        <v>8506</v>
      </c>
      <c r="E1188" s="20" t="s">
        <v>8507</v>
      </c>
      <c r="F1188" s="20" t="s">
        <v>3594</v>
      </c>
      <c r="G1188" s="20" t="s">
        <v>3777</v>
      </c>
      <c r="H1188" s="20" t="s">
        <v>6</v>
      </c>
      <c r="I1188" s="39">
        <v>44769.423884039352</v>
      </c>
      <c r="J1188" s="39">
        <v>44769.423884085649</v>
      </c>
      <c r="K1188" s="20">
        <v>0</v>
      </c>
      <c r="L1188" s="17" t="str">
        <f t="shared" si="18"/>
        <v>https://captureandgo.cloudlab.zhaw.ch/uploads/image_708bbc3531.jpg</v>
      </c>
    </row>
    <row r="1189" spans="1:12" ht="16" x14ac:dyDescent="0.2">
      <c r="A1189" s="20" t="s">
        <v>8508</v>
      </c>
      <c r="B1189" s="20" t="s">
        <v>8509</v>
      </c>
      <c r="C1189" s="20" t="s">
        <v>3774</v>
      </c>
      <c r="D1189" s="20" t="s">
        <v>8510</v>
      </c>
      <c r="E1189" s="20" t="s">
        <v>8511</v>
      </c>
      <c r="F1189" s="20" t="s">
        <v>3597</v>
      </c>
      <c r="G1189" s="20" t="s">
        <v>3777</v>
      </c>
      <c r="H1189" s="20" t="s">
        <v>6</v>
      </c>
      <c r="I1189" s="39">
        <v>44769.425189791669</v>
      </c>
      <c r="J1189" s="39">
        <v>44769.42518982639</v>
      </c>
      <c r="K1189" s="20">
        <v>0</v>
      </c>
      <c r="L1189" s="17" t="str">
        <f t="shared" si="18"/>
        <v>https://captureandgo.cloudlab.zhaw.ch/uploads/image_b01766bc3b.jpg</v>
      </c>
    </row>
    <row r="1190" spans="1:12" ht="16" x14ac:dyDescent="0.2">
      <c r="A1190" s="20" t="s">
        <v>8512</v>
      </c>
      <c r="B1190" s="20" t="s">
        <v>8513</v>
      </c>
      <c r="C1190" s="20" t="s">
        <v>3774</v>
      </c>
      <c r="D1190" s="20" t="s">
        <v>8514</v>
      </c>
      <c r="E1190" s="20" t="s">
        <v>8515</v>
      </c>
      <c r="F1190" s="20" t="s">
        <v>3600</v>
      </c>
      <c r="G1190" s="20" t="s">
        <v>3777</v>
      </c>
      <c r="H1190" s="20" t="s">
        <v>6</v>
      </c>
      <c r="I1190" s="39">
        <v>44769.425911759259</v>
      </c>
      <c r="J1190" s="39">
        <v>44769.425911828701</v>
      </c>
      <c r="K1190" s="20">
        <v>0</v>
      </c>
      <c r="L1190" s="17" t="str">
        <f t="shared" si="18"/>
        <v>https://captureandgo.cloudlab.zhaw.ch/uploads/image_27d521a0a6.jpg</v>
      </c>
    </row>
    <row r="1191" spans="1:12" ht="16" x14ac:dyDescent="0.2">
      <c r="A1191" s="20" t="s">
        <v>8516</v>
      </c>
      <c r="B1191" s="20" t="s">
        <v>8517</v>
      </c>
      <c r="C1191" s="20" t="s">
        <v>3774</v>
      </c>
      <c r="D1191" s="20" t="s">
        <v>8518</v>
      </c>
      <c r="E1191" s="20" t="s">
        <v>8519</v>
      </c>
      <c r="F1191" s="20" t="s">
        <v>3605</v>
      </c>
      <c r="G1191" s="20" t="s">
        <v>3777</v>
      </c>
      <c r="H1191" s="20" t="s">
        <v>6</v>
      </c>
      <c r="I1191" s="39">
        <v>44769.426417592593</v>
      </c>
      <c r="J1191" s="39">
        <v>44769.426417627314</v>
      </c>
      <c r="K1191" s="20">
        <v>0</v>
      </c>
      <c r="L1191" s="17" t="str">
        <f t="shared" si="18"/>
        <v>https://captureandgo.cloudlab.zhaw.ch/uploads/image_52e509f6e9.jpg</v>
      </c>
    </row>
    <row r="1192" spans="1:12" ht="16" x14ac:dyDescent="0.2">
      <c r="A1192" s="20" t="s">
        <v>8520</v>
      </c>
      <c r="B1192" s="20" t="s">
        <v>8521</v>
      </c>
      <c r="C1192" s="20" t="s">
        <v>3774</v>
      </c>
      <c r="D1192" s="20" t="s">
        <v>8522</v>
      </c>
      <c r="E1192" s="20" t="s">
        <v>8523</v>
      </c>
      <c r="F1192" s="20" t="s">
        <v>3608</v>
      </c>
      <c r="G1192" s="20" t="s">
        <v>3777</v>
      </c>
      <c r="H1192" s="20" t="s">
        <v>6</v>
      </c>
      <c r="I1192" s="39">
        <v>44769.426932175928</v>
      </c>
      <c r="J1192" s="39">
        <v>44769.426932233793</v>
      </c>
      <c r="K1192" s="20">
        <v>0</v>
      </c>
      <c r="L1192" s="17" t="str">
        <f t="shared" si="18"/>
        <v>https://captureandgo.cloudlab.zhaw.ch/uploads/image_184b478dea.jpg</v>
      </c>
    </row>
    <row r="1193" spans="1:12" ht="16" x14ac:dyDescent="0.2">
      <c r="A1193" s="20" t="s">
        <v>8524</v>
      </c>
      <c r="B1193" s="20" t="s">
        <v>8525</v>
      </c>
      <c r="C1193" s="20" t="s">
        <v>3774</v>
      </c>
      <c r="D1193" s="20" t="s">
        <v>8526</v>
      </c>
      <c r="E1193" s="20" t="s">
        <v>8527</v>
      </c>
      <c r="F1193" s="20" t="s">
        <v>3611</v>
      </c>
      <c r="G1193" s="20" t="s">
        <v>3777</v>
      </c>
      <c r="H1193" s="20" t="s">
        <v>6</v>
      </c>
      <c r="I1193" s="39">
        <v>44769.427665115742</v>
      </c>
      <c r="J1193" s="39">
        <v>44769.427665150462</v>
      </c>
      <c r="K1193" s="20">
        <v>0</v>
      </c>
      <c r="L1193" s="17" t="str">
        <f t="shared" si="18"/>
        <v>https://captureandgo.cloudlab.zhaw.ch/uploads/image_481017d4a3.jpg</v>
      </c>
    </row>
    <row r="1194" spans="1:12" ht="16" x14ac:dyDescent="0.2">
      <c r="A1194" s="20" t="s">
        <v>8528</v>
      </c>
      <c r="B1194" s="20" t="s">
        <v>8529</v>
      </c>
      <c r="C1194" s="20" t="s">
        <v>3774</v>
      </c>
      <c r="D1194" s="20" t="s">
        <v>8530</v>
      </c>
      <c r="E1194" s="20" t="s">
        <v>8531</v>
      </c>
      <c r="F1194" s="20" t="s">
        <v>3614</v>
      </c>
      <c r="G1194" s="20" t="s">
        <v>3777</v>
      </c>
      <c r="H1194" s="20" t="s">
        <v>6</v>
      </c>
      <c r="I1194" s="39">
        <v>44769.429003310186</v>
      </c>
      <c r="J1194" s="39">
        <v>44769.429003356483</v>
      </c>
      <c r="K1194" s="20">
        <v>0</v>
      </c>
      <c r="L1194" s="17" t="str">
        <f t="shared" si="18"/>
        <v>https://captureandgo.cloudlab.zhaw.ch/uploads/image_c7931a65c1.jpg</v>
      </c>
    </row>
    <row r="1195" spans="1:12" ht="16" x14ac:dyDescent="0.2">
      <c r="A1195" s="20" t="s">
        <v>8532</v>
      </c>
      <c r="B1195" s="20" t="s">
        <v>8533</v>
      </c>
      <c r="C1195" s="20" t="s">
        <v>3774</v>
      </c>
      <c r="D1195" s="20" t="s">
        <v>8534</v>
      </c>
      <c r="E1195" s="20" t="s">
        <v>8535</v>
      </c>
      <c r="F1195" s="20" t="s">
        <v>3617</v>
      </c>
      <c r="G1195" s="20" t="s">
        <v>3777</v>
      </c>
      <c r="H1195" s="20" t="s">
        <v>6</v>
      </c>
      <c r="I1195" s="39">
        <v>44769.429607592596</v>
      </c>
      <c r="J1195" s="39">
        <v>44769.429607627317</v>
      </c>
      <c r="K1195" s="20">
        <v>0</v>
      </c>
      <c r="L1195" s="17" t="str">
        <f t="shared" si="18"/>
        <v>https://captureandgo.cloudlab.zhaw.ch/uploads/image_5674a5f047.jpg</v>
      </c>
    </row>
    <row r="1196" spans="1:12" ht="16" x14ac:dyDescent="0.2">
      <c r="A1196" s="20" t="s">
        <v>8536</v>
      </c>
      <c r="B1196" s="20" t="s">
        <v>8537</v>
      </c>
      <c r="C1196" s="20" t="s">
        <v>3774</v>
      </c>
      <c r="D1196" s="20" t="s">
        <v>8538</v>
      </c>
      <c r="E1196" s="20" t="s">
        <v>8539</v>
      </c>
      <c r="F1196" s="20" t="s">
        <v>3620</v>
      </c>
      <c r="G1196" s="20" t="s">
        <v>3777</v>
      </c>
      <c r="H1196" s="20" t="s">
        <v>6</v>
      </c>
      <c r="I1196" s="39">
        <v>44769.430388275461</v>
      </c>
      <c r="J1196" s="39">
        <v>44769.430388298613</v>
      </c>
      <c r="K1196" s="20">
        <v>0</v>
      </c>
      <c r="L1196" s="17" t="str">
        <f t="shared" si="18"/>
        <v>https://captureandgo.cloudlab.zhaw.ch/uploads/image_81711c1116.jpg</v>
      </c>
    </row>
    <row r="1197" spans="1:12" ht="16" x14ac:dyDescent="0.2">
      <c r="A1197" s="20" t="s">
        <v>8540</v>
      </c>
      <c r="B1197" s="20" t="s">
        <v>8541</v>
      </c>
      <c r="C1197" s="20" t="s">
        <v>3774</v>
      </c>
      <c r="D1197" s="20" t="s">
        <v>8542</v>
      </c>
      <c r="E1197" s="20" t="s">
        <v>8543</v>
      </c>
      <c r="F1197" s="20" t="s">
        <v>3623</v>
      </c>
      <c r="G1197" s="20" t="s">
        <v>3777</v>
      </c>
      <c r="H1197" s="20" t="s">
        <v>6</v>
      </c>
      <c r="I1197" s="39">
        <v>44769.431855208335</v>
      </c>
      <c r="J1197" s="39">
        <v>44769.431855254632</v>
      </c>
      <c r="K1197" s="20">
        <v>0</v>
      </c>
      <c r="L1197" s="17" t="str">
        <f t="shared" si="18"/>
        <v>https://captureandgo.cloudlab.zhaw.ch/uploads/image_c3aa67478e.jpg</v>
      </c>
    </row>
    <row r="1198" spans="1:12" ht="16" x14ac:dyDescent="0.2">
      <c r="A1198" s="20" t="s">
        <v>8544</v>
      </c>
      <c r="B1198" s="20" t="s">
        <v>8545</v>
      </c>
      <c r="C1198" s="20" t="s">
        <v>3774</v>
      </c>
      <c r="D1198" s="20" t="s">
        <v>8546</v>
      </c>
      <c r="E1198" s="20" t="s">
        <v>8547</v>
      </c>
      <c r="F1198" s="20" t="s">
        <v>3626</v>
      </c>
      <c r="G1198" s="20" t="s">
        <v>3777</v>
      </c>
      <c r="H1198" s="20" t="s">
        <v>6</v>
      </c>
      <c r="I1198" s="39">
        <v>44769.432553715276</v>
      </c>
      <c r="J1198" s="39">
        <v>44769.432553784725</v>
      </c>
      <c r="K1198" s="20">
        <v>0</v>
      </c>
      <c r="L1198" s="17" t="str">
        <f t="shared" si="18"/>
        <v>https://captureandgo.cloudlab.zhaw.ch/uploads/image_7003adb711.jpg</v>
      </c>
    </row>
    <row r="1199" spans="1:12" ht="16" x14ac:dyDescent="0.2">
      <c r="A1199" s="20" t="s">
        <v>8548</v>
      </c>
      <c r="B1199" s="20" t="s">
        <v>8549</v>
      </c>
      <c r="C1199" s="20" t="s">
        <v>3774</v>
      </c>
      <c r="D1199" s="20" t="s">
        <v>8550</v>
      </c>
      <c r="E1199" s="20" t="s">
        <v>8551</v>
      </c>
      <c r="F1199" s="20" t="s">
        <v>3632</v>
      </c>
      <c r="G1199" s="20" t="s">
        <v>3777</v>
      </c>
      <c r="H1199" s="20" t="s">
        <v>6</v>
      </c>
      <c r="I1199" s="39">
        <v>44769.434303553244</v>
      </c>
      <c r="J1199" s="39">
        <v>44769.434303622686</v>
      </c>
      <c r="K1199" s="20">
        <v>0</v>
      </c>
      <c r="L1199" s="17" t="str">
        <f t="shared" si="18"/>
        <v>https://captureandgo.cloudlab.zhaw.ch/uploads/image_c03393cdfc.jpg</v>
      </c>
    </row>
    <row r="1200" spans="1:12" ht="16" x14ac:dyDescent="0.2">
      <c r="A1200" s="20" t="s">
        <v>8552</v>
      </c>
      <c r="B1200" s="20" t="s">
        <v>8553</v>
      </c>
      <c r="C1200" s="20" t="s">
        <v>3774</v>
      </c>
      <c r="D1200" s="20" t="s">
        <v>8554</v>
      </c>
      <c r="E1200" s="20" t="s">
        <v>8555</v>
      </c>
      <c r="F1200" s="20" t="s">
        <v>3635</v>
      </c>
      <c r="G1200" s="20" t="s">
        <v>3777</v>
      </c>
      <c r="H1200" s="20" t="s">
        <v>6</v>
      </c>
      <c r="I1200" s="39">
        <v>44769.435163287038</v>
      </c>
      <c r="J1200" s="39">
        <v>44769.435163321759</v>
      </c>
      <c r="K1200" s="20">
        <v>0</v>
      </c>
      <c r="L1200" s="17" t="str">
        <f t="shared" si="18"/>
        <v>https://captureandgo.cloudlab.zhaw.ch/uploads/image_51d3b648b3.jpg</v>
      </c>
    </row>
    <row r="1201" spans="1:12" ht="16" x14ac:dyDescent="0.2">
      <c r="A1201" s="20" t="s">
        <v>8556</v>
      </c>
      <c r="B1201" s="20" t="s">
        <v>8557</v>
      </c>
      <c r="C1201" s="20" t="s">
        <v>3774</v>
      </c>
      <c r="D1201" s="20" t="s">
        <v>8558</v>
      </c>
      <c r="E1201" s="20" t="s">
        <v>8559</v>
      </c>
      <c r="F1201" s="20" t="s">
        <v>3638</v>
      </c>
      <c r="G1201" s="20" t="s">
        <v>3777</v>
      </c>
      <c r="H1201" s="20" t="s">
        <v>6</v>
      </c>
      <c r="I1201" s="39">
        <v>44769.435837523146</v>
      </c>
      <c r="J1201" s="39">
        <v>44769.435837569443</v>
      </c>
      <c r="K1201" s="20">
        <v>0</v>
      </c>
      <c r="L1201" s="17" t="str">
        <f t="shared" si="18"/>
        <v>https://captureandgo.cloudlab.zhaw.ch/uploads/image_ee6498d9ad.jpg</v>
      </c>
    </row>
    <row r="1202" spans="1:12" ht="16" x14ac:dyDescent="0.2">
      <c r="A1202" s="20" t="s">
        <v>8560</v>
      </c>
      <c r="B1202" s="20" t="s">
        <v>8561</v>
      </c>
      <c r="C1202" s="20" t="s">
        <v>3774</v>
      </c>
      <c r="D1202" s="20" t="s">
        <v>8562</v>
      </c>
      <c r="E1202" s="20" t="s">
        <v>8563</v>
      </c>
      <c r="F1202" s="20" t="s">
        <v>3642</v>
      </c>
      <c r="G1202" s="20" t="s">
        <v>3777</v>
      </c>
      <c r="H1202" s="20" t="s">
        <v>6</v>
      </c>
      <c r="I1202" s="39">
        <v>44769.438376469909</v>
      </c>
      <c r="J1202" s="39">
        <v>44769.43837650463</v>
      </c>
      <c r="K1202" s="20">
        <v>0</v>
      </c>
      <c r="L1202" s="17" t="str">
        <f t="shared" si="18"/>
        <v>https://captureandgo.cloudlab.zhaw.ch/uploads/image_f567eb733f.jpg</v>
      </c>
    </row>
    <row r="1203" spans="1:12" ht="16" x14ac:dyDescent="0.2">
      <c r="A1203" s="20" t="s">
        <v>8564</v>
      </c>
      <c r="B1203" s="20" t="s">
        <v>8565</v>
      </c>
      <c r="C1203" s="20" t="s">
        <v>3774</v>
      </c>
      <c r="D1203" s="20" t="s">
        <v>8566</v>
      </c>
      <c r="E1203" s="20" t="s">
        <v>8567</v>
      </c>
      <c r="F1203" s="20" t="s">
        <v>3645</v>
      </c>
      <c r="G1203" s="20" t="s">
        <v>3777</v>
      </c>
      <c r="H1203" s="20" t="s">
        <v>6</v>
      </c>
      <c r="I1203" s="39">
        <v>44769.439898425924</v>
      </c>
      <c r="J1203" s="39">
        <v>44769.439898460645</v>
      </c>
      <c r="K1203" s="20">
        <v>0</v>
      </c>
      <c r="L1203" s="17" t="str">
        <f t="shared" si="18"/>
        <v>https://captureandgo.cloudlab.zhaw.ch/uploads/image_aa33a8d4b4.jpg</v>
      </c>
    </row>
    <row r="1204" spans="1:12" ht="16" x14ac:dyDescent="0.2">
      <c r="A1204" s="20" t="s">
        <v>8568</v>
      </c>
      <c r="B1204" s="20" t="s">
        <v>8569</v>
      </c>
      <c r="C1204" s="20" t="s">
        <v>3774</v>
      </c>
      <c r="D1204" s="20" t="s">
        <v>8570</v>
      </c>
      <c r="E1204" s="20" t="s">
        <v>8571</v>
      </c>
      <c r="F1204" s="20" t="s">
        <v>3648</v>
      </c>
      <c r="G1204" s="20" t="s">
        <v>3777</v>
      </c>
      <c r="H1204" s="20" t="s">
        <v>6</v>
      </c>
      <c r="I1204" s="39">
        <v>44769.440325995369</v>
      </c>
      <c r="J1204" s="39">
        <v>44769.44032603009</v>
      </c>
      <c r="K1204" s="20">
        <v>0</v>
      </c>
      <c r="L1204" s="17" t="str">
        <f t="shared" si="18"/>
        <v>https://captureandgo.cloudlab.zhaw.ch/uploads/image_d3551a70db.jpg</v>
      </c>
    </row>
    <row r="1205" spans="1:12" ht="16" x14ac:dyDescent="0.2">
      <c r="A1205" s="20" t="s">
        <v>8572</v>
      </c>
      <c r="B1205" s="20" t="s">
        <v>8573</v>
      </c>
      <c r="C1205" s="20" t="s">
        <v>3774</v>
      </c>
      <c r="D1205" s="20" t="s">
        <v>8574</v>
      </c>
      <c r="E1205" s="20" t="s">
        <v>8575</v>
      </c>
      <c r="F1205" s="20" t="s">
        <v>3651</v>
      </c>
      <c r="G1205" s="20" t="s">
        <v>3777</v>
      </c>
      <c r="H1205" s="20" t="s">
        <v>6</v>
      </c>
      <c r="I1205" s="39">
        <v>44769.441804004629</v>
      </c>
      <c r="J1205" s="39">
        <v>44769.44180403935</v>
      </c>
      <c r="K1205" s="20">
        <v>0</v>
      </c>
      <c r="L1205" s="17" t="str">
        <f t="shared" si="18"/>
        <v>https://captureandgo.cloudlab.zhaw.ch/uploads/image_76949eaef4.jpg</v>
      </c>
    </row>
    <row r="1206" spans="1:12" ht="16" x14ac:dyDescent="0.2">
      <c r="A1206" s="20" t="s">
        <v>8576</v>
      </c>
      <c r="B1206" s="20" t="s">
        <v>8577</v>
      </c>
      <c r="C1206" s="20" t="s">
        <v>3774</v>
      </c>
      <c r="D1206" s="20" t="s">
        <v>8578</v>
      </c>
      <c r="E1206" s="20" t="s">
        <v>8579</v>
      </c>
      <c r="F1206" s="20" t="s">
        <v>3654</v>
      </c>
      <c r="G1206" s="20" t="s">
        <v>3777</v>
      </c>
      <c r="H1206" s="20" t="s">
        <v>6</v>
      </c>
      <c r="I1206" s="39">
        <v>44769.442360185189</v>
      </c>
      <c r="J1206" s="39">
        <v>44769.442360208333</v>
      </c>
      <c r="K1206" s="20">
        <v>0</v>
      </c>
      <c r="L1206" s="17" t="str">
        <f t="shared" si="18"/>
        <v>https://captureandgo.cloudlab.zhaw.ch/uploads/image_88329dcece.jpg</v>
      </c>
    </row>
    <row r="1207" spans="1:12" ht="16" x14ac:dyDescent="0.2">
      <c r="A1207" s="20" t="s">
        <v>8580</v>
      </c>
      <c r="B1207" s="20" t="s">
        <v>8581</v>
      </c>
      <c r="C1207" s="20" t="s">
        <v>3774</v>
      </c>
      <c r="D1207" s="20" t="s">
        <v>8582</v>
      </c>
      <c r="E1207" s="20" t="s">
        <v>8583</v>
      </c>
      <c r="F1207" s="20" t="s">
        <v>3658</v>
      </c>
      <c r="G1207" s="20" t="s">
        <v>3777</v>
      </c>
      <c r="H1207" s="20" t="s">
        <v>6</v>
      </c>
      <c r="I1207" s="39">
        <v>44769.442952754631</v>
      </c>
      <c r="J1207" s="39">
        <v>44769.442952789352</v>
      </c>
      <c r="K1207" s="20">
        <v>0</v>
      </c>
      <c r="L1207" s="17" t="str">
        <f t="shared" si="18"/>
        <v>https://captureandgo.cloudlab.zhaw.ch/uploads/image_7fb3c176ce.jpg</v>
      </c>
    </row>
    <row r="1208" spans="1:12" ht="16" x14ac:dyDescent="0.2">
      <c r="A1208" s="20" t="s">
        <v>8584</v>
      </c>
      <c r="B1208" s="20" t="s">
        <v>8585</v>
      </c>
      <c r="C1208" s="20" t="s">
        <v>3774</v>
      </c>
      <c r="D1208" s="20" t="s">
        <v>8586</v>
      </c>
      <c r="E1208" s="20" t="s">
        <v>8587</v>
      </c>
      <c r="F1208" s="20" t="s">
        <v>3661</v>
      </c>
      <c r="G1208" s="20" t="s">
        <v>3777</v>
      </c>
      <c r="H1208" s="20" t="s">
        <v>6</v>
      </c>
      <c r="I1208" s="39">
        <v>44769.443410231484</v>
      </c>
      <c r="J1208" s="39">
        <v>44769.443410266205</v>
      </c>
      <c r="K1208" s="20">
        <v>0</v>
      </c>
      <c r="L1208" s="17" t="str">
        <f t="shared" si="18"/>
        <v>https://captureandgo.cloudlab.zhaw.ch/uploads/image_a71e3989df.jpg</v>
      </c>
    </row>
    <row r="1209" spans="1:12" ht="16" x14ac:dyDescent="0.2">
      <c r="A1209" s="20" t="s">
        <v>8588</v>
      </c>
      <c r="B1209" s="20" t="s">
        <v>8589</v>
      </c>
      <c r="C1209" s="20" t="s">
        <v>3774</v>
      </c>
      <c r="D1209" s="20" t="s">
        <v>8590</v>
      </c>
      <c r="E1209" s="20" t="s">
        <v>8591</v>
      </c>
      <c r="F1209" s="20" t="s">
        <v>3664</v>
      </c>
      <c r="G1209" s="20" t="s">
        <v>3777</v>
      </c>
      <c r="H1209" s="20" t="s">
        <v>6</v>
      </c>
      <c r="I1209" s="39">
        <v>44769.444498460645</v>
      </c>
      <c r="J1209" s="39">
        <v>44769.444498495373</v>
      </c>
      <c r="K1209" s="20">
        <v>0</v>
      </c>
      <c r="L1209" s="17" t="str">
        <f t="shared" si="18"/>
        <v>https://captureandgo.cloudlab.zhaw.ch/uploads/image_8e5eef1485.jpg</v>
      </c>
    </row>
    <row r="1210" spans="1:12" ht="16" x14ac:dyDescent="0.2">
      <c r="A1210" s="20" t="s">
        <v>8592</v>
      </c>
      <c r="B1210" s="20" t="s">
        <v>8593</v>
      </c>
      <c r="C1210" s="20" t="s">
        <v>3774</v>
      </c>
      <c r="D1210" s="20" t="s">
        <v>8594</v>
      </c>
      <c r="E1210" s="20" t="s">
        <v>8595</v>
      </c>
      <c r="F1210" s="20" t="s">
        <v>3668</v>
      </c>
      <c r="G1210" s="20" t="s">
        <v>3777</v>
      </c>
      <c r="H1210" s="20" t="s">
        <v>6</v>
      </c>
      <c r="I1210" s="39">
        <v>44769.445598587961</v>
      </c>
      <c r="J1210" s="39">
        <v>44769.445598634258</v>
      </c>
      <c r="K1210" s="20">
        <v>0</v>
      </c>
      <c r="L1210" s="17" t="str">
        <f t="shared" si="18"/>
        <v>https://captureandgo.cloudlab.zhaw.ch/uploads/image_25918770b7.jpg</v>
      </c>
    </row>
    <row r="1211" spans="1:12" ht="16" x14ac:dyDescent="0.2">
      <c r="A1211" s="20" t="s">
        <v>8596</v>
      </c>
      <c r="B1211" s="20" t="s">
        <v>8597</v>
      </c>
      <c r="C1211" s="20" t="s">
        <v>3774</v>
      </c>
      <c r="D1211" s="20" t="s">
        <v>8598</v>
      </c>
      <c r="E1211" s="20" t="s">
        <v>8599</v>
      </c>
      <c r="F1211" s="20" t="s">
        <v>3671</v>
      </c>
      <c r="G1211" s="20" t="s">
        <v>3777</v>
      </c>
      <c r="H1211" s="20" t="s">
        <v>6</v>
      </c>
      <c r="I1211" s="39">
        <v>44769.447305925925</v>
      </c>
      <c r="J1211" s="39">
        <v>44769.447305972222</v>
      </c>
      <c r="K1211" s="20">
        <v>0</v>
      </c>
      <c r="L1211" s="17" t="str">
        <f t="shared" si="18"/>
        <v>https://captureandgo.cloudlab.zhaw.ch/uploads/image_4bfee8a67f.jpg</v>
      </c>
    </row>
    <row r="1212" spans="1:12" ht="16" x14ac:dyDescent="0.2">
      <c r="A1212" s="20" t="s">
        <v>8600</v>
      </c>
      <c r="B1212" s="20" t="s">
        <v>8601</v>
      </c>
      <c r="C1212" s="20" t="s">
        <v>3774</v>
      </c>
      <c r="D1212" s="20" t="s">
        <v>8602</v>
      </c>
      <c r="E1212" s="20" t="s">
        <v>8603</v>
      </c>
      <c r="F1212" s="20" t="s">
        <v>3674</v>
      </c>
      <c r="G1212" s="20" t="s">
        <v>3777</v>
      </c>
      <c r="H1212" s="20" t="s">
        <v>6</v>
      </c>
      <c r="I1212" s="39">
        <v>44769.447904583336</v>
      </c>
      <c r="J1212" s="39">
        <v>44769.447904618057</v>
      </c>
      <c r="K1212" s="20">
        <v>0</v>
      </c>
      <c r="L1212" s="17" t="str">
        <f t="shared" si="18"/>
        <v>https://captureandgo.cloudlab.zhaw.ch/uploads/image_bd1aedd9a5.jpg</v>
      </c>
    </row>
    <row r="1213" spans="1:12" ht="16" x14ac:dyDescent="0.2">
      <c r="A1213" s="20" t="s">
        <v>8604</v>
      </c>
      <c r="B1213" s="20" t="s">
        <v>8605</v>
      </c>
      <c r="C1213" s="20" t="s">
        <v>3774</v>
      </c>
      <c r="D1213" s="20" t="s">
        <v>8606</v>
      </c>
      <c r="E1213" s="20" t="s">
        <v>8607</v>
      </c>
      <c r="F1213" s="20" t="s">
        <v>3677</v>
      </c>
      <c r="G1213" s="20" t="s">
        <v>3777</v>
      </c>
      <c r="H1213" s="20" t="s">
        <v>6</v>
      </c>
      <c r="I1213" s="39">
        <v>44769.449803483796</v>
      </c>
      <c r="J1213" s="39">
        <v>44769.449803530093</v>
      </c>
      <c r="K1213" s="20">
        <v>0</v>
      </c>
      <c r="L1213" s="17" t="str">
        <f t="shared" si="18"/>
        <v>https://captureandgo.cloudlab.zhaw.ch/uploads/image_2778fde2ac.jpg</v>
      </c>
    </row>
    <row r="1214" spans="1:12" ht="16" x14ac:dyDescent="0.2">
      <c r="A1214" s="20" t="s">
        <v>8608</v>
      </c>
      <c r="B1214" s="20" t="s">
        <v>8609</v>
      </c>
      <c r="C1214" s="20" t="s">
        <v>3774</v>
      </c>
      <c r="D1214" s="20" t="s">
        <v>8610</v>
      </c>
      <c r="E1214" s="20" t="s">
        <v>8611</v>
      </c>
      <c r="F1214" s="20" t="s">
        <v>3681</v>
      </c>
      <c r="G1214" s="20" t="s">
        <v>3777</v>
      </c>
      <c r="H1214" s="20" t="s">
        <v>6</v>
      </c>
      <c r="I1214" s="39">
        <v>44769.450591273147</v>
      </c>
      <c r="J1214" s="39">
        <v>44769.450591307868</v>
      </c>
      <c r="K1214" s="20">
        <v>0</v>
      </c>
      <c r="L1214" s="17" t="str">
        <f t="shared" si="18"/>
        <v>https://captureandgo.cloudlab.zhaw.ch/uploads/image_5de30e4815.jpg</v>
      </c>
    </row>
    <row r="1215" spans="1:12" ht="16" x14ac:dyDescent="0.2">
      <c r="A1215" s="20" t="s">
        <v>8612</v>
      </c>
      <c r="B1215" s="20" t="s">
        <v>8613</v>
      </c>
      <c r="C1215" s="20" t="s">
        <v>3774</v>
      </c>
      <c r="D1215" s="20" t="s">
        <v>8614</v>
      </c>
      <c r="E1215" s="20" t="s">
        <v>8615</v>
      </c>
      <c r="F1215" s="20" t="s">
        <v>3684</v>
      </c>
      <c r="G1215" s="20" t="s">
        <v>3777</v>
      </c>
      <c r="H1215" s="20" t="s">
        <v>6</v>
      </c>
      <c r="I1215" s="39">
        <v>44769.452229062503</v>
      </c>
      <c r="J1215" s="39">
        <v>44769.452229097224</v>
      </c>
      <c r="K1215" s="20">
        <v>0</v>
      </c>
      <c r="L1215" s="17" t="str">
        <f t="shared" si="18"/>
        <v>https://captureandgo.cloudlab.zhaw.ch/uploads/image_b302e353e2.jpg</v>
      </c>
    </row>
    <row r="1216" spans="1:12" ht="16" x14ac:dyDescent="0.2">
      <c r="A1216" s="20" t="s">
        <v>8616</v>
      </c>
      <c r="B1216" s="20" t="s">
        <v>8617</v>
      </c>
      <c r="C1216" s="20" t="s">
        <v>3774</v>
      </c>
      <c r="D1216" s="20" t="s">
        <v>8618</v>
      </c>
      <c r="E1216" s="20" t="s">
        <v>8619</v>
      </c>
      <c r="F1216" s="20" t="s">
        <v>3684</v>
      </c>
      <c r="G1216" s="20" t="s">
        <v>3777</v>
      </c>
      <c r="H1216" s="20" t="s">
        <v>6</v>
      </c>
      <c r="I1216" s="39">
        <v>44769.452479803243</v>
      </c>
      <c r="J1216" s="39">
        <v>44769.452479837964</v>
      </c>
      <c r="K1216" s="20">
        <v>0</v>
      </c>
      <c r="L1216" s="17" t="str">
        <f t="shared" si="18"/>
        <v>https://captureandgo.cloudlab.zhaw.ch/uploads/image_c0721ccf77.jpg</v>
      </c>
    </row>
    <row r="1217" spans="1:12" ht="16" x14ac:dyDescent="0.2">
      <c r="A1217" s="20" t="s">
        <v>8620</v>
      </c>
      <c r="B1217" s="20" t="s">
        <v>8621</v>
      </c>
      <c r="C1217" s="20" t="s">
        <v>3774</v>
      </c>
      <c r="D1217" s="20" t="s">
        <v>8622</v>
      </c>
      <c r="E1217" s="20" t="s">
        <v>8623</v>
      </c>
      <c r="F1217" s="20" t="s">
        <v>3684</v>
      </c>
      <c r="G1217" s="20" t="s">
        <v>3777</v>
      </c>
      <c r="H1217" s="20" t="s">
        <v>6</v>
      </c>
      <c r="I1217" s="39">
        <v>44769.452534305557</v>
      </c>
      <c r="J1217" s="39">
        <v>44769.452534340278</v>
      </c>
      <c r="K1217" s="20">
        <v>0</v>
      </c>
      <c r="L1217" s="17" t="str">
        <f t="shared" si="18"/>
        <v>https://captureandgo.cloudlab.zhaw.ch/uploads/image_4b5bb666b6.jpg</v>
      </c>
    </row>
    <row r="1218" spans="1:12" ht="16" x14ac:dyDescent="0.2">
      <c r="A1218" s="20" t="s">
        <v>8624</v>
      </c>
      <c r="B1218" s="20" t="s">
        <v>8625</v>
      </c>
      <c r="C1218" s="20" t="s">
        <v>3774</v>
      </c>
      <c r="D1218" s="20" t="s">
        <v>8626</v>
      </c>
      <c r="E1218" s="20" t="s">
        <v>8627</v>
      </c>
      <c r="F1218" s="20" t="s">
        <v>3687</v>
      </c>
      <c r="G1218" s="20" t="s">
        <v>3777</v>
      </c>
      <c r="H1218" s="20" t="s">
        <v>6</v>
      </c>
      <c r="I1218" s="39">
        <v>44769.452829074071</v>
      </c>
      <c r="J1218" s="39">
        <v>44769.452829108799</v>
      </c>
      <c r="K1218" s="20">
        <v>0</v>
      </c>
      <c r="L1218" s="17" t="str">
        <f t="shared" ref="L1218:L1241" si="19">HYPERLINK("https://captureandgo.cloudlab.zhaw.ch"&amp;B1218)</f>
        <v>https://captureandgo.cloudlab.zhaw.ch/uploads/image_74acebb4da.jpg</v>
      </c>
    </row>
    <row r="1219" spans="1:12" ht="16" x14ac:dyDescent="0.2">
      <c r="A1219" s="20" t="s">
        <v>8628</v>
      </c>
      <c r="B1219" s="20" t="s">
        <v>8629</v>
      </c>
      <c r="C1219" s="20" t="s">
        <v>3774</v>
      </c>
      <c r="D1219" s="20" t="s">
        <v>8630</v>
      </c>
      <c r="E1219" s="20" t="s">
        <v>8631</v>
      </c>
      <c r="F1219" s="20" t="s">
        <v>3690</v>
      </c>
      <c r="G1219" s="20" t="s">
        <v>3777</v>
      </c>
      <c r="H1219" s="20" t="s">
        <v>6</v>
      </c>
      <c r="I1219" s="39">
        <v>44769.454839872684</v>
      </c>
      <c r="J1219" s="39">
        <v>44769.454839907405</v>
      </c>
      <c r="K1219" s="20">
        <v>0</v>
      </c>
      <c r="L1219" s="17" t="str">
        <f t="shared" si="19"/>
        <v>https://captureandgo.cloudlab.zhaw.ch/uploads/image_ffcb5e490c.jpg</v>
      </c>
    </row>
    <row r="1220" spans="1:12" ht="16" x14ac:dyDescent="0.2">
      <c r="A1220" s="20" t="s">
        <v>8632</v>
      </c>
      <c r="B1220" s="20" t="s">
        <v>8633</v>
      </c>
      <c r="C1220" s="20" t="s">
        <v>3774</v>
      </c>
      <c r="D1220" s="20" t="s">
        <v>8634</v>
      </c>
      <c r="E1220" s="20" t="s">
        <v>8635</v>
      </c>
      <c r="F1220" s="20" t="s">
        <v>3693</v>
      </c>
      <c r="G1220" s="20" t="s">
        <v>3777</v>
      </c>
      <c r="H1220" s="20" t="s">
        <v>6</v>
      </c>
      <c r="I1220" s="39">
        <v>44769.455811145832</v>
      </c>
      <c r="J1220" s="39">
        <v>44769.455811192129</v>
      </c>
      <c r="K1220" s="20">
        <v>0</v>
      </c>
      <c r="L1220" s="17" t="str">
        <f t="shared" si="19"/>
        <v>https://captureandgo.cloudlab.zhaw.ch/uploads/image_5667c3e143.jpg</v>
      </c>
    </row>
    <row r="1221" spans="1:12" ht="16" x14ac:dyDescent="0.2">
      <c r="A1221" s="20" t="s">
        <v>8636</v>
      </c>
      <c r="B1221" s="20" t="s">
        <v>8637</v>
      </c>
      <c r="C1221" s="20" t="s">
        <v>3774</v>
      </c>
      <c r="D1221" s="20" t="s">
        <v>8638</v>
      </c>
      <c r="E1221" s="20" t="s">
        <v>8639</v>
      </c>
      <c r="F1221" s="20" t="s">
        <v>3696</v>
      </c>
      <c r="G1221" s="20" t="s">
        <v>3777</v>
      </c>
      <c r="H1221" s="20" t="s">
        <v>6</v>
      </c>
      <c r="I1221" s="39">
        <v>44769.457959618056</v>
      </c>
      <c r="J1221" s="39">
        <v>44769.457959652776</v>
      </c>
      <c r="K1221" s="20">
        <v>0</v>
      </c>
      <c r="L1221" s="17" t="str">
        <f t="shared" si="19"/>
        <v>https://captureandgo.cloudlab.zhaw.ch/uploads/image_108d5056cc.jpg</v>
      </c>
    </row>
    <row r="1222" spans="1:12" ht="16" x14ac:dyDescent="0.2">
      <c r="A1222" s="20" t="s">
        <v>8640</v>
      </c>
      <c r="B1222" s="20" t="s">
        <v>8641</v>
      </c>
      <c r="C1222" s="20" t="s">
        <v>3774</v>
      </c>
      <c r="D1222" s="20" t="s">
        <v>8642</v>
      </c>
      <c r="E1222" s="20" t="s">
        <v>8643</v>
      </c>
      <c r="F1222" s="20" t="s">
        <v>3699</v>
      </c>
      <c r="G1222" s="20" t="s">
        <v>3777</v>
      </c>
      <c r="H1222" s="20" t="s">
        <v>6</v>
      </c>
      <c r="I1222" s="39">
        <v>44769.459499004632</v>
      </c>
      <c r="J1222" s="39">
        <v>44769.459499039353</v>
      </c>
      <c r="K1222" s="20">
        <v>0</v>
      </c>
      <c r="L1222" s="17" t="str">
        <f t="shared" si="19"/>
        <v>https://captureandgo.cloudlab.zhaw.ch/uploads/image_e2821d1d7f.jpg</v>
      </c>
    </row>
    <row r="1223" spans="1:12" ht="16" x14ac:dyDescent="0.2">
      <c r="A1223" s="20" t="s">
        <v>8644</v>
      </c>
      <c r="B1223" s="20" t="s">
        <v>8645</v>
      </c>
      <c r="C1223" s="20" t="s">
        <v>3774</v>
      </c>
      <c r="D1223" s="20" t="s">
        <v>8646</v>
      </c>
      <c r="E1223" s="20" t="s">
        <v>8647</v>
      </c>
      <c r="F1223" s="20" t="s">
        <v>3702</v>
      </c>
      <c r="G1223" s="20" t="s">
        <v>3777</v>
      </c>
      <c r="H1223" s="20" t="s">
        <v>6</v>
      </c>
      <c r="I1223" s="39">
        <v>44769.460056562501</v>
      </c>
      <c r="J1223" s="39">
        <v>44769.460056597221</v>
      </c>
      <c r="K1223" s="20">
        <v>0</v>
      </c>
      <c r="L1223" s="17" t="str">
        <f t="shared" si="19"/>
        <v>https://captureandgo.cloudlab.zhaw.ch/uploads/image_f12446d66d.jpg</v>
      </c>
    </row>
    <row r="1224" spans="1:12" ht="16" x14ac:dyDescent="0.2">
      <c r="A1224" s="20" t="s">
        <v>8648</v>
      </c>
      <c r="B1224" s="20" t="s">
        <v>8649</v>
      </c>
      <c r="C1224" s="20" t="s">
        <v>3774</v>
      </c>
      <c r="D1224" s="20" t="s">
        <v>8650</v>
      </c>
      <c r="E1224" s="20" t="s">
        <v>8651</v>
      </c>
      <c r="F1224" s="20" t="s">
        <v>3705</v>
      </c>
      <c r="G1224" s="20" t="s">
        <v>3777</v>
      </c>
      <c r="H1224" s="20" t="s">
        <v>6</v>
      </c>
      <c r="I1224" s="39">
        <v>44769.460716412039</v>
      </c>
      <c r="J1224" s="39">
        <v>44769.460716469905</v>
      </c>
      <c r="K1224" s="20">
        <v>0</v>
      </c>
      <c r="L1224" s="17" t="str">
        <f t="shared" si="19"/>
        <v>https://captureandgo.cloudlab.zhaw.ch/uploads/image_ee936bfaf4.jpg</v>
      </c>
    </row>
    <row r="1225" spans="1:12" ht="16" x14ac:dyDescent="0.2">
      <c r="A1225" s="20" t="s">
        <v>8652</v>
      </c>
      <c r="B1225" s="20" t="s">
        <v>8653</v>
      </c>
      <c r="C1225" s="20" t="s">
        <v>3774</v>
      </c>
      <c r="D1225" s="20" t="s">
        <v>8654</v>
      </c>
      <c r="E1225" s="20" t="s">
        <v>8655</v>
      </c>
      <c r="F1225" s="20" t="s">
        <v>3708</v>
      </c>
      <c r="G1225" s="20" t="s">
        <v>3777</v>
      </c>
      <c r="H1225" s="20" t="s">
        <v>6</v>
      </c>
      <c r="I1225" s="39">
        <v>44769.461280034724</v>
      </c>
      <c r="J1225" s="39">
        <v>44769.461280069445</v>
      </c>
      <c r="K1225" s="20">
        <v>0</v>
      </c>
      <c r="L1225" s="17" t="str">
        <f t="shared" si="19"/>
        <v>https://captureandgo.cloudlab.zhaw.ch/uploads/image_ba3e61f3fe.jpg</v>
      </c>
    </row>
    <row r="1226" spans="1:12" ht="16" x14ac:dyDescent="0.2">
      <c r="A1226" s="20" t="s">
        <v>8656</v>
      </c>
      <c r="B1226" s="20" t="s">
        <v>8657</v>
      </c>
      <c r="C1226" s="20" t="s">
        <v>3774</v>
      </c>
      <c r="D1226" s="20" t="s">
        <v>8658</v>
      </c>
      <c r="E1226" s="20" t="s">
        <v>8659</v>
      </c>
      <c r="F1226" s="20" t="s">
        <v>3711</v>
      </c>
      <c r="G1226" s="20" t="s">
        <v>3777</v>
      </c>
      <c r="H1226" s="20" t="s">
        <v>6</v>
      </c>
      <c r="I1226" s="39">
        <v>44769.462029479168</v>
      </c>
      <c r="J1226" s="39">
        <v>44769.462029513888</v>
      </c>
      <c r="K1226" s="20">
        <v>0</v>
      </c>
      <c r="L1226" s="17" t="str">
        <f t="shared" si="19"/>
        <v>https://captureandgo.cloudlab.zhaw.ch/uploads/image_8d8fbb9637.jpg</v>
      </c>
    </row>
    <row r="1227" spans="1:12" ht="16" x14ac:dyDescent="0.2">
      <c r="A1227" s="20" t="s">
        <v>8660</v>
      </c>
      <c r="B1227" s="20" t="s">
        <v>8661</v>
      </c>
      <c r="C1227" s="20" t="s">
        <v>3774</v>
      </c>
      <c r="D1227" s="20" t="s">
        <v>8662</v>
      </c>
      <c r="E1227" s="20" t="s">
        <v>8663</v>
      </c>
      <c r="F1227" s="20" t="s">
        <v>3714</v>
      </c>
      <c r="G1227" s="20" t="s">
        <v>3777</v>
      </c>
      <c r="H1227" s="20" t="s">
        <v>6</v>
      </c>
      <c r="I1227" s="39">
        <v>44769.462905208333</v>
      </c>
      <c r="J1227" s="39">
        <v>44769.462905243054</v>
      </c>
      <c r="K1227" s="20">
        <v>0</v>
      </c>
      <c r="L1227" s="17" t="str">
        <f t="shared" si="19"/>
        <v>https://captureandgo.cloudlab.zhaw.ch/uploads/image_a0c47ca414.jpg</v>
      </c>
    </row>
    <row r="1228" spans="1:12" ht="16" x14ac:dyDescent="0.2">
      <c r="A1228" s="20" t="s">
        <v>8664</v>
      </c>
      <c r="B1228" s="20" t="s">
        <v>8665</v>
      </c>
      <c r="C1228" s="20" t="s">
        <v>3774</v>
      </c>
      <c r="D1228" s="20" t="s">
        <v>8666</v>
      </c>
      <c r="E1228" s="20" t="s">
        <v>8667</v>
      </c>
      <c r="F1228" s="20" t="s">
        <v>3717</v>
      </c>
      <c r="G1228" s="20" t="s">
        <v>3777</v>
      </c>
      <c r="H1228" s="20" t="s">
        <v>6</v>
      </c>
      <c r="I1228" s="39">
        <v>44769.463716157406</v>
      </c>
      <c r="J1228" s="39">
        <v>44769.463716192127</v>
      </c>
      <c r="K1228" s="20">
        <v>0</v>
      </c>
      <c r="L1228" s="17" t="str">
        <f t="shared" si="19"/>
        <v>https://captureandgo.cloudlab.zhaw.ch/uploads/image_b2ee924824.jpg</v>
      </c>
    </row>
    <row r="1229" spans="1:12" ht="16" x14ac:dyDescent="0.2">
      <c r="A1229" s="20" t="s">
        <v>8668</v>
      </c>
      <c r="B1229" s="20" t="s">
        <v>8669</v>
      </c>
      <c r="C1229" s="20" t="s">
        <v>3774</v>
      </c>
      <c r="D1229" s="20" t="s">
        <v>8670</v>
      </c>
      <c r="E1229" s="20" t="s">
        <v>8671</v>
      </c>
      <c r="F1229" s="20" t="s">
        <v>3720</v>
      </c>
      <c r="G1229" s="20" t="s">
        <v>3777</v>
      </c>
      <c r="H1229" s="20" t="s">
        <v>6</v>
      </c>
      <c r="I1229" s="39">
        <v>44769.463945057869</v>
      </c>
      <c r="J1229" s="39">
        <v>44769.463945081021</v>
      </c>
      <c r="K1229" s="20">
        <v>0</v>
      </c>
      <c r="L1229" s="17" t="str">
        <f t="shared" si="19"/>
        <v>https://captureandgo.cloudlab.zhaw.ch/uploads/image_9ba216fb37.jpg</v>
      </c>
    </row>
    <row r="1230" spans="1:12" ht="16" x14ac:dyDescent="0.2">
      <c r="A1230" s="20" t="s">
        <v>8672</v>
      </c>
      <c r="B1230" s="20" t="s">
        <v>8673</v>
      </c>
      <c r="C1230" s="20" t="s">
        <v>3774</v>
      </c>
      <c r="D1230" s="20" t="s">
        <v>8674</v>
      </c>
      <c r="E1230" s="20" t="s">
        <v>8675</v>
      </c>
      <c r="F1230" s="20" t="s">
        <v>3723</v>
      </c>
      <c r="G1230" s="20" t="s">
        <v>3777</v>
      </c>
      <c r="H1230" s="20" t="s">
        <v>6</v>
      </c>
      <c r="I1230" s="39">
        <v>44769.464376261574</v>
      </c>
      <c r="J1230" s="39">
        <v>44769.464376296295</v>
      </c>
      <c r="K1230" s="20">
        <v>0</v>
      </c>
      <c r="L1230" s="17" t="str">
        <f t="shared" si="19"/>
        <v>https://captureandgo.cloudlab.zhaw.ch/uploads/image_489fa57636.jpg</v>
      </c>
    </row>
    <row r="1231" spans="1:12" ht="16" x14ac:dyDescent="0.2">
      <c r="A1231" s="20" t="s">
        <v>8676</v>
      </c>
      <c r="B1231" s="20" t="s">
        <v>8677</v>
      </c>
      <c r="C1231" s="20" t="s">
        <v>3774</v>
      </c>
      <c r="D1231" s="20" t="s">
        <v>8678</v>
      </c>
      <c r="E1231" s="20" t="s">
        <v>8679</v>
      </c>
      <c r="F1231" s="20" t="s">
        <v>3726</v>
      </c>
      <c r="G1231" s="20" t="s">
        <v>3777</v>
      </c>
      <c r="H1231" s="20" t="s">
        <v>6</v>
      </c>
      <c r="I1231" s="39">
        <v>44769.464855543978</v>
      </c>
      <c r="J1231" s="39">
        <v>44769.464855636572</v>
      </c>
      <c r="K1231" s="20">
        <v>0</v>
      </c>
      <c r="L1231" s="17" t="str">
        <f t="shared" si="19"/>
        <v>https://captureandgo.cloudlab.zhaw.ch/uploads/image_5dd1534271.jpg</v>
      </c>
    </row>
    <row r="1232" spans="1:12" ht="16" x14ac:dyDescent="0.2">
      <c r="A1232" s="20" t="s">
        <v>8680</v>
      </c>
      <c r="B1232" s="20" t="s">
        <v>8681</v>
      </c>
      <c r="C1232" s="20" t="s">
        <v>3774</v>
      </c>
      <c r="D1232" s="20" t="s">
        <v>8682</v>
      </c>
      <c r="E1232" s="20" t="s">
        <v>8683</v>
      </c>
      <c r="F1232" s="20" t="s">
        <v>3729</v>
      </c>
      <c r="G1232" s="20" t="s">
        <v>3777</v>
      </c>
      <c r="H1232" s="20" t="s">
        <v>6</v>
      </c>
      <c r="I1232" s="39">
        <v>44769.465208032409</v>
      </c>
      <c r="J1232" s="39">
        <v>44769.465208344911</v>
      </c>
      <c r="K1232" s="20">
        <v>0</v>
      </c>
      <c r="L1232" s="17" t="str">
        <f t="shared" si="19"/>
        <v>https://captureandgo.cloudlab.zhaw.ch/uploads/image_ef688ef853.jpg</v>
      </c>
    </row>
    <row r="1233" spans="1:12" ht="16" x14ac:dyDescent="0.2">
      <c r="A1233" s="20" t="s">
        <v>8684</v>
      </c>
      <c r="B1233" s="20" t="s">
        <v>8685</v>
      </c>
      <c r="C1233" s="20" t="s">
        <v>3774</v>
      </c>
      <c r="D1233" s="20" t="s">
        <v>8686</v>
      </c>
      <c r="E1233" s="20" t="s">
        <v>8687</v>
      </c>
      <c r="F1233" s="20" t="s">
        <v>3732</v>
      </c>
      <c r="G1233" s="20" t="s">
        <v>3777</v>
      </c>
      <c r="H1233" s="20" t="s">
        <v>6</v>
      </c>
      <c r="I1233" s="39">
        <v>44769.465570381944</v>
      </c>
      <c r="J1233" s="39">
        <v>44769.465570416665</v>
      </c>
      <c r="K1233" s="20">
        <v>0</v>
      </c>
      <c r="L1233" s="17" t="str">
        <f t="shared" si="19"/>
        <v>https://captureandgo.cloudlab.zhaw.ch/uploads/image_00608e5706.jpg</v>
      </c>
    </row>
    <row r="1234" spans="1:12" ht="16" x14ac:dyDescent="0.2">
      <c r="A1234" s="20" t="s">
        <v>8688</v>
      </c>
      <c r="B1234" s="20" t="s">
        <v>8689</v>
      </c>
      <c r="C1234" s="20" t="s">
        <v>3774</v>
      </c>
      <c r="D1234" s="20" t="s">
        <v>8690</v>
      </c>
      <c r="E1234" s="20" t="s">
        <v>8691</v>
      </c>
      <c r="F1234" s="20" t="s">
        <v>3735</v>
      </c>
      <c r="G1234" s="20" t="s">
        <v>3777</v>
      </c>
      <c r="H1234" s="20" t="s">
        <v>6</v>
      </c>
      <c r="I1234" s="39">
        <v>44769.46604269676</v>
      </c>
      <c r="J1234" s="39">
        <v>44769.466042731481</v>
      </c>
      <c r="K1234" s="20">
        <v>0</v>
      </c>
      <c r="L1234" s="17" t="str">
        <f t="shared" si="19"/>
        <v>https://captureandgo.cloudlab.zhaw.ch/uploads/image_b4d8c56cf6.jpg</v>
      </c>
    </row>
    <row r="1235" spans="1:12" ht="16" x14ac:dyDescent="0.2">
      <c r="A1235" s="20" t="s">
        <v>8692</v>
      </c>
      <c r="B1235" s="20" t="s">
        <v>8693</v>
      </c>
      <c r="C1235" s="20" t="s">
        <v>3774</v>
      </c>
      <c r="D1235" s="20" t="s">
        <v>8694</v>
      </c>
      <c r="E1235" s="20" t="s">
        <v>8695</v>
      </c>
      <c r="F1235" s="20" t="s">
        <v>3738</v>
      </c>
      <c r="G1235" s="20" t="s">
        <v>3777</v>
      </c>
      <c r="H1235" s="20" t="s">
        <v>6</v>
      </c>
      <c r="I1235" s="39">
        <v>44769.467913125001</v>
      </c>
      <c r="J1235" s="39">
        <v>44769.467913171298</v>
      </c>
      <c r="K1235" s="20">
        <v>0</v>
      </c>
      <c r="L1235" s="17" t="str">
        <f t="shared" si="19"/>
        <v>https://captureandgo.cloudlab.zhaw.ch/uploads/image_2ad1d89e6b.jpg</v>
      </c>
    </row>
    <row r="1236" spans="1:12" ht="16" x14ac:dyDescent="0.2">
      <c r="A1236" s="20" t="s">
        <v>8696</v>
      </c>
      <c r="B1236" s="20" t="s">
        <v>8697</v>
      </c>
      <c r="C1236" s="20" t="s">
        <v>3774</v>
      </c>
      <c r="D1236" s="20" t="s">
        <v>8698</v>
      </c>
      <c r="E1236" s="20" t="s">
        <v>8699</v>
      </c>
      <c r="F1236" s="20" t="s">
        <v>3741</v>
      </c>
      <c r="G1236" s="20" t="s">
        <v>3777</v>
      </c>
      <c r="H1236" s="20" t="s">
        <v>6</v>
      </c>
      <c r="I1236" s="39">
        <v>44769.468843113427</v>
      </c>
      <c r="J1236" s="39">
        <v>44769.468843159724</v>
      </c>
      <c r="K1236" s="20">
        <v>0</v>
      </c>
      <c r="L1236" s="17" t="str">
        <f t="shared" si="19"/>
        <v>https://captureandgo.cloudlab.zhaw.ch/uploads/image_729a1cb2b0.jpg</v>
      </c>
    </row>
    <row r="1237" spans="1:12" ht="16" x14ac:dyDescent="0.2">
      <c r="A1237" s="20" t="s">
        <v>8700</v>
      </c>
      <c r="B1237" s="20" t="s">
        <v>8701</v>
      </c>
      <c r="C1237" s="20" t="s">
        <v>3774</v>
      </c>
      <c r="D1237" s="20" t="s">
        <v>8702</v>
      </c>
      <c r="E1237" s="20" t="s">
        <v>8703</v>
      </c>
      <c r="F1237" s="20" t="s">
        <v>3741</v>
      </c>
      <c r="G1237" s="20" t="s">
        <v>3777</v>
      </c>
      <c r="H1237" s="20" t="s">
        <v>6</v>
      </c>
      <c r="I1237" s="39">
        <v>44769.468956562501</v>
      </c>
      <c r="J1237" s="39">
        <v>44769.468956585646</v>
      </c>
      <c r="K1237" s="20">
        <v>0</v>
      </c>
      <c r="L1237" s="17" t="str">
        <f t="shared" si="19"/>
        <v>https://captureandgo.cloudlab.zhaw.ch/uploads/image_fc242edcb6.jpg</v>
      </c>
    </row>
    <row r="1238" spans="1:12" ht="16" x14ac:dyDescent="0.2">
      <c r="A1238" s="20" t="s">
        <v>8704</v>
      </c>
      <c r="B1238" s="20" t="s">
        <v>8705</v>
      </c>
      <c r="C1238" s="20" t="s">
        <v>3774</v>
      </c>
      <c r="D1238" s="20" t="s">
        <v>8706</v>
      </c>
      <c r="E1238" s="20" t="s">
        <v>8707</v>
      </c>
      <c r="F1238" s="20" t="s">
        <v>3741</v>
      </c>
      <c r="G1238" s="20" t="s">
        <v>3777</v>
      </c>
      <c r="H1238" s="20" t="s">
        <v>6</v>
      </c>
      <c r="I1238" s="39">
        <v>44769.469032384259</v>
      </c>
      <c r="J1238" s="39">
        <v>44769.46903241898</v>
      </c>
      <c r="K1238" s="20">
        <v>0</v>
      </c>
      <c r="L1238" s="17" t="str">
        <f t="shared" si="19"/>
        <v>https://captureandgo.cloudlab.zhaw.ch/uploads/image_f4998b383b.jpg</v>
      </c>
    </row>
    <row r="1239" spans="1:12" ht="16" x14ac:dyDescent="0.2">
      <c r="A1239" s="20" t="s">
        <v>8708</v>
      </c>
      <c r="B1239" s="20" t="s">
        <v>8709</v>
      </c>
      <c r="C1239" s="20" t="s">
        <v>3774</v>
      </c>
      <c r="D1239" s="20" t="s">
        <v>8710</v>
      </c>
      <c r="E1239" s="20" t="s">
        <v>8711</v>
      </c>
      <c r="F1239" s="20" t="s">
        <v>3744</v>
      </c>
      <c r="G1239" s="20" t="s">
        <v>3777</v>
      </c>
      <c r="H1239" s="20" t="s">
        <v>6</v>
      </c>
      <c r="I1239" s="39">
        <v>44769.46988715278</v>
      </c>
      <c r="J1239" s="39">
        <v>44769.469887199077</v>
      </c>
      <c r="K1239" s="20">
        <v>0</v>
      </c>
      <c r="L1239" s="17" t="str">
        <f t="shared" si="19"/>
        <v>https://captureandgo.cloudlab.zhaw.ch/uploads/image_52cfbe018b.jpg</v>
      </c>
    </row>
    <row r="1240" spans="1:12" ht="16" x14ac:dyDescent="0.2">
      <c r="A1240" s="20" t="s">
        <v>8712</v>
      </c>
      <c r="B1240" s="20" t="s">
        <v>8713</v>
      </c>
      <c r="C1240" s="20" t="s">
        <v>3774</v>
      </c>
      <c r="D1240" s="20" t="s">
        <v>8714</v>
      </c>
      <c r="E1240" s="20" t="s">
        <v>8715</v>
      </c>
      <c r="F1240" s="20" t="s">
        <v>3747</v>
      </c>
      <c r="G1240" s="20" t="s">
        <v>3777</v>
      </c>
      <c r="H1240" s="20" t="s">
        <v>6</v>
      </c>
      <c r="I1240" s="39">
        <v>44769.470910046293</v>
      </c>
      <c r="J1240" s="39">
        <v>44769.470910081021</v>
      </c>
      <c r="K1240" s="20">
        <v>0</v>
      </c>
      <c r="L1240" s="17" t="str">
        <f t="shared" si="19"/>
        <v>https://captureandgo.cloudlab.zhaw.ch/uploads/image_b15eef0945.jpg</v>
      </c>
    </row>
    <row r="1241" spans="1:12" ht="16" x14ac:dyDescent="0.2">
      <c r="A1241" s="20" t="s">
        <v>8716</v>
      </c>
      <c r="B1241" s="20" t="s">
        <v>8717</v>
      </c>
      <c r="C1241" s="20" t="s">
        <v>3774</v>
      </c>
      <c r="D1241" s="20" t="s">
        <v>8718</v>
      </c>
      <c r="E1241" s="20" t="s">
        <v>8719</v>
      </c>
      <c r="F1241" s="20" t="s">
        <v>3750</v>
      </c>
      <c r="G1241" s="20" t="s">
        <v>3777</v>
      </c>
      <c r="H1241" s="20" t="s">
        <v>6</v>
      </c>
      <c r="I1241" s="39">
        <v>44769.471814907411</v>
      </c>
      <c r="J1241" s="39">
        <v>44769.471814942131</v>
      </c>
      <c r="K1241" s="20">
        <v>0</v>
      </c>
      <c r="L1241" s="17" t="str">
        <f t="shared" si="19"/>
        <v>https://captureandgo.cloudlab.zhaw.ch/uploads/image_31e6f81f3b.jpg</v>
      </c>
    </row>
    <row r="1242" spans="1:12" x14ac:dyDescent="0.2">
      <c r="L1242" s="17"/>
    </row>
    <row r="1243" spans="1:12" x14ac:dyDescent="0.2">
      <c r="L1243" s="17"/>
    </row>
    <row r="1244" spans="1:12" x14ac:dyDescent="0.2">
      <c r="L1244" s="17"/>
    </row>
    <row r="1245" spans="1:12" x14ac:dyDescent="0.2">
      <c r="L1245" s="17"/>
    </row>
    <row r="1246" spans="1:12" x14ac:dyDescent="0.2">
      <c r="L1246" s="17"/>
    </row>
    <row r="1247" spans="1:12" x14ac:dyDescent="0.2">
      <c r="L1247" s="17"/>
    </row>
    <row r="1248" spans="1:12" x14ac:dyDescent="0.2">
      <c r="L1248" s="17"/>
    </row>
    <row r="1249" spans="12:12" x14ac:dyDescent="0.2">
      <c r="L1249" s="17"/>
    </row>
    <row r="1250" spans="12:12" x14ac:dyDescent="0.2">
      <c r="L1250" s="17"/>
    </row>
    <row r="1251" spans="12:12" x14ac:dyDescent="0.2">
      <c r="L1251" s="17"/>
    </row>
    <row r="1252" spans="12:12" x14ac:dyDescent="0.2">
      <c r="L1252" s="17"/>
    </row>
    <row r="1253" spans="12:12" x14ac:dyDescent="0.2">
      <c r="L1253" s="17"/>
    </row>
    <row r="1254" spans="12:12" x14ac:dyDescent="0.2">
      <c r="L1254" s="17"/>
    </row>
    <row r="1255" spans="12:12" x14ac:dyDescent="0.2">
      <c r="L1255" s="17"/>
    </row>
    <row r="1256" spans="12:12" x14ac:dyDescent="0.2">
      <c r="L1256" s="17"/>
    </row>
    <row r="1257" spans="12:12" x14ac:dyDescent="0.2">
      <c r="L1257" s="17"/>
    </row>
    <row r="1258" spans="12:12" x14ac:dyDescent="0.2">
      <c r="L1258" s="17"/>
    </row>
    <row r="1259" spans="12:12" x14ac:dyDescent="0.2">
      <c r="L1259" s="17"/>
    </row>
    <row r="1260" spans="12:12" x14ac:dyDescent="0.2">
      <c r="L1260" s="17"/>
    </row>
    <row r="1261" spans="12:12" x14ac:dyDescent="0.2">
      <c r="L1261" s="17"/>
    </row>
    <row r="1262" spans="12:12" x14ac:dyDescent="0.2">
      <c r="L1262" s="17"/>
    </row>
    <row r="1263" spans="12:12" x14ac:dyDescent="0.2">
      <c r="L1263" s="17"/>
    </row>
    <row r="1264" spans="12:12" x14ac:dyDescent="0.2">
      <c r="L1264" s="17"/>
    </row>
    <row r="1265" spans="12:12" x14ac:dyDescent="0.2">
      <c r="L1265" s="17"/>
    </row>
    <row r="1266" spans="12:12" x14ac:dyDescent="0.2">
      <c r="L1266" s="17"/>
    </row>
    <row r="1267" spans="12:12" x14ac:dyDescent="0.2">
      <c r="L1267" s="17"/>
    </row>
    <row r="1268" spans="12:12" x14ac:dyDescent="0.2">
      <c r="L1268" s="17"/>
    </row>
    <row r="1269" spans="12:12" x14ac:dyDescent="0.2">
      <c r="L1269" s="17"/>
    </row>
    <row r="1270" spans="12:12" x14ac:dyDescent="0.2">
      <c r="L1270" s="17"/>
    </row>
    <row r="1271" spans="12:12" x14ac:dyDescent="0.2">
      <c r="L1271" s="17"/>
    </row>
    <row r="1272" spans="12:12" x14ac:dyDescent="0.2">
      <c r="L1272" s="17"/>
    </row>
    <row r="1273" spans="12:12" x14ac:dyDescent="0.2">
      <c r="L1273" s="17"/>
    </row>
    <row r="1274" spans="12:12" x14ac:dyDescent="0.2">
      <c r="L1274" s="17"/>
    </row>
    <row r="1275" spans="12:12" x14ac:dyDescent="0.2">
      <c r="L1275" s="17"/>
    </row>
    <row r="1276" spans="12:12" x14ac:dyDescent="0.2">
      <c r="L1276" s="17"/>
    </row>
    <row r="1277" spans="12:12" x14ac:dyDescent="0.2">
      <c r="L1277" s="17"/>
    </row>
    <row r="1278" spans="12:12" x14ac:dyDescent="0.2">
      <c r="L1278" s="17"/>
    </row>
    <row r="1279" spans="12:12" x14ac:dyDescent="0.2">
      <c r="L1279" s="17"/>
    </row>
    <row r="1280" spans="12:12" x14ac:dyDescent="0.2">
      <c r="L1280" s="17"/>
    </row>
    <row r="1281" spans="12:12" x14ac:dyDescent="0.2">
      <c r="L1281" s="17"/>
    </row>
    <row r="1282" spans="12:12" x14ac:dyDescent="0.2">
      <c r="L1282" s="17"/>
    </row>
    <row r="1283" spans="12:12" x14ac:dyDescent="0.2">
      <c r="L1283" s="17"/>
    </row>
    <row r="1284" spans="12:12" x14ac:dyDescent="0.2">
      <c r="L1284" s="17"/>
    </row>
    <row r="1285" spans="12:12" x14ac:dyDescent="0.2">
      <c r="L1285" s="17"/>
    </row>
    <row r="1286" spans="12:12" x14ac:dyDescent="0.2">
      <c r="L1286" s="17"/>
    </row>
    <row r="1287" spans="12:12" x14ac:dyDescent="0.2">
      <c r="L1287" s="17"/>
    </row>
    <row r="1288" spans="12:12" x14ac:dyDescent="0.2">
      <c r="L1288" s="17"/>
    </row>
    <row r="1289" spans="12:12" x14ac:dyDescent="0.2">
      <c r="L1289" s="17"/>
    </row>
    <row r="1290" spans="12:12" x14ac:dyDescent="0.2">
      <c r="L1290" s="17"/>
    </row>
    <row r="1291" spans="12:12" x14ac:dyDescent="0.2">
      <c r="L1291" s="17"/>
    </row>
    <row r="1292" spans="12:12" x14ac:dyDescent="0.2">
      <c r="L1292" s="17"/>
    </row>
    <row r="1293" spans="12:12" x14ac:dyDescent="0.2">
      <c r="L1293" s="17"/>
    </row>
    <row r="1294" spans="12:12" x14ac:dyDescent="0.2">
      <c r="L1294" s="17"/>
    </row>
    <row r="1295" spans="12:12" x14ac:dyDescent="0.2">
      <c r="L1295" s="17"/>
    </row>
    <row r="1296" spans="12:12" x14ac:dyDescent="0.2">
      <c r="L1296" s="17"/>
    </row>
    <row r="1297" spans="12:12" x14ac:dyDescent="0.2">
      <c r="L1297" s="17"/>
    </row>
    <row r="1298" spans="12:12" x14ac:dyDescent="0.2">
      <c r="L1298" s="17"/>
    </row>
    <row r="1299" spans="12:12" x14ac:dyDescent="0.2">
      <c r="L1299" s="17"/>
    </row>
    <row r="1300" spans="12:12" x14ac:dyDescent="0.2">
      <c r="L1300" s="17"/>
    </row>
    <row r="1301" spans="12:12" x14ac:dyDescent="0.2">
      <c r="L1301" s="17"/>
    </row>
    <row r="1302" spans="12:12" x14ac:dyDescent="0.2">
      <c r="L1302" s="17"/>
    </row>
    <row r="1303" spans="12:12" x14ac:dyDescent="0.2">
      <c r="L1303" s="17"/>
    </row>
    <row r="1304" spans="12:12" x14ac:dyDescent="0.2">
      <c r="L1304" s="17"/>
    </row>
    <row r="1305" spans="12:12" x14ac:dyDescent="0.2">
      <c r="L1305" s="17"/>
    </row>
    <row r="1306" spans="12:12" x14ac:dyDescent="0.2">
      <c r="L1306" s="17"/>
    </row>
    <row r="1307" spans="12:12" x14ac:dyDescent="0.2">
      <c r="L1307" s="17"/>
    </row>
    <row r="1308" spans="12:12" x14ac:dyDescent="0.2">
      <c r="L1308" s="17"/>
    </row>
    <row r="1309" spans="12:12" x14ac:dyDescent="0.2">
      <c r="L1309" s="17"/>
    </row>
    <row r="1310" spans="12:12" x14ac:dyDescent="0.2">
      <c r="L1310" s="17"/>
    </row>
    <row r="1311" spans="12:12" x14ac:dyDescent="0.2">
      <c r="L1311" s="17"/>
    </row>
    <row r="1312" spans="12:12" x14ac:dyDescent="0.2">
      <c r="L1312" s="17"/>
    </row>
    <row r="1313" spans="12:12" x14ac:dyDescent="0.2">
      <c r="L1313" s="17"/>
    </row>
    <row r="1314" spans="12:12" x14ac:dyDescent="0.2">
      <c r="L1314" s="17"/>
    </row>
    <row r="1315" spans="12:12" x14ac:dyDescent="0.2">
      <c r="L1315" s="17"/>
    </row>
    <row r="1316" spans="12:12" x14ac:dyDescent="0.2">
      <c r="L1316" s="17"/>
    </row>
    <row r="1317" spans="12:12" x14ac:dyDescent="0.2">
      <c r="L1317" s="17"/>
    </row>
    <row r="1318" spans="12:12" x14ac:dyDescent="0.2">
      <c r="L1318" s="17"/>
    </row>
    <row r="1319" spans="12:12" x14ac:dyDescent="0.2">
      <c r="L1319" s="17"/>
    </row>
    <row r="1320" spans="12:12" x14ac:dyDescent="0.2">
      <c r="L1320" s="17"/>
    </row>
    <row r="1321" spans="12:12" x14ac:dyDescent="0.2">
      <c r="L1321" s="17"/>
    </row>
    <row r="1322" spans="12:12" x14ac:dyDescent="0.2">
      <c r="L1322" s="17"/>
    </row>
    <row r="1323" spans="12:12" x14ac:dyDescent="0.2">
      <c r="L1323" s="17"/>
    </row>
    <row r="1324" spans="12:12" x14ac:dyDescent="0.2">
      <c r="L1324" s="17"/>
    </row>
    <row r="1325" spans="12:12" x14ac:dyDescent="0.2">
      <c r="L1325" s="17"/>
    </row>
    <row r="1326" spans="12:12" x14ac:dyDescent="0.2">
      <c r="L1326" s="17"/>
    </row>
  </sheetData>
  <autoFilter ref="A1:L1241" xr:uid="{CA8A5ABF-9A16-9D47-9B19-BB92F8C5C285}"/>
  <pageMargins left="0.7" right="0.7" top="0.75" bottom="0.75" header="0.3" footer="0.3"/>
  <pageSetup paperSize="9" scale="10" fitToWidth="0" fitToHeight="0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71"/>
  <sheetViews>
    <sheetView topLeftCell="A1106" workbookViewId="0">
      <selection activeCell="N2" sqref="N2"/>
    </sheetView>
  </sheetViews>
  <sheetFormatPr baseColWidth="10" defaultColWidth="8.83203125" defaultRowHeight="15" x14ac:dyDescent="0.2"/>
  <cols>
    <col min="1" max="1" width="63" customWidth="1"/>
    <col min="2" max="2" width="10.83203125" customWidth="1"/>
    <col min="3" max="3" width="12.1640625" customWidth="1"/>
    <col min="4" max="4" width="7.6640625" customWidth="1"/>
    <col min="5" max="5" width="7.33203125" customWidth="1"/>
    <col min="6" max="6" width="16.6640625" customWidth="1"/>
    <col min="7" max="7" width="7.83203125" customWidth="1"/>
    <col min="8" max="8" width="8.83203125" customWidth="1"/>
    <col min="9" max="9" width="33.83203125" customWidth="1"/>
    <col min="10" max="10" width="11.33203125" customWidth="1"/>
    <col min="11" max="11" width="7.1640625" customWidth="1"/>
    <col min="12" max="12" width="15.83203125" customWidth="1"/>
    <col min="13" max="13" width="11.5" customWidth="1"/>
    <col min="14" max="14" width="22.33203125" customWidth="1"/>
    <col min="15" max="15" width="11" customWidth="1"/>
    <col min="16" max="16" width="4" customWidth="1"/>
    <col min="17" max="17" width="25.33203125" customWidth="1"/>
    <col min="18" max="18" width="25.1640625" customWidth="1"/>
    <col min="19" max="19" width="35" customWidth="1"/>
    <col min="20" max="20" width="10.1640625" customWidth="1"/>
    <col min="21" max="21" width="9" customWidth="1"/>
    <col min="22" max="22" width="16.6640625" customWidth="1"/>
    <col min="23" max="23" width="8" customWidth="1"/>
    <col min="24" max="24" width="6.5" customWidth="1"/>
    <col min="25" max="25" width="17.33203125" customWidth="1"/>
    <col min="26" max="26" width="1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</row>
    <row r="2" spans="1:26" x14ac:dyDescent="0.2">
      <c r="A2" s="2" t="s">
        <v>8720</v>
      </c>
      <c r="B2" s="2" t="b">
        <v>0</v>
      </c>
      <c r="C2" s="2" t="b">
        <v>0</v>
      </c>
      <c r="D2" s="2" t="b">
        <v>0</v>
      </c>
      <c r="E2" s="2" t="b">
        <v>0</v>
      </c>
      <c r="F2" s="2" t="s">
        <v>31</v>
      </c>
      <c r="G2" s="2" t="s">
        <v>149</v>
      </c>
      <c r="H2" s="2" t="s">
        <v>8721</v>
      </c>
      <c r="I2" s="2" t="s">
        <v>8722</v>
      </c>
      <c r="J2" s="2" t="b">
        <v>0</v>
      </c>
      <c r="K2" s="2" t="s">
        <v>35</v>
      </c>
      <c r="L2" s="2">
        <v>4</v>
      </c>
      <c r="M2" s="2" t="s">
        <v>35</v>
      </c>
      <c r="N2" s="3">
        <v>44621.504481377313</v>
      </c>
      <c r="O2" s="3">
        <v>44623.574966273147</v>
      </c>
      <c r="P2" s="2">
        <v>0</v>
      </c>
      <c r="Q2" s="2" t="s">
        <v>54</v>
      </c>
      <c r="R2" s="2" t="s">
        <v>8723</v>
      </c>
      <c r="S2" s="2" t="s">
        <v>8724</v>
      </c>
      <c r="T2" s="2" t="s">
        <v>35</v>
      </c>
      <c r="U2" s="2" t="s">
        <v>35</v>
      </c>
      <c r="V2" s="2" t="s">
        <v>35</v>
      </c>
      <c r="W2" s="2" t="s">
        <v>35</v>
      </c>
      <c r="X2" s="2" t="s">
        <v>35</v>
      </c>
      <c r="Y2" s="2" t="s">
        <v>35</v>
      </c>
      <c r="Z2" s="2" t="s">
        <v>35</v>
      </c>
    </row>
    <row r="3" spans="1:26" x14ac:dyDescent="0.2">
      <c r="A3" s="2" t="s">
        <v>8725</v>
      </c>
      <c r="B3" s="2" t="b">
        <v>0</v>
      </c>
      <c r="C3" s="2" t="b">
        <v>0</v>
      </c>
      <c r="D3" s="2" t="b">
        <v>0</v>
      </c>
      <c r="E3" s="2" t="b">
        <v>0</v>
      </c>
      <c r="F3" s="2" t="s">
        <v>8726</v>
      </c>
      <c r="G3" s="2" t="s">
        <v>149</v>
      </c>
      <c r="H3" s="2" t="s">
        <v>8727</v>
      </c>
      <c r="I3" s="2" t="s">
        <v>8728</v>
      </c>
      <c r="J3" s="2" t="b">
        <v>0</v>
      </c>
      <c r="K3" s="2" t="s">
        <v>35</v>
      </c>
      <c r="L3" s="2" t="s">
        <v>35</v>
      </c>
      <c r="M3" s="2" t="s">
        <v>35</v>
      </c>
      <c r="N3" s="3">
        <v>44621.522599641205</v>
      </c>
      <c r="O3" s="3">
        <v>44623.578639942127</v>
      </c>
      <c r="P3" s="2">
        <v>0</v>
      </c>
      <c r="Q3" s="2" t="s">
        <v>100</v>
      </c>
      <c r="R3" s="2" t="s">
        <v>8723</v>
      </c>
      <c r="S3" s="2" t="s">
        <v>8724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35</v>
      </c>
      <c r="Y3" s="2" t="s">
        <v>35</v>
      </c>
      <c r="Z3" s="2" t="s">
        <v>35</v>
      </c>
    </row>
    <row r="4" spans="1:26" x14ac:dyDescent="0.2">
      <c r="A4" s="2" t="s">
        <v>8729</v>
      </c>
      <c r="B4" s="2" t="b">
        <v>0</v>
      </c>
      <c r="C4" s="2" t="b">
        <v>0</v>
      </c>
      <c r="D4" s="2" t="b">
        <v>0</v>
      </c>
      <c r="E4" s="2" t="b">
        <v>0</v>
      </c>
      <c r="F4" s="2" t="s">
        <v>8726</v>
      </c>
      <c r="G4" s="2" t="s">
        <v>149</v>
      </c>
      <c r="H4" s="2" t="s">
        <v>8730</v>
      </c>
      <c r="I4" s="2" t="s">
        <v>8731</v>
      </c>
      <c r="J4" s="2" t="b">
        <v>1</v>
      </c>
      <c r="K4" s="2" t="s">
        <v>35</v>
      </c>
      <c r="L4" s="2" t="s">
        <v>35</v>
      </c>
      <c r="M4" s="2" t="s">
        <v>35</v>
      </c>
      <c r="N4" s="3">
        <v>44621.527218726849</v>
      </c>
      <c r="O4" s="3">
        <v>44690.457416527781</v>
      </c>
      <c r="P4" s="2">
        <v>0</v>
      </c>
      <c r="Q4" s="2" t="s">
        <v>100</v>
      </c>
      <c r="R4" s="2" t="s">
        <v>8723</v>
      </c>
      <c r="S4" s="2" t="s">
        <v>35</v>
      </c>
      <c r="T4" s="2" t="s">
        <v>35</v>
      </c>
      <c r="U4" s="2" t="s">
        <v>35</v>
      </c>
      <c r="V4" s="2" t="s">
        <v>35</v>
      </c>
      <c r="W4" s="2" t="s">
        <v>35</v>
      </c>
      <c r="X4" s="2" t="s">
        <v>35</v>
      </c>
      <c r="Y4" s="2" t="s">
        <v>35</v>
      </c>
      <c r="Z4" s="2" t="s">
        <v>35</v>
      </c>
    </row>
    <row r="5" spans="1:26" x14ac:dyDescent="0.2">
      <c r="A5" s="2" t="s">
        <v>8732</v>
      </c>
      <c r="B5" s="2" t="b">
        <v>0</v>
      </c>
      <c r="C5" s="2" t="b">
        <v>0</v>
      </c>
      <c r="D5" s="2" t="b">
        <v>0</v>
      </c>
      <c r="E5" s="2" t="b">
        <v>0</v>
      </c>
      <c r="F5" s="2" t="s">
        <v>31</v>
      </c>
      <c r="G5" s="2" t="s">
        <v>149</v>
      </c>
      <c r="H5" s="2" t="s">
        <v>8733</v>
      </c>
      <c r="I5" s="2" t="s">
        <v>8734</v>
      </c>
      <c r="J5" s="2" t="b">
        <v>0</v>
      </c>
      <c r="K5" s="2" t="s">
        <v>35</v>
      </c>
      <c r="L5" s="2" t="s">
        <v>35</v>
      </c>
      <c r="M5" s="2" t="s">
        <v>35</v>
      </c>
      <c r="N5" s="3">
        <v>44621.565775069444</v>
      </c>
      <c r="O5" s="3">
        <v>44621.572570150463</v>
      </c>
      <c r="P5" s="2">
        <v>0</v>
      </c>
      <c r="Q5" s="2" t="s">
        <v>265</v>
      </c>
      <c r="R5" s="2" t="s">
        <v>8723</v>
      </c>
      <c r="S5" s="2" t="s">
        <v>35</v>
      </c>
      <c r="T5" s="2" t="s">
        <v>35</v>
      </c>
      <c r="U5" s="2" t="s">
        <v>35</v>
      </c>
      <c r="V5" s="2" t="s">
        <v>35</v>
      </c>
      <c r="W5" s="2" t="s">
        <v>35</v>
      </c>
      <c r="X5" s="2" t="s">
        <v>35</v>
      </c>
      <c r="Y5" s="2" t="s">
        <v>35</v>
      </c>
      <c r="Z5" s="2" t="s">
        <v>35</v>
      </c>
    </row>
    <row r="6" spans="1:26" x14ac:dyDescent="0.2">
      <c r="A6" s="2" t="s">
        <v>8735</v>
      </c>
      <c r="B6" s="2" t="b">
        <v>0</v>
      </c>
      <c r="C6" s="2" t="b">
        <v>0</v>
      </c>
      <c r="D6" s="2" t="b">
        <v>0</v>
      </c>
      <c r="E6" s="2" t="b">
        <v>0</v>
      </c>
      <c r="F6" s="2" t="s">
        <v>121</v>
      </c>
      <c r="G6" s="2" t="s">
        <v>149</v>
      </c>
      <c r="H6" s="2" t="s">
        <v>8736</v>
      </c>
      <c r="I6" s="2" t="s">
        <v>35</v>
      </c>
      <c r="J6" s="2" t="b">
        <v>0</v>
      </c>
      <c r="K6" s="2" t="s">
        <v>35</v>
      </c>
      <c r="L6" s="2" t="s">
        <v>35</v>
      </c>
      <c r="M6" s="2" t="s">
        <v>35</v>
      </c>
      <c r="N6" s="3">
        <v>44621.610232638886</v>
      </c>
      <c r="O6" s="3">
        <v>44621.614631354169</v>
      </c>
      <c r="P6" s="2">
        <v>0</v>
      </c>
      <c r="Q6" s="2" t="s">
        <v>54</v>
      </c>
      <c r="R6" s="2" t="s">
        <v>8723</v>
      </c>
      <c r="S6" s="2" t="s">
        <v>35</v>
      </c>
      <c r="T6" s="2" t="s">
        <v>35</v>
      </c>
      <c r="U6" s="2" t="s">
        <v>35</v>
      </c>
      <c r="V6" s="2" t="s">
        <v>35</v>
      </c>
      <c r="W6" s="2" t="s">
        <v>35</v>
      </c>
      <c r="X6" s="2" t="s">
        <v>35</v>
      </c>
      <c r="Y6" s="2" t="s">
        <v>35</v>
      </c>
      <c r="Z6" s="2" t="s">
        <v>35</v>
      </c>
    </row>
    <row r="7" spans="1:26" x14ac:dyDescent="0.2">
      <c r="A7" s="2" t="s">
        <v>8737</v>
      </c>
      <c r="B7" s="2" t="b">
        <v>0</v>
      </c>
      <c r="C7" s="2" t="b">
        <v>0</v>
      </c>
      <c r="D7" s="2" t="b">
        <v>0</v>
      </c>
      <c r="E7" s="2" t="b">
        <v>0</v>
      </c>
      <c r="F7" s="2" t="s">
        <v>31</v>
      </c>
      <c r="G7" s="2" t="s">
        <v>149</v>
      </c>
      <c r="H7" s="2" t="s">
        <v>8738</v>
      </c>
      <c r="I7" s="2" t="s">
        <v>8739</v>
      </c>
      <c r="J7" s="2" t="b">
        <v>0</v>
      </c>
      <c r="K7" s="2" t="s">
        <v>35</v>
      </c>
      <c r="L7" s="2">
        <v>120</v>
      </c>
      <c r="M7" s="2">
        <v>20</v>
      </c>
      <c r="N7" s="3">
        <v>44652.713692951387</v>
      </c>
      <c r="O7" s="3">
        <v>44652.721382650459</v>
      </c>
      <c r="P7" s="2">
        <v>0</v>
      </c>
      <c r="Q7" s="2" t="s">
        <v>54</v>
      </c>
      <c r="R7" s="2" t="s">
        <v>8740</v>
      </c>
      <c r="S7" s="2" t="s">
        <v>35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35</v>
      </c>
      <c r="Y7" s="2" t="s">
        <v>35</v>
      </c>
      <c r="Z7" s="2" t="s">
        <v>35</v>
      </c>
    </row>
    <row r="8" spans="1:26" x14ac:dyDescent="0.2">
      <c r="A8" s="2" t="s">
        <v>8741</v>
      </c>
      <c r="B8" s="2" t="b">
        <v>0</v>
      </c>
      <c r="C8" s="2" t="b">
        <v>0</v>
      </c>
      <c r="D8" s="2" t="b">
        <v>0</v>
      </c>
      <c r="E8" s="2" t="b">
        <v>0</v>
      </c>
      <c r="F8" s="2" t="s">
        <v>121</v>
      </c>
      <c r="G8" s="2" t="s">
        <v>149</v>
      </c>
      <c r="H8" s="2" t="s">
        <v>8742</v>
      </c>
      <c r="I8" s="2" t="s">
        <v>35</v>
      </c>
      <c r="J8" s="2" t="b">
        <v>0</v>
      </c>
      <c r="K8" s="2" t="s">
        <v>35</v>
      </c>
      <c r="L8" s="2" t="s">
        <v>35</v>
      </c>
      <c r="M8" s="2" t="s">
        <v>35</v>
      </c>
      <c r="N8" s="3">
        <v>44652.723174918981</v>
      </c>
      <c r="O8" s="3">
        <v>44652.723174999999</v>
      </c>
      <c r="P8" s="2">
        <v>0</v>
      </c>
      <c r="Q8" s="2" t="s">
        <v>8743</v>
      </c>
      <c r="R8" s="2" t="s">
        <v>8740</v>
      </c>
      <c r="S8" s="2" t="s">
        <v>35</v>
      </c>
      <c r="T8" s="2" t="s">
        <v>35</v>
      </c>
      <c r="U8" s="2" t="s">
        <v>35</v>
      </c>
      <c r="V8" s="2" t="s">
        <v>35</v>
      </c>
      <c r="W8" s="2" t="s">
        <v>35</v>
      </c>
      <c r="X8" s="2" t="s">
        <v>35</v>
      </c>
      <c r="Y8" s="2" t="s">
        <v>35</v>
      </c>
      <c r="Z8" s="2" t="s">
        <v>35</v>
      </c>
    </row>
    <row r="9" spans="1:26" x14ac:dyDescent="0.2">
      <c r="A9" s="2" t="s">
        <v>8744</v>
      </c>
      <c r="B9" s="2" t="b">
        <v>0</v>
      </c>
      <c r="C9" s="2" t="b">
        <v>0</v>
      </c>
      <c r="D9" s="2" t="b">
        <v>0</v>
      </c>
      <c r="E9" s="2" t="b">
        <v>0</v>
      </c>
      <c r="F9" s="2" t="s">
        <v>121</v>
      </c>
      <c r="G9" s="2" t="s">
        <v>149</v>
      </c>
      <c r="H9" s="2" t="s">
        <v>8742</v>
      </c>
      <c r="I9" s="2" t="s">
        <v>35</v>
      </c>
      <c r="J9" s="2" t="b">
        <v>0</v>
      </c>
      <c r="K9" s="2" t="s">
        <v>35</v>
      </c>
      <c r="L9" s="2" t="s">
        <v>35</v>
      </c>
      <c r="M9" s="2" t="s">
        <v>35</v>
      </c>
      <c r="N9" s="3">
        <v>44652.723469340279</v>
      </c>
      <c r="O9" s="3">
        <v>44652.723469386576</v>
      </c>
      <c r="P9" s="2">
        <v>0</v>
      </c>
      <c r="Q9" s="2" t="s">
        <v>8743</v>
      </c>
      <c r="R9" s="2" t="s">
        <v>8740</v>
      </c>
      <c r="S9" s="2" t="s">
        <v>35</v>
      </c>
      <c r="T9" s="2" t="s">
        <v>35</v>
      </c>
      <c r="U9" s="2" t="s">
        <v>35</v>
      </c>
      <c r="V9" s="2" t="s">
        <v>35</v>
      </c>
      <c r="W9" s="2" t="s">
        <v>35</v>
      </c>
      <c r="X9" s="2" t="s">
        <v>35</v>
      </c>
      <c r="Y9" s="2" t="s">
        <v>35</v>
      </c>
      <c r="Z9" s="2" t="s">
        <v>35</v>
      </c>
    </row>
    <row r="10" spans="1:26" x14ac:dyDescent="0.2">
      <c r="A10" s="2" t="s">
        <v>8745</v>
      </c>
      <c r="B10" s="2" t="b">
        <v>0</v>
      </c>
      <c r="C10" s="2" t="b">
        <v>0</v>
      </c>
      <c r="D10" s="2" t="b">
        <v>0</v>
      </c>
      <c r="E10" s="2" t="b">
        <v>0</v>
      </c>
      <c r="F10" s="2" t="s">
        <v>31</v>
      </c>
      <c r="G10" s="2" t="s">
        <v>149</v>
      </c>
      <c r="H10" s="2" t="s">
        <v>8742</v>
      </c>
      <c r="I10" s="2" t="s">
        <v>8746</v>
      </c>
      <c r="J10" s="2" t="b">
        <v>1</v>
      </c>
      <c r="K10" s="2" t="s">
        <v>35</v>
      </c>
      <c r="L10" s="2" t="s">
        <v>35</v>
      </c>
      <c r="M10" s="2" t="s">
        <v>35</v>
      </c>
      <c r="N10" s="3">
        <v>44652.723504594906</v>
      </c>
      <c r="O10" s="3">
        <v>44652.724933414349</v>
      </c>
      <c r="P10" s="2">
        <v>0</v>
      </c>
      <c r="Q10" s="2" t="s">
        <v>416</v>
      </c>
      <c r="R10" s="2" t="s">
        <v>8740</v>
      </c>
      <c r="S10" s="2" t="s">
        <v>35</v>
      </c>
      <c r="T10" s="2">
        <v>100</v>
      </c>
      <c r="U10" s="2" t="s">
        <v>35</v>
      </c>
      <c r="V10" s="2" t="s">
        <v>35</v>
      </c>
      <c r="W10" s="2" t="s">
        <v>35</v>
      </c>
      <c r="X10" s="2" t="s">
        <v>35</v>
      </c>
      <c r="Y10" s="2" t="s">
        <v>35</v>
      </c>
      <c r="Z10" s="2" t="s">
        <v>35</v>
      </c>
    </row>
    <row r="11" spans="1:26" x14ac:dyDescent="0.2">
      <c r="A11" s="2" t="s">
        <v>8747</v>
      </c>
      <c r="B11" s="2" t="b">
        <v>0</v>
      </c>
      <c r="C11" s="2" t="b">
        <v>0</v>
      </c>
      <c r="D11" s="2" t="b">
        <v>0</v>
      </c>
      <c r="E11" s="2" t="b">
        <v>0</v>
      </c>
      <c r="F11" s="2" t="s">
        <v>121</v>
      </c>
      <c r="G11" s="2" t="s">
        <v>149</v>
      </c>
      <c r="H11" s="2" t="s">
        <v>8748</v>
      </c>
      <c r="I11" s="2" t="s">
        <v>35</v>
      </c>
      <c r="J11" s="2" t="b">
        <v>0</v>
      </c>
      <c r="K11" s="2" t="s">
        <v>35</v>
      </c>
      <c r="L11" s="2" t="s">
        <v>35</v>
      </c>
      <c r="M11" s="2" t="s">
        <v>35</v>
      </c>
      <c r="N11" s="3">
        <v>44655.735852523147</v>
      </c>
      <c r="O11" s="3">
        <v>44655.735852662037</v>
      </c>
      <c r="P11" s="2">
        <v>0</v>
      </c>
      <c r="Q11" s="2" t="s">
        <v>8743</v>
      </c>
      <c r="R11" s="2" t="s">
        <v>8740</v>
      </c>
      <c r="S11" s="2" t="s">
        <v>35</v>
      </c>
      <c r="T11" s="2" t="s">
        <v>35</v>
      </c>
      <c r="U11" s="2" t="s">
        <v>35</v>
      </c>
      <c r="V11" s="2" t="s">
        <v>35</v>
      </c>
      <c r="W11" s="2" t="s">
        <v>35</v>
      </c>
      <c r="X11" s="2" t="s">
        <v>35</v>
      </c>
      <c r="Y11" s="2" t="s">
        <v>35</v>
      </c>
      <c r="Z11" s="2" t="s">
        <v>35</v>
      </c>
    </row>
    <row r="12" spans="1:26" x14ac:dyDescent="0.2">
      <c r="A12" s="2" t="s">
        <v>8749</v>
      </c>
      <c r="B12" s="2" t="b">
        <v>0</v>
      </c>
      <c r="C12" s="2" t="b">
        <v>0</v>
      </c>
      <c r="D12" s="2" t="b">
        <v>0</v>
      </c>
      <c r="E12" s="2" t="b">
        <v>0</v>
      </c>
      <c r="F12" s="2" t="s">
        <v>121</v>
      </c>
      <c r="G12" s="2" t="s">
        <v>149</v>
      </c>
      <c r="H12" s="2" t="s">
        <v>8748</v>
      </c>
      <c r="I12" s="2" t="s">
        <v>35</v>
      </c>
      <c r="J12" s="2" t="b">
        <v>0</v>
      </c>
      <c r="K12" s="2" t="s">
        <v>35</v>
      </c>
      <c r="L12" s="2" t="s">
        <v>35</v>
      </c>
      <c r="M12" s="2" t="s">
        <v>35</v>
      </c>
      <c r="N12" s="3">
        <v>44655.735960983795</v>
      </c>
      <c r="O12" s="3">
        <v>44655.735961041668</v>
      </c>
      <c r="P12" s="2">
        <v>0</v>
      </c>
      <c r="Q12" s="2" t="s">
        <v>8743</v>
      </c>
      <c r="R12" s="2" t="s">
        <v>8740</v>
      </c>
      <c r="S12" s="2" t="s">
        <v>35</v>
      </c>
      <c r="T12" s="2" t="s">
        <v>35</v>
      </c>
      <c r="U12" s="2" t="s">
        <v>35</v>
      </c>
      <c r="V12" s="2" t="s">
        <v>35</v>
      </c>
      <c r="W12" s="2" t="s">
        <v>35</v>
      </c>
      <c r="X12" s="2" t="s">
        <v>35</v>
      </c>
      <c r="Y12" s="2" t="s">
        <v>35</v>
      </c>
      <c r="Z12" s="2" t="s">
        <v>35</v>
      </c>
    </row>
    <row r="13" spans="1:26" x14ac:dyDescent="0.2">
      <c r="A13" s="2" t="s">
        <v>8750</v>
      </c>
      <c r="B13" s="2" t="b">
        <v>0</v>
      </c>
      <c r="C13" s="2" t="b">
        <v>0</v>
      </c>
      <c r="D13" s="2" t="b">
        <v>0</v>
      </c>
      <c r="E13" s="2" t="b">
        <v>0</v>
      </c>
      <c r="F13" s="2" t="s">
        <v>31</v>
      </c>
      <c r="G13" s="2" t="s">
        <v>149</v>
      </c>
      <c r="H13" s="2" t="s">
        <v>8748</v>
      </c>
      <c r="I13" s="2" t="s">
        <v>35</v>
      </c>
      <c r="J13" s="2" t="b">
        <v>0</v>
      </c>
      <c r="K13" s="2" t="s">
        <v>35</v>
      </c>
      <c r="L13" s="2">
        <v>2</v>
      </c>
      <c r="M13" s="2">
        <v>20</v>
      </c>
      <c r="N13" s="3">
        <v>44655.735962152779</v>
      </c>
      <c r="O13" s="3">
        <v>44655.739102893516</v>
      </c>
      <c r="P13" s="2">
        <v>0</v>
      </c>
      <c r="Q13" s="2" t="s">
        <v>54</v>
      </c>
      <c r="R13" s="2" t="s">
        <v>8740</v>
      </c>
      <c r="S13" s="2" t="s">
        <v>35</v>
      </c>
      <c r="T13" s="2" t="s">
        <v>35</v>
      </c>
      <c r="U13" s="2" t="s">
        <v>35</v>
      </c>
      <c r="V13" s="2" t="s">
        <v>35</v>
      </c>
      <c r="W13" s="2" t="s">
        <v>35</v>
      </c>
      <c r="X13" s="2" t="s">
        <v>35</v>
      </c>
      <c r="Y13" s="2" t="s">
        <v>35</v>
      </c>
      <c r="Z13" s="2" t="s">
        <v>35</v>
      </c>
    </row>
    <row r="14" spans="1:26" x14ac:dyDescent="0.2">
      <c r="A14" s="2" t="s">
        <v>8751</v>
      </c>
      <c r="B14" s="2" t="b">
        <v>0</v>
      </c>
      <c r="C14" s="2" t="b">
        <v>0</v>
      </c>
      <c r="D14" s="2" t="b">
        <v>0</v>
      </c>
      <c r="E14" s="2" t="b">
        <v>0</v>
      </c>
      <c r="F14" s="2" t="s">
        <v>31</v>
      </c>
      <c r="G14" s="2" t="s">
        <v>149</v>
      </c>
      <c r="H14" s="2" t="s">
        <v>8752</v>
      </c>
      <c r="I14" s="2" t="s">
        <v>35</v>
      </c>
      <c r="J14" s="2" t="b">
        <v>0</v>
      </c>
      <c r="K14" s="2" t="s">
        <v>35</v>
      </c>
      <c r="L14" s="2">
        <v>4</v>
      </c>
      <c r="M14" s="2">
        <v>20</v>
      </c>
      <c r="N14" s="3">
        <v>44655.740058750001</v>
      </c>
      <c r="O14" s="3">
        <v>44655.741215624999</v>
      </c>
      <c r="P14" s="2">
        <v>0</v>
      </c>
      <c r="Q14" s="2" t="s">
        <v>54</v>
      </c>
      <c r="R14" s="2" t="s">
        <v>8740</v>
      </c>
      <c r="S14" s="2" t="s">
        <v>35</v>
      </c>
      <c r="T14" s="2" t="s">
        <v>35</v>
      </c>
      <c r="U14" s="2" t="s">
        <v>35</v>
      </c>
      <c r="V14" s="2" t="s">
        <v>35</v>
      </c>
      <c r="W14" s="2" t="s">
        <v>35</v>
      </c>
      <c r="X14" s="2" t="s">
        <v>35</v>
      </c>
      <c r="Y14" s="2" t="s">
        <v>35</v>
      </c>
      <c r="Z14" s="2" t="s">
        <v>35</v>
      </c>
    </row>
    <row r="15" spans="1:26" x14ac:dyDescent="0.2">
      <c r="A15" s="2" t="s">
        <v>8753</v>
      </c>
      <c r="B15" s="2" t="b">
        <v>0</v>
      </c>
      <c r="C15" s="2" t="b">
        <v>0</v>
      </c>
      <c r="D15" s="2" t="b">
        <v>0</v>
      </c>
      <c r="E15" s="2" t="b">
        <v>0</v>
      </c>
      <c r="F15" s="2" t="s">
        <v>31</v>
      </c>
      <c r="G15" s="2" t="s">
        <v>149</v>
      </c>
      <c r="H15" s="2" t="s">
        <v>8754</v>
      </c>
      <c r="I15" s="2" t="s">
        <v>8755</v>
      </c>
      <c r="J15" s="2" t="b">
        <v>1</v>
      </c>
      <c r="K15" s="2" t="s">
        <v>35</v>
      </c>
      <c r="L15" s="2" t="s">
        <v>35</v>
      </c>
      <c r="M15" s="2" t="s">
        <v>35</v>
      </c>
      <c r="N15" s="3">
        <v>44655.742057303243</v>
      </c>
      <c r="O15" s="3">
        <v>44655.743270706022</v>
      </c>
      <c r="P15" s="2">
        <v>0</v>
      </c>
      <c r="Q15" s="2" t="s">
        <v>416</v>
      </c>
      <c r="R15" s="2" t="s">
        <v>8740</v>
      </c>
      <c r="S15" s="2" t="s">
        <v>35</v>
      </c>
      <c r="T15" s="2">
        <v>91</v>
      </c>
      <c r="U15" s="2" t="s">
        <v>35</v>
      </c>
      <c r="V15" s="2" t="s">
        <v>35</v>
      </c>
      <c r="W15" s="2" t="s">
        <v>35</v>
      </c>
      <c r="X15" s="2" t="s">
        <v>35</v>
      </c>
      <c r="Y15" s="2" t="s">
        <v>35</v>
      </c>
      <c r="Z15" s="2" t="s">
        <v>35</v>
      </c>
    </row>
    <row r="16" spans="1:26" x14ac:dyDescent="0.2">
      <c r="A16" s="2" t="s">
        <v>8756</v>
      </c>
      <c r="B16" s="2" t="b">
        <v>0</v>
      </c>
      <c r="C16" s="2" t="b">
        <v>0</v>
      </c>
      <c r="D16" s="2" t="b">
        <v>0</v>
      </c>
      <c r="E16" s="2" t="b">
        <v>0</v>
      </c>
      <c r="F16" s="2" t="s">
        <v>31</v>
      </c>
      <c r="G16" s="2" t="s">
        <v>149</v>
      </c>
      <c r="H16" s="2" t="s">
        <v>8757</v>
      </c>
      <c r="I16" s="2" t="s">
        <v>8758</v>
      </c>
      <c r="J16" s="2" t="b">
        <v>1</v>
      </c>
      <c r="K16" s="2" t="s">
        <v>35</v>
      </c>
      <c r="L16" s="2" t="s">
        <v>35</v>
      </c>
      <c r="M16" s="2" t="s">
        <v>35</v>
      </c>
      <c r="N16" s="3">
        <v>44655.747804618055</v>
      </c>
      <c r="O16" s="3">
        <v>44655.748867592592</v>
      </c>
      <c r="P16" s="2">
        <v>0</v>
      </c>
      <c r="Q16" s="2" t="s">
        <v>100</v>
      </c>
      <c r="R16" s="2" t="s">
        <v>8740</v>
      </c>
      <c r="S16" s="2" t="s">
        <v>35</v>
      </c>
      <c r="T16" s="2" t="s">
        <v>35</v>
      </c>
      <c r="U16" s="2" t="s">
        <v>35</v>
      </c>
      <c r="V16" s="2" t="s">
        <v>35</v>
      </c>
      <c r="W16" s="2" t="s">
        <v>35</v>
      </c>
      <c r="X16" s="2" t="s">
        <v>35</v>
      </c>
      <c r="Y16" s="2" t="s">
        <v>35</v>
      </c>
      <c r="Z16" s="2" t="s">
        <v>35</v>
      </c>
    </row>
    <row r="17" spans="1:26" x14ac:dyDescent="0.2">
      <c r="A17" s="2" t="s">
        <v>8759</v>
      </c>
      <c r="B17" s="2" t="b">
        <v>0</v>
      </c>
      <c r="C17" s="2" t="b">
        <v>0</v>
      </c>
      <c r="D17" s="2" t="b">
        <v>0</v>
      </c>
      <c r="E17" s="2" t="b">
        <v>0</v>
      </c>
      <c r="F17" s="2" t="s">
        <v>121</v>
      </c>
      <c r="G17" s="2" t="s">
        <v>149</v>
      </c>
      <c r="H17" s="2" t="s">
        <v>8760</v>
      </c>
      <c r="I17" s="2" t="s">
        <v>35</v>
      </c>
      <c r="J17" s="2" t="b">
        <v>0</v>
      </c>
      <c r="K17" s="2" t="s">
        <v>35</v>
      </c>
      <c r="L17" s="2" t="s">
        <v>35</v>
      </c>
      <c r="M17" s="2" t="s">
        <v>35</v>
      </c>
      <c r="N17" s="3">
        <v>44655.75267908565</v>
      </c>
      <c r="O17" s="3">
        <v>44655.752679664351</v>
      </c>
      <c r="P17" s="2">
        <v>0</v>
      </c>
      <c r="Q17" s="2" t="s">
        <v>8743</v>
      </c>
      <c r="R17" s="2" t="s">
        <v>8740</v>
      </c>
      <c r="S17" s="2" t="s">
        <v>35</v>
      </c>
      <c r="T17" s="2" t="s">
        <v>35</v>
      </c>
      <c r="U17" s="2" t="s">
        <v>35</v>
      </c>
      <c r="V17" s="2" t="s">
        <v>35</v>
      </c>
      <c r="W17" s="2" t="s">
        <v>35</v>
      </c>
      <c r="X17" s="2" t="s">
        <v>35</v>
      </c>
      <c r="Y17" s="2" t="s">
        <v>35</v>
      </c>
      <c r="Z17" s="2" t="s">
        <v>35</v>
      </c>
    </row>
    <row r="18" spans="1:26" x14ac:dyDescent="0.2">
      <c r="A18" s="2" t="s">
        <v>8761</v>
      </c>
      <c r="B18" s="2" t="b">
        <v>0</v>
      </c>
      <c r="C18" s="2" t="b">
        <v>0</v>
      </c>
      <c r="D18" s="2" t="b">
        <v>0</v>
      </c>
      <c r="E18" s="2" t="b">
        <v>0</v>
      </c>
      <c r="F18" s="2" t="s">
        <v>121</v>
      </c>
      <c r="G18" s="2" t="s">
        <v>149</v>
      </c>
      <c r="H18" s="2" t="s">
        <v>8760</v>
      </c>
      <c r="I18" s="2" t="s">
        <v>35</v>
      </c>
      <c r="J18" s="2" t="b">
        <v>0</v>
      </c>
      <c r="K18" s="2" t="s">
        <v>35</v>
      </c>
      <c r="L18" s="2" t="s">
        <v>35</v>
      </c>
      <c r="M18" s="2" t="s">
        <v>35</v>
      </c>
      <c r="N18" s="3">
        <v>44655.75267927083</v>
      </c>
      <c r="O18" s="3">
        <v>44655.752679699071</v>
      </c>
      <c r="P18" s="2">
        <v>0</v>
      </c>
      <c r="Q18" s="2" t="s">
        <v>8743</v>
      </c>
      <c r="R18" s="2" t="s">
        <v>8740</v>
      </c>
      <c r="S18" s="2" t="s">
        <v>35</v>
      </c>
      <c r="T18" s="2" t="s">
        <v>35</v>
      </c>
      <c r="U18" s="2" t="s">
        <v>35</v>
      </c>
      <c r="V18" s="2" t="s">
        <v>35</v>
      </c>
      <c r="W18" s="2" t="s">
        <v>35</v>
      </c>
      <c r="X18" s="2" t="s">
        <v>35</v>
      </c>
      <c r="Y18" s="2" t="s">
        <v>35</v>
      </c>
      <c r="Z18" s="2" t="s">
        <v>35</v>
      </c>
    </row>
    <row r="19" spans="1:26" x14ac:dyDescent="0.2">
      <c r="A19" s="2" t="s">
        <v>8762</v>
      </c>
      <c r="B19" s="2" t="b">
        <v>0</v>
      </c>
      <c r="C19" s="2" t="b">
        <v>0</v>
      </c>
      <c r="D19" s="2" t="b">
        <v>0</v>
      </c>
      <c r="E19" s="2" t="b">
        <v>0</v>
      </c>
      <c r="F19" s="2" t="s">
        <v>31</v>
      </c>
      <c r="G19" s="2" t="s">
        <v>149</v>
      </c>
      <c r="H19" s="2" t="s">
        <v>8760</v>
      </c>
      <c r="I19" s="2" t="s">
        <v>35</v>
      </c>
      <c r="J19" s="2" t="b">
        <v>0</v>
      </c>
      <c r="K19" s="2" t="s">
        <v>35</v>
      </c>
      <c r="L19" s="2">
        <v>60</v>
      </c>
      <c r="M19" s="2">
        <v>20</v>
      </c>
      <c r="N19" s="3">
        <v>44655.752679606485</v>
      </c>
      <c r="O19" s="3">
        <v>44656.38946283565</v>
      </c>
      <c r="P19" s="2">
        <v>0</v>
      </c>
      <c r="Q19" s="2" t="s">
        <v>54</v>
      </c>
      <c r="R19" s="2" t="s">
        <v>8740</v>
      </c>
      <c r="S19" s="2" t="s">
        <v>35</v>
      </c>
      <c r="T19" s="2" t="s">
        <v>35</v>
      </c>
      <c r="U19" s="2" t="s">
        <v>35</v>
      </c>
      <c r="V19" s="2" t="s">
        <v>35</v>
      </c>
      <c r="W19" s="2" t="s">
        <v>35</v>
      </c>
      <c r="X19" s="2" t="s">
        <v>35</v>
      </c>
      <c r="Y19" s="2" t="s">
        <v>35</v>
      </c>
      <c r="Z19" s="2" t="s">
        <v>35</v>
      </c>
    </row>
    <row r="20" spans="1:26" x14ac:dyDescent="0.2">
      <c r="A20" s="2" t="s">
        <v>8763</v>
      </c>
      <c r="B20" s="2" t="b">
        <v>0</v>
      </c>
      <c r="C20" s="2" t="b">
        <v>0</v>
      </c>
      <c r="D20" s="2" t="b">
        <v>0</v>
      </c>
      <c r="E20" s="2" t="b">
        <v>0</v>
      </c>
      <c r="F20" s="2" t="s">
        <v>121</v>
      </c>
      <c r="G20" s="2" t="s">
        <v>149</v>
      </c>
      <c r="H20" s="2" t="s">
        <v>8764</v>
      </c>
      <c r="I20" s="2" t="s">
        <v>35</v>
      </c>
      <c r="J20" s="2" t="b">
        <v>0</v>
      </c>
      <c r="K20" s="2" t="s">
        <v>35</v>
      </c>
      <c r="L20" s="2" t="s">
        <v>35</v>
      </c>
      <c r="M20" s="2" t="s">
        <v>35</v>
      </c>
      <c r="N20" s="3">
        <v>44663.431253993054</v>
      </c>
      <c r="O20" s="3">
        <v>44663.436521412033</v>
      </c>
      <c r="P20" s="2">
        <v>0</v>
      </c>
      <c r="Q20" s="2" t="s">
        <v>265</v>
      </c>
      <c r="R20" s="2" t="s">
        <v>8740</v>
      </c>
      <c r="S20" s="2" t="s">
        <v>35</v>
      </c>
      <c r="T20" s="2" t="s">
        <v>35</v>
      </c>
      <c r="U20" s="2" t="s">
        <v>35</v>
      </c>
      <c r="V20" s="2" t="s">
        <v>35</v>
      </c>
      <c r="W20" s="2" t="s">
        <v>35</v>
      </c>
      <c r="X20" s="2" t="s">
        <v>35</v>
      </c>
      <c r="Y20" s="2" t="s">
        <v>35</v>
      </c>
      <c r="Z20" s="2" t="s">
        <v>35</v>
      </c>
    </row>
    <row r="21" spans="1:26" x14ac:dyDescent="0.2">
      <c r="A21" s="2" t="s">
        <v>8765</v>
      </c>
      <c r="B21" s="2" t="b">
        <v>0</v>
      </c>
      <c r="C21" s="2" t="b">
        <v>0</v>
      </c>
      <c r="D21" s="2" t="b">
        <v>0</v>
      </c>
      <c r="E21" s="2" t="b">
        <v>0</v>
      </c>
      <c r="F21" s="2" t="s">
        <v>31</v>
      </c>
      <c r="G21" s="2" t="s">
        <v>149</v>
      </c>
      <c r="H21" s="2" t="s">
        <v>8766</v>
      </c>
      <c r="I21" s="2" t="s">
        <v>8767</v>
      </c>
      <c r="J21" s="2" t="b">
        <v>0</v>
      </c>
      <c r="K21" s="2" t="s">
        <v>35</v>
      </c>
      <c r="L21" s="2">
        <v>30</v>
      </c>
      <c r="M21" s="2" t="s">
        <v>35</v>
      </c>
      <c r="N21" s="3">
        <v>44673.659628402776</v>
      </c>
      <c r="O21" s="3">
        <v>44673.661109120367</v>
      </c>
      <c r="P21" s="2">
        <v>0</v>
      </c>
      <c r="Q21" s="2" t="s">
        <v>54</v>
      </c>
      <c r="R21" s="2" t="s">
        <v>8768</v>
      </c>
      <c r="S21" s="2" t="s">
        <v>35</v>
      </c>
      <c r="T21" s="2" t="s">
        <v>35</v>
      </c>
      <c r="U21" s="2" t="s">
        <v>35</v>
      </c>
      <c r="V21" s="2" t="s">
        <v>35</v>
      </c>
      <c r="W21" s="2" t="s">
        <v>35</v>
      </c>
      <c r="X21" s="2" t="s">
        <v>35</v>
      </c>
      <c r="Y21" s="2" t="s">
        <v>35</v>
      </c>
      <c r="Z21" s="2" t="s">
        <v>35</v>
      </c>
    </row>
    <row r="22" spans="1:26" x14ac:dyDescent="0.2">
      <c r="A22" s="2" t="s">
        <v>8769</v>
      </c>
      <c r="B22" s="2" t="b">
        <v>0</v>
      </c>
      <c r="C22" s="2" t="b">
        <v>0</v>
      </c>
      <c r="D22" s="2" t="b">
        <v>0</v>
      </c>
      <c r="E22" s="2" t="b">
        <v>0</v>
      </c>
      <c r="F22" s="2" t="s">
        <v>31</v>
      </c>
      <c r="G22" s="2" t="s">
        <v>149</v>
      </c>
      <c r="H22" s="2" t="s">
        <v>8770</v>
      </c>
      <c r="I22" s="2" t="s">
        <v>8771</v>
      </c>
      <c r="J22" s="2" t="b">
        <v>0</v>
      </c>
      <c r="K22" s="2" t="s">
        <v>35</v>
      </c>
      <c r="L22" s="2" t="s">
        <v>35</v>
      </c>
      <c r="M22" s="2" t="s">
        <v>35</v>
      </c>
      <c r="N22" s="3">
        <v>44676.328088761577</v>
      </c>
      <c r="O22" s="3">
        <v>44676.329242858796</v>
      </c>
      <c r="P22" s="2">
        <v>0</v>
      </c>
      <c r="Q22" s="2" t="s">
        <v>416</v>
      </c>
      <c r="R22" s="2" t="s">
        <v>8740</v>
      </c>
      <c r="S22" s="2" t="s">
        <v>35</v>
      </c>
      <c r="T22" s="2" t="s">
        <v>35</v>
      </c>
      <c r="U22" s="2" t="s">
        <v>35</v>
      </c>
      <c r="V22" s="2" t="s">
        <v>35</v>
      </c>
      <c r="W22" s="2" t="s">
        <v>35</v>
      </c>
      <c r="X22" s="2" t="s">
        <v>35</v>
      </c>
      <c r="Y22" s="2" t="s">
        <v>35</v>
      </c>
      <c r="Z22" s="2" t="s">
        <v>35</v>
      </c>
    </row>
    <row r="23" spans="1:26" x14ac:dyDescent="0.2">
      <c r="A23" s="2" t="s">
        <v>8772</v>
      </c>
      <c r="B23" s="2" t="b">
        <v>0</v>
      </c>
      <c r="C23" s="2" t="b">
        <v>0</v>
      </c>
      <c r="D23" s="2" t="b">
        <v>0</v>
      </c>
      <c r="E23" s="2" t="b">
        <v>0</v>
      </c>
      <c r="F23" s="2" t="s">
        <v>31</v>
      </c>
      <c r="G23" s="2" t="s">
        <v>8773</v>
      </c>
      <c r="H23" s="2" t="s">
        <v>8774</v>
      </c>
      <c r="I23" s="2" t="s">
        <v>8775</v>
      </c>
      <c r="J23" s="2" t="b">
        <v>0</v>
      </c>
      <c r="K23" s="2">
        <v>0</v>
      </c>
      <c r="L23" s="2" t="s">
        <v>35</v>
      </c>
      <c r="M23" s="2" t="s">
        <v>35</v>
      </c>
      <c r="N23" s="3">
        <v>44676.329540509258</v>
      </c>
      <c r="O23" s="3">
        <v>44676.330354803242</v>
      </c>
      <c r="P23" s="2">
        <v>0</v>
      </c>
      <c r="Q23" s="2" t="s">
        <v>265</v>
      </c>
      <c r="R23" s="2" t="s">
        <v>8740</v>
      </c>
      <c r="S23" s="2" t="s">
        <v>35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35</v>
      </c>
      <c r="Y23" s="2" t="s">
        <v>35</v>
      </c>
      <c r="Z23" s="2" t="s">
        <v>35</v>
      </c>
    </row>
    <row r="24" spans="1:26" x14ac:dyDescent="0.2">
      <c r="A24" s="2" t="s">
        <v>8776</v>
      </c>
      <c r="B24" s="2" t="b">
        <v>0</v>
      </c>
      <c r="C24" s="2" t="b">
        <v>0</v>
      </c>
      <c r="D24" s="2" t="b">
        <v>0</v>
      </c>
      <c r="E24" s="2" t="b">
        <v>0</v>
      </c>
      <c r="F24" s="2" t="s">
        <v>31</v>
      </c>
      <c r="G24" s="2" t="s">
        <v>8777</v>
      </c>
      <c r="H24" s="2" t="s">
        <v>8778</v>
      </c>
      <c r="I24" s="2" t="s">
        <v>8775</v>
      </c>
      <c r="J24" s="2" t="b">
        <v>0</v>
      </c>
      <c r="K24" s="2">
        <v>3</v>
      </c>
      <c r="L24" s="2" t="s">
        <v>35</v>
      </c>
      <c r="M24" s="2" t="s">
        <v>35</v>
      </c>
      <c r="N24" s="3">
        <v>44676.330831412037</v>
      </c>
      <c r="O24" s="3">
        <v>44676.332000208335</v>
      </c>
      <c r="P24" s="2">
        <v>0</v>
      </c>
      <c r="Q24" s="2" t="s">
        <v>265</v>
      </c>
      <c r="R24" s="2" t="s">
        <v>8740</v>
      </c>
      <c r="S24" s="2" t="s">
        <v>35</v>
      </c>
      <c r="T24" s="2" t="s">
        <v>35</v>
      </c>
      <c r="U24" s="2" t="s">
        <v>35</v>
      </c>
      <c r="V24" s="2" t="s">
        <v>35</v>
      </c>
      <c r="W24" s="2" t="s">
        <v>35</v>
      </c>
      <c r="X24" s="2" t="s">
        <v>35</v>
      </c>
      <c r="Y24" s="2" t="s">
        <v>35</v>
      </c>
      <c r="Z24" s="2" t="s">
        <v>35</v>
      </c>
    </row>
    <row r="25" spans="1:26" x14ac:dyDescent="0.2">
      <c r="A25" s="2" t="s">
        <v>8779</v>
      </c>
      <c r="B25" s="2" t="b">
        <v>0</v>
      </c>
      <c r="C25" s="2" t="b">
        <v>0</v>
      </c>
      <c r="D25" s="2" t="b">
        <v>0</v>
      </c>
      <c r="E25" s="2" t="b">
        <v>0</v>
      </c>
      <c r="F25" s="2" t="s">
        <v>31</v>
      </c>
      <c r="G25" s="2" t="s">
        <v>8780</v>
      </c>
      <c r="H25" s="2" t="s">
        <v>8781</v>
      </c>
      <c r="I25" s="2" t="s">
        <v>8782</v>
      </c>
      <c r="J25" s="2" t="b">
        <v>0</v>
      </c>
      <c r="K25" s="2">
        <v>1</v>
      </c>
      <c r="L25" s="2" t="s">
        <v>35</v>
      </c>
      <c r="M25" s="2" t="s">
        <v>35</v>
      </c>
      <c r="N25" s="3">
        <v>44676.332257442133</v>
      </c>
      <c r="O25" s="3">
        <v>44676.3331105787</v>
      </c>
      <c r="P25" s="2">
        <v>0</v>
      </c>
      <c r="Q25" s="2" t="s">
        <v>265</v>
      </c>
      <c r="R25" s="2" t="s">
        <v>8740</v>
      </c>
      <c r="S25" s="2" t="s">
        <v>35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35</v>
      </c>
      <c r="Y25" s="2" t="s">
        <v>35</v>
      </c>
      <c r="Z25" s="2" t="s">
        <v>35</v>
      </c>
    </row>
    <row r="26" spans="1:26" x14ac:dyDescent="0.2">
      <c r="A26" s="2" t="s">
        <v>8783</v>
      </c>
      <c r="B26" s="2" t="b">
        <v>0</v>
      </c>
      <c r="C26" s="2" t="b">
        <v>0</v>
      </c>
      <c r="D26" s="2" t="b">
        <v>0</v>
      </c>
      <c r="E26" s="2" t="b">
        <v>0</v>
      </c>
      <c r="F26" s="2" t="s">
        <v>31</v>
      </c>
      <c r="G26" s="2" t="s">
        <v>8784</v>
      </c>
      <c r="H26" s="2" t="s">
        <v>8785</v>
      </c>
      <c r="I26" s="2" t="s">
        <v>8775</v>
      </c>
      <c r="J26" s="2" t="b">
        <v>0</v>
      </c>
      <c r="K26" s="2">
        <v>1</v>
      </c>
      <c r="L26" s="2" t="s">
        <v>35</v>
      </c>
      <c r="M26" s="2" t="s">
        <v>35</v>
      </c>
      <c r="N26" s="3">
        <v>44676.333336932868</v>
      </c>
      <c r="O26" s="3">
        <v>44676.33380565972</v>
      </c>
      <c r="P26" s="2">
        <v>0</v>
      </c>
      <c r="Q26" s="2" t="s">
        <v>265</v>
      </c>
      <c r="R26" s="2" t="s">
        <v>8740</v>
      </c>
      <c r="S26" s="2" t="s">
        <v>35</v>
      </c>
      <c r="T26" s="2" t="s">
        <v>35</v>
      </c>
      <c r="U26" s="2" t="s">
        <v>35</v>
      </c>
      <c r="V26" s="2" t="s">
        <v>35</v>
      </c>
      <c r="W26" s="2" t="s">
        <v>35</v>
      </c>
      <c r="X26" s="2" t="s">
        <v>35</v>
      </c>
      <c r="Y26" s="2" t="s">
        <v>35</v>
      </c>
      <c r="Z26" s="2" t="s">
        <v>35</v>
      </c>
    </row>
    <row r="27" spans="1:26" x14ac:dyDescent="0.2">
      <c r="A27" s="2" t="s">
        <v>8786</v>
      </c>
      <c r="B27" s="2" t="b">
        <v>0</v>
      </c>
      <c r="C27" s="2" t="b">
        <v>0</v>
      </c>
      <c r="D27" s="2" t="b">
        <v>0</v>
      </c>
      <c r="E27" s="2" t="b">
        <v>0</v>
      </c>
      <c r="F27" s="2" t="s">
        <v>31</v>
      </c>
      <c r="G27" s="2" t="s">
        <v>8787</v>
      </c>
      <c r="H27" s="2" t="s">
        <v>8788</v>
      </c>
      <c r="I27" s="2" t="s">
        <v>35</v>
      </c>
      <c r="J27" s="2" t="b">
        <v>0</v>
      </c>
      <c r="K27" s="2" t="s">
        <v>35</v>
      </c>
      <c r="L27" s="2">
        <v>27</v>
      </c>
      <c r="M27" s="2">
        <v>10</v>
      </c>
      <c r="N27" s="3">
        <v>44676.338733842589</v>
      </c>
      <c r="O27" s="3">
        <v>44676.339669016204</v>
      </c>
      <c r="P27" s="2">
        <v>0</v>
      </c>
      <c r="Q27" s="2" t="s">
        <v>54</v>
      </c>
      <c r="R27" s="2" t="s">
        <v>8740</v>
      </c>
      <c r="S27" s="2" t="s">
        <v>35</v>
      </c>
      <c r="T27" s="2" t="s">
        <v>35</v>
      </c>
      <c r="U27" s="2" t="s">
        <v>35</v>
      </c>
      <c r="V27" s="2" t="s">
        <v>35</v>
      </c>
      <c r="W27" s="2" t="s">
        <v>35</v>
      </c>
      <c r="X27" s="2" t="s">
        <v>35</v>
      </c>
      <c r="Y27" s="2" t="s">
        <v>35</v>
      </c>
      <c r="Z27" s="2" t="s">
        <v>35</v>
      </c>
    </row>
    <row r="28" spans="1:26" x14ac:dyDescent="0.2">
      <c r="A28" s="2" t="s">
        <v>8789</v>
      </c>
      <c r="B28" s="2" t="b">
        <v>0</v>
      </c>
      <c r="C28" s="2" t="b">
        <v>0</v>
      </c>
      <c r="D28" s="2" t="b">
        <v>1</v>
      </c>
      <c r="E28" s="2" t="b">
        <v>0</v>
      </c>
      <c r="F28" s="2" t="s">
        <v>31</v>
      </c>
      <c r="G28" s="2" t="s">
        <v>8790</v>
      </c>
      <c r="H28" s="2" t="s">
        <v>8791</v>
      </c>
      <c r="I28" s="2" t="s">
        <v>8792</v>
      </c>
      <c r="J28" s="2" t="b">
        <v>1</v>
      </c>
      <c r="K28" s="2" t="s">
        <v>35</v>
      </c>
      <c r="L28" s="2">
        <v>2</v>
      </c>
      <c r="M28" s="2">
        <v>14</v>
      </c>
      <c r="N28" s="3">
        <v>44676.340157951388</v>
      </c>
      <c r="O28" s="3">
        <v>44676.341578032407</v>
      </c>
      <c r="P28" s="2">
        <v>0</v>
      </c>
      <c r="Q28" s="2" t="s">
        <v>54</v>
      </c>
      <c r="R28" s="2" t="s">
        <v>8740</v>
      </c>
      <c r="S28" s="2" t="s">
        <v>35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35</v>
      </c>
      <c r="Y28" s="2" t="s">
        <v>35</v>
      </c>
      <c r="Z28" s="2" t="s">
        <v>35</v>
      </c>
    </row>
    <row r="29" spans="1:26" x14ac:dyDescent="0.2">
      <c r="A29" s="2" t="s">
        <v>8793</v>
      </c>
      <c r="B29" s="2" t="b">
        <v>0</v>
      </c>
      <c r="C29" s="2" t="b">
        <v>0</v>
      </c>
      <c r="D29" s="2" t="b">
        <v>0</v>
      </c>
      <c r="E29" s="2" t="b">
        <v>0</v>
      </c>
      <c r="F29" s="2" t="s">
        <v>31</v>
      </c>
      <c r="G29" s="2" t="s">
        <v>8794</v>
      </c>
      <c r="H29" s="2" t="s">
        <v>8795</v>
      </c>
      <c r="I29" s="2" t="s">
        <v>8796</v>
      </c>
      <c r="J29" s="2" t="b">
        <v>1</v>
      </c>
      <c r="K29" s="2">
        <v>1</v>
      </c>
      <c r="L29" s="2" t="s">
        <v>35</v>
      </c>
      <c r="M29" s="2" t="s">
        <v>35</v>
      </c>
      <c r="N29" s="3">
        <v>44676.342341898147</v>
      </c>
      <c r="O29" s="3">
        <v>44676.343124583334</v>
      </c>
      <c r="P29" s="2">
        <v>0</v>
      </c>
      <c r="Q29" s="2" t="s">
        <v>265</v>
      </c>
      <c r="R29" s="2" t="s">
        <v>8740</v>
      </c>
      <c r="S29" s="2" t="s">
        <v>35</v>
      </c>
      <c r="T29" s="2" t="s">
        <v>35</v>
      </c>
      <c r="U29" s="2" t="s">
        <v>35</v>
      </c>
      <c r="V29" s="2" t="s">
        <v>35</v>
      </c>
      <c r="W29" s="2" t="s">
        <v>35</v>
      </c>
      <c r="X29" s="2" t="s">
        <v>35</v>
      </c>
      <c r="Y29" s="2" t="s">
        <v>35</v>
      </c>
      <c r="Z29" s="2" t="s">
        <v>35</v>
      </c>
    </row>
    <row r="30" spans="1:26" x14ac:dyDescent="0.2">
      <c r="A30" s="2" t="s">
        <v>8797</v>
      </c>
      <c r="B30" s="2" t="b">
        <v>0</v>
      </c>
      <c r="C30" s="2" t="b">
        <v>0</v>
      </c>
      <c r="D30" s="2" t="b">
        <v>0</v>
      </c>
      <c r="E30" s="2" t="b">
        <v>0</v>
      </c>
      <c r="F30" s="2" t="s">
        <v>31</v>
      </c>
      <c r="G30" s="2" t="s">
        <v>8798</v>
      </c>
      <c r="H30" s="2" t="s">
        <v>8799</v>
      </c>
      <c r="I30" s="2" t="s">
        <v>8800</v>
      </c>
      <c r="J30" s="2" t="b">
        <v>1</v>
      </c>
      <c r="K30" s="2" t="s">
        <v>35</v>
      </c>
      <c r="L30" s="2" t="s">
        <v>35</v>
      </c>
      <c r="M30" s="2" t="s">
        <v>35</v>
      </c>
      <c r="N30" s="3">
        <v>44676.344860219906</v>
      </c>
      <c r="O30" s="3">
        <v>44676.346141863425</v>
      </c>
      <c r="P30" s="2">
        <v>0</v>
      </c>
      <c r="Q30" s="2" t="s">
        <v>109</v>
      </c>
      <c r="R30" s="2" t="s">
        <v>8740</v>
      </c>
      <c r="S30" s="2" t="s">
        <v>35</v>
      </c>
      <c r="T30" s="2">
        <v>73</v>
      </c>
      <c r="U30" s="2" t="s">
        <v>35</v>
      </c>
      <c r="V30" s="2" t="s">
        <v>35</v>
      </c>
      <c r="W30" s="2" t="s">
        <v>35</v>
      </c>
      <c r="X30" s="2" t="s">
        <v>35</v>
      </c>
      <c r="Y30" s="2" t="s">
        <v>35</v>
      </c>
      <c r="Z30" s="2" t="s">
        <v>35</v>
      </c>
    </row>
    <row r="31" spans="1:26" x14ac:dyDescent="0.2">
      <c r="A31" s="2" t="s">
        <v>8801</v>
      </c>
      <c r="B31" s="2" t="b">
        <v>0</v>
      </c>
      <c r="C31" s="2" t="b">
        <v>0</v>
      </c>
      <c r="D31" s="2" t="b">
        <v>0</v>
      </c>
      <c r="E31" s="2" t="b">
        <v>0</v>
      </c>
      <c r="F31" s="2" t="s">
        <v>31</v>
      </c>
      <c r="G31" s="2" t="s">
        <v>8802</v>
      </c>
      <c r="H31" s="2" t="s">
        <v>8803</v>
      </c>
      <c r="I31" s="2" t="s">
        <v>8804</v>
      </c>
      <c r="J31" s="2" t="b">
        <v>1</v>
      </c>
      <c r="K31" s="2" t="s">
        <v>35</v>
      </c>
      <c r="L31" s="2" t="s">
        <v>35</v>
      </c>
      <c r="M31" s="2" t="s">
        <v>35</v>
      </c>
      <c r="N31" s="3">
        <v>44676.348117569447</v>
      </c>
      <c r="O31" s="3">
        <v>44676.349179467594</v>
      </c>
      <c r="P31" s="2">
        <v>0</v>
      </c>
      <c r="Q31" s="2" t="s">
        <v>416</v>
      </c>
      <c r="R31" s="2" t="s">
        <v>8740</v>
      </c>
      <c r="S31" s="2" t="s">
        <v>35</v>
      </c>
      <c r="T31" s="2">
        <v>101</v>
      </c>
      <c r="U31" s="2" t="s">
        <v>35</v>
      </c>
      <c r="V31" s="2" t="s">
        <v>35</v>
      </c>
      <c r="W31" s="2" t="s">
        <v>35</v>
      </c>
      <c r="X31" s="2" t="s">
        <v>35</v>
      </c>
      <c r="Y31" s="2" t="s">
        <v>35</v>
      </c>
      <c r="Z31" s="2" t="s">
        <v>35</v>
      </c>
    </row>
    <row r="32" spans="1:26" x14ac:dyDescent="0.2">
      <c r="A32" s="2" t="s">
        <v>8805</v>
      </c>
      <c r="B32" s="2" t="b">
        <v>1</v>
      </c>
      <c r="C32" s="2" t="b">
        <v>0</v>
      </c>
      <c r="D32" s="2" t="b">
        <v>0</v>
      </c>
      <c r="E32" s="2" t="b">
        <v>0</v>
      </c>
      <c r="F32" s="2" t="s">
        <v>31</v>
      </c>
      <c r="G32" s="2" t="s">
        <v>8806</v>
      </c>
      <c r="H32" s="2" t="s">
        <v>8807</v>
      </c>
      <c r="I32" s="2" t="s">
        <v>8808</v>
      </c>
      <c r="J32" s="2" t="b">
        <v>1</v>
      </c>
      <c r="K32" s="2" t="s">
        <v>35</v>
      </c>
      <c r="L32" s="2" t="s">
        <v>35</v>
      </c>
      <c r="M32" s="2" t="s">
        <v>35</v>
      </c>
      <c r="N32" s="3">
        <v>44676.349680567131</v>
      </c>
      <c r="O32" s="3">
        <v>44676.351730706017</v>
      </c>
      <c r="P32" s="2">
        <v>0</v>
      </c>
      <c r="Q32" s="2" t="s">
        <v>2005</v>
      </c>
      <c r="R32" s="2" t="s">
        <v>8740</v>
      </c>
      <c r="S32" s="2" t="s">
        <v>35</v>
      </c>
      <c r="T32" s="2">
        <v>102</v>
      </c>
      <c r="U32" s="2" t="s">
        <v>35</v>
      </c>
      <c r="V32" s="2" t="s">
        <v>35</v>
      </c>
      <c r="W32" s="2" t="s">
        <v>35</v>
      </c>
      <c r="X32" s="2" t="s">
        <v>35</v>
      </c>
      <c r="Y32" s="2" t="s">
        <v>35</v>
      </c>
      <c r="Z32" s="2" t="s">
        <v>35</v>
      </c>
    </row>
    <row r="33" spans="1:26" x14ac:dyDescent="0.2">
      <c r="A33" s="2" t="s">
        <v>8809</v>
      </c>
      <c r="B33" s="2" t="b">
        <v>0</v>
      </c>
      <c r="C33" s="2" t="b">
        <v>0</v>
      </c>
      <c r="D33" s="2" t="b">
        <v>0</v>
      </c>
      <c r="E33" s="2" t="b">
        <v>0</v>
      </c>
      <c r="F33" s="2" t="s">
        <v>31</v>
      </c>
      <c r="G33" s="2" t="s">
        <v>8810</v>
      </c>
      <c r="H33" s="2" t="s">
        <v>8811</v>
      </c>
      <c r="I33" s="2" t="s">
        <v>8812</v>
      </c>
      <c r="J33" s="2" t="b">
        <v>1</v>
      </c>
      <c r="K33" s="2">
        <v>1</v>
      </c>
      <c r="L33" s="2" t="s">
        <v>35</v>
      </c>
      <c r="M33" s="2" t="s">
        <v>35</v>
      </c>
      <c r="N33" s="3">
        <v>44676.352339108795</v>
      </c>
      <c r="O33" s="3">
        <v>44676.353165</v>
      </c>
      <c r="P33" s="2">
        <v>0</v>
      </c>
      <c r="Q33" s="2" t="s">
        <v>265</v>
      </c>
      <c r="R33" s="2" t="s">
        <v>8740</v>
      </c>
      <c r="S33" s="2" t="s">
        <v>35</v>
      </c>
      <c r="T33" s="2" t="s">
        <v>35</v>
      </c>
      <c r="U33" s="2" t="s">
        <v>35</v>
      </c>
      <c r="V33" s="2" t="s">
        <v>35</v>
      </c>
      <c r="W33" s="2" t="s">
        <v>35</v>
      </c>
      <c r="X33" s="2" t="s">
        <v>35</v>
      </c>
      <c r="Y33" s="2" t="s">
        <v>35</v>
      </c>
      <c r="Z33" s="2" t="s">
        <v>35</v>
      </c>
    </row>
    <row r="34" spans="1:26" x14ac:dyDescent="0.2">
      <c r="A34" s="2" t="s">
        <v>8813</v>
      </c>
      <c r="B34" s="2" t="b">
        <v>0</v>
      </c>
      <c r="C34" s="2" t="b">
        <v>0</v>
      </c>
      <c r="D34" s="2" t="b">
        <v>0</v>
      </c>
      <c r="E34" s="2" t="b">
        <v>0</v>
      </c>
      <c r="F34" s="2" t="s">
        <v>31</v>
      </c>
      <c r="G34" s="2" t="s">
        <v>8814</v>
      </c>
      <c r="H34" s="2" t="s">
        <v>8815</v>
      </c>
      <c r="I34" s="2" t="s">
        <v>8816</v>
      </c>
      <c r="J34" s="2" t="b">
        <v>1</v>
      </c>
      <c r="K34" s="2" t="s">
        <v>35</v>
      </c>
      <c r="L34" s="2" t="s">
        <v>35</v>
      </c>
      <c r="M34" s="2" t="s">
        <v>35</v>
      </c>
      <c r="N34" s="3">
        <v>44676.35350607639</v>
      </c>
      <c r="O34" s="3">
        <v>44676.354356157404</v>
      </c>
      <c r="P34" s="2">
        <v>0</v>
      </c>
      <c r="Q34" s="2" t="s">
        <v>416</v>
      </c>
      <c r="R34" s="2" t="s">
        <v>8740</v>
      </c>
      <c r="S34" s="2" t="s">
        <v>35</v>
      </c>
      <c r="T34" s="2">
        <v>259</v>
      </c>
      <c r="U34" s="2" t="s">
        <v>35</v>
      </c>
      <c r="V34" s="2" t="s">
        <v>35</v>
      </c>
      <c r="W34" s="2" t="s">
        <v>35</v>
      </c>
      <c r="X34" s="2" t="s">
        <v>35</v>
      </c>
      <c r="Y34" s="2" t="s">
        <v>35</v>
      </c>
      <c r="Z34" s="2" t="s">
        <v>35</v>
      </c>
    </row>
    <row r="35" spans="1:26" x14ac:dyDescent="0.2">
      <c r="A35" s="2" t="s">
        <v>8817</v>
      </c>
      <c r="B35" s="2" t="b">
        <v>0</v>
      </c>
      <c r="C35" s="2" t="b">
        <v>0</v>
      </c>
      <c r="D35" s="2" t="b">
        <v>0</v>
      </c>
      <c r="E35" s="2" t="b">
        <v>0</v>
      </c>
      <c r="F35" s="2" t="s">
        <v>31</v>
      </c>
      <c r="G35" s="2" t="s">
        <v>8818</v>
      </c>
      <c r="H35" s="2" t="s">
        <v>8819</v>
      </c>
      <c r="I35" s="2" t="s">
        <v>35</v>
      </c>
      <c r="J35" s="2" t="b">
        <v>0</v>
      </c>
      <c r="K35" s="2" t="s">
        <v>35</v>
      </c>
      <c r="L35" s="2">
        <v>26</v>
      </c>
      <c r="M35" s="2">
        <v>11</v>
      </c>
      <c r="N35" s="3">
        <v>44676.354831215278</v>
      </c>
      <c r="O35" s="3">
        <v>44676.355501805556</v>
      </c>
      <c r="P35" s="2">
        <v>0</v>
      </c>
      <c r="Q35" s="2" t="s">
        <v>54</v>
      </c>
      <c r="R35" s="2" t="s">
        <v>8740</v>
      </c>
      <c r="S35" s="2" t="s">
        <v>35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35</v>
      </c>
      <c r="Y35" s="2" t="s">
        <v>35</v>
      </c>
      <c r="Z35" s="2" t="s">
        <v>35</v>
      </c>
    </row>
    <row r="36" spans="1:26" x14ac:dyDescent="0.2">
      <c r="A36" s="2" t="s">
        <v>8820</v>
      </c>
      <c r="B36" s="2" t="b">
        <v>0</v>
      </c>
      <c r="C36" s="2" t="b">
        <v>0</v>
      </c>
      <c r="D36" s="2" t="b">
        <v>0</v>
      </c>
      <c r="E36" s="2" t="b">
        <v>0</v>
      </c>
      <c r="F36" s="2" t="s">
        <v>31</v>
      </c>
      <c r="G36" s="2" t="s">
        <v>8821</v>
      </c>
      <c r="H36" s="2" t="s">
        <v>8822</v>
      </c>
      <c r="I36" s="2" t="s">
        <v>35</v>
      </c>
      <c r="J36" s="2" t="b">
        <v>0</v>
      </c>
      <c r="K36" s="2" t="s">
        <v>35</v>
      </c>
      <c r="L36" s="2">
        <v>26</v>
      </c>
      <c r="M36" s="2">
        <v>11</v>
      </c>
      <c r="N36" s="3">
        <v>44676.355757199075</v>
      </c>
      <c r="O36" s="3">
        <v>44676.356257430554</v>
      </c>
      <c r="P36" s="2">
        <v>0</v>
      </c>
      <c r="Q36" s="2" t="s">
        <v>54</v>
      </c>
      <c r="R36" s="2" t="s">
        <v>8740</v>
      </c>
      <c r="S36" s="2" t="s">
        <v>35</v>
      </c>
      <c r="T36" s="2" t="s">
        <v>35</v>
      </c>
      <c r="U36" s="2" t="s">
        <v>35</v>
      </c>
      <c r="V36" s="2" t="s">
        <v>35</v>
      </c>
      <c r="W36" s="2" t="s">
        <v>35</v>
      </c>
      <c r="X36" s="2" t="s">
        <v>35</v>
      </c>
      <c r="Y36" s="2" t="s">
        <v>35</v>
      </c>
      <c r="Z36" s="2" t="s">
        <v>35</v>
      </c>
    </row>
    <row r="37" spans="1:26" x14ac:dyDescent="0.2">
      <c r="A37" s="2" t="s">
        <v>8823</v>
      </c>
      <c r="B37" s="2" t="b">
        <v>1</v>
      </c>
      <c r="C37" s="2" t="b">
        <v>0</v>
      </c>
      <c r="D37" s="2" t="b">
        <v>0</v>
      </c>
      <c r="E37" s="2" t="b">
        <v>0</v>
      </c>
      <c r="F37" s="2" t="s">
        <v>31</v>
      </c>
      <c r="G37" s="2" t="s">
        <v>8824</v>
      </c>
      <c r="H37" s="2" t="s">
        <v>8825</v>
      </c>
      <c r="I37" s="2" t="s">
        <v>8826</v>
      </c>
      <c r="J37" s="2" t="b">
        <v>0</v>
      </c>
      <c r="K37" s="2" t="s">
        <v>35</v>
      </c>
      <c r="L37" s="2" t="s">
        <v>35</v>
      </c>
      <c r="M37" s="2" t="s">
        <v>35</v>
      </c>
      <c r="N37" s="3">
        <v>44676.35679982639</v>
      </c>
      <c r="O37" s="3">
        <v>44676.357494733798</v>
      </c>
      <c r="P37" s="2">
        <v>0</v>
      </c>
      <c r="Q37" s="2" t="s">
        <v>416</v>
      </c>
      <c r="R37" s="2" t="s">
        <v>8740</v>
      </c>
      <c r="S37" s="2" t="s">
        <v>35</v>
      </c>
      <c r="T37" s="2" t="s">
        <v>35</v>
      </c>
      <c r="U37" s="2" t="s">
        <v>8827</v>
      </c>
      <c r="V37" s="2" t="s">
        <v>35</v>
      </c>
      <c r="W37" s="2" t="s">
        <v>35</v>
      </c>
      <c r="X37" s="2" t="s">
        <v>35</v>
      </c>
      <c r="Y37" s="2" t="s">
        <v>35</v>
      </c>
      <c r="Z37" s="2" t="s">
        <v>35</v>
      </c>
    </row>
    <row r="38" spans="1:26" x14ac:dyDescent="0.2">
      <c r="A38" s="2" t="s">
        <v>8828</v>
      </c>
      <c r="B38" s="2" t="b">
        <v>0</v>
      </c>
      <c r="C38" s="2" t="b">
        <v>0</v>
      </c>
      <c r="D38" s="2" t="b">
        <v>0</v>
      </c>
      <c r="E38" s="2" t="b">
        <v>0</v>
      </c>
      <c r="F38" s="2" t="s">
        <v>31</v>
      </c>
      <c r="G38" s="2" t="s">
        <v>8829</v>
      </c>
      <c r="H38" s="2" t="s">
        <v>8830</v>
      </c>
      <c r="I38" s="2" t="s">
        <v>8831</v>
      </c>
      <c r="J38" s="2" t="b">
        <v>1</v>
      </c>
      <c r="K38" s="2" t="s">
        <v>35</v>
      </c>
      <c r="L38" s="2">
        <v>26</v>
      </c>
      <c r="M38" s="2">
        <v>11</v>
      </c>
      <c r="N38" s="3">
        <v>44676.357824247687</v>
      </c>
      <c r="O38" s="3">
        <v>44676.358461504627</v>
      </c>
      <c r="P38" s="2">
        <v>0</v>
      </c>
      <c r="Q38" s="2" t="s">
        <v>54</v>
      </c>
      <c r="R38" s="2" t="s">
        <v>8740</v>
      </c>
      <c r="S38" s="2" t="s">
        <v>35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35</v>
      </c>
      <c r="Y38" s="2" t="s">
        <v>35</v>
      </c>
      <c r="Z38" s="2" t="s">
        <v>35</v>
      </c>
    </row>
    <row r="39" spans="1:26" x14ac:dyDescent="0.2">
      <c r="A39" s="2" t="s">
        <v>8832</v>
      </c>
      <c r="B39" s="2" t="b">
        <v>0</v>
      </c>
      <c r="C39" s="2" t="b">
        <v>0</v>
      </c>
      <c r="D39" s="2" t="b">
        <v>0</v>
      </c>
      <c r="E39" s="2" t="b">
        <v>0</v>
      </c>
      <c r="F39" s="2" t="s">
        <v>31</v>
      </c>
      <c r="G39" s="2" t="s">
        <v>8833</v>
      </c>
      <c r="H39" s="2" t="s">
        <v>8834</v>
      </c>
      <c r="I39" s="2" t="s">
        <v>35</v>
      </c>
      <c r="J39" s="2" t="b">
        <v>0</v>
      </c>
      <c r="K39" s="2" t="s">
        <v>35</v>
      </c>
      <c r="L39" s="2">
        <v>21</v>
      </c>
      <c r="M39" s="2">
        <v>22</v>
      </c>
      <c r="N39" s="3">
        <v>44676.358777395835</v>
      </c>
      <c r="O39" s="3">
        <v>44676.359507673609</v>
      </c>
      <c r="P39" s="2">
        <v>0</v>
      </c>
      <c r="Q39" s="2" t="s">
        <v>54</v>
      </c>
      <c r="R39" s="2" t="s">
        <v>8740</v>
      </c>
      <c r="S39" s="2" t="s">
        <v>35</v>
      </c>
      <c r="T39" s="2" t="s">
        <v>35</v>
      </c>
      <c r="U39" s="2" t="s">
        <v>35</v>
      </c>
      <c r="V39" s="2" t="s">
        <v>35</v>
      </c>
      <c r="W39" s="2" t="s">
        <v>35</v>
      </c>
      <c r="X39" s="2" t="s">
        <v>35</v>
      </c>
      <c r="Y39" s="2" t="s">
        <v>35</v>
      </c>
      <c r="Z39" s="2" t="s">
        <v>35</v>
      </c>
    </row>
    <row r="40" spans="1:26" x14ac:dyDescent="0.2">
      <c r="A40" s="2" t="s">
        <v>8835</v>
      </c>
      <c r="B40" s="2" t="b">
        <v>0</v>
      </c>
      <c r="C40" s="2" t="b">
        <v>0</v>
      </c>
      <c r="D40" s="2" t="b">
        <v>0</v>
      </c>
      <c r="E40" s="2" t="b">
        <v>0</v>
      </c>
      <c r="F40" s="2" t="s">
        <v>31</v>
      </c>
      <c r="G40" s="2" t="s">
        <v>8836</v>
      </c>
      <c r="H40" s="2" t="s">
        <v>8837</v>
      </c>
      <c r="I40" s="2" t="s">
        <v>35</v>
      </c>
      <c r="J40" s="2" t="b">
        <v>0</v>
      </c>
      <c r="K40" s="2" t="s">
        <v>35</v>
      </c>
      <c r="L40" s="2">
        <v>40</v>
      </c>
      <c r="M40" s="2">
        <v>20</v>
      </c>
      <c r="N40" s="3">
        <v>44676.360020902779</v>
      </c>
      <c r="O40" s="3">
        <v>44676.360875497689</v>
      </c>
      <c r="P40" s="2">
        <v>0</v>
      </c>
      <c r="Q40" s="2" t="s">
        <v>54</v>
      </c>
      <c r="R40" s="2" t="s">
        <v>8740</v>
      </c>
      <c r="S40" s="2" t="s">
        <v>35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35</v>
      </c>
      <c r="Y40" s="2" t="s">
        <v>35</v>
      </c>
      <c r="Z40" s="2" t="s">
        <v>35</v>
      </c>
    </row>
    <row r="41" spans="1:26" x14ac:dyDescent="0.2">
      <c r="A41" s="2" t="s">
        <v>8838</v>
      </c>
      <c r="B41" s="2" t="b">
        <v>0</v>
      </c>
      <c r="C41" s="2" t="b">
        <v>0</v>
      </c>
      <c r="D41" s="2" t="b">
        <v>0</v>
      </c>
      <c r="E41" s="2" t="b">
        <v>0</v>
      </c>
      <c r="F41" s="2" t="s">
        <v>31</v>
      </c>
      <c r="G41" s="2" t="s">
        <v>8839</v>
      </c>
      <c r="H41" s="2" t="s">
        <v>8840</v>
      </c>
      <c r="I41" s="2" t="s">
        <v>35</v>
      </c>
      <c r="J41" s="2" t="b">
        <v>0</v>
      </c>
      <c r="K41" s="2" t="s">
        <v>35</v>
      </c>
      <c r="L41" s="2">
        <v>42</v>
      </c>
      <c r="M41" s="2">
        <v>17</v>
      </c>
      <c r="N41" s="3">
        <v>44676.36221806713</v>
      </c>
      <c r="O41" s="3">
        <v>44676.362964490741</v>
      </c>
      <c r="P41" s="2">
        <v>0</v>
      </c>
      <c r="Q41" s="2" t="s">
        <v>54</v>
      </c>
      <c r="R41" s="2" t="s">
        <v>8740</v>
      </c>
      <c r="S41" s="2" t="s">
        <v>35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35</v>
      </c>
      <c r="Y41" s="2" t="s">
        <v>35</v>
      </c>
      <c r="Z41" s="2" t="s">
        <v>35</v>
      </c>
    </row>
    <row r="42" spans="1:26" x14ac:dyDescent="0.2">
      <c r="A42" s="2" t="s">
        <v>8841</v>
      </c>
      <c r="B42" s="2" t="b">
        <v>0</v>
      </c>
      <c r="C42" s="2" t="b">
        <v>0</v>
      </c>
      <c r="D42" s="2" t="b">
        <v>0</v>
      </c>
      <c r="E42" s="2" t="b">
        <v>0</v>
      </c>
      <c r="F42" s="2" t="s">
        <v>31</v>
      </c>
      <c r="G42" s="2" t="s">
        <v>8842</v>
      </c>
      <c r="H42" s="2" t="s">
        <v>8843</v>
      </c>
      <c r="I42" s="2" t="s">
        <v>8844</v>
      </c>
      <c r="J42" s="2" t="b">
        <v>1</v>
      </c>
      <c r="K42" s="2" t="s">
        <v>35</v>
      </c>
      <c r="L42" s="2" t="s">
        <v>35</v>
      </c>
      <c r="M42" s="2" t="s">
        <v>35</v>
      </c>
      <c r="N42" s="3">
        <v>44676.363659849536</v>
      </c>
      <c r="O42" s="3">
        <v>44676.36406847222</v>
      </c>
      <c r="P42" s="2">
        <v>0</v>
      </c>
      <c r="Q42" s="2" t="s">
        <v>416</v>
      </c>
      <c r="R42" s="2" t="s">
        <v>8740</v>
      </c>
      <c r="S42" s="2" t="s">
        <v>35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35</v>
      </c>
      <c r="Y42" s="2" t="s">
        <v>35</v>
      </c>
      <c r="Z42" s="2" t="s">
        <v>35</v>
      </c>
    </row>
    <row r="43" spans="1:26" x14ac:dyDescent="0.2">
      <c r="A43" s="2" t="s">
        <v>8845</v>
      </c>
      <c r="B43" s="2" t="b">
        <v>0</v>
      </c>
      <c r="C43" s="2" t="b">
        <v>0</v>
      </c>
      <c r="D43" s="2" t="b">
        <v>0</v>
      </c>
      <c r="E43" s="2" t="b">
        <v>0</v>
      </c>
      <c r="F43" s="2" t="s">
        <v>31</v>
      </c>
      <c r="G43" s="2" t="s">
        <v>8846</v>
      </c>
      <c r="H43" s="2" t="s">
        <v>8847</v>
      </c>
      <c r="I43" s="2" t="s">
        <v>8848</v>
      </c>
      <c r="J43" s="2" t="b">
        <v>1</v>
      </c>
      <c r="K43" s="2" t="s">
        <v>35</v>
      </c>
      <c r="L43" s="2" t="s">
        <v>35</v>
      </c>
      <c r="M43" s="2" t="s">
        <v>35</v>
      </c>
      <c r="N43" s="3">
        <v>44676.364272928244</v>
      </c>
      <c r="O43" s="3">
        <v>44676.365070567132</v>
      </c>
      <c r="P43" s="2">
        <v>0</v>
      </c>
      <c r="Q43" s="2" t="s">
        <v>416</v>
      </c>
      <c r="R43" s="2" t="s">
        <v>8740</v>
      </c>
      <c r="S43" s="2" t="s">
        <v>35</v>
      </c>
      <c r="T43" s="2" t="s">
        <v>35</v>
      </c>
      <c r="U43" s="2" t="s">
        <v>35</v>
      </c>
      <c r="V43" s="2" t="s">
        <v>35</v>
      </c>
      <c r="W43" s="2" t="s">
        <v>35</v>
      </c>
      <c r="X43" s="2" t="s">
        <v>35</v>
      </c>
      <c r="Y43" s="2" t="s">
        <v>35</v>
      </c>
      <c r="Z43" s="2" t="s">
        <v>35</v>
      </c>
    </row>
    <row r="44" spans="1:26" x14ac:dyDescent="0.2">
      <c r="A44" s="2" t="s">
        <v>8849</v>
      </c>
      <c r="B44" s="2" t="b">
        <v>0</v>
      </c>
      <c r="C44" s="2" t="b">
        <v>0</v>
      </c>
      <c r="D44" s="2" t="b">
        <v>0</v>
      </c>
      <c r="E44" s="2" t="b">
        <v>0</v>
      </c>
      <c r="F44" s="2" t="s">
        <v>31</v>
      </c>
      <c r="G44" s="2" t="s">
        <v>8850</v>
      </c>
      <c r="H44" s="2" t="s">
        <v>8851</v>
      </c>
      <c r="I44" s="2" t="s">
        <v>8852</v>
      </c>
      <c r="J44" s="2" t="b">
        <v>0</v>
      </c>
      <c r="K44" s="2" t="s">
        <v>35</v>
      </c>
      <c r="L44" s="2">
        <v>24</v>
      </c>
      <c r="M44" s="2" t="s">
        <v>35</v>
      </c>
      <c r="N44" s="3">
        <v>44676.36654934028</v>
      </c>
      <c r="O44" s="3">
        <v>44676.367036087962</v>
      </c>
      <c r="P44" s="2">
        <v>0</v>
      </c>
      <c r="Q44" s="2" t="s">
        <v>54</v>
      </c>
      <c r="R44" s="2" t="s">
        <v>8740</v>
      </c>
      <c r="S44" s="2" t="s">
        <v>35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35</v>
      </c>
      <c r="Y44" s="2" t="s">
        <v>35</v>
      </c>
      <c r="Z44" s="2" t="s">
        <v>35</v>
      </c>
    </row>
    <row r="45" spans="1:26" x14ac:dyDescent="0.2">
      <c r="A45" s="2" t="s">
        <v>8853</v>
      </c>
      <c r="B45" s="2" t="b">
        <v>0</v>
      </c>
      <c r="C45" s="2" t="b">
        <v>0</v>
      </c>
      <c r="D45" s="2" t="b">
        <v>0</v>
      </c>
      <c r="E45" s="2" t="b">
        <v>0</v>
      </c>
      <c r="F45" s="2" t="s">
        <v>31</v>
      </c>
      <c r="G45" s="2" t="s">
        <v>8854</v>
      </c>
      <c r="H45" s="2" t="s">
        <v>8855</v>
      </c>
      <c r="I45" s="2" t="s">
        <v>8856</v>
      </c>
      <c r="J45" s="2" t="b">
        <v>1</v>
      </c>
      <c r="K45" s="2" t="s">
        <v>35</v>
      </c>
      <c r="L45" s="2">
        <v>4</v>
      </c>
      <c r="M45" s="2" t="s">
        <v>35</v>
      </c>
      <c r="N45" s="3">
        <v>44676.36919553241</v>
      </c>
      <c r="O45" s="3">
        <v>44676.370954907405</v>
      </c>
      <c r="P45" s="2">
        <v>0</v>
      </c>
      <c r="Q45" s="2" t="s">
        <v>54</v>
      </c>
      <c r="R45" s="2" t="s">
        <v>8740</v>
      </c>
      <c r="S45" s="2" t="s">
        <v>35</v>
      </c>
      <c r="T45" s="2" t="s">
        <v>35</v>
      </c>
      <c r="U45" s="2" t="s">
        <v>35</v>
      </c>
      <c r="V45" s="2" t="s">
        <v>35</v>
      </c>
      <c r="W45" s="2" t="s">
        <v>35</v>
      </c>
      <c r="X45" s="2" t="s">
        <v>35</v>
      </c>
      <c r="Y45" s="2" t="s">
        <v>35</v>
      </c>
      <c r="Z45" s="2" t="s">
        <v>35</v>
      </c>
    </row>
    <row r="46" spans="1:26" x14ac:dyDescent="0.2">
      <c r="A46" s="2" t="s">
        <v>8857</v>
      </c>
      <c r="B46" s="2" t="b">
        <v>0</v>
      </c>
      <c r="C46" s="2" t="b">
        <v>0</v>
      </c>
      <c r="D46" s="2" t="b">
        <v>0</v>
      </c>
      <c r="E46" s="2" t="b">
        <v>0</v>
      </c>
      <c r="F46" s="2" t="s">
        <v>31</v>
      </c>
      <c r="G46" s="2" t="s">
        <v>8858</v>
      </c>
      <c r="H46" s="2" t="s">
        <v>8859</v>
      </c>
      <c r="I46" s="2" t="s">
        <v>8860</v>
      </c>
      <c r="J46" s="2" t="b">
        <v>0</v>
      </c>
      <c r="K46" s="2" t="s">
        <v>35</v>
      </c>
      <c r="L46" s="2" t="s">
        <v>35</v>
      </c>
      <c r="M46" s="2" t="s">
        <v>35</v>
      </c>
      <c r="N46" s="3">
        <v>44676.372303703705</v>
      </c>
      <c r="O46" s="3">
        <v>44676.373380243058</v>
      </c>
      <c r="P46" s="2">
        <v>0</v>
      </c>
      <c r="Q46" s="2" t="s">
        <v>416</v>
      </c>
      <c r="R46" s="2" t="s">
        <v>8740</v>
      </c>
      <c r="S46" s="2" t="s">
        <v>35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</v>
      </c>
      <c r="Y46" s="2" t="s">
        <v>35</v>
      </c>
      <c r="Z46" s="2" t="s">
        <v>35</v>
      </c>
    </row>
    <row r="47" spans="1:26" x14ac:dyDescent="0.2">
      <c r="A47" s="2" t="s">
        <v>8861</v>
      </c>
      <c r="B47" s="2" t="b">
        <v>0</v>
      </c>
      <c r="C47" s="2" t="b">
        <v>0</v>
      </c>
      <c r="D47" s="2" t="b">
        <v>0</v>
      </c>
      <c r="E47" s="2" t="b">
        <v>0</v>
      </c>
      <c r="F47" s="2" t="s">
        <v>31</v>
      </c>
      <c r="G47" s="2" t="s">
        <v>8862</v>
      </c>
      <c r="H47" s="2" t="s">
        <v>8863</v>
      </c>
      <c r="I47" s="2" t="s">
        <v>35</v>
      </c>
      <c r="J47" s="2" t="b">
        <v>0</v>
      </c>
      <c r="K47" s="2">
        <v>5</v>
      </c>
      <c r="L47" s="2" t="s">
        <v>35</v>
      </c>
      <c r="M47" s="2" t="s">
        <v>35</v>
      </c>
      <c r="N47" s="3">
        <v>44676.373954768518</v>
      </c>
      <c r="O47" s="3">
        <v>44676.375060023151</v>
      </c>
      <c r="P47" s="2">
        <v>0</v>
      </c>
      <c r="Q47" s="2" t="s">
        <v>265</v>
      </c>
      <c r="R47" s="2" t="s">
        <v>8740</v>
      </c>
      <c r="S47" s="2" t="s">
        <v>35</v>
      </c>
      <c r="T47" s="2" t="s">
        <v>35</v>
      </c>
      <c r="U47" s="2" t="s">
        <v>35</v>
      </c>
      <c r="V47" s="2" t="s">
        <v>35</v>
      </c>
      <c r="W47" s="2" t="s">
        <v>35</v>
      </c>
      <c r="X47" s="2" t="s">
        <v>35</v>
      </c>
      <c r="Y47" s="2" t="s">
        <v>35</v>
      </c>
      <c r="Z47" s="2" t="s">
        <v>35</v>
      </c>
    </row>
    <row r="48" spans="1:26" x14ac:dyDescent="0.2">
      <c r="A48" s="2" t="s">
        <v>8864</v>
      </c>
      <c r="B48" s="2" t="b">
        <v>0</v>
      </c>
      <c r="C48" s="2" t="b">
        <v>0</v>
      </c>
      <c r="D48" s="2" t="b">
        <v>0</v>
      </c>
      <c r="E48" s="2" t="b">
        <v>0</v>
      </c>
      <c r="F48" s="2" t="s">
        <v>31</v>
      </c>
      <c r="G48" s="2" t="s">
        <v>8865</v>
      </c>
      <c r="H48" s="2" t="s">
        <v>8866</v>
      </c>
      <c r="I48" s="2" t="s">
        <v>8867</v>
      </c>
      <c r="J48" s="2" t="b">
        <v>1</v>
      </c>
      <c r="K48" s="2" t="s">
        <v>35</v>
      </c>
      <c r="L48" s="2" t="s">
        <v>35</v>
      </c>
      <c r="M48" s="2" t="s">
        <v>35</v>
      </c>
      <c r="N48" s="3">
        <v>44676.37551810185</v>
      </c>
      <c r="O48" s="3">
        <v>44676.376340949071</v>
      </c>
      <c r="P48" s="2">
        <v>0</v>
      </c>
      <c r="Q48" s="2" t="s">
        <v>416</v>
      </c>
      <c r="R48" s="2" t="s">
        <v>8740</v>
      </c>
      <c r="S48" s="2" t="s">
        <v>35</v>
      </c>
      <c r="T48" s="2">
        <v>300</v>
      </c>
      <c r="U48" s="2" t="s">
        <v>35</v>
      </c>
      <c r="V48" s="2" t="s">
        <v>35</v>
      </c>
      <c r="W48" s="2" t="s">
        <v>35</v>
      </c>
      <c r="X48" s="2" t="s">
        <v>35</v>
      </c>
      <c r="Y48" s="2" t="s">
        <v>35</v>
      </c>
      <c r="Z48" s="2" t="s">
        <v>35</v>
      </c>
    </row>
    <row r="49" spans="1:26" x14ac:dyDescent="0.2">
      <c r="A49" s="2" t="s">
        <v>8868</v>
      </c>
      <c r="B49" s="2" t="b">
        <v>0</v>
      </c>
      <c r="C49" s="2" t="b">
        <v>0</v>
      </c>
      <c r="D49" s="2" t="b">
        <v>0</v>
      </c>
      <c r="E49" s="2" t="b">
        <v>0</v>
      </c>
      <c r="F49" s="2" t="s">
        <v>31</v>
      </c>
      <c r="G49" s="2" t="s">
        <v>8869</v>
      </c>
      <c r="H49" s="2" t="s">
        <v>8870</v>
      </c>
      <c r="I49" s="2" t="s">
        <v>8867</v>
      </c>
      <c r="J49" s="2" t="b">
        <v>0</v>
      </c>
      <c r="K49" s="2" t="s">
        <v>35</v>
      </c>
      <c r="L49" s="2" t="s">
        <v>35</v>
      </c>
      <c r="M49" s="2" t="s">
        <v>35</v>
      </c>
      <c r="N49" s="3">
        <v>44676.376572372683</v>
      </c>
      <c r="O49" s="3">
        <v>44676.377032199074</v>
      </c>
      <c r="P49" s="2">
        <v>0</v>
      </c>
      <c r="Q49" s="2" t="s">
        <v>416</v>
      </c>
      <c r="R49" s="2" t="s">
        <v>8740</v>
      </c>
      <c r="S49" s="2" t="s">
        <v>35</v>
      </c>
      <c r="T49" s="2">
        <v>300</v>
      </c>
      <c r="U49" s="2" t="s">
        <v>35</v>
      </c>
      <c r="V49" s="2" t="s">
        <v>35</v>
      </c>
      <c r="W49" s="2" t="s">
        <v>35</v>
      </c>
      <c r="X49" s="2" t="s">
        <v>35</v>
      </c>
      <c r="Y49" s="2" t="s">
        <v>35</v>
      </c>
      <c r="Z49" s="2" t="s">
        <v>35</v>
      </c>
    </row>
    <row r="50" spans="1:26" x14ac:dyDescent="0.2">
      <c r="A50" s="2" t="s">
        <v>8871</v>
      </c>
      <c r="B50" s="2" t="b">
        <v>0</v>
      </c>
      <c r="C50" s="2" t="b">
        <v>0</v>
      </c>
      <c r="D50" s="2" t="b">
        <v>0</v>
      </c>
      <c r="E50" s="2" t="b">
        <v>0</v>
      </c>
      <c r="F50" s="2" t="s">
        <v>31</v>
      </c>
      <c r="G50" s="2" t="s">
        <v>8872</v>
      </c>
      <c r="H50" s="2" t="s">
        <v>8873</v>
      </c>
      <c r="I50" s="2" t="s">
        <v>8775</v>
      </c>
      <c r="J50" s="2" t="b">
        <v>1</v>
      </c>
      <c r="K50" s="2">
        <v>3</v>
      </c>
      <c r="L50" s="2" t="s">
        <v>35</v>
      </c>
      <c r="M50" s="2" t="s">
        <v>35</v>
      </c>
      <c r="N50" s="3">
        <v>44676.390997291666</v>
      </c>
      <c r="O50" s="3">
        <v>44676.391420358799</v>
      </c>
      <c r="P50" s="2">
        <v>0</v>
      </c>
      <c r="Q50" s="2" t="s">
        <v>265</v>
      </c>
      <c r="R50" s="2" t="s">
        <v>8740</v>
      </c>
      <c r="S50" s="2" t="s">
        <v>35</v>
      </c>
      <c r="T50" s="2" t="s">
        <v>35</v>
      </c>
      <c r="U50" s="2" t="s">
        <v>35</v>
      </c>
      <c r="V50" s="2" t="s">
        <v>35</v>
      </c>
      <c r="W50" s="2" t="s">
        <v>35</v>
      </c>
      <c r="X50" s="2" t="s">
        <v>35</v>
      </c>
      <c r="Y50" s="2" t="s">
        <v>35</v>
      </c>
      <c r="Z50" s="2" t="s">
        <v>35</v>
      </c>
    </row>
    <row r="51" spans="1:26" x14ac:dyDescent="0.2">
      <c r="A51" s="2" t="s">
        <v>8874</v>
      </c>
      <c r="B51" s="2" t="b">
        <v>0</v>
      </c>
      <c r="C51" s="2" t="b">
        <v>0</v>
      </c>
      <c r="D51" s="2" t="b">
        <v>0</v>
      </c>
      <c r="E51" s="2" t="b">
        <v>0</v>
      </c>
      <c r="F51" s="2" t="s">
        <v>31</v>
      </c>
      <c r="G51" s="2" t="s">
        <v>8875</v>
      </c>
      <c r="H51" s="2" t="s">
        <v>8876</v>
      </c>
      <c r="I51" s="2" t="s">
        <v>8877</v>
      </c>
      <c r="J51" s="2" t="b">
        <v>1</v>
      </c>
      <c r="K51" s="2">
        <v>3</v>
      </c>
      <c r="L51" s="2" t="s">
        <v>35</v>
      </c>
      <c r="M51" s="2" t="s">
        <v>35</v>
      </c>
      <c r="N51" s="3">
        <v>44676.392018657411</v>
      </c>
      <c r="O51" s="3">
        <v>44676.393124027774</v>
      </c>
      <c r="P51" s="2">
        <v>0</v>
      </c>
      <c r="Q51" s="2" t="s">
        <v>265</v>
      </c>
      <c r="R51" s="2" t="s">
        <v>8740</v>
      </c>
      <c r="S51" s="2" t="s">
        <v>35</v>
      </c>
      <c r="T51" s="2" t="s">
        <v>35</v>
      </c>
      <c r="U51" s="2" t="s">
        <v>35</v>
      </c>
      <c r="V51" s="2" t="s">
        <v>35</v>
      </c>
      <c r="W51" s="2" t="s">
        <v>35</v>
      </c>
      <c r="X51" s="2" t="s">
        <v>35</v>
      </c>
      <c r="Y51" s="2" t="s">
        <v>35</v>
      </c>
      <c r="Z51" s="2" t="s">
        <v>35</v>
      </c>
    </row>
    <row r="52" spans="1:26" x14ac:dyDescent="0.2">
      <c r="A52" s="2" t="s">
        <v>8878</v>
      </c>
      <c r="B52" s="2" t="b">
        <v>0</v>
      </c>
      <c r="C52" s="2" t="b">
        <v>0</v>
      </c>
      <c r="D52" s="2" t="b">
        <v>0</v>
      </c>
      <c r="E52" s="2" t="b">
        <v>0</v>
      </c>
      <c r="F52" s="2" t="s">
        <v>31</v>
      </c>
      <c r="G52" s="2" t="s">
        <v>8879</v>
      </c>
      <c r="H52" s="2" t="s">
        <v>8880</v>
      </c>
      <c r="I52" s="2" t="s">
        <v>8881</v>
      </c>
      <c r="J52" s="2" t="b">
        <v>1</v>
      </c>
      <c r="K52" s="2">
        <v>3</v>
      </c>
      <c r="L52" s="2" t="s">
        <v>35</v>
      </c>
      <c r="M52" s="2" t="s">
        <v>35</v>
      </c>
      <c r="N52" s="3">
        <v>44676.394360694445</v>
      </c>
      <c r="O52" s="3">
        <v>44676.394687430555</v>
      </c>
      <c r="P52" s="2">
        <v>0</v>
      </c>
      <c r="Q52" s="2" t="s">
        <v>265</v>
      </c>
      <c r="R52" s="2" t="s">
        <v>8740</v>
      </c>
      <c r="S52" s="2" t="s">
        <v>35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35</v>
      </c>
      <c r="Y52" s="2" t="s">
        <v>35</v>
      </c>
      <c r="Z52" s="2" t="s">
        <v>35</v>
      </c>
    </row>
    <row r="53" spans="1:26" x14ac:dyDescent="0.2">
      <c r="A53" s="2" t="s">
        <v>8882</v>
      </c>
      <c r="B53" s="2" t="b">
        <v>0</v>
      </c>
      <c r="C53" s="2" t="b">
        <v>0</v>
      </c>
      <c r="D53" s="2" t="b">
        <v>0</v>
      </c>
      <c r="E53" s="2" t="b">
        <v>0</v>
      </c>
      <c r="F53" s="2" t="s">
        <v>31</v>
      </c>
      <c r="G53" s="2" t="s">
        <v>8883</v>
      </c>
      <c r="H53" s="2" t="s">
        <v>8884</v>
      </c>
      <c r="I53" s="2" t="s">
        <v>8885</v>
      </c>
      <c r="J53" s="2" t="b">
        <v>1</v>
      </c>
      <c r="K53" s="2">
        <v>1</v>
      </c>
      <c r="L53" s="2" t="s">
        <v>35</v>
      </c>
      <c r="M53" s="2" t="s">
        <v>35</v>
      </c>
      <c r="N53" s="3">
        <v>44676.395248576388</v>
      </c>
      <c r="O53" s="3">
        <v>44676.395718587963</v>
      </c>
      <c r="P53" s="2">
        <v>0</v>
      </c>
      <c r="Q53" s="2" t="s">
        <v>265</v>
      </c>
      <c r="R53" s="2" t="s">
        <v>8740</v>
      </c>
      <c r="S53" s="2" t="s">
        <v>35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35</v>
      </c>
      <c r="Y53" s="2" t="s">
        <v>35</v>
      </c>
      <c r="Z53" s="2" t="s">
        <v>35</v>
      </c>
    </row>
    <row r="54" spans="1:26" x14ac:dyDescent="0.2">
      <c r="A54" s="2" t="s">
        <v>8886</v>
      </c>
      <c r="B54" s="2" t="b">
        <v>0</v>
      </c>
      <c r="C54" s="2" t="b">
        <v>0</v>
      </c>
      <c r="D54" s="2" t="b">
        <v>0</v>
      </c>
      <c r="E54" s="2" t="b">
        <v>0</v>
      </c>
      <c r="F54" s="2" t="s">
        <v>31</v>
      </c>
      <c r="G54" s="2" t="s">
        <v>8887</v>
      </c>
      <c r="H54" s="2" t="s">
        <v>8888</v>
      </c>
      <c r="I54" s="2" t="s">
        <v>1891</v>
      </c>
      <c r="J54" s="2" t="b">
        <v>1</v>
      </c>
      <c r="K54" s="2" t="s">
        <v>35</v>
      </c>
      <c r="L54" s="2" t="s">
        <v>35</v>
      </c>
      <c r="M54" s="2" t="s">
        <v>35</v>
      </c>
      <c r="N54" s="3">
        <v>44676.39669898148</v>
      </c>
      <c r="O54" s="3">
        <v>44676.397026886574</v>
      </c>
      <c r="P54" s="2">
        <v>0</v>
      </c>
      <c r="Q54" s="2" t="s">
        <v>416</v>
      </c>
      <c r="R54" s="2" t="s">
        <v>8740</v>
      </c>
      <c r="S54" s="2" t="s">
        <v>35</v>
      </c>
      <c r="T54" s="2" t="s">
        <v>35</v>
      </c>
      <c r="U54" s="2" t="s">
        <v>35</v>
      </c>
      <c r="V54" s="2" t="s">
        <v>35</v>
      </c>
      <c r="W54" s="2" t="s">
        <v>35</v>
      </c>
      <c r="X54" s="2" t="s">
        <v>35</v>
      </c>
      <c r="Y54" s="2" t="s">
        <v>35</v>
      </c>
      <c r="Z54" s="2" t="s">
        <v>35</v>
      </c>
    </row>
    <row r="55" spans="1:26" x14ac:dyDescent="0.2">
      <c r="A55" s="2" t="s">
        <v>8889</v>
      </c>
      <c r="B55" s="2" t="b">
        <v>0</v>
      </c>
      <c r="C55" s="2" t="b">
        <v>0</v>
      </c>
      <c r="D55" s="2" t="b">
        <v>0</v>
      </c>
      <c r="E55" s="2" t="b">
        <v>0</v>
      </c>
      <c r="F55" s="2" t="s">
        <v>31</v>
      </c>
      <c r="G55" s="2" t="s">
        <v>8890</v>
      </c>
      <c r="H55" s="2" t="s">
        <v>8891</v>
      </c>
      <c r="I55" s="2" t="s">
        <v>8892</v>
      </c>
      <c r="J55" s="2" t="b">
        <v>1</v>
      </c>
      <c r="K55" s="2" t="s">
        <v>35</v>
      </c>
      <c r="L55" s="2" t="s">
        <v>35</v>
      </c>
      <c r="M55" s="2" t="s">
        <v>35</v>
      </c>
      <c r="N55" s="3">
        <v>44676.39753869213</v>
      </c>
      <c r="O55" s="3">
        <v>44676.397939780094</v>
      </c>
      <c r="P55" s="2">
        <v>0</v>
      </c>
      <c r="Q55" s="2" t="s">
        <v>416</v>
      </c>
      <c r="R55" s="2" t="s">
        <v>8740</v>
      </c>
      <c r="S55" s="2" t="s">
        <v>35</v>
      </c>
      <c r="T55" s="2" t="s">
        <v>35</v>
      </c>
      <c r="U55" s="2" t="s">
        <v>35</v>
      </c>
      <c r="V55" s="2" t="s">
        <v>35</v>
      </c>
      <c r="W55" s="2" t="s">
        <v>35</v>
      </c>
      <c r="X55" s="2" t="s">
        <v>35</v>
      </c>
      <c r="Y55" s="2" t="s">
        <v>35</v>
      </c>
      <c r="Z55" s="2" t="s">
        <v>35</v>
      </c>
    </row>
    <row r="56" spans="1:26" x14ac:dyDescent="0.2">
      <c r="A56" s="2" t="s">
        <v>8893</v>
      </c>
      <c r="B56" s="2" t="b">
        <v>0</v>
      </c>
      <c r="C56" s="2" t="b">
        <v>0</v>
      </c>
      <c r="D56" s="2" t="b">
        <v>0</v>
      </c>
      <c r="E56" s="2" t="b">
        <v>0</v>
      </c>
      <c r="F56" s="2" t="s">
        <v>121</v>
      </c>
      <c r="G56" s="2" t="s">
        <v>149</v>
      </c>
      <c r="H56" s="2" t="s">
        <v>8894</v>
      </c>
      <c r="I56" s="2" t="s">
        <v>35</v>
      </c>
      <c r="J56" s="2" t="b">
        <v>0</v>
      </c>
      <c r="K56" s="2" t="s">
        <v>35</v>
      </c>
      <c r="L56" s="2" t="s">
        <v>35</v>
      </c>
      <c r="M56" s="2" t="s">
        <v>35</v>
      </c>
      <c r="N56" s="3">
        <v>44676.515524062503</v>
      </c>
      <c r="O56" s="3">
        <v>44676.517810462959</v>
      </c>
      <c r="P56" s="2">
        <v>0</v>
      </c>
      <c r="Q56" s="2" t="s">
        <v>8743</v>
      </c>
      <c r="R56" s="2" t="s">
        <v>8740</v>
      </c>
      <c r="S56" s="2" t="s">
        <v>35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35</v>
      </c>
      <c r="Y56" s="2" t="s">
        <v>35</v>
      </c>
      <c r="Z56" s="2" t="s">
        <v>35</v>
      </c>
    </row>
    <row r="57" spans="1:26" x14ac:dyDescent="0.2">
      <c r="A57" s="2" t="s">
        <v>8895</v>
      </c>
      <c r="B57" s="2" t="b">
        <v>0</v>
      </c>
      <c r="C57" s="2" t="b">
        <v>0</v>
      </c>
      <c r="D57" s="2" t="b">
        <v>0</v>
      </c>
      <c r="E57" s="2" t="b">
        <v>0</v>
      </c>
      <c r="F57" s="2" t="s">
        <v>31</v>
      </c>
      <c r="G57" s="2" t="s">
        <v>149</v>
      </c>
      <c r="H57" s="2" t="s">
        <v>8896</v>
      </c>
      <c r="I57" s="2" t="s">
        <v>35</v>
      </c>
      <c r="J57" s="2" t="b">
        <v>0</v>
      </c>
      <c r="K57" s="2" t="s">
        <v>35</v>
      </c>
      <c r="L57" s="2" t="s">
        <v>35</v>
      </c>
      <c r="M57" s="2" t="s">
        <v>35</v>
      </c>
      <c r="N57" s="3">
        <v>44676.520256828706</v>
      </c>
      <c r="O57" s="3">
        <v>44676.521661620369</v>
      </c>
      <c r="P57" s="2">
        <v>0</v>
      </c>
      <c r="Q57" s="2" t="s">
        <v>100</v>
      </c>
      <c r="R57" s="2" t="s">
        <v>8740</v>
      </c>
      <c r="S57" s="2" t="s">
        <v>35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35</v>
      </c>
      <c r="Y57" s="2" t="s">
        <v>35</v>
      </c>
      <c r="Z57" s="2" t="s">
        <v>35</v>
      </c>
    </row>
    <row r="58" spans="1:26" x14ac:dyDescent="0.2">
      <c r="A58" s="2" t="s">
        <v>8897</v>
      </c>
      <c r="B58" s="2" t="b">
        <v>0</v>
      </c>
      <c r="C58" s="2" t="b">
        <v>0</v>
      </c>
      <c r="D58" s="2" t="b">
        <v>0</v>
      </c>
      <c r="E58" s="2" t="b">
        <v>0</v>
      </c>
      <c r="F58" s="2" t="s">
        <v>121</v>
      </c>
      <c r="G58" s="2" t="s">
        <v>149</v>
      </c>
      <c r="H58" s="2" t="s">
        <v>8898</v>
      </c>
      <c r="I58" s="2" t="s">
        <v>35</v>
      </c>
      <c r="J58" s="2" t="b">
        <v>0</v>
      </c>
      <c r="K58" s="2" t="s">
        <v>35</v>
      </c>
      <c r="L58" s="2" t="s">
        <v>35</v>
      </c>
      <c r="M58" s="2" t="s">
        <v>35</v>
      </c>
      <c r="N58" s="3">
        <v>44676.521691249996</v>
      </c>
      <c r="O58" s="3">
        <v>44676.521712326386</v>
      </c>
      <c r="P58" s="2">
        <v>0</v>
      </c>
      <c r="Q58" s="2" t="s">
        <v>8743</v>
      </c>
      <c r="R58" s="2" t="s">
        <v>8740</v>
      </c>
      <c r="S58" s="2" t="s">
        <v>35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35</v>
      </c>
      <c r="Y58" s="2" t="s">
        <v>35</v>
      </c>
      <c r="Z58" s="2" t="s">
        <v>35</v>
      </c>
    </row>
    <row r="59" spans="1:26" x14ac:dyDescent="0.2">
      <c r="A59" s="2" t="s">
        <v>8899</v>
      </c>
      <c r="B59" s="2" t="b">
        <v>0</v>
      </c>
      <c r="C59" s="2" t="b">
        <v>0</v>
      </c>
      <c r="D59" s="2" t="b">
        <v>0</v>
      </c>
      <c r="E59" s="2" t="b">
        <v>0</v>
      </c>
      <c r="F59" s="2" t="s">
        <v>121</v>
      </c>
      <c r="G59" s="2" t="s">
        <v>149</v>
      </c>
      <c r="H59" s="2" t="s">
        <v>8900</v>
      </c>
      <c r="I59" s="2" t="s">
        <v>35</v>
      </c>
      <c r="J59" s="2" t="b">
        <v>0</v>
      </c>
      <c r="K59" s="2" t="s">
        <v>35</v>
      </c>
      <c r="L59" s="2" t="s">
        <v>35</v>
      </c>
      <c r="M59" s="2" t="s">
        <v>35</v>
      </c>
      <c r="N59" s="3">
        <v>44676.525497175928</v>
      </c>
      <c r="O59" s="3">
        <v>44676.525497650466</v>
      </c>
      <c r="P59" s="2">
        <v>0</v>
      </c>
      <c r="Q59" s="2" t="s">
        <v>8743</v>
      </c>
      <c r="R59" s="2" t="s">
        <v>8740</v>
      </c>
      <c r="S59" s="2" t="s">
        <v>35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35</v>
      </c>
      <c r="Y59" s="2" t="s">
        <v>35</v>
      </c>
      <c r="Z59" s="2" t="s">
        <v>35</v>
      </c>
    </row>
    <row r="60" spans="1:26" x14ac:dyDescent="0.2">
      <c r="A60" s="2" t="s">
        <v>8901</v>
      </c>
      <c r="B60" s="2" t="b">
        <v>0</v>
      </c>
      <c r="C60" s="2" t="b">
        <v>0</v>
      </c>
      <c r="D60" s="2" t="b">
        <v>0</v>
      </c>
      <c r="E60" s="2" t="b">
        <v>0</v>
      </c>
      <c r="F60" s="2" t="s">
        <v>121</v>
      </c>
      <c r="G60" s="2" t="s">
        <v>149</v>
      </c>
      <c r="H60" s="2" t="s">
        <v>8902</v>
      </c>
      <c r="I60" s="2" t="s">
        <v>35</v>
      </c>
      <c r="J60" s="2" t="b">
        <v>0</v>
      </c>
      <c r="K60" s="2" t="s">
        <v>35</v>
      </c>
      <c r="L60" s="2" t="s">
        <v>35</v>
      </c>
      <c r="M60" s="2" t="s">
        <v>35</v>
      </c>
      <c r="N60" s="3">
        <v>44676.527368356481</v>
      </c>
      <c r="O60" s="3">
        <v>44676.52736847222</v>
      </c>
      <c r="P60" s="2">
        <v>0</v>
      </c>
      <c r="Q60" s="2" t="s">
        <v>8743</v>
      </c>
      <c r="R60" s="2" t="s">
        <v>8740</v>
      </c>
      <c r="S60" s="2" t="s">
        <v>35</v>
      </c>
      <c r="T60" s="2" t="s">
        <v>35</v>
      </c>
      <c r="U60" s="2" t="s">
        <v>35</v>
      </c>
      <c r="V60" s="2" t="s">
        <v>35</v>
      </c>
      <c r="W60" s="2" t="s">
        <v>35</v>
      </c>
      <c r="X60" s="2" t="s">
        <v>35</v>
      </c>
      <c r="Y60" s="2" t="s">
        <v>35</v>
      </c>
      <c r="Z60" s="2" t="s">
        <v>35</v>
      </c>
    </row>
    <row r="61" spans="1:26" x14ac:dyDescent="0.2">
      <c r="A61" s="2" t="s">
        <v>8903</v>
      </c>
      <c r="B61" s="2" t="b">
        <v>1</v>
      </c>
      <c r="C61" s="2" t="b">
        <v>0</v>
      </c>
      <c r="D61" s="2" t="b">
        <v>0</v>
      </c>
      <c r="E61" s="2" t="b">
        <v>0</v>
      </c>
      <c r="F61" s="2" t="s">
        <v>121</v>
      </c>
      <c r="G61" s="2" t="s">
        <v>149</v>
      </c>
      <c r="H61" s="2" t="s">
        <v>8904</v>
      </c>
      <c r="I61" s="2" t="s">
        <v>35</v>
      </c>
      <c r="J61" s="2" t="b">
        <v>0</v>
      </c>
      <c r="K61" s="2" t="s">
        <v>35</v>
      </c>
      <c r="L61" s="2" t="s">
        <v>35</v>
      </c>
      <c r="M61" s="2" t="s">
        <v>35</v>
      </c>
      <c r="N61" s="3">
        <v>44676.527531527776</v>
      </c>
      <c r="O61" s="3">
        <v>44676.527625000002</v>
      </c>
      <c r="P61" s="2">
        <v>0</v>
      </c>
      <c r="Q61" s="2" t="s">
        <v>8743</v>
      </c>
      <c r="R61" s="2" t="s">
        <v>8740</v>
      </c>
      <c r="S61" s="2" t="s">
        <v>35</v>
      </c>
      <c r="T61" s="2" t="s">
        <v>35</v>
      </c>
      <c r="U61" s="2" t="s">
        <v>35</v>
      </c>
      <c r="V61" s="2" t="s">
        <v>35</v>
      </c>
      <c r="W61" s="2" t="s">
        <v>35</v>
      </c>
      <c r="X61" s="2" t="s">
        <v>35</v>
      </c>
      <c r="Y61" s="2" t="s">
        <v>35</v>
      </c>
      <c r="Z61" s="2" t="s">
        <v>35</v>
      </c>
    </row>
    <row r="62" spans="1:26" x14ac:dyDescent="0.2">
      <c r="A62" s="2" t="s">
        <v>8905</v>
      </c>
      <c r="B62" s="2" t="b">
        <v>0</v>
      </c>
      <c r="C62" s="2" t="b">
        <v>0</v>
      </c>
      <c r="D62" s="2" t="b">
        <v>0</v>
      </c>
      <c r="E62" s="2" t="b">
        <v>0</v>
      </c>
      <c r="F62" s="2" t="s">
        <v>31</v>
      </c>
      <c r="G62" s="2" t="s">
        <v>149</v>
      </c>
      <c r="H62" s="2" t="s">
        <v>8906</v>
      </c>
      <c r="I62" s="2" t="s">
        <v>8907</v>
      </c>
      <c r="J62" s="2" t="b">
        <v>0</v>
      </c>
      <c r="K62" s="2" t="s">
        <v>35</v>
      </c>
      <c r="L62" s="2" t="s">
        <v>35</v>
      </c>
      <c r="M62" s="2" t="s">
        <v>35</v>
      </c>
      <c r="N62" s="3">
        <v>44683.475241180553</v>
      </c>
      <c r="O62" s="3">
        <v>44683.477630138892</v>
      </c>
      <c r="P62" s="2">
        <v>0</v>
      </c>
      <c r="Q62" s="2" t="s">
        <v>54</v>
      </c>
      <c r="R62" s="2" t="s">
        <v>8908</v>
      </c>
      <c r="S62" s="2" t="s">
        <v>35</v>
      </c>
      <c r="T62" s="2" t="s">
        <v>35</v>
      </c>
      <c r="U62" s="2" t="s">
        <v>35</v>
      </c>
      <c r="V62" s="2" t="s">
        <v>35</v>
      </c>
      <c r="W62" s="2" t="s">
        <v>35</v>
      </c>
      <c r="X62" s="2" t="s">
        <v>35</v>
      </c>
      <c r="Y62" s="2" t="s">
        <v>35</v>
      </c>
      <c r="Z62" s="2" t="s">
        <v>35</v>
      </c>
    </row>
    <row r="63" spans="1:26" x14ac:dyDescent="0.2">
      <c r="A63" s="2" t="s">
        <v>8909</v>
      </c>
      <c r="B63" s="2" t="b">
        <v>0</v>
      </c>
      <c r="C63" s="2" t="b">
        <v>0</v>
      </c>
      <c r="D63" s="2" t="b">
        <v>0</v>
      </c>
      <c r="E63" s="2" t="b">
        <v>0</v>
      </c>
      <c r="F63" s="2" t="s">
        <v>31</v>
      </c>
      <c r="G63" s="2" t="s">
        <v>149</v>
      </c>
      <c r="H63" s="2" t="s">
        <v>8910</v>
      </c>
      <c r="I63" s="2" t="s">
        <v>35</v>
      </c>
      <c r="J63" s="2" t="b">
        <v>0</v>
      </c>
      <c r="K63" s="2" t="s">
        <v>35</v>
      </c>
      <c r="L63" s="2" t="s">
        <v>35</v>
      </c>
      <c r="M63" s="2" t="s">
        <v>35</v>
      </c>
      <c r="N63" s="3">
        <v>44683.52711545139</v>
      </c>
      <c r="O63" s="3">
        <v>44683.601102372682</v>
      </c>
      <c r="P63" s="2">
        <v>0</v>
      </c>
      <c r="Q63" s="2" t="s">
        <v>265</v>
      </c>
      <c r="R63" s="2" t="s">
        <v>8908</v>
      </c>
      <c r="S63" s="2" t="s">
        <v>35</v>
      </c>
      <c r="T63" s="2" t="s">
        <v>35</v>
      </c>
      <c r="U63" s="2" t="s">
        <v>35</v>
      </c>
      <c r="V63" s="2" t="s">
        <v>35</v>
      </c>
      <c r="W63" s="2" t="s">
        <v>35</v>
      </c>
      <c r="X63" s="2" t="s">
        <v>35</v>
      </c>
      <c r="Y63" s="2" t="s">
        <v>35</v>
      </c>
      <c r="Z63" s="2" t="s">
        <v>35</v>
      </c>
    </row>
    <row r="64" spans="1:26" x14ac:dyDescent="0.2">
      <c r="A64" s="2" t="s">
        <v>8911</v>
      </c>
      <c r="B64" s="2" t="b">
        <v>0</v>
      </c>
      <c r="C64" s="2" t="b">
        <v>0</v>
      </c>
      <c r="D64" s="2" t="b">
        <v>0</v>
      </c>
      <c r="E64" s="2" t="b">
        <v>0</v>
      </c>
      <c r="F64" s="2" t="s">
        <v>121</v>
      </c>
      <c r="G64" s="2" t="s">
        <v>149</v>
      </c>
      <c r="H64" s="2" t="s">
        <v>8912</v>
      </c>
      <c r="I64" s="2" t="s">
        <v>35</v>
      </c>
      <c r="J64" s="2" t="b">
        <v>0</v>
      </c>
      <c r="K64" s="2" t="s">
        <v>35</v>
      </c>
      <c r="L64" s="2" t="s">
        <v>35</v>
      </c>
      <c r="M64" s="2" t="s">
        <v>35</v>
      </c>
      <c r="N64" s="3">
        <v>44683.601856817128</v>
      </c>
      <c r="O64" s="3">
        <v>44683.610034328703</v>
      </c>
      <c r="P64" s="2">
        <v>0</v>
      </c>
      <c r="Q64" s="2" t="s">
        <v>265</v>
      </c>
      <c r="R64" s="2" t="s">
        <v>8908</v>
      </c>
      <c r="S64" s="2" t="s">
        <v>35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35</v>
      </c>
      <c r="Y64" s="2" t="s">
        <v>35</v>
      </c>
      <c r="Z64" s="2" t="s">
        <v>35</v>
      </c>
    </row>
    <row r="65" spans="1:26" x14ac:dyDescent="0.2">
      <c r="A65" s="2" t="s">
        <v>8913</v>
      </c>
      <c r="B65" s="2" t="b">
        <v>0</v>
      </c>
      <c r="C65" s="2" t="b">
        <v>0</v>
      </c>
      <c r="D65" s="2" t="b">
        <v>0</v>
      </c>
      <c r="E65" s="2" t="b">
        <v>0</v>
      </c>
      <c r="F65" s="2" t="s">
        <v>121</v>
      </c>
      <c r="G65" s="2" t="s">
        <v>149</v>
      </c>
      <c r="H65" s="2" t="s">
        <v>8914</v>
      </c>
      <c r="I65" s="2" t="s">
        <v>35</v>
      </c>
      <c r="J65" s="2" t="b">
        <v>0</v>
      </c>
      <c r="K65" s="2" t="s">
        <v>35</v>
      </c>
      <c r="L65" s="2" t="s">
        <v>35</v>
      </c>
      <c r="M65" s="2" t="s">
        <v>35</v>
      </c>
      <c r="N65" s="3">
        <v>44683.615677465277</v>
      </c>
      <c r="O65" s="3">
        <v>44683.615689479164</v>
      </c>
      <c r="P65" s="2">
        <v>0</v>
      </c>
      <c r="Q65" s="2" t="s">
        <v>8743</v>
      </c>
      <c r="R65" s="2" t="s">
        <v>8908</v>
      </c>
      <c r="S65" s="2" t="s">
        <v>35</v>
      </c>
      <c r="T65" s="2" t="s">
        <v>35</v>
      </c>
      <c r="U65" s="2" t="s">
        <v>35</v>
      </c>
      <c r="V65" s="2" t="s">
        <v>35</v>
      </c>
      <c r="W65" s="2" t="s">
        <v>35</v>
      </c>
      <c r="X65" s="2" t="s">
        <v>35</v>
      </c>
      <c r="Y65" s="2" t="s">
        <v>35</v>
      </c>
      <c r="Z65" s="2" t="s">
        <v>35</v>
      </c>
    </row>
    <row r="66" spans="1:26" x14ac:dyDescent="0.2">
      <c r="A66" s="2" t="s">
        <v>8915</v>
      </c>
      <c r="B66" s="2" t="b">
        <v>0</v>
      </c>
      <c r="C66" s="2" t="b">
        <v>0</v>
      </c>
      <c r="D66" s="2" t="b">
        <v>0</v>
      </c>
      <c r="E66" s="2" t="b">
        <v>0</v>
      </c>
      <c r="F66" s="2" t="s">
        <v>31</v>
      </c>
      <c r="G66" s="2" t="s">
        <v>149</v>
      </c>
      <c r="H66" s="2" t="s">
        <v>8916</v>
      </c>
      <c r="I66" s="2" t="s">
        <v>8917</v>
      </c>
      <c r="J66" s="2" t="b">
        <v>0</v>
      </c>
      <c r="K66" s="2" t="s">
        <v>35</v>
      </c>
      <c r="L66" s="2" t="s">
        <v>35</v>
      </c>
      <c r="M66" s="2" t="s">
        <v>35</v>
      </c>
      <c r="N66" s="3">
        <v>44683.616037314816</v>
      </c>
      <c r="O66" s="3">
        <v>44683.616193182868</v>
      </c>
      <c r="P66" s="2">
        <v>0</v>
      </c>
      <c r="Q66" s="2" t="s">
        <v>416</v>
      </c>
      <c r="R66" s="2" t="s">
        <v>8908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35</v>
      </c>
      <c r="Y66" s="2" t="s">
        <v>35</v>
      </c>
      <c r="Z66" s="2" t="s">
        <v>35</v>
      </c>
    </row>
    <row r="67" spans="1:26" x14ac:dyDescent="0.2">
      <c r="A67" s="2" t="s">
        <v>8918</v>
      </c>
      <c r="B67" s="2" t="b">
        <v>0</v>
      </c>
      <c r="C67" s="2" t="b">
        <v>0</v>
      </c>
      <c r="D67" s="2" t="b">
        <v>0</v>
      </c>
      <c r="E67" s="2" t="b">
        <v>0</v>
      </c>
      <c r="F67" s="2" t="s">
        <v>121</v>
      </c>
      <c r="G67" s="2" t="s">
        <v>149</v>
      </c>
      <c r="H67" s="2" t="s">
        <v>8919</v>
      </c>
      <c r="I67" s="2" t="s">
        <v>35</v>
      </c>
      <c r="J67" s="2" t="b">
        <v>0</v>
      </c>
      <c r="K67" s="2" t="s">
        <v>35</v>
      </c>
      <c r="L67" s="2" t="s">
        <v>35</v>
      </c>
      <c r="M67" s="2" t="s">
        <v>35</v>
      </c>
      <c r="N67" s="3">
        <v>44684.517822766204</v>
      </c>
      <c r="O67" s="3">
        <v>44684.518060428243</v>
      </c>
      <c r="P67" s="2">
        <v>0</v>
      </c>
      <c r="Q67" s="2" t="s">
        <v>2380</v>
      </c>
      <c r="R67" s="2" t="s">
        <v>8908</v>
      </c>
      <c r="S67" s="2" t="s">
        <v>35</v>
      </c>
      <c r="T67" s="2" t="s">
        <v>35</v>
      </c>
      <c r="U67" s="2" t="s">
        <v>35</v>
      </c>
      <c r="V67" s="2" t="s">
        <v>35</v>
      </c>
      <c r="W67" s="2" t="s">
        <v>35</v>
      </c>
      <c r="X67" s="2" t="s">
        <v>35</v>
      </c>
      <c r="Y67" s="2" t="s">
        <v>35</v>
      </c>
      <c r="Z67" s="2" t="s">
        <v>35</v>
      </c>
    </row>
    <row r="68" spans="1:26" x14ac:dyDescent="0.2">
      <c r="A68" s="2" t="s">
        <v>8920</v>
      </c>
      <c r="B68" s="2" t="b">
        <v>0</v>
      </c>
      <c r="C68" s="2" t="b">
        <v>0</v>
      </c>
      <c r="D68" s="2" t="b">
        <v>0</v>
      </c>
      <c r="E68" s="2" t="b">
        <v>0</v>
      </c>
      <c r="F68" s="2" t="s">
        <v>31</v>
      </c>
      <c r="G68" s="2" t="s">
        <v>8921</v>
      </c>
      <c r="H68" s="2" t="s">
        <v>8922</v>
      </c>
      <c r="I68" s="2" t="s">
        <v>8923</v>
      </c>
      <c r="J68" s="2" t="b">
        <v>0</v>
      </c>
      <c r="K68" s="2" t="s">
        <v>35</v>
      </c>
      <c r="L68" s="2">
        <v>60</v>
      </c>
      <c r="M68" s="2">
        <v>16</v>
      </c>
      <c r="N68" s="3">
        <v>44684.631182581019</v>
      </c>
      <c r="O68" s="3">
        <v>44684.633518993054</v>
      </c>
      <c r="P68" s="2">
        <v>0</v>
      </c>
      <c r="Q68" s="2" t="s">
        <v>54</v>
      </c>
      <c r="R68" s="2" t="s">
        <v>8908</v>
      </c>
      <c r="S68" s="2" t="s">
        <v>35</v>
      </c>
      <c r="T68" s="2" t="s">
        <v>35</v>
      </c>
      <c r="U68" s="2" t="s">
        <v>35</v>
      </c>
      <c r="V68" s="2" t="s">
        <v>35</v>
      </c>
      <c r="W68" s="2" t="s">
        <v>35</v>
      </c>
      <c r="X68" s="2" t="s">
        <v>35</v>
      </c>
      <c r="Y68" s="2" t="s">
        <v>35</v>
      </c>
      <c r="Z68" s="2" t="s">
        <v>35</v>
      </c>
    </row>
    <row r="69" spans="1:26" x14ac:dyDescent="0.2">
      <c r="A69" s="2" t="s">
        <v>8924</v>
      </c>
      <c r="B69" s="2" t="b">
        <v>0</v>
      </c>
      <c r="C69" s="2" t="b">
        <v>0</v>
      </c>
      <c r="D69" s="2" t="b">
        <v>0</v>
      </c>
      <c r="E69" s="2" t="b">
        <v>0</v>
      </c>
      <c r="F69" s="2" t="s">
        <v>31</v>
      </c>
      <c r="G69" s="2" t="s">
        <v>8925</v>
      </c>
      <c r="H69" s="2" t="s">
        <v>8926</v>
      </c>
      <c r="I69" s="2" t="s">
        <v>35</v>
      </c>
      <c r="J69" s="2" t="b">
        <v>0</v>
      </c>
      <c r="K69" s="2" t="s">
        <v>35</v>
      </c>
      <c r="L69" s="2" t="s">
        <v>35</v>
      </c>
      <c r="M69" s="2" t="s">
        <v>35</v>
      </c>
      <c r="N69" s="3">
        <v>44684.636238865744</v>
      </c>
      <c r="O69" s="3">
        <v>44684.63656324074</v>
      </c>
      <c r="P69" s="2">
        <v>0</v>
      </c>
      <c r="Q69" s="2" t="s">
        <v>8743</v>
      </c>
      <c r="R69" s="2" t="s">
        <v>8908</v>
      </c>
      <c r="S69" s="2" t="s">
        <v>35</v>
      </c>
      <c r="T69" s="2">
        <v>100</v>
      </c>
      <c r="U69" s="2" t="s">
        <v>35</v>
      </c>
      <c r="V69" s="2" t="s">
        <v>35</v>
      </c>
      <c r="W69" s="2" t="s">
        <v>35</v>
      </c>
      <c r="X69" s="2" t="s">
        <v>35</v>
      </c>
      <c r="Y69" s="2" t="s">
        <v>35</v>
      </c>
      <c r="Z69" s="2" t="s">
        <v>35</v>
      </c>
    </row>
    <row r="70" spans="1:26" x14ac:dyDescent="0.2">
      <c r="A70" s="2" t="s">
        <v>8927</v>
      </c>
      <c r="B70" s="2" t="b">
        <v>0</v>
      </c>
      <c r="C70" s="2" t="b">
        <v>0</v>
      </c>
      <c r="D70" s="2" t="b">
        <v>0</v>
      </c>
      <c r="E70" s="2" t="b">
        <v>0</v>
      </c>
      <c r="F70" s="2" t="s">
        <v>121</v>
      </c>
      <c r="G70" s="2" t="s">
        <v>149</v>
      </c>
      <c r="H70" s="2" t="s">
        <v>8928</v>
      </c>
      <c r="I70" s="2" t="s">
        <v>35</v>
      </c>
      <c r="J70" s="2" t="b">
        <v>0</v>
      </c>
      <c r="K70" s="2" t="s">
        <v>35</v>
      </c>
      <c r="L70" s="2" t="s">
        <v>35</v>
      </c>
      <c r="M70" s="2" t="s">
        <v>35</v>
      </c>
      <c r="N70" s="3">
        <v>44684.637756041666</v>
      </c>
      <c r="O70" s="3">
        <v>44684.637822268516</v>
      </c>
      <c r="P70" s="2">
        <v>0</v>
      </c>
      <c r="Q70" s="2" t="s">
        <v>8743</v>
      </c>
      <c r="R70" s="2" t="s">
        <v>8908</v>
      </c>
      <c r="S70" s="2" t="s">
        <v>35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35</v>
      </c>
      <c r="Y70" s="2" t="s">
        <v>35</v>
      </c>
      <c r="Z70" s="2" t="s">
        <v>35</v>
      </c>
    </row>
    <row r="71" spans="1:26" x14ac:dyDescent="0.2">
      <c r="A71" s="2" t="s">
        <v>8929</v>
      </c>
      <c r="B71" s="2" t="b">
        <v>0</v>
      </c>
      <c r="C71" s="2" t="b">
        <v>0</v>
      </c>
      <c r="D71" s="2" t="b">
        <v>0</v>
      </c>
      <c r="E71" s="2" t="b">
        <v>0</v>
      </c>
      <c r="F71" s="2" t="s">
        <v>121</v>
      </c>
      <c r="G71" s="2" t="s">
        <v>149</v>
      </c>
      <c r="H71" s="2" t="s">
        <v>8928</v>
      </c>
      <c r="I71" s="2" t="s">
        <v>35</v>
      </c>
      <c r="J71" s="2" t="b">
        <v>0</v>
      </c>
      <c r="K71" s="2" t="s">
        <v>35</v>
      </c>
      <c r="L71" s="2" t="s">
        <v>35</v>
      </c>
      <c r="M71" s="2" t="s">
        <v>35</v>
      </c>
      <c r="N71" s="3">
        <v>44684.637820648146</v>
      </c>
      <c r="O71" s="3">
        <v>44684.637820694443</v>
      </c>
      <c r="P71" s="2">
        <v>0</v>
      </c>
      <c r="Q71" s="2" t="s">
        <v>8743</v>
      </c>
      <c r="R71" s="2" t="s">
        <v>8908</v>
      </c>
      <c r="S71" s="2" t="s">
        <v>35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35</v>
      </c>
      <c r="Y71" s="2" t="s">
        <v>35</v>
      </c>
      <c r="Z71" s="2" t="s">
        <v>35</v>
      </c>
    </row>
    <row r="72" spans="1:26" x14ac:dyDescent="0.2">
      <c r="A72" s="2" t="s">
        <v>8930</v>
      </c>
      <c r="B72" s="2" t="b">
        <v>0</v>
      </c>
      <c r="C72" s="2" t="b">
        <v>0</v>
      </c>
      <c r="D72" s="2" t="b">
        <v>0</v>
      </c>
      <c r="E72" s="2" t="b">
        <v>0</v>
      </c>
      <c r="F72" s="2" t="s">
        <v>31</v>
      </c>
      <c r="G72" s="2" t="s">
        <v>8931</v>
      </c>
      <c r="H72" s="2" t="s">
        <v>8932</v>
      </c>
      <c r="I72" s="2" t="s">
        <v>8933</v>
      </c>
      <c r="J72" s="2" t="b">
        <v>1</v>
      </c>
      <c r="K72" s="2" t="s">
        <v>35</v>
      </c>
      <c r="L72" s="2" t="s">
        <v>35</v>
      </c>
      <c r="M72" s="2" t="s">
        <v>35</v>
      </c>
      <c r="N72" s="3">
        <v>44684.638287430556</v>
      </c>
      <c r="O72" s="3">
        <v>44684.639392418983</v>
      </c>
      <c r="P72" s="2">
        <v>0</v>
      </c>
      <c r="Q72" s="2" t="s">
        <v>416</v>
      </c>
      <c r="R72" s="2" t="s">
        <v>8908</v>
      </c>
      <c r="S72" s="2" t="s">
        <v>35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35</v>
      </c>
      <c r="Y72" s="2" t="s">
        <v>35</v>
      </c>
      <c r="Z72" s="2" t="s">
        <v>35</v>
      </c>
    </row>
    <row r="73" spans="1:26" x14ac:dyDescent="0.2">
      <c r="A73" s="2" t="s">
        <v>8934</v>
      </c>
      <c r="B73" s="2" t="b">
        <v>0</v>
      </c>
      <c r="C73" s="2" t="b">
        <v>0</v>
      </c>
      <c r="D73" s="2" t="b">
        <v>0</v>
      </c>
      <c r="E73" s="2" t="b">
        <v>0</v>
      </c>
      <c r="F73" s="2" t="s">
        <v>31</v>
      </c>
      <c r="G73" s="2" t="s">
        <v>149</v>
      </c>
      <c r="H73" s="2" t="s">
        <v>8935</v>
      </c>
      <c r="I73" s="2" t="s">
        <v>8936</v>
      </c>
      <c r="J73" s="2" t="b">
        <v>1</v>
      </c>
      <c r="K73" s="2" t="s">
        <v>35</v>
      </c>
      <c r="L73" s="2" t="s">
        <v>35</v>
      </c>
      <c r="M73" s="2" t="s">
        <v>35</v>
      </c>
      <c r="N73" s="3">
        <v>44684.640431111111</v>
      </c>
      <c r="O73" s="3">
        <v>44684.640782453702</v>
      </c>
      <c r="P73" s="2">
        <v>0</v>
      </c>
      <c r="Q73" s="2" t="s">
        <v>416</v>
      </c>
      <c r="R73" s="2" t="s">
        <v>8908</v>
      </c>
      <c r="S73" s="2" t="s">
        <v>35</v>
      </c>
      <c r="T73" s="2" t="s">
        <v>35</v>
      </c>
      <c r="U73" s="2" t="s">
        <v>35</v>
      </c>
      <c r="V73" s="2" t="s">
        <v>35</v>
      </c>
      <c r="W73" s="2" t="s">
        <v>35</v>
      </c>
      <c r="X73" s="2" t="s">
        <v>35</v>
      </c>
      <c r="Y73" s="2" t="s">
        <v>35</v>
      </c>
      <c r="Z73" s="2" t="s">
        <v>35</v>
      </c>
    </row>
    <row r="74" spans="1:26" x14ac:dyDescent="0.2">
      <c r="A74" s="2" t="s">
        <v>8937</v>
      </c>
      <c r="B74" s="2" t="b">
        <v>0</v>
      </c>
      <c r="C74" s="2" t="b">
        <v>0</v>
      </c>
      <c r="D74" s="2" t="b">
        <v>0</v>
      </c>
      <c r="E74" s="2" t="b">
        <v>0</v>
      </c>
      <c r="F74" s="2" t="s">
        <v>31</v>
      </c>
      <c r="G74" s="2" t="s">
        <v>8938</v>
      </c>
      <c r="H74" s="2" t="s">
        <v>8939</v>
      </c>
      <c r="I74" s="2" t="s">
        <v>8940</v>
      </c>
      <c r="J74" s="2" t="b">
        <v>0</v>
      </c>
      <c r="K74" s="2" t="s">
        <v>35</v>
      </c>
      <c r="L74" s="2" t="s">
        <v>35</v>
      </c>
      <c r="M74" s="2" t="s">
        <v>35</v>
      </c>
      <c r="N74" s="3">
        <v>44684.641828310188</v>
      </c>
      <c r="O74" s="3">
        <v>44684.643005370373</v>
      </c>
      <c r="P74" s="2">
        <v>0</v>
      </c>
      <c r="Q74" s="2" t="s">
        <v>8743</v>
      </c>
      <c r="R74" s="2" t="s">
        <v>8908</v>
      </c>
      <c r="S74" s="2" t="s">
        <v>35</v>
      </c>
      <c r="T74" s="2" t="s">
        <v>35</v>
      </c>
      <c r="U74" s="2" t="s">
        <v>35</v>
      </c>
      <c r="V74" s="2" t="s">
        <v>35</v>
      </c>
      <c r="W74" s="2" t="s">
        <v>35</v>
      </c>
      <c r="X74" s="2" t="s">
        <v>35</v>
      </c>
      <c r="Y74" s="2" t="s">
        <v>35</v>
      </c>
      <c r="Z74" s="2" t="s">
        <v>35</v>
      </c>
    </row>
    <row r="75" spans="1:26" x14ac:dyDescent="0.2">
      <c r="A75" s="2" t="s">
        <v>8941</v>
      </c>
      <c r="B75" s="2" t="b">
        <v>0</v>
      </c>
      <c r="C75" s="2" t="b">
        <v>0</v>
      </c>
      <c r="D75" s="2" t="b">
        <v>0</v>
      </c>
      <c r="E75" s="2" t="b">
        <v>0</v>
      </c>
      <c r="F75" s="2" t="s">
        <v>31</v>
      </c>
      <c r="G75" s="2" t="s">
        <v>8942</v>
      </c>
      <c r="H75" s="2" t="s">
        <v>8943</v>
      </c>
      <c r="I75" s="2" t="s">
        <v>8944</v>
      </c>
      <c r="J75" s="2" t="b">
        <v>0</v>
      </c>
      <c r="K75" s="2" t="s">
        <v>35</v>
      </c>
      <c r="L75" s="2">
        <v>1</v>
      </c>
      <c r="M75" s="2">
        <v>15</v>
      </c>
      <c r="N75" s="3">
        <v>44684.64362357639</v>
      </c>
      <c r="O75" s="3">
        <v>44684.645463078705</v>
      </c>
      <c r="P75" s="2">
        <v>0</v>
      </c>
      <c r="Q75" s="2" t="s">
        <v>54</v>
      </c>
      <c r="R75" s="2" t="s">
        <v>8908</v>
      </c>
      <c r="S75" s="2" t="s">
        <v>35</v>
      </c>
      <c r="T75" s="2" t="s">
        <v>35</v>
      </c>
      <c r="U75" s="2" t="s">
        <v>35</v>
      </c>
      <c r="V75" s="2" t="s">
        <v>35</v>
      </c>
      <c r="W75" s="2" t="s">
        <v>35</v>
      </c>
      <c r="X75" s="2" t="s">
        <v>35</v>
      </c>
      <c r="Y75" s="2" t="s">
        <v>35</v>
      </c>
      <c r="Z75" s="2" t="s">
        <v>35</v>
      </c>
    </row>
    <row r="76" spans="1:26" x14ac:dyDescent="0.2">
      <c r="A76" s="2" t="s">
        <v>8945</v>
      </c>
      <c r="B76" s="2" t="b">
        <v>0</v>
      </c>
      <c r="C76" s="2" t="b">
        <v>0</v>
      </c>
      <c r="D76" s="2" t="b">
        <v>0</v>
      </c>
      <c r="E76" s="2" t="b">
        <v>0</v>
      </c>
      <c r="F76" s="2" t="s">
        <v>31</v>
      </c>
      <c r="G76" s="2" t="s">
        <v>8946</v>
      </c>
      <c r="H76" s="2" t="s">
        <v>8947</v>
      </c>
      <c r="I76" s="2" t="s">
        <v>8948</v>
      </c>
      <c r="J76" s="2" t="b">
        <v>0</v>
      </c>
      <c r="K76" s="2" t="s">
        <v>35</v>
      </c>
      <c r="L76" s="2" t="s">
        <v>35</v>
      </c>
      <c r="M76" s="2" t="s">
        <v>35</v>
      </c>
      <c r="N76" s="3">
        <v>44684.647795532408</v>
      </c>
      <c r="O76" s="3">
        <v>44684.648358900464</v>
      </c>
      <c r="P76" s="2">
        <v>0</v>
      </c>
      <c r="Q76" s="2" t="s">
        <v>416</v>
      </c>
      <c r="R76" s="2" t="s">
        <v>8908</v>
      </c>
      <c r="S76" s="2" t="s">
        <v>35</v>
      </c>
      <c r="T76" s="2" t="s">
        <v>35</v>
      </c>
      <c r="U76" s="2" t="s">
        <v>35</v>
      </c>
      <c r="V76" s="2" t="s">
        <v>35</v>
      </c>
      <c r="W76" s="2" t="s">
        <v>35</v>
      </c>
      <c r="X76" s="2" t="s">
        <v>35</v>
      </c>
      <c r="Y76" s="2" t="s">
        <v>35</v>
      </c>
      <c r="Z76" s="2" t="s">
        <v>35</v>
      </c>
    </row>
    <row r="77" spans="1:26" x14ac:dyDescent="0.2">
      <c r="A77" s="2" t="s">
        <v>8949</v>
      </c>
      <c r="B77" s="2" t="b">
        <v>0</v>
      </c>
      <c r="C77" s="2" t="b">
        <v>0</v>
      </c>
      <c r="D77" s="2" t="b">
        <v>0</v>
      </c>
      <c r="E77" s="2" t="b">
        <v>0</v>
      </c>
      <c r="F77" s="2" t="s">
        <v>31</v>
      </c>
      <c r="G77" s="2" t="s">
        <v>8950</v>
      </c>
      <c r="H77" s="2" t="s">
        <v>8951</v>
      </c>
      <c r="I77" s="2" t="s">
        <v>8952</v>
      </c>
      <c r="J77" s="2" t="b">
        <v>0</v>
      </c>
      <c r="K77" s="2" t="s">
        <v>35</v>
      </c>
      <c r="L77" s="2" t="s">
        <v>35</v>
      </c>
      <c r="M77" s="2" t="s">
        <v>35</v>
      </c>
      <c r="N77" s="3">
        <v>44684.650707060187</v>
      </c>
      <c r="O77" s="3">
        <v>44684.651065370374</v>
      </c>
      <c r="P77" s="2">
        <v>0</v>
      </c>
      <c r="Q77" s="2" t="s">
        <v>416</v>
      </c>
      <c r="R77" s="2" t="s">
        <v>8908</v>
      </c>
      <c r="S77" s="2" t="s">
        <v>35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35</v>
      </c>
      <c r="Y77" s="2" t="s">
        <v>35</v>
      </c>
      <c r="Z77" s="2" t="s">
        <v>35</v>
      </c>
    </row>
    <row r="78" spans="1:26" x14ac:dyDescent="0.2">
      <c r="A78" s="2" t="s">
        <v>8953</v>
      </c>
      <c r="B78" s="2" t="b">
        <v>0</v>
      </c>
      <c r="C78" s="2" t="b">
        <v>0</v>
      </c>
      <c r="D78" s="2" t="b">
        <v>0</v>
      </c>
      <c r="E78" s="2" t="b">
        <v>0</v>
      </c>
      <c r="F78" s="2" t="s">
        <v>31</v>
      </c>
      <c r="G78" s="2" t="s">
        <v>8954</v>
      </c>
      <c r="H78" s="2" t="s">
        <v>8955</v>
      </c>
      <c r="I78" s="2" t="s">
        <v>8956</v>
      </c>
      <c r="J78" s="2" t="b">
        <v>0</v>
      </c>
      <c r="K78" s="2" t="s">
        <v>35</v>
      </c>
      <c r="L78" s="2">
        <v>1</v>
      </c>
      <c r="M78" s="2">
        <v>15</v>
      </c>
      <c r="N78" s="3">
        <v>44684.651495995371</v>
      </c>
      <c r="O78" s="3">
        <v>44684.652116689816</v>
      </c>
      <c r="P78" s="2">
        <v>0</v>
      </c>
      <c r="Q78" s="2" t="s">
        <v>54</v>
      </c>
      <c r="R78" s="2" t="s">
        <v>8908</v>
      </c>
      <c r="S78" s="2" t="s">
        <v>35</v>
      </c>
      <c r="T78" s="2" t="s">
        <v>35</v>
      </c>
      <c r="U78" s="2" t="s">
        <v>35</v>
      </c>
      <c r="V78" s="2" t="s">
        <v>35</v>
      </c>
      <c r="W78" s="2" t="s">
        <v>35</v>
      </c>
      <c r="X78" s="2" t="s">
        <v>35</v>
      </c>
      <c r="Y78" s="2" t="s">
        <v>35</v>
      </c>
      <c r="Z78" s="2" t="s">
        <v>35</v>
      </c>
    </row>
    <row r="79" spans="1:26" x14ac:dyDescent="0.2">
      <c r="A79" s="2" t="s">
        <v>8957</v>
      </c>
      <c r="B79" s="2" t="b">
        <v>0</v>
      </c>
      <c r="C79" s="2" t="b">
        <v>0</v>
      </c>
      <c r="D79" s="2" t="b">
        <v>0</v>
      </c>
      <c r="E79" s="2" t="b">
        <v>0</v>
      </c>
      <c r="F79" s="2" t="s">
        <v>31</v>
      </c>
      <c r="G79" s="2" t="s">
        <v>8958</v>
      </c>
      <c r="H79" s="2" t="s">
        <v>8959</v>
      </c>
      <c r="I79" s="2" t="s">
        <v>8948</v>
      </c>
      <c r="J79" s="2" t="b">
        <v>0</v>
      </c>
      <c r="K79" s="2" t="s">
        <v>35</v>
      </c>
      <c r="L79" s="2" t="s">
        <v>35</v>
      </c>
      <c r="M79" s="2" t="s">
        <v>35</v>
      </c>
      <c r="N79" s="3">
        <v>44684.654513275462</v>
      </c>
      <c r="O79" s="3">
        <v>44684.655053402777</v>
      </c>
      <c r="P79" s="2">
        <v>0</v>
      </c>
      <c r="Q79" s="2" t="s">
        <v>416</v>
      </c>
      <c r="R79" s="2" t="s">
        <v>8908</v>
      </c>
      <c r="S79" s="2" t="s">
        <v>35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35</v>
      </c>
      <c r="Y79" s="2" t="s">
        <v>35</v>
      </c>
      <c r="Z79" s="2" t="s">
        <v>35</v>
      </c>
    </row>
    <row r="80" spans="1:26" x14ac:dyDescent="0.2">
      <c r="A80" s="2" t="s">
        <v>8960</v>
      </c>
      <c r="B80" s="2" t="b">
        <v>0</v>
      </c>
      <c r="C80" s="2" t="b">
        <v>0</v>
      </c>
      <c r="D80" s="2" t="b">
        <v>0</v>
      </c>
      <c r="E80" s="2" t="b">
        <v>0</v>
      </c>
      <c r="F80" s="2" t="s">
        <v>31</v>
      </c>
      <c r="G80" s="2" t="s">
        <v>8961</v>
      </c>
      <c r="H80" s="2" t="s">
        <v>8962</v>
      </c>
      <c r="I80" s="2" t="s">
        <v>8963</v>
      </c>
      <c r="J80" s="2" t="b">
        <v>0</v>
      </c>
      <c r="K80" s="2" t="s">
        <v>35</v>
      </c>
      <c r="L80" s="2" t="s">
        <v>35</v>
      </c>
      <c r="M80" s="2" t="s">
        <v>35</v>
      </c>
      <c r="N80" s="3">
        <v>44684.659515925923</v>
      </c>
      <c r="O80" s="3">
        <v>44684.660678807872</v>
      </c>
      <c r="P80" s="2">
        <v>0</v>
      </c>
      <c r="Q80" s="2" t="s">
        <v>416</v>
      </c>
      <c r="R80" s="2" t="s">
        <v>8908</v>
      </c>
      <c r="S80" s="2" t="s">
        <v>35</v>
      </c>
      <c r="T80" s="2" t="s">
        <v>35</v>
      </c>
      <c r="U80" s="2" t="s">
        <v>35</v>
      </c>
      <c r="V80" s="2" t="s">
        <v>35</v>
      </c>
      <c r="W80" s="2" t="s">
        <v>35</v>
      </c>
      <c r="X80" s="2" t="s">
        <v>35</v>
      </c>
      <c r="Y80" s="2" t="s">
        <v>35</v>
      </c>
      <c r="Z80" s="2" t="s">
        <v>35</v>
      </c>
    </row>
    <row r="81" spans="1:26" x14ac:dyDescent="0.2">
      <c r="A81" s="2" t="s">
        <v>8964</v>
      </c>
      <c r="B81" s="2" t="b">
        <v>0</v>
      </c>
      <c r="C81" s="2" t="b">
        <v>0</v>
      </c>
      <c r="D81" s="2" t="b">
        <v>0</v>
      </c>
      <c r="E81" s="2" t="b">
        <v>0</v>
      </c>
      <c r="F81" s="2" t="s">
        <v>31</v>
      </c>
      <c r="G81" s="2" t="s">
        <v>8965</v>
      </c>
      <c r="H81" s="2" t="s">
        <v>8966</v>
      </c>
      <c r="I81" s="2" t="s">
        <v>8967</v>
      </c>
      <c r="J81" s="2" t="b">
        <v>0</v>
      </c>
      <c r="K81" s="2" t="s">
        <v>35</v>
      </c>
      <c r="L81" s="2" t="s">
        <v>35</v>
      </c>
      <c r="M81" s="2" t="s">
        <v>35</v>
      </c>
      <c r="N81" s="3">
        <v>44684.661372951392</v>
      </c>
      <c r="O81" s="3">
        <v>44684.661905682871</v>
      </c>
      <c r="P81" s="2">
        <v>0</v>
      </c>
      <c r="Q81" s="2" t="s">
        <v>416</v>
      </c>
      <c r="R81" s="2" t="s">
        <v>8908</v>
      </c>
      <c r="S81" s="2" t="s">
        <v>35</v>
      </c>
      <c r="T81" s="2" t="s">
        <v>35</v>
      </c>
      <c r="U81" s="2" t="s">
        <v>35</v>
      </c>
      <c r="V81" s="2" t="s">
        <v>35</v>
      </c>
      <c r="W81" s="2" t="s">
        <v>35</v>
      </c>
      <c r="X81" s="2" t="s">
        <v>35</v>
      </c>
      <c r="Y81" s="2" t="s">
        <v>35</v>
      </c>
      <c r="Z81" s="2" t="s">
        <v>35</v>
      </c>
    </row>
    <row r="82" spans="1:26" x14ac:dyDescent="0.2">
      <c r="A82" s="2" t="s">
        <v>8968</v>
      </c>
      <c r="B82" s="2" t="b">
        <v>0</v>
      </c>
      <c r="C82" s="2" t="b">
        <v>0</v>
      </c>
      <c r="D82" s="2" t="b">
        <v>0</v>
      </c>
      <c r="E82" s="2" t="b">
        <v>0</v>
      </c>
      <c r="F82" s="2" t="s">
        <v>31</v>
      </c>
      <c r="G82" s="2" t="s">
        <v>8969</v>
      </c>
      <c r="H82" s="2" t="s">
        <v>8970</v>
      </c>
      <c r="I82" s="2" t="s">
        <v>35</v>
      </c>
      <c r="J82" s="2" t="b">
        <v>0</v>
      </c>
      <c r="K82" s="2" t="s">
        <v>35</v>
      </c>
      <c r="L82" s="2">
        <v>2</v>
      </c>
      <c r="M82" s="2">
        <v>18</v>
      </c>
      <c r="N82" s="3">
        <v>44684.662684583331</v>
      </c>
      <c r="O82" s="3">
        <v>44684.663645810186</v>
      </c>
      <c r="P82" s="2">
        <v>0</v>
      </c>
      <c r="Q82" s="2" t="s">
        <v>54</v>
      </c>
      <c r="R82" s="2" t="s">
        <v>8908</v>
      </c>
      <c r="S82" s="2" t="s">
        <v>35</v>
      </c>
      <c r="T82" s="2" t="s">
        <v>35</v>
      </c>
      <c r="U82" s="2" t="s">
        <v>35</v>
      </c>
      <c r="V82" s="2" t="s">
        <v>35</v>
      </c>
      <c r="W82" s="2" t="s">
        <v>35</v>
      </c>
      <c r="X82" s="2" t="s">
        <v>35</v>
      </c>
      <c r="Y82" s="2" t="s">
        <v>35</v>
      </c>
      <c r="Z82" s="2" t="s">
        <v>35</v>
      </c>
    </row>
    <row r="83" spans="1:26" x14ac:dyDescent="0.2">
      <c r="A83" s="2" t="s">
        <v>8971</v>
      </c>
      <c r="B83" s="2" t="b">
        <v>0</v>
      </c>
      <c r="C83" s="2" t="b">
        <v>0</v>
      </c>
      <c r="D83" s="2" t="b">
        <v>0</v>
      </c>
      <c r="E83" s="2" t="b">
        <v>0</v>
      </c>
      <c r="F83" s="2" t="s">
        <v>31</v>
      </c>
      <c r="G83" s="2" t="s">
        <v>149</v>
      </c>
      <c r="H83" s="2" t="s">
        <v>8972</v>
      </c>
      <c r="I83" s="2" t="s">
        <v>8973</v>
      </c>
      <c r="J83" s="2" t="b">
        <v>0</v>
      </c>
      <c r="K83" s="2" t="s">
        <v>35</v>
      </c>
      <c r="L83" s="2" t="s">
        <v>35</v>
      </c>
      <c r="M83" s="2" t="s">
        <v>35</v>
      </c>
      <c r="N83" s="3">
        <v>44684.665054282406</v>
      </c>
      <c r="O83" s="3">
        <v>44684.665316585648</v>
      </c>
      <c r="P83" s="2">
        <v>0</v>
      </c>
      <c r="Q83" s="2" t="s">
        <v>416</v>
      </c>
      <c r="R83" s="2" t="s">
        <v>8908</v>
      </c>
      <c r="S83" s="2" t="s">
        <v>35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35</v>
      </c>
      <c r="Y83" s="2" t="s">
        <v>35</v>
      </c>
      <c r="Z83" s="2" t="s">
        <v>35</v>
      </c>
    </row>
    <row r="84" spans="1:26" x14ac:dyDescent="0.2">
      <c r="A84" s="2" t="s">
        <v>8974</v>
      </c>
      <c r="B84" s="2" t="b">
        <v>0</v>
      </c>
      <c r="C84" s="2" t="b">
        <v>0</v>
      </c>
      <c r="D84" s="2" t="b">
        <v>0</v>
      </c>
      <c r="E84" s="2" t="b">
        <v>0</v>
      </c>
      <c r="F84" s="2" t="s">
        <v>31</v>
      </c>
      <c r="G84" s="2" t="s">
        <v>8975</v>
      </c>
      <c r="H84" s="2" t="s">
        <v>8976</v>
      </c>
      <c r="I84" s="2" t="s">
        <v>35</v>
      </c>
      <c r="J84" s="2" t="b">
        <v>0</v>
      </c>
      <c r="K84" s="2" t="s">
        <v>35</v>
      </c>
      <c r="L84" s="2">
        <v>40</v>
      </c>
      <c r="M84" s="2">
        <v>18</v>
      </c>
      <c r="N84" s="3">
        <v>44684.666400092596</v>
      </c>
      <c r="O84" s="3">
        <v>44684.666810069444</v>
      </c>
      <c r="P84" s="2">
        <v>0</v>
      </c>
      <c r="Q84" s="2" t="s">
        <v>54</v>
      </c>
      <c r="R84" s="2" t="s">
        <v>8908</v>
      </c>
      <c r="S84" s="2" t="s">
        <v>35</v>
      </c>
      <c r="T84" s="2" t="s">
        <v>35</v>
      </c>
      <c r="U84" s="2" t="s">
        <v>35</v>
      </c>
      <c r="V84" s="2" t="s">
        <v>35</v>
      </c>
      <c r="W84" s="2" t="s">
        <v>35</v>
      </c>
      <c r="X84" s="2" t="s">
        <v>35</v>
      </c>
      <c r="Y84" s="2" t="s">
        <v>35</v>
      </c>
      <c r="Z84" s="2" t="s">
        <v>35</v>
      </c>
    </row>
    <row r="85" spans="1:26" x14ac:dyDescent="0.2">
      <c r="A85" s="2" t="s">
        <v>8977</v>
      </c>
      <c r="B85" s="2" t="b">
        <v>0</v>
      </c>
      <c r="C85" s="2" t="b">
        <v>0</v>
      </c>
      <c r="D85" s="2" t="b">
        <v>0</v>
      </c>
      <c r="E85" s="2" t="b">
        <v>0</v>
      </c>
      <c r="F85" s="2" t="s">
        <v>31</v>
      </c>
      <c r="G85" s="2" t="s">
        <v>8978</v>
      </c>
      <c r="H85" s="2" t="s">
        <v>8979</v>
      </c>
      <c r="I85" s="2" t="s">
        <v>8980</v>
      </c>
      <c r="J85" s="2" t="b">
        <v>0</v>
      </c>
      <c r="K85" s="2" t="s">
        <v>35</v>
      </c>
      <c r="L85" s="2" t="s">
        <v>35</v>
      </c>
      <c r="M85" s="2" t="s">
        <v>35</v>
      </c>
      <c r="N85" s="3">
        <v>44684.667877511572</v>
      </c>
      <c r="O85" s="3">
        <v>44684.669164386571</v>
      </c>
      <c r="P85" s="2">
        <v>0</v>
      </c>
      <c r="Q85" s="2" t="s">
        <v>416</v>
      </c>
      <c r="R85" s="2" t="s">
        <v>8908</v>
      </c>
      <c r="S85" s="2" t="s">
        <v>35</v>
      </c>
      <c r="T85" s="2">
        <v>116</v>
      </c>
      <c r="U85" s="2" t="s">
        <v>35</v>
      </c>
      <c r="V85" s="2" t="s">
        <v>35</v>
      </c>
      <c r="W85" s="2" t="s">
        <v>35</v>
      </c>
      <c r="X85" s="2" t="s">
        <v>35</v>
      </c>
      <c r="Y85" s="2" t="s">
        <v>35</v>
      </c>
      <c r="Z85" s="2" t="s">
        <v>35</v>
      </c>
    </row>
    <row r="86" spans="1:26" x14ac:dyDescent="0.2">
      <c r="A86" s="2" t="s">
        <v>8981</v>
      </c>
      <c r="B86" s="2" t="b">
        <v>0</v>
      </c>
      <c r="C86" s="2" t="b">
        <v>0</v>
      </c>
      <c r="D86" s="2" t="b">
        <v>0</v>
      </c>
      <c r="E86" s="2" t="b">
        <v>0</v>
      </c>
      <c r="F86" s="2" t="s">
        <v>31</v>
      </c>
      <c r="G86" s="2" t="s">
        <v>8982</v>
      </c>
      <c r="H86" s="2" t="s">
        <v>8983</v>
      </c>
      <c r="I86" s="2" t="s">
        <v>8984</v>
      </c>
      <c r="J86" s="2" t="b">
        <v>0</v>
      </c>
      <c r="K86" s="2" t="s">
        <v>35</v>
      </c>
      <c r="L86" s="2" t="s">
        <v>35</v>
      </c>
      <c r="M86" s="2" t="s">
        <v>35</v>
      </c>
      <c r="N86" s="3">
        <v>44684.670833472221</v>
      </c>
      <c r="O86" s="3">
        <v>44684.671443807871</v>
      </c>
      <c r="P86" s="2">
        <v>0</v>
      </c>
      <c r="Q86" s="2" t="s">
        <v>416</v>
      </c>
      <c r="R86" s="2" t="s">
        <v>8908</v>
      </c>
      <c r="S86" s="2" t="s">
        <v>35</v>
      </c>
      <c r="T86" s="2" t="s">
        <v>35</v>
      </c>
      <c r="U86" s="2" t="s">
        <v>35</v>
      </c>
      <c r="V86" s="2" t="s">
        <v>35</v>
      </c>
      <c r="W86" s="2" t="s">
        <v>35</v>
      </c>
      <c r="X86" s="2" t="s">
        <v>35</v>
      </c>
      <c r="Y86" s="2" t="s">
        <v>35</v>
      </c>
      <c r="Z86" s="2" t="s">
        <v>35</v>
      </c>
    </row>
    <row r="87" spans="1:26" x14ac:dyDescent="0.2">
      <c r="A87" s="2" t="s">
        <v>8985</v>
      </c>
      <c r="B87" s="2" t="b">
        <v>0</v>
      </c>
      <c r="C87" s="2" t="b">
        <v>0</v>
      </c>
      <c r="D87" s="2" t="b">
        <v>0</v>
      </c>
      <c r="E87" s="2" t="b">
        <v>0</v>
      </c>
      <c r="F87" s="2" t="s">
        <v>31</v>
      </c>
      <c r="G87" s="2" t="s">
        <v>8986</v>
      </c>
      <c r="H87" s="2" t="s">
        <v>8987</v>
      </c>
      <c r="I87" s="2" t="s">
        <v>8963</v>
      </c>
      <c r="J87" s="2" t="b">
        <v>0</v>
      </c>
      <c r="K87" s="2" t="s">
        <v>35</v>
      </c>
      <c r="L87" s="2" t="s">
        <v>35</v>
      </c>
      <c r="M87" s="2" t="s">
        <v>35</v>
      </c>
      <c r="N87" s="3">
        <v>44684.672958599534</v>
      </c>
      <c r="O87" s="3">
        <v>44684.673450613423</v>
      </c>
      <c r="P87" s="2">
        <v>0</v>
      </c>
      <c r="Q87" s="2" t="s">
        <v>416</v>
      </c>
      <c r="R87" s="2" t="s">
        <v>8908</v>
      </c>
      <c r="S87" s="2" t="s">
        <v>35</v>
      </c>
      <c r="T87" s="2" t="s">
        <v>35</v>
      </c>
      <c r="U87" s="2" t="s">
        <v>35</v>
      </c>
      <c r="V87" s="2" t="s">
        <v>35</v>
      </c>
      <c r="W87" s="2" t="s">
        <v>35</v>
      </c>
      <c r="X87" s="2" t="s">
        <v>35</v>
      </c>
      <c r="Y87" s="2" t="s">
        <v>35</v>
      </c>
      <c r="Z87" s="2" t="s">
        <v>35</v>
      </c>
    </row>
    <row r="88" spans="1:26" x14ac:dyDescent="0.2">
      <c r="A88" s="2" t="s">
        <v>8988</v>
      </c>
      <c r="B88" s="2" t="b">
        <v>0</v>
      </c>
      <c r="C88" s="2" t="b">
        <v>0</v>
      </c>
      <c r="D88" s="2" t="b">
        <v>0</v>
      </c>
      <c r="E88" s="2" t="b">
        <v>0</v>
      </c>
      <c r="F88" s="2" t="s">
        <v>31</v>
      </c>
      <c r="G88" s="2" t="s">
        <v>8989</v>
      </c>
      <c r="H88" s="2" t="s">
        <v>8990</v>
      </c>
      <c r="I88" s="2" t="s">
        <v>8991</v>
      </c>
      <c r="J88" s="2" t="b">
        <v>0</v>
      </c>
      <c r="K88" s="2" t="s">
        <v>35</v>
      </c>
      <c r="L88" s="2" t="s">
        <v>35</v>
      </c>
      <c r="M88" s="2" t="s">
        <v>35</v>
      </c>
      <c r="N88" s="3">
        <v>44684.678225300922</v>
      </c>
      <c r="O88" s="3">
        <v>44684.679090300924</v>
      </c>
      <c r="P88" s="2">
        <v>0</v>
      </c>
      <c r="Q88" s="2" t="s">
        <v>8743</v>
      </c>
      <c r="R88" s="2" t="s">
        <v>8908</v>
      </c>
      <c r="S88" s="2" t="s">
        <v>35</v>
      </c>
      <c r="T88" s="2">
        <v>0</v>
      </c>
      <c r="U88" s="2" t="s">
        <v>35</v>
      </c>
      <c r="V88" s="2" t="s">
        <v>35</v>
      </c>
      <c r="W88" s="2" t="s">
        <v>35</v>
      </c>
      <c r="X88" s="2" t="s">
        <v>35</v>
      </c>
      <c r="Y88" s="2" t="s">
        <v>35</v>
      </c>
      <c r="Z88" s="2" t="s">
        <v>35</v>
      </c>
    </row>
    <row r="89" spans="1:26" x14ac:dyDescent="0.2">
      <c r="A89" s="2" t="s">
        <v>8992</v>
      </c>
      <c r="B89" s="2" t="b">
        <v>0</v>
      </c>
      <c r="C89" s="2" t="b">
        <v>0</v>
      </c>
      <c r="D89" s="2" t="b">
        <v>0</v>
      </c>
      <c r="E89" s="2" t="b">
        <v>0</v>
      </c>
      <c r="F89" s="2" t="s">
        <v>31</v>
      </c>
      <c r="G89" s="2" t="s">
        <v>149</v>
      </c>
      <c r="H89" s="2" t="s">
        <v>8993</v>
      </c>
      <c r="I89" s="2" t="s">
        <v>8963</v>
      </c>
      <c r="J89" s="2" t="b">
        <v>0</v>
      </c>
      <c r="K89" s="2" t="s">
        <v>35</v>
      </c>
      <c r="L89" s="2" t="s">
        <v>35</v>
      </c>
      <c r="M89" s="2" t="s">
        <v>35</v>
      </c>
      <c r="N89" s="3">
        <v>44684.682358333332</v>
      </c>
      <c r="O89" s="3">
        <v>44684.68644542824</v>
      </c>
      <c r="P89" s="2">
        <v>0</v>
      </c>
      <c r="Q89" s="2" t="s">
        <v>416</v>
      </c>
      <c r="R89" s="2" t="s">
        <v>8908</v>
      </c>
      <c r="S89" s="2" t="s">
        <v>35</v>
      </c>
      <c r="T89" s="2" t="s">
        <v>35</v>
      </c>
      <c r="U89" s="2" t="s">
        <v>35</v>
      </c>
      <c r="V89" s="2" t="s">
        <v>35</v>
      </c>
      <c r="W89" s="2" t="s">
        <v>35</v>
      </c>
      <c r="X89" s="2" t="s">
        <v>35</v>
      </c>
      <c r="Y89" s="2" t="s">
        <v>35</v>
      </c>
      <c r="Z89" s="2" t="s">
        <v>35</v>
      </c>
    </row>
    <row r="90" spans="1:26" x14ac:dyDescent="0.2">
      <c r="A90" s="2" t="s">
        <v>8994</v>
      </c>
      <c r="B90" s="2" t="b">
        <v>0</v>
      </c>
      <c r="C90" s="2" t="b">
        <v>0</v>
      </c>
      <c r="D90" s="2" t="b">
        <v>0</v>
      </c>
      <c r="E90" s="2" t="b">
        <v>0</v>
      </c>
      <c r="F90" s="2" t="s">
        <v>31</v>
      </c>
      <c r="G90" s="2" t="s">
        <v>8995</v>
      </c>
      <c r="H90" s="2" t="s">
        <v>8996</v>
      </c>
      <c r="I90" s="2" t="s">
        <v>35</v>
      </c>
      <c r="J90" s="2" t="b">
        <v>0</v>
      </c>
      <c r="K90" s="2" t="s">
        <v>35</v>
      </c>
      <c r="L90" s="2">
        <v>60</v>
      </c>
      <c r="M90" s="2">
        <v>15</v>
      </c>
      <c r="N90" s="3">
        <v>44684.695855254628</v>
      </c>
      <c r="O90" s="3">
        <v>44684.696308634258</v>
      </c>
      <c r="P90" s="2">
        <v>0</v>
      </c>
      <c r="Q90" s="2" t="s">
        <v>54</v>
      </c>
      <c r="R90" s="2" t="s">
        <v>8908</v>
      </c>
      <c r="S90" s="2" t="s">
        <v>35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35</v>
      </c>
      <c r="Y90" s="2" t="s">
        <v>35</v>
      </c>
      <c r="Z90" s="2" t="s">
        <v>35</v>
      </c>
    </row>
    <row r="91" spans="1:26" x14ac:dyDescent="0.2">
      <c r="A91" s="2" t="s">
        <v>8997</v>
      </c>
      <c r="B91" s="2" t="b">
        <v>0</v>
      </c>
      <c r="C91" s="2" t="b">
        <v>0</v>
      </c>
      <c r="D91" s="2" t="b">
        <v>0</v>
      </c>
      <c r="E91" s="2" t="b">
        <v>0</v>
      </c>
      <c r="F91" s="2" t="s">
        <v>31</v>
      </c>
      <c r="G91" s="2" t="s">
        <v>8998</v>
      </c>
      <c r="H91" s="2" t="s">
        <v>8999</v>
      </c>
      <c r="I91" s="2" t="s">
        <v>9000</v>
      </c>
      <c r="J91" s="2" t="b">
        <v>0</v>
      </c>
      <c r="K91" s="2" t="s">
        <v>35</v>
      </c>
      <c r="L91" s="2">
        <v>2</v>
      </c>
      <c r="M91" s="2">
        <v>17</v>
      </c>
      <c r="N91" s="3">
        <v>44690.378149999997</v>
      </c>
      <c r="O91" s="3">
        <v>44690.382361990742</v>
      </c>
      <c r="P91" s="2">
        <v>0</v>
      </c>
      <c r="Q91" s="2" t="s">
        <v>54</v>
      </c>
      <c r="R91" s="2" t="s">
        <v>8908</v>
      </c>
      <c r="S91" s="2" t="s">
        <v>35</v>
      </c>
      <c r="T91" s="2" t="s">
        <v>35</v>
      </c>
      <c r="U91" s="2" t="s">
        <v>35</v>
      </c>
      <c r="V91" s="2" t="s">
        <v>35</v>
      </c>
      <c r="W91" s="2" t="s">
        <v>35</v>
      </c>
      <c r="X91" s="2" t="s">
        <v>35</v>
      </c>
      <c r="Y91" s="2" t="s">
        <v>35</v>
      </c>
      <c r="Z91" s="2" t="s">
        <v>35</v>
      </c>
    </row>
    <row r="92" spans="1:26" x14ac:dyDescent="0.2">
      <c r="A92" s="2" t="s">
        <v>9001</v>
      </c>
      <c r="B92" s="2" t="b">
        <v>0</v>
      </c>
      <c r="C92" s="2" t="b">
        <v>0</v>
      </c>
      <c r="D92" s="2" t="b">
        <v>0</v>
      </c>
      <c r="E92" s="2" t="b">
        <v>0</v>
      </c>
      <c r="F92" s="2" t="s">
        <v>8726</v>
      </c>
      <c r="G92" s="2" t="s">
        <v>9002</v>
      </c>
      <c r="H92" s="2" t="s">
        <v>9003</v>
      </c>
      <c r="I92" s="2" t="s">
        <v>9004</v>
      </c>
      <c r="J92" s="2" t="b">
        <v>0</v>
      </c>
      <c r="K92" s="2" t="s">
        <v>35</v>
      </c>
      <c r="L92" s="2">
        <v>2</v>
      </c>
      <c r="M92" s="2">
        <v>17</v>
      </c>
      <c r="N92" s="3">
        <v>44690.382693576386</v>
      </c>
      <c r="O92" s="3">
        <v>44690.459314664353</v>
      </c>
      <c r="P92" s="2">
        <v>0</v>
      </c>
      <c r="Q92" s="2" t="s">
        <v>54</v>
      </c>
      <c r="R92" s="2" t="s">
        <v>8908</v>
      </c>
      <c r="S92" s="2" t="s">
        <v>35</v>
      </c>
      <c r="T92" s="2" t="s">
        <v>35</v>
      </c>
      <c r="U92" s="2" t="s">
        <v>35</v>
      </c>
      <c r="V92" s="2" t="s">
        <v>35</v>
      </c>
      <c r="W92" s="2" t="s">
        <v>35</v>
      </c>
      <c r="X92" s="2" t="s">
        <v>35</v>
      </c>
      <c r="Y92" s="2" t="s">
        <v>35</v>
      </c>
      <c r="Z92" s="2" t="s">
        <v>35</v>
      </c>
    </row>
    <row r="93" spans="1:26" x14ac:dyDescent="0.2">
      <c r="A93" s="2" t="s">
        <v>9005</v>
      </c>
      <c r="B93" s="2" t="b">
        <v>0</v>
      </c>
      <c r="C93" s="2" t="b">
        <v>0</v>
      </c>
      <c r="D93" s="2" t="b">
        <v>0</v>
      </c>
      <c r="E93" s="2" t="b">
        <v>0</v>
      </c>
      <c r="F93" s="2" t="s">
        <v>121</v>
      </c>
      <c r="G93" s="2" t="s">
        <v>149</v>
      </c>
      <c r="H93" s="2" t="s">
        <v>9006</v>
      </c>
      <c r="I93" s="2" t="s">
        <v>35</v>
      </c>
      <c r="J93" s="2" t="b">
        <v>0</v>
      </c>
      <c r="K93" s="2" t="s">
        <v>35</v>
      </c>
      <c r="L93" s="2" t="s">
        <v>35</v>
      </c>
      <c r="M93" s="2" t="s">
        <v>35</v>
      </c>
      <c r="N93" s="3">
        <v>44690.389309791666</v>
      </c>
      <c r="O93" s="3">
        <v>44690.389899120368</v>
      </c>
      <c r="P93" s="2">
        <v>0</v>
      </c>
      <c r="Q93" s="2" t="s">
        <v>54</v>
      </c>
      <c r="R93" s="2" t="s">
        <v>8908</v>
      </c>
      <c r="S93" s="2" t="s">
        <v>35</v>
      </c>
      <c r="T93" s="2" t="s">
        <v>35</v>
      </c>
      <c r="U93" s="2" t="s">
        <v>35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</row>
    <row r="94" spans="1:26" x14ac:dyDescent="0.2">
      <c r="A94" s="2" t="s">
        <v>9007</v>
      </c>
      <c r="B94" s="2" t="b">
        <v>0</v>
      </c>
      <c r="C94" s="2" t="b">
        <v>0</v>
      </c>
      <c r="D94" s="2" t="b">
        <v>0</v>
      </c>
      <c r="E94" s="2" t="b">
        <v>0</v>
      </c>
      <c r="F94" s="2" t="s">
        <v>31</v>
      </c>
      <c r="G94" s="2" t="s">
        <v>9008</v>
      </c>
      <c r="H94" s="2" t="s">
        <v>9009</v>
      </c>
      <c r="I94" s="2" t="s">
        <v>9010</v>
      </c>
      <c r="J94" s="2" t="b">
        <v>0</v>
      </c>
      <c r="K94" s="2" t="s">
        <v>35</v>
      </c>
      <c r="L94" s="2" t="s">
        <v>35</v>
      </c>
      <c r="M94" s="2" t="s">
        <v>35</v>
      </c>
      <c r="N94" s="3">
        <v>44690.395154861108</v>
      </c>
      <c r="O94" s="3">
        <v>44690.396527962963</v>
      </c>
      <c r="P94" s="2">
        <v>0</v>
      </c>
      <c r="Q94" s="2" t="s">
        <v>100</v>
      </c>
      <c r="R94" s="2" t="s">
        <v>8908</v>
      </c>
      <c r="S94" s="2" t="s">
        <v>35</v>
      </c>
      <c r="T94" s="2">
        <v>135</v>
      </c>
      <c r="U94" s="2" t="s">
        <v>35</v>
      </c>
      <c r="V94" s="2" t="s">
        <v>35</v>
      </c>
      <c r="W94" s="2" t="s">
        <v>35</v>
      </c>
      <c r="X94" s="2" t="s">
        <v>35</v>
      </c>
      <c r="Y94" s="2" t="s">
        <v>35</v>
      </c>
      <c r="Z94" s="2" t="s">
        <v>35</v>
      </c>
    </row>
    <row r="95" spans="1:26" x14ac:dyDescent="0.2">
      <c r="A95" s="2" t="s">
        <v>9011</v>
      </c>
      <c r="B95" s="2" t="b">
        <v>1</v>
      </c>
      <c r="C95" s="2" t="b">
        <v>0</v>
      </c>
      <c r="D95" s="2" t="b">
        <v>0</v>
      </c>
      <c r="E95" s="2" t="b">
        <v>0</v>
      </c>
      <c r="F95" s="2" t="s">
        <v>31</v>
      </c>
      <c r="G95" s="2" t="s">
        <v>9012</v>
      </c>
      <c r="H95" s="2" t="s">
        <v>9013</v>
      </c>
      <c r="I95" s="2" t="s">
        <v>9014</v>
      </c>
      <c r="J95" s="2" t="b">
        <v>0</v>
      </c>
      <c r="K95" s="2" t="s">
        <v>35</v>
      </c>
      <c r="L95" s="2" t="s">
        <v>35</v>
      </c>
      <c r="M95" s="2" t="s">
        <v>35</v>
      </c>
      <c r="N95" s="3">
        <v>44690.39712159722</v>
      </c>
      <c r="O95" s="3">
        <v>44690.39960621528</v>
      </c>
      <c r="P95" s="2">
        <v>0</v>
      </c>
      <c r="Q95" s="2" t="s">
        <v>416</v>
      </c>
      <c r="R95" s="2" t="s">
        <v>8908</v>
      </c>
      <c r="S95" s="2" t="s">
        <v>35</v>
      </c>
      <c r="T95" s="2" t="s">
        <v>35</v>
      </c>
      <c r="U95" s="2" t="s">
        <v>9015</v>
      </c>
      <c r="V95" s="2" t="s">
        <v>35</v>
      </c>
      <c r="W95" s="2" t="s">
        <v>35</v>
      </c>
      <c r="X95" s="2" t="s">
        <v>35</v>
      </c>
      <c r="Y95" s="2" t="s">
        <v>35</v>
      </c>
      <c r="Z95" s="2" t="s">
        <v>35</v>
      </c>
    </row>
    <row r="96" spans="1:26" x14ac:dyDescent="0.2">
      <c r="A96" s="2" t="s">
        <v>9016</v>
      </c>
      <c r="B96" s="2" t="b">
        <v>0</v>
      </c>
      <c r="C96" s="2" t="b">
        <v>0</v>
      </c>
      <c r="D96" s="2" t="b">
        <v>0</v>
      </c>
      <c r="E96" s="2" t="b">
        <v>0</v>
      </c>
      <c r="F96" s="2" t="s">
        <v>31</v>
      </c>
      <c r="G96" s="2" t="s">
        <v>9017</v>
      </c>
      <c r="H96" s="2" t="s">
        <v>9018</v>
      </c>
      <c r="I96" s="2" t="s">
        <v>9019</v>
      </c>
      <c r="J96" s="2" t="b">
        <v>0</v>
      </c>
      <c r="K96" s="2" t="s">
        <v>35</v>
      </c>
      <c r="L96" s="2" t="s">
        <v>35</v>
      </c>
      <c r="M96" s="2" t="s">
        <v>35</v>
      </c>
      <c r="N96" s="3">
        <v>44690.400006412034</v>
      </c>
      <c r="O96" s="3">
        <v>44690.402063958332</v>
      </c>
      <c r="P96" s="2">
        <v>0</v>
      </c>
      <c r="Q96" s="2" t="s">
        <v>416</v>
      </c>
      <c r="R96" s="2" t="s">
        <v>8908</v>
      </c>
      <c r="S96" s="2" t="s">
        <v>35</v>
      </c>
      <c r="T96" s="2">
        <v>93</v>
      </c>
      <c r="U96" s="2" t="s">
        <v>35</v>
      </c>
      <c r="V96" s="2" t="s">
        <v>35</v>
      </c>
      <c r="W96" s="2" t="s">
        <v>35</v>
      </c>
      <c r="X96" s="2" t="s">
        <v>35</v>
      </c>
      <c r="Y96" s="2" t="s">
        <v>35</v>
      </c>
      <c r="Z96" s="2" t="s">
        <v>35</v>
      </c>
    </row>
    <row r="97" spans="1:26" x14ac:dyDescent="0.2">
      <c r="A97" s="2" t="s">
        <v>9020</v>
      </c>
      <c r="B97" s="2" t="b">
        <v>0</v>
      </c>
      <c r="C97" s="2" t="b">
        <v>0</v>
      </c>
      <c r="D97" s="2" t="b">
        <v>0</v>
      </c>
      <c r="E97" s="2" t="b">
        <v>1</v>
      </c>
      <c r="F97" s="2" t="s">
        <v>31</v>
      </c>
      <c r="G97" s="2" t="s">
        <v>9021</v>
      </c>
      <c r="H97" s="2" t="s">
        <v>9022</v>
      </c>
      <c r="I97" s="2" t="s">
        <v>9023</v>
      </c>
      <c r="J97" s="2" t="b">
        <v>0</v>
      </c>
      <c r="K97" s="2" t="s">
        <v>35</v>
      </c>
      <c r="L97" s="2" t="s">
        <v>35</v>
      </c>
      <c r="M97" s="2" t="s">
        <v>35</v>
      </c>
      <c r="N97" s="3">
        <v>44690.402386967595</v>
      </c>
      <c r="O97" s="3">
        <v>44690.405001250001</v>
      </c>
      <c r="P97" s="2">
        <v>0</v>
      </c>
      <c r="Q97" s="2" t="s">
        <v>265</v>
      </c>
      <c r="R97" s="2" t="s">
        <v>8908</v>
      </c>
      <c r="S97" s="2" t="s">
        <v>35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35</v>
      </c>
      <c r="Y97" s="2" t="s">
        <v>35</v>
      </c>
      <c r="Z97" s="2" t="s">
        <v>35</v>
      </c>
    </row>
    <row r="98" spans="1:26" x14ac:dyDescent="0.2">
      <c r="A98" s="2" t="s">
        <v>9024</v>
      </c>
      <c r="B98" s="2" t="b">
        <v>0</v>
      </c>
      <c r="C98" s="2" t="b">
        <v>0</v>
      </c>
      <c r="D98" s="2" t="b">
        <v>0</v>
      </c>
      <c r="E98" s="2" t="b">
        <v>0</v>
      </c>
      <c r="F98" s="2" t="s">
        <v>31</v>
      </c>
      <c r="G98" s="2" t="s">
        <v>9025</v>
      </c>
      <c r="H98" s="2" t="s">
        <v>9026</v>
      </c>
      <c r="I98" s="2" t="s">
        <v>9027</v>
      </c>
      <c r="J98" s="2" t="b">
        <v>0</v>
      </c>
      <c r="K98" s="2" t="s">
        <v>35</v>
      </c>
      <c r="L98" s="2" t="s">
        <v>35</v>
      </c>
      <c r="M98" s="2" t="s">
        <v>35</v>
      </c>
      <c r="N98" s="3">
        <v>44690.40538452546</v>
      </c>
      <c r="O98" s="3">
        <v>44690.40670136574</v>
      </c>
      <c r="P98" s="2">
        <v>0</v>
      </c>
      <c r="Q98" s="2" t="s">
        <v>2380</v>
      </c>
      <c r="R98" s="2" t="s">
        <v>8908</v>
      </c>
      <c r="S98" s="2" t="s">
        <v>35</v>
      </c>
      <c r="T98" s="2">
        <v>85</v>
      </c>
      <c r="U98" s="2" t="s">
        <v>35</v>
      </c>
      <c r="V98" s="2" t="s">
        <v>35</v>
      </c>
      <c r="W98" s="2" t="s">
        <v>35</v>
      </c>
      <c r="X98" s="2" t="s">
        <v>35</v>
      </c>
      <c r="Y98" s="2" t="s">
        <v>35</v>
      </c>
      <c r="Z98" s="2" t="s">
        <v>35</v>
      </c>
    </row>
    <row r="99" spans="1:26" x14ac:dyDescent="0.2">
      <c r="A99" s="2" t="s">
        <v>9028</v>
      </c>
      <c r="B99" s="2" t="b">
        <v>0</v>
      </c>
      <c r="C99" s="2" t="b">
        <v>0</v>
      </c>
      <c r="D99" s="2" t="b">
        <v>0</v>
      </c>
      <c r="E99" s="2" t="b">
        <v>0</v>
      </c>
      <c r="F99" s="2" t="s">
        <v>31</v>
      </c>
      <c r="G99" s="2" t="s">
        <v>9029</v>
      </c>
      <c r="H99" s="2" t="s">
        <v>9030</v>
      </c>
      <c r="I99" s="2" t="s">
        <v>9031</v>
      </c>
      <c r="J99" s="2" t="b">
        <v>0</v>
      </c>
      <c r="K99" s="2" t="s">
        <v>35</v>
      </c>
      <c r="L99" s="2" t="s">
        <v>35</v>
      </c>
      <c r="M99" s="2" t="s">
        <v>35</v>
      </c>
      <c r="N99" s="3">
        <v>44690.408318425929</v>
      </c>
      <c r="O99" s="3">
        <v>44690.408947037038</v>
      </c>
      <c r="P99" s="2">
        <v>0</v>
      </c>
      <c r="Q99" s="2" t="s">
        <v>2005</v>
      </c>
      <c r="R99" s="2" t="s">
        <v>8908</v>
      </c>
      <c r="S99" s="2" t="s">
        <v>35</v>
      </c>
      <c r="T99" s="2">
        <v>0</v>
      </c>
      <c r="U99" s="2" t="s">
        <v>35</v>
      </c>
      <c r="V99" s="2" t="s">
        <v>35</v>
      </c>
      <c r="W99" s="2" t="s">
        <v>35</v>
      </c>
      <c r="X99" s="2" t="s">
        <v>35</v>
      </c>
      <c r="Y99" s="2" t="s">
        <v>35</v>
      </c>
      <c r="Z99" s="2" t="s">
        <v>35</v>
      </c>
    </row>
    <row r="100" spans="1:26" x14ac:dyDescent="0.2">
      <c r="A100" s="2" t="s">
        <v>9032</v>
      </c>
      <c r="B100" s="2" t="b">
        <v>0</v>
      </c>
      <c r="C100" s="2" t="b">
        <v>0</v>
      </c>
      <c r="D100" s="2" t="b">
        <v>0</v>
      </c>
      <c r="E100" s="2" t="b">
        <v>0</v>
      </c>
      <c r="F100" s="2" t="s">
        <v>31</v>
      </c>
      <c r="G100" s="2" t="s">
        <v>9033</v>
      </c>
      <c r="H100" s="2" t="s">
        <v>9034</v>
      </c>
      <c r="I100" s="2" t="s">
        <v>9035</v>
      </c>
      <c r="J100" s="2" t="b">
        <v>0</v>
      </c>
      <c r="K100" s="2" t="s">
        <v>35</v>
      </c>
      <c r="L100" s="2" t="s">
        <v>35</v>
      </c>
      <c r="M100" s="2" t="s">
        <v>35</v>
      </c>
      <c r="N100" s="3">
        <v>44690.409889305556</v>
      </c>
      <c r="O100" s="3">
        <v>44690.412298078707</v>
      </c>
      <c r="P100" s="2">
        <v>0</v>
      </c>
      <c r="Q100" s="2" t="s">
        <v>109</v>
      </c>
      <c r="R100" s="2" t="s">
        <v>8908</v>
      </c>
      <c r="S100" s="2" t="s">
        <v>35</v>
      </c>
      <c r="T100" s="2">
        <v>167</v>
      </c>
      <c r="U100" s="2" t="s">
        <v>35</v>
      </c>
      <c r="V100" s="2" t="s">
        <v>35</v>
      </c>
      <c r="W100" s="2" t="s">
        <v>35</v>
      </c>
      <c r="X100" s="2" t="s">
        <v>35</v>
      </c>
      <c r="Y100" s="2" t="s">
        <v>35</v>
      </c>
      <c r="Z100" s="2" t="s">
        <v>35</v>
      </c>
    </row>
    <row r="101" spans="1:26" x14ac:dyDescent="0.2">
      <c r="A101" s="2" t="s">
        <v>9036</v>
      </c>
      <c r="B101" s="2" t="b">
        <v>0</v>
      </c>
      <c r="C101" s="2" t="b">
        <v>0</v>
      </c>
      <c r="D101" s="2" t="b">
        <v>0</v>
      </c>
      <c r="E101" s="2" t="b">
        <v>0</v>
      </c>
      <c r="F101" s="2" t="s">
        <v>31</v>
      </c>
      <c r="G101" s="2" t="s">
        <v>9037</v>
      </c>
      <c r="H101" s="2" t="s">
        <v>9034</v>
      </c>
      <c r="I101" s="2" t="s">
        <v>9038</v>
      </c>
      <c r="J101" s="2" t="b">
        <v>0</v>
      </c>
      <c r="K101" s="2" t="s">
        <v>35</v>
      </c>
      <c r="L101" s="2" t="s">
        <v>35</v>
      </c>
      <c r="M101" s="2" t="s">
        <v>35</v>
      </c>
      <c r="N101" s="3">
        <v>44690.412394861109</v>
      </c>
      <c r="O101" s="3">
        <v>44690.413745937498</v>
      </c>
      <c r="P101" s="2">
        <v>0</v>
      </c>
      <c r="Q101" s="2" t="s">
        <v>416</v>
      </c>
      <c r="R101" s="2" t="s">
        <v>8908</v>
      </c>
      <c r="S101" s="2" t="s">
        <v>35</v>
      </c>
      <c r="T101" s="2">
        <v>200</v>
      </c>
      <c r="U101" s="2" t="s">
        <v>35</v>
      </c>
      <c r="V101" s="2" t="s">
        <v>35</v>
      </c>
      <c r="W101" s="2" t="s">
        <v>35</v>
      </c>
      <c r="X101" s="2" t="s">
        <v>35</v>
      </c>
      <c r="Y101" s="2" t="s">
        <v>35</v>
      </c>
      <c r="Z101" s="2" t="s">
        <v>35</v>
      </c>
    </row>
    <row r="102" spans="1:26" x14ac:dyDescent="0.2">
      <c r="A102" s="2" t="s">
        <v>9039</v>
      </c>
      <c r="B102" s="2" t="b">
        <v>0</v>
      </c>
      <c r="C102" s="2" t="b">
        <v>0</v>
      </c>
      <c r="D102" s="2" t="b">
        <v>0</v>
      </c>
      <c r="E102" s="2" t="b">
        <v>0</v>
      </c>
      <c r="F102" s="2" t="s">
        <v>31</v>
      </c>
      <c r="G102" s="2" t="s">
        <v>9040</v>
      </c>
      <c r="H102" s="2" t="s">
        <v>9041</v>
      </c>
      <c r="I102" s="2" t="s">
        <v>9042</v>
      </c>
      <c r="J102" s="2" t="b">
        <v>0</v>
      </c>
      <c r="K102" s="2" t="s">
        <v>35</v>
      </c>
      <c r="L102" s="2" t="s">
        <v>35</v>
      </c>
      <c r="M102" s="2" t="s">
        <v>35</v>
      </c>
      <c r="N102" s="3">
        <v>44690.414455995371</v>
      </c>
      <c r="O102" s="3">
        <v>44690.415903159723</v>
      </c>
      <c r="P102" s="2">
        <v>0</v>
      </c>
      <c r="Q102" s="2" t="s">
        <v>416</v>
      </c>
      <c r="R102" s="2" t="s">
        <v>8908</v>
      </c>
      <c r="S102" s="2" t="s">
        <v>35</v>
      </c>
      <c r="T102" s="2">
        <v>400</v>
      </c>
      <c r="U102" s="2" t="s">
        <v>35</v>
      </c>
      <c r="V102" s="2" t="s">
        <v>35</v>
      </c>
      <c r="W102" s="2" t="s">
        <v>35</v>
      </c>
      <c r="X102" s="2" t="s">
        <v>35</v>
      </c>
      <c r="Y102" s="2" t="s">
        <v>35</v>
      </c>
      <c r="Z102" s="2" t="s">
        <v>35</v>
      </c>
    </row>
    <row r="103" spans="1:26" x14ac:dyDescent="0.2">
      <c r="A103" s="2" t="s">
        <v>9043</v>
      </c>
      <c r="B103" s="2" t="b">
        <v>0</v>
      </c>
      <c r="C103" s="2" t="b">
        <v>0</v>
      </c>
      <c r="D103" s="2" t="b">
        <v>0</v>
      </c>
      <c r="E103" s="2" t="b">
        <v>0</v>
      </c>
      <c r="F103" s="2" t="s">
        <v>31</v>
      </c>
      <c r="G103" s="2" t="s">
        <v>9044</v>
      </c>
      <c r="H103" s="2" t="s">
        <v>9045</v>
      </c>
      <c r="I103" s="2" t="s">
        <v>9046</v>
      </c>
      <c r="J103" s="2" t="b">
        <v>0</v>
      </c>
      <c r="K103" s="2" t="s">
        <v>35</v>
      </c>
      <c r="L103" s="2" t="s">
        <v>35</v>
      </c>
      <c r="M103" s="2" t="s">
        <v>35</v>
      </c>
      <c r="N103" s="3">
        <v>44690.416281412035</v>
      </c>
      <c r="O103" s="3">
        <v>44690.417376400466</v>
      </c>
      <c r="P103" s="2">
        <v>0</v>
      </c>
      <c r="Q103" s="2" t="s">
        <v>2005</v>
      </c>
      <c r="R103" s="2" t="s">
        <v>8908</v>
      </c>
      <c r="S103" s="2" t="s">
        <v>35</v>
      </c>
      <c r="T103" s="2">
        <v>149</v>
      </c>
      <c r="U103" s="2" t="s">
        <v>35</v>
      </c>
      <c r="V103" s="2" t="s">
        <v>35</v>
      </c>
      <c r="W103" s="2" t="s">
        <v>35</v>
      </c>
      <c r="X103" s="2" t="s">
        <v>35</v>
      </c>
      <c r="Y103" s="2" t="s">
        <v>35</v>
      </c>
      <c r="Z103" s="2" t="s">
        <v>35</v>
      </c>
    </row>
    <row r="104" spans="1:26" x14ac:dyDescent="0.2">
      <c r="A104" s="2" t="s">
        <v>9047</v>
      </c>
      <c r="B104" s="2" t="b">
        <v>0</v>
      </c>
      <c r="C104" s="2" t="b">
        <v>0</v>
      </c>
      <c r="D104" s="2" t="b">
        <v>0</v>
      </c>
      <c r="E104" s="2" t="b">
        <v>0</v>
      </c>
      <c r="F104" s="2" t="s">
        <v>31</v>
      </c>
      <c r="G104" s="2" t="s">
        <v>9048</v>
      </c>
      <c r="H104" s="2" t="s">
        <v>9049</v>
      </c>
      <c r="I104" s="2" t="s">
        <v>9050</v>
      </c>
      <c r="J104" s="2" t="b">
        <v>0</v>
      </c>
      <c r="K104" s="2" t="s">
        <v>35</v>
      </c>
      <c r="L104" s="2" t="s">
        <v>35</v>
      </c>
      <c r="M104" s="2" t="s">
        <v>35</v>
      </c>
      <c r="N104" s="3">
        <v>44690.417666435183</v>
      </c>
      <c r="O104" s="3">
        <v>44690.418589409725</v>
      </c>
      <c r="P104" s="2">
        <v>0</v>
      </c>
      <c r="Q104" s="2" t="s">
        <v>3157</v>
      </c>
      <c r="R104" s="2" t="s">
        <v>8908</v>
      </c>
      <c r="S104" s="2" t="s">
        <v>35</v>
      </c>
      <c r="T104" s="2">
        <v>0</v>
      </c>
      <c r="U104" s="2" t="s">
        <v>35</v>
      </c>
      <c r="V104" s="2" t="s">
        <v>35</v>
      </c>
      <c r="W104" s="2" t="s">
        <v>35</v>
      </c>
      <c r="X104" s="2" t="s">
        <v>35</v>
      </c>
      <c r="Y104" s="2" t="s">
        <v>35</v>
      </c>
      <c r="Z104" s="2" t="s">
        <v>35</v>
      </c>
    </row>
    <row r="105" spans="1:26" x14ac:dyDescent="0.2">
      <c r="A105" s="2" t="s">
        <v>9051</v>
      </c>
      <c r="B105" s="2" t="b">
        <v>0</v>
      </c>
      <c r="C105" s="2" t="b">
        <v>0</v>
      </c>
      <c r="D105" s="2" t="b">
        <v>0</v>
      </c>
      <c r="E105" s="2" t="b">
        <v>0</v>
      </c>
      <c r="F105" s="2" t="s">
        <v>31</v>
      </c>
      <c r="G105" s="2" t="s">
        <v>9052</v>
      </c>
      <c r="H105" s="2" t="s">
        <v>9053</v>
      </c>
      <c r="I105" s="2" t="s">
        <v>9054</v>
      </c>
      <c r="J105" s="2" t="b">
        <v>0</v>
      </c>
      <c r="K105" s="2" t="s">
        <v>35</v>
      </c>
      <c r="L105" s="2" t="s">
        <v>35</v>
      </c>
      <c r="M105" s="2" t="s">
        <v>35</v>
      </c>
      <c r="N105" s="3">
        <v>44690.419195104165</v>
      </c>
      <c r="O105" s="3">
        <v>44690.419801145836</v>
      </c>
      <c r="P105" s="2">
        <v>0</v>
      </c>
      <c r="Q105" s="2" t="s">
        <v>3157</v>
      </c>
      <c r="R105" s="2" t="s">
        <v>8908</v>
      </c>
      <c r="S105" s="2" t="s">
        <v>35</v>
      </c>
      <c r="T105" s="2">
        <v>0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35</v>
      </c>
      <c r="Z105" s="2" t="s">
        <v>35</v>
      </c>
    </row>
    <row r="106" spans="1:26" x14ac:dyDescent="0.2">
      <c r="A106" s="2" t="s">
        <v>9055</v>
      </c>
      <c r="B106" s="2" t="b">
        <v>0</v>
      </c>
      <c r="C106" s="2" t="b">
        <v>0</v>
      </c>
      <c r="D106" s="2" t="b">
        <v>0</v>
      </c>
      <c r="E106" s="2" t="b">
        <v>0</v>
      </c>
      <c r="F106" s="2" t="s">
        <v>31</v>
      </c>
      <c r="G106" s="2" t="s">
        <v>9056</v>
      </c>
      <c r="H106" s="2" t="s">
        <v>9057</v>
      </c>
      <c r="I106" s="2" t="s">
        <v>9058</v>
      </c>
      <c r="J106" s="2" t="b">
        <v>0</v>
      </c>
      <c r="K106" s="2" t="s">
        <v>35</v>
      </c>
      <c r="L106" s="2" t="s">
        <v>35</v>
      </c>
      <c r="M106" s="2" t="s">
        <v>35</v>
      </c>
      <c r="N106" s="3">
        <v>44690.420836331017</v>
      </c>
      <c r="O106" s="3">
        <v>44690.422014097225</v>
      </c>
      <c r="P106" s="2">
        <v>0</v>
      </c>
      <c r="Q106" s="2" t="s">
        <v>3157</v>
      </c>
      <c r="R106" s="2" t="s">
        <v>8908</v>
      </c>
      <c r="S106" s="2" t="s">
        <v>35</v>
      </c>
      <c r="T106" s="2">
        <v>78</v>
      </c>
      <c r="U106" s="2" t="s">
        <v>35</v>
      </c>
      <c r="V106" s="2" t="s">
        <v>35</v>
      </c>
      <c r="W106" s="2" t="s">
        <v>35</v>
      </c>
      <c r="X106" s="2" t="s">
        <v>35</v>
      </c>
      <c r="Y106" s="2" t="s">
        <v>35</v>
      </c>
      <c r="Z106" s="2" t="s">
        <v>35</v>
      </c>
    </row>
    <row r="107" spans="1:26" x14ac:dyDescent="0.2">
      <c r="A107" s="2" t="s">
        <v>9059</v>
      </c>
      <c r="B107" s="2" t="b">
        <v>1</v>
      </c>
      <c r="C107" s="2" t="b">
        <v>0</v>
      </c>
      <c r="D107" s="2" t="b">
        <v>0</v>
      </c>
      <c r="E107" s="2" t="b">
        <v>0</v>
      </c>
      <c r="F107" s="2" t="s">
        <v>31</v>
      </c>
      <c r="G107" s="2" t="s">
        <v>9060</v>
      </c>
      <c r="H107" s="2" t="s">
        <v>9061</v>
      </c>
      <c r="I107" s="2" t="s">
        <v>9062</v>
      </c>
      <c r="J107" s="2" t="b">
        <v>0</v>
      </c>
      <c r="K107" s="2" t="s">
        <v>35</v>
      </c>
      <c r="L107" s="2" t="s">
        <v>35</v>
      </c>
      <c r="M107" s="2" t="s">
        <v>35</v>
      </c>
      <c r="N107" s="3">
        <v>44690.422186064818</v>
      </c>
      <c r="O107" s="3">
        <v>44690.461707916664</v>
      </c>
      <c r="P107" s="2">
        <v>0</v>
      </c>
      <c r="Q107" s="2" t="s">
        <v>416</v>
      </c>
      <c r="R107" s="2" t="s">
        <v>8908</v>
      </c>
      <c r="S107" s="2" t="s">
        <v>8724</v>
      </c>
      <c r="T107" s="2">
        <v>70</v>
      </c>
      <c r="U107" s="2" t="s">
        <v>9063</v>
      </c>
      <c r="V107" s="2" t="s">
        <v>35</v>
      </c>
      <c r="W107" s="2" t="s">
        <v>35</v>
      </c>
      <c r="X107" s="2" t="s">
        <v>35</v>
      </c>
      <c r="Y107" s="2" t="s">
        <v>35</v>
      </c>
      <c r="Z107" s="2" t="s">
        <v>35</v>
      </c>
    </row>
    <row r="108" spans="1:26" x14ac:dyDescent="0.2">
      <c r="A108" s="2" t="s">
        <v>9064</v>
      </c>
      <c r="B108" s="2" t="b">
        <v>0</v>
      </c>
      <c r="C108" s="2" t="b">
        <v>0</v>
      </c>
      <c r="D108" s="2" t="b">
        <v>0</v>
      </c>
      <c r="E108" s="2" t="b">
        <v>0</v>
      </c>
      <c r="F108" s="2" t="s">
        <v>121</v>
      </c>
      <c r="G108" s="2" t="s">
        <v>149</v>
      </c>
      <c r="H108" s="2" t="s">
        <v>9065</v>
      </c>
      <c r="I108" s="2" t="s">
        <v>35</v>
      </c>
      <c r="J108" s="2" t="b">
        <v>0</v>
      </c>
      <c r="K108" s="2" t="s">
        <v>35</v>
      </c>
      <c r="L108" s="2" t="s">
        <v>35</v>
      </c>
      <c r="M108" s="2" t="s">
        <v>35</v>
      </c>
      <c r="N108" s="3">
        <v>44690.473612789348</v>
      </c>
      <c r="O108" s="3">
        <v>44690.473652222223</v>
      </c>
      <c r="P108" s="2">
        <v>0</v>
      </c>
      <c r="Q108" s="2" t="s">
        <v>54</v>
      </c>
      <c r="R108" s="2" t="s">
        <v>8908</v>
      </c>
      <c r="S108" s="2" t="s">
        <v>35</v>
      </c>
      <c r="T108" s="2" t="s">
        <v>35</v>
      </c>
      <c r="U108" s="2" t="s">
        <v>35</v>
      </c>
      <c r="V108" s="2" t="s">
        <v>35</v>
      </c>
      <c r="W108" s="2" t="s">
        <v>35</v>
      </c>
      <c r="X108" s="2" t="s">
        <v>35</v>
      </c>
      <c r="Y108" s="2" t="s">
        <v>35</v>
      </c>
      <c r="Z108" s="2" t="s">
        <v>35</v>
      </c>
    </row>
    <row r="109" spans="1:26" x14ac:dyDescent="0.2">
      <c r="A109" s="2" t="s">
        <v>9066</v>
      </c>
      <c r="B109" s="2" t="b">
        <v>0</v>
      </c>
      <c r="C109" s="2" t="b">
        <v>0</v>
      </c>
      <c r="D109" s="2" t="b">
        <v>0</v>
      </c>
      <c r="E109" s="2" t="b">
        <v>0</v>
      </c>
      <c r="F109" s="2" t="s">
        <v>31</v>
      </c>
      <c r="G109" s="2" t="s">
        <v>149</v>
      </c>
      <c r="H109" s="2" t="s">
        <v>9067</v>
      </c>
      <c r="I109" s="2" t="s">
        <v>35</v>
      </c>
      <c r="J109" s="2" t="b">
        <v>0</v>
      </c>
      <c r="K109" s="2" t="s">
        <v>35</v>
      </c>
      <c r="L109" s="2" t="s">
        <v>35</v>
      </c>
      <c r="M109" s="2" t="s">
        <v>35</v>
      </c>
      <c r="N109" s="3">
        <v>44690.477965625003</v>
      </c>
      <c r="O109" s="3">
        <v>44690.478068993056</v>
      </c>
      <c r="P109" s="2">
        <v>0</v>
      </c>
      <c r="Q109" s="2" t="s">
        <v>35</v>
      </c>
      <c r="R109" s="2" t="s">
        <v>8908</v>
      </c>
      <c r="S109" s="2" t="s">
        <v>35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35</v>
      </c>
      <c r="Y109" s="2" t="s">
        <v>35</v>
      </c>
      <c r="Z109" s="2" t="s">
        <v>35</v>
      </c>
    </row>
    <row r="110" spans="1:26" x14ac:dyDescent="0.2">
      <c r="A110" s="2" t="s">
        <v>9068</v>
      </c>
      <c r="B110" s="2" t="b">
        <v>0</v>
      </c>
      <c r="C110" s="2" t="b">
        <v>0</v>
      </c>
      <c r="D110" s="2" t="b">
        <v>0</v>
      </c>
      <c r="E110" s="2" t="b">
        <v>0</v>
      </c>
      <c r="F110" s="2" t="s">
        <v>121</v>
      </c>
      <c r="G110" s="2" t="s">
        <v>149</v>
      </c>
      <c r="H110" s="2" t="s">
        <v>9069</v>
      </c>
      <c r="I110" s="2" t="s">
        <v>35</v>
      </c>
      <c r="J110" s="2" t="b">
        <v>0</v>
      </c>
      <c r="K110" s="2" t="s">
        <v>35</v>
      </c>
      <c r="L110" s="2" t="s">
        <v>35</v>
      </c>
      <c r="M110" s="2" t="s">
        <v>35</v>
      </c>
      <c r="N110" s="3">
        <v>44690.47843628472</v>
      </c>
      <c r="O110" s="3">
        <v>44690.478460671293</v>
      </c>
      <c r="P110" s="2">
        <v>0</v>
      </c>
      <c r="Q110" s="2" t="s">
        <v>2380</v>
      </c>
      <c r="R110" s="2" t="s">
        <v>8908</v>
      </c>
      <c r="S110" s="2" t="s">
        <v>35</v>
      </c>
      <c r="T110" s="2" t="s">
        <v>35</v>
      </c>
      <c r="U110" s="2" t="s">
        <v>35</v>
      </c>
      <c r="V110" s="2" t="s">
        <v>35</v>
      </c>
      <c r="W110" s="2" t="s">
        <v>35</v>
      </c>
      <c r="X110" s="2" t="s">
        <v>35</v>
      </c>
      <c r="Y110" s="2" t="s">
        <v>35</v>
      </c>
      <c r="Z110" s="2" t="s">
        <v>35</v>
      </c>
    </row>
    <row r="111" spans="1:26" x14ac:dyDescent="0.2">
      <c r="A111" s="2" t="s">
        <v>9070</v>
      </c>
      <c r="B111" s="2" t="b">
        <v>0</v>
      </c>
      <c r="C111" s="2" t="b">
        <v>0</v>
      </c>
      <c r="D111" s="2" t="b">
        <v>0</v>
      </c>
      <c r="E111" s="2" t="b">
        <v>0</v>
      </c>
      <c r="F111" s="2" t="s">
        <v>31</v>
      </c>
      <c r="G111" s="2" t="s">
        <v>9071</v>
      </c>
      <c r="H111" s="2" t="s">
        <v>9072</v>
      </c>
      <c r="I111" s="2" t="s">
        <v>9073</v>
      </c>
      <c r="J111" s="2" t="b">
        <v>0</v>
      </c>
      <c r="K111" s="2" t="s">
        <v>35</v>
      </c>
      <c r="L111" s="2">
        <v>1</v>
      </c>
      <c r="M111" s="2">
        <v>14</v>
      </c>
      <c r="N111" s="3">
        <v>44690.660633113424</v>
      </c>
      <c r="O111" s="3">
        <v>44690.66196607639</v>
      </c>
      <c r="P111" s="2">
        <v>0</v>
      </c>
      <c r="Q111" s="2" t="s">
        <v>54</v>
      </c>
      <c r="R111" s="2" t="s">
        <v>8908</v>
      </c>
      <c r="S111" s="2" t="s">
        <v>35</v>
      </c>
      <c r="T111" s="2">
        <v>128</v>
      </c>
      <c r="U111" s="2" t="s">
        <v>35</v>
      </c>
      <c r="V111" s="2" t="s">
        <v>35</v>
      </c>
      <c r="W111" s="2" t="s">
        <v>35</v>
      </c>
      <c r="X111" s="2" t="s">
        <v>35</v>
      </c>
      <c r="Y111" s="2" t="s">
        <v>35</v>
      </c>
      <c r="Z111" s="2" t="s">
        <v>35</v>
      </c>
    </row>
    <row r="112" spans="1:26" x14ac:dyDescent="0.2">
      <c r="A112" s="2" t="s">
        <v>9074</v>
      </c>
      <c r="B112" s="2" t="b">
        <v>0</v>
      </c>
      <c r="C112" s="2" t="b">
        <v>0</v>
      </c>
      <c r="D112" s="2" t="b">
        <v>0</v>
      </c>
      <c r="E112" s="2" t="b">
        <v>0</v>
      </c>
      <c r="F112" s="2" t="s">
        <v>121</v>
      </c>
      <c r="G112" s="2" t="s">
        <v>149</v>
      </c>
      <c r="H112" s="2" t="s">
        <v>9075</v>
      </c>
      <c r="I112" s="2" t="s">
        <v>35</v>
      </c>
      <c r="J112" s="2" t="b">
        <v>0</v>
      </c>
      <c r="K112" s="2" t="s">
        <v>35</v>
      </c>
      <c r="L112" s="2" t="s">
        <v>35</v>
      </c>
      <c r="M112" s="2" t="s">
        <v>35</v>
      </c>
      <c r="N112" s="3">
        <v>44693.695717696763</v>
      </c>
      <c r="O112" s="3">
        <v>44693.695878541665</v>
      </c>
      <c r="P112" s="2">
        <v>0</v>
      </c>
      <c r="Q112" s="2" t="s">
        <v>2005</v>
      </c>
      <c r="R112" s="2" t="s">
        <v>8768</v>
      </c>
      <c r="S112" s="2" t="s">
        <v>35</v>
      </c>
      <c r="T112" s="2" t="s">
        <v>35</v>
      </c>
      <c r="U112" s="2" t="s">
        <v>35</v>
      </c>
      <c r="V112" s="2" t="s">
        <v>35</v>
      </c>
      <c r="W112" s="2" t="s">
        <v>35</v>
      </c>
      <c r="X112" s="2" t="s">
        <v>35</v>
      </c>
      <c r="Y112" s="2" t="s">
        <v>35</v>
      </c>
      <c r="Z112" s="2" t="s">
        <v>35</v>
      </c>
    </row>
    <row r="113" spans="1:26" x14ac:dyDescent="0.2">
      <c r="A113" s="2" t="s">
        <v>9076</v>
      </c>
      <c r="B113" s="2" t="b">
        <v>0</v>
      </c>
      <c r="C113" s="2" t="b">
        <v>0</v>
      </c>
      <c r="D113" s="2" t="b">
        <v>0</v>
      </c>
      <c r="E113" s="2" t="b">
        <v>0</v>
      </c>
      <c r="F113" s="2" t="s">
        <v>31</v>
      </c>
      <c r="G113" s="2" t="s">
        <v>9077</v>
      </c>
      <c r="H113" s="2" t="s">
        <v>9078</v>
      </c>
      <c r="I113" s="2" t="s">
        <v>35</v>
      </c>
      <c r="J113" s="2" t="b">
        <v>0</v>
      </c>
      <c r="K113" s="2" t="s">
        <v>35</v>
      </c>
      <c r="L113" s="2">
        <v>2</v>
      </c>
      <c r="M113" s="2">
        <v>18</v>
      </c>
      <c r="N113" s="3">
        <v>44700.421839641203</v>
      </c>
      <c r="O113" s="3">
        <v>44700.422503564812</v>
      </c>
      <c r="P113" s="2">
        <v>0</v>
      </c>
      <c r="Q113" s="2" t="s">
        <v>54</v>
      </c>
      <c r="R113" s="2" t="s">
        <v>8908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35</v>
      </c>
      <c r="Y113" s="2" t="s">
        <v>35</v>
      </c>
      <c r="Z113" s="2" t="s">
        <v>35</v>
      </c>
    </row>
    <row r="114" spans="1:26" x14ac:dyDescent="0.2">
      <c r="A114" s="2" t="s">
        <v>9079</v>
      </c>
      <c r="B114" s="2" t="b">
        <v>0</v>
      </c>
      <c r="C114" s="2" t="b">
        <v>0</v>
      </c>
      <c r="D114" s="2" t="b">
        <v>0</v>
      </c>
      <c r="E114" s="2" t="b">
        <v>0</v>
      </c>
      <c r="F114" s="2" t="s">
        <v>121</v>
      </c>
      <c r="G114" s="2" t="s">
        <v>149</v>
      </c>
      <c r="H114" s="2" t="s">
        <v>35</v>
      </c>
      <c r="I114" s="2" t="s">
        <v>35</v>
      </c>
      <c r="J114" s="2" t="b">
        <v>0</v>
      </c>
      <c r="K114" s="2" t="s">
        <v>35</v>
      </c>
      <c r="L114" s="2" t="s">
        <v>35</v>
      </c>
      <c r="M114" s="2" t="s">
        <v>35</v>
      </c>
      <c r="N114" s="3">
        <v>44700.424922025464</v>
      </c>
      <c r="O114" s="3">
        <v>44700.536529826386</v>
      </c>
      <c r="P114" s="2">
        <v>0</v>
      </c>
      <c r="Q114" s="2" t="s">
        <v>35</v>
      </c>
      <c r="R114" s="2" t="s">
        <v>8908</v>
      </c>
      <c r="S114" s="2" t="s">
        <v>35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35</v>
      </c>
      <c r="Y114" s="2" t="s">
        <v>35</v>
      </c>
      <c r="Z114" s="2" t="s">
        <v>35</v>
      </c>
    </row>
    <row r="115" spans="1:26" x14ac:dyDescent="0.2">
      <c r="A115" s="2" t="s">
        <v>9080</v>
      </c>
      <c r="B115" s="2" t="b">
        <v>0</v>
      </c>
      <c r="C115" s="2" t="b">
        <v>0</v>
      </c>
      <c r="D115" s="2" t="b">
        <v>0</v>
      </c>
      <c r="E115" s="2" t="b">
        <v>1</v>
      </c>
      <c r="F115" s="2" t="s">
        <v>31</v>
      </c>
      <c r="G115" s="2" t="s">
        <v>9081</v>
      </c>
      <c r="H115" s="2" t="s">
        <v>9082</v>
      </c>
      <c r="I115" s="2" t="s">
        <v>9083</v>
      </c>
      <c r="J115" s="2" t="b">
        <v>0</v>
      </c>
      <c r="K115" s="2" t="s">
        <v>35</v>
      </c>
      <c r="L115" s="2" t="s">
        <v>35</v>
      </c>
      <c r="M115" s="2" t="s">
        <v>35</v>
      </c>
      <c r="N115" s="3">
        <v>44701.57447457176</v>
      </c>
      <c r="O115" s="3">
        <v>44701.575665567128</v>
      </c>
      <c r="P115" s="2">
        <v>0</v>
      </c>
      <c r="Q115" s="2" t="s">
        <v>265</v>
      </c>
      <c r="R115" s="2" t="s">
        <v>8908</v>
      </c>
      <c r="S115" s="2" t="s">
        <v>35</v>
      </c>
      <c r="T115" s="2" t="s">
        <v>35</v>
      </c>
      <c r="U115" s="2" t="s">
        <v>35</v>
      </c>
      <c r="V115" s="2" t="b">
        <v>0</v>
      </c>
      <c r="W115" s="2" t="s">
        <v>35</v>
      </c>
      <c r="X115" s="2" t="s">
        <v>35</v>
      </c>
      <c r="Y115" s="2" t="s">
        <v>35</v>
      </c>
      <c r="Z115" s="2" t="s">
        <v>35</v>
      </c>
    </row>
    <row r="116" spans="1:26" x14ac:dyDescent="0.2">
      <c r="A116" s="2" t="s">
        <v>9084</v>
      </c>
      <c r="B116" s="2" t="b">
        <v>0</v>
      </c>
      <c r="C116" s="2" t="b">
        <v>0</v>
      </c>
      <c r="D116" s="2" t="b">
        <v>0</v>
      </c>
      <c r="E116" s="2" t="b">
        <v>0</v>
      </c>
      <c r="F116" s="2" t="s">
        <v>121</v>
      </c>
      <c r="G116" s="2" t="s">
        <v>149</v>
      </c>
      <c r="H116" s="2" t="s">
        <v>9085</v>
      </c>
      <c r="I116" s="2" t="s">
        <v>35</v>
      </c>
      <c r="J116" s="2" t="b">
        <v>0</v>
      </c>
      <c r="K116" s="2" t="s">
        <v>35</v>
      </c>
      <c r="L116" s="2" t="s">
        <v>35</v>
      </c>
      <c r="M116" s="2" t="s">
        <v>35</v>
      </c>
      <c r="N116" s="3">
        <v>44701.575980011577</v>
      </c>
      <c r="O116" s="3">
        <v>44701.576091782408</v>
      </c>
      <c r="P116" s="2">
        <v>0</v>
      </c>
      <c r="Q116" s="2" t="s">
        <v>416</v>
      </c>
      <c r="R116" s="2" t="s">
        <v>8908</v>
      </c>
      <c r="S116" s="2" t="s">
        <v>35</v>
      </c>
      <c r="T116" s="2" t="s">
        <v>35</v>
      </c>
      <c r="U116" s="2" t="s">
        <v>35</v>
      </c>
      <c r="V116" s="2" t="b">
        <v>0</v>
      </c>
      <c r="W116" s="2" t="s">
        <v>35</v>
      </c>
      <c r="X116" s="2" t="s">
        <v>35</v>
      </c>
      <c r="Y116" s="2" t="s">
        <v>35</v>
      </c>
      <c r="Z116" s="2" t="s">
        <v>35</v>
      </c>
    </row>
    <row r="117" spans="1:26" x14ac:dyDescent="0.2">
      <c r="A117" s="2" t="s">
        <v>9086</v>
      </c>
      <c r="B117" s="2" t="b">
        <v>0</v>
      </c>
      <c r="C117" s="2" t="b">
        <v>0</v>
      </c>
      <c r="D117" s="2" t="b">
        <v>0</v>
      </c>
      <c r="E117" s="2" t="b">
        <v>0</v>
      </c>
      <c r="F117" s="2" t="s">
        <v>31</v>
      </c>
      <c r="G117" s="2" t="s">
        <v>9087</v>
      </c>
      <c r="H117" s="2" t="s">
        <v>9088</v>
      </c>
      <c r="I117" s="2" t="s">
        <v>35</v>
      </c>
      <c r="J117" s="2" t="b">
        <v>0</v>
      </c>
      <c r="K117" s="2" t="s">
        <v>35</v>
      </c>
      <c r="L117" s="2" t="s">
        <v>35</v>
      </c>
      <c r="M117" s="2" t="s">
        <v>35</v>
      </c>
      <c r="N117" s="3">
        <v>44702.896962743056</v>
      </c>
      <c r="O117" s="3">
        <v>44702.899429814817</v>
      </c>
      <c r="P117" s="2">
        <v>0</v>
      </c>
      <c r="Q117" s="2" t="s">
        <v>36</v>
      </c>
      <c r="R117" s="2" t="s">
        <v>8908</v>
      </c>
      <c r="S117" s="2" t="s">
        <v>35</v>
      </c>
      <c r="T117" s="2" t="s">
        <v>35</v>
      </c>
      <c r="U117" s="2" t="s">
        <v>35</v>
      </c>
      <c r="V117" s="2" t="b">
        <v>0</v>
      </c>
      <c r="W117" s="2" t="s">
        <v>35</v>
      </c>
      <c r="X117" s="2" t="s">
        <v>35</v>
      </c>
      <c r="Y117" s="2" t="s">
        <v>35</v>
      </c>
      <c r="Z117" s="2" t="s">
        <v>35</v>
      </c>
    </row>
    <row r="118" spans="1:26" x14ac:dyDescent="0.2">
      <c r="A118" s="2" t="s">
        <v>9089</v>
      </c>
      <c r="B118" s="2" t="b">
        <v>0</v>
      </c>
      <c r="C118" s="2" t="b">
        <v>0</v>
      </c>
      <c r="D118" s="2" t="b">
        <v>0</v>
      </c>
      <c r="E118" s="2" t="b">
        <v>0</v>
      </c>
      <c r="F118" s="2" t="s">
        <v>31</v>
      </c>
      <c r="G118" s="2" t="s">
        <v>9090</v>
      </c>
      <c r="H118" s="2" t="s">
        <v>9091</v>
      </c>
      <c r="I118" s="2" t="s">
        <v>9092</v>
      </c>
      <c r="J118" s="2" t="b">
        <v>0</v>
      </c>
      <c r="K118" s="2" t="s">
        <v>35</v>
      </c>
      <c r="L118" s="2">
        <v>4</v>
      </c>
      <c r="M118" s="2">
        <v>16</v>
      </c>
      <c r="N118" s="3">
        <v>44704.626774733799</v>
      </c>
      <c r="O118" s="3">
        <v>44704.629384351851</v>
      </c>
      <c r="P118" s="2">
        <v>0</v>
      </c>
      <c r="Q118" s="2" t="s">
        <v>54</v>
      </c>
      <c r="R118" s="2" t="s">
        <v>8908</v>
      </c>
      <c r="S118" s="2" t="s">
        <v>35</v>
      </c>
      <c r="T118" s="2" t="s">
        <v>35</v>
      </c>
      <c r="U118" s="2" t="s">
        <v>35</v>
      </c>
      <c r="V118" s="2" t="b">
        <v>0</v>
      </c>
      <c r="W118" s="2" t="s">
        <v>35</v>
      </c>
      <c r="X118" s="2" t="s">
        <v>35</v>
      </c>
      <c r="Y118" s="2" t="s">
        <v>35</v>
      </c>
      <c r="Z118" s="2" t="s">
        <v>35</v>
      </c>
    </row>
    <row r="119" spans="1:26" x14ac:dyDescent="0.2">
      <c r="A119" s="2" t="s">
        <v>9093</v>
      </c>
      <c r="B119" s="2" t="b">
        <v>0</v>
      </c>
      <c r="C119" s="2" t="b">
        <v>0</v>
      </c>
      <c r="D119" s="2" t="b">
        <v>0</v>
      </c>
      <c r="E119" s="2" t="b">
        <v>1</v>
      </c>
      <c r="F119" s="2" t="s">
        <v>121</v>
      </c>
      <c r="G119" s="2" t="s">
        <v>9094</v>
      </c>
      <c r="H119" s="2" t="s">
        <v>9095</v>
      </c>
      <c r="I119" s="2" t="s">
        <v>9096</v>
      </c>
      <c r="J119" s="2" t="b">
        <v>0</v>
      </c>
      <c r="K119" s="2" t="s">
        <v>35</v>
      </c>
      <c r="L119" s="2" t="s">
        <v>35</v>
      </c>
      <c r="M119" s="2" t="s">
        <v>35</v>
      </c>
      <c r="N119" s="3">
        <v>44704.631992337963</v>
      </c>
      <c r="O119" s="3">
        <v>44704.633049502314</v>
      </c>
      <c r="P119" s="2">
        <v>0</v>
      </c>
      <c r="Q119" s="2" t="s">
        <v>265</v>
      </c>
      <c r="R119" s="2" t="s">
        <v>8908</v>
      </c>
      <c r="S119" s="2" t="s">
        <v>35</v>
      </c>
      <c r="T119" s="2" t="s">
        <v>35</v>
      </c>
      <c r="U119" s="2" t="s">
        <v>35</v>
      </c>
      <c r="V119" s="2" t="b">
        <v>0</v>
      </c>
      <c r="W119" s="2" t="s">
        <v>35</v>
      </c>
      <c r="X119" s="2" t="s">
        <v>35</v>
      </c>
      <c r="Y119" s="2" t="s">
        <v>35</v>
      </c>
      <c r="Z119" s="2" t="s">
        <v>35</v>
      </c>
    </row>
    <row r="120" spans="1:26" x14ac:dyDescent="0.2">
      <c r="A120" s="2" t="s">
        <v>9097</v>
      </c>
      <c r="B120" s="2" t="b">
        <v>0</v>
      </c>
      <c r="C120" s="2" t="b">
        <v>0</v>
      </c>
      <c r="D120" s="2" t="b">
        <v>0</v>
      </c>
      <c r="E120" s="2" t="b">
        <v>0</v>
      </c>
      <c r="F120" s="2" t="s">
        <v>31</v>
      </c>
      <c r="G120" s="2" t="s">
        <v>9098</v>
      </c>
      <c r="H120" s="2" t="s">
        <v>9099</v>
      </c>
      <c r="I120" s="2" t="s">
        <v>9100</v>
      </c>
      <c r="J120" s="2" t="b">
        <v>0</v>
      </c>
      <c r="K120" s="2" t="s">
        <v>35</v>
      </c>
      <c r="L120" s="2" t="s">
        <v>35</v>
      </c>
      <c r="M120" s="2" t="s">
        <v>35</v>
      </c>
      <c r="N120" s="3">
        <v>44704.636452303239</v>
      </c>
      <c r="O120" s="3">
        <v>44704.638366990737</v>
      </c>
      <c r="P120" s="2">
        <v>0</v>
      </c>
      <c r="Q120" s="2" t="s">
        <v>265</v>
      </c>
      <c r="R120" s="2" t="s">
        <v>8908</v>
      </c>
      <c r="S120" s="2" t="s">
        <v>35</v>
      </c>
      <c r="T120" s="2" t="s">
        <v>35</v>
      </c>
      <c r="U120" s="2" t="s">
        <v>35</v>
      </c>
      <c r="V120" s="2" t="b">
        <v>0</v>
      </c>
      <c r="W120" s="2" t="s">
        <v>35</v>
      </c>
      <c r="X120" s="2" t="s">
        <v>35</v>
      </c>
      <c r="Y120" s="2" t="s">
        <v>35</v>
      </c>
      <c r="Z120" s="2" t="s">
        <v>35</v>
      </c>
    </row>
    <row r="121" spans="1:26" x14ac:dyDescent="0.2">
      <c r="A121" s="2" t="s">
        <v>9101</v>
      </c>
      <c r="B121" s="2" t="b">
        <v>1</v>
      </c>
      <c r="C121" s="2" t="b">
        <v>0</v>
      </c>
      <c r="D121" s="2" t="b">
        <v>0</v>
      </c>
      <c r="E121" s="2" t="b">
        <v>0</v>
      </c>
      <c r="F121" s="2" t="s">
        <v>31</v>
      </c>
      <c r="G121" s="2" t="s">
        <v>9102</v>
      </c>
      <c r="H121" s="2" t="s">
        <v>9103</v>
      </c>
      <c r="I121" s="2" t="s">
        <v>9104</v>
      </c>
      <c r="J121" s="2" t="b">
        <v>0</v>
      </c>
      <c r="K121" s="2" t="s">
        <v>35</v>
      </c>
      <c r="L121" s="2" t="s">
        <v>35</v>
      </c>
      <c r="M121" s="2" t="s">
        <v>35</v>
      </c>
      <c r="N121" s="3">
        <v>44704.638761585651</v>
      </c>
      <c r="O121" s="3">
        <v>44704.639540578704</v>
      </c>
      <c r="P121" s="2">
        <v>0</v>
      </c>
      <c r="Q121" s="2" t="s">
        <v>109</v>
      </c>
      <c r="R121" s="2" t="s">
        <v>8908</v>
      </c>
      <c r="S121" s="2" t="s">
        <v>35</v>
      </c>
      <c r="T121" s="2">
        <v>0</v>
      </c>
      <c r="U121" s="2" t="s">
        <v>9105</v>
      </c>
      <c r="V121" s="2" t="b">
        <v>0</v>
      </c>
      <c r="W121" s="2" t="s">
        <v>35</v>
      </c>
      <c r="X121" s="2" t="s">
        <v>35</v>
      </c>
      <c r="Y121" s="2" t="s">
        <v>35</v>
      </c>
      <c r="Z121" s="2" t="s">
        <v>35</v>
      </c>
    </row>
    <row r="122" spans="1:26" x14ac:dyDescent="0.2">
      <c r="A122" s="2" t="s">
        <v>9106</v>
      </c>
      <c r="B122" s="2" t="b">
        <v>0</v>
      </c>
      <c r="C122" s="2" t="b">
        <v>0</v>
      </c>
      <c r="D122" s="2" t="b">
        <v>0</v>
      </c>
      <c r="E122" s="2" t="b">
        <v>1</v>
      </c>
      <c r="F122" s="2" t="s">
        <v>31</v>
      </c>
      <c r="G122" s="2" t="s">
        <v>9107</v>
      </c>
      <c r="H122" s="2" t="s">
        <v>9108</v>
      </c>
      <c r="I122" s="2" t="s">
        <v>9109</v>
      </c>
      <c r="J122" s="2" t="b">
        <v>0</v>
      </c>
      <c r="K122" s="2" t="s">
        <v>35</v>
      </c>
      <c r="L122" s="2" t="s">
        <v>35</v>
      </c>
      <c r="M122" s="2" t="s">
        <v>35</v>
      </c>
      <c r="N122" s="3">
        <v>44704.639945439812</v>
      </c>
      <c r="O122" s="3">
        <v>44704.641092500002</v>
      </c>
      <c r="P122" s="2">
        <v>0</v>
      </c>
      <c r="Q122" s="2" t="s">
        <v>265</v>
      </c>
      <c r="R122" s="2" t="s">
        <v>8908</v>
      </c>
      <c r="S122" s="2" t="s">
        <v>35</v>
      </c>
      <c r="T122" s="2" t="s">
        <v>35</v>
      </c>
      <c r="U122" s="2" t="s">
        <v>35</v>
      </c>
      <c r="V122" s="2" t="b">
        <v>0</v>
      </c>
      <c r="W122" s="2" t="s">
        <v>35</v>
      </c>
      <c r="X122" s="2" t="s">
        <v>35</v>
      </c>
      <c r="Y122" s="2" t="s">
        <v>35</v>
      </c>
      <c r="Z122" s="2" t="s">
        <v>35</v>
      </c>
    </row>
    <row r="123" spans="1:26" x14ac:dyDescent="0.2">
      <c r="A123" s="2" t="s">
        <v>9110</v>
      </c>
      <c r="B123" s="2" t="b">
        <v>0</v>
      </c>
      <c r="C123" s="2" t="b">
        <v>0</v>
      </c>
      <c r="D123" s="2" t="b">
        <v>0</v>
      </c>
      <c r="E123" s="2" t="b">
        <v>0</v>
      </c>
      <c r="F123" s="2" t="s">
        <v>31</v>
      </c>
      <c r="G123" s="2" t="s">
        <v>9111</v>
      </c>
      <c r="H123" s="2" t="s">
        <v>9112</v>
      </c>
      <c r="I123" s="2" t="s">
        <v>9113</v>
      </c>
      <c r="J123" s="2" t="b">
        <v>0</v>
      </c>
      <c r="K123" s="2" t="s">
        <v>35</v>
      </c>
      <c r="L123" s="2" t="s">
        <v>35</v>
      </c>
      <c r="M123" s="2" t="s">
        <v>35</v>
      </c>
      <c r="N123" s="3">
        <v>44704.642799340276</v>
      </c>
      <c r="O123" s="3">
        <v>44704.647033564812</v>
      </c>
      <c r="P123" s="2">
        <v>0</v>
      </c>
      <c r="Q123" s="2" t="s">
        <v>36</v>
      </c>
      <c r="R123" s="2" t="s">
        <v>8908</v>
      </c>
      <c r="S123" s="2" t="s">
        <v>35</v>
      </c>
      <c r="T123" s="2" t="s">
        <v>35</v>
      </c>
      <c r="U123" s="2" t="s">
        <v>35</v>
      </c>
      <c r="V123" s="2" t="b">
        <v>0</v>
      </c>
      <c r="W123" s="2" t="s">
        <v>35</v>
      </c>
      <c r="X123" s="2" t="s">
        <v>35</v>
      </c>
      <c r="Y123" s="2">
        <v>6</v>
      </c>
      <c r="Z123" s="2" t="s">
        <v>35</v>
      </c>
    </row>
    <row r="124" spans="1:26" x14ac:dyDescent="0.2">
      <c r="A124" s="2" t="s">
        <v>9114</v>
      </c>
      <c r="B124" s="2" t="b">
        <v>1</v>
      </c>
      <c r="C124" s="2" t="b">
        <v>0</v>
      </c>
      <c r="D124" s="2" t="b">
        <v>0</v>
      </c>
      <c r="E124" s="2" t="b">
        <v>0</v>
      </c>
      <c r="F124" s="2" t="s">
        <v>31</v>
      </c>
      <c r="G124" s="2" t="s">
        <v>9115</v>
      </c>
      <c r="H124" s="2" t="s">
        <v>9116</v>
      </c>
      <c r="I124" s="2" t="s">
        <v>9117</v>
      </c>
      <c r="J124" s="2" t="b">
        <v>0</v>
      </c>
      <c r="K124" s="2" t="s">
        <v>35</v>
      </c>
      <c r="L124" s="2" t="s">
        <v>35</v>
      </c>
      <c r="M124" s="2" t="s">
        <v>35</v>
      </c>
      <c r="N124" s="3">
        <v>44704.647465428243</v>
      </c>
      <c r="O124" s="3">
        <v>44704.651058194446</v>
      </c>
      <c r="P124" s="2">
        <v>0</v>
      </c>
      <c r="Q124" s="2" t="s">
        <v>416</v>
      </c>
      <c r="R124" s="2" t="s">
        <v>8908</v>
      </c>
      <c r="S124" s="2" t="s">
        <v>35</v>
      </c>
      <c r="T124" s="2">
        <v>0</v>
      </c>
      <c r="U124" s="2" t="s">
        <v>9118</v>
      </c>
      <c r="V124" s="2" t="b">
        <v>0</v>
      </c>
      <c r="W124" s="2" t="s">
        <v>35</v>
      </c>
      <c r="X124" s="2" t="s">
        <v>35</v>
      </c>
      <c r="Y124" s="2" t="s">
        <v>35</v>
      </c>
      <c r="Z124" s="2" t="s">
        <v>35</v>
      </c>
    </row>
    <row r="125" spans="1:26" x14ac:dyDescent="0.2">
      <c r="A125" s="2" t="s">
        <v>9119</v>
      </c>
      <c r="B125" s="2" t="b">
        <v>0</v>
      </c>
      <c r="C125" s="2" t="b">
        <v>0</v>
      </c>
      <c r="D125" s="2" t="b">
        <v>0</v>
      </c>
      <c r="E125" s="2" t="b">
        <v>0</v>
      </c>
      <c r="F125" s="2" t="s">
        <v>31</v>
      </c>
      <c r="G125" s="2" t="s">
        <v>9120</v>
      </c>
      <c r="H125" s="2" t="s">
        <v>9121</v>
      </c>
      <c r="I125" s="2" t="s">
        <v>35</v>
      </c>
      <c r="J125" s="2" t="b">
        <v>0</v>
      </c>
      <c r="K125" s="2" t="s">
        <v>35</v>
      </c>
      <c r="L125" s="2" t="s">
        <v>35</v>
      </c>
      <c r="M125" s="2" t="s">
        <v>35</v>
      </c>
      <c r="N125" s="3">
        <v>44704.651237557868</v>
      </c>
      <c r="O125" s="3">
        <v>44704.653139548609</v>
      </c>
      <c r="P125" s="2">
        <v>0</v>
      </c>
      <c r="Q125" s="2" t="s">
        <v>36</v>
      </c>
      <c r="R125" s="2" t="s">
        <v>8908</v>
      </c>
      <c r="S125" s="2" t="s">
        <v>35</v>
      </c>
      <c r="T125" s="2" t="s">
        <v>35</v>
      </c>
      <c r="U125" s="2" t="s">
        <v>35</v>
      </c>
      <c r="V125" s="2" t="b">
        <v>0</v>
      </c>
      <c r="W125" s="2" t="s">
        <v>35</v>
      </c>
      <c r="X125" s="2" t="s">
        <v>35</v>
      </c>
      <c r="Y125" s="2">
        <v>8</v>
      </c>
      <c r="Z125" s="2" t="s">
        <v>35</v>
      </c>
    </row>
    <row r="126" spans="1:26" x14ac:dyDescent="0.2">
      <c r="A126" s="2" t="s">
        <v>9122</v>
      </c>
      <c r="B126" s="2" t="b">
        <v>0</v>
      </c>
      <c r="C126" s="2" t="b">
        <v>0</v>
      </c>
      <c r="D126" s="2" t="b">
        <v>0</v>
      </c>
      <c r="E126" s="2" t="b">
        <v>0</v>
      </c>
      <c r="F126" s="2" t="s">
        <v>121</v>
      </c>
      <c r="G126" s="2" t="s">
        <v>149</v>
      </c>
      <c r="H126" s="2" t="s">
        <v>35</v>
      </c>
      <c r="I126" s="2" t="s">
        <v>35</v>
      </c>
      <c r="J126" s="2" t="b">
        <v>0</v>
      </c>
      <c r="K126" s="2" t="s">
        <v>35</v>
      </c>
      <c r="L126" s="2" t="s">
        <v>35</v>
      </c>
      <c r="M126" s="2" t="s">
        <v>35</v>
      </c>
      <c r="N126" s="3">
        <v>44707.558409375</v>
      </c>
      <c r="O126" s="3">
        <v>44707.558536273151</v>
      </c>
      <c r="P126" s="2">
        <v>0</v>
      </c>
      <c r="Q126" s="2" t="s">
        <v>36</v>
      </c>
      <c r="R126" s="2" t="s">
        <v>2402</v>
      </c>
      <c r="S126" s="2" t="s">
        <v>35</v>
      </c>
      <c r="T126" s="2" t="s">
        <v>35</v>
      </c>
      <c r="U126" s="2" t="s">
        <v>35</v>
      </c>
      <c r="V126" s="2" t="b">
        <v>0</v>
      </c>
      <c r="W126" s="2" t="s">
        <v>35</v>
      </c>
      <c r="X126" s="2" t="s">
        <v>35</v>
      </c>
      <c r="Y126" s="2" t="s">
        <v>35</v>
      </c>
      <c r="Z126" s="2" t="s">
        <v>35</v>
      </c>
    </row>
    <row r="127" spans="1:26" x14ac:dyDescent="0.2">
      <c r="A127" s="2" t="s">
        <v>9123</v>
      </c>
      <c r="B127" s="2" t="b">
        <v>0</v>
      </c>
      <c r="C127" s="2" t="b">
        <v>0</v>
      </c>
      <c r="D127" s="2" t="b">
        <v>0</v>
      </c>
      <c r="E127" s="2" t="b">
        <v>0</v>
      </c>
      <c r="F127" s="2" t="s">
        <v>121</v>
      </c>
      <c r="G127" s="2" t="s">
        <v>149</v>
      </c>
      <c r="H127" s="2" t="s">
        <v>9124</v>
      </c>
      <c r="I127" s="2" t="s">
        <v>35</v>
      </c>
      <c r="J127" s="2" t="b">
        <v>0</v>
      </c>
      <c r="K127" s="2" t="s">
        <v>35</v>
      </c>
      <c r="L127" s="2" t="s">
        <v>35</v>
      </c>
      <c r="M127" s="2" t="s">
        <v>35</v>
      </c>
      <c r="N127" s="3">
        <v>44707.55909239583</v>
      </c>
      <c r="O127" s="3">
        <v>44707.559117094905</v>
      </c>
      <c r="P127" s="2">
        <v>0</v>
      </c>
      <c r="Q127" s="2" t="s">
        <v>36</v>
      </c>
      <c r="R127" s="2" t="s">
        <v>2402</v>
      </c>
      <c r="S127" s="2" t="s">
        <v>35</v>
      </c>
      <c r="T127" s="2" t="s">
        <v>35</v>
      </c>
      <c r="U127" s="2" t="s">
        <v>35</v>
      </c>
      <c r="V127" s="2" t="b">
        <v>0</v>
      </c>
      <c r="W127" s="2" t="s">
        <v>35</v>
      </c>
      <c r="X127" s="2" t="s">
        <v>35</v>
      </c>
      <c r="Y127" s="2" t="s">
        <v>35</v>
      </c>
      <c r="Z127" s="2" t="s">
        <v>35</v>
      </c>
    </row>
    <row r="128" spans="1:26" x14ac:dyDescent="0.2">
      <c r="A128" s="2" t="s">
        <v>9125</v>
      </c>
      <c r="B128" s="2" t="b">
        <v>0</v>
      </c>
      <c r="C128" s="2" t="b">
        <v>0</v>
      </c>
      <c r="D128" s="2" t="b">
        <v>0</v>
      </c>
      <c r="E128" s="2" t="b">
        <v>0</v>
      </c>
      <c r="F128" s="2" t="s">
        <v>121</v>
      </c>
      <c r="G128" s="2" t="s">
        <v>149</v>
      </c>
      <c r="H128" s="2" t="s">
        <v>9126</v>
      </c>
      <c r="I128" s="2" t="s">
        <v>35</v>
      </c>
      <c r="J128" s="2" t="b">
        <v>0</v>
      </c>
      <c r="K128" s="2" t="s">
        <v>35</v>
      </c>
      <c r="L128" s="2" t="s">
        <v>35</v>
      </c>
      <c r="M128" s="2" t="s">
        <v>35</v>
      </c>
      <c r="N128" s="3">
        <v>44707.559588530094</v>
      </c>
      <c r="O128" s="3">
        <v>44707.55961152778</v>
      </c>
      <c r="P128" s="2">
        <v>0</v>
      </c>
      <c r="Q128" s="2" t="s">
        <v>36</v>
      </c>
      <c r="R128" s="2" t="s">
        <v>2402</v>
      </c>
      <c r="S128" s="2" t="s">
        <v>35</v>
      </c>
      <c r="T128" s="2" t="s">
        <v>35</v>
      </c>
      <c r="U128" s="2" t="s">
        <v>35</v>
      </c>
      <c r="V128" s="2" t="b">
        <v>0</v>
      </c>
      <c r="W128" s="2" t="s">
        <v>35</v>
      </c>
      <c r="X128" s="2" t="s">
        <v>35</v>
      </c>
      <c r="Y128" s="2" t="s">
        <v>35</v>
      </c>
      <c r="Z128" s="2" t="s">
        <v>35</v>
      </c>
    </row>
    <row r="129" spans="1:26" x14ac:dyDescent="0.2">
      <c r="A129" s="2" t="s">
        <v>9127</v>
      </c>
      <c r="B129" s="2" t="b">
        <v>0</v>
      </c>
      <c r="C129" s="2" t="b">
        <v>0</v>
      </c>
      <c r="D129" s="2" t="b">
        <v>0</v>
      </c>
      <c r="E129" s="2" t="b">
        <v>0</v>
      </c>
      <c r="F129" s="2" t="s">
        <v>121</v>
      </c>
      <c r="G129" s="2" t="s">
        <v>149</v>
      </c>
      <c r="H129" s="2" t="s">
        <v>9128</v>
      </c>
      <c r="I129" s="2" t="s">
        <v>35</v>
      </c>
      <c r="J129" s="2" t="b">
        <v>0</v>
      </c>
      <c r="K129" s="2" t="s">
        <v>35</v>
      </c>
      <c r="L129" s="2" t="s">
        <v>35</v>
      </c>
      <c r="M129" s="2" t="s">
        <v>35</v>
      </c>
      <c r="N129" s="3">
        <v>44707.559858356479</v>
      </c>
      <c r="O129" s="3">
        <v>44707.559874363425</v>
      </c>
      <c r="P129" s="2">
        <v>0</v>
      </c>
      <c r="Q129" s="2" t="s">
        <v>36</v>
      </c>
      <c r="R129" s="2" t="s">
        <v>2402</v>
      </c>
      <c r="S129" s="2" t="s">
        <v>35</v>
      </c>
      <c r="T129" s="2" t="s">
        <v>35</v>
      </c>
      <c r="U129" s="2" t="s">
        <v>35</v>
      </c>
      <c r="V129" s="2" t="b">
        <v>0</v>
      </c>
      <c r="W129" s="2" t="s">
        <v>35</v>
      </c>
      <c r="X129" s="2" t="s">
        <v>35</v>
      </c>
      <c r="Y129" s="2" t="s">
        <v>35</v>
      </c>
      <c r="Z129" s="2" t="s">
        <v>35</v>
      </c>
    </row>
    <row r="130" spans="1:26" x14ac:dyDescent="0.2">
      <c r="A130" s="2" t="s">
        <v>9129</v>
      </c>
      <c r="B130" s="2" t="b">
        <v>0</v>
      </c>
      <c r="C130" s="2" t="b">
        <v>0</v>
      </c>
      <c r="D130" s="2" t="b">
        <v>0</v>
      </c>
      <c r="E130" s="2" t="b">
        <v>0</v>
      </c>
      <c r="F130" s="2" t="s">
        <v>31</v>
      </c>
      <c r="G130" s="2" t="s">
        <v>149</v>
      </c>
      <c r="H130" s="2" t="s">
        <v>9128</v>
      </c>
      <c r="I130" s="2" t="s">
        <v>9130</v>
      </c>
      <c r="J130" s="2" t="b">
        <v>0</v>
      </c>
      <c r="K130" s="2" t="s">
        <v>35</v>
      </c>
      <c r="L130" s="2" t="s">
        <v>35</v>
      </c>
      <c r="M130" s="2" t="s">
        <v>35</v>
      </c>
      <c r="N130" s="3">
        <v>44707.560054363428</v>
      </c>
      <c r="O130" s="3">
        <v>44707.560913472225</v>
      </c>
      <c r="P130" s="2">
        <v>0</v>
      </c>
      <c r="Q130" s="2" t="s">
        <v>36</v>
      </c>
      <c r="R130" s="2" t="s">
        <v>2402</v>
      </c>
      <c r="S130" s="2" t="s">
        <v>35</v>
      </c>
      <c r="T130" s="2" t="s">
        <v>35</v>
      </c>
      <c r="U130" s="2" t="s">
        <v>35</v>
      </c>
      <c r="V130" s="2" t="b">
        <v>0</v>
      </c>
      <c r="W130" s="2" t="s">
        <v>35</v>
      </c>
      <c r="X130" s="2" t="s">
        <v>35</v>
      </c>
      <c r="Y130" s="2">
        <v>11</v>
      </c>
      <c r="Z130" s="2" t="s">
        <v>35</v>
      </c>
    </row>
    <row r="131" spans="1:26" x14ac:dyDescent="0.2">
      <c r="A131" s="2" t="s">
        <v>9131</v>
      </c>
      <c r="B131" s="2" t="b">
        <v>0</v>
      </c>
      <c r="C131" s="2" t="b">
        <v>0</v>
      </c>
      <c r="D131" s="2" t="b">
        <v>0</v>
      </c>
      <c r="E131" s="2" t="b">
        <v>0</v>
      </c>
      <c r="F131" s="2" t="s">
        <v>31</v>
      </c>
      <c r="G131" s="2" t="s">
        <v>149</v>
      </c>
      <c r="H131" s="2" t="s">
        <v>9132</v>
      </c>
      <c r="I131" s="2" t="s">
        <v>9133</v>
      </c>
      <c r="J131" s="2" t="b">
        <v>0</v>
      </c>
      <c r="K131" s="2" t="s">
        <v>35</v>
      </c>
      <c r="L131" s="2" t="s">
        <v>35</v>
      </c>
      <c r="M131" s="2" t="s">
        <v>35</v>
      </c>
      <c r="N131" s="3">
        <v>44707.561747453707</v>
      </c>
      <c r="O131" s="3">
        <v>44707.562393807872</v>
      </c>
      <c r="P131" s="2">
        <v>0</v>
      </c>
      <c r="Q131" s="2" t="s">
        <v>36</v>
      </c>
      <c r="R131" s="2" t="s">
        <v>2402</v>
      </c>
      <c r="S131" s="2" t="s">
        <v>35</v>
      </c>
      <c r="T131" s="2" t="s">
        <v>35</v>
      </c>
      <c r="U131" s="2" t="s">
        <v>35</v>
      </c>
      <c r="V131" s="2" t="b">
        <v>0</v>
      </c>
      <c r="W131" s="2" t="s">
        <v>35</v>
      </c>
      <c r="X131" s="2" t="s">
        <v>35</v>
      </c>
      <c r="Y131" s="2">
        <v>11</v>
      </c>
      <c r="Z131" s="2" t="s">
        <v>35</v>
      </c>
    </row>
    <row r="132" spans="1:26" x14ac:dyDescent="0.2">
      <c r="A132" s="2" t="s">
        <v>9134</v>
      </c>
      <c r="B132" s="2" t="b">
        <v>0</v>
      </c>
      <c r="C132" s="2" t="b">
        <v>0</v>
      </c>
      <c r="D132" s="2" t="b">
        <v>0</v>
      </c>
      <c r="E132" s="2" t="b">
        <v>0</v>
      </c>
      <c r="F132" s="2" t="s">
        <v>31</v>
      </c>
      <c r="G132" s="2" t="s">
        <v>149</v>
      </c>
      <c r="H132" s="2" t="s">
        <v>9135</v>
      </c>
      <c r="I132" s="2" t="s">
        <v>9136</v>
      </c>
      <c r="J132" s="2" t="b">
        <v>0</v>
      </c>
      <c r="K132" s="2" t="s">
        <v>35</v>
      </c>
      <c r="L132" s="2" t="s">
        <v>35</v>
      </c>
      <c r="M132" s="2" t="s">
        <v>35</v>
      </c>
      <c r="N132" s="3">
        <v>44707.570272268516</v>
      </c>
      <c r="O132" s="3">
        <v>44707.571476990743</v>
      </c>
      <c r="P132" s="2">
        <v>0</v>
      </c>
      <c r="Q132" s="2" t="s">
        <v>36</v>
      </c>
      <c r="R132" s="2" t="s">
        <v>2402</v>
      </c>
      <c r="S132" s="2" t="s">
        <v>35</v>
      </c>
      <c r="T132" s="2" t="s">
        <v>35</v>
      </c>
      <c r="U132" s="2" t="s">
        <v>35</v>
      </c>
      <c r="V132" s="2" t="b">
        <v>0</v>
      </c>
      <c r="W132" s="2" t="s">
        <v>35</v>
      </c>
      <c r="X132" s="2" t="s">
        <v>35</v>
      </c>
      <c r="Y132" s="2">
        <v>5</v>
      </c>
      <c r="Z132" s="2">
        <v>4</v>
      </c>
    </row>
    <row r="133" spans="1:26" x14ac:dyDescent="0.2">
      <c r="A133" s="2" t="s">
        <v>9137</v>
      </c>
      <c r="B133" s="2" t="b">
        <v>0</v>
      </c>
      <c r="C133" s="2" t="b">
        <v>0</v>
      </c>
      <c r="D133" s="2" t="b">
        <v>0</v>
      </c>
      <c r="E133" s="2" t="b">
        <v>0</v>
      </c>
      <c r="F133" s="2" t="s">
        <v>121</v>
      </c>
      <c r="G133" s="2" t="s">
        <v>149</v>
      </c>
      <c r="H133" s="2" t="s">
        <v>9138</v>
      </c>
      <c r="I133" s="2" t="s">
        <v>35</v>
      </c>
      <c r="J133" s="2" t="b">
        <v>0</v>
      </c>
      <c r="K133" s="2" t="s">
        <v>35</v>
      </c>
      <c r="L133" s="2" t="s">
        <v>35</v>
      </c>
      <c r="M133" s="2" t="s">
        <v>35</v>
      </c>
      <c r="N133" s="3">
        <v>44707.572793125</v>
      </c>
      <c r="O133" s="3">
        <v>44707.572816898151</v>
      </c>
      <c r="P133" s="2">
        <v>0</v>
      </c>
      <c r="Q133" s="2" t="s">
        <v>54</v>
      </c>
      <c r="R133" s="2" t="s">
        <v>2402</v>
      </c>
      <c r="S133" s="2" t="s">
        <v>35</v>
      </c>
      <c r="T133" s="2" t="s">
        <v>35</v>
      </c>
      <c r="U133" s="2" t="s">
        <v>35</v>
      </c>
      <c r="V133" s="2" t="b">
        <v>0</v>
      </c>
      <c r="W133" s="2" t="s">
        <v>35</v>
      </c>
      <c r="X133" s="2" t="s">
        <v>35</v>
      </c>
      <c r="Y133" s="2" t="s">
        <v>35</v>
      </c>
      <c r="Z133" s="2" t="s">
        <v>35</v>
      </c>
    </row>
    <row r="134" spans="1:26" x14ac:dyDescent="0.2">
      <c r="A134" s="2" t="s">
        <v>9139</v>
      </c>
      <c r="B134" s="2" t="b">
        <v>0</v>
      </c>
      <c r="C134" s="2" t="b">
        <v>0</v>
      </c>
      <c r="D134" s="2" t="b">
        <v>0</v>
      </c>
      <c r="E134" s="2" t="b">
        <v>0</v>
      </c>
      <c r="F134" s="2" t="s">
        <v>31</v>
      </c>
      <c r="G134" s="2" t="s">
        <v>149</v>
      </c>
      <c r="H134" s="2" t="s">
        <v>9140</v>
      </c>
      <c r="I134" s="2" t="s">
        <v>35</v>
      </c>
      <c r="J134" s="2" t="b">
        <v>0</v>
      </c>
      <c r="K134" s="2" t="s">
        <v>35</v>
      </c>
      <c r="L134" s="2">
        <v>15</v>
      </c>
      <c r="M134" s="2">
        <v>16</v>
      </c>
      <c r="N134" s="3">
        <v>44707.57308884259</v>
      </c>
      <c r="O134" s="3">
        <v>44707.574543969909</v>
      </c>
      <c r="P134" s="2">
        <v>0</v>
      </c>
      <c r="Q134" s="2" t="s">
        <v>54</v>
      </c>
      <c r="R134" s="2" t="s">
        <v>2402</v>
      </c>
      <c r="S134" s="2" t="s">
        <v>35</v>
      </c>
      <c r="T134" s="2" t="s">
        <v>35</v>
      </c>
      <c r="U134" s="2" t="s">
        <v>35</v>
      </c>
      <c r="V134" s="2" t="b">
        <v>0</v>
      </c>
      <c r="W134" s="2" t="s">
        <v>35</v>
      </c>
      <c r="X134" s="2" t="s">
        <v>35</v>
      </c>
      <c r="Y134" s="2" t="s">
        <v>35</v>
      </c>
      <c r="Z134" s="2" t="s">
        <v>35</v>
      </c>
    </row>
    <row r="135" spans="1:26" x14ac:dyDescent="0.2">
      <c r="A135" s="2" t="s">
        <v>9141</v>
      </c>
      <c r="B135" s="2" t="b">
        <v>0</v>
      </c>
      <c r="C135" s="2" t="b">
        <v>0</v>
      </c>
      <c r="D135" s="2" t="b">
        <v>0</v>
      </c>
      <c r="E135" s="2" t="b">
        <v>0</v>
      </c>
      <c r="F135" s="2" t="s">
        <v>121</v>
      </c>
      <c r="G135" s="2" t="s">
        <v>149</v>
      </c>
      <c r="H135" s="2" t="s">
        <v>9142</v>
      </c>
      <c r="I135" s="2" t="s">
        <v>35</v>
      </c>
      <c r="J135" s="2" t="b">
        <v>0</v>
      </c>
      <c r="K135" s="2" t="s">
        <v>35</v>
      </c>
      <c r="L135" s="2" t="s">
        <v>35</v>
      </c>
      <c r="M135" s="2" t="s">
        <v>35</v>
      </c>
      <c r="N135" s="3">
        <v>44707.574697858799</v>
      </c>
      <c r="O135" s="3">
        <v>44707.574815972221</v>
      </c>
      <c r="P135" s="2">
        <v>0</v>
      </c>
      <c r="Q135" s="2" t="s">
        <v>35</v>
      </c>
      <c r="R135" s="2" t="s">
        <v>2402</v>
      </c>
      <c r="S135" s="2" t="s">
        <v>35</v>
      </c>
      <c r="T135" s="2" t="s">
        <v>35</v>
      </c>
      <c r="U135" s="2" t="s">
        <v>35</v>
      </c>
      <c r="V135" s="2" t="b">
        <v>0</v>
      </c>
      <c r="W135" s="2" t="s">
        <v>35</v>
      </c>
      <c r="X135" s="2" t="s">
        <v>35</v>
      </c>
      <c r="Y135" s="2" t="s">
        <v>35</v>
      </c>
      <c r="Z135" s="2" t="s">
        <v>35</v>
      </c>
    </row>
    <row r="136" spans="1:26" x14ac:dyDescent="0.2">
      <c r="A136" s="2" t="s">
        <v>9143</v>
      </c>
      <c r="B136" s="2" t="b">
        <v>0</v>
      </c>
      <c r="C136" s="2" t="b">
        <v>0</v>
      </c>
      <c r="D136" s="2" t="b">
        <v>0</v>
      </c>
      <c r="E136" s="2" t="b">
        <v>0</v>
      </c>
      <c r="F136" s="2" t="s">
        <v>31</v>
      </c>
      <c r="G136" s="2" t="s">
        <v>149</v>
      </c>
      <c r="H136" s="2" t="s">
        <v>9144</v>
      </c>
      <c r="I136" s="2" t="s">
        <v>9145</v>
      </c>
      <c r="J136" s="2" t="b">
        <v>0</v>
      </c>
      <c r="K136" s="2" t="s">
        <v>35</v>
      </c>
      <c r="L136" s="2" t="s">
        <v>35</v>
      </c>
      <c r="M136" s="2" t="s">
        <v>35</v>
      </c>
      <c r="N136" s="3">
        <v>44707.577259502315</v>
      </c>
      <c r="O136" s="3">
        <v>44707.578219629628</v>
      </c>
      <c r="P136" s="2">
        <v>0</v>
      </c>
      <c r="Q136" s="2" t="s">
        <v>36</v>
      </c>
      <c r="R136" s="2" t="s">
        <v>2402</v>
      </c>
      <c r="S136" s="2" t="s">
        <v>35</v>
      </c>
      <c r="T136" s="2" t="s">
        <v>35</v>
      </c>
      <c r="U136" s="2" t="s">
        <v>35</v>
      </c>
      <c r="V136" s="2" t="b">
        <v>0</v>
      </c>
      <c r="W136" s="2" t="s">
        <v>9146</v>
      </c>
      <c r="X136" s="2" t="s">
        <v>35</v>
      </c>
      <c r="Y136" s="2">
        <v>4</v>
      </c>
      <c r="Z136" s="2" t="s">
        <v>35</v>
      </c>
    </row>
    <row r="137" spans="1:26" x14ac:dyDescent="0.2">
      <c r="A137" s="2" t="s">
        <v>9147</v>
      </c>
      <c r="B137" s="2" t="b">
        <v>0</v>
      </c>
      <c r="C137" s="2" t="b">
        <v>0</v>
      </c>
      <c r="D137" s="2" t="b">
        <v>0</v>
      </c>
      <c r="E137" s="2" t="b">
        <v>0</v>
      </c>
      <c r="F137" s="2" t="s">
        <v>31</v>
      </c>
      <c r="G137" s="2" t="s">
        <v>149</v>
      </c>
      <c r="H137" s="2" t="s">
        <v>9148</v>
      </c>
      <c r="I137" s="2" t="s">
        <v>9133</v>
      </c>
      <c r="J137" s="2" t="b">
        <v>0</v>
      </c>
      <c r="K137" s="2" t="s">
        <v>35</v>
      </c>
      <c r="L137" s="2" t="s">
        <v>35</v>
      </c>
      <c r="M137" s="2">
        <v>0</v>
      </c>
      <c r="N137" s="3">
        <v>44707.579716990738</v>
      </c>
      <c r="O137" s="3">
        <v>44707.581742731483</v>
      </c>
      <c r="P137" s="2">
        <v>0</v>
      </c>
      <c r="Q137" s="2" t="s">
        <v>36</v>
      </c>
      <c r="R137" s="2" t="s">
        <v>2402</v>
      </c>
      <c r="S137" s="2" t="s">
        <v>35</v>
      </c>
      <c r="T137" s="2" t="s">
        <v>35</v>
      </c>
      <c r="U137" s="2" t="s">
        <v>35</v>
      </c>
      <c r="V137" s="2" t="b">
        <v>0</v>
      </c>
      <c r="W137" s="2" t="s">
        <v>35</v>
      </c>
      <c r="X137" s="2" t="s">
        <v>35</v>
      </c>
      <c r="Y137" s="2">
        <v>6</v>
      </c>
      <c r="Z137" s="2" t="s">
        <v>35</v>
      </c>
    </row>
    <row r="138" spans="1:26" x14ac:dyDescent="0.2">
      <c r="A138" s="2" t="s">
        <v>9149</v>
      </c>
      <c r="B138" s="2" t="b">
        <v>0</v>
      </c>
      <c r="C138" s="2" t="b">
        <v>0</v>
      </c>
      <c r="D138" s="2" t="b">
        <v>0</v>
      </c>
      <c r="E138" s="2" t="b">
        <v>0</v>
      </c>
      <c r="F138" s="2" t="s">
        <v>31</v>
      </c>
      <c r="G138" s="2" t="s">
        <v>149</v>
      </c>
      <c r="H138" s="2" t="s">
        <v>9150</v>
      </c>
      <c r="I138" s="2" t="s">
        <v>9151</v>
      </c>
      <c r="J138" s="2" t="b">
        <v>0</v>
      </c>
      <c r="K138" s="2" t="s">
        <v>35</v>
      </c>
      <c r="L138" s="2" t="s">
        <v>35</v>
      </c>
      <c r="M138" s="2" t="s">
        <v>35</v>
      </c>
      <c r="N138" s="3">
        <v>44707.584701527776</v>
      </c>
      <c r="O138" s="3">
        <v>44707.585293993056</v>
      </c>
      <c r="P138" s="2">
        <v>0</v>
      </c>
      <c r="Q138" s="2" t="s">
        <v>36</v>
      </c>
      <c r="R138" s="2" t="s">
        <v>2402</v>
      </c>
      <c r="S138" s="2" t="s">
        <v>35</v>
      </c>
      <c r="T138" s="2" t="s">
        <v>35</v>
      </c>
      <c r="U138" s="2" t="s">
        <v>35</v>
      </c>
      <c r="V138" s="2" t="b">
        <v>0</v>
      </c>
      <c r="W138" s="2" t="s">
        <v>35</v>
      </c>
      <c r="X138" s="2" t="s">
        <v>35</v>
      </c>
      <c r="Y138" s="2">
        <v>7</v>
      </c>
      <c r="Z138" s="2" t="s">
        <v>35</v>
      </c>
    </row>
    <row r="139" spans="1:26" x14ac:dyDescent="0.2">
      <c r="A139" s="2" t="s">
        <v>9152</v>
      </c>
      <c r="B139" s="2" t="b">
        <v>0</v>
      </c>
      <c r="C139" s="2" t="b">
        <v>0</v>
      </c>
      <c r="D139" s="2" t="b">
        <v>0</v>
      </c>
      <c r="E139" s="2" t="b">
        <v>0</v>
      </c>
      <c r="F139" s="2" t="s">
        <v>121</v>
      </c>
      <c r="G139" s="2" t="s">
        <v>9153</v>
      </c>
      <c r="H139" s="2" t="s">
        <v>9154</v>
      </c>
      <c r="I139" s="2" t="s">
        <v>35</v>
      </c>
      <c r="J139" s="2" t="b">
        <v>0</v>
      </c>
      <c r="K139" s="2" t="s">
        <v>35</v>
      </c>
      <c r="L139" s="2" t="s">
        <v>35</v>
      </c>
      <c r="M139" s="2" t="s">
        <v>35</v>
      </c>
      <c r="N139" s="3">
        <v>44711.40760525463</v>
      </c>
      <c r="O139" s="3">
        <v>44711.408072951388</v>
      </c>
      <c r="P139" s="2">
        <v>0</v>
      </c>
      <c r="Q139" s="2" t="s">
        <v>2005</v>
      </c>
      <c r="R139" s="2" t="s">
        <v>38</v>
      </c>
      <c r="S139" s="2" t="s">
        <v>35</v>
      </c>
      <c r="T139" s="2" t="s">
        <v>35</v>
      </c>
      <c r="U139" s="2" t="s">
        <v>35</v>
      </c>
      <c r="V139" s="2" t="b">
        <v>0</v>
      </c>
      <c r="W139" s="2" t="s">
        <v>35</v>
      </c>
      <c r="X139" s="2" t="s">
        <v>35</v>
      </c>
      <c r="Y139" s="2" t="s">
        <v>35</v>
      </c>
      <c r="Z139" s="2" t="s">
        <v>35</v>
      </c>
    </row>
    <row r="140" spans="1:26" x14ac:dyDescent="0.2">
      <c r="A140" s="2" t="s">
        <v>9155</v>
      </c>
      <c r="B140" s="2" t="b">
        <v>0</v>
      </c>
      <c r="C140" s="2" t="b">
        <v>0</v>
      </c>
      <c r="D140" s="2" t="b">
        <v>0</v>
      </c>
      <c r="E140" s="2" t="b">
        <v>0</v>
      </c>
      <c r="F140" s="2" t="s">
        <v>31</v>
      </c>
      <c r="G140" s="2" t="s">
        <v>149</v>
      </c>
      <c r="H140" s="2" t="s">
        <v>9156</v>
      </c>
      <c r="I140" s="2" t="s">
        <v>35</v>
      </c>
      <c r="J140" s="2" t="b">
        <v>0</v>
      </c>
      <c r="K140" s="2" t="s">
        <v>35</v>
      </c>
      <c r="L140" s="2" t="s">
        <v>35</v>
      </c>
      <c r="M140" s="2" t="s">
        <v>35</v>
      </c>
      <c r="N140" s="3">
        <v>44711.53769837963</v>
      </c>
      <c r="O140" s="3">
        <v>44711.541640347219</v>
      </c>
      <c r="P140" s="2">
        <v>0</v>
      </c>
      <c r="Q140" s="2" t="s">
        <v>36</v>
      </c>
      <c r="R140" s="2" t="s">
        <v>8908</v>
      </c>
      <c r="S140" s="2" t="s">
        <v>35</v>
      </c>
      <c r="T140" s="2" t="s">
        <v>35</v>
      </c>
      <c r="U140" s="2" t="s">
        <v>35</v>
      </c>
      <c r="V140" s="2" t="b">
        <v>0</v>
      </c>
      <c r="W140" s="2" t="s">
        <v>35</v>
      </c>
      <c r="X140" s="2">
        <v>15</v>
      </c>
      <c r="Y140" s="2">
        <v>6</v>
      </c>
      <c r="Z140" s="2">
        <v>2</v>
      </c>
    </row>
    <row r="141" spans="1:26" x14ac:dyDescent="0.2">
      <c r="A141" s="2" t="s">
        <v>9157</v>
      </c>
      <c r="B141" s="2" t="b">
        <v>0</v>
      </c>
      <c r="C141" s="2" t="b">
        <v>0</v>
      </c>
      <c r="D141" s="2" t="b">
        <v>0</v>
      </c>
      <c r="E141" s="2" t="b">
        <v>0</v>
      </c>
      <c r="F141" s="2" t="s">
        <v>121</v>
      </c>
      <c r="G141" s="2" t="s">
        <v>149</v>
      </c>
      <c r="H141" s="2" t="s">
        <v>9158</v>
      </c>
      <c r="I141" s="2" t="s">
        <v>35</v>
      </c>
      <c r="J141" s="2" t="b">
        <v>0</v>
      </c>
      <c r="K141" s="2" t="s">
        <v>35</v>
      </c>
      <c r="L141" s="2" t="s">
        <v>35</v>
      </c>
      <c r="M141" s="2" t="s">
        <v>35</v>
      </c>
      <c r="N141" s="3">
        <v>44711.542801041665</v>
      </c>
      <c r="O141" s="3">
        <v>44711.542888449076</v>
      </c>
      <c r="P141" s="2">
        <v>0</v>
      </c>
      <c r="Q141" s="2" t="s">
        <v>416</v>
      </c>
      <c r="R141" s="2" t="s">
        <v>8908</v>
      </c>
      <c r="S141" s="2" t="s">
        <v>35</v>
      </c>
      <c r="T141" s="2" t="s">
        <v>35</v>
      </c>
      <c r="U141" s="2" t="s">
        <v>35</v>
      </c>
      <c r="V141" s="2" t="b">
        <v>0</v>
      </c>
      <c r="W141" s="2" t="s">
        <v>35</v>
      </c>
      <c r="X141" s="2" t="s">
        <v>35</v>
      </c>
      <c r="Y141" s="2" t="s">
        <v>35</v>
      </c>
      <c r="Z141" s="2" t="s">
        <v>35</v>
      </c>
    </row>
    <row r="142" spans="1:26" x14ac:dyDescent="0.2">
      <c r="A142" s="2" t="s">
        <v>9159</v>
      </c>
      <c r="B142" s="2" t="b">
        <v>0</v>
      </c>
      <c r="C142" s="2" t="b">
        <v>0</v>
      </c>
      <c r="D142" s="2" t="b">
        <v>0</v>
      </c>
      <c r="E142" s="2" t="b">
        <v>0</v>
      </c>
      <c r="F142" s="2" t="s">
        <v>31</v>
      </c>
      <c r="G142" s="2" t="s">
        <v>9160</v>
      </c>
      <c r="H142" s="2" t="s">
        <v>9161</v>
      </c>
      <c r="I142" s="2" t="s">
        <v>9162</v>
      </c>
      <c r="J142" s="2" t="b">
        <v>0</v>
      </c>
      <c r="K142" s="2" t="s">
        <v>35</v>
      </c>
      <c r="L142" s="2" t="s">
        <v>35</v>
      </c>
      <c r="M142" s="2" t="s">
        <v>35</v>
      </c>
      <c r="N142" s="3">
        <v>44711.752691134257</v>
      </c>
      <c r="O142" s="3">
        <v>44711.75425578704</v>
      </c>
      <c r="P142" s="2">
        <v>0</v>
      </c>
      <c r="Q142" s="2" t="s">
        <v>36</v>
      </c>
      <c r="R142" s="2" t="s">
        <v>38</v>
      </c>
      <c r="S142" s="2" t="s">
        <v>35</v>
      </c>
      <c r="T142" s="2" t="s">
        <v>35</v>
      </c>
      <c r="U142" s="2" t="s">
        <v>35</v>
      </c>
      <c r="V142" s="2" t="b">
        <v>0</v>
      </c>
      <c r="W142" s="2" t="s">
        <v>35</v>
      </c>
      <c r="X142" s="2" t="s">
        <v>35</v>
      </c>
      <c r="Y142" s="2">
        <v>6</v>
      </c>
      <c r="Z142" s="2">
        <v>1</v>
      </c>
    </row>
    <row r="143" spans="1:26" x14ac:dyDescent="0.2">
      <c r="A143" s="2" t="s">
        <v>9163</v>
      </c>
      <c r="B143" s="2" t="b">
        <v>0</v>
      </c>
      <c r="C143" s="2" t="b">
        <v>0</v>
      </c>
      <c r="D143" s="2" t="b">
        <v>0</v>
      </c>
      <c r="E143" s="2" t="b">
        <v>0</v>
      </c>
      <c r="F143" s="2" t="s">
        <v>31</v>
      </c>
      <c r="G143" s="2" t="s">
        <v>9164</v>
      </c>
      <c r="H143" s="2" t="s">
        <v>9165</v>
      </c>
      <c r="I143" s="2" t="s">
        <v>9162</v>
      </c>
      <c r="J143" s="2" t="b">
        <v>0</v>
      </c>
      <c r="K143" s="2" t="s">
        <v>35</v>
      </c>
      <c r="L143" s="2" t="s">
        <v>35</v>
      </c>
      <c r="M143" s="2" t="s">
        <v>35</v>
      </c>
      <c r="N143" s="3">
        <v>44711.754397337965</v>
      </c>
      <c r="O143" s="3">
        <v>44711.755178217594</v>
      </c>
      <c r="P143" s="2">
        <v>0</v>
      </c>
      <c r="Q143" s="2" t="s">
        <v>36</v>
      </c>
      <c r="R143" s="2" t="s">
        <v>38</v>
      </c>
      <c r="S143" s="2" t="s">
        <v>35</v>
      </c>
      <c r="T143" s="2" t="s">
        <v>35</v>
      </c>
      <c r="U143" s="2" t="s">
        <v>35</v>
      </c>
      <c r="V143" s="2" t="b">
        <v>0</v>
      </c>
      <c r="W143" s="2" t="s">
        <v>35</v>
      </c>
      <c r="X143" s="2" t="s">
        <v>35</v>
      </c>
      <c r="Y143" s="2">
        <v>6</v>
      </c>
      <c r="Z143" s="2">
        <v>1</v>
      </c>
    </row>
    <row r="144" spans="1:26" x14ac:dyDescent="0.2">
      <c r="A144" s="2" t="s">
        <v>9166</v>
      </c>
      <c r="B144" s="2" t="b">
        <v>0</v>
      </c>
      <c r="C144" s="2" t="b">
        <v>0</v>
      </c>
      <c r="D144" s="2" t="b">
        <v>0</v>
      </c>
      <c r="E144" s="2" t="b">
        <v>0</v>
      </c>
      <c r="F144" s="2" t="s">
        <v>121</v>
      </c>
      <c r="G144" s="2" t="s">
        <v>149</v>
      </c>
      <c r="H144" s="2" t="s">
        <v>35</v>
      </c>
      <c r="I144" s="2" t="s">
        <v>35</v>
      </c>
      <c r="J144" s="2" t="b">
        <v>0</v>
      </c>
      <c r="K144" s="2" t="s">
        <v>35</v>
      </c>
      <c r="L144" s="2" t="s">
        <v>35</v>
      </c>
      <c r="M144" s="2" t="s">
        <v>35</v>
      </c>
      <c r="N144" s="3">
        <v>44711.755229490744</v>
      </c>
      <c r="O144" s="3">
        <v>44711.755229537041</v>
      </c>
      <c r="P144" s="2">
        <v>0</v>
      </c>
      <c r="Q144" s="2" t="s">
        <v>35</v>
      </c>
      <c r="R144" s="2" t="s">
        <v>38</v>
      </c>
      <c r="S144" s="2" t="s">
        <v>35</v>
      </c>
      <c r="T144" s="2" t="s">
        <v>35</v>
      </c>
      <c r="U144" s="2" t="s">
        <v>35</v>
      </c>
      <c r="V144" s="2" t="b">
        <v>0</v>
      </c>
      <c r="W144" s="2" t="s">
        <v>35</v>
      </c>
      <c r="X144" s="2" t="s">
        <v>35</v>
      </c>
      <c r="Y144" s="2" t="s">
        <v>35</v>
      </c>
      <c r="Z144" s="2" t="s">
        <v>35</v>
      </c>
    </row>
    <row r="145" spans="1:26" x14ac:dyDescent="0.2">
      <c r="A145" s="2" t="s">
        <v>9167</v>
      </c>
      <c r="B145" s="2" t="b">
        <v>0</v>
      </c>
      <c r="C145" s="2" t="b">
        <v>0</v>
      </c>
      <c r="D145" s="2" t="b">
        <v>0</v>
      </c>
      <c r="E145" s="2" t="b">
        <v>0</v>
      </c>
      <c r="F145" s="2" t="s">
        <v>31</v>
      </c>
      <c r="G145" s="2" t="s">
        <v>9168</v>
      </c>
      <c r="H145" s="2" t="s">
        <v>9169</v>
      </c>
      <c r="I145" s="2" t="s">
        <v>9170</v>
      </c>
      <c r="J145" s="2" t="s">
        <v>35</v>
      </c>
      <c r="K145" s="2" t="s">
        <v>35</v>
      </c>
      <c r="L145" s="2" t="s">
        <v>35</v>
      </c>
      <c r="M145" s="2" t="s">
        <v>35</v>
      </c>
      <c r="N145" s="3">
        <v>44712.540060405096</v>
      </c>
      <c r="O145" s="3">
        <v>44712.541010810186</v>
      </c>
      <c r="P145" s="2">
        <v>0</v>
      </c>
      <c r="Q145" s="2" t="s">
        <v>2380</v>
      </c>
      <c r="R145" s="2" t="s">
        <v>8908</v>
      </c>
      <c r="S145" s="2" t="s">
        <v>35</v>
      </c>
      <c r="T145" s="2">
        <v>250</v>
      </c>
      <c r="U145" s="2" t="s">
        <v>35</v>
      </c>
      <c r="V145" s="2" t="b">
        <v>0</v>
      </c>
      <c r="W145" s="2" t="s">
        <v>35</v>
      </c>
      <c r="X145" s="2" t="s">
        <v>35</v>
      </c>
      <c r="Y145" s="2" t="s">
        <v>35</v>
      </c>
      <c r="Z145" s="2" t="s">
        <v>35</v>
      </c>
    </row>
    <row r="146" spans="1:26" x14ac:dyDescent="0.2">
      <c r="A146" s="2" t="s">
        <v>9171</v>
      </c>
      <c r="B146" s="2" t="b">
        <v>0</v>
      </c>
      <c r="C146" s="2" t="b">
        <v>0</v>
      </c>
      <c r="D146" s="2" t="b">
        <v>0</v>
      </c>
      <c r="E146" s="2" t="b">
        <v>0</v>
      </c>
      <c r="F146" s="2" t="s">
        <v>31</v>
      </c>
      <c r="G146" s="2" t="s">
        <v>149</v>
      </c>
      <c r="H146" s="2" t="s">
        <v>9172</v>
      </c>
      <c r="I146" s="2" t="s">
        <v>9173</v>
      </c>
      <c r="J146" s="2" t="s">
        <v>35</v>
      </c>
      <c r="K146" s="2" t="s">
        <v>35</v>
      </c>
      <c r="L146" s="2" t="s">
        <v>35</v>
      </c>
      <c r="M146" s="2" t="s">
        <v>35</v>
      </c>
      <c r="N146" s="3">
        <v>44712.541424976851</v>
      </c>
      <c r="O146" s="3">
        <v>44712.542694780095</v>
      </c>
      <c r="P146" s="2">
        <v>0</v>
      </c>
      <c r="Q146" s="2" t="s">
        <v>36</v>
      </c>
      <c r="R146" s="2" t="s">
        <v>8908</v>
      </c>
      <c r="S146" s="2" t="s">
        <v>35</v>
      </c>
      <c r="T146" s="2" t="s">
        <v>35</v>
      </c>
      <c r="U146" s="2" t="s">
        <v>35</v>
      </c>
      <c r="V146" s="2" t="b">
        <v>0</v>
      </c>
      <c r="W146" s="2" t="s">
        <v>9174</v>
      </c>
      <c r="X146" s="2">
        <v>450</v>
      </c>
      <c r="Y146" s="2">
        <v>2</v>
      </c>
      <c r="Z146" s="2">
        <v>2</v>
      </c>
    </row>
    <row r="147" spans="1:26" x14ac:dyDescent="0.2">
      <c r="A147" s="2" t="s">
        <v>9175</v>
      </c>
      <c r="B147" s="2" t="b">
        <v>0</v>
      </c>
      <c r="C147" s="2" t="b">
        <v>0</v>
      </c>
      <c r="D147" s="2" t="b">
        <v>0</v>
      </c>
      <c r="E147" s="2" t="b">
        <v>0</v>
      </c>
      <c r="F147" s="2" t="s">
        <v>121</v>
      </c>
      <c r="G147" s="2" t="s">
        <v>149</v>
      </c>
      <c r="H147" s="2" t="s">
        <v>9176</v>
      </c>
      <c r="I147" s="2" t="s">
        <v>35</v>
      </c>
      <c r="J147" s="2" t="b">
        <v>0</v>
      </c>
      <c r="K147" s="2" t="s">
        <v>35</v>
      </c>
      <c r="L147" s="2" t="s">
        <v>35</v>
      </c>
      <c r="M147" s="2" t="s">
        <v>35</v>
      </c>
      <c r="N147" s="3">
        <v>44712.574203622687</v>
      </c>
      <c r="O147" s="3">
        <v>44712.574231261577</v>
      </c>
      <c r="P147" s="2">
        <v>0</v>
      </c>
      <c r="Q147" s="2" t="s">
        <v>109</v>
      </c>
      <c r="R147" s="2" t="s">
        <v>2402</v>
      </c>
      <c r="S147" s="2" t="s">
        <v>35</v>
      </c>
      <c r="T147" s="2" t="s">
        <v>35</v>
      </c>
      <c r="U147" s="2" t="s">
        <v>35</v>
      </c>
      <c r="V147" s="2" t="b">
        <v>0</v>
      </c>
      <c r="W147" s="2" t="s">
        <v>35</v>
      </c>
      <c r="X147" s="2" t="s">
        <v>35</v>
      </c>
      <c r="Y147" s="2" t="s">
        <v>35</v>
      </c>
      <c r="Z147" s="2" t="s">
        <v>35</v>
      </c>
    </row>
    <row r="148" spans="1:26" x14ac:dyDescent="0.2">
      <c r="A148" s="2" t="s">
        <v>9177</v>
      </c>
      <c r="B148" s="2" t="b">
        <v>0</v>
      </c>
      <c r="C148" s="2" t="b">
        <v>0</v>
      </c>
      <c r="D148" s="2" t="b">
        <v>0</v>
      </c>
      <c r="E148" s="2" t="b">
        <v>0</v>
      </c>
      <c r="F148" s="2" t="s">
        <v>121</v>
      </c>
      <c r="G148" s="2" t="s">
        <v>149</v>
      </c>
      <c r="H148" s="2" t="s">
        <v>35</v>
      </c>
      <c r="I148" s="2" t="s">
        <v>35</v>
      </c>
      <c r="J148" s="2" t="b">
        <v>0</v>
      </c>
      <c r="K148" s="2" t="s">
        <v>35</v>
      </c>
      <c r="L148" s="2" t="s">
        <v>35</v>
      </c>
      <c r="M148" s="2" t="s">
        <v>35</v>
      </c>
      <c r="N148" s="3">
        <v>44712.574702233796</v>
      </c>
      <c r="O148" s="3">
        <v>44712.574720613426</v>
      </c>
      <c r="P148" s="2">
        <v>0</v>
      </c>
      <c r="Q148" s="2" t="s">
        <v>109</v>
      </c>
      <c r="R148" s="2" t="s">
        <v>2402</v>
      </c>
      <c r="S148" s="2" t="s">
        <v>35</v>
      </c>
      <c r="T148" s="2" t="s">
        <v>35</v>
      </c>
      <c r="U148" s="2" t="s">
        <v>35</v>
      </c>
      <c r="V148" s="2" t="b">
        <v>0</v>
      </c>
      <c r="W148" s="2" t="s">
        <v>35</v>
      </c>
      <c r="X148" s="2" t="s">
        <v>35</v>
      </c>
      <c r="Y148" s="2" t="s">
        <v>35</v>
      </c>
      <c r="Z148" s="2" t="s">
        <v>35</v>
      </c>
    </row>
    <row r="149" spans="1:26" x14ac:dyDescent="0.2">
      <c r="A149" s="2" t="s">
        <v>9178</v>
      </c>
      <c r="B149" s="2" t="b">
        <v>0</v>
      </c>
      <c r="C149" s="2" t="b">
        <v>0</v>
      </c>
      <c r="D149" s="2" t="b">
        <v>0</v>
      </c>
      <c r="E149" s="2" t="b">
        <v>0</v>
      </c>
      <c r="F149" s="2" t="s">
        <v>121</v>
      </c>
      <c r="G149" s="2" t="s">
        <v>149</v>
      </c>
      <c r="H149" s="2" t="s">
        <v>35</v>
      </c>
      <c r="I149" s="2" t="s">
        <v>35</v>
      </c>
      <c r="J149" s="2" t="b">
        <v>0</v>
      </c>
      <c r="K149" s="2" t="s">
        <v>35</v>
      </c>
      <c r="L149" s="2" t="s">
        <v>35</v>
      </c>
      <c r="M149" s="2" t="s">
        <v>35</v>
      </c>
      <c r="N149" s="3">
        <v>44712.574891041666</v>
      </c>
      <c r="O149" s="3">
        <v>44712.574908483795</v>
      </c>
      <c r="P149" s="2">
        <v>0</v>
      </c>
      <c r="Q149" s="2" t="s">
        <v>109</v>
      </c>
      <c r="R149" s="2" t="s">
        <v>2402</v>
      </c>
      <c r="S149" s="2" t="s">
        <v>35</v>
      </c>
      <c r="T149" s="2" t="s">
        <v>35</v>
      </c>
      <c r="U149" s="2" t="s">
        <v>35</v>
      </c>
      <c r="V149" s="2" t="b">
        <v>0</v>
      </c>
      <c r="W149" s="2" t="s">
        <v>35</v>
      </c>
      <c r="X149" s="2" t="s">
        <v>35</v>
      </c>
      <c r="Y149" s="2" t="s">
        <v>35</v>
      </c>
      <c r="Z149" s="2" t="s">
        <v>35</v>
      </c>
    </row>
    <row r="150" spans="1:26" x14ac:dyDescent="0.2">
      <c r="A150" s="2" t="s">
        <v>9179</v>
      </c>
      <c r="B150" s="2" t="b">
        <v>0</v>
      </c>
      <c r="C150" s="2" t="b">
        <v>0</v>
      </c>
      <c r="D150" s="2" t="b">
        <v>0</v>
      </c>
      <c r="E150" s="2" t="b">
        <v>0</v>
      </c>
      <c r="F150" s="2" t="s">
        <v>31</v>
      </c>
      <c r="G150" s="2" t="s">
        <v>149</v>
      </c>
      <c r="H150" s="2" t="s">
        <v>9180</v>
      </c>
      <c r="I150" s="2" t="s">
        <v>35</v>
      </c>
      <c r="J150" s="2" t="s">
        <v>35</v>
      </c>
      <c r="K150" s="2" t="s">
        <v>35</v>
      </c>
      <c r="L150" s="2" t="s">
        <v>35</v>
      </c>
      <c r="M150" s="2" t="s">
        <v>35</v>
      </c>
      <c r="N150" s="3">
        <v>44712.583873113428</v>
      </c>
      <c r="O150" s="3">
        <v>44712.609886539351</v>
      </c>
      <c r="P150" s="2">
        <v>0</v>
      </c>
      <c r="Q150" s="2" t="s">
        <v>36</v>
      </c>
      <c r="R150" s="2" t="s">
        <v>8908</v>
      </c>
      <c r="S150" s="2" t="s">
        <v>35</v>
      </c>
      <c r="T150" s="2" t="s">
        <v>35</v>
      </c>
      <c r="U150" s="2" t="s">
        <v>35</v>
      </c>
      <c r="V150" s="2" t="b">
        <v>0</v>
      </c>
      <c r="W150" s="2" t="s">
        <v>35</v>
      </c>
      <c r="X150" s="2" t="s">
        <v>35</v>
      </c>
      <c r="Y150" s="2" t="s">
        <v>35</v>
      </c>
      <c r="Z150" s="2" t="s">
        <v>35</v>
      </c>
    </row>
    <row r="151" spans="1:26" x14ac:dyDescent="0.2">
      <c r="A151" s="2" t="s">
        <v>9181</v>
      </c>
      <c r="B151" s="2" t="b">
        <v>0</v>
      </c>
      <c r="C151" s="2" t="b">
        <v>0</v>
      </c>
      <c r="D151" s="2" t="b">
        <v>0</v>
      </c>
      <c r="E151" s="2" t="b">
        <v>0</v>
      </c>
      <c r="F151" s="2" t="s">
        <v>121</v>
      </c>
      <c r="G151" s="2" t="s">
        <v>149</v>
      </c>
      <c r="H151" s="2" t="s">
        <v>9182</v>
      </c>
      <c r="I151" s="2" t="s">
        <v>35</v>
      </c>
      <c r="J151" s="2" t="s">
        <v>35</v>
      </c>
      <c r="K151" s="2" t="s">
        <v>35</v>
      </c>
      <c r="L151" s="2" t="s">
        <v>35</v>
      </c>
      <c r="M151" s="2" t="s">
        <v>35</v>
      </c>
      <c r="N151" s="3">
        <v>44719.558169166667</v>
      </c>
      <c r="O151" s="3">
        <v>44719.558169976852</v>
      </c>
      <c r="P151" s="2">
        <v>0</v>
      </c>
      <c r="Q151" s="2" t="s">
        <v>35</v>
      </c>
      <c r="R151" s="2" t="s">
        <v>2402</v>
      </c>
      <c r="S151" s="2" t="s">
        <v>35</v>
      </c>
      <c r="T151" s="2" t="s">
        <v>35</v>
      </c>
      <c r="U151" s="2" t="s">
        <v>35</v>
      </c>
      <c r="V151" s="2" t="b">
        <v>0</v>
      </c>
      <c r="W151" s="2" t="s">
        <v>35</v>
      </c>
      <c r="X151" s="2" t="s">
        <v>35</v>
      </c>
      <c r="Y151" s="2" t="s">
        <v>35</v>
      </c>
      <c r="Z151" s="2" t="s">
        <v>35</v>
      </c>
    </row>
    <row r="152" spans="1:26" x14ac:dyDescent="0.2">
      <c r="A152" s="2" t="s">
        <v>9183</v>
      </c>
      <c r="B152" s="2" t="b">
        <v>0</v>
      </c>
      <c r="C152" s="2" t="b">
        <v>0</v>
      </c>
      <c r="D152" s="2" t="b">
        <v>0</v>
      </c>
      <c r="E152" s="2" t="b">
        <v>0</v>
      </c>
      <c r="F152" s="2" t="s">
        <v>121</v>
      </c>
      <c r="G152" s="2" t="s">
        <v>149</v>
      </c>
      <c r="H152" s="2" t="s">
        <v>9182</v>
      </c>
      <c r="I152" s="2" t="s">
        <v>35</v>
      </c>
      <c r="J152" s="2" t="s">
        <v>35</v>
      </c>
      <c r="K152" s="2" t="s">
        <v>35</v>
      </c>
      <c r="L152" s="2" t="s">
        <v>35</v>
      </c>
      <c r="M152" s="2" t="s">
        <v>35</v>
      </c>
      <c r="N152" s="3">
        <v>44719.55817142361</v>
      </c>
      <c r="O152" s="3">
        <v>44719.558306377316</v>
      </c>
      <c r="P152" s="2">
        <v>0</v>
      </c>
      <c r="Q152" s="2" t="s">
        <v>109</v>
      </c>
      <c r="R152" s="2" t="s">
        <v>2402</v>
      </c>
      <c r="S152" s="2" t="s">
        <v>35</v>
      </c>
      <c r="T152" s="2" t="s">
        <v>35</v>
      </c>
      <c r="U152" s="2" t="s">
        <v>35</v>
      </c>
      <c r="V152" s="2" t="b">
        <v>0</v>
      </c>
      <c r="W152" s="2" t="s">
        <v>35</v>
      </c>
      <c r="X152" s="2" t="s">
        <v>35</v>
      </c>
      <c r="Y152" s="2" t="s">
        <v>35</v>
      </c>
      <c r="Z152" s="2" t="s">
        <v>35</v>
      </c>
    </row>
    <row r="153" spans="1:26" x14ac:dyDescent="0.2">
      <c r="A153" s="2" t="s">
        <v>9184</v>
      </c>
      <c r="B153" s="2" t="b">
        <v>0</v>
      </c>
      <c r="C153" s="2" t="b">
        <v>0</v>
      </c>
      <c r="D153" s="2" t="b">
        <v>0</v>
      </c>
      <c r="E153" s="2" t="b">
        <v>0</v>
      </c>
      <c r="F153" s="2" t="s">
        <v>31</v>
      </c>
      <c r="G153" s="2" t="s">
        <v>149</v>
      </c>
      <c r="H153" s="2" t="s">
        <v>9185</v>
      </c>
      <c r="I153" s="2" t="s">
        <v>9186</v>
      </c>
      <c r="J153" s="2" t="s">
        <v>35</v>
      </c>
      <c r="K153" s="2" t="s">
        <v>35</v>
      </c>
      <c r="L153" s="2" t="s">
        <v>35</v>
      </c>
      <c r="M153" s="2" t="s">
        <v>35</v>
      </c>
      <c r="N153" s="3">
        <v>44719.583900289355</v>
      </c>
      <c r="O153" s="3">
        <v>44719.584129189818</v>
      </c>
      <c r="P153" s="2">
        <v>0</v>
      </c>
      <c r="Q153" s="2" t="s">
        <v>416</v>
      </c>
      <c r="R153" s="2" t="s">
        <v>2402</v>
      </c>
      <c r="S153" s="2" t="s">
        <v>35</v>
      </c>
      <c r="T153" s="2" t="s">
        <v>35</v>
      </c>
      <c r="U153" s="2" t="s">
        <v>35</v>
      </c>
      <c r="V153" s="2" t="b">
        <v>0</v>
      </c>
      <c r="W153" s="2" t="s">
        <v>35</v>
      </c>
      <c r="X153" s="2" t="s">
        <v>35</v>
      </c>
      <c r="Y153" s="2" t="s">
        <v>35</v>
      </c>
      <c r="Z153" s="2" t="s">
        <v>35</v>
      </c>
    </row>
    <row r="154" spans="1:26" x14ac:dyDescent="0.2">
      <c r="A154" s="2" t="s">
        <v>9187</v>
      </c>
      <c r="B154" s="2" t="b">
        <v>0</v>
      </c>
      <c r="C154" s="2" t="b">
        <v>0</v>
      </c>
      <c r="D154" s="2" t="b">
        <v>0</v>
      </c>
      <c r="E154" s="2" t="b">
        <v>0</v>
      </c>
      <c r="F154" s="2" t="s">
        <v>121</v>
      </c>
      <c r="G154" s="2" t="s">
        <v>149</v>
      </c>
      <c r="H154" s="2" t="s">
        <v>9188</v>
      </c>
      <c r="I154" s="2" t="s">
        <v>35</v>
      </c>
      <c r="J154" s="2" t="s">
        <v>35</v>
      </c>
      <c r="K154" s="2" t="s">
        <v>35</v>
      </c>
      <c r="L154" s="2" t="s">
        <v>35</v>
      </c>
      <c r="M154" s="2" t="s">
        <v>35</v>
      </c>
      <c r="N154" s="3">
        <v>44719.601927256947</v>
      </c>
      <c r="O154" s="3">
        <v>44719.601947361109</v>
      </c>
      <c r="P154" s="2">
        <v>0</v>
      </c>
      <c r="Q154" s="2" t="s">
        <v>35</v>
      </c>
      <c r="R154" s="2" t="s">
        <v>8908</v>
      </c>
      <c r="S154" s="2" t="s">
        <v>35</v>
      </c>
      <c r="T154" s="2" t="s">
        <v>35</v>
      </c>
      <c r="U154" s="2" t="s">
        <v>35</v>
      </c>
      <c r="V154" s="2" t="b">
        <v>0</v>
      </c>
      <c r="W154" s="2" t="s">
        <v>35</v>
      </c>
      <c r="X154" s="2" t="s">
        <v>35</v>
      </c>
      <c r="Y154" s="2" t="s">
        <v>35</v>
      </c>
      <c r="Z154" s="2" t="s">
        <v>35</v>
      </c>
    </row>
    <row r="155" spans="1:26" x14ac:dyDescent="0.2">
      <c r="A155" s="2" t="s">
        <v>9189</v>
      </c>
      <c r="B155" s="2" t="b">
        <v>0</v>
      </c>
      <c r="C155" s="2" t="b">
        <v>0</v>
      </c>
      <c r="D155" s="2" t="b">
        <v>0</v>
      </c>
      <c r="E155" s="2" t="b">
        <v>0</v>
      </c>
      <c r="F155" s="2" t="s">
        <v>121</v>
      </c>
      <c r="G155" s="2" t="s">
        <v>149</v>
      </c>
      <c r="H155" s="2" t="s">
        <v>9188</v>
      </c>
      <c r="I155" s="2" t="s">
        <v>35</v>
      </c>
      <c r="J155" s="2" t="s">
        <v>35</v>
      </c>
      <c r="K155" s="2" t="s">
        <v>35</v>
      </c>
      <c r="L155" s="2" t="s">
        <v>35</v>
      </c>
      <c r="M155" s="2" t="s">
        <v>35</v>
      </c>
      <c r="N155" s="3">
        <v>44719.601927465279</v>
      </c>
      <c r="O155" s="3">
        <v>44719.601947418982</v>
      </c>
      <c r="P155" s="2">
        <v>0</v>
      </c>
      <c r="Q155" s="2" t="s">
        <v>265</v>
      </c>
      <c r="R155" s="2" t="s">
        <v>8908</v>
      </c>
      <c r="S155" s="2" t="s">
        <v>35</v>
      </c>
      <c r="T155" s="2" t="s">
        <v>35</v>
      </c>
      <c r="U155" s="2" t="s">
        <v>35</v>
      </c>
      <c r="V155" s="2" t="b">
        <v>0</v>
      </c>
      <c r="W155" s="2" t="s">
        <v>35</v>
      </c>
      <c r="X155" s="2" t="s">
        <v>35</v>
      </c>
      <c r="Y155" s="2" t="s">
        <v>35</v>
      </c>
      <c r="Z155" s="2" t="s">
        <v>35</v>
      </c>
    </row>
    <row r="156" spans="1:26" x14ac:dyDescent="0.2">
      <c r="A156" s="2" t="s">
        <v>9190</v>
      </c>
      <c r="B156" s="2" t="b">
        <v>0</v>
      </c>
      <c r="C156" s="2" t="b">
        <v>0</v>
      </c>
      <c r="D156" s="2" t="b">
        <v>0</v>
      </c>
      <c r="E156" s="2" t="b">
        <v>0</v>
      </c>
      <c r="F156" s="2" t="s">
        <v>121</v>
      </c>
      <c r="G156" s="2" t="s">
        <v>149</v>
      </c>
      <c r="H156" s="2" t="s">
        <v>9188</v>
      </c>
      <c r="I156" s="2" t="s">
        <v>35</v>
      </c>
      <c r="J156" s="2" t="s">
        <v>35</v>
      </c>
      <c r="K156" s="2" t="s">
        <v>35</v>
      </c>
      <c r="L156" s="2" t="s">
        <v>35</v>
      </c>
      <c r="M156" s="2" t="s">
        <v>35</v>
      </c>
      <c r="N156" s="3">
        <v>44719.601927569442</v>
      </c>
      <c r="O156" s="3">
        <v>44719.601947430558</v>
      </c>
      <c r="P156" s="2">
        <v>0</v>
      </c>
      <c r="Q156" s="2" t="s">
        <v>265</v>
      </c>
      <c r="R156" s="2" t="s">
        <v>8908</v>
      </c>
      <c r="S156" s="2" t="s">
        <v>35</v>
      </c>
      <c r="T156" s="2" t="s">
        <v>35</v>
      </c>
      <c r="U156" s="2" t="s">
        <v>35</v>
      </c>
      <c r="V156" s="2" t="b">
        <v>0</v>
      </c>
      <c r="W156" s="2" t="s">
        <v>35</v>
      </c>
      <c r="X156" s="2" t="s">
        <v>35</v>
      </c>
      <c r="Y156" s="2" t="s">
        <v>35</v>
      </c>
      <c r="Z156" s="2" t="s">
        <v>35</v>
      </c>
    </row>
    <row r="157" spans="1:26" x14ac:dyDescent="0.2">
      <c r="A157" s="2" t="s">
        <v>9191</v>
      </c>
      <c r="B157" s="2" t="b">
        <v>0</v>
      </c>
      <c r="C157" s="2" t="b">
        <v>0</v>
      </c>
      <c r="D157" s="2" t="b">
        <v>0</v>
      </c>
      <c r="E157" s="2" t="b">
        <v>0</v>
      </c>
      <c r="F157" s="2" t="s">
        <v>31</v>
      </c>
      <c r="G157" s="2" t="s">
        <v>149</v>
      </c>
      <c r="H157" s="2" t="s">
        <v>9192</v>
      </c>
      <c r="I157" s="2" t="s">
        <v>35</v>
      </c>
      <c r="J157" s="2" t="s">
        <v>35</v>
      </c>
      <c r="K157" s="2" t="s">
        <v>35</v>
      </c>
      <c r="L157" s="2" t="s">
        <v>35</v>
      </c>
      <c r="M157" s="2" t="s">
        <v>35</v>
      </c>
      <c r="N157" s="3">
        <v>44719.606833900463</v>
      </c>
      <c r="O157" s="3">
        <v>44719.607058657406</v>
      </c>
      <c r="P157" s="2">
        <v>0</v>
      </c>
      <c r="Q157" s="2" t="s">
        <v>35</v>
      </c>
      <c r="R157" s="2" t="s">
        <v>8908</v>
      </c>
      <c r="S157" s="2" t="s">
        <v>35</v>
      </c>
      <c r="T157" s="2" t="s">
        <v>35</v>
      </c>
      <c r="U157" s="2" t="s">
        <v>35</v>
      </c>
      <c r="V157" s="2" t="b">
        <v>0</v>
      </c>
      <c r="W157" s="2" t="s">
        <v>35</v>
      </c>
      <c r="X157" s="2" t="s">
        <v>35</v>
      </c>
      <c r="Y157" s="2" t="s">
        <v>35</v>
      </c>
      <c r="Z157" s="2" t="s">
        <v>35</v>
      </c>
    </row>
    <row r="158" spans="1:26" x14ac:dyDescent="0.2">
      <c r="A158" s="2" t="s">
        <v>9193</v>
      </c>
      <c r="B158" s="2" t="b">
        <v>0</v>
      </c>
      <c r="C158" s="2" t="b">
        <v>0</v>
      </c>
      <c r="D158" s="2" t="b">
        <v>0</v>
      </c>
      <c r="E158" s="2" t="b">
        <v>0</v>
      </c>
      <c r="F158" s="2" t="s">
        <v>121</v>
      </c>
      <c r="G158" s="2" t="s">
        <v>149</v>
      </c>
      <c r="H158" s="2" t="s">
        <v>9194</v>
      </c>
      <c r="I158" s="2" t="s">
        <v>35</v>
      </c>
      <c r="J158" s="2" t="s">
        <v>35</v>
      </c>
      <c r="K158" s="2" t="s">
        <v>35</v>
      </c>
      <c r="L158" s="2" t="s">
        <v>35</v>
      </c>
      <c r="M158" s="2" t="s">
        <v>35</v>
      </c>
      <c r="N158" s="3">
        <v>44721.638619305559</v>
      </c>
      <c r="O158" s="3">
        <v>44721.638619421297</v>
      </c>
      <c r="P158" s="2">
        <v>0</v>
      </c>
      <c r="Q158" s="2" t="s">
        <v>35</v>
      </c>
      <c r="R158" s="2" t="s">
        <v>8908</v>
      </c>
      <c r="S158" s="2" t="s">
        <v>35</v>
      </c>
      <c r="T158" s="2" t="s">
        <v>35</v>
      </c>
      <c r="U158" s="2" t="s">
        <v>35</v>
      </c>
      <c r="V158" s="2" t="b">
        <v>0</v>
      </c>
      <c r="W158" s="2" t="s">
        <v>35</v>
      </c>
      <c r="X158" s="2" t="s">
        <v>35</v>
      </c>
      <c r="Y158" s="2" t="s">
        <v>35</v>
      </c>
      <c r="Z158" s="2" t="s">
        <v>35</v>
      </c>
    </row>
    <row r="159" spans="1:26" x14ac:dyDescent="0.2">
      <c r="A159" s="2" t="s">
        <v>30</v>
      </c>
      <c r="B159" s="2" t="b">
        <v>0</v>
      </c>
      <c r="C159" s="2" t="b">
        <v>0</v>
      </c>
      <c r="D159" s="2" t="b">
        <v>0</v>
      </c>
      <c r="E159" s="2" t="b">
        <v>0</v>
      </c>
      <c r="F159" s="2" t="s">
        <v>31</v>
      </c>
      <c r="G159" s="2" t="s">
        <v>32</v>
      </c>
      <c r="H159" s="2" t="s">
        <v>33</v>
      </c>
      <c r="I159" s="2" t="s">
        <v>34</v>
      </c>
      <c r="J159" s="2" t="s">
        <v>35</v>
      </c>
      <c r="K159" s="2" t="s">
        <v>35</v>
      </c>
      <c r="L159" s="2" t="s">
        <v>35</v>
      </c>
      <c r="M159" s="2" t="s">
        <v>35</v>
      </c>
      <c r="N159" s="3">
        <v>44722.612435995368</v>
      </c>
      <c r="O159" s="3">
        <v>44722.613692951389</v>
      </c>
      <c r="P159" s="2">
        <v>0</v>
      </c>
      <c r="Q159" s="2" t="s">
        <v>36</v>
      </c>
      <c r="R159" s="2" t="s">
        <v>38</v>
      </c>
      <c r="S159" s="2" t="s">
        <v>35</v>
      </c>
      <c r="T159" s="2" t="s">
        <v>35</v>
      </c>
      <c r="U159" s="2" t="s">
        <v>35</v>
      </c>
      <c r="V159" s="2" t="b">
        <v>0</v>
      </c>
      <c r="W159" s="2" t="s">
        <v>35</v>
      </c>
      <c r="X159" s="2" t="s">
        <v>35</v>
      </c>
      <c r="Y159" s="2">
        <v>7</v>
      </c>
      <c r="Z159" s="2" t="s">
        <v>35</v>
      </c>
    </row>
    <row r="160" spans="1:26" x14ac:dyDescent="0.2">
      <c r="A160" s="2" t="s">
        <v>3782</v>
      </c>
      <c r="B160" s="2" t="b">
        <v>0</v>
      </c>
      <c r="C160" s="2" t="b">
        <v>0</v>
      </c>
      <c r="D160" s="2" t="b">
        <v>0</v>
      </c>
      <c r="E160" s="2" t="b">
        <v>0</v>
      </c>
      <c r="F160" s="2" t="s">
        <v>31</v>
      </c>
      <c r="G160" s="2" t="s">
        <v>9195</v>
      </c>
      <c r="H160" s="2" t="s">
        <v>9196</v>
      </c>
      <c r="I160" s="2" t="s">
        <v>34</v>
      </c>
      <c r="J160" s="2" t="s">
        <v>35</v>
      </c>
      <c r="K160" s="2" t="s">
        <v>35</v>
      </c>
      <c r="L160" s="2" t="s">
        <v>35</v>
      </c>
      <c r="M160" s="2" t="s">
        <v>35</v>
      </c>
      <c r="N160" s="3">
        <v>44722.614270289348</v>
      </c>
      <c r="O160" s="3">
        <v>44722.615023819446</v>
      </c>
      <c r="P160" s="2">
        <v>0</v>
      </c>
      <c r="Q160" s="2" t="s">
        <v>36</v>
      </c>
      <c r="R160" s="2" t="s">
        <v>2402</v>
      </c>
      <c r="S160" s="2" t="s">
        <v>35</v>
      </c>
      <c r="T160" s="2" t="s">
        <v>35</v>
      </c>
      <c r="U160" s="2" t="s">
        <v>35</v>
      </c>
      <c r="V160" s="2" t="b">
        <v>0</v>
      </c>
      <c r="W160" s="2" t="s">
        <v>35</v>
      </c>
      <c r="X160" s="2" t="s">
        <v>35</v>
      </c>
      <c r="Y160" s="2">
        <v>8</v>
      </c>
      <c r="Z160" s="2" t="s">
        <v>35</v>
      </c>
    </row>
    <row r="161" spans="1:26" x14ac:dyDescent="0.2">
      <c r="A161" s="2" t="s">
        <v>40</v>
      </c>
      <c r="B161" s="2" t="b">
        <v>0</v>
      </c>
      <c r="C161" s="2" t="b">
        <v>0</v>
      </c>
      <c r="D161" s="2" t="b">
        <v>0</v>
      </c>
      <c r="E161" s="2" t="b">
        <v>0</v>
      </c>
      <c r="F161" s="2" t="s">
        <v>31</v>
      </c>
      <c r="G161" s="2" t="s">
        <v>41</v>
      </c>
      <c r="H161" s="2" t="s">
        <v>42</v>
      </c>
      <c r="I161" s="2" t="s">
        <v>34</v>
      </c>
      <c r="J161" s="2" t="s">
        <v>35</v>
      </c>
      <c r="K161" s="2" t="s">
        <v>35</v>
      </c>
      <c r="L161" s="2" t="s">
        <v>35</v>
      </c>
      <c r="M161" s="2" t="s">
        <v>35</v>
      </c>
      <c r="N161" s="3">
        <v>44722.621535983795</v>
      </c>
      <c r="O161" s="3">
        <v>44722.622121250002</v>
      </c>
      <c r="P161" s="2">
        <v>0</v>
      </c>
      <c r="Q161" s="2" t="s">
        <v>36</v>
      </c>
      <c r="R161" s="2" t="s">
        <v>38</v>
      </c>
      <c r="S161" s="2" t="s">
        <v>35</v>
      </c>
      <c r="T161" s="2" t="s">
        <v>35</v>
      </c>
      <c r="U161" s="2" t="s">
        <v>35</v>
      </c>
      <c r="V161" s="2" t="b">
        <v>0</v>
      </c>
      <c r="W161" s="2" t="s">
        <v>35</v>
      </c>
      <c r="X161" s="2" t="s">
        <v>35</v>
      </c>
      <c r="Y161" s="2">
        <v>5</v>
      </c>
      <c r="Z161" s="2" t="s">
        <v>35</v>
      </c>
    </row>
    <row r="162" spans="1:26" x14ac:dyDescent="0.2">
      <c r="A162" s="2" t="s">
        <v>43</v>
      </c>
      <c r="B162" s="2" t="b">
        <v>0</v>
      </c>
      <c r="C162" s="2" t="b">
        <v>0</v>
      </c>
      <c r="D162" s="2" t="b">
        <v>0</v>
      </c>
      <c r="E162" s="2" t="b">
        <v>0</v>
      </c>
      <c r="F162" s="2" t="s">
        <v>31</v>
      </c>
      <c r="G162" s="2" t="s">
        <v>44</v>
      </c>
      <c r="H162" s="2" t="s">
        <v>45</v>
      </c>
      <c r="I162" s="2" t="s">
        <v>46</v>
      </c>
      <c r="J162" s="2" t="s">
        <v>35</v>
      </c>
      <c r="K162" s="2" t="s">
        <v>35</v>
      </c>
      <c r="L162" s="2" t="s">
        <v>35</v>
      </c>
      <c r="M162" s="2" t="s">
        <v>35</v>
      </c>
      <c r="N162" s="3">
        <v>44722.626537824071</v>
      </c>
      <c r="O162" s="3">
        <v>44722.627554270832</v>
      </c>
      <c r="P162" s="2">
        <v>0</v>
      </c>
      <c r="Q162" s="2" t="s">
        <v>36</v>
      </c>
      <c r="R162" s="2" t="s">
        <v>38</v>
      </c>
      <c r="S162" s="2" t="s">
        <v>35</v>
      </c>
      <c r="T162" s="2" t="s">
        <v>35</v>
      </c>
      <c r="U162" s="2" t="s">
        <v>35</v>
      </c>
      <c r="V162" s="2" t="b">
        <v>0</v>
      </c>
      <c r="W162" s="2" t="s">
        <v>35</v>
      </c>
      <c r="X162" s="2" t="s">
        <v>35</v>
      </c>
      <c r="Y162" s="2">
        <v>5</v>
      </c>
      <c r="Z162" s="2" t="s">
        <v>35</v>
      </c>
    </row>
    <row r="163" spans="1:26" x14ac:dyDescent="0.2">
      <c r="A163" s="2" t="s">
        <v>47</v>
      </c>
      <c r="B163" s="2" t="b">
        <v>0</v>
      </c>
      <c r="C163" s="2" t="b">
        <v>0</v>
      </c>
      <c r="D163" s="2" t="b">
        <v>0</v>
      </c>
      <c r="E163" s="2" t="b">
        <v>0</v>
      </c>
      <c r="F163" s="2" t="s">
        <v>31</v>
      </c>
      <c r="G163" s="2" t="s">
        <v>48</v>
      </c>
      <c r="H163" s="2" t="s">
        <v>49</v>
      </c>
      <c r="I163" s="2" t="s">
        <v>50</v>
      </c>
      <c r="J163" s="2" t="s">
        <v>35</v>
      </c>
      <c r="K163" s="2" t="s">
        <v>35</v>
      </c>
      <c r="L163" s="2" t="s">
        <v>35</v>
      </c>
      <c r="M163" s="2" t="s">
        <v>35</v>
      </c>
      <c r="N163" s="3">
        <v>44722.631051238423</v>
      </c>
      <c r="O163" s="3">
        <v>44722.631513472224</v>
      </c>
      <c r="P163" s="2">
        <v>0</v>
      </c>
      <c r="Q163" s="2" t="s">
        <v>36</v>
      </c>
      <c r="R163" s="2" t="s">
        <v>38</v>
      </c>
      <c r="S163" s="2" t="s">
        <v>35</v>
      </c>
      <c r="T163" s="2" t="s">
        <v>35</v>
      </c>
      <c r="U163" s="2" t="s">
        <v>35</v>
      </c>
      <c r="V163" s="2" t="b">
        <v>0</v>
      </c>
      <c r="W163" s="2" t="s">
        <v>35</v>
      </c>
      <c r="X163" s="2" t="s">
        <v>35</v>
      </c>
      <c r="Y163" s="2">
        <v>5</v>
      </c>
      <c r="Z163" s="2" t="s">
        <v>35</v>
      </c>
    </row>
    <row r="164" spans="1:26" x14ac:dyDescent="0.2">
      <c r="A164" s="2" t="s">
        <v>51</v>
      </c>
      <c r="B164" s="2" t="b">
        <v>0</v>
      </c>
      <c r="C164" s="2" t="b">
        <v>0</v>
      </c>
      <c r="D164" s="2" t="b">
        <v>0</v>
      </c>
      <c r="E164" s="2" t="b">
        <v>0</v>
      </c>
      <c r="F164" s="2" t="s">
        <v>31</v>
      </c>
      <c r="G164" s="2" t="s">
        <v>52</v>
      </c>
      <c r="H164" s="2" t="s">
        <v>53</v>
      </c>
      <c r="I164" s="2" t="s">
        <v>35</v>
      </c>
      <c r="J164" s="2" t="s">
        <v>35</v>
      </c>
      <c r="K164" s="2" t="s">
        <v>35</v>
      </c>
      <c r="L164" s="2">
        <v>21</v>
      </c>
      <c r="M164" s="2">
        <v>15</v>
      </c>
      <c r="N164" s="3">
        <v>44722.633086111113</v>
      </c>
      <c r="O164" s="3">
        <v>44722.633641793982</v>
      </c>
      <c r="P164" s="2">
        <v>0</v>
      </c>
      <c r="Q164" s="2" t="s">
        <v>54</v>
      </c>
      <c r="R164" s="2" t="s">
        <v>38</v>
      </c>
      <c r="S164" s="2" t="s">
        <v>35</v>
      </c>
      <c r="T164" s="2" t="s">
        <v>35</v>
      </c>
      <c r="U164" s="2" t="s">
        <v>35</v>
      </c>
      <c r="V164" s="2" t="b">
        <v>0</v>
      </c>
      <c r="W164" s="2" t="s">
        <v>35</v>
      </c>
      <c r="X164" s="2" t="s">
        <v>35</v>
      </c>
      <c r="Y164" s="2" t="s">
        <v>35</v>
      </c>
      <c r="Z164" s="2" t="s">
        <v>35</v>
      </c>
    </row>
    <row r="165" spans="1:26" x14ac:dyDescent="0.2">
      <c r="A165" s="2" t="s">
        <v>56</v>
      </c>
      <c r="B165" s="2" t="b">
        <v>0</v>
      </c>
      <c r="C165" s="2" t="b">
        <v>0</v>
      </c>
      <c r="D165" s="2" t="b">
        <v>0</v>
      </c>
      <c r="E165" s="2" t="b">
        <v>0</v>
      </c>
      <c r="F165" s="2" t="s">
        <v>31</v>
      </c>
      <c r="G165" s="2" t="s">
        <v>57</v>
      </c>
      <c r="H165" s="2" t="s">
        <v>58</v>
      </c>
      <c r="I165" s="2" t="s">
        <v>59</v>
      </c>
      <c r="J165" s="2" t="s">
        <v>35</v>
      </c>
      <c r="K165" s="2" t="s">
        <v>35</v>
      </c>
      <c r="L165" s="2" t="s">
        <v>35</v>
      </c>
      <c r="M165" s="2" t="s">
        <v>35</v>
      </c>
      <c r="N165" s="3">
        <v>44722.635615983796</v>
      </c>
      <c r="O165" s="3">
        <v>44722.636041817132</v>
      </c>
      <c r="P165" s="2">
        <v>0</v>
      </c>
      <c r="Q165" s="2" t="s">
        <v>36</v>
      </c>
      <c r="R165" s="2" t="s">
        <v>38</v>
      </c>
      <c r="S165" s="2" t="s">
        <v>35</v>
      </c>
      <c r="T165" s="2" t="s">
        <v>35</v>
      </c>
      <c r="U165" s="2" t="s">
        <v>35</v>
      </c>
      <c r="V165" s="2" t="b">
        <v>0</v>
      </c>
      <c r="W165" s="2" t="s">
        <v>35</v>
      </c>
      <c r="X165" s="2" t="s">
        <v>35</v>
      </c>
      <c r="Y165" s="2">
        <v>4</v>
      </c>
      <c r="Z165" s="2" t="s">
        <v>35</v>
      </c>
    </row>
    <row r="166" spans="1:26" x14ac:dyDescent="0.2">
      <c r="A166" s="2" t="s">
        <v>60</v>
      </c>
      <c r="B166" s="2" t="b">
        <v>0</v>
      </c>
      <c r="C166" s="2" t="b">
        <v>0</v>
      </c>
      <c r="D166" s="2" t="b">
        <v>0</v>
      </c>
      <c r="E166" s="2" t="b">
        <v>0</v>
      </c>
      <c r="F166" s="2" t="s">
        <v>31</v>
      </c>
      <c r="G166" s="2" t="s">
        <v>61</v>
      </c>
      <c r="H166" s="2" t="s">
        <v>62</v>
      </c>
      <c r="I166" s="2" t="s">
        <v>63</v>
      </c>
      <c r="J166" s="2" t="s">
        <v>35</v>
      </c>
      <c r="K166" s="2" t="s">
        <v>35</v>
      </c>
      <c r="L166" s="2" t="s">
        <v>35</v>
      </c>
      <c r="M166" s="2" t="s">
        <v>35</v>
      </c>
      <c r="N166" s="3">
        <v>44722.637145000001</v>
      </c>
      <c r="O166" s="3">
        <v>44722.637552326392</v>
      </c>
      <c r="P166" s="2">
        <v>0</v>
      </c>
      <c r="Q166" s="2" t="s">
        <v>36</v>
      </c>
      <c r="R166" s="2" t="s">
        <v>38</v>
      </c>
      <c r="S166" s="2" t="s">
        <v>35</v>
      </c>
      <c r="T166" s="2" t="s">
        <v>35</v>
      </c>
      <c r="U166" s="2" t="s">
        <v>35</v>
      </c>
      <c r="V166" s="2" t="b">
        <v>0</v>
      </c>
      <c r="W166" s="2" t="s">
        <v>35</v>
      </c>
      <c r="X166" s="2" t="s">
        <v>35</v>
      </c>
      <c r="Y166" s="2">
        <v>4</v>
      </c>
      <c r="Z166" s="2" t="s">
        <v>35</v>
      </c>
    </row>
    <row r="167" spans="1:26" x14ac:dyDescent="0.2">
      <c r="A167" s="2" t="s">
        <v>64</v>
      </c>
      <c r="B167" s="2" t="b">
        <v>0</v>
      </c>
      <c r="C167" s="2" t="b">
        <v>0</v>
      </c>
      <c r="D167" s="2" t="b">
        <v>0</v>
      </c>
      <c r="E167" s="2" t="b">
        <v>0</v>
      </c>
      <c r="F167" s="2" t="s">
        <v>31</v>
      </c>
      <c r="G167" s="2" t="s">
        <v>65</v>
      </c>
      <c r="H167" s="2" t="s">
        <v>66</v>
      </c>
      <c r="I167" s="2" t="s">
        <v>67</v>
      </c>
      <c r="J167" s="2" t="s">
        <v>35</v>
      </c>
      <c r="K167" s="2" t="s">
        <v>35</v>
      </c>
      <c r="L167" s="2" t="s">
        <v>35</v>
      </c>
      <c r="M167" s="2" t="s">
        <v>35</v>
      </c>
      <c r="N167" s="3">
        <v>44722.639304085649</v>
      </c>
      <c r="O167" s="3">
        <v>44722.639669212964</v>
      </c>
      <c r="P167" s="2">
        <v>0</v>
      </c>
      <c r="Q167" s="2" t="s">
        <v>36</v>
      </c>
      <c r="R167" s="2" t="s">
        <v>38</v>
      </c>
      <c r="S167" s="2" t="s">
        <v>35</v>
      </c>
      <c r="T167" s="2" t="s">
        <v>35</v>
      </c>
      <c r="U167" s="2" t="s">
        <v>35</v>
      </c>
      <c r="V167" s="2" t="b">
        <v>0</v>
      </c>
      <c r="W167" s="2" t="s">
        <v>35</v>
      </c>
      <c r="X167" s="2" t="s">
        <v>35</v>
      </c>
      <c r="Y167" s="2" t="s">
        <v>35</v>
      </c>
      <c r="Z167" s="2">
        <v>3</v>
      </c>
    </row>
    <row r="168" spans="1:26" x14ac:dyDescent="0.2">
      <c r="A168" s="2" t="s">
        <v>68</v>
      </c>
      <c r="B168" s="2" t="b">
        <v>0</v>
      </c>
      <c r="C168" s="2" t="b">
        <v>0</v>
      </c>
      <c r="D168" s="2" t="b">
        <v>0</v>
      </c>
      <c r="E168" s="2" t="b">
        <v>0</v>
      </c>
      <c r="F168" s="2" t="s">
        <v>31</v>
      </c>
      <c r="G168" s="2" t="s">
        <v>69</v>
      </c>
      <c r="H168" s="2" t="s">
        <v>70</v>
      </c>
      <c r="I168" s="2" t="s">
        <v>71</v>
      </c>
      <c r="J168" s="2" t="s">
        <v>35</v>
      </c>
      <c r="K168" s="2" t="s">
        <v>35</v>
      </c>
      <c r="L168" s="2" t="s">
        <v>35</v>
      </c>
      <c r="M168" s="2" t="s">
        <v>35</v>
      </c>
      <c r="N168" s="3">
        <v>44722.644960914353</v>
      </c>
      <c r="O168" s="3">
        <v>44722.645530902781</v>
      </c>
      <c r="P168" s="2">
        <v>0</v>
      </c>
      <c r="Q168" s="2" t="s">
        <v>36</v>
      </c>
      <c r="R168" s="2" t="s">
        <v>38</v>
      </c>
      <c r="S168" s="2" t="s">
        <v>35</v>
      </c>
      <c r="T168" s="2" t="s">
        <v>35</v>
      </c>
      <c r="U168" s="2" t="s">
        <v>35</v>
      </c>
      <c r="V168" s="2" t="b">
        <v>0</v>
      </c>
      <c r="W168" s="2" t="s">
        <v>35</v>
      </c>
      <c r="X168" s="2" t="s">
        <v>35</v>
      </c>
      <c r="Y168" s="2">
        <v>4</v>
      </c>
      <c r="Z168" s="2" t="s">
        <v>35</v>
      </c>
    </row>
    <row r="169" spans="1:26" x14ac:dyDescent="0.2">
      <c r="A169" s="2" t="s">
        <v>72</v>
      </c>
      <c r="B169" s="2" t="b">
        <v>0</v>
      </c>
      <c r="C169" s="2" t="b">
        <v>0</v>
      </c>
      <c r="D169" s="2" t="b">
        <v>0</v>
      </c>
      <c r="E169" s="2" t="b">
        <v>0</v>
      </c>
      <c r="F169" s="2" t="s">
        <v>31</v>
      </c>
      <c r="G169" s="2" t="s">
        <v>73</v>
      </c>
      <c r="H169" s="2" t="s">
        <v>74</v>
      </c>
      <c r="I169" s="2" t="s">
        <v>75</v>
      </c>
      <c r="J169" s="2" t="s">
        <v>35</v>
      </c>
      <c r="K169" s="2" t="s">
        <v>35</v>
      </c>
      <c r="L169" s="2" t="s">
        <v>35</v>
      </c>
      <c r="M169" s="2" t="s">
        <v>35</v>
      </c>
      <c r="N169" s="3">
        <v>44722.651341886572</v>
      </c>
      <c r="O169" s="3">
        <v>44722.65177488426</v>
      </c>
      <c r="P169" s="2">
        <v>0</v>
      </c>
      <c r="Q169" s="2" t="s">
        <v>36</v>
      </c>
      <c r="R169" s="2" t="s">
        <v>38</v>
      </c>
      <c r="S169" s="2" t="s">
        <v>35</v>
      </c>
      <c r="T169" s="2" t="s">
        <v>35</v>
      </c>
      <c r="U169" s="2" t="s">
        <v>35</v>
      </c>
      <c r="V169" s="2" t="b">
        <v>0</v>
      </c>
      <c r="W169" s="2" t="s">
        <v>35</v>
      </c>
      <c r="X169" s="2" t="s">
        <v>35</v>
      </c>
      <c r="Y169" s="2">
        <v>4</v>
      </c>
      <c r="Z169" s="2" t="s">
        <v>35</v>
      </c>
    </row>
    <row r="170" spans="1:26" x14ac:dyDescent="0.2">
      <c r="A170" s="2" t="s">
        <v>76</v>
      </c>
      <c r="B170" s="2" t="b">
        <v>0</v>
      </c>
      <c r="C170" s="2" t="b">
        <v>0</v>
      </c>
      <c r="D170" s="2" t="b">
        <v>0</v>
      </c>
      <c r="E170" s="2" t="b">
        <v>0</v>
      </c>
      <c r="F170" s="2" t="s">
        <v>31</v>
      </c>
      <c r="G170" s="2" t="s">
        <v>77</v>
      </c>
      <c r="H170" s="2" t="s">
        <v>78</v>
      </c>
      <c r="I170" s="2" t="s">
        <v>46</v>
      </c>
      <c r="J170" s="2" t="s">
        <v>35</v>
      </c>
      <c r="K170" s="2" t="s">
        <v>35</v>
      </c>
      <c r="L170" s="2" t="s">
        <v>35</v>
      </c>
      <c r="M170" s="2" t="s">
        <v>35</v>
      </c>
      <c r="N170" s="3">
        <v>44722.655207245371</v>
      </c>
      <c r="O170" s="3">
        <v>44722.655662893521</v>
      </c>
      <c r="P170" s="2">
        <v>0</v>
      </c>
      <c r="Q170" s="2" t="s">
        <v>36</v>
      </c>
      <c r="R170" s="2" t="s">
        <v>38</v>
      </c>
      <c r="S170" s="2" t="s">
        <v>35</v>
      </c>
      <c r="T170" s="2" t="s">
        <v>35</v>
      </c>
      <c r="U170" s="2" t="s">
        <v>35</v>
      </c>
      <c r="V170" s="2" t="b">
        <v>0</v>
      </c>
      <c r="W170" s="2" t="s">
        <v>35</v>
      </c>
      <c r="X170" s="2" t="s">
        <v>35</v>
      </c>
      <c r="Y170" s="2">
        <v>4</v>
      </c>
      <c r="Z170" s="2" t="s">
        <v>35</v>
      </c>
    </row>
    <row r="171" spans="1:26" x14ac:dyDescent="0.2">
      <c r="A171" s="2" t="s">
        <v>79</v>
      </c>
      <c r="B171" s="2" t="b">
        <v>0</v>
      </c>
      <c r="C171" s="2" t="b">
        <v>0</v>
      </c>
      <c r="D171" s="2" t="b">
        <v>0</v>
      </c>
      <c r="E171" s="2" t="b">
        <v>0</v>
      </c>
      <c r="F171" s="2" t="s">
        <v>31</v>
      </c>
      <c r="G171" s="2" t="s">
        <v>80</v>
      </c>
      <c r="H171" s="2" t="s">
        <v>81</v>
      </c>
      <c r="I171" s="2" t="s">
        <v>82</v>
      </c>
      <c r="J171" s="2" t="s">
        <v>35</v>
      </c>
      <c r="K171" s="2" t="s">
        <v>35</v>
      </c>
      <c r="L171" s="2" t="s">
        <v>35</v>
      </c>
      <c r="M171" s="2" t="s">
        <v>35</v>
      </c>
      <c r="N171" s="3">
        <v>44722.656476574077</v>
      </c>
      <c r="O171" s="3">
        <v>44722.656920069443</v>
      </c>
      <c r="P171" s="2">
        <v>0</v>
      </c>
      <c r="Q171" s="2" t="s">
        <v>36</v>
      </c>
      <c r="R171" s="2" t="s">
        <v>38</v>
      </c>
      <c r="S171" s="2" t="s">
        <v>35</v>
      </c>
      <c r="T171" s="2" t="s">
        <v>35</v>
      </c>
      <c r="U171" s="2" t="s">
        <v>35</v>
      </c>
      <c r="V171" s="2" t="b">
        <v>0</v>
      </c>
      <c r="W171" s="2" t="s">
        <v>35</v>
      </c>
      <c r="X171" s="2" t="s">
        <v>35</v>
      </c>
      <c r="Y171" s="2">
        <v>5</v>
      </c>
      <c r="Z171" s="2" t="s">
        <v>35</v>
      </c>
    </row>
    <row r="172" spans="1:26" x14ac:dyDescent="0.2">
      <c r="A172" s="2" t="s">
        <v>83</v>
      </c>
      <c r="B172" s="2" t="b">
        <v>0</v>
      </c>
      <c r="C172" s="2" t="b">
        <v>0</v>
      </c>
      <c r="D172" s="2" t="b">
        <v>0</v>
      </c>
      <c r="E172" s="2" t="b">
        <v>0</v>
      </c>
      <c r="F172" s="2" t="s">
        <v>31</v>
      </c>
      <c r="G172" s="2" t="s">
        <v>84</v>
      </c>
      <c r="H172" s="2" t="s">
        <v>85</v>
      </c>
      <c r="I172" s="2" t="s">
        <v>86</v>
      </c>
      <c r="J172" s="2" t="s">
        <v>35</v>
      </c>
      <c r="K172" s="2" t="s">
        <v>35</v>
      </c>
      <c r="L172" s="2" t="s">
        <v>35</v>
      </c>
      <c r="M172" s="2" t="s">
        <v>35</v>
      </c>
      <c r="N172" s="3">
        <v>44722.658118576386</v>
      </c>
      <c r="O172" s="3">
        <v>44722.658625312499</v>
      </c>
      <c r="P172" s="2">
        <v>0</v>
      </c>
      <c r="Q172" s="2" t="s">
        <v>36</v>
      </c>
      <c r="R172" s="2" t="s">
        <v>38</v>
      </c>
      <c r="S172" s="2" t="s">
        <v>35</v>
      </c>
      <c r="T172" s="2" t="s">
        <v>35</v>
      </c>
      <c r="U172" s="2" t="s">
        <v>35</v>
      </c>
      <c r="V172" s="2" t="b">
        <v>0</v>
      </c>
      <c r="W172" s="2" t="s">
        <v>35</v>
      </c>
      <c r="X172" s="2" t="s">
        <v>35</v>
      </c>
      <c r="Y172" s="2">
        <v>5</v>
      </c>
      <c r="Z172" s="2" t="s">
        <v>35</v>
      </c>
    </row>
    <row r="173" spans="1:26" x14ac:dyDescent="0.2">
      <c r="A173" s="2" t="s">
        <v>87</v>
      </c>
      <c r="B173" s="2" t="b">
        <v>0</v>
      </c>
      <c r="C173" s="2" t="b">
        <v>0</v>
      </c>
      <c r="D173" s="2" t="b">
        <v>0</v>
      </c>
      <c r="E173" s="2" t="b">
        <v>0</v>
      </c>
      <c r="F173" s="2" t="s">
        <v>31</v>
      </c>
      <c r="G173" s="2" t="s">
        <v>88</v>
      </c>
      <c r="H173" s="2" t="s">
        <v>89</v>
      </c>
      <c r="I173" s="2" t="s">
        <v>90</v>
      </c>
      <c r="J173" s="2" t="s">
        <v>35</v>
      </c>
      <c r="K173" s="2" t="s">
        <v>35</v>
      </c>
      <c r="L173" s="2" t="s">
        <v>35</v>
      </c>
      <c r="M173" s="2" t="s">
        <v>35</v>
      </c>
      <c r="N173" s="3">
        <v>44722.660198275466</v>
      </c>
      <c r="O173" s="3">
        <v>44722.660604884259</v>
      </c>
      <c r="P173" s="2">
        <v>0</v>
      </c>
      <c r="Q173" s="2" t="s">
        <v>36</v>
      </c>
      <c r="R173" s="2" t="s">
        <v>38</v>
      </c>
      <c r="S173" s="2" t="s">
        <v>35</v>
      </c>
      <c r="T173" s="2" t="s">
        <v>35</v>
      </c>
      <c r="U173" s="2" t="s">
        <v>35</v>
      </c>
      <c r="V173" s="2" t="b">
        <v>0</v>
      </c>
      <c r="W173" s="2" t="s">
        <v>35</v>
      </c>
      <c r="X173" s="2" t="s">
        <v>35</v>
      </c>
      <c r="Y173" s="2" t="s">
        <v>35</v>
      </c>
      <c r="Z173" s="2">
        <v>5</v>
      </c>
    </row>
    <row r="174" spans="1:26" x14ac:dyDescent="0.2">
      <c r="A174" s="2" t="s">
        <v>91</v>
      </c>
      <c r="B174" s="2" t="b">
        <v>0</v>
      </c>
      <c r="C174" s="2" t="b">
        <v>0</v>
      </c>
      <c r="D174" s="2" t="b">
        <v>0</v>
      </c>
      <c r="E174" s="2" t="b">
        <v>0</v>
      </c>
      <c r="F174" s="2" t="s">
        <v>31</v>
      </c>
      <c r="G174" s="2" t="s">
        <v>92</v>
      </c>
      <c r="H174" s="2" t="s">
        <v>93</v>
      </c>
      <c r="I174" s="2" t="s">
        <v>82</v>
      </c>
      <c r="J174" s="2" t="s">
        <v>35</v>
      </c>
      <c r="K174" s="2" t="s">
        <v>35</v>
      </c>
      <c r="L174" s="2" t="s">
        <v>35</v>
      </c>
      <c r="M174" s="2" t="s">
        <v>35</v>
      </c>
      <c r="N174" s="3">
        <v>44722.663981446756</v>
      </c>
      <c r="O174" s="3">
        <v>44722.664556006945</v>
      </c>
      <c r="P174" s="2">
        <v>0</v>
      </c>
      <c r="Q174" s="2" t="s">
        <v>36</v>
      </c>
      <c r="R174" s="2" t="s">
        <v>38</v>
      </c>
      <c r="S174" s="2" t="s">
        <v>35</v>
      </c>
      <c r="T174" s="2" t="s">
        <v>35</v>
      </c>
      <c r="U174" s="2" t="s">
        <v>35</v>
      </c>
      <c r="V174" s="2" t="b">
        <v>0</v>
      </c>
      <c r="W174" s="2" t="s">
        <v>35</v>
      </c>
      <c r="X174" s="2" t="s">
        <v>35</v>
      </c>
      <c r="Y174" s="2">
        <v>6</v>
      </c>
      <c r="Z174" s="2" t="s">
        <v>35</v>
      </c>
    </row>
    <row r="175" spans="1:26" x14ac:dyDescent="0.2">
      <c r="A175" s="2" t="s">
        <v>94</v>
      </c>
      <c r="B175" s="2" t="b">
        <v>0</v>
      </c>
      <c r="C175" s="2" t="b">
        <v>0</v>
      </c>
      <c r="D175" s="2" t="b">
        <v>0</v>
      </c>
      <c r="E175" s="2" t="b">
        <v>0</v>
      </c>
      <c r="F175" s="2" t="s">
        <v>31</v>
      </c>
      <c r="G175" s="2" t="s">
        <v>95</v>
      </c>
      <c r="H175" s="2" t="s">
        <v>96</v>
      </c>
      <c r="I175" s="2" t="s">
        <v>75</v>
      </c>
      <c r="J175" s="2" t="s">
        <v>35</v>
      </c>
      <c r="K175" s="2" t="s">
        <v>35</v>
      </c>
      <c r="L175" s="2" t="s">
        <v>35</v>
      </c>
      <c r="M175" s="2" t="s">
        <v>35</v>
      </c>
      <c r="N175" s="3">
        <v>44722.665397175922</v>
      </c>
      <c r="O175" s="3">
        <v>44722.665895127313</v>
      </c>
      <c r="P175" s="2">
        <v>0</v>
      </c>
      <c r="Q175" s="2" t="s">
        <v>36</v>
      </c>
      <c r="R175" s="2" t="s">
        <v>38</v>
      </c>
      <c r="S175" s="2" t="s">
        <v>35</v>
      </c>
      <c r="T175" s="2" t="s">
        <v>35</v>
      </c>
      <c r="U175" s="2" t="s">
        <v>35</v>
      </c>
      <c r="V175" s="2" t="b">
        <v>0</v>
      </c>
      <c r="W175" s="2" t="s">
        <v>35</v>
      </c>
      <c r="X175" s="2" t="s">
        <v>35</v>
      </c>
      <c r="Y175" s="2">
        <v>4</v>
      </c>
      <c r="Z175" s="2" t="s">
        <v>35</v>
      </c>
    </row>
    <row r="176" spans="1:26" x14ac:dyDescent="0.2">
      <c r="A176" s="2" t="s">
        <v>97</v>
      </c>
      <c r="B176" s="2" t="b">
        <v>0</v>
      </c>
      <c r="C176" s="2" t="b">
        <v>0</v>
      </c>
      <c r="D176" s="2" t="b">
        <v>0</v>
      </c>
      <c r="E176" s="2" t="b">
        <v>0</v>
      </c>
      <c r="F176" s="2" t="s">
        <v>31</v>
      </c>
      <c r="G176" s="2" t="s">
        <v>98</v>
      </c>
      <c r="H176" s="2" t="s">
        <v>99</v>
      </c>
      <c r="I176" s="2" t="s">
        <v>35</v>
      </c>
      <c r="J176" s="2" t="s">
        <v>35</v>
      </c>
      <c r="K176" s="2" t="s">
        <v>35</v>
      </c>
      <c r="L176" s="2" t="s">
        <v>35</v>
      </c>
      <c r="M176" s="2" t="s">
        <v>35</v>
      </c>
      <c r="N176" s="3">
        <v>44722.673215590279</v>
      </c>
      <c r="O176" s="3">
        <v>44722.67428175926</v>
      </c>
      <c r="P176" s="2">
        <v>0</v>
      </c>
      <c r="Q176" s="2" t="s">
        <v>100</v>
      </c>
      <c r="R176" s="2" t="s">
        <v>38</v>
      </c>
      <c r="S176" s="2" t="s">
        <v>35</v>
      </c>
      <c r="T176" s="2">
        <v>94</v>
      </c>
      <c r="U176" s="2" t="s">
        <v>35</v>
      </c>
      <c r="V176" s="2" t="b">
        <v>0</v>
      </c>
      <c r="W176" s="2" t="s">
        <v>35</v>
      </c>
      <c r="X176" s="2" t="s">
        <v>35</v>
      </c>
      <c r="Y176" s="2" t="s">
        <v>35</v>
      </c>
      <c r="Z176" s="2" t="s">
        <v>35</v>
      </c>
    </row>
    <row r="177" spans="1:26" x14ac:dyDescent="0.2">
      <c r="A177" s="2" t="s">
        <v>9197</v>
      </c>
      <c r="B177" s="2" t="b">
        <v>0</v>
      </c>
      <c r="C177" s="2" t="b">
        <v>0</v>
      </c>
      <c r="D177" s="2" t="b">
        <v>0</v>
      </c>
      <c r="E177" s="2" t="b">
        <v>0</v>
      </c>
      <c r="F177" s="2" t="s">
        <v>121</v>
      </c>
      <c r="G177" s="2" t="s">
        <v>149</v>
      </c>
      <c r="H177" s="2" t="s">
        <v>9198</v>
      </c>
      <c r="I177" s="2" t="s">
        <v>35</v>
      </c>
      <c r="J177" s="2" t="s">
        <v>35</v>
      </c>
      <c r="K177" s="2" t="s">
        <v>35</v>
      </c>
      <c r="L177" s="2" t="s">
        <v>35</v>
      </c>
      <c r="M177" s="2" t="s">
        <v>35</v>
      </c>
      <c r="N177" s="3">
        <v>44722.673949618053</v>
      </c>
      <c r="O177" s="3">
        <v>44722.686342986111</v>
      </c>
      <c r="P177" s="2">
        <v>0</v>
      </c>
      <c r="Q177" s="2" t="s">
        <v>35</v>
      </c>
      <c r="R177" s="2" t="s">
        <v>2402</v>
      </c>
      <c r="S177" s="2" t="s">
        <v>35</v>
      </c>
      <c r="T177" s="2" t="s">
        <v>35</v>
      </c>
      <c r="U177" s="2" t="s">
        <v>35</v>
      </c>
      <c r="V177" s="2" t="b">
        <v>0</v>
      </c>
      <c r="W177" s="2" t="s">
        <v>35</v>
      </c>
      <c r="X177" s="2" t="s">
        <v>35</v>
      </c>
      <c r="Y177" s="2" t="s">
        <v>35</v>
      </c>
      <c r="Z177" s="2" t="s">
        <v>35</v>
      </c>
    </row>
    <row r="178" spans="1:26" x14ac:dyDescent="0.2">
      <c r="A178" s="2" t="s">
        <v>102</v>
      </c>
      <c r="B178" s="2" t="b">
        <v>0</v>
      </c>
      <c r="C178" s="2" t="b">
        <v>0</v>
      </c>
      <c r="D178" s="2" t="b">
        <v>0</v>
      </c>
      <c r="E178" s="2" t="b">
        <v>0</v>
      </c>
      <c r="F178" s="2" t="s">
        <v>31</v>
      </c>
      <c r="G178" s="2" t="s">
        <v>103</v>
      </c>
      <c r="H178" s="2" t="s">
        <v>104</v>
      </c>
      <c r="I178" s="2" t="s">
        <v>90</v>
      </c>
      <c r="J178" s="2" t="s">
        <v>35</v>
      </c>
      <c r="K178" s="2" t="s">
        <v>35</v>
      </c>
      <c r="L178" s="2" t="s">
        <v>35</v>
      </c>
      <c r="M178" s="2" t="s">
        <v>35</v>
      </c>
      <c r="N178" s="3">
        <v>44722.679575405091</v>
      </c>
      <c r="O178" s="3">
        <v>44722.679849224536</v>
      </c>
      <c r="P178" s="2">
        <v>0</v>
      </c>
      <c r="Q178" s="2" t="s">
        <v>36</v>
      </c>
      <c r="R178" s="2" t="s">
        <v>38</v>
      </c>
      <c r="S178" s="2" t="s">
        <v>35</v>
      </c>
      <c r="T178" s="2" t="s">
        <v>35</v>
      </c>
      <c r="U178" s="2" t="s">
        <v>35</v>
      </c>
      <c r="V178" s="2" t="b">
        <v>0</v>
      </c>
      <c r="W178" s="2" t="s">
        <v>35</v>
      </c>
      <c r="X178" s="2" t="s">
        <v>35</v>
      </c>
      <c r="Y178" s="2" t="s">
        <v>35</v>
      </c>
      <c r="Z178" s="2">
        <v>4</v>
      </c>
    </row>
    <row r="179" spans="1:26" x14ac:dyDescent="0.2">
      <c r="A179" s="2" t="s">
        <v>105</v>
      </c>
      <c r="B179" s="2" t="b">
        <v>0</v>
      </c>
      <c r="C179" s="2" t="b">
        <v>0</v>
      </c>
      <c r="D179" s="2" t="b">
        <v>0</v>
      </c>
      <c r="E179" s="2" t="b">
        <v>0</v>
      </c>
      <c r="F179" s="2" t="s">
        <v>31</v>
      </c>
      <c r="G179" s="2" t="s">
        <v>106</v>
      </c>
      <c r="H179" s="2" t="s">
        <v>107</v>
      </c>
      <c r="I179" s="2" t="s">
        <v>108</v>
      </c>
      <c r="J179" s="2" t="s">
        <v>35</v>
      </c>
      <c r="K179" s="2" t="s">
        <v>35</v>
      </c>
      <c r="L179" s="2" t="s">
        <v>35</v>
      </c>
      <c r="M179" s="2" t="s">
        <v>35</v>
      </c>
      <c r="N179" s="3">
        <v>44722.686140821759</v>
      </c>
      <c r="O179" s="3">
        <v>44722.686877743057</v>
      </c>
      <c r="P179" s="2">
        <v>0</v>
      </c>
      <c r="Q179" s="2" t="s">
        <v>109</v>
      </c>
      <c r="R179" s="2" t="s">
        <v>38</v>
      </c>
      <c r="S179" s="2" t="s">
        <v>35</v>
      </c>
      <c r="T179" s="2">
        <v>100</v>
      </c>
      <c r="U179" s="2" t="s">
        <v>35</v>
      </c>
      <c r="V179" s="2" t="b">
        <v>0</v>
      </c>
      <c r="W179" s="2" t="s">
        <v>35</v>
      </c>
      <c r="X179" s="2" t="s">
        <v>35</v>
      </c>
      <c r="Y179" s="2" t="s">
        <v>35</v>
      </c>
      <c r="Z179" s="2" t="s">
        <v>35</v>
      </c>
    </row>
    <row r="180" spans="1:26" x14ac:dyDescent="0.2">
      <c r="A180" s="2" t="s">
        <v>9199</v>
      </c>
      <c r="B180" s="2" t="b">
        <v>0</v>
      </c>
      <c r="C180" s="2" t="b">
        <v>0</v>
      </c>
      <c r="D180" s="2" t="b">
        <v>0</v>
      </c>
      <c r="E180" s="2" t="b">
        <v>0</v>
      </c>
      <c r="F180" s="2" t="s">
        <v>121</v>
      </c>
      <c r="G180" s="2" t="s">
        <v>149</v>
      </c>
      <c r="H180" s="2" t="s">
        <v>9200</v>
      </c>
      <c r="I180" s="2" t="s">
        <v>35</v>
      </c>
      <c r="J180" s="2" t="s">
        <v>35</v>
      </c>
      <c r="K180" s="2" t="s">
        <v>35</v>
      </c>
      <c r="L180" s="2">
        <v>20</v>
      </c>
      <c r="M180" s="2">
        <v>18</v>
      </c>
      <c r="N180" s="3">
        <v>44725.509966435187</v>
      </c>
      <c r="O180" s="3">
        <v>44725.511628958331</v>
      </c>
      <c r="P180" s="2">
        <v>0</v>
      </c>
      <c r="Q180" s="2" t="s">
        <v>54</v>
      </c>
      <c r="R180" s="2" t="s">
        <v>8908</v>
      </c>
      <c r="S180" s="2" t="s">
        <v>35</v>
      </c>
      <c r="T180" s="2" t="s">
        <v>35</v>
      </c>
      <c r="U180" s="2" t="s">
        <v>35</v>
      </c>
      <c r="V180" s="2" t="b">
        <v>0</v>
      </c>
      <c r="W180" s="2" t="s">
        <v>35</v>
      </c>
      <c r="X180" s="2" t="s">
        <v>35</v>
      </c>
      <c r="Y180" s="2" t="s">
        <v>35</v>
      </c>
      <c r="Z180" s="2" t="s">
        <v>35</v>
      </c>
    </row>
    <row r="181" spans="1:26" x14ac:dyDescent="0.2">
      <c r="A181" s="2" t="s">
        <v>111</v>
      </c>
      <c r="B181" s="2" t="b">
        <v>0</v>
      </c>
      <c r="C181" s="2" t="b">
        <v>0</v>
      </c>
      <c r="D181" s="2" t="b">
        <v>0</v>
      </c>
      <c r="E181" s="2" t="b">
        <v>0</v>
      </c>
      <c r="F181" s="2" t="s">
        <v>31</v>
      </c>
      <c r="G181" s="2" t="s">
        <v>112</v>
      </c>
      <c r="H181" s="2" t="s">
        <v>113</v>
      </c>
      <c r="I181" s="2" t="s">
        <v>114</v>
      </c>
      <c r="J181" s="2" t="s">
        <v>35</v>
      </c>
      <c r="K181" s="2" t="s">
        <v>35</v>
      </c>
      <c r="L181" s="2" t="s">
        <v>35</v>
      </c>
      <c r="M181" s="2" t="s">
        <v>35</v>
      </c>
      <c r="N181" s="3">
        <v>44725.660694247686</v>
      </c>
      <c r="O181" s="3">
        <v>44725.660916736109</v>
      </c>
      <c r="P181" s="2">
        <v>0</v>
      </c>
      <c r="Q181" s="2" t="s">
        <v>109</v>
      </c>
      <c r="R181" s="2" t="s">
        <v>38</v>
      </c>
      <c r="S181" s="2" t="s">
        <v>35</v>
      </c>
      <c r="T181" s="2">
        <v>0</v>
      </c>
      <c r="U181" s="2" t="s">
        <v>35</v>
      </c>
      <c r="V181" s="2" t="b">
        <v>0</v>
      </c>
      <c r="W181" s="2" t="s">
        <v>35</v>
      </c>
      <c r="X181" s="2" t="s">
        <v>35</v>
      </c>
      <c r="Y181" s="2" t="s">
        <v>35</v>
      </c>
      <c r="Z181" s="2" t="s">
        <v>35</v>
      </c>
    </row>
    <row r="182" spans="1:26" x14ac:dyDescent="0.2">
      <c r="A182" s="2" t="s">
        <v>3879</v>
      </c>
      <c r="B182" s="2" t="b">
        <v>0</v>
      </c>
      <c r="C182" s="2" t="b">
        <v>0</v>
      </c>
      <c r="D182" s="2" t="b">
        <v>0</v>
      </c>
      <c r="E182" s="2" t="b">
        <v>0</v>
      </c>
      <c r="F182" s="2" t="s">
        <v>31</v>
      </c>
      <c r="G182" s="2" t="s">
        <v>9201</v>
      </c>
      <c r="H182" s="2" t="s">
        <v>9202</v>
      </c>
      <c r="I182" s="2" t="s">
        <v>114</v>
      </c>
      <c r="J182" s="2" t="s">
        <v>35</v>
      </c>
      <c r="K182" s="2" t="s">
        <v>35</v>
      </c>
      <c r="L182" s="2" t="s">
        <v>35</v>
      </c>
      <c r="M182" s="2" t="s">
        <v>35</v>
      </c>
      <c r="N182" s="3">
        <v>44725.661309965275</v>
      </c>
      <c r="O182" s="3">
        <v>44725.661610104165</v>
      </c>
      <c r="P182" s="2">
        <v>0</v>
      </c>
      <c r="Q182" s="2" t="s">
        <v>109</v>
      </c>
      <c r="R182" s="2" t="s">
        <v>2402</v>
      </c>
      <c r="S182" s="2" t="s">
        <v>35</v>
      </c>
      <c r="T182" s="2">
        <v>0</v>
      </c>
      <c r="U182" s="2" t="s">
        <v>35</v>
      </c>
      <c r="V182" s="2" t="b">
        <v>0</v>
      </c>
      <c r="W182" s="2" t="s">
        <v>35</v>
      </c>
      <c r="X182" s="2" t="s">
        <v>35</v>
      </c>
      <c r="Y182" s="2" t="s">
        <v>35</v>
      </c>
      <c r="Z182" s="2" t="s">
        <v>35</v>
      </c>
    </row>
    <row r="183" spans="1:26" x14ac:dyDescent="0.2">
      <c r="A183" s="2" t="s">
        <v>116</v>
      </c>
      <c r="B183" s="2" t="b">
        <v>0</v>
      </c>
      <c r="C183" s="2" t="b">
        <v>0</v>
      </c>
      <c r="D183" s="2" t="b">
        <v>0</v>
      </c>
      <c r="E183" s="2" t="b">
        <v>0</v>
      </c>
      <c r="F183" s="2" t="s">
        <v>31</v>
      </c>
      <c r="G183" s="2" t="s">
        <v>117</v>
      </c>
      <c r="H183" s="2" t="s">
        <v>118</v>
      </c>
      <c r="I183" s="2" t="s">
        <v>119</v>
      </c>
      <c r="J183" s="2" t="s">
        <v>35</v>
      </c>
      <c r="K183" s="2" t="s">
        <v>35</v>
      </c>
      <c r="L183" s="2" t="s">
        <v>35</v>
      </c>
      <c r="M183" s="2" t="s">
        <v>35</v>
      </c>
      <c r="N183" s="3">
        <v>44725.662370381942</v>
      </c>
      <c r="O183" s="3">
        <v>44725.662850092594</v>
      </c>
      <c r="P183" s="2">
        <v>0</v>
      </c>
      <c r="Q183" s="2" t="s">
        <v>109</v>
      </c>
      <c r="R183" s="2" t="s">
        <v>38</v>
      </c>
      <c r="S183" s="2" t="s">
        <v>35</v>
      </c>
      <c r="T183" s="2">
        <v>0</v>
      </c>
      <c r="U183" s="2" t="s">
        <v>35</v>
      </c>
      <c r="V183" s="2" t="b">
        <v>0</v>
      </c>
      <c r="W183" s="2" t="s">
        <v>35</v>
      </c>
      <c r="X183" s="2" t="s">
        <v>35</v>
      </c>
      <c r="Y183" s="2" t="s">
        <v>35</v>
      </c>
      <c r="Z183" s="2" t="s">
        <v>35</v>
      </c>
    </row>
    <row r="184" spans="1:26" x14ac:dyDescent="0.2">
      <c r="A184" s="2" t="s">
        <v>3888</v>
      </c>
      <c r="B184" s="2" t="b">
        <v>0</v>
      </c>
      <c r="C184" s="2" t="b">
        <v>0</v>
      </c>
      <c r="D184" s="2" t="b">
        <v>0</v>
      </c>
      <c r="E184" s="2" t="b">
        <v>0</v>
      </c>
      <c r="F184" s="2" t="s">
        <v>31</v>
      </c>
      <c r="G184" s="2" t="s">
        <v>9203</v>
      </c>
      <c r="H184" s="2" t="s">
        <v>9204</v>
      </c>
      <c r="I184" s="2" t="s">
        <v>119</v>
      </c>
      <c r="J184" s="2" t="s">
        <v>35</v>
      </c>
      <c r="K184" s="2" t="s">
        <v>35</v>
      </c>
      <c r="L184" s="2" t="s">
        <v>35</v>
      </c>
      <c r="M184" s="2" t="s">
        <v>35</v>
      </c>
      <c r="N184" s="3">
        <v>44725.662972453705</v>
      </c>
      <c r="O184" s="3">
        <v>44725.663394525465</v>
      </c>
      <c r="P184" s="2">
        <v>0</v>
      </c>
      <c r="Q184" s="2" t="s">
        <v>109</v>
      </c>
      <c r="R184" s="2" t="s">
        <v>2402</v>
      </c>
      <c r="S184" s="2" t="s">
        <v>35</v>
      </c>
      <c r="T184" s="2">
        <v>0</v>
      </c>
      <c r="U184" s="2" t="s">
        <v>35</v>
      </c>
      <c r="V184" s="2" t="b">
        <v>0</v>
      </c>
      <c r="W184" s="2" t="s">
        <v>35</v>
      </c>
      <c r="X184" s="2" t="s">
        <v>35</v>
      </c>
      <c r="Y184" s="2" t="s">
        <v>35</v>
      </c>
      <c r="Z184" s="2" t="s">
        <v>35</v>
      </c>
    </row>
    <row r="185" spans="1:26" x14ac:dyDescent="0.2">
      <c r="A185" s="2" t="s">
        <v>120</v>
      </c>
      <c r="B185" s="2" t="b">
        <v>0</v>
      </c>
      <c r="C185" s="2" t="b">
        <v>0</v>
      </c>
      <c r="D185" s="2" t="b">
        <v>0</v>
      </c>
      <c r="E185" s="2" t="b">
        <v>0</v>
      </c>
      <c r="F185" s="2" t="s">
        <v>121</v>
      </c>
      <c r="G185" s="2" t="s">
        <v>122</v>
      </c>
      <c r="H185" s="2" t="s">
        <v>123</v>
      </c>
      <c r="I185" s="2" t="s">
        <v>35</v>
      </c>
      <c r="J185" s="2" t="s">
        <v>35</v>
      </c>
      <c r="K185" s="2" t="s">
        <v>35</v>
      </c>
      <c r="L185" s="2" t="s">
        <v>35</v>
      </c>
      <c r="M185" s="2" t="s">
        <v>35</v>
      </c>
      <c r="N185" s="3">
        <v>44725.665856712963</v>
      </c>
      <c r="O185" s="3">
        <v>44725.665988773151</v>
      </c>
      <c r="P185" s="2">
        <v>0</v>
      </c>
      <c r="Q185" s="2" t="s">
        <v>124</v>
      </c>
      <c r="R185" s="2" t="s">
        <v>38</v>
      </c>
      <c r="S185" s="2" t="s">
        <v>35</v>
      </c>
      <c r="T185" s="2" t="s">
        <v>35</v>
      </c>
      <c r="U185" s="2" t="s">
        <v>35</v>
      </c>
      <c r="V185" s="2" t="b">
        <v>0</v>
      </c>
      <c r="W185" s="2" t="s">
        <v>35</v>
      </c>
      <c r="X185" s="2" t="s">
        <v>35</v>
      </c>
      <c r="Y185" s="2" t="s">
        <v>35</v>
      </c>
      <c r="Z185" s="2" t="s">
        <v>35</v>
      </c>
    </row>
    <row r="186" spans="1:26" x14ac:dyDescent="0.2">
      <c r="A186" s="2" t="s">
        <v>3897</v>
      </c>
      <c r="B186" s="2" t="b">
        <v>0</v>
      </c>
      <c r="C186" s="2" t="b">
        <v>0</v>
      </c>
      <c r="D186" s="2" t="b">
        <v>0</v>
      </c>
      <c r="E186" s="2" t="b">
        <v>0</v>
      </c>
      <c r="F186" s="2" t="s">
        <v>121</v>
      </c>
      <c r="G186" s="2" t="s">
        <v>9205</v>
      </c>
      <c r="H186" s="2" t="s">
        <v>9206</v>
      </c>
      <c r="I186" s="2" t="s">
        <v>35</v>
      </c>
      <c r="J186" s="2" t="s">
        <v>35</v>
      </c>
      <c r="K186" s="2" t="s">
        <v>35</v>
      </c>
      <c r="L186" s="2" t="s">
        <v>35</v>
      </c>
      <c r="M186" s="2" t="s">
        <v>35</v>
      </c>
      <c r="N186" s="3">
        <v>44725.666768587966</v>
      </c>
      <c r="O186" s="3">
        <v>44725.667062928238</v>
      </c>
      <c r="P186" s="2">
        <v>0</v>
      </c>
      <c r="Q186" s="2" t="s">
        <v>124</v>
      </c>
      <c r="R186" s="2" t="s">
        <v>2402</v>
      </c>
      <c r="S186" s="2" t="s">
        <v>35</v>
      </c>
      <c r="T186" s="2" t="s">
        <v>35</v>
      </c>
      <c r="U186" s="2" t="s">
        <v>35</v>
      </c>
      <c r="V186" s="2" t="b">
        <v>0</v>
      </c>
      <c r="W186" s="2" t="s">
        <v>35</v>
      </c>
      <c r="X186" s="2" t="s">
        <v>35</v>
      </c>
      <c r="Y186" s="2" t="s">
        <v>35</v>
      </c>
      <c r="Z186" s="2" t="s">
        <v>35</v>
      </c>
    </row>
    <row r="187" spans="1:26" x14ac:dyDescent="0.2">
      <c r="A187" s="2" t="s">
        <v>3902</v>
      </c>
      <c r="B187" s="2" t="b">
        <v>0</v>
      </c>
      <c r="C187" s="2" t="b">
        <v>0</v>
      </c>
      <c r="D187" s="2" t="b">
        <v>0</v>
      </c>
      <c r="E187" s="2" t="b">
        <v>0</v>
      </c>
      <c r="F187" s="2" t="s">
        <v>121</v>
      </c>
      <c r="G187" s="2" t="s">
        <v>9207</v>
      </c>
      <c r="H187" s="2" t="s">
        <v>9208</v>
      </c>
      <c r="I187" s="2" t="s">
        <v>35</v>
      </c>
      <c r="J187" s="2" t="s">
        <v>35</v>
      </c>
      <c r="K187" s="2" t="s">
        <v>35</v>
      </c>
      <c r="L187" s="2" t="s">
        <v>35</v>
      </c>
      <c r="M187" s="2" t="s">
        <v>35</v>
      </c>
      <c r="N187" s="3">
        <v>44725.670373553243</v>
      </c>
      <c r="O187" s="3">
        <v>44725.671025023148</v>
      </c>
      <c r="P187" s="2">
        <v>0</v>
      </c>
      <c r="Q187" s="2" t="s">
        <v>36</v>
      </c>
      <c r="R187" s="2" t="s">
        <v>2402</v>
      </c>
      <c r="S187" s="2" t="s">
        <v>35</v>
      </c>
      <c r="T187" s="2" t="s">
        <v>35</v>
      </c>
      <c r="U187" s="2" t="s">
        <v>35</v>
      </c>
      <c r="V187" s="2" t="b">
        <v>0</v>
      </c>
      <c r="W187" s="2" t="s">
        <v>35</v>
      </c>
      <c r="X187" s="2" t="s">
        <v>35</v>
      </c>
      <c r="Y187" s="2" t="s">
        <v>35</v>
      </c>
      <c r="Z187" s="2" t="s">
        <v>35</v>
      </c>
    </row>
    <row r="188" spans="1:26" x14ac:dyDescent="0.2">
      <c r="A188" s="2" t="s">
        <v>126</v>
      </c>
      <c r="B188" s="2" t="b">
        <v>0</v>
      </c>
      <c r="C188" s="2" t="b">
        <v>0</v>
      </c>
      <c r="D188" s="2" t="b">
        <v>0</v>
      </c>
      <c r="E188" s="2" t="b">
        <v>0</v>
      </c>
      <c r="F188" s="2" t="s">
        <v>31</v>
      </c>
      <c r="G188" s="2" t="s">
        <v>127</v>
      </c>
      <c r="H188" s="2" t="s">
        <v>128</v>
      </c>
      <c r="I188" s="2" t="s">
        <v>90</v>
      </c>
      <c r="J188" s="2" t="s">
        <v>35</v>
      </c>
      <c r="K188" s="2" t="s">
        <v>35</v>
      </c>
      <c r="L188" s="2" t="s">
        <v>35</v>
      </c>
      <c r="M188" s="2" t="s">
        <v>35</v>
      </c>
      <c r="N188" s="3">
        <v>44725.671097962964</v>
      </c>
      <c r="O188" s="3">
        <v>44725.671408912036</v>
      </c>
      <c r="P188" s="2">
        <v>0</v>
      </c>
      <c r="Q188" s="2" t="s">
        <v>36</v>
      </c>
      <c r="R188" s="2" t="s">
        <v>38</v>
      </c>
      <c r="S188" s="2" t="s">
        <v>35</v>
      </c>
      <c r="T188" s="2" t="s">
        <v>35</v>
      </c>
      <c r="U188" s="2" t="s">
        <v>35</v>
      </c>
      <c r="V188" s="2" t="b">
        <v>0</v>
      </c>
      <c r="W188" s="2" t="s">
        <v>35</v>
      </c>
      <c r="X188" s="2" t="s">
        <v>35</v>
      </c>
      <c r="Y188" s="2" t="s">
        <v>35</v>
      </c>
      <c r="Z188" s="2">
        <v>4</v>
      </c>
    </row>
    <row r="189" spans="1:26" x14ac:dyDescent="0.2">
      <c r="A189" s="2" t="s">
        <v>129</v>
      </c>
      <c r="B189" s="2" t="b">
        <v>0</v>
      </c>
      <c r="C189" s="2" t="b">
        <v>0</v>
      </c>
      <c r="D189" s="2" t="b">
        <v>0</v>
      </c>
      <c r="E189" s="2" t="b">
        <v>0</v>
      </c>
      <c r="F189" s="2" t="s">
        <v>31</v>
      </c>
      <c r="G189" s="2" t="s">
        <v>130</v>
      </c>
      <c r="H189" s="2" t="s">
        <v>131</v>
      </c>
      <c r="I189" s="2" t="s">
        <v>90</v>
      </c>
      <c r="J189" s="2" t="s">
        <v>35</v>
      </c>
      <c r="K189" s="2" t="s">
        <v>35</v>
      </c>
      <c r="L189" s="2" t="s">
        <v>35</v>
      </c>
      <c r="M189" s="2" t="s">
        <v>35</v>
      </c>
      <c r="N189" s="3">
        <v>44725.673547500002</v>
      </c>
      <c r="O189" s="3">
        <v>44725.674455960645</v>
      </c>
      <c r="P189" s="2">
        <v>0</v>
      </c>
      <c r="Q189" s="2" t="s">
        <v>36</v>
      </c>
      <c r="R189" s="2" t="s">
        <v>38</v>
      </c>
      <c r="S189" s="2" t="s">
        <v>35</v>
      </c>
      <c r="T189" s="2" t="s">
        <v>35</v>
      </c>
      <c r="U189" s="2" t="s">
        <v>35</v>
      </c>
      <c r="V189" s="2" t="b">
        <v>0</v>
      </c>
      <c r="W189" s="2" t="s">
        <v>35</v>
      </c>
      <c r="X189" s="2" t="s">
        <v>35</v>
      </c>
      <c r="Y189" s="2" t="s">
        <v>35</v>
      </c>
      <c r="Z189" s="2">
        <v>6</v>
      </c>
    </row>
    <row r="190" spans="1:26" x14ac:dyDescent="0.2">
      <c r="A190" s="2" t="s">
        <v>132</v>
      </c>
      <c r="B190" s="2" t="b">
        <v>0</v>
      </c>
      <c r="C190" s="2" t="b">
        <v>0</v>
      </c>
      <c r="D190" s="2" t="b">
        <v>0</v>
      </c>
      <c r="E190" s="2" t="b">
        <v>0</v>
      </c>
      <c r="F190" s="2" t="s">
        <v>31</v>
      </c>
      <c r="G190" s="2" t="s">
        <v>133</v>
      </c>
      <c r="H190" s="2" t="s">
        <v>134</v>
      </c>
      <c r="I190" s="2" t="s">
        <v>135</v>
      </c>
      <c r="J190" s="2" t="s">
        <v>35</v>
      </c>
      <c r="K190" s="2" t="s">
        <v>35</v>
      </c>
      <c r="L190" s="2" t="s">
        <v>35</v>
      </c>
      <c r="M190" s="2" t="s">
        <v>35</v>
      </c>
      <c r="N190" s="3">
        <v>44725.67726355324</v>
      </c>
      <c r="O190" s="3">
        <v>44725.677634375003</v>
      </c>
      <c r="P190" s="2">
        <v>0</v>
      </c>
      <c r="Q190" s="2" t="s">
        <v>36</v>
      </c>
      <c r="R190" s="2" t="s">
        <v>38</v>
      </c>
      <c r="S190" s="2" t="s">
        <v>35</v>
      </c>
      <c r="T190" s="2" t="s">
        <v>35</v>
      </c>
      <c r="U190" s="2" t="s">
        <v>35</v>
      </c>
      <c r="V190" s="2" t="b">
        <v>0</v>
      </c>
      <c r="W190" s="2" t="s">
        <v>35</v>
      </c>
      <c r="X190" s="2" t="s">
        <v>35</v>
      </c>
      <c r="Y190" s="2">
        <v>5</v>
      </c>
      <c r="Z190" s="2" t="s">
        <v>35</v>
      </c>
    </row>
    <row r="191" spans="1:26" x14ac:dyDescent="0.2">
      <c r="A191" s="2" t="s">
        <v>136</v>
      </c>
      <c r="B191" s="2" t="b">
        <v>0</v>
      </c>
      <c r="C191" s="2" t="b">
        <v>0</v>
      </c>
      <c r="D191" s="2" t="b">
        <v>0</v>
      </c>
      <c r="E191" s="2" t="b">
        <v>0</v>
      </c>
      <c r="F191" s="2" t="s">
        <v>31</v>
      </c>
      <c r="G191" s="2" t="s">
        <v>137</v>
      </c>
      <c r="H191" s="2" t="s">
        <v>138</v>
      </c>
      <c r="I191" s="2" t="s">
        <v>35</v>
      </c>
      <c r="J191" s="2" t="s">
        <v>35</v>
      </c>
      <c r="K191" s="2" t="s">
        <v>35</v>
      </c>
      <c r="L191" s="2">
        <v>2</v>
      </c>
      <c r="M191" s="2">
        <v>16.5</v>
      </c>
      <c r="N191" s="3">
        <v>44725.678030868054</v>
      </c>
      <c r="O191" s="3">
        <v>44725.678487627316</v>
      </c>
      <c r="P191" s="2">
        <v>0</v>
      </c>
      <c r="Q191" s="2" t="s">
        <v>54</v>
      </c>
      <c r="R191" s="2" t="s">
        <v>38</v>
      </c>
      <c r="S191" s="2" t="s">
        <v>35</v>
      </c>
      <c r="T191" s="2" t="s">
        <v>35</v>
      </c>
      <c r="U191" s="2" t="s">
        <v>35</v>
      </c>
      <c r="V191" s="2" t="b">
        <v>0</v>
      </c>
      <c r="W191" s="2" t="s">
        <v>35</v>
      </c>
      <c r="X191" s="2" t="s">
        <v>35</v>
      </c>
      <c r="Y191" s="2" t="s">
        <v>35</v>
      </c>
      <c r="Z191" s="2" t="s">
        <v>35</v>
      </c>
    </row>
    <row r="192" spans="1:26" x14ac:dyDescent="0.2">
      <c r="A192" s="2" t="s">
        <v>139</v>
      </c>
      <c r="B192" s="2" t="b">
        <v>0</v>
      </c>
      <c r="C192" s="2" t="b">
        <v>0</v>
      </c>
      <c r="D192" s="2" t="b">
        <v>0</v>
      </c>
      <c r="E192" s="2" t="b">
        <v>0</v>
      </c>
      <c r="F192" s="2" t="s">
        <v>31</v>
      </c>
      <c r="G192" s="2" t="s">
        <v>140</v>
      </c>
      <c r="H192" s="2" t="s">
        <v>141</v>
      </c>
      <c r="I192" s="2" t="s">
        <v>35</v>
      </c>
      <c r="J192" s="2" t="s">
        <v>35</v>
      </c>
      <c r="K192" s="2" t="s">
        <v>35</v>
      </c>
      <c r="L192" s="2">
        <v>13</v>
      </c>
      <c r="M192" s="2">
        <v>15.5</v>
      </c>
      <c r="N192" s="3">
        <v>44725.679164745372</v>
      </c>
      <c r="O192" s="3">
        <v>44725.679810289352</v>
      </c>
      <c r="P192" s="2">
        <v>0</v>
      </c>
      <c r="Q192" s="2" t="s">
        <v>54</v>
      </c>
      <c r="R192" s="2" t="s">
        <v>38</v>
      </c>
      <c r="S192" s="2" t="s">
        <v>35</v>
      </c>
      <c r="T192" s="2" t="s">
        <v>35</v>
      </c>
      <c r="U192" s="2" t="s">
        <v>35</v>
      </c>
      <c r="V192" s="2" t="b">
        <v>0</v>
      </c>
      <c r="W192" s="2" t="s">
        <v>35</v>
      </c>
      <c r="X192" s="2" t="s">
        <v>35</v>
      </c>
      <c r="Y192" s="2" t="s">
        <v>35</v>
      </c>
      <c r="Z192" s="2" t="s">
        <v>35</v>
      </c>
    </row>
    <row r="193" spans="1:26" x14ac:dyDescent="0.2">
      <c r="A193" s="2" t="s">
        <v>142</v>
      </c>
      <c r="B193" s="2" t="b">
        <v>0</v>
      </c>
      <c r="C193" s="2" t="b">
        <v>0</v>
      </c>
      <c r="D193" s="2" t="b">
        <v>0</v>
      </c>
      <c r="E193" s="2" t="b">
        <v>0</v>
      </c>
      <c r="F193" s="2" t="s">
        <v>31</v>
      </c>
      <c r="G193" s="2" t="s">
        <v>143</v>
      </c>
      <c r="H193" s="2" t="s">
        <v>144</v>
      </c>
      <c r="I193" s="2" t="s">
        <v>35</v>
      </c>
      <c r="J193" s="2" t="s">
        <v>35</v>
      </c>
      <c r="K193" s="2" t="s">
        <v>35</v>
      </c>
      <c r="L193" s="2">
        <v>12</v>
      </c>
      <c r="M193" s="2">
        <v>16</v>
      </c>
      <c r="N193" s="3">
        <v>44725.679970671299</v>
      </c>
      <c r="O193" s="3">
        <v>44725.680365983797</v>
      </c>
      <c r="P193" s="2">
        <v>0</v>
      </c>
      <c r="Q193" s="2" t="s">
        <v>54</v>
      </c>
      <c r="R193" s="2" t="s">
        <v>38</v>
      </c>
      <c r="S193" s="2" t="s">
        <v>35</v>
      </c>
      <c r="T193" s="2" t="s">
        <v>35</v>
      </c>
      <c r="U193" s="2" t="s">
        <v>35</v>
      </c>
      <c r="V193" s="2" t="b">
        <v>0</v>
      </c>
      <c r="W193" s="2" t="s">
        <v>35</v>
      </c>
      <c r="X193" s="2" t="s">
        <v>35</v>
      </c>
      <c r="Y193" s="2" t="s">
        <v>35</v>
      </c>
      <c r="Z193" s="2" t="s">
        <v>35</v>
      </c>
    </row>
    <row r="194" spans="1:26" x14ac:dyDescent="0.2">
      <c r="A194" s="2" t="s">
        <v>145</v>
      </c>
      <c r="B194" s="2" t="b">
        <v>0</v>
      </c>
      <c r="C194" s="2" t="b">
        <v>0</v>
      </c>
      <c r="D194" s="2" t="b">
        <v>0</v>
      </c>
      <c r="E194" s="2" t="b">
        <v>0</v>
      </c>
      <c r="F194" s="2" t="s">
        <v>31</v>
      </c>
      <c r="G194" s="2" t="s">
        <v>146</v>
      </c>
      <c r="H194" s="2" t="s">
        <v>147</v>
      </c>
      <c r="I194" s="2" t="s">
        <v>35</v>
      </c>
      <c r="J194" s="2" t="s">
        <v>35</v>
      </c>
      <c r="K194" s="2" t="s">
        <v>35</v>
      </c>
      <c r="L194" s="2">
        <v>10</v>
      </c>
      <c r="M194" s="2">
        <v>15</v>
      </c>
      <c r="N194" s="3">
        <v>44725.682471192129</v>
      </c>
      <c r="O194" s="3">
        <v>44725.682810532409</v>
      </c>
      <c r="P194" s="2">
        <v>0</v>
      </c>
      <c r="Q194" s="2" t="s">
        <v>54</v>
      </c>
      <c r="R194" s="2" t="s">
        <v>38</v>
      </c>
      <c r="S194" s="2" t="s">
        <v>35</v>
      </c>
      <c r="T194" s="2" t="s">
        <v>35</v>
      </c>
      <c r="U194" s="2" t="s">
        <v>35</v>
      </c>
      <c r="V194" s="2" t="b">
        <v>0</v>
      </c>
      <c r="W194" s="2" t="s">
        <v>35</v>
      </c>
      <c r="X194" s="2" t="s">
        <v>35</v>
      </c>
      <c r="Y194" s="2" t="s">
        <v>35</v>
      </c>
      <c r="Z194" s="2" t="s">
        <v>35</v>
      </c>
    </row>
    <row r="195" spans="1:26" x14ac:dyDescent="0.2">
      <c r="A195" s="2" t="s">
        <v>148</v>
      </c>
      <c r="B195" s="2" t="b">
        <v>0</v>
      </c>
      <c r="C195" s="2" t="b">
        <v>0</v>
      </c>
      <c r="D195" s="2" t="b">
        <v>0</v>
      </c>
      <c r="E195" s="2" t="b">
        <v>0</v>
      </c>
      <c r="F195" s="2" t="s">
        <v>31</v>
      </c>
      <c r="G195" s="2" t="s">
        <v>149</v>
      </c>
      <c r="H195" s="2" t="s">
        <v>150</v>
      </c>
      <c r="I195" s="2" t="s">
        <v>35</v>
      </c>
      <c r="J195" s="2" t="s">
        <v>35</v>
      </c>
      <c r="K195" s="2" t="s">
        <v>35</v>
      </c>
      <c r="L195" s="2">
        <v>19</v>
      </c>
      <c r="M195" s="2">
        <v>20</v>
      </c>
      <c r="N195" s="3">
        <v>44725.68485769676</v>
      </c>
      <c r="O195" s="3">
        <v>44725.685125034724</v>
      </c>
      <c r="P195" s="2">
        <v>0</v>
      </c>
      <c r="Q195" s="2" t="s">
        <v>54</v>
      </c>
      <c r="R195" s="2" t="s">
        <v>38</v>
      </c>
      <c r="S195" s="2" t="s">
        <v>35</v>
      </c>
      <c r="T195" s="2" t="s">
        <v>35</v>
      </c>
      <c r="U195" s="2" t="s">
        <v>35</v>
      </c>
      <c r="V195" s="2" t="b">
        <v>0</v>
      </c>
      <c r="W195" s="2" t="s">
        <v>35</v>
      </c>
      <c r="X195" s="2" t="s">
        <v>35</v>
      </c>
      <c r="Y195" s="2" t="s">
        <v>35</v>
      </c>
      <c r="Z195" s="2" t="s">
        <v>35</v>
      </c>
    </row>
    <row r="196" spans="1:26" x14ac:dyDescent="0.2">
      <c r="A196" s="2" t="s">
        <v>151</v>
      </c>
      <c r="B196" s="2" t="b">
        <v>0</v>
      </c>
      <c r="C196" s="2" t="b">
        <v>0</v>
      </c>
      <c r="D196" s="2" t="b">
        <v>0</v>
      </c>
      <c r="E196" s="2" t="b">
        <v>0</v>
      </c>
      <c r="F196" s="2" t="s">
        <v>31</v>
      </c>
      <c r="G196" s="2" t="s">
        <v>152</v>
      </c>
      <c r="H196" s="2" t="s">
        <v>153</v>
      </c>
      <c r="I196" s="2" t="s">
        <v>35</v>
      </c>
      <c r="J196" s="2" t="s">
        <v>35</v>
      </c>
      <c r="K196" s="2" t="s">
        <v>35</v>
      </c>
      <c r="L196" s="2">
        <v>4</v>
      </c>
      <c r="M196" s="2">
        <v>15</v>
      </c>
      <c r="N196" s="3">
        <v>44725.685316967596</v>
      </c>
      <c r="O196" s="3">
        <v>44725.685593425929</v>
      </c>
      <c r="P196" s="2">
        <v>0</v>
      </c>
      <c r="Q196" s="2" t="s">
        <v>54</v>
      </c>
      <c r="R196" s="2" t="s">
        <v>38</v>
      </c>
      <c r="S196" s="2" t="s">
        <v>35</v>
      </c>
      <c r="T196" s="2" t="s">
        <v>35</v>
      </c>
      <c r="U196" s="2" t="s">
        <v>35</v>
      </c>
      <c r="V196" s="2" t="b">
        <v>0</v>
      </c>
      <c r="W196" s="2" t="s">
        <v>35</v>
      </c>
      <c r="X196" s="2" t="s">
        <v>35</v>
      </c>
      <c r="Y196" s="2" t="s">
        <v>35</v>
      </c>
      <c r="Z196" s="2" t="s">
        <v>35</v>
      </c>
    </row>
    <row r="197" spans="1:26" x14ac:dyDescent="0.2">
      <c r="A197" s="2" t="s">
        <v>154</v>
      </c>
      <c r="B197" s="2" t="b">
        <v>0</v>
      </c>
      <c r="C197" s="2" t="b">
        <v>0</v>
      </c>
      <c r="D197" s="2" t="b">
        <v>0</v>
      </c>
      <c r="E197" s="2" t="b">
        <v>0</v>
      </c>
      <c r="F197" s="2" t="s">
        <v>31</v>
      </c>
      <c r="G197" s="2" t="s">
        <v>155</v>
      </c>
      <c r="H197" s="2" t="s">
        <v>156</v>
      </c>
      <c r="I197" s="2" t="s">
        <v>157</v>
      </c>
      <c r="J197" s="2" t="s">
        <v>35</v>
      </c>
      <c r="K197" s="2" t="s">
        <v>35</v>
      </c>
      <c r="L197" s="2">
        <v>27</v>
      </c>
      <c r="M197" s="2">
        <v>16</v>
      </c>
      <c r="N197" s="3">
        <v>44725.68569510417</v>
      </c>
      <c r="O197" s="3">
        <v>44725.687256134261</v>
      </c>
      <c r="P197" s="2">
        <v>0</v>
      </c>
      <c r="Q197" s="2" t="s">
        <v>54</v>
      </c>
      <c r="R197" s="2" t="s">
        <v>38</v>
      </c>
      <c r="S197" s="2" t="s">
        <v>35</v>
      </c>
      <c r="T197" s="2" t="s">
        <v>35</v>
      </c>
      <c r="U197" s="2" t="s">
        <v>35</v>
      </c>
      <c r="V197" s="2" t="b">
        <v>0</v>
      </c>
      <c r="W197" s="2" t="s">
        <v>35</v>
      </c>
      <c r="X197" s="2" t="s">
        <v>35</v>
      </c>
      <c r="Y197" s="2" t="s">
        <v>35</v>
      </c>
      <c r="Z197" s="2" t="s">
        <v>35</v>
      </c>
    </row>
    <row r="198" spans="1:26" x14ac:dyDescent="0.2">
      <c r="A198" s="2" t="s">
        <v>158</v>
      </c>
      <c r="B198" s="2" t="b">
        <v>0</v>
      </c>
      <c r="C198" s="2" t="b">
        <v>0</v>
      </c>
      <c r="D198" s="2" t="b">
        <v>0</v>
      </c>
      <c r="E198" s="2" t="b">
        <v>0</v>
      </c>
      <c r="F198" s="2" t="s">
        <v>31</v>
      </c>
      <c r="G198" s="2" t="s">
        <v>159</v>
      </c>
      <c r="H198" s="2" t="s">
        <v>160</v>
      </c>
      <c r="I198" s="2" t="s">
        <v>90</v>
      </c>
      <c r="J198" s="2" t="s">
        <v>35</v>
      </c>
      <c r="K198" s="2" t="s">
        <v>35</v>
      </c>
      <c r="L198" s="2" t="s">
        <v>35</v>
      </c>
      <c r="M198" s="2" t="s">
        <v>35</v>
      </c>
      <c r="N198" s="3">
        <v>44725.690554872686</v>
      </c>
      <c r="O198" s="3">
        <v>44725.690861550924</v>
      </c>
      <c r="P198" s="2">
        <v>0</v>
      </c>
      <c r="Q198" s="2" t="s">
        <v>36</v>
      </c>
      <c r="R198" s="2" t="s">
        <v>38</v>
      </c>
      <c r="S198" s="2" t="s">
        <v>35</v>
      </c>
      <c r="T198" s="2" t="s">
        <v>35</v>
      </c>
      <c r="U198" s="2" t="s">
        <v>35</v>
      </c>
      <c r="V198" s="2" t="b">
        <v>0</v>
      </c>
      <c r="W198" s="2" t="s">
        <v>35</v>
      </c>
      <c r="X198" s="2" t="s">
        <v>35</v>
      </c>
      <c r="Y198" s="2" t="s">
        <v>35</v>
      </c>
      <c r="Z198" s="2">
        <v>5</v>
      </c>
    </row>
    <row r="199" spans="1:26" x14ac:dyDescent="0.2">
      <c r="A199" s="2" t="s">
        <v>161</v>
      </c>
      <c r="B199" s="2" t="b">
        <v>0</v>
      </c>
      <c r="C199" s="2" t="b">
        <v>0</v>
      </c>
      <c r="D199" s="2" t="b">
        <v>0</v>
      </c>
      <c r="E199" s="2" t="b">
        <v>0</v>
      </c>
      <c r="F199" s="2" t="s">
        <v>31</v>
      </c>
      <c r="G199" s="2" t="s">
        <v>162</v>
      </c>
      <c r="H199" s="2" t="s">
        <v>163</v>
      </c>
      <c r="I199" s="2" t="s">
        <v>164</v>
      </c>
      <c r="J199" s="2" t="s">
        <v>35</v>
      </c>
      <c r="K199" s="2" t="s">
        <v>35</v>
      </c>
      <c r="L199" s="2" t="s">
        <v>35</v>
      </c>
      <c r="M199" s="2" t="s">
        <v>35</v>
      </c>
      <c r="N199" s="3">
        <v>44725.692878078706</v>
      </c>
      <c r="O199" s="3">
        <v>44725.693287349539</v>
      </c>
      <c r="P199" s="2">
        <v>0</v>
      </c>
      <c r="Q199" s="2" t="s">
        <v>36</v>
      </c>
      <c r="R199" s="2" t="s">
        <v>38</v>
      </c>
      <c r="S199" s="2" t="s">
        <v>35</v>
      </c>
      <c r="T199" s="2" t="s">
        <v>35</v>
      </c>
      <c r="U199" s="2" t="s">
        <v>35</v>
      </c>
      <c r="V199" s="2" t="b">
        <v>0</v>
      </c>
      <c r="W199" s="2" t="s">
        <v>165</v>
      </c>
      <c r="X199" s="2" t="s">
        <v>35</v>
      </c>
      <c r="Y199" s="2" t="s">
        <v>35</v>
      </c>
      <c r="Z199" s="2" t="s">
        <v>35</v>
      </c>
    </row>
    <row r="200" spans="1:26" x14ac:dyDescent="0.2">
      <c r="A200" s="2" t="s">
        <v>166</v>
      </c>
      <c r="B200" s="2" t="b">
        <v>0</v>
      </c>
      <c r="C200" s="2" t="b">
        <v>0</v>
      </c>
      <c r="D200" s="2" t="b">
        <v>0</v>
      </c>
      <c r="E200" s="2" t="b">
        <v>0</v>
      </c>
      <c r="F200" s="2" t="s">
        <v>31</v>
      </c>
      <c r="G200" s="2" t="s">
        <v>167</v>
      </c>
      <c r="H200" s="2" t="s">
        <v>168</v>
      </c>
      <c r="I200" s="2" t="s">
        <v>35</v>
      </c>
      <c r="J200" s="2" t="s">
        <v>35</v>
      </c>
      <c r="K200" s="2" t="s">
        <v>35</v>
      </c>
      <c r="L200" s="2" t="s">
        <v>35</v>
      </c>
      <c r="M200" s="2" t="s">
        <v>35</v>
      </c>
      <c r="N200" s="3">
        <v>44725.696160277781</v>
      </c>
      <c r="O200" s="3">
        <v>44725.696396180552</v>
      </c>
      <c r="P200" s="2">
        <v>0</v>
      </c>
      <c r="Q200" s="2" t="s">
        <v>36</v>
      </c>
      <c r="R200" s="2" t="s">
        <v>38</v>
      </c>
      <c r="S200" s="2" t="s">
        <v>35</v>
      </c>
      <c r="T200" s="2" t="s">
        <v>35</v>
      </c>
      <c r="U200" s="2" t="s">
        <v>35</v>
      </c>
      <c r="V200" s="2" t="b">
        <v>0</v>
      </c>
      <c r="W200" s="2" t="s">
        <v>35</v>
      </c>
      <c r="X200" s="2" t="s">
        <v>35</v>
      </c>
      <c r="Y200" s="2" t="s">
        <v>35</v>
      </c>
      <c r="Z200" s="2">
        <v>7</v>
      </c>
    </row>
    <row r="201" spans="1:26" x14ac:dyDescent="0.2">
      <c r="A201" s="2" t="s">
        <v>169</v>
      </c>
      <c r="B201" s="2" t="b">
        <v>0</v>
      </c>
      <c r="C201" s="2" t="b">
        <v>0</v>
      </c>
      <c r="D201" s="2" t="b">
        <v>0</v>
      </c>
      <c r="E201" s="2" t="b">
        <v>0</v>
      </c>
      <c r="F201" s="2" t="s">
        <v>121</v>
      </c>
      <c r="G201" s="2" t="s">
        <v>170</v>
      </c>
      <c r="H201" s="2" t="s">
        <v>171</v>
      </c>
      <c r="I201" s="2" t="s">
        <v>35</v>
      </c>
      <c r="J201" s="2" t="s">
        <v>35</v>
      </c>
      <c r="K201" s="2" t="s">
        <v>35</v>
      </c>
      <c r="L201" s="2" t="s">
        <v>35</v>
      </c>
      <c r="M201" s="2" t="s">
        <v>35</v>
      </c>
      <c r="N201" s="3">
        <v>44725.699053032411</v>
      </c>
      <c r="O201" s="3">
        <v>44725.699252754632</v>
      </c>
      <c r="P201" s="2">
        <v>0</v>
      </c>
      <c r="Q201" s="2" t="s">
        <v>124</v>
      </c>
      <c r="R201" s="2" t="s">
        <v>38</v>
      </c>
      <c r="S201" s="2" t="s">
        <v>35</v>
      </c>
      <c r="T201" s="2" t="s">
        <v>35</v>
      </c>
      <c r="U201" s="2" t="s">
        <v>35</v>
      </c>
      <c r="V201" s="2" t="b">
        <v>0</v>
      </c>
      <c r="W201" s="2" t="s">
        <v>35</v>
      </c>
      <c r="X201" s="2" t="s">
        <v>35</v>
      </c>
      <c r="Y201" s="2" t="s">
        <v>35</v>
      </c>
      <c r="Z201" s="2" t="s">
        <v>35</v>
      </c>
    </row>
    <row r="202" spans="1:26" x14ac:dyDescent="0.2">
      <c r="A202" s="2" t="s">
        <v>172</v>
      </c>
      <c r="B202" s="2" t="b">
        <v>0</v>
      </c>
      <c r="C202" s="2" t="b">
        <v>0</v>
      </c>
      <c r="D202" s="2" t="b">
        <v>0</v>
      </c>
      <c r="E202" s="2" t="b">
        <v>0</v>
      </c>
      <c r="F202" s="2" t="s">
        <v>31</v>
      </c>
      <c r="G202" s="2" t="s">
        <v>173</v>
      </c>
      <c r="H202" s="2" t="s">
        <v>174</v>
      </c>
      <c r="I202" s="2" t="s">
        <v>90</v>
      </c>
      <c r="J202" s="2" t="s">
        <v>35</v>
      </c>
      <c r="K202" s="2" t="s">
        <v>35</v>
      </c>
      <c r="L202" s="2" t="s">
        <v>35</v>
      </c>
      <c r="M202" s="2" t="s">
        <v>35</v>
      </c>
      <c r="N202" s="3">
        <v>44725.712107638887</v>
      </c>
      <c r="O202" s="3">
        <v>44725.712976458337</v>
      </c>
      <c r="P202" s="2">
        <v>0</v>
      </c>
      <c r="Q202" s="2" t="s">
        <v>36</v>
      </c>
      <c r="R202" s="2" t="s">
        <v>38</v>
      </c>
      <c r="S202" s="2" t="s">
        <v>35</v>
      </c>
      <c r="T202" s="2" t="s">
        <v>35</v>
      </c>
      <c r="U202" s="2" t="s">
        <v>35</v>
      </c>
      <c r="V202" s="2" t="b">
        <v>0</v>
      </c>
      <c r="W202" s="2" t="s">
        <v>35</v>
      </c>
      <c r="X202" s="2" t="s">
        <v>35</v>
      </c>
      <c r="Y202" s="2" t="s">
        <v>35</v>
      </c>
      <c r="Z202" s="2">
        <v>4</v>
      </c>
    </row>
    <row r="203" spans="1:26" x14ac:dyDescent="0.2">
      <c r="A203" s="2" t="s">
        <v>175</v>
      </c>
      <c r="B203" s="2" t="b">
        <v>0</v>
      </c>
      <c r="C203" s="2" t="b">
        <v>0</v>
      </c>
      <c r="D203" s="2" t="b">
        <v>0</v>
      </c>
      <c r="E203" s="2" t="b">
        <v>0</v>
      </c>
      <c r="F203" s="2" t="s">
        <v>31</v>
      </c>
      <c r="G203" s="2" t="s">
        <v>176</v>
      </c>
      <c r="H203" s="2" t="s">
        <v>177</v>
      </c>
      <c r="I203" s="2" t="s">
        <v>119</v>
      </c>
      <c r="J203" s="2" t="s">
        <v>35</v>
      </c>
      <c r="K203" s="2" t="s">
        <v>35</v>
      </c>
      <c r="L203" s="2" t="s">
        <v>35</v>
      </c>
      <c r="M203" s="2" t="s">
        <v>35</v>
      </c>
      <c r="N203" s="3">
        <v>44725.723029386572</v>
      </c>
      <c r="O203" s="3">
        <v>44725.723318819444</v>
      </c>
      <c r="P203" s="2">
        <v>0</v>
      </c>
      <c r="Q203" s="2" t="s">
        <v>109</v>
      </c>
      <c r="R203" s="2" t="s">
        <v>38</v>
      </c>
      <c r="S203" s="2" t="s">
        <v>35</v>
      </c>
      <c r="T203" s="2">
        <v>0</v>
      </c>
      <c r="U203" s="2" t="s">
        <v>35</v>
      </c>
      <c r="V203" s="2" t="b">
        <v>0</v>
      </c>
      <c r="W203" s="2" t="s">
        <v>35</v>
      </c>
      <c r="X203" s="2" t="s">
        <v>35</v>
      </c>
      <c r="Y203" s="2" t="s">
        <v>35</v>
      </c>
      <c r="Z203" s="2" t="s">
        <v>35</v>
      </c>
    </row>
    <row r="204" spans="1:26" x14ac:dyDescent="0.2">
      <c r="A204" s="2" t="s">
        <v>178</v>
      </c>
      <c r="B204" s="2" t="b">
        <v>0</v>
      </c>
      <c r="C204" s="2" t="b">
        <v>0</v>
      </c>
      <c r="D204" s="2" t="b">
        <v>0</v>
      </c>
      <c r="E204" s="2" t="b">
        <v>0</v>
      </c>
      <c r="F204" s="2" t="s">
        <v>31</v>
      </c>
      <c r="G204" s="2" t="s">
        <v>179</v>
      </c>
      <c r="H204" s="2" t="s">
        <v>180</v>
      </c>
      <c r="I204" s="2" t="s">
        <v>90</v>
      </c>
      <c r="J204" s="2" t="s">
        <v>35</v>
      </c>
      <c r="K204" s="2" t="s">
        <v>35</v>
      </c>
      <c r="L204" s="2" t="s">
        <v>35</v>
      </c>
      <c r="M204" s="2" t="s">
        <v>35</v>
      </c>
      <c r="N204" s="3">
        <v>44725.724025370371</v>
      </c>
      <c r="O204" s="3">
        <v>44725.724773819442</v>
      </c>
      <c r="P204" s="2">
        <v>0</v>
      </c>
      <c r="Q204" s="2" t="s">
        <v>36</v>
      </c>
      <c r="R204" s="2" t="s">
        <v>38</v>
      </c>
      <c r="S204" s="2" t="s">
        <v>35</v>
      </c>
      <c r="T204" s="2" t="s">
        <v>35</v>
      </c>
      <c r="U204" s="2" t="s">
        <v>35</v>
      </c>
      <c r="V204" s="2" t="b">
        <v>0</v>
      </c>
      <c r="W204" s="2" t="s">
        <v>35</v>
      </c>
      <c r="X204" s="2" t="s">
        <v>35</v>
      </c>
      <c r="Y204" s="2" t="s">
        <v>35</v>
      </c>
      <c r="Z204" s="2">
        <v>5</v>
      </c>
    </row>
    <row r="205" spans="1:26" x14ac:dyDescent="0.2">
      <c r="A205" s="2" t="s">
        <v>181</v>
      </c>
      <c r="B205" s="2" t="b">
        <v>0</v>
      </c>
      <c r="C205" s="2" t="b">
        <v>0</v>
      </c>
      <c r="D205" s="2" t="b">
        <v>0</v>
      </c>
      <c r="E205" s="2" t="b">
        <v>0</v>
      </c>
      <c r="F205" s="2" t="s">
        <v>121</v>
      </c>
      <c r="G205" s="2" t="s">
        <v>182</v>
      </c>
      <c r="H205" s="2" t="s">
        <v>183</v>
      </c>
      <c r="I205" s="2" t="s">
        <v>35</v>
      </c>
      <c r="J205" s="2" t="s">
        <v>35</v>
      </c>
      <c r="K205" s="2" t="s">
        <v>35</v>
      </c>
      <c r="L205" s="2" t="s">
        <v>35</v>
      </c>
      <c r="M205" s="2" t="s">
        <v>35</v>
      </c>
      <c r="N205" s="3">
        <v>44725.72638659722</v>
      </c>
      <c r="O205" s="3">
        <v>44725.726552743057</v>
      </c>
      <c r="P205" s="2">
        <v>0</v>
      </c>
      <c r="Q205" s="2" t="s">
        <v>124</v>
      </c>
      <c r="R205" s="2" t="s">
        <v>38</v>
      </c>
      <c r="S205" s="2" t="s">
        <v>35</v>
      </c>
      <c r="T205" s="2" t="s">
        <v>35</v>
      </c>
      <c r="U205" s="2" t="s">
        <v>35</v>
      </c>
      <c r="V205" s="2" t="b">
        <v>0</v>
      </c>
      <c r="W205" s="2" t="s">
        <v>35</v>
      </c>
      <c r="X205" s="2" t="s">
        <v>35</v>
      </c>
      <c r="Y205" s="2" t="s">
        <v>35</v>
      </c>
      <c r="Z205" s="2" t="s">
        <v>35</v>
      </c>
    </row>
    <row r="206" spans="1:26" x14ac:dyDescent="0.2">
      <c r="A206" s="2" t="s">
        <v>184</v>
      </c>
      <c r="B206" s="2" t="b">
        <v>0</v>
      </c>
      <c r="C206" s="2" t="b">
        <v>0</v>
      </c>
      <c r="D206" s="2" t="b">
        <v>0</v>
      </c>
      <c r="E206" s="2" t="b">
        <v>0</v>
      </c>
      <c r="F206" s="2" t="s">
        <v>121</v>
      </c>
      <c r="G206" s="2" t="s">
        <v>185</v>
      </c>
      <c r="H206" s="2" t="s">
        <v>186</v>
      </c>
      <c r="I206" s="2" t="s">
        <v>35</v>
      </c>
      <c r="J206" s="2" t="s">
        <v>35</v>
      </c>
      <c r="K206" s="2" t="s">
        <v>35</v>
      </c>
      <c r="L206" s="2" t="s">
        <v>35</v>
      </c>
      <c r="M206" s="2" t="s">
        <v>35</v>
      </c>
      <c r="N206" s="3">
        <v>44725.726766018517</v>
      </c>
      <c r="O206" s="3">
        <v>44725.727671736109</v>
      </c>
      <c r="P206" s="2">
        <v>0</v>
      </c>
      <c r="Q206" s="2" t="s">
        <v>124</v>
      </c>
      <c r="R206" s="2" t="s">
        <v>38</v>
      </c>
      <c r="S206" s="2" t="s">
        <v>35</v>
      </c>
      <c r="T206" s="2" t="s">
        <v>35</v>
      </c>
      <c r="U206" s="2" t="s">
        <v>35</v>
      </c>
      <c r="V206" s="2" t="b">
        <v>0</v>
      </c>
      <c r="W206" s="2" t="s">
        <v>35</v>
      </c>
      <c r="X206" s="2" t="s">
        <v>35</v>
      </c>
      <c r="Y206" s="2" t="s">
        <v>35</v>
      </c>
      <c r="Z206" s="2" t="s">
        <v>35</v>
      </c>
    </row>
    <row r="207" spans="1:26" x14ac:dyDescent="0.2">
      <c r="A207" s="2" t="s">
        <v>187</v>
      </c>
      <c r="B207" s="2" t="b">
        <v>0</v>
      </c>
      <c r="C207" s="2" t="b">
        <v>0</v>
      </c>
      <c r="D207" s="2" t="b">
        <v>0</v>
      </c>
      <c r="E207" s="2" t="b">
        <v>0</v>
      </c>
      <c r="F207" s="2" t="s">
        <v>31</v>
      </c>
      <c r="G207" s="2" t="s">
        <v>188</v>
      </c>
      <c r="H207" s="2" t="s">
        <v>189</v>
      </c>
      <c r="I207" s="2" t="s">
        <v>190</v>
      </c>
      <c r="J207" s="2" t="s">
        <v>35</v>
      </c>
      <c r="K207" s="2" t="s">
        <v>35</v>
      </c>
      <c r="L207" s="2" t="s">
        <v>35</v>
      </c>
      <c r="M207" s="2" t="s">
        <v>35</v>
      </c>
      <c r="N207" s="3">
        <v>44725.732321180556</v>
      </c>
      <c r="O207" s="3">
        <v>44725.733170949075</v>
      </c>
      <c r="P207" s="2">
        <v>0</v>
      </c>
      <c r="Q207" s="2" t="s">
        <v>36</v>
      </c>
      <c r="R207" s="2" t="s">
        <v>38</v>
      </c>
      <c r="S207" s="2" t="s">
        <v>35</v>
      </c>
      <c r="T207" s="2" t="s">
        <v>35</v>
      </c>
      <c r="U207" s="2" t="s">
        <v>35</v>
      </c>
      <c r="V207" s="2" t="b">
        <v>0</v>
      </c>
      <c r="W207" s="2" t="s">
        <v>35</v>
      </c>
      <c r="X207" s="2" t="s">
        <v>35</v>
      </c>
      <c r="Y207" s="2">
        <v>9</v>
      </c>
      <c r="Z207" s="2" t="s">
        <v>35</v>
      </c>
    </row>
    <row r="208" spans="1:26" x14ac:dyDescent="0.2">
      <c r="A208" s="2" t="s">
        <v>191</v>
      </c>
      <c r="B208" s="2" t="b">
        <v>0</v>
      </c>
      <c r="C208" s="2" t="b">
        <v>0</v>
      </c>
      <c r="D208" s="2" t="b">
        <v>0</v>
      </c>
      <c r="E208" s="2" t="b">
        <v>0</v>
      </c>
      <c r="F208" s="2" t="s">
        <v>31</v>
      </c>
      <c r="G208" s="2" t="s">
        <v>192</v>
      </c>
      <c r="H208" s="2" t="s">
        <v>193</v>
      </c>
      <c r="I208" s="2" t="s">
        <v>35</v>
      </c>
      <c r="J208" s="2" t="s">
        <v>35</v>
      </c>
      <c r="K208" s="2" t="s">
        <v>35</v>
      </c>
      <c r="L208" s="2">
        <v>22</v>
      </c>
      <c r="M208" s="2">
        <v>15</v>
      </c>
      <c r="N208" s="3">
        <v>44725.733683229169</v>
      </c>
      <c r="O208" s="3">
        <v>44725.734361469906</v>
      </c>
      <c r="P208" s="2">
        <v>0</v>
      </c>
      <c r="Q208" s="2" t="s">
        <v>54</v>
      </c>
      <c r="R208" s="2" t="s">
        <v>38</v>
      </c>
      <c r="S208" s="2" t="s">
        <v>35</v>
      </c>
      <c r="T208" s="2" t="s">
        <v>35</v>
      </c>
      <c r="U208" s="2" t="s">
        <v>35</v>
      </c>
      <c r="V208" s="2" t="b">
        <v>0</v>
      </c>
      <c r="W208" s="2" t="s">
        <v>35</v>
      </c>
      <c r="X208" s="2" t="s">
        <v>35</v>
      </c>
      <c r="Y208" s="2" t="s">
        <v>35</v>
      </c>
      <c r="Z208" s="2" t="s">
        <v>35</v>
      </c>
    </row>
    <row r="209" spans="1:26" x14ac:dyDescent="0.2">
      <c r="A209" s="2" t="s">
        <v>194</v>
      </c>
      <c r="B209" s="2" t="b">
        <v>0</v>
      </c>
      <c r="C209" s="2" t="b">
        <v>0</v>
      </c>
      <c r="D209" s="2" t="b">
        <v>0</v>
      </c>
      <c r="E209" s="2" t="b">
        <v>0</v>
      </c>
      <c r="F209" s="2" t="s">
        <v>121</v>
      </c>
      <c r="G209" s="2" t="s">
        <v>195</v>
      </c>
      <c r="H209" s="2" t="s">
        <v>196</v>
      </c>
      <c r="I209" s="2" t="s">
        <v>35</v>
      </c>
      <c r="J209" s="2" t="s">
        <v>35</v>
      </c>
      <c r="K209" s="2" t="s">
        <v>35</v>
      </c>
      <c r="L209" s="2" t="s">
        <v>35</v>
      </c>
      <c r="M209" s="2" t="s">
        <v>35</v>
      </c>
      <c r="N209" s="3">
        <v>44725.741326597221</v>
      </c>
      <c r="O209" s="3">
        <v>44725.741418414349</v>
      </c>
      <c r="P209" s="2">
        <v>0</v>
      </c>
      <c r="Q209" s="2" t="s">
        <v>124</v>
      </c>
      <c r="R209" s="2" t="s">
        <v>38</v>
      </c>
      <c r="S209" s="2" t="s">
        <v>35</v>
      </c>
      <c r="T209" s="2" t="s">
        <v>35</v>
      </c>
      <c r="U209" s="2" t="s">
        <v>35</v>
      </c>
      <c r="V209" s="2" t="b">
        <v>0</v>
      </c>
      <c r="W209" s="2" t="s">
        <v>35</v>
      </c>
      <c r="X209" s="2" t="s">
        <v>35</v>
      </c>
      <c r="Y209" s="2" t="s">
        <v>35</v>
      </c>
      <c r="Z209" s="2" t="s">
        <v>35</v>
      </c>
    </row>
    <row r="210" spans="1:26" x14ac:dyDescent="0.2">
      <c r="A210" s="2" t="s">
        <v>197</v>
      </c>
      <c r="B210" s="2" t="b">
        <v>0</v>
      </c>
      <c r="C210" s="2" t="b">
        <v>0</v>
      </c>
      <c r="D210" s="2" t="b">
        <v>0</v>
      </c>
      <c r="E210" s="2" t="b">
        <v>0</v>
      </c>
      <c r="F210" s="2" t="s">
        <v>31</v>
      </c>
      <c r="G210" s="2" t="s">
        <v>198</v>
      </c>
      <c r="H210" s="2" t="s">
        <v>199</v>
      </c>
      <c r="I210" s="2" t="s">
        <v>119</v>
      </c>
      <c r="J210" s="2" t="s">
        <v>35</v>
      </c>
      <c r="K210" s="2" t="s">
        <v>35</v>
      </c>
      <c r="L210" s="2" t="s">
        <v>35</v>
      </c>
      <c r="M210" s="2" t="s">
        <v>35</v>
      </c>
      <c r="N210" s="3">
        <v>44725.750272384263</v>
      </c>
      <c r="O210" s="3">
        <v>44725.750517141205</v>
      </c>
      <c r="P210" s="2">
        <v>0</v>
      </c>
      <c r="Q210" s="2" t="s">
        <v>109</v>
      </c>
      <c r="R210" s="2" t="s">
        <v>38</v>
      </c>
      <c r="S210" s="2" t="s">
        <v>35</v>
      </c>
      <c r="T210" s="2">
        <v>0</v>
      </c>
      <c r="U210" s="2" t="s">
        <v>35</v>
      </c>
      <c r="V210" s="2" t="b">
        <v>0</v>
      </c>
      <c r="W210" s="2" t="s">
        <v>35</v>
      </c>
      <c r="X210" s="2" t="s">
        <v>35</v>
      </c>
      <c r="Y210" s="2" t="s">
        <v>35</v>
      </c>
      <c r="Z210" s="2" t="s">
        <v>35</v>
      </c>
    </row>
    <row r="211" spans="1:26" x14ac:dyDescent="0.2">
      <c r="A211" s="2" t="s">
        <v>200</v>
      </c>
      <c r="B211" s="2" t="b">
        <v>0</v>
      </c>
      <c r="C211" s="2" t="b">
        <v>0</v>
      </c>
      <c r="D211" s="2" t="b">
        <v>0</v>
      </c>
      <c r="E211" s="2" t="b">
        <v>0</v>
      </c>
      <c r="F211" s="2" t="s">
        <v>121</v>
      </c>
      <c r="G211" s="2" t="s">
        <v>201</v>
      </c>
      <c r="H211" s="2" t="s">
        <v>202</v>
      </c>
      <c r="I211" s="2" t="s">
        <v>35</v>
      </c>
      <c r="J211" s="2" t="s">
        <v>35</v>
      </c>
      <c r="K211" s="2" t="s">
        <v>35</v>
      </c>
      <c r="L211" s="2" t="s">
        <v>35</v>
      </c>
      <c r="M211" s="2" t="s">
        <v>35</v>
      </c>
      <c r="N211" s="3">
        <v>44725.75366347222</v>
      </c>
      <c r="O211" s="3">
        <v>44725.753966481483</v>
      </c>
      <c r="P211" s="2">
        <v>0</v>
      </c>
      <c r="Q211" s="2" t="s">
        <v>124</v>
      </c>
      <c r="R211" s="2" t="s">
        <v>38</v>
      </c>
      <c r="S211" s="2" t="s">
        <v>35</v>
      </c>
      <c r="T211" s="2" t="s">
        <v>35</v>
      </c>
      <c r="U211" s="2" t="s">
        <v>35</v>
      </c>
      <c r="V211" s="2" t="b">
        <v>0</v>
      </c>
      <c r="W211" s="2" t="s">
        <v>35</v>
      </c>
      <c r="X211" s="2" t="s">
        <v>35</v>
      </c>
      <c r="Y211" s="2" t="s">
        <v>35</v>
      </c>
      <c r="Z211" s="2" t="s">
        <v>35</v>
      </c>
    </row>
    <row r="212" spans="1:26" x14ac:dyDescent="0.2">
      <c r="A212" s="2" t="s">
        <v>9209</v>
      </c>
      <c r="B212" s="2" t="b">
        <v>0</v>
      </c>
      <c r="C212" s="2" t="b">
        <v>0</v>
      </c>
      <c r="D212" s="2" t="b">
        <v>0</v>
      </c>
      <c r="E212" s="2" t="b">
        <v>0</v>
      </c>
      <c r="F212" s="2" t="s">
        <v>121</v>
      </c>
      <c r="G212" s="2" t="s">
        <v>149</v>
      </c>
      <c r="H212" s="2" t="s">
        <v>9210</v>
      </c>
      <c r="I212" s="2" t="s">
        <v>35</v>
      </c>
      <c r="J212" s="2" t="s">
        <v>35</v>
      </c>
      <c r="K212" s="2" t="s">
        <v>35</v>
      </c>
      <c r="L212" s="2" t="s">
        <v>35</v>
      </c>
      <c r="M212" s="2" t="s">
        <v>35</v>
      </c>
      <c r="N212" s="3">
        <v>44729.538202071759</v>
      </c>
      <c r="O212" s="3">
        <v>44729.538280289351</v>
      </c>
      <c r="P212" s="2">
        <v>0</v>
      </c>
      <c r="Q212" s="2" t="s">
        <v>35</v>
      </c>
      <c r="R212" s="2" t="s">
        <v>38</v>
      </c>
      <c r="S212" s="2" t="s">
        <v>35</v>
      </c>
      <c r="T212" s="2" t="s">
        <v>35</v>
      </c>
      <c r="U212" s="2" t="s">
        <v>35</v>
      </c>
      <c r="V212" s="2" t="b">
        <v>0</v>
      </c>
      <c r="W212" s="2" t="s">
        <v>35</v>
      </c>
      <c r="X212" s="2" t="s">
        <v>35</v>
      </c>
      <c r="Y212" s="2" t="s">
        <v>35</v>
      </c>
      <c r="Z212" s="2" t="s">
        <v>35</v>
      </c>
    </row>
    <row r="213" spans="1:26" x14ac:dyDescent="0.2">
      <c r="A213" s="2" t="s">
        <v>203</v>
      </c>
      <c r="B213" s="2" t="b">
        <v>0</v>
      </c>
      <c r="C213" s="2" t="b">
        <v>0</v>
      </c>
      <c r="D213" s="2" t="b">
        <v>0</v>
      </c>
      <c r="E213" s="2" t="b">
        <v>0</v>
      </c>
      <c r="F213" s="2" t="s">
        <v>121</v>
      </c>
      <c r="G213" s="2" t="s">
        <v>204</v>
      </c>
      <c r="H213" s="2" t="s">
        <v>205</v>
      </c>
      <c r="I213" s="2" t="s">
        <v>206</v>
      </c>
      <c r="J213" s="2" t="s">
        <v>35</v>
      </c>
      <c r="K213" s="2" t="s">
        <v>35</v>
      </c>
      <c r="L213" s="2" t="s">
        <v>35</v>
      </c>
      <c r="M213" s="2" t="s">
        <v>35</v>
      </c>
      <c r="N213" s="3">
        <v>44729.647859351855</v>
      </c>
      <c r="O213" s="3">
        <v>44729.649722314818</v>
      </c>
      <c r="P213" s="2">
        <v>0</v>
      </c>
      <c r="Q213" s="2" t="s">
        <v>36</v>
      </c>
      <c r="R213" s="2" t="s">
        <v>38</v>
      </c>
      <c r="S213" s="2" t="s">
        <v>35</v>
      </c>
      <c r="T213" s="2" t="s">
        <v>35</v>
      </c>
      <c r="U213" s="2" t="s">
        <v>35</v>
      </c>
      <c r="V213" s="2" t="b">
        <v>0</v>
      </c>
      <c r="W213" s="2" t="s">
        <v>35</v>
      </c>
      <c r="X213" s="2" t="s">
        <v>35</v>
      </c>
      <c r="Y213" s="2">
        <v>10</v>
      </c>
      <c r="Z213" s="2" t="s">
        <v>35</v>
      </c>
    </row>
    <row r="214" spans="1:26" x14ac:dyDescent="0.2">
      <c r="A214" s="2" t="s">
        <v>208</v>
      </c>
      <c r="B214" s="2" t="b">
        <v>0</v>
      </c>
      <c r="C214" s="2" t="b">
        <v>0</v>
      </c>
      <c r="D214" s="2" t="b">
        <v>0</v>
      </c>
      <c r="E214" s="2" t="b">
        <v>0</v>
      </c>
      <c r="F214" s="2" t="s">
        <v>31</v>
      </c>
      <c r="G214" s="2" t="s">
        <v>209</v>
      </c>
      <c r="H214" s="2" t="s">
        <v>210</v>
      </c>
      <c r="I214" s="2" t="s">
        <v>35</v>
      </c>
      <c r="J214" s="2" t="s">
        <v>35</v>
      </c>
      <c r="K214" s="2" t="s">
        <v>35</v>
      </c>
      <c r="L214" s="2">
        <v>61</v>
      </c>
      <c r="M214" s="2">
        <v>15</v>
      </c>
      <c r="N214" s="3">
        <v>44729.659901620369</v>
      </c>
      <c r="O214" s="3">
        <v>44729.660275972223</v>
      </c>
      <c r="P214" s="2">
        <v>0</v>
      </c>
      <c r="Q214" s="2" t="s">
        <v>54</v>
      </c>
      <c r="R214" s="2" t="s">
        <v>38</v>
      </c>
      <c r="S214" s="2" t="s">
        <v>35</v>
      </c>
      <c r="T214" s="2" t="s">
        <v>35</v>
      </c>
      <c r="U214" s="2" t="s">
        <v>35</v>
      </c>
      <c r="V214" s="2" t="b">
        <v>0</v>
      </c>
      <c r="W214" s="2" t="s">
        <v>35</v>
      </c>
      <c r="X214" s="2" t="s">
        <v>35</v>
      </c>
      <c r="Y214" s="2" t="s">
        <v>35</v>
      </c>
      <c r="Z214" s="2" t="s">
        <v>35</v>
      </c>
    </row>
    <row r="215" spans="1:26" x14ac:dyDescent="0.2">
      <c r="A215" s="2" t="s">
        <v>211</v>
      </c>
      <c r="B215" s="2" t="b">
        <v>0</v>
      </c>
      <c r="C215" s="2" t="b">
        <v>0</v>
      </c>
      <c r="D215" s="2" t="b">
        <v>0</v>
      </c>
      <c r="E215" s="2" t="b">
        <v>0</v>
      </c>
      <c r="F215" s="2" t="s">
        <v>31</v>
      </c>
      <c r="G215" s="2" t="s">
        <v>212</v>
      </c>
      <c r="H215" s="2" t="s">
        <v>213</v>
      </c>
      <c r="I215" s="2" t="s">
        <v>35</v>
      </c>
      <c r="J215" s="2" t="s">
        <v>35</v>
      </c>
      <c r="K215" s="2" t="s">
        <v>35</v>
      </c>
      <c r="L215" s="2">
        <v>14</v>
      </c>
      <c r="M215" s="2">
        <v>17</v>
      </c>
      <c r="N215" s="3">
        <v>44729.662650775463</v>
      </c>
      <c r="O215" s="3">
        <v>44729.662938020832</v>
      </c>
      <c r="P215" s="2">
        <v>0</v>
      </c>
      <c r="Q215" s="2" t="s">
        <v>54</v>
      </c>
      <c r="R215" s="2" t="s">
        <v>38</v>
      </c>
      <c r="S215" s="2" t="s">
        <v>35</v>
      </c>
      <c r="T215" s="2" t="s">
        <v>35</v>
      </c>
      <c r="U215" s="2" t="s">
        <v>35</v>
      </c>
      <c r="V215" s="2" t="b">
        <v>0</v>
      </c>
      <c r="W215" s="2" t="s">
        <v>35</v>
      </c>
      <c r="X215" s="2" t="s">
        <v>35</v>
      </c>
      <c r="Y215" s="2" t="s">
        <v>35</v>
      </c>
      <c r="Z215" s="2" t="s">
        <v>35</v>
      </c>
    </row>
    <row r="216" spans="1:26" x14ac:dyDescent="0.2">
      <c r="A216" s="2" t="s">
        <v>9211</v>
      </c>
      <c r="B216" s="2" t="b">
        <v>0</v>
      </c>
      <c r="C216" s="2" t="b">
        <v>0</v>
      </c>
      <c r="D216" s="2" t="b">
        <v>0</v>
      </c>
      <c r="E216" s="2" t="b">
        <v>0</v>
      </c>
      <c r="F216" s="2" t="s">
        <v>121</v>
      </c>
      <c r="G216" s="2" t="s">
        <v>149</v>
      </c>
      <c r="H216" s="2" t="s">
        <v>215</v>
      </c>
      <c r="I216" s="2" t="s">
        <v>35</v>
      </c>
      <c r="J216" s="2" t="s">
        <v>35</v>
      </c>
      <c r="K216" s="2" t="s">
        <v>35</v>
      </c>
      <c r="L216" s="2" t="s">
        <v>35</v>
      </c>
      <c r="M216" s="2" t="s">
        <v>35</v>
      </c>
      <c r="N216" s="3">
        <v>44729.671795706017</v>
      </c>
      <c r="O216" s="3">
        <v>44729.671801400465</v>
      </c>
      <c r="P216" s="2">
        <v>0</v>
      </c>
      <c r="Q216" s="2" t="s">
        <v>35</v>
      </c>
      <c r="R216" s="2" t="s">
        <v>38</v>
      </c>
      <c r="S216" s="2" t="s">
        <v>35</v>
      </c>
      <c r="T216" s="2" t="s">
        <v>35</v>
      </c>
      <c r="U216" s="2" t="s">
        <v>35</v>
      </c>
      <c r="V216" s="2" t="b">
        <v>0</v>
      </c>
      <c r="W216" s="2" t="s">
        <v>35</v>
      </c>
      <c r="X216" s="2" t="s">
        <v>35</v>
      </c>
      <c r="Y216" s="2" t="s">
        <v>35</v>
      </c>
      <c r="Z216" s="2" t="s">
        <v>35</v>
      </c>
    </row>
    <row r="217" spans="1:26" x14ac:dyDescent="0.2">
      <c r="A217" s="2" t="s">
        <v>9212</v>
      </c>
      <c r="B217" s="2" t="b">
        <v>0</v>
      </c>
      <c r="C217" s="2" t="b">
        <v>0</v>
      </c>
      <c r="D217" s="2" t="b">
        <v>0</v>
      </c>
      <c r="E217" s="2" t="b">
        <v>0</v>
      </c>
      <c r="F217" s="2" t="s">
        <v>121</v>
      </c>
      <c r="G217" s="2" t="s">
        <v>149</v>
      </c>
      <c r="H217" s="2" t="s">
        <v>215</v>
      </c>
      <c r="I217" s="2" t="s">
        <v>35</v>
      </c>
      <c r="J217" s="2" t="s">
        <v>35</v>
      </c>
      <c r="K217" s="2" t="s">
        <v>35</v>
      </c>
      <c r="L217" s="2" t="s">
        <v>35</v>
      </c>
      <c r="M217" s="2" t="s">
        <v>35</v>
      </c>
      <c r="N217" s="3">
        <v>44729.671803518519</v>
      </c>
      <c r="O217" s="3">
        <v>44729.671817743052</v>
      </c>
      <c r="P217" s="2">
        <v>0</v>
      </c>
      <c r="Q217" s="2" t="s">
        <v>54</v>
      </c>
      <c r="R217" s="2" t="s">
        <v>38</v>
      </c>
      <c r="S217" s="2" t="s">
        <v>35</v>
      </c>
      <c r="T217" s="2" t="s">
        <v>35</v>
      </c>
      <c r="U217" s="2" t="s">
        <v>35</v>
      </c>
      <c r="V217" s="2" t="b">
        <v>0</v>
      </c>
      <c r="W217" s="2" t="s">
        <v>35</v>
      </c>
      <c r="X217" s="2" t="s">
        <v>35</v>
      </c>
      <c r="Y217" s="2" t="s">
        <v>35</v>
      </c>
      <c r="Z217" s="2" t="s">
        <v>35</v>
      </c>
    </row>
    <row r="218" spans="1:26" x14ac:dyDescent="0.2">
      <c r="A218" s="2" t="s">
        <v>9213</v>
      </c>
      <c r="B218" s="2" t="b">
        <v>0</v>
      </c>
      <c r="C218" s="2" t="b">
        <v>0</v>
      </c>
      <c r="D218" s="2" t="b">
        <v>0</v>
      </c>
      <c r="E218" s="2" t="b">
        <v>0</v>
      </c>
      <c r="F218" s="2" t="s">
        <v>121</v>
      </c>
      <c r="G218" s="2" t="s">
        <v>149</v>
      </c>
      <c r="H218" s="2" t="s">
        <v>215</v>
      </c>
      <c r="I218" s="2" t="s">
        <v>35</v>
      </c>
      <c r="J218" s="2" t="s">
        <v>35</v>
      </c>
      <c r="K218" s="2" t="s">
        <v>35</v>
      </c>
      <c r="L218" s="2" t="s">
        <v>35</v>
      </c>
      <c r="M218" s="2" t="s">
        <v>35</v>
      </c>
      <c r="N218" s="3">
        <v>44729.671817812501</v>
      </c>
      <c r="O218" s="3">
        <v>44729.671818449075</v>
      </c>
      <c r="P218" s="2">
        <v>0</v>
      </c>
      <c r="Q218" s="2" t="s">
        <v>54</v>
      </c>
      <c r="R218" s="2" t="s">
        <v>38</v>
      </c>
      <c r="S218" s="2" t="s">
        <v>35</v>
      </c>
      <c r="T218" s="2" t="s">
        <v>35</v>
      </c>
      <c r="U218" s="2" t="s">
        <v>35</v>
      </c>
      <c r="V218" s="2" t="b">
        <v>0</v>
      </c>
      <c r="W218" s="2" t="s">
        <v>35</v>
      </c>
      <c r="X218" s="2" t="s">
        <v>35</v>
      </c>
      <c r="Y218" s="2" t="s">
        <v>35</v>
      </c>
      <c r="Z218" s="2" t="s">
        <v>35</v>
      </c>
    </row>
    <row r="219" spans="1:26" x14ac:dyDescent="0.2">
      <c r="A219" s="2" t="s">
        <v>9214</v>
      </c>
      <c r="B219" s="2" t="b">
        <v>0</v>
      </c>
      <c r="C219" s="2" t="b">
        <v>0</v>
      </c>
      <c r="D219" s="2" t="b">
        <v>0</v>
      </c>
      <c r="E219" s="2" t="b">
        <v>0</v>
      </c>
      <c r="F219" s="2" t="s">
        <v>121</v>
      </c>
      <c r="G219" s="2" t="s">
        <v>149</v>
      </c>
      <c r="H219" s="2" t="s">
        <v>215</v>
      </c>
      <c r="I219" s="2" t="s">
        <v>35</v>
      </c>
      <c r="J219" s="2" t="s">
        <v>35</v>
      </c>
      <c r="K219" s="2" t="s">
        <v>35</v>
      </c>
      <c r="L219" s="2">
        <v>26</v>
      </c>
      <c r="M219" s="2">
        <v>15</v>
      </c>
      <c r="N219" s="3">
        <v>44729.671817870367</v>
      </c>
      <c r="O219" s="3">
        <v>44729.671818449075</v>
      </c>
      <c r="P219" s="2">
        <v>0</v>
      </c>
      <c r="Q219" s="2" t="s">
        <v>54</v>
      </c>
      <c r="R219" s="2" t="s">
        <v>38</v>
      </c>
      <c r="S219" s="2" t="s">
        <v>35</v>
      </c>
      <c r="T219" s="2" t="s">
        <v>35</v>
      </c>
      <c r="U219" s="2" t="s">
        <v>35</v>
      </c>
      <c r="V219" s="2" t="b">
        <v>0</v>
      </c>
      <c r="W219" s="2" t="s">
        <v>35</v>
      </c>
      <c r="X219" s="2" t="s">
        <v>35</v>
      </c>
      <c r="Y219" s="2" t="s">
        <v>35</v>
      </c>
      <c r="Z219" s="2" t="s">
        <v>35</v>
      </c>
    </row>
    <row r="220" spans="1:26" x14ac:dyDescent="0.2">
      <c r="A220" s="2" t="s">
        <v>214</v>
      </c>
      <c r="B220" s="2" t="b">
        <v>0</v>
      </c>
      <c r="C220" s="2" t="b">
        <v>0</v>
      </c>
      <c r="D220" s="2" t="b">
        <v>0</v>
      </c>
      <c r="E220" s="2" t="b">
        <v>0</v>
      </c>
      <c r="F220" s="2" t="s">
        <v>31</v>
      </c>
      <c r="G220" s="2" t="s">
        <v>149</v>
      </c>
      <c r="H220" s="2" t="s">
        <v>215</v>
      </c>
      <c r="I220" s="2" t="s">
        <v>35</v>
      </c>
      <c r="J220" s="2" t="s">
        <v>35</v>
      </c>
      <c r="K220" s="2" t="s">
        <v>35</v>
      </c>
      <c r="L220" s="2">
        <v>26</v>
      </c>
      <c r="M220" s="2">
        <v>15</v>
      </c>
      <c r="N220" s="3">
        <v>44729.671817916664</v>
      </c>
      <c r="O220" s="3">
        <v>44729.671818460651</v>
      </c>
      <c r="P220" s="2">
        <v>0</v>
      </c>
      <c r="Q220" s="2" t="s">
        <v>54</v>
      </c>
      <c r="R220" s="2" t="s">
        <v>38</v>
      </c>
      <c r="S220" s="2" t="s">
        <v>35</v>
      </c>
      <c r="T220" s="2" t="s">
        <v>35</v>
      </c>
      <c r="U220" s="2" t="s">
        <v>35</v>
      </c>
      <c r="V220" s="2" t="b">
        <v>0</v>
      </c>
      <c r="W220" s="2" t="s">
        <v>35</v>
      </c>
      <c r="X220" s="2" t="s">
        <v>35</v>
      </c>
      <c r="Y220" s="2" t="s">
        <v>35</v>
      </c>
      <c r="Z220" s="2" t="s">
        <v>35</v>
      </c>
    </row>
    <row r="221" spans="1:26" x14ac:dyDescent="0.2">
      <c r="A221" s="2" t="s">
        <v>9215</v>
      </c>
      <c r="B221" s="2" t="b">
        <v>0</v>
      </c>
      <c r="C221" s="2" t="b">
        <v>0</v>
      </c>
      <c r="D221" s="2" t="b">
        <v>0</v>
      </c>
      <c r="E221" s="2" t="b">
        <v>0</v>
      </c>
      <c r="F221" s="2" t="s">
        <v>121</v>
      </c>
      <c r="G221" s="2" t="s">
        <v>149</v>
      </c>
      <c r="H221" s="2" t="s">
        <v>217</v>
      </c>
      <c r="I221" s="2" t="s">
        <v>35</v>
      </c>
      <c r="J221" s="2" t="s">
        <v>35</v>
      </c>
      <c r="K221" s="2" t="s">
        <v>35</v>
      </c>
      <c r="L221" s="2" t="s">
        <v>35</v>
      </c>
      <c r="M221" s="2" t="s">
        <v>35</v>
      </c>
      <c r="N221" s="3">
        <v>44729.671817962961</v>
      </c>
      <c r="O221" s="3">
        <v>44729.671818460651</v>
      </c>
      <c r="P221" s="2">
        <v>0</v>
      </c>
      <c r="Q221" s="2" t="s">
        <v>35</v>
      </c>
      <c r="R221" s="2" t="s">
        <v>38</v>
      </c>
      <c r="S221" s="2" t="s">
        <v>35</v>
      </c>
      <c r="T221" s="2" t="s">
        <v>35</v>
      </c>
      <c r="U221" s="2" t="s">
        <v>35</v>
      </c>
      <c r="V221" s="2" t="b">
        <v>0</v>
      </c>
      <c r="W221" s="2" t="s">
        <v>35</v>
      </c>
      <c r="X221" s="2" t="s">
        <v>35</v>
      </c>
      <c r="Y221" s="2" t="s">
        <v>35</v>
      </c>
      <c r="Z221" s="2" t="s">
        <v>35</v>
      </c>
    </row>
    <row r="222" spans="1:26" x14ac:dyDescent="0.2">
      <c r="A222" s="2" t="s">
        <v>9216</v>
      </c>
      <c r="B222" s="2" t="b">
        <v>0</v>
      </c>
      <c r="C222" s="2" t="b">
        <v>0</v>
      </c>
      <c r="D222" s="2" t="b">
        <v>0</v>
      </c>
      <c r="E222" s="2" t="b">
        <v>0</v>
      </c>
      <c r="F222" s="2" t="s">
        <v>121</v>
      </c>
      <c r="G222" s="2" t="s">
        <v>149</v>
      </c>
      <c r="H222" s="2" t="s">
        <v>217</v>
      </c>
      <c r="I222" s="2" t="s">
        <v>35</v>
      </c>
      <c r="J222" s="2" t="s">
        <v>35</v>
      </c>
      <c r="K222" s="2" t="s">
        <v>35</v>
      </c>
      <c r="L222" s="2" t="s">
        <v>35</v>
      </c>
      <c r="M222" s="2" t="s">
        <v>35</v>
      </c>
      <c r="N222" s="3">
        <v>44729.671818009258</v>
      </c>
      <c r="O222" s="3">
        <v>44729.671818472219</v>
      </c>
      <c r="P222" s="2">
        <v>0</v>
      </c>
      <c r="Q222" s="2" t="s">
        <v>54</v>
      </c>
      <c r="R222" s="2" t="s">
        <v>38</v>
      </c>
      <c r="S222" s="2" t="s">
        <v>35</v>
      </c>
      <c r="T222" s="2" t="s">
        <v>35</v>
      </c>
      <c r="U222" s="2" t="s">
        <v>35</v>
      </c>
      <c r="V222" s="2" t="b">
        <v>0</v>
      </c>
      <c r="W222" s="2" t="s">
        <v>35</v>
      </c>
      <c r="X222" s="2" t="s">
        <v>35</v>
      </c>
      <c r="Y222" s="2" t="s">
        <v>35</v>
      </c>
      <c r="Z222" s="2" t="s">
        <v>35</v>
      </c>
    </row>
    <row r="223" spans="1:26" x14ac:dyDescent="0.2">
      <c r="A223" s="2" t="s">
        <v>9217</v>
      </c>
      <c r="B223" s="2" t="b">
        <v>0</v>
      </c>
      <c r="C223" s="2" t="b">
        <v>0</v>
      </c>
      <c r="D223" s="2" t="b">
        <v>0</v>
      </c>
      <c r="E223" s="2" t="b">
        <v>0</v>
      </c>
      <c r="F223" s="2" t="s">
        <v>121</v>
      </c>
      <c r="G223" s="2" t="s">
        <v>149</v>
      </c>
      <c r="H223" s="2" t="s">
        <v>217</v>
      </c>
      <c r="I223" s="2" t="s">
        <v>35</v>
      </c>
      <c r="J223" s="2" t="s">
        <v>35</v>
      </c>
      <c r="K223" s="2" t="s">
        <v>35</v>
      </c>
      <c r="L223" s="2" t="s">
        <v>35</v>
      </c>
      <c r="M223" s="2" t="s">
        <v>35</v>
      </c>
      <c r="N223" s="3">
        <v>44729.671818043978</v>
      </c>
      <c r="O223" s="3">
        <v>44729.671818472219</v>
      </c>
      <c r="P223" s="2">
        <v>0</v>
      </c>
      <c r="Q223" s="2" t="s">
        <v>54</v>
      </c>
      <c r="R223" s="2" t="s">
        <v>38</v>
      </c>
      <c r="S223" s="2" t="s">
        <v>35</v>
      </c>
      <c r="T223" s="2" t="s">
        <v>35</v>
      </c>
      <c r="U223" s="2" t="s">
        <v>35</v>
      </c>
      <c r="V223" s="2" t="b">
        <v>0</v>
      </c>
      <c r="W223" s="2" t="s">
        <v>35</v>
      </c>
      <c r="X223" s="2" t="s">
        <v>35</v>
      </c>
      <c r="Y223" s="2" t="s">
        <v>35</v>
      </c>
      <c r="Z223" s="2" t="s">
        <v>35</v>
      </c>
    </row>
    <row r="224" spans="1:26" x14ac:dyDescent="0.2">
      <c r="A224" s="2" t="s">
        <v>9218</v>
      </c>
      <c r="B224" s="2" t="b">
        <v>0</v>
      </c>
      <c r="C224" s="2" t="b">
        <v>0</v>
      </c>
      <c r="D224" s="2" t="b">
        <v>0</v>
      </c>
      <c r="E224" s="2" t="b">
        <v>0</v>
      </c>
      <c r="F224" s="2" t="s">
        <v>121</v>
      </c>
      <c r="G224" s="2" t="s">
        <v>149</v>
      </c>
      <c r="H224" s="2" t="s">
        <v>217</v>
      </c>
      <c r="I224" s="2" t="s">
        <v>35</v>
      </c>
      <c r="J224" s="2" t="s">
        <v>35</v>
      </c>
      <c r="K224" s="2" t="s">
        <v>35</v>
      </c>
      <c r="L224" s="2">
        <v>24</v>
      </c>
      <c r="M224" s="2">
        <v>16</v>
      </c>
      <c r="N224" s="3">
        <v>44729.67181821759</v>
      </c>
      <c r="O224" s="3">
        <v>44729.671818553237</v>
      </c>
      <c r="P224" s="2">
        <v>0</v>
      </c>
      <c r="Q224" s="2" t="s">
        <v>54</v>
      </c>
      <c r="R224" s="2" t="s">
        <v>38</v>
      </c>
      <c r="S224" s="2" t="s">
        <v>35</v>
      </c>
      <c r="T224" s="2" t="s">
        <v>35</v>
      </c>
      <c r="U224" s="2" t="s">
        <v>35</v>
      </c>
      <c r="V224" s="2" t="b">
        <v>0</v>
      </c>
      <c r="W224" s="2" t="s">
        <v>35</v>
      </c>
      <c r="X224" s="2" t="s">
        <v>35</v>
      </c>
      <c r="Y224" s="2" t="s">
        <v>35</v>
      </c>
      <c r="Z224" s="2" t="s">
        <v>35</v>
      </c>
    </row>
    <row r="225" spans="1:26" x14ac:dyDescent="0.2">
      <c r="A225" s="2" t="s">
        <v>216</v>
      </c>
      <c r="B225" s="2" t="b">
        <v>0</v>
      </c>
      <c r="C225" s="2" t="b">
        <v>0</v>
      </c>
      <c r="D225" s="2" t="b">
        <v>0</v>
      </c>
      <c r="E225" s="2" t="b">
        <v>0</v>
      </c>
      <c r="F225" s="2" t="s">
        <v>31</v>
      </c>
      <c r="G225" s="2" t="s">
        <v>149</v>
      </c>
      <c r="H225" s="2" t="s">
        <v>217</v>
      </c>
      <c r="I225" s="2" t="s">
        <v>35</v>
      </c>
      <c r="J225" s="2" t="s">
        <v>35</v>
      </c>
      <c r="K225" s="2" t="s">
        <v>35</v>
      </c>
      <c r="L225" s="2">
        <v>24</v>
      </c>
      <c r="M225" s="2">
        <v>16</v>
      </c>
      <c r="N225" s="3">
        <v>44729.67181832176</v>
      </c>
      <c r="O225" s="3">
        <v>44729.671818634262</v>
      </c>
      <c r="P225" s="2">
        <v>0</v>
      </c>
      <c r="Q225" s="2" t="s">
        <v>54</v>
      </c>
      <c r="R225" s="2" t="s">
        <v>38</v>
      </c>
      <c r="S225" s="2" t="s">
        <v>35</v>
      </c>
      <c r="T225" s="2" t="s">
        <v>35</v>
      </c>
      <c r="U225" s="2" t="s">
        <v>35</v>
      </c>
      <c r="V225" s="2" t="b">
        <v>0</v>
      </c>
      <c r="W225" s="2" t="s">
        <v>35</v>
      </c>
      <c r="X225" s="2" t="s">
        <v>35</v>
      </c>
      <c r="Y225" s="2" t="s">
        <v>35</v>
      </c>
      <c r="Z225" s="2" t="s">
        <v>35</v>
      </c>
    </row>
    <row r="226" spans="1:26" x14ac:dyDescent="0.2">
      <c r="A226" s="2" t="s">
        <v>9219</v>
      </c>
      <c r="B226" s="2" t="b">
        <v>0</v>
      </c>
      <c r="C226" s="2" t="b">
        <v>0</v>
      </c>
      <c r="D226" s="2" t="b">
        <v>0</v>
      </c>
      <c r="E226" s="2" t="b">
        <v>0</v>
      </c>
      <c r="F226" s="2" t="s">
        <v>121</v>
      </c>
      <c r="G226" s="2" t="s">
        <v>149</v>
      </c>
      <c r="H226" s="2" t="s">
        <v>219</v>
      </c>
      <c r="I226" s="2" t="s">
        <v>35</v>
      </c>
      <c r="J226" s="2" t="s">
        <v>35</v>
      </c>
      <c r="K226" s="2" t="s">
        <v>35</v>
      </c>
      <c r="L226" s="2" t="s">
        <v>35</v>
      </c>
      <c r="M226" s="2" t="s">
        <v>35</v>
      </c>
      <c r="N226" s="3">
        <v>44729.67191125</v>
      </c>
      <c r="O226" s="3">
        <v>44729.671922071757</v>
      </c>
      <c r="P226" s="2">
        <v>0</v>
      </c>
      <c r="Q226" s="2" t="s">
        <v>35</v>
      </c>
      <c r="R226" s="2" t="s">
        <v>38</v>
      </c>
      <c r="S226" s="2" t="s">
        <v>35</v>
      </c>
      <c r="T226" s="2" t="s">
        <v>35</v>
      </c>
      <c r="U226" s="2" t="s">
        <v>35</v>
      </c>
      <c r="V226" s="2" t="b">
        <v>0</v>
      </c>
      <c r="W226" s="2" t="s">
        <v>35</v>
      </c>
      <c r="X226" s="2" t="s">
        <v>35</v>
      </c>
      <c r="Y226" s="2" t="s">
        <v>35</v>
      </c>
      <c r="Z226" s="2" t="s">
        <v>35</v>
      </c>
    </row>
    <row r="227" spans="1:26" x14ac:dyDescent="0.2">
      <c r="A227" s="2" t="s">
        <v>9220</v>
      </c>
      <c r="B227" s="2" t="b">
        <v>0</v>
      </c>
      <c r="C227" s="2" t="b">
        <v>0</v>
      </c>
      <c r="D227" s="2" t="b">
        <v>0</v>
      </c>
      <c r="E227" s="2" t="b">
        <v>0</v>
      </c>
      <c r="F227" s="2" t="s">
        <v>121</v>
      </c>
      <c r="G227" s="2" t="s">
        <v>149</v>
      </c>
      <c r="H227" s="2" t="s">
        <v>219</v>
      </c>
      <c r="I227" s="2" t="s">
        <v>35</v>
      </c>
      <c r="J227" s="2" t="s">
        <v>35</v>
      </c>
      <c r="K227" s="2" t="s">
        <v>35</v>
      </c>
      <c r="L227" s="2" t="s">
        <v>35</v>
      </c>
      <c r="M227" s="2" t="s">
        <v>35</v>
      </c>
      <c r="N227" s="3">
        <v>44729.671911296296</v>
      </c>
      <c r="O227" s="3">
        <v>44729.671922071757</v>
      </c>
      <c r="P227" s="2">
        <v>0</v>
      </c>
      <c r="Q227" s="2" t="s">
        <v>54</v>
      </c>
      <c r="R227" s="2" t="s">
        <v>38</v>
      </c>
      <c r="S227" s="2" t="s">
        <v>35</v>
      </c>
      <c r="T227" s="2" t="s">
        <v>35</v>
      </c>
      <c r="U227" s="2" t="s">
        <v>35</v>
      </c>
      <c r="V227" s="2" t="b">
        <v>0</v>
      </c>
      <c r="W227" s="2" t="s">
        <v>35</v>
      </c>
      <c r="X227" s="2" t="s">
        <v>35</v>
      </c>
      <c r="Y227" s="2" t="s">
        <v>35</v>
      </c>
      <c r="Z227" s="2" t="s">
        <v>35</v>
      </c>
    </row>
    <row r="228" spans="1:26" x14ac:dyDescent="0.2">
      <c r="A228" s="2" t="s">
        <v>9221</v>
      </c>
      <c r="B228" s="2" t="b">
        <v>0</v>
      </c>
      <c r="C228" s="2" t="b">
        <v>0</v>
      </c>
      <c r="D228" s="2" t="b">
        <v>0</v>
      </c>
      <c r="E228" s="2" t="b">
        <v>0</v>
      </c>
      <c r="F228" s="2" t="s">
        <v>121</v>
      </c>
      <c r="G228" s="2" t="s">
        <v>149</v>
      </c>
      <c r="H228" s="2" t="s">
        <v>219</v>
      </c>
      <c r="I228" s="2" t="s">
        <v>35</v>
      </c>
      <c r="J228" s="2" t="s">
        <v>35</v>
      </c>
      <c r="K228" s="2" t="s">
        <v>35</v>
      </c>
      <c r="L228" s="2" t="s">
        <v>35</v>
      </c>
      <c r="M228" s="2" t="s">
        <v>35</v>
      </c>
      <c r="N228" s="3">
        <v>44729.671911365738</v>
      </c>
      <c r="O228" s="3">
        <v>44729.671922083333</v>
      </c>
      <c r="P228" s="2">
        <v>0</v>
      </c>
      <c r="Q228" s="2" t="s">
        <v>54</v>
      </c>
      <c r="R228" s="2" t="s">
        <v>38</v>
      </c>
      <c r="S228" s="2" t="s">
        <v>35</v>
      </c>
      <c r="T228" s="2" t="s">
        <v>35</v>
      </c>
      <c r="U228" s="2" t="s">
        <v>35</v>
      </c>
      <c r="V228" s="2" t="b">
        <v>0</v>
      </c>
      <c r="W228" s="2" t="s">
        <v>35</v>
      </c>
      <c r="X228" s="2" t="s">
        <v>35</v>
      </c>
      <c r="Y228" s="2" t="s">
        <v>35</v>
      </c>
      <c r="Z228" s="2" t="s">
        <v>35</v>
      </c>
    </row>
    <row r="229" spans="1:26" x14ac:dyDescent="0.2">
      <c r="A229" s="2" t="s">
        <v>9222</v>
      </c>
      <c r="B229" s="2" t="b">
        <v>0</v>
      </c>
      <c r="C229" s="2" t="b">
        <v>0</v>
      </c>
      <c r="D229" s="2" t="b">
        <v>0</v>
      </c>
      <c r="E229" s="2" t="b">
        <v>0</v>
      </c>
      <c r="F229" s="2" t="s">
        <v>121</v>
      </c>
      <c r="G229" s="2" t="s">
        <v>149</v>
      </c>
      <c r="H229" s="2" t="s">
        <v>219</v>
      </c>
      <c r="I229" s="2" t="s">
        <v>35</v>
      </c>
      <c r="J229" s="2" t="s">
        <v>35</v>
      </c>
      <c r="K229" s="2" t="s">
        <v>35</v>
      </c>
      <c r="L229" s="2">
        <v>1</v>
      </c>
      <c r="M229" s="2">
        <v>15</v>
      </c>
      <c r="N229" s="3">
        <v>44729.67191315972</v>
      </c>
      <c r="O229" s="3">
        <v>44729.671922337962</v>
      </c>
      <c r="P229" s="2">
        <v>0</v>
      </c>
      <c r="Q229" s="2" t="s">
        <v>54</v>
      </c>
      <c r="R229" s="2" t="s">
        <v>38</v>
      </c>
      <c r="S229" s="2" t="s">
        <v>35</v>
      </c>
      <c r="T229" s="2" t="s">
        <v>35</v>
      </c>
      <c r="U229" s="2" t="s">
        <v>35</v>
      </c>
      <c r="V229" s="2" t="b">
        <v>0</v>
      </c>
      <c r="W229" s="2" t="s">
        <v>35</v>
      </c>
      <c r="X229" s="2" t="s">
        <v>35</v>
      </c>
      <c r="Y229" s="2" t="s">
        <v>35</v>
      </c>
      <c r="Z229" s="2" t="s">
        <v>35</v>
      </c>
    </row>
    <row r="230" spans="1:26" x14ac:dyDescent="0.2">
      <c r="A230" s="2" t="s">
        <v>218</v>
      </c>
      <c r="B230" s="2" t="b">
        <v>0</v>
      </c>
      <c r="C230" s="2" t="b">
        <v>0</v>
      </c>
      <c r="D230" s="2" t="b">
        <v>0</v>
      </c>
      <c r="E230" s="2" t="b">
        <v>0</v>
      </c>
      <c r="F230" s="2" t="s">
        <v>31</v>
      </c>
      <c r="G230" s="2" t="s">
        <v>149</v>
      </c>
      <c r="H230" s="2" t="s">
        <v>219</v>
      </c>
      <c r="I230" s="2" t="s">
        <v>35</v>
      </c>
      <c r="J230" s="2" t="s">
        <v>35</v>
      </c>
      <c r="K230" s="2" t="s">
        <v>35</v>
      </c>
      <c r="L230" s="2">
        <v>1</v>
      </c>
      <c r="M230" s="2">
        <v>15</v>
      </c>
      <c r="N230" s="3">
        <v>44729.67191326389</v>
      </c>
      <c r="O230" s="3">
        <v>44729.67192241898</v>
      </c>
      <c r="P230" s="2">
        <v>0</v>
      </c>
      <c r="Q230" s="2" t="s">
        <v>54</v>
      </c>
      <c r="R230" s="2" t="s">
        <v>38</v>
      </c>
      <c r="S230" s="2" t="s">
        <v>35</v>
      </c>
      <c r="T230" s="2" t="s">
        <v>35</v>
      </c>
      <c r="U230" s="2" t="s">
        <v>35</v>
      </c>
      <c r="V230" s="2" t="b">
        <v>0</v>
      </c>
      <c r="W230" s="2" t="s">
        <v>35</v>
      </c>
      <c r="X230" s="2" t="s">
        <v>35</v>
      </c>
      <c r="Y230" s="2" t="s">
        <v>35</v>
      </c>
      <c r="Z230" s="2" t="s">
        <v>35</v>
      </c>
    </row>
    <row r="231" spans="1:26" x14ac:dyDescent="0.2">
      <c r="A231" s="2" t="s">
        <v>9223</v>
      </c>
      <c r="B231" s="2" t="b">
        <v>0</v>
      </c>
      <c r="C231" s="2" t="b">
        <v>0</v>
      </c>
      <c r="D231" s="2" t="b">
        <v>0</v>
      </c>
      <c r="E231" s="2" t="b">
        <v>0</v>
      </c>
      <c r="F231" s="2" t="s">
        <v>121</v>
      </c>
      <c r="G231" s="2" t="s">
        <v>149</v>
      </c>
      <c r="H231" s="2" t="s">
        <v>221</v>
      </c>
      <c r="I231" s="2" t="s">
        <v>35</v>
      </c>
      <c r="J231" s="2" t="s">
        <v>35</v>
      </c>
      <c r="K231" s="2" t="s">
        <v>35</v>
      </c>
      <c r="L231" s="2" t="s">
        <v>35</v>
      </c>
      <c r="M231" s="2" t="s">
        <v>35</v>
      </c>
      <c r="N231" s="3">
        <v>44729.671913298611</v>
      </c>
      <c r="O231" s="3">
        <v>44729.67192241898</v>
      </c>
      <c r="P231" s="2">
        <v>0</v>
      </c>
      <c r="Q231" s="2" t="s">
        <v>35</v>
      </c>
      <c r="R231" s="2" t="s">
        <v>38</v>
      </c>
      <c r="S231" s="2" t="s">
        <v>35</v>
      </c>
      <c r="T231" s="2" t="s">
        <v>35</v>
      </c>
      <c r="U231" s="2" t="s">
        <v>35</v>
      </c>
      <c r="V231" s="2" t="b">
        <v>0</v>
      </c>
      <c r="W231" s="2" t="s">
        <v>35</v>
      </c>
      <c r="X231" s="2" t="s">
        <v>35</v>
      </c>
      <c r="Y231" s="2" t="s">
        <v>35</v>
      </c>
      <c r="Z231" s="2" t="s">
        <v>35</v>
      </c>
    </row>
    <row r="232" spans="1:26" x14ac:dyDescent="0.2">
      <c r="A232" s="2" t="s">
        <v>9224</v>
      </c>
      <c r="B232" s="2" t="b">
        <v>0</v>
      </c>
      <c r="C232" s="2" t="b">
        <v>0</v>
      </c>
      <c r="D232" s="2" t="b">
        <v>0</v>
      </c>
      <c r="E232" s="2" t="b">
        <v>0</v>
      </c>
      <c r="F232" s="2" t="s">
        <v>121</v>
      </c>
      <c r="G232" s="2" t="s">
        <v>149</v>
      </c>
      <c r="H232" s="2" t="s">
        <v>221</v>
      </c>
      <c r="I232" s="2" t="s">
        <v>35</v>
      </c>
      <c r="J232" s="2" t="s">
        <v>35</v>
      </c>
      <c r="K232" s="2" t="s">
        <v>35</v>
      </c>
      <c r="L232" s="2" t="s">
        <v>35</v>
      </c>
      <c r="M232" s="2" t="s">
        <v>35</v>
      </c>
      <c r="N232" s="3">
        <v>44729.671913344908</v>
      </c>
      <c r="O232" s="3">
        <v>44729.671922430556</v>
      </c>
      <c r="P232" s="2">
        <v>0</v>
      </c>
      <c r="Q232" s="2" t="s">
        <v>36</v>
      </c>
      <c r="R232" s="2" t="s">
        <v>38</v>
      </c>
      <c r="S232" s="2" t="s">
        <v>35</v>
      </c>
      <c r="T232" s="2" t="s">
        <v>35</v>
      </c>
      <c r="U232" s="2" t="s">
        <v>35</v>
      </c>
      <c r="V232" s="2" t="b">
        <v>0</v>
      </c>
      <c r="W232" s="2" t="s">
        <v>35</v>
      </c>
      <c r="X232" s="2" t="s">
        <v>35</v>
      </c>
      <c r="Y232" s="2" t="s">
        <v>35</v>
      </c>
      <c r="Z232" s="2" t="s">
        <v>35</v>
      </c>
    </row>
    <row r="233" spans="1:26" x14ac:dyDescent="0.2">
      <c r="A233" s="2" t="s">
        <v>9225</v>
      </c>
      <c r="B233" s="2" t="b">
        <v>0</v>
      </c>
      <c r="C233" s="2" t="b">
        <v>0</v>
      </c>
      <c r="D233" s="2" t="b">
        <v>0</v>
      </c>
      <c r="E233" s="2" t="b">
        <v>0</v>
      </c>
      <c r="F233" s="2" t="s">
        <v>121</v>
      </c>
      <c r="G233" s="2" t="s">
        <v>149</v>
      </c>
      <c r="H233" s="2" t="s">
        <v>221</v>
      </c>
      <c r="I233" s="2" t="s">
        <v>35</v>
      </c>
      <c r="J233" s="2" t="s">
        <v>35</v>
      </c>
      <c r="K233" s="2" t="s">
        <v>35</v>
      </c>
      <c r="L233" s="2" t="s">
        <v>35</v>
      </c>
      <c r="M233" s="2" t="s">
        <v>35</v>
      </c>
      <c r="N233" s="3">
        <v>44729.67191341435</v>
      </c>
      <c r="O233" s="3">
        <v>44729.671922430556</v>
      </c>
      <c r="P233" s="2">
        <v>0</v>
      </c>
      <c r="Q233" s="2" t="s">
        <v>36</v>
      </c>
      <c r="R233" s="2" t="s">
        <v>38</v>
      </c>
      <c r="S233" s="2" t="s">
        <v>35</v>
      </c>
      <c r="T233" s="2" t="s">
        <v>35</v>
      </c>
      <c r="U233" s="2" t="s">
        <v>35</v>
      </c>
      <c r="V233" s="2" t="b">
        <v>0</v>
      </c>
      <c r="W233" s="2" t="s">
        <v>35</v>
      </c>
      <c r="X233" s="2" t="s">
        <v>35</v>
      </c>
      <c r="Y233" s="2" t="s">
        <v>35</v>
      </c>
      <c r="Z233" s="2" t="s">
        <v>35</v>
      </c>
    </row>
    <row r="234" spans="1:26" x14ac:dyDescent="0.2">
      <c r="A234" s="2" t="s">
        <v>9226</v>
      </c>
      <c r="B234" s="2" t="b">
        <v>0</v>
      </c>
      <c r="C234" s="2" t="b">
        <v>0</v>
      </c>
      <c r="D234" s="2" t="b">
        <v>0</v>
      </c>
      <c r="E234" s="2" t="b">
        <v>0</v>
      </c>
      <c r="F234" s="2" t="s">
        <v>121</v>
      </c>
      <c r="G234" s="2" t="s">
        <v>149</v>
      </c>
      <c r="H234" s="2" t="s">
        <v>221</v>
      </c>
      <c r="I234" s="2" t="s">
        <v>206</v>
      </c>
      <c r="J234" s="2" t="s">
        <v>35</v>
      </c>
      <c r="K234" s="2" t="s">
        <v>35</v>
      </c>
      <c r="L234" s="2" t="s">
        <v>35</v>
      </c>
      <c r="M234" s="2" t="s">
        <v>35</v>
      </c>
      <c r="N234" s="3">
        <v>44729.671922569447</v>
      </c>
      <c r="O234" s="3">
        <v>44729.67192320602</v>
      </c>
      <c r="P234" s="2">
        <v>0</v>
      </c>
      <c r="Q234" s="2" t="s">
        <v>36</v>
      </c>
      <c r="R234" s="2" t="s">
        <v>38</v>
      </c>
      <c r="S234" s="2" t="s">
        <v>35</v>
      </c>
      <c r="T234" s="2" t="s">
        <v>35</v>
      </c>
      <c r="U234" s="2" t="s">
        <v>35</v>
      </c>
      <c r="V234" s="2" t="b">
        <v>0</v>
      </c>
      <c r="W234" s="2" t="s">
        <v>35</v>
      </c>
      <c r="X234" s="2" t="s">
        <v>35</v>
      </c>
      <c r="Y234" s="2">
        <v>8</v>
      </c>
      <c r="Z234" s="2" t="s">
        <v>35</v>
      </c>
    </row>
    <row r="235" spans="1:26" x14ac:dyDescent="0.2">
      <c r="A235" s="2" t="s">
        <v>220</v>
      </c>
      <c r="B235" s="2" t="b">
        <v>0</v>
      </c>
      <c r="C235" s="2" t="b">
        <v>0</v>
      </c>
      <c r="D235" s="2" t="b">
        <v>0</v>
      </c>
      <c r="E235" s="2" t="b">
        <v>0</v>
      </c>
      <c r="F235" s="2" t="s">
        <v>31</v>
      </c>
      <c r="G235" s="2" t="s">
        <v>149</v>
      </c>
      <c r="H235" s="2" t="s">
        <v>221</v>
      </c>
      <c r="I235" s="2" t="s">
        <v>206</v>
      </c>
      <c r="J235" s="2" t="s">
        <v>35</v>
      </c>
      <c r="K235" s="2" t="s">
        <v>35</v>
      </c>
      <c r="L235" s="2" t="s">
        <v>35</v>
      </c>
      <c r="M235" s="2" t="s">
        <v>35</v>
      </c>
      <c r="N235" s="3">
        <v>44729.671922638889</v>
      </c>
      <c r="O235" s="3">
        <v>44729.671923298614</v>
      </c>
      <c r="P235" s="2">
        <v>0</v>
      </c>
      <c r="Q235" s="2" t="s">
        <v>36</v>
      </c>
      <c r="R235" s="2" t="s">
        <v>38</v>
      </c>
      <c r="S235" s="2" t="s">
        <v>35</v>
      </c>
      <c r="T235" s="2" t="s">
        <v>35</v>
      </c>
      <c r="U235" s="2" t="s">
        <v>35</v>
      </c>
      <c r="V235" s="2" t="b">
        <v>0</v>
      </c>
      <c r="W235" s="2" t="s">
        <v>35</v>
      </c>
      <c r="X235" s="2" t="s">
        <v>35</v>
      </c>
      <c r="Y235" s="2">
        <v>8</v>
      </c>
      <c r="Z235" s="2" t="s">
        <v>35</v>
      </c>
    </row>
    <row r="236" spans="1:26" x14ac:dyDescent="0.2">
      <c r="A236" s="2" t="s">
        <v>9227</v>
      </c>
      <c r="B236" s="2" t="b">
        <v>0</v>
      </c>
      <c r="C236" s="2" t="b">
        <v>0</v>
      </c>
      <c r="D236" s="2" t="b">
        <v>0</v>
      </c>
      <c r="E236" s="2" t="b">
        <v>0</v>
      </c>
      <c r="F236" s="2" t="s">
        <v>121</v>
      </c>
      <c r="G236" s="2" t="s">
        <v>149</v>
      </c>
      <c r="H236" s="2" t="s">
        <v>9228</v>
      </c>
      <c r="I236" s="2" t="s">
        <v>35</v>
      </c>
      <c r="J236" s="2" t="s">
        <v>35</v>
      </c>
      <c r="K236" s="2" t="s">
        <v>35</v>
      </c>
      <c r="L236" s="2" t="s">
        <v>35</v>
      </c>
      <c r="M236" s="2" t="s">
        <v>35</v>
      </c>
      <c r="N236" s="3">
        <v>44729.671922685186</v>
      </c>
      <c r="O236" s="3">
        <v>44729.671923298614</v>
      </c>
      <c r="P236" s="2">
        <v>0</v>
      </c>
      <c r="Q236" s="2" t="s">
        <v>35</v>
      </c>
      <c r="R236" s="2" t="s">
        <v>38</v>
      </c>
      <c r="S236" s="2" t="s">
        <v>35</v>
      </c>
      <c r="T236" s="2" t="s">
        <v>35</v>
      </c>
      <c r="U236" s="2" t="s">
        <v>35</v>
      </c>
      <c r="V236" s="2" t="b">
        <v>0</v>
      </c>
      <c r="W236" s="2" t="s">
        <v>35</v>
      </c>
      <c r="X236" s="2" t="s">
        <v>35</v>
      </c>
      <c r="Y236" s="2" t="s">
        <v>35</v>
      </c>
      <c r="Z236" s="2" t="s">
        <v>35</v>
      </c>
    </row>
    <row r="237" spans="1:26" x14ac:dyDescent="0.2">
      <c r="A237" s="2" t="s">
        <v>9229</v>
      </c>
      <c r="B237" s="2" t="b">
        <v>0</v>
      </c>
      <c r="C237" s="2" t="b">
        <v>0</v>
      </c>
      <c r="D237" s="2" t="b">
        <v>0</v>
      </c>
      <c r="E237" s="2" t="b">
        <v>0</v>
      </c>
      <c r="F237" s="2" t="s">
        <v>121</v>
      </c>
      <c r="G237" s="2" t="s">
        <v>149</v>
      </c>
      <c r="H237" s="2" t="s">
        <v>9228</v>
      </c>
      <c r="I237" s="2" t="s">
        <v>35</v>
      </c>
      <c r="J237" s="2" t="s">
        <v>35</v>
      </c>
      <c r="K237" s="2" t="s">
        <v>35</v>
      </c>
      <c r="L237" s="2" t="s">
        <v>35</v>
      </c>
      <c r="M237" s="2" t="s">
        <v>35</v>
      </c>
      <c r="N237" s="3">
        <v>44729.671922800924</v>
      </c>
      <c r="O237" s="3">
        <v>44729.671923310183</v>
      </c>
      <c r="P237" s="2">
        <v>0</v>
      </c>
      <c r="Q237" s="2" t="s">
        <v>36</v>
      </c>
      <c r="R237" s="2" t="s">
        <v>38</v>
      </c>
      <c r="S237" s="2" t="s">
        <v>35</v>
      </c>
      <c r="T237" s="2" t="s">
        <v>35</v>
      </c>
      <c r="U237" s="2" t="s">
        <v>35</v>
      </c>
      <c r="V237" s="2" t="b">
        <v>0</v>
      </c>
      <c r="W237" s="2" t="s">
        <v>35</v>
      </c>
      <c r="X237" s="2" t="s">
        <v>35</v>
      </c>
      <c r="Y237" s="2" t="s">
        <v>35</v>
      </c>
      <c r="Z237" s="2" t="s">
        <v>35</v>
      </c>
    </row>
    <row r="238" spans="1:26" x14ac:dyDescent="0.2">
      <c r="A238" s="2" t="s">
        <v>222</v>
      </c>
      <c r="B238" s="2" t="b">
        <v>0</v>
      </c>
      <c r="C238" s="2" t="b">
        <v>0</v>
      </c>
      <c r="D238" s="2" t="b">
        <v>0</v>
      </c>
      <c r="E238" s="2" t="b">
        <v>0</v>
      </c>
      <c r="F238" s="2" t="s">
        <v>31</v>
      </c>
      <c r="G238" s="2" t="s">
        <v>223</v>
      </c>
      <c r="H238" s="2" t="s">
        <v>224</v>
      </c>
      <c r="I238" s="2" t="s">
        <v>35</v>
      </c>
      <c r="J238" s="2" t="s">
        <v>35</v>
      </c>
      <c r="K238" s="2" t="s">
        <v>35</v>
      </c>
      <c r="L238" s="2" t="s">
        <v>35</v>
      </c>
      <c r="M238" s="2" t="s">
        <v>35</v>
      </c>
      <c r="N238" s="3">
        <v>44729.672945486112</v>
      </c>
      <c r="O238" s="3">
        <v>44729.673537870367</v>
      </c>
      <c r="P238" s="2">
        <v>0</v>
      </c>
      <c r="Q238" s="2" t="s">
        <v>36</v>
      </c>
      <c r="R238" s="2" t="s">
        <v>38</v>
      </c>
      <c r="S238" s="2" t="s">
        <v>35</v>
      </c>
      <c r="T238" s="2" t="s">
        <v>35</v>
      </c>
      <c r="U238" s="2" t="s">
        <v>35</v>
      </c>
      <c r="V238" s="2" t="b">
        <v>0</v>
      </c>
      <c r="W238" s="2" t="s">
        <v>35</v>
      </c>
      <c r="X238" s="2" t="s">
        <v>35</v>
      </c>
      <c r="Y238" s="2">
        <v>6</v>
      </c>
      <c r="Z238" s="2" t="s">
        <v>35</v>
      </c>
    </row>
    <row r="239" spans="1:26" x14ac:dyDescent="0.2">
      <c r="A239" s="2" t="s">
        <v>225</v>
      </c>
      <c r="B239" s="2" t="b">
        <v>0</v>
      </c>
      <c r="C239" s="2" t="b">
        <v>0</v>
      </c>
      <c r="D239" s="2" t="b">
        <v>0</v>
      </c>
      <c r="E239" s="2" t="b">
        <v>0</v>
      </c>
      <c r="F239" s="2" t="s">
        <v>31</v>
      </c>
      <c r="G239" s="2" t="s">
        <v>226</v>
      </c>
      <c r="H239" s="2" t="s">
        <v>227</v>
      </c>
      <c r="I239" s="2" t="s">
        <v>35</v>
      </c>
      <c r="J239" s="2" t="s">
        <v>35</v>
      </c>
      <c r="K239" s="2" t="s">
        <v>35</v>
      </c>
      <c r="L239" s="2" t="s">
        <v>35</v>
      </c>
      <c r="M239" s="2" t="s">
        <v>35</v>
      </c>
      <c r="N239" s="3">
        <v>44729.674743981479</v>
      </c>
      <c r="O239" s="3">
        <v>44729.675521087964</v>
      </c>
      <c r="P239" s="2">
        <v>0</v>
      </c>
      <c r="Q239" s="2" t="s">
        <v>109</v>
      </c>
      <c r="R239" s="2" t="s">
        <v>38</v>
      </c>
      <c r="S239" s="2" t="s">
        <v>35</v>
      </c>
      <c r="T239" s="2">
        <v>0</v>
      </c>
      <c r="U239" s="2" t="s">
        <v>228</v>
      </c>
      <c r="V239" s="2" t="b">
        <v>0</v>
      </c>
      <c r="W239" s="2" t="s">
        <v>35</v>
      </c>
      <c r="X239" s="2" t="s">
        <v>35</v>
      </c>
      <c r="Y239" s="2" t="s">
        <v>35</v>
      </c>
      <c r="Z239" s="2" t="s">
        <v>35</v>
      </c>
    </row>
    <row r="240" spans="1:26" x14ac:dyDescent="0.2">
      <c r="A240" s="2" t="s">
        <v>229</v>
      </c>
      <c r="B240" s="2" t="b">
        <v>0</v>
      </c>
      <c r="C240" s="2" t="b">
        <v>0</v>
      </c>
      <c r="D240" s="2" t="b">
        <v>0</v>
      </c>
      <c r="E240" s="2" t="b">
        <v>0</v>
      </c>
      <c r="F240" s="2" t="s">
        <v>31</v>
      </c>
      <c r="G240" s="2" t="s">
        <v>230</v>
      </c>
      <c r="H240" s="2" t="s">
        <v>231</v>
      </c>
      <c r="I240" s="2" t="s">
        <v>35</v>
      </c>
      <c r="J240" s="2" t="s">
        <v>35</v>
      </c>
      <c r="K240" s="2" t="s">
        <v>35</v>
      </c>
      <c r="L240" s="2" t="s">
        <v>35</v>
      </c>
      <c r="M240" s="2" t="s">
        <v>35</v>
      </c>
      <c r="N240" s="3">
        <v>44729.684437731485</v>
      </c>
      <c r="O240" s="3">
        <v>44729.685455185187</v>
      </c>
      <c r="P240" s="2">
        <v>0</v>
      </c>
      <c r="Q240" s="2" t="s">
        <v>36</v>
      </c>
      <c r="R240" s="2" t="s">
        <v>38</v>
      </c>
      <c r="S240" s="2" t="s">
        <v>35</v>
      </c>
      <c r="T240" s="2" t="s">
        <v>35</v>
      </c>
      <c r="U240" s="2" t="s">
        <v>35</v>
      </c>
      <c r="V240" s="2" t="b">
        <v>0</v>
      </c>
      <c r="W240" s="2" t="s">
        <v>35</v>
      </c>
      <c r="X240" s="2" t="s">
        <v>35</v>
      </c>
      <c r="Y240" s="2">
        <v>6</v>
      </c>
      <c r="Z240" s="2" t="s">
        <v>35</v>
      </c>
    </row>
    <row r="241" spans="1:26" x14ac:dyDescent="0.2">
      <c r="A241" s="2" t="s">
        <v>9230</v>
      </c>
      <c r="B241" s="2" t="b">
        <v>0</v>
      </c>
      <c r="C241" s="2" t="b">
        <v>0</v>
      </c>
      <c r="D241" s="2" t="b">
        <v>0</v>
      </c>
      <c r="E241" s="2" t="b">
        <v>0</v>
      </c>
      <c r="F241" s="2" t="s">
        <v>121</v>
      </c>
      <c r="G241" s="2" t="s">
        <v>149</v>
      </c>
      <c r="H241" s="2" t="s">
        <v>233</v>
      </c>
      <c r="I241" s="2" t="s">
        <v>35</v>
      </c>
      <c r="J241" s="2" t="s">
        <v>35</v>
      </c>
      <c r="K241" s="2" t="s">
        <v>35</v>
      </c>
      <c r="L241" s="2" t="s">
        <v>35</v>
      </c>
      <c r="M241" s="2" t="s">
        <v>35</v>
      </c>
      <c r="N241" s="3">
        <v>44729.692087835647</v>
      </c>
      <c r="O241" s="3">
        <v>44729.6921166088</v>
      </c>
      <c r="P241" s="2">
        <v>0</v>
      </c>
      <c r="Q241" s="2" t="s">
        <v>35</v>
      </c>
      <c r="R241" s="2" t="s">
        <v>38</v>
      </c>
      <c r="S241" s="2" t="s">
        <v>35</v>
      </c>
      <c r="T241" s="2" t="s">
        <v>35</v>
      </c>
      <c r="U241" s="2" t="s">
        <v>35</v>
      </c>
      <c r="V241" s="2" t="b">
        <v>0</v>
      </c>
      <c r="W241" s="2" t="s">
        <v>35</v>
      </c>
      <c r="X241" s="2" t="s">
        <v>35</v>
      </c>
      <c r="Y241" s="2" t="s">
        <v>35</v>
      </c>
      <c r="Z241" s="2" t="s">
        <v>35</v>
      </c>
    </row>
    <row r="242" spans="1:26" x14ac:dyDescent="0.2">
      <c r="A242" s="2" t="s">
        <v>9231</v>
      </c>
      <c r="B242" s="2" t="b">
        <v>0</v>
      </c>
      <c r="C242" s="2" t="b">
        <v>0</v>
      </c>
      <c r="D242" s="2" t="b">
        <v>0</v>
      </c>
      <c r="E242" s="2" t="b">
        <v>0</v>
      </c>
      <c r="F242" s="2" t="s">
        <v>121</v>
      </c>
      <c r="G242" s="2" t="s">
        <v>149</v>
      </c>
      <c r="H242" s="2" t="s">
        <v>233</v>
      </c>
      <c r="I242" s="2" t="s">
        <v>35</v>
      </c>
      <c r="J242" s="2" t="s">
        <v>35</v>
      </c>
      <c r="K242" s="2" t="s">
        <v>35</v>
      </c>
      <c r="L242" s="2" t="s">
        <v>35</v>
      </c>
      <c r="M242" s="2" t="s">
        <v>35</v>
      </c>
      <c r="N242" s="3">
        <v>44729.692088020834</v>
      </c>
      <c r="O242" s="3">
        <v>44729.69211664352</v>
      </c>
      <c r="P242" s="2">
        <v>0</v>
      </c>
      <c r="Q242" s="2" t="s">
        <v>54</v>
      </c>
      <c r="R242" s="2" t="s">
        <v>38</v>
      </c>
      <c r="S242" s="2" t="s">
        <v>35</v>
      </c>
      <c r="T242" s="2" t="s">
        <v>35</v>
      </c>
      <c r="U242" s="2" t="s">
        <v>35</v>
      </c>
      <c r="V242" s="2" t="b">
        <v>0</v>
      </c>
      <c r="W242" s="2" t="s">
        <v>35</v>
      </c>
      <c r="X242" s="2" t="s">
        <v>35</v>
      </c>
      <c r="Y242" s="2" t="s">
        <v>35</v>
      </c>
      <c r="Z242" s="2" t="s">
        <v>35</v>
      </c>
    </row>
    <row r="243" spans="1:26" x14ac:dyDescent="0.2">
      <c r="A243" s="2" t="s">
        <v>9232</v>
      </c>
      <c r="B243" s="2" t="b">
        <v>0</v>
      </c>
      <c r="C243" s="2" t="b">
        <v>0</v>
      </c>
      <c r="D243" s="2" t="b">
        <v>0</v>
      </c>
      <c r="E243" s="2" t="b">
        <v>0</v>
      </c>
      <c r="F243" s="2" t="s">
        <v>121</v>
      </c>
      <c r="G243" s="2" t="s">
        <v>149</v>
      </c>
      <c r="H243" s="2" t="s">
        <v>233</v>
      </c>
      <c r="I243" s="2" t="s">
        <v>35</v>
      </c>
      <c r="J243" s="2" t="s">
        <v>35</v>
      </c>
      <c r="K243" s="2" t="s">
        <v>35</v>
      </c>
      <c r="L243" s="2" t="s">
        <v>35</v>
      </c>
      <c r="M243" s="2" t="s">
        <v>35</v>
      </c>
      <c r="N243" s="3">
        <v>44729.692116435188</v>
      </c>
      <c r="O243" s="3">
        <v>44729.692117210645</v>
      </c>
      <c r="P243" s="2">
        <v>0</v>
      </c>
      <c r="Q243" s="2" t="s">
        <v>54</v>
      </c>
      <c r="R243" s="2" t="s">
        <v>38</v>
      </c>
      <c r="S243" s="2" t="s">
        <v>35</v>
      </c>
      <c r="T243" s="2" t="s">
        <v>35</v>
      </c>
      <c r="U243" s="2" t="s">
        <v>35</v>
      </c>
      <c r="V243" s="2" t="b">
        <v>0</v>
      </c>
      <c r="W243" s="2" t="s">
        <v>35</v>
      </c>
      <c r="X243" s="2" t="s">
        <v>35</v>
      </c>
      <c r="Y243" s="2" t="s">
        <v>35</v>
      </c>
      <c r="Z243" s="2" t="s">
        <v>35</v>
      </c>
    </row>
    <row r="244" spans="1:26" x14ac:dyDescent="0.2">
      <c r="A244" s="2" t="s">
        <v>9233</v>
      </c>
      <c r="B244" s="2" t="b">
        <v>0</v>
      </c>
      <c r="C244" s="2" t="b">
        <v>0</v>
      </c>
      <c r="D244" s="2" t="b">
        <v>0</v>
      </c>
      <c r="E244" s="2" t="b">
        <v>0</v>
      </c>
      <c r="F244" s="2" t="s">
        <v>121</v>
      </c>
      <c r="G244" s="2" t="s">
        <v>149</v>
      </c>
      <c r="H244" s="2" t="s">
        <v>233</v>
      </c>
      <c r="I244" s="2" t="s">
        <v>35</v>
      </c>
      <c r="J244" s="2" t="s">
        <v>35</v>
      </c>
      <c r="K244" s="2" t="s">
        <v>35</v>
      </c>
      <c r="L244" s="2">
        <v>26</v>
      </c>
      <c r="M244" s="2">
        <v>16</v>
      </c>
      <c r="N244" s="3">
        <v>44729.692116481485</v>
      </c>
      <c r="O244" s="3">
        <v>44729.692117210645</v>
      </c>
      <c r="P244" s="2">
        <v>0</v>
      </c>
      <c r="Q244" s="2" t="s">
        <v>54</v>
      </c>
      <c r="R244" s="2" t="s">
        <v>38</v>
      </c>
      <c r="S244" s="2" t="s">
        <v>35</v>
      </c>
      <c r="T244" s="2" t="s">
        <v>35</v>
      </c>
      <c r="U244" s="2" t="s">
        <v>35</v>
      </c>
      <c r="V244" s="2" t="b">
        <v>0</v>
      </c>
      <c r="W244" s="2" t="s">
        <v>35</v>
      </c>
      <c r="X244" s="2" t="s">
        <v>35</v>
      </c>
      <c r="Y244" s="2" t="s">
        <v>35</v>
      </c>
      <c r="Z244" s="2" t="s">
        <v>35</v>
      </c>
    </row>
    <row r="245" spans="1:26" x14ac:dyDescent="0.2">
      <c r="A245" s="2" t="s">
        <v>232</v>
      </c>
      <c r="B245" s="2" t="b">
        <v>0</v>
      </c>
      <c r="C245" s="2" t="b">
        <v>0</v>
      </c>
      <c r="D245" s="2" t="b">
        <v>0</v>
      </c>
      <c r="E245" s="2" t="b">
        <v>0</v>
      </c>
      <c r="F245" s="2" t="s">
        <v>31</v>
      </c>
      <c r="G245" s="2" t="s">
        <v>149</v>
      </c>
      <c r="H245" s="2" t="s">
        <v>233</v>
      </c>
      <c r="I245" s="2" t="s">
        <v>35</v>
      </c>
      <c r="J245" s="2" t="s">
        <v>35</v>
      </c>
      <c r="K245" s="2" t="s">
        <v>35</v>
      </c>
      <c r="L245" s="2">
        <v>26</v>
      </c>
      <c r="M245" s="2">
        <v>16</v>
      </c>
      <c r="N245" s="3">
        <v>44729.692116585647</v>
      </c>
      <c r="O245" s="3">
        <v>44729.692117222221</v>
      </c>
      <c r="P245" s="2">
        <v>0</v>
      </c>
      <c r="Q245" s="2" t="s">
        <v>54</v>
      </c>
      <c r="R245" s="2" t="s">
        <v>38</v>
      </c>
      <c r="S245" s="2" t="s">
        <v>35</v>
      </c>
      <c r="T245" s="2" t="s">
        <v>35</v>
      </c>
      <c r="U245" s="2" t="s">
        <v>35</v>
      </c>
      <c r="V245" s="2" t="b">
        <v>0</v>
      </c>
      <c r="W245" s="2" t="s">
        <v>35</v>
      </c>
      <c r="X245" s="2" t="s">
        <v>35</v>
      </c>
      <c r="Y245" s="2" t="s">
        <v>35</v>
      </c>
      <c r="Z245" s="2" t="s">
        <v>35</v>
      </c>
    </row>
    <row r="246" spans="1:26" x14ac:dyDescent="0.2">
      <c r="A246" s="2" t="s">
        <v>9234</v>
      </c>
      <c r="B246" s="2" t="b">
        <v>0</v>
      </c>
      <c r="C246" s="2" t="b">
        <v>0</v>
      </c>
      <c r="D246" s="2" t="b">
        <v>0</v>
      </c>
      <c r="E246" s="2" t="b">
        <v>0</v>
      </c>
      <c r="F246" s="2" t="s">
        <v>121</v>
      </c>
      <c r="G246" s="2" t="s">
        <v>149</v>
      </c>
      <c r="H246" s="2" t="s">
        <v>235</v>
      </c>
      <c r="I246" s="2" t="s">
        <v>35</v>
      </c>
      <c r="J246" s="2" t="s">
        <v>35</v>
      </c>
      <c r="K246" s="2" t="s">
        <v>35</v>
      </c>
      <c r="L246" s="2" t="s">
        <v>35</v>
      </c>
      <c r="M246" s="2" t="s">
        <v>35</v>
      </c>
      <c r="N246" s="3">
        <v>44729.692116678241</v>
      </c>
      <c r="O246" s="3">
        <v>44729.692117349536</v>
      </c>
      <c r="P246" s="2">
        <v>0</v>
      </c>
      <c r="Q246" s="2" t="s">
        <v>35</v>
      </c>
      <c r="R246" s="2" t="s">
        <v>38</v>
      </c>
      <c r="S246" s="2" t="s">
        <v>35</v>
      </c>
      <c r="T246" s="2" t="s">
        <v>35</v>
      </c>
      <c r="U246" s="2" t="s">
        <v>35</v>
      </c>
      <c r="V246" s="2" t="b">
        <v>0</v>
      </c>
      <c r="W246" s="2" t="s">
        <v>35</v>
      </c>
      <c r="X246" s="2" t="s">
        <v>35</v>
      </c>
      <c r="Y246" s="2" t="s">
        <v>35</v>
      </c>
      <c r="Z246" s="2" t="s">
        <v>35</v>
      </c>
    </row>
    <row r="247" spans="1:26" x14ac:dyDescent="0.2">
      <c r="A247" s="2" t="s">
        <v>9235</v>
      </c>
      <c r="B247" s="2" t="b">
        <v>0</v>
      </c>
      <c r="C247" s="2" t="b">
        <v>0</v>
      </c>
      <c r="D247" s="2" t="b">
        <v>0</v>
      </c>
      <c r="E247" s="2" t="b">
        <v>0</v>
      </c>
      <c r="F247" s="2" t="s">
        <v>121</v>
      </c>
      <c r="G247" s="2" t="s">
        <v>149</v>
      </c>
      <c r="H247" s="2" t="s">
        <v>235</v>
      </c>
      <c r="I247" s="2" t="s">
        <v>35</v>
      </c>
      <c r="J247" s="2" t="s">
        <v>35</v>
      </c>
      <c r="K247" s="2" t="s">
        <v>35</v>
      </c>
      <c r="L247" s="2" t="s">
        <v>35</v>
      </c>
      <c r="M247" s="2" t="s">
        <v>35</v>
      </c>
      <c r="N247" s="3">
        <v>44729.692116770835</v>
      </c>
      <c r="O247" s="3">
        <v>44729.692117361112</v>
      </c>
      <c r="P247" s="2">
        <v>0</v>
      </c>
      <c r="Q247" s="2" t="s">
        <v>54</v>
      </c>
      <c r="R247" s="2" t="s">
        <v>38</v>
      </c>
      <c r="S247" s="2" t="s">
        <v>35</v>
      </c>
      <c r="T247" s="2" t="s">
        <v>35</v>
      </c>
      <c r="U247" s="2" t="s">
        <v>35</v>
      </c>
      <c r="V247" s="2" t="b">
        <v>0</v>
      </c>
      <c r="W247" s="2" t="s">
        <v>35</v>
      </c>
      <c r="X247" s="2" t="s">
        <v>35</v>
      </c>
      <c r="Y247" s="2" t="s">
        <v>35</v>
      </c>
      <c r="Z247" s="2" t="s">
        <v>35</v>
      </c>
    </row>
    <row r="248" spans="1:26" x14ac:dyDescent="0.2">
      <c r="A248" s="2" t="s">
        <v>9236</v>
      </c>
      <c r="B248" s="2" t="b">
        <v>0</v>
      </c>
      <c r="C248" s="2" t="b">
        <v>0</v>
      </c>
      <c r="D248" s="2" t="b">
        <v>0</v>
      </c>
      <c r="E248" s="2" t="b">
        <v>0</v>
      </c>
      <c r="F248" s="2" t="s">
        <v>121</v>
      </c>
      <c r="G248" s="2" t="s">
        <v>149</v>
      </c>
      <c r="H248" s="2" t="s">
        <v>235</v>
      </c>
      <c r="I248" s="2" t="s">
        <v>35</v>
      </c>
      <c r="J248" s="2" t="s">
        <v>35</v>
      </c>
      <c r="K248" s="2" t="s">
        <v>35</v>
      </c>
      <c r="L248" s="2" t="s">
        <v>35</v>
      </c>
      <c r="M248" s="2" t="s">
        <v>35</v>
      </c>
      <c r="N248" s="3">
        <v>44729.692116805556</v>
      </c>
      <c r="O248" s="3">
        <v>44729.692117418985</v>
      </c>
      <c r="P248" s="2">
        <v>0</v>
      </c>
      <c r="Q248" s="2" t="s">
        <v>54</v>
      </c>
      <c r="R248" s="2" t="s">
        <v>38</v>
      </c>
      <c r="S248" s="2" t="s">
        <v>35</v>
      </c>
      <c r="T248" s="2" t="s">
        <v>35</v>
      </c>
      <c r="U248" s="2" t="s">
        <v>35</v>
      </c>
      <c r="V248" s="2" t="b">
        <v>0</v>
      </c>
      <c r="W248" s="2" t="s">
        <v>35</v>
      </c>
      <c r="X248" s="2" t="s">
        <v>35</v>
      </c>
      <c r="Y248" s="2" t="s">
        <v>35</v>
      </c>
      <c r="Z248" s="2" t="s">
        <v>35</v>
      </c>
    </row>
    <row r="249" spans="1:26" x14ac:dyDescent="0.2">
      <c r="A249" s="2" t="s">
        <v>234</v>
      </c>
      <c r="B249" s="2" t="b">
        <v>0</v>
      </c>
      <c r="C249" s="2" t="b">
        <v>0</v>
      </c>
      <c r="D249" s="2" t="b">
        <v>0</v>
      </c>
      <c r="E249" s="2" t="b">
        <v>0</v>
      </c>
      <c r="F249" s="2" t="s">
        <v>121</v>
      </c>
      <c r="G249" s="2" t="s">
        <v>149</v>
      </c>
      <c r="H249" s="2" t="s">
        <v>235</v>
      </c>
      <c r="I249" s="2" t="s">
        <v>35</v>
      </c>
      <c r="J249" s="2" t="s">
        <v>35</v>
      </c>
      <c r="K249" s="2" t="s">
        <v>35</v>
      </c>
      <c r="L249" s="2">
        <v>16</v>
      </c>
      <c r="M249" s="2">
        <v>16</v>
      </c>
      <c r="N249" s="3">
        <v>44729.692116851853</v>
      </c>
      <c r="O249" s="3">
        <v>44729.692117511571</v>
      </c>
      <c r="P249" s="2">
        <v>0</v>
      </c>
      <c r="Q249" s="2" t="s">
        <v>54</v>
      </c>
      <c r="R249" s="2" t="s">
        <v>38</v>
      </c>
      <c r="S249" s="2" t="s">
        <v>35</v>
      </c>
      <c r="T249" s="2" t="s">
        <v>35</v>
      </c>
      <c r="U249" s="2" t="s">
        <v>35</v>
      </c>
      <c r="V249" s="2" t="b">
        <v>0</v>
      </c>
      <c r="W249" s="2" t="s">
        <v>35</v>
      </c>
      <c r="X249" s="2" t="s">
        <v>35</v>
      </c>
      <c r="Y249" s="2" t="s">
        <v>35</v>
      </c>
      <c r="Z249" s="2" t="s">
        <v>35</v>
      </c>
    </row>
    <row r="250" spans="1:26" x14ac:dyDescent="0.2">
      <c r="A250" s="2" t="s">
        <v>236</v>
      </c>
      <c r="B250" s="2" t="b">
        <v>0</v>
      </c>
      <c r="C250" s="2" t="b">
        <v>0</v>
      </c>
      <c r="D250" s="2" t="b">
        <v>0</v>
      </c>
      <c r="E250" s="2" t="b">
        <v>0</v>
      </c>
      <c r="F250" s="2" t="s">
        <v>31</v>
      </c>
      <c r="G250" s="2" t="s">
        <v>237</v>
      </c>
      <c r="H250" s="2" t="s">
        <v>238</v>
      </c>
      <c r="I250" s="2" t="s">
        <v>35</v>
      </c>
      <c r="J250" s="2" t="s">
        <v>35</v>
      </c>
      <c r="K250" s="2" t="s">
        <v>35</v>
      </c>
      <c r="L250" s="2">
        <v>28</v>
      </c>
      <c r="M250" s="2">
        <v>15</v>
      </c>
      <c r="N250" s="3">
        <v>44729.692116886574</v>
      </c>
      <c r="O250" s="3">
        <v>44729.692878379632</v>
      </c>
      <c r="P250" s="2">
        <v>0</v>
      </c>
      <c r="Q250" s="2" t="s">
        <v>54</v>
      </c>
      <c r="R250" s="2" t="s">
        <v>38</v>
      </c>
      <c r="S250" s="2" t="s">
        <v>35</v>
      </c>
      <c r="T250" s="2" t="s">
        <v>35</v>
      </c>
      <c r="U250" s="2" t="s">
        <v>35</v>
      </c>
      <c r="V250" s="2" t="b">
        <v>0</v>
      </c>
      <c r="W250" s="2" t="s">
        <v>35</v>
      </c>
      <c r="X250" s="2" t="s">
        <v>35</v>
      </c>
      <c r="Y250" s="2" t="s">
        <v>35</v>
      </c>
      <c r="Z250" s="2" t="s">
        <v>35</v>
      </c>
    </row>
    <row r="251" spans="1:26" x14ac:dyDescent="0.2">
      <c r="A251" s="2" t="s">
        <v>239</v>
      </c>
      <c r="B251" s="2" t="b">
        <v>0</v>
      </c>
      <c r="C251" s="2" t="b">
        <v>0</v>
      </c>
      <c r="D251" s="2" t="b">
        <v>0</v>
      </c>
      <c r="E251" s="2" t="b">
        <v>0</v>
      </c>
      <c r="F251" s="2" t="s">
        <v>31</v>
      </c>
      <c r="G251" s="2" t="s">
        <v>240</v>
      </c>
      <c r="H251" s="2" t="s">
        <v>241</v>
      </c>
      <c r="I251" s="2" t="s">
        <v>35</v>
      </c>
      <c r="J251" s="2" t="s">
        <v>35</v>
      </c>
      <c r="K251" s="2" t="s">
        <v>35</v>
      </c>
      <c r="L251" s="2">
        <v>11</v>
      </c>
      <c r="M251" s="2">
        <v>15</v>
      </c>
      <c r="N251" s="3">
        <v>44729.69323675926</v>
      </c>
      <c r="O251" s="3">
        <v>44729.693588634262</v>
      </c>
      <c r="P251" s="2">
        <v>0</v>
      </c>
      <c r="Q251" s="2" t="s">
        <v>54</v>
      </c>
      <c r="R251" s="2" t="s">
        <v>38</v>
      </c>
      <c r="S251" s="2" t="s">
        <v>35</v>
      </c>
      <c r="T251" s="2" t="s">
        <v>35</v>
      </c>
      <c r="U251" s="2" t="s">
        <v>35</v>
      </c>
      <c r="V251" s="2" t="b">
        <v>0</v>
      </c>
      <c r="W251" s="2" t="s">
        <v>35</v>
      </c>
      <c r="X251" s="2" t="s">
        <v>35</v>
      </c>
      <c r="Y251" s="2" t="s">
        <v>35</v>
      </c>
      <c r="Z251" s="2" t="s">
        <v>35</v>
      </c>
    </row>
    <row r="252" spans="1:26" x14ac:dyDescent="0.2">
      <c r="A252" s="2" t="s">
        <v>242</v>
      </c>
      <c r="B252" s="2" t="b">
        <v>0</v>
      </c>
      <c r="C252" s="2" t="b">
        <v>0</v>
      </c>
      <c r="D252" s="2" t="b">
        <v>0</v>
      </c>
      <c r="E252" s="2" t="b">
        <v>0</v>
      </c>
      <c r="F252" s="2" t="s">
        <v>31</v>
      </c>
      <c r="G252" s="2" t="s">
        <v>243</v>
      </c>
      <c r="H252" s="2" t="s">
        <v>244</v>
      </c>
      <c r="I252" s="2" t="s">
        <v>35</v>
      </c>
      <c r="J252" s="2" t="s">
        <v>35</v>
      </c>
      <c r="K252" s="2" t="s">
        <v>35</v>
      </c>
      <c r="L252" s="2" t="s">
        <v>35</v>
      </c>
      <c r="M252" s="2" t="s">
        <v>35</v>
      </c>
      <c r="N252" s="3">
        <v>44729.693961053243</v>
      </c>
      <c r="O252" s="3">
        <v>44729.694490949078</v>
      </c>
      <c r="P252" s="2">
        <v>0</v>
      </c>
      <c r="Q252" s="2" t="s">
        <v>36</v>
      </c>
      <c r="R252" s="2" t="s">
        <v>38</v>
      </c>
      <c r="S252" s="2" t="s">
        <v>35</v>
      </c>
      <c r="T252" s="2" t="s">
        <v>35</v>
      </c>
      <c r="U252" s="2" t="s">
        <v>35</v>
      </c>
      <c r="V252" s="2" t="b">
        <v>0</v>
      </c>
      <c r="W252" s="2" t="s">
        <v>35</v>
      </c>
      <c r="X252" s="2" t="s">
        <v>35</v>
      </c>
      <c r="Y252" s="2">
        <v>10</v>
      </c>
      <c r="Z252" s="2" t="s">
        <v>35</v>
      </c>
    </row>
    <row r="253" spans="1:26" x14ac:dyDescent="0.2">
      <c r="A253" s="2" t="s">
        <v>245</v>
      </c>
      <c r="B253" s="2" t="b">
        <v>0</v>
      </c>
      <c r="C253" s="2" t="b">
        <v>0</v>
      </c>
      <c r="D253" s="2" t="b">
        <v>0</v>
      </c>
      <c r="E253" s="2" t="b">
        <v>0</v>
      </c>
      <c r="F253" s="2" t="s">
        <v>31</v>
      </c>
      <c r="G253" s="2" t="s">
        <v>246</v>
      </c>
      <c r="H253" s="2" t="s">
        <v>247</v>
      </c>
      <c r="I253" s="2" t="s">
        <v>248</v>
      </c>
      <c r="J253" s="2" t="s">
        <v>35</v>
      </c>
      <c r="K253" s="2" t="s">
        <v>35</v>
      </c>
      <c r="L253" s="2" t="s">
        <v>35</v>
      </c>
      <c r="M253" s="2" t="s">
        <v>35</v>
      </c>
      <c r="N253" s="3">
        <v>44729.696403483795</v>
      </c>
      <c r="O253" s="3">
        <v>44729.699458877316</v>
      </c>
      <c r="P253" s="2">
        <v>0</v>
      </c>
      <c r="Q253" s="2" t="s">
        <v>36</v>
      </c>
      <c r="R253" s="2" t="s">
        <v>38</v>
      </c>
      <c r="S253" s="2" t="s">
        <v>35</v>
      </c>
      <c r="T253" s="2" t="s">
        <v>35</v>
      </c>
      <c r="U253" s="2" t="s">
        <v>35</v>
      </c>
      <c r="V253" s="2" t="b">
        <v>0</v>
      </c>
      <c r="W253" s="2" t="s">
        <v>35</v>
      </c>
      <c r="X253" s="2">
        <v>100</v>
      </c>
      <c r="Y253" s="2">
        <v>6</v>
      </c>
      <c r="Z253" s="2">
        <v>4</v>
      </c>
    </row>
    <row r="254" spans="1:26" x14ac:dyDescent="0.2">
      <c r="A254" s="2" t="s">
        <v>249</v>
      </c>
      <c r="B254" s="2" t="b">
        <v>0</v>
      </c>
      <c r="C254" s="2" t="b">
        <v>0</v>
      </c>
      <c r="D254" s="2" t="b">
        <v>0</v>
      </c>
      <c r="E254" s="2" t="b">
        <v>0</v>
      </c>
      <c r="F254" s="2" t="s">
        <v>31</v>
      </c>
      <c r="G254" s="2" t="s">
        <v>250</v>
      </c>
      <c r="H254" s="2" t="s">
        <v>251</v>
      </c>
      <c r="I254" s="2" t="s">
        <v>35</v>
      </c>
      <c r="J254" s="2" t="s">
        <v>35</v>
      </c>
      <c r="K254" s="2" t="s">
        <v>35</v>
      </c>
      <c r="L254" s="2" t="s">
        <v>35</v>
      </c>
      <c r="M254" s="2" t="s">
        <v>35</v>
      </c>
      <c r="N254" s="3">
        <v>44729.700144490744</v>
      </c>
      <c r="O254" s="3">
        <v>44729.701377280093</v>
      </c>
      <c r="P254" s="2">
        <v>0</v>
      </c>
      <c r="Q254" s="2" t="s">
        <v>36</v>
      </c>
      <c r="R254" s="2" t="s">
        <v>38</v>
      </c>
      <c r="S254" s="2" t="s">
        <v>35</v>
      </c>
      <c r="T254" s="2" t="s">
        <v>35</v>
      </c>
      <c r="U254" s="2" t="s">
        <v>35</v>
      </c>
      <c r="V254" s="2" t="b">
        <v>0</v>
      </c>
      <c r="W254" s="2" t="s">
        <v>35</v>
      </c>
      <c r="X254" s="2" t="s">
        <v>35</v>
      </c>
      <c r="Y254" s="2">
        <v>7</v>
      </c>
      <c r="Z254" s="2" t="s">
        <v>35</v>
      </c>
    </row>
    <row r="255" spans="1:26" x14ac:dyDescent="0.2">
      <c r="A255" s="2" t="s">
        <v>252</v>
      </c>
      <c r="B255" s="2" t="b">
        <v>0</v>
      </c>
      <c r="C255" s="2" t="b">
        <v>0</v>
      </c>
      <c r="D255" s="2" t="b">
        <v>0</v>
      </c>
      <c r="E255" s="2" t="b">
        <v>0</v>
      </c>
      <c r="F255" s="2" t="s">
        <v>31</v>
      </c>
      <c r="G255" s="2" t="s">
        <v>253</v>
      </c>
      <c r="H255" s="2" t="s">
        <v>254</v>
      </c>
      <c r="I255" s="2" t="s">
        <v>35</v>
      </c>
      <c r="J255" s="2" t="s">
        <v>35</v>
      </c>
      <c r="K255" s="2" t="s">
        <v>35</v>
      </c>
      <c r="L255" s="2" t="s">
        <v>35</v>
      </c>
      <c r="M255" s="2" t="s">
        <v>35</v>
      </c>
      <c r="N255" s="3">
        <v>44729.702117731482</v>
      </c>
      <c r="O255" s="3">
        <v>44729.703053715275</v>
      </c>
      <c r="P255" s="2">
        <v>0</v>
      </c>
      <c r="Q255" s="2" t="s">
        <v>36</v>
      </c>
      <c r="R255" s="2" t="s">
        <v>38</v>
      </c>
      <c r="S255" s="2" t="s">
        <v>35</v>
      </c>
      <c r="T255" s="2" t="s">
        <v>35</v>
      </c>
      <c r="U255" s="2" t="s">
        <v>35</v>
      </c>
      <c r="V255" s="2" t="b">
        <v>0</v>
      </c>
      <c r="W255" s="2" t="s">
        <v>35</v>
      </c>
      <c r="X255" s="2">
        <v>100</v>
      </c>
      <c r="Y255" s="2">
        <v>7</v>
      </c>
      <c r="Z255" s="2">
        <v>3</v>
      </c>
    </row>
    <row r="256" spans="1:26" x14ac:dyDescent="0.2">
      <c r="A256" s="2" t="s">
        <v>255</v>
      </c>
      <c r="B256" s="2" t="b">
        <v>0</v>
      </c>
      <c r="C256" s="2" t="b">
        <v>0</v>
      </c>
      <c r="D256" s="2" t="b">
        <v>0</v>
      </c>
      <c r="E256" s="2" t="b">
        <v>0</v>
      </c>
      <c r="F256" s="2" t="s">
        <v>31</v>
      </c>
      <c r="G256" s="2" t="s">
        <v>256</v>
      </c>
      <c r="H256" s="2" t="s">
        <v>257</v>
      </c>
      <c r="I256" s="2" t="s">
        <v>35</v>
      </c>
      <c r="J256" s="2" t="s">
        <v>35</v>
      </c>
      <c r="K256" s="2" t="s">
        <v>35</v>
      </c>
      <c r="L256" s="2" t="s">
        <v>35</v>
      </c>
      <c r="M256" s="2" t="s">
        <v>35</v>
      </c>
      <c r="N256" s="3">
        <v>44729.704942037039</v>
      </c>
      <c r="O256" s="3">
        <v>44729.705578518522</v>
      </c>
      <c r="P256" s="2">
        <v>0</v>
      </c>
      <c r="Q256" s="2" t="s">
        <v>36</v>
      </c>
      <c r="R256" s="2" t="s">
        <v>38</v>
      </c>
      <c r="S256" s="2" t="s">
        <v>35</v>
      </c>
      <c r="T256" s="2" t="s">
        <v>35</v>
      </c>
      <c r="U256" s="2" t="s">
        <v>35</v>
      </c>
      <c r="V256" s="2" t="b">
        <v>0</v>
      </c>
      <c r="W256" s="2" t="s">
        <v>35</v>
      </c>
      <c r="X256" s="2" t="s">
        <v>35</v>
      </c>
      <c r="Y256" s="2">
        <v>6</v>
      </c>
      <c r="Z256" s="2">
        <v>5</v>
      </c>
    </row>
    <row r="257" spans="1:26" x14ac:dyDescent="0.2">
      <c r="A257" s="2" t="s">
        <v>258</v>
      </c>
      <c r="B257" s="2" t="b">
        <v>0</v>
      </c>
      <c r="C257" s="2" t="b">
        <v>0</v>
      </c>
      <c r="D257" s="2" t="b">
        <v>0</v>
      </c>
      <c r="E257" s="2" t="b">
        <v>0</v>
      </c>
      <c r="F257" s="2" t="s">
        <v>31</v>
      </c>
      <c r="G257" s="2" t="s">
        <v>259</v>
      </c>
      <c r="H257" s="2" t="s">
        <v>260</v>
      </c>
      <c r="I257" s="2" t="s">
        <v>35</v>
      </c>
      <c r="J257" s="2" t="s">
        <v>35</v>
      </c>
      <c r="K257" s="2" t="s">
        <v>35</v>
      </c>
      <c r="L257" s="2" t="s">
        <v>35</v>
      </c>
      <c r="M257" s="2" t="s">
        <v>35</v>
      </c>
      <c r="N257" s="3">
        <v>44729.707264201388</v>
      </c>
      <c r="O257" s="3">
        <v>44729.707896145832</v>
      </c>
      <c r="P257" s="2">
        <v>0</v>
      </c>
      <c r="Q257" s="2" t="s">
        <v>36</v>
      </c>
      <c r="R257" s="2" t="s">
        <v>38</v>
      </c>
      <c r="S257" s="2" t="s">
        <v>35</v>
      </c>
      <c r="T257" s="2" t="s">
        <v>35</v>
      </c>
      <c r="U257" s="2" t="s">
        <v>35</v>
      </c>
      <c r="V257" s="2" t="b">
        <v>0</v>
      </c>
      <c r="W257" s="2" t="s">
        <v>35</v>
      </c>
      <c r="X257" s="2" t="s">
        <v>35</v>
      </c>
      <c r="Y257" s="2">
        <v>6</v>
      </c>
      <c r="Z257" s="2" t="s">
        <v>35</v>
      </c>
    </row>
    <row r="258" spans="1:26" x14ac:dyDescent="0.2">
      <c r="A258" s="2" t="s">
        <v>261</v>
      </c>
      <c r="B258" s="2" t="b">
        <v>0</v>
      </c>
      <c r="C258" s="2" t="b">
        <v>0</v>
      </c>
      <c r="D258" s="2" t="b">
        <v>0</v>
      </c>
      <c r="E258" s="2" t="b">
        <v>1</v>
      </c>
      <c r="F258" s="2" t="s">
        <v>31</v>
      </c>
      <c r="G258" s="2" t="s">
        <v>262</v>
      </c>
      <c r="H258" s="2" t="s">
        <v>263</v>
      </c>
      <c r="I258" s="2" t="s">
        <v>264</v>
      </c>
      <c r="J258" s="2" t="s">
        <v>35</v>
      </c>
      <c r="K258" s="2">
        <v>13</v>
      </c>
      <c r="L258" s="2" t="s">
        <v>35</v>
      </c>
      <c r="M258" s="2" t="s">
        <v>35</v>
      </c>
      <c r="N258" s="3">
        <v>44729.710955462964</v>
      </c>
      <c r="O258" s="3">
        <v>44729.712188124999</v>
      </c>
      <c r="P258" s="2">
        <v>0</v>
      </c>
      <c r="Q258" s="2" t="s">
        <v>265</v>
      </c>
      <c r="R258" s="2" t="s">
        <v>38</v>
      </c>
      <c r="S258" s="2" t="s">
        <v>35</v>
      </c>
      <c r="T258" s="2" t="s">
        <v>35</v>
      </c>
      <c r="U258" s="2" t="s">
        <v>35</v>
      </c>
      <c r="V258" s="2" t="b">
        <v>0</v>
      </c>
      <c r="W258" s="2" t="s">
        <v>35</v>
      </c>
      <c r="X258" s="2" t="s">
        <v>35</v>
      </c>
      <c r="Y258" s="2" t="s">
        <v>35</v>
      </c>
      <c r="Z258" s="2" t="s">
        <v>35</v>
      </c>
    </row>
    <row r="259" spans="1:26" x14ac:dyDescent="0.2">
      <c r="A259" s="2" t="s">
        <v>267</v>
      </c>
      <c r="B259" s="2" t="b">
        <v>0</v>
      </c>
      <c r="C259" s="2" t="b">
        <v>0</v>
      </c>
      <c r="D259" s="2" t="b">
        <v>0</v>
      </c>
      <c r="E259" s="2" t="b">
        <v>1</v>
      </c>
      <c r="F259" s="2" t="s">
        <v>31</v>
      </c>
      <c r="G259" s="2" t="s">
        <v>268</v>
      </c>
      <c r="H259" s="2" t="s">
        <v>269</v>
      </c>
      <c r="I259" s="2" t="s">
        <v>270</v>
      </c>
      <c r="J259" s="2" t="s">
        <v>35</v>
      </c>
      <c r="K259" s="2">
        <v>11</v>
      </c>
      <c r="L259" s="2" t="s">
        <v>35</v>
      </c>
      <c r="M259" s="2" t="s">
        <v>35</v>
      </c>
      <c r="N259" s="3">
        <v>44729.71243378472</v>
      </c>
      <c r="O259" s="3">
        <v>44729.713172048614</v>
      </c>
      <c r="P259" s="2">
        <v>0</v>
      </c>
      <c r="Q259" s="2" t="s">
        <v>265</v>
      </c>
      <c r="R259" s="2" t="s">
        <v>38</v>
      </c>
      <c r="S259" s="2" t="s">
        <v>35</v>
      </c>
      <c r="T259" s="2" t="s">
        <v>35</v>
      </c>
      <c r="U259" s="2" t="s">
        <v>35</v>
      </c>
      <c r="V259" s="2" t="b">
        <v>0</v>
      </c>
      <c r="W259" s="2" t="s">
        <v>35</v>
      </c>
      <c r="X259" s="2" t="s">
        <v>35</v>
      </c>
      <c r="Y259" s="2" t="s">
        <v>35</v>
      </c>
      <c r="Z259" s="2" t="s">
        <v>35</v>
      </c>
    </row>
    <row r="260" spans="1:26" x14ac:dyDescent="0.2">
      <c r="A260" s="2" t="s">
        <v>271</v>
      </c>
      <c r="B260" s="2" t="b">
        <v>0</v>
      </c>
      <c r="C260" s="2" t="b">
        <v>0</v>
      </c>
      <c r="D260" s="2" t="b">
        <v>0</v>
      </c>
      <c r="E260" s="2" t="b">
        <v>0</v>
      </c>
      <c r="F260" s="2" t="s">
        <v>31</v>
      </c>
      <c r="G260" s="2" t="s">
        <v>272</v>
      </c>
      <c r="H260" s="2" t="s">
        <v>273</v>
      </c>
      <c r="I260" s="2" t="s">
        <v>274</v>
      </c>
      <c r="J260" s="2" t="s">
        <v>35</v>
      </c>
      <c r="K260" s="2" t="s">
        <v>35</v>
      </c>
      <c r="L260" s="2" t="s">
        <v>35</v>
      </c>
      <c r="M260" s="2" t="s">
        <v>35</v>
      </c>
      <c r="N260" s="3">
        <v>44729.725462546296</v>
      </c>
      <c r="O260" s="3">
        <v>44729.726083182868</v>
      </c>
      <c r="P260" s="2">
        <v>0</v>
      </c>
      <c r="Q260" s="2" t="s">
        <v>36</v>
      </c>
      <c r="R260" s="2" t="s">
        <v>38</v>
      </c>
      <c r="S260" s="2" t="s">
        <v>35</v>
      </c>
      <c r="T260" s="2" t="s">
        <v>35</v>
      </c>
      <c r="U260" s="2" t="s">
        <v>35</v>
      </c>
      <c r="V260" s="2" t="b">
        <v>0</v>
      </c>
      <c r="W260" s="2" t="s">
        <v>35</v>
      </c>
      <c r="X260" s="2">
        <v>114</v>
      </c>
      <c r="Y260" s="2" t="s">
        <v>35</v>
      </c>
      <c r="Z260" s="2" t="s">
        <v>35</v>
      </c>
    </row>
    <row r="261" spans="1:26" x14ac:dyDescent="0.2">
      <c r="A261" s="2" t="s">
        <v>275</v>
      </c>
      <c r="B261" s="2" t="b">
        <v>0</v>
      </c>
      <c r="C261" s="2" t="b">
        <v>0</v>
      </c>
      <c r="D261" s="2" t="b">
        <v>0</v>
      </c>
      <c r="E261" s="2" t="b">
        <v>1</v>
      </c>
      <c r="F261" s="2" t="s">
        <v>31</v>
      </c>
      <c r="G261" s="2" t="s">
        <v>276</v>
      </c>
      <c r="H261" s="2" t="s">
        <v>277</v>
      </c>
      <c r="I261" s="2" t="s">
        <v>278</v>
      </c>
      <c r="J261" s="2" t="s">
        <v>35</v>
      </c>
      <c r="K261" s="2">
        <v>11</v>
      </c>
      <c r="L261" s="2" t="s">
        <v>35</v>
      </c>
      <c r="M261" s="2" t="s">
        <v>35</v>
      </c>
      <c r="N261" s="3">
        <v>44729.730478900463</v>
      </c>
      <c r="O261" s="3">
        <v>44729.730823391204</v>
      </c>
      <c r="P261" s="2">
        <v>0</v>
      </c>
      <c r="Q261" s="2" t="s">
        <v>265</v>
      </c>
      <c r="R261" s="2" t="s">
        <v>38</v>
      </c>
      <c r="S261" s="2" t="s">
        <v>35</v>
      </c>
      <c r="T261" s="2" t="s">
        <v>35</v>
      </c>
      <c r="U261" s="2" t="s">
        <v>35</v>
      </c>
      <c r="V261" s="2" t="b">
        <v>0</v>
      </c>
      <c r="W261" s="2" t="s">
        <v>35</v>
      </c>
      <c r="X261" s="2" t="s">
        <v>35</v>
      </c>
      <c r="Y261" s="2" t="s">
        <v>35</v>
      </c>
      <c r="Z261" s="2" t="s">
        <v>35</v>
      </c>
    </row>
    <row r="262" spans="1:26" x14ac:dyDescent="0.2">
      <c r="A262" s="2" t="s">
        <v>279</v>
      </c>
      <c r="B262" s="2" t="b">
        <v>0</v>
      </c>
      <c r="C262" s="2" t="b">
        <v>0</v>
      </c>
      <c r="D262" s="2" t="b">
        <v>0</v>
      </c>
      <c r="E262" s="2" t="b">
        <v>1</v>
      </c>
      <c r="F262" s="2" t="s">
        <v>31</v>
      </c>
      <c r="G262" s="2" t="s">
        <v>280</v>
      </c>
      <c r="H262" s="2" t="s">
        <v>269</v>
      </c>
      <c r="I262" s="2" t="s">
        <v>281</v>
      </c>
      <c r="J262" s="2" t="s">
        <v>35</v>
      </c>
      <c r="K262" s="2">
        <v>13</v>
      </c>
      <c r="L262" s="2" t="s">
        <v>35</v>
      </c>
      <c r="M262" s="2" t="s">
        <v>35</v>
      </c>
      <c r="N262" s="3">
        <v>44729.730997638886</v>
      </c>
      <c r="O262" s="3">
        <v>44729.731314178243</v>
      </c>
      <c r="P262" s="2">
        <v>0</v>
      </c>
      <c r="Q262" s="2" t="s">
        <v>265</v>
      </c>
      <c r="R262" s="2" t="s">
        <v>38</v>
      </c>
      <c r="S262" s="2" t="s">
        <v>35</v>
      </c>
      <c r="T262" s="2" t="s">
        <v>35</v>
      </c>
      <c r="U262" s="2" t="s">
        <v>35</v>
      </c>
      <c r="V262" s="2" t="b">
        <v>0</v>
      </c>
      <c r="W262" s="2" t="s">
        <v>35</v>
      </c>
      <c r="X262" s="2" t="s">
        <v>35</v>
      </c>
      <c r="Y262" s="2" t="s">
        <v>35</v>
      </c>
      <c r="Z262" s="2" t="s">
        <v>35</v>
      </c>
    </row>
    <row r="263" spans="1:26" x14ac:dyDescent="0.2">
      <c r="A263" s="2" t="s">
        <v>282</v>
      </c>
      <c r="B263" s="2" t="b">
        <v>0</v>
      </c>
      <c r="C263" s="2" t="b">
        <v>0</v>
      </c>
      <c r="D263" s="2" t="b">
        <v>0</v>
      </c>
      <c r="E263" s="2" t="b">
        <v>1</v>
      </c>
      <c r="F263" s="2" t="s">
        <v>31</v>
      </c>
      <c r="G263" s="2" t="s">
        <v>283</v>
      </c>
      <c r="H263" s="2" t="s">
        <v>284</v>
      </c>
      <c r="I263" s="2" t="s">
        <v>281</v>
      </c>
      <c r="J263" s="2" t="s">
        <v>35</v>
      </c>
      <c r="K263" s="2">
        <v>12</v>
      </c>
      <c r="L263" s="2" t="s">
        <v>35</v>
      </c>
      <c r="M263" s="2" t="s">
        <v>35</v>
      </c>
      <c r="N263" s="3">
        <v>44729.731803831019</v>
      </c>
      <c r="O263" s="3">
        <v>44729.732245902778</v>
      </c>
      <c r="P263" s="2">
        <v>0</v>
      </c>
      <c r="Q263" s="2" t="s">
        <v>265</v>
      </c>
      <c r="R263" s="2" t="s">
        <v>38</v>
      </c>
      <c r="S263" s="2" t="s">
        <v>35</v>
      </c>
      <c r="T263" s="2" t="s">
        <v>35</v>
      </c>
      <c r="U263" s="2" t="s">
        <v>35</v>
      </c>
      <c r="V263" s="2" t="b">
        <v>0</v>
      </c>
      <c r="W263" s="2" t="s">
        <v>35</v>
      </c>
      <c r="X263" s="2" t="s">
        <v>35</v>
      </c>
      <c r="Y263" s="2" t="s">
        <v>35</v>
      </c>
      <c r="Z263" s="2" t="s">
        <v>35</v>
      </c>
    </row>
    <row r="264" spans="1:26" x14ac:dyDescent="0.2">
      <c r="A264" s="2" t="s">
        <v>285</v>
      </c>
      <c r="B264" s="2" t="b">
        <v>0</v>
      </c>
      <c r="C264" s="2" t="b">
        <v>0</v>
      </c>
      <c r="D264" s="2" t="b">
        <v>0</v>
      </c>
      <c r="E264" s="2" t="b">
        <v>1</v>
      </c>
      <c r="F264" s="2" t="s">
        <v>31</v>
      </c>
      <c r="G264" s="2" t="s">
        <v>286</v>
      </c>
      <c r="H264" s="2" t="s">
        <v>287</v>
      </c>
      <c r="I264" s="2" t="s">
        <v>281</v>
      </c>
      <c r="J264" s="2" t="s">
        <v>35</v>
      </c>
      <c r="K264" s="2">
        <v>11</v>
      </c>
      <c r="L264" s="2" t="s">
        <v>35</v>
      </c>
      <c r="M264" s="2" t="s">
        <v>35</v>
      </c>
      <c r="N264" s="3">
        <v>44729.732348101854</v>
      </c>
      <c r="O264" s="3">
        <v>44729.732645289354</v>
      </c>
      <c r="P264" s="2">
        <v>0</v>
      </c>
      <c r="Q264" s="2" t="s">
        <v>265</v>
      </c>
      <c r="R264" s="2" t="s">
        <v>38</v>
      </c>
      <c r="S264" s="2" t="s">
        <v>35</v>
      </c>
      <c r="T264" s="2" t="s">
        <v>35</v>
      </c>
      <c r="U264" s="2" t="s">
        <v>35</v>
      </c>
      <c r="V264" s="2" t="b">
        <v>0</v>
      </c>
      <c r="W264" s="2" t="s">
        <v>35</v>
      </c>
      <c r="X264" s="2" t="s">
        <v>35</v>
      </c>
      <c r="Y264" s="2" t="s">
        <v>35</v>
      </c>
      <c r="Z264" s="2" t="s">
        <v>35</v>
      </c>
    </row>
    <row r="265" spans="1:26" x14ac:dyDescent="0.2">
      <c r="A265" s="2" t="s">
        <v>288</v>
      </c>
      <c r="B265" s="2" t="b">
        <v>0</v>
      </c>
      <c r="C265" s="2" t="b">
        <v>0</v>
      </c>
      <c r="D265" s="2" t="b">
        <v>0</v>
      </c>
      <c r="E265" s="2" t="b">
        <v>0</v>
      </c>
      <c r="F265" s="2" t="s">
        <v>31</v>
      </c>
      <c r="G265" s="2" t="s">
        <v>289</v>
      </c>
      <c r="H265" s="2" t="s">
        <v>290</v>
      </c>
      <c r="I265" s="2" t="s">
        <v>35</v>
      </c>
      <c r="J265" s="2" t="s">
        <v>35</v>
      </c>
      <c r="K265" s="2" t="s">
        <v>35</v>
      </c>
      <c r="L265" s="2" t="s">
        <v>35</v>
      </c>
      <c r="M265" s="2" t="s">
        <v>35</v>
      </c>
      <c r="N265" s="3">
        <v>44729.734635300927</v>
      </c>
      <c r="O265" s="3">
        <v>44729.735632546297</v>
      </c>
      <c r="P265" s="2">
        <v>0</v>
      </c>
      <c r="Q265" s="2" t="s">
        <v>36</v>
      </c>
      <c r="R265" s="2" t="s">
        <v>38</v>
      </c>
      <c r="S265" s="2" t="s">
        <v>35</v>
      </c>
      <c r="T265" s="2" t="s">
        <v>35</v>
      </c>
      <c r="U265" s="2" t="s">
        <v>35</v>
      </c>
      <c r="V265" s="2" t="b">
        <v>0</v>
      </c>
      <c r="W265" s="2" t="s">
        <v>35</v>
      </c>
      <c r="X265" s="2">
        <v>100</v>
      </c>
      <c r="Y265" s="2">
        <v>4</v>
      </c>
      <c r="Z265" s="2">
        <v>4</v>
      </c>
    </row>
    <row r="266" spans="1:26" x14ac:dyDescent="0.2">
      <c r="A266" s="2" t="s">
        <v>291</v>
      </c>
      <c r="B266" s="2" t="b">
        <v>0</v>
      </c>
      <c r="C266" s="2" t="b">
        <v>0</v>
      </c>
      <c r="D266" s="2" t="b">
        <v>0</v>
      </c>
      <c r="E266" s="2" t="b">
        <v>0</v>
      </c>
      <c r="F266" s="2" t="s">
        <v>31</v>
      </c>
      <c r="G266" s="2" t="s">
        <v>292</v>
      </c>
      <c r="H266" s="2" t="s">
        <v>293</v>
      </c>
      <c r="I266" s="2" t="s">
        <v>294</v>
      </c>
      <c r="J266" s="2" t="s">
        <v>35</v>
      </c>
      <c r="K266" s="2" t="s">
        <v>35</v>
      </c>
      <c r="L266" s="2" t="s">
        <v>35</v>
      </c>
      <c r="M266" s="2" t="s">
        <v>35</v>
      </c>
      <c r="N266" s="3">
        <v>44729.736581400466</v>
      </c>
      <c r="O266" s="3">
        <v>44729.737693981479</v>
      </c>
      <c r="P266" s="2">
        <v>0</v>
      </c>
      <c r="Q266" s="2" t="s">
        <v>36</v>
      </c>
      <c r="R266" s="2" t="s">
        <v>38</v>
      </c>
      <c r="S266" s="2" t="s">
        <v>35</v>
      </c>
      <c r="T266" s="2" t="s">
        <v>35</v>
      </c>
      <c r="U266" s="2" t="s">
        <v>35</v>
      </c>
      <c r="V266" s="2" t="b">
        <v>0</v>
      </c>
      <c r="W266" s="2" t="s">
        <v>35</v>
      </c>
      <c r="X266" s="2" t="s">
        <v>35</v>
      </c>
      <c r="Y266" s="2">
        <v>9</v>
      </c>
      <c r="Z266" s="2">
        <v>6</v>
      </c>
    </row>
    <row r="267" spans="1:26" x14ac:dyDescent="0.2">
      <c r="A267" s="2" t="s">
        <v>9237</v>
      </c>
      <c r="B267" s="2" t="b">
        <v>0</v>
      </c>
      <c r="C267" s="2" t="b">
        <v>0</v>
      </c>
      <c r="D267" s="2" t="b">
        <v>0</v>
      </c>
      <c r="E267" s="2" t="b">
        <v>0</v>
      </c>
      <c r="F267" s="2" t="s">
        <v>121</v>
      </c>
      <c r="G267" s="2" t="s">
        <v>149</v>
      </c>
      <c r="H267" s="2" t="s">
        <v>9238</v>
      </c>
      <c r="I267" s="2" t="s">
        <v>35</v>
      </c>
      <c r="J267" s="2" t="s">
        <v>35</v>
      </c>
      <c r="K267" s="2" t="s">
        <v>35</v>
      </c>
      <c r="L267" s="2" t="s">
        <v>35</v>
      </c>
      <c r="M267" s="2" t="s">
        <v>35</v>
      </c>
      <c r="N267" s="3">
        <v>44729.740460949077</v>
      </c>
      <c r="O267" s="3">
        <v>44729.740482800924</v>
      </c>
      <c r="P267" s="2">
        <v>0</v>
      </c>
      <c r="Q267" s="2" t="s">
        <v>36</v>
      </c>
      <c r="R267" s="2" t="s">
        <v>38</v>
      </c>
      <c r="S267" s="2" t="s">
        <v>35</v>
      </c>
      <c r="T267" s="2" t="s">
        <v>35</v>
      </c>
      <c r="U267" s="2" t="s">
        <v>35</v>
      </c>
      <c r="V267" s="2" t="b">
        <v>0</v>
      </c>
      <c r="W267" s="2" t="s">
        <v>35</v>
      </c>
      <c r="X267" s="2">
        <v>90</v>
      </c>
      <c r="Y267" s="2" t="s">
        <v>35</v>
      </c>
      <c r="Z267" s="2" t="s">
        <v>35</v>
      </c>
    </row>
    <row r="268" spans="1:26" x14ac:dyDescent="0.2">
      <c r="A268" s="2" t="s">
        <v>295</v>
      </c>
      <c r="B268" s="2" t="b">
        <v>0</v>
      </c>
      <c r="C268" s="2" t="b">
        <v>0</v>
      </c>
      <c r="D268" s="2" t="b">
        <v>0</v>
      </c>
      <c r="E268" s="2" t="b">
        <v>0</v>
      </c>
      <c r="F268" s="2" t="s">
        <v>121</v>
      </c>
      <c r="G268" s="2" t="s">
        <v>149</v>
      </c>
      <c r="H268" s="2" t="s">
        <v>296</v>
      </c>
      <c r="I268" s="2" t="s">
        <v>35</v>
      </c>
      <c r="J268" s="2" t="s">
        <v>35</v>
      </c>
      <c r="K268" s="2" t="s">
        <v>35</v>
      </c>
      <c r="L268" s="2" t="s">
        <v>35</v>
      </c>
      <c r="M268" s="2" t="s">
        <v>35</v>
      </c>
      <c r="N268" s="3">
        <v>44729.740461006942</v>
      </c>
      <c r="O268" s="3">
        <v>44729.740865995373</v>
      </c>
      <c r="P268" s="2">
        <v>0</v>
      </c>
      <c r="Q268" s="2" t="s">
        <v>36</v>
      </c>
      <c r="R268" s="2" t="s">
        <v>38</v>
      </c>
      <c r="S268" s="2" t="s">
        <v>35</v>
      </c>
      <c r="T268" s="2" t="s">
        <v>35</v>
      </c>
      <c r="U268" s="2" t="s">
        <v>35</v>
      </c>
      <c r="V268" s="2" t="b">
        <v>0</v>
      </c>
      <c r="W268" s="2" t="s">
        <v>35</v>
      </c>
      <c r="X268" s="2">
        <v>90</v>
      </c>
      <c r="Y268" s="2" t="s">
        <v>35</v>
      </c>
      <c r="Z268" s="2" t="s">
        <v>35</v>
      </c>
    </row>
    <row r="269" spans="1:26" x14ac:dyDescent="0.2">
      <c r="A269" s="2" t="s">
        <v>9239</v>
      </c>
      <c r="B269" s="2" t="b">
        <v>0</v>
      </c>
      <c r="C269" s="2" t="b">
        <v>0</v>
      </c>
      <c r="D269" s="2" t="b">
        <v>0</v>
      </c>
      <c r="E269" s="2" t="b">
        <v>0</v>
      </c>
      <c r="F269" s="2" t="s">
        <v>121</v>
      </c>
      <c r="G269" s="2" t="s">
        <v>149</v>
      </c>
      <c r="H269" s="2" t="s">
        <v>298</v>
      </c>
      <c r="I269" s="2" t="s">
        <v>35</v>
      </c>
      <c r="J269" s="2" t="s">
        <v>35</v>
      </c>
      <c r="K269" s="2" t="s">
        <v>35</v>
      </c>
      <c r="L269" s="2" t="s">
        <v>35</v>
      </c>
      <c r="M269" s="2" t="s">
        <v>35</v>
      </c>
      <c r="N269" s="3">
        <v>44729.746537685183</v>
      </c>
      <c r="O269" s="3">
        <v>44729.746557222221</v>
      </c>
      <c r="P269" s="2">
        <v>0</v>
      </c>
      <c r="Q269" s="2" t="s">
        <v>36</v>
      </c>
      <c r="R269" s="2" t="s">
        <v>38</v>
      </c>
      <c r="S269" s="2" t="s">
        <v>35</v>
      </c>
      <c r="T269" s="2" t="s">
        <v>35</v>
      </c>
      <c r="U269" s="2" t="s">
        <v>35</v>
      </c>
      <c r="V269" s="2" t="b">
        <v>0</v>
      </c>
      <c r="W269" s="2" t="s">
        <v>35</v>
      </c>
      <c r="X269" s="2" t="s">
        <v>35</v>
      </c>
      <c r="Y269" s="2">
        <v>9</v>
      </c>
      <c r="Z269" s="2" t="s">
        <v>35</v>
      </c>
    </row>
    <row r="270" spans="1:26" x14ac:dyDescent="0.2">
      <c r="A270" s="2" t="s">
        <v>297</v>
      </c>
      <c r="B270" s="2" t="b">
        <v>0</v>
      </c>
      <c r="C270" s="2" t="b">
        <v>0</v>
      </c>
      <c r="D270" s="2" t="b">
        <v>0</v>
      </c>
      <c r="E270" s="2" t="b">
        <v>0</v>
      </c>
      <c r="F270" s="2" t="s">
        <v>31</v>
      </c>
      <c r="G270" s="2" t="s">
        <v>149</v>
      </c>
      <c r="H270" s="2" t="s">
        <v>298</v>
      </c>
      <c r="I270" s="2" t="s">
        <v>35</v>
      </c>
      <c r="J270" s="2" t="s">
        <v>35</v>
      </c>
      <c r="K270" s="2" t="s">
        <v>35</v>
      </c>
      <c r="L270" s="2" t="s">
        <v>35</v>
      </c>
      <c r="M270" s="2" t="s">
        <v>35</v>
      </c>
      <c r="N270" s="3">
        <v>44729.746537916668</v>
      </c>
      <c r="O270" s="3">
        <v>44729.74655729167</v>
      </c>
      <c r="P270" s="2">
        <v>0</v>
      </c>
      <c r="Q270" s="2" t="s">
        <v>36</v>
      </c>
      <c r="R270" s="2" t="s">
        <v>38</v>
      </c>
      <c r="S270" s="2" t="s">
        <v>35</v>
      </c>
      <c r="T270" s="2" t="s">
        <v>35</v>
      </c>
      <c r="U270" s="2" t="s">
        <v>35</v>
      </c>
      <c r="V270" s="2" t="b">
        <v>0</v>
      </c>
      <c r="W270" s="2" t="s">
        <v>35</v>
      </c>
      <c r="X270" s="2" t="s">
        <v>35</v>
      </c>
      <c r="Y270" s="2">
        <v>9</v>
      </c>
      <c r="Z270" s="2" t="s">
        <v>35</v>
      </c>
    </row>
    <row r="271" spans="1:26" x14ac:dyDescent="0.2">
      <c r="A271" s="2" t="s">
        <v>9240</v>
      </c>
      <c r="B271" s="2" t="b">
        <v>0</v>
      </c>
      <c r="C271" s="2" t="b">
        <v>0</v>
      </c>
      <c r="D271" s="2" t="b">
        <v>0</v>
      </c>
      <c r="E271" s="2" t="b">
        <v>0</v>
      </c>
      <c r="F271" s="2" t="s">
        <v>121</v>
      </c>
      <c r="G271" s="2" t="s">
        <v>149</v>
      </c>
      <c r="H271" s="2" t="s">
        <v>9241</v>
      </c>
      <c r="I271" s="2" t="s">
        <v>35</v>
      </c>
      <c r="J271" s="2" t="s">
        <v>35</v>
      </c>
      <c r="K271" s="2" t="s">
        <v>35</v>
      </c>
      <c r="L271" s="2" t="s">
        <v>35</v>
      </c>
      <c r="M271" s="2" t="s">
        <v>35</v>
      </c>
      <c r="N271" s="3">
        <v>44729.746537997686</v>
      </c>
      <c r="O271" s="3">
        <v>44729.746557303239</v>
      </c>
      <c r="P271" s="2">
        <v>0</v>
      </c>
      <c r="Q271" s="2" t="s">
        <v>35</v>
      </c>
      <c r="R271" s="2" t="s">
        <v>38</v>
      </c>
      <c r="S271" s="2" t="s">
        <v>35</v>
      </c>
      <c r="T271" s="2" t="s">
        <v>35</v>
      </c>
      <c r="U271" s="2" t="s">
        <v>35</v>
      </c>
      <c r="V271" s="2" t="b">
        <v>0</v>
      </c>
      <c r="W271" s="2" t="s">
        <v>35</v>
      </c>
      <c r="X271" s="2" t="s">
        <v>35</v>
      </c>
      <c r="Y271" s="2" t="s">
        <v>35</v>
      </c>
      <c r="Z271" s="2" t="s">
        <v>35</v>
      </c>
    </row>
    <row r="272" spans="1:26" x14ac:dyDescent="0.2">
      <c r="A272" s="2" t="s">
        <v>9242</v>
      </c>
      <c r="B272" s="2" t="b">
        <v>0</v>
      </c>
      <c r="C272" s="2" t="b">
        <v>0</v>
      </c>
      <c r="D272" s="2" t="b">
        <v>0</v>
      </c>
      <c r="E272" s="2" t="b">
        <v>0</v>
      </c>
      <c r="F272" s="2" t="s">
        <v>121</v>
      </c>
      <c r="G272" s="2" t="s">
        <v>149</v>
      </c>
      <c r="H272" s="2" t="s">
        <v>9241</v>
      </c>
      <c r="I272" s="2" t="s">
        <v>35</v>
      </c>
      <c r="J272" s="2" t="s">
        <v>35</v>
      </c>
      <c r="K272" s="2" t="s">
        <v>35</v>
      </c>
      <c r="L272" s="2" t="s">
        <v>35</v>
      </c>
      <c r="M272" s="2" t="s">
        <v>35</v>
      </c>
      <c r="N272" s="3">
        <v>44729.746538043983</v>
      </c>
      <c r="O272" s="3">
        <v>44729.746557233797</v>
      </c>
      <c r="P272" s="2">
        <v>0</v>
      </c>
      <c r="Q272" s="2" t="s">
        <v>36</v>
      </c>
      <c r="R272" s="2" t="s">
        <v>38</v>
      </c>
      <c r="S272" s="2" t="s">
        <v>35</v>
      </c>
      <c r="T272" s="2" t="s">
        <v>35</v>
      </c>
      <c r="U272" s="2" t="s">
        <v>35</v>
      </c>
      <c r="V272" s="2" t="b">
        <v>0</v>
      </c>
      <c r="W272" s="2" t="s">
        <v>35</v>
      </c>
      <c r="X272" s="2" t="s">
        <v>35</v>
      </c>
      <c r="Y272" s="2" t="s">
        <v>35</v>
      </c>
      <c r="Z272" s="2" t="s">
        <v>35</v>
      </c>
    </row>
    <row r="273" spans="1:26" x14ac:dyDescent="0.2">
      <c r="A273" s="2" t="s">
        <v>9243</v>
      </c>
      <c r="B273" s="2" t="b">
        <v>0</v>
      </c>
      <c r="C273" s="2" t="b">
        <v>0</v>
      </c>
      <c r="D273" s="2" t="b">
        <v>0</v>
      </c>
      <c r="E273" s="2" t="b">
        <v>0</v>
      </c>
      <c r="F273" s="2" t="s">
        <v>121</v>
      </c>
      <c r="G273" s="2" t="s">
        <v>149</v>
      </c>
      <c r="H273" s="2" t="s">
        <v>9241</v>
      </c>
      <c r="I273" s="2" t="s">
        <v>35</v>
      </c>
      <c r="J273" s="2" t="s">
        <v>35</v>
      </c>
      <c r="K273" s="2" t="s">
        <v>35</v>
      </c>
      <c r="L273" s="2" t="s">
        <v>35</v>
      </c>
      <c r="M273" s="2" t="s">
        <v>35</v>
      </c>
      <c r="N273" s="3">
        <v>44729.746538125</v>
      </c>
      <c r="O273" s="3">
        <v>44729.74655729167</v>
      </c>
      <c r="P273" s="2">
        <v>0</v>
      </c>
      <c r="Q273" s="2" t="s">
        <v>36</v>
      </c>
      <c r="R273" s="2" t="s">
        <v>38</v>
      </c>
      <c r="S273" s="2" t="s">
        <v>35</v>
      </c>
      <c r="T273" s="2" t="s">
        <v>35</v>
      </c>
      <c r="U273" s="2" t="s">
        <v>35</v>
      </c>
      <c r="V273" s="2" t="b">
        <v>0</v>
      </c>
      <c r="W273" s="2" t="s">
        <v>35</v>
      </c>
      <c r="X273" s="2" t="s">
        <v>35</v>
      </c>
      <c r="Y273" s="2" t="s">
        <v>35</v>
      </c>
      <c r="Z273" s="2" t="s">
        <v>35</v>
      </c>
    </row>
    <row r="274" spans="1:26" x14ac:dyDescent="0.2">
      <c r="A274" s="2" t="s">
        <v>9244</v>
      </c>
      <c r="B274" s="2" t="b">
        <v>0</v>
      </c>
      <c r="C274" s="2" t="b">
        <v>0</v>
      </c>
      <c r="D274" s="2" t="b">
        <v>0</v>
      </c>
      <c r="E274" s="2" t="b">
        <v>0</v>
      </c>
      <c r="F274" s="2" t="s">
        <v>121</v>
      </c>
      <c r="G274" s="2" t="s">
        <v>149</v>
      </c>
      <c r="H274" s="2" t="s">
        <v>9241</v>
      </c>
      <c r="I274" s="2" t="s">
        <v>35</v>
      </c>
      <c r="J274" s="2" t="s">
        <v>35</v>
      </c>
      <c r="K274" s="2" t="s">
        <v>35</v>
      </c>
      <c r="L274" s="2" t="s">
        <v>35</v>
      </c>
      <c r="M274" s="2" t="s">
        <v>35</v>
      </c>
      <c r="N274" s="3">
        <v>44729.746557407409</v>
      </c>
      <c r="O274" s="3">
        <v>44729.746557766201</v>
      </c>
      <c r="P274" s="2">
        <v>0</v>
      </c>
      <c r="Q274" s="2" t="s">
        <v>36</v>
      </c>
      <c r="R274" s="2" t="s">
        <v>38</v>
      </c>
      <c r="S274" s="2" t="s">
        <v>35</v>
      </c>
      <c r="T274" s="2" t="s">
        <v>35</v>
      </c>
      <c r="U274" s="2" t="s">
        <v>35</v>
      </c>
      <c r="V274" s="2" t="b">
        <v>0</v>
      </c>
      <c r="W274" s="2" t="s">
        <v>35</v>
      </c>
      <c r="X274" s="2">
        <v>85</v>
      </c>
      <c r="Y274" s="2">
        <v>8</v>
      </c>
      <c r="Z274" s="2">
        <v>3</v>
      </c>
    </row>
    <row r="275" spans="1:26" x14ac:dyDescent="0.2">
      <c r="A275" s="2" t="s">
        <v>299</v>
      </c>
      <c r="B275" s="2" t="b">
        <v>0</v>
      </c>
      <c r="C275" s="2" t="b">
        <v>0</v>
      </c>
      <c r="D275" s="2" t="b">
        <v>0</v>
      </c>
      <c r="E275" s="2" t="b">
        <v>0</v>
      </c>
      <c r="F275" s="2" t="s">
        <v>121</v>
      </c>
      <c r="G275" s="2" t="s">
        <v>149</v>
      </c>
      <c r="H275" s="2" t="s">
        <v>300</v>
      </c>
      <c r="I275" s="2" t="s">
        <v>35</v>
      </c>
      <c r="J275" s="2" t="s">
        <v>35</v>
      </c>
      <c r="K275" s="2" t="s">
        <v>35</v>
      </c>
      <c r="L275" s="2" t="s">
        <v>35</v>
      </c>
      <c r="M275" s="2" t="s">
        <v>35</v>
      </c>
      <c r="N275" s="3">
        <v>44729.746557442129</v>
      </c>
      <c r="O275" s="3">
        <v>44729.747284097219</v>
      </c>
      <c r="P275" s="2">
        <v>0</v>
      </c>
      <c r="Q275" s="2" t="s">
        <v>36</v>
      </c>
      <c r="R275" s="2" t="s">
        <v>38</v>
      </c>
      <c r="S275" s="2" t="s">
        <v>35</v>
      </c>
      <c r="T275" s="2" t="s">
        <v>35</v>
      </c>
      <c r="U275" s="2" t="s">
        <v>35</v>
      </c>
      <c r="V275" s="2" t="b">
        <v>0</v>
      </c>
      <c r="W275" s="2" t="s">
        <v>35</v>
      </c>
      <c r="X275" s="2">
        <v>85</v>
      </c>
      <c r="Y275" s="2">
        <v>8</v>
      </c>
      <c r="Z275" s="2">
        <v>3</v>
      </c>
    </row>
    <row r="276" spans="1:26" x14ac:dyDescent="0.2">
      <c r="A276" s="2" t="s">
        <v>301</v>
      </c>
      <c r="B276" s="2" t="b">
        <v>0</v>
      </c>
      <c r="C276" s="2" t="b">
        <v>0</v>
      </c>
      <c r="D276" s="2" t="b">
        <v>0</v>
      </c>
      <c r="E276" s="2" t="b">
        <v>0</v>
      </c>
      <c r="F276" s="2" t="s">
        <v>31</v>
      </c>
      <c r="G276" s="2" t="s">
        <v>302</v>
      </c>
      <c r="H276" s="2" t="s">
        <v>303</v>
      </c>
      <c r="I276" s="2" t="s">
        <v>35</v>
      </c>
      <c r="J276" s="2" t="s">
        <v>35</v>
      </c>
      <c r="K276" s="2" t="s">
        <v>35</v>
      </c>
      <c r="L276" s="2" t="s">
        <v>35</v>
      </c>
      <c r="M276" s="2" t="s">
        <v>35</v>
      </c>
      <c r="N276" s="3">
        <v>44729.748957118056</v>
      </c>
      <c r="O276" s="3">
        <v>44729.749200219907</v>
      </c>
      <c r="P276" s="2">
        <v>0</v>
      </c>
      <c r="Q276" s="2" t="s">
        <v>36</v>
      </c>
      <c r="R276" s="2" t="s">
        <v>38</v>
      </c>
      <c r="S276" s="2" t="s">
        <v>35</v>
      </c>
      <c r="T276" s="2" t="s">
        <v>35</v>
      </c>
      <c r="U276" s="2" t="s">
        <v>35</v>
      </c>
      <c r="V276" s="2" t="b">
        <v>0</v>
      </c>
      <c r="W276" s="2" t="s">
        <v>35</v>
      </c>
      <c r="X276" s="2">
        <v>100</v>
      </c>
      <c r="Y276" s="2" t="s">
        <v>35</v>
      </c>
      <c r="Z276" s="2" t="s">
        <v>35</v>
      </c>
    </row>
    <row r="277" spans="1:26" x14ac:dyDescent="0.2">
      <c r="A277" s="2" t="s">
        <v>304</v>
      </c>
      <c r="B277" s="2" t="b">
        <v>0</v>
      </c>
      <c r="C277" s="2" t="b">
        <v>0</v>
      </c>
      <c r="D277" s="2" t="b">
        <v>0</v>
      </c>
      <c r="E277" s="2" t="b">
        <v>0</v>
      </c>
      <c r="F277" s="2" t="s">
        <v>31</v>
      </c>
      <c r="G277" s="2" t="s">
        <v>305</v>
      </c>
      <c r="H277" s="2" t="s">
        <v>306</v>
      </c>
      <c r="I277" s="2" t="s">
        <v>274</v>
      </c>
      <c r="J277" s="2" t="s">
        <v>35</v>
      </c>
      <c r="K277" s="2" t="s">
        <v>35</v>
      </c>
      <c r="L277" s="2" t="s">
        <v>35</v>
      </c>
      <c r="M277" s="2" t="s">
        <v>35</v>
      </c>
      <c r="N277" s="3">
        <v>44735.406863703705</v>
      </c>
      <c r="O277" s="3">
        <v>44735.407190497688</v>
      </c>
      <c r="P277" s="2">
        <v>0</v>
      </c>
      <c r="Q277" s="2" t="s">
        <v>109</v>
      </c>
      <c r="R277" s="2" t="s">
        <v>38</v>
      </c>
      <c r="S277" s="2" t="s">
        <v>35</v>
      </c>
      <c r="T277" s="2">
        <v>110</v>
      </c>
      <c r="U277" s="2" t="s">
        <v>35</v>
      </c>
      <c r="V277" s="2" t="b">
        <v>0</v>
      </c>
      <c r="W277" s="2" t="s">
        <v>35</v>
      </c>
      <c r="X277" s="2" t="s">
        <v>35</v>
      </c>
      <c r="Y277" s="2" t="s">
        <v>35</v>
      </c>
      <c r="Z277" s="2" t="s">
        <v>35</v>
      </c>
    </row>
    <row r="278" spans="1:26" x14ac:dyDescent="0.2">
      <c r="A278" s="2" t="s">
        <v>307</v>
      </c>
      <c r="B278" s="2" t="b">
        <v>0</v>
      </c>
      <c r="C278" s="2" t="b">
        <v>0</v>
      </c>
      <c r="D278" s="2" t="b">
        <v>0</v>
      </c>
      <c r="E278" s="2" t="b">
        <v>1</v>
      </c>
      <c r="F278" s="2" t="s">
        <v>31</v>
      </c>
      <c r="G278" s="2" t="s">
        <v>308</v>
      </c>
      <c r="H278" s="2" t="s">
        <v>309</v>
      </c>
      <c r="I278" s="2" t="s">
        <v>281</v>
      </c>
      <c r="J278" s="2" t="s">
        <v>35</v>
      </c>
      <c r="K278" s="2">
        <v>12</v>
      </c>
      <c r="L278" s="2" t="s">
        <v>35</v>
      </c>
      <c r="M278" s="2" t="s">
        <v>35</v>
      </c>
      <c r="N278" s="3">
        <v>44735.407535023151</v>
      </c>
      <c r="O278" s="3">
        <v>44735.408239444441</v>
      </c>
      <c r="P278" s="2">
        <v>0</v>
      </c>
      <c r="Q278" s="2" t="s">
        <v>265</v>
      </c>
      <c r="R278" s="2" t="s">
        <v>38</v>
      </c>
      <c r="S278" s="2" t="s">
        <v>35</v>
      </c>
      <c r="T278" s="2" t="s">
        <v>35</v>
      </c>
      <c r="U278" s="2" t="s">
        <v>35</v>
      </c>
      <c r="V278" s="2" t="b">
        <v>0</v>
      </c>
      <c r="W278" s="2" t="s">
        <v>35</v>
      </c>
      <c r="X278" s="2" t="s">
        <v>35</v>
      </c>
      <c r="Y278" s="2" t="s">
        <v>35</v>
      </c>
      <c r="Z278" s="2" t="s">
        <v>35</v>
      </c>
    </row>
    <row r="279" spans="1:26" x14ac:dyDescent="0.2">
      <c r="A279" s="2" t="s">
        <v>310</v>
      </c>
      <c r="B279" s="2" t="b">
        <v>0</v>
      </c>
      <c r="C279" s="2" t="b">
        <v>0</v>
      </c>
      <c r="D279" s="2" t="b">
        <v>0</v>
      </c>
      <c r="E279" s="2" t="b">
        <v>0</v>
      </c>
      <c r="F279" s="2" t="s">
        <v>31</v>
      </c>
      <c r="G279" s="2" t="s">
        <v>311</v>
      </c>
      <c r="H279" s="2" t="s">
        <v>312</v>
      </c>
      <c r="I279" s="2" t="s">
        <v>313</v>
      </c>
      <c r="J279" s="2" t="s">
        <v>35</v>
      </c>
      <c r="K279" s="2" t="s">
        <v>35</v>
      </c>
      <c r="L279" s="2" t="s">
        <v>35</v>
      </c>
      <c r="M279" s="2" t="s">
        <v>35</v>
      </c>
      <c r="N279" s="3">
        <v>44735.408557453702</v>
      </c>
      <c r="O279" s="3">
        <v>44735.409805856485</v>
      </c>
      <c r="P279" s="2">
        <v>0</v>
      </c>
      <c r="Q279" s="2" t="s">
        <v>124</v>
      </c>
      <c r="R279" s="2" t="s">
        <v>38</v>
      </c>
      <c r="S279" s="2" t="s">
        <v>35</v>
      </c>
      <c r="T279" s="2" t="s">
        <v>35</v>
      </c>
      <c r="U279" s="2" t="s">
        <v>35</v>
      </c>
      <c r="V279" s="2" t="b">
        <v>0</v>
      </c>
      <c r="W279" s="2" t="s">
        <v>35</v>
      </c>
      <c r="X279" s="2">
        <v>4</v>
      </c>
      <c r="Y279" s="2" t="s">
        <v>35</v>
      </c>
      <c r="Z279" s="2" t="s">
        <v>35</v>
      </c>
    </row>
    <row r="280" spans="1:26" x14ac:dyDescent="0.2">
      <c r="A280" s="2" t="s">
        <v>314</v>
      </c>
      <c r="B280" s="2" t="b">
        <v>0</v>
      </c>
      <c r="C280" s="2" t="b">
        <v>0</v>
      </c>
      <c r="D280" s="2" t="b">
        <v>0</v>
      </c>
      <c r="E280" s="2" t="b">
        <v>1</v>
      </c>
      <c r="F280" s="2" t="s">
        <v>31</v>
      </c>
      <c r="G280" s="2" t="s">
        <v>315</v>
      </c>
      <c r="H280" s="2" t="s">
        <v>316</v>
      </c>
      <c r="I280" s="2" t="s">
        <v>281</v>
      </c>
      <c r="J280" s="2" t="s">
        <v>35</v>
      </c>
      <c r="K280" s="2">
        <v>12</v>
      </c>
      <c r="L280" s="2" t="s">
        <v>35</v>
      </c>
      <c r="M280" s="2" t="s">
        <v>35</v>
      </c>
      <c r="N280" s="3">
        <v>44735.409953252318</v>
      </c>
      <c r="O280" s="3">
        <v>44735.410521412035</v>
      </c>
      <c r="P280" s="2">
        <v>0</v>
      </c>
      <c r="Q280" s="2" t="s">
        <v>265</v>
      </c>
      <c r="R280" s="2" t="s">
        <v>38</v>
      </c>
      <c r="S280" s="2" t="s">
        <v>35</v>
      </c>
      <c r="T280" s="2" t="s">
        <v>35</v>
      </c>
      <c r="U280" s="2" t="s">
        <v>35</v>
      </c>
      <c r="V280" s="2" t="b">
        <v>0</v>
      </c>
      <c r="W280" s="2" t="s">
        <v>35</v>
      </c>
      <c r="X280" s="2" t="s">
        <v>35</v>
      </c>
      <c r="Y280" s="2" t="s">
        <v>35</v>
      </c>
      <c r="Z280" s="2" t="s">
        <v>35</v>
      </c>
    </row>
    <row r="281" spans="1:26" x14ac:dyDescent="0.2">
      <c r="A281" s="2" t="s">
        <v>317</v>
      </c>
      <c r="B281" s="2" t="b">
        <v>0</v>
      </c>
      <c r="C281" s="2" t="b">
        <v>0</v>
      </c>
      <c r="D281" s="2" t="b">
        <v>0</v>
      </c>
      <c r="E281" s="2" t="b">
        <v>0</v>
      </c>
      <c r="F281" s="2" t="s">
        <v>31</v>
      </c>
      <c r="G281" s="2" t="s">
        <v>318</v>
      </c>
      <c r="H281" s="2" t="s">
        <v>319</v>
      </c>
      <c r="I281" s="2" t="s">
        <v>313</v>
      </c>
      <c r="J281" s="2" t="s">
        <v>35</v>
      </c>
      <c r="K281" s="2" t="s">
        <v>35</v>
      </c>
      <c r="L281" s="2" t="s">
        <v>35</v>
      </c>
      <c r="M281" s="2" t="s">
        <v>35</v>
      </c>
      <c r="N281" s="3">
        <v>44735.41093716435</v>
      </c>
      <c r="O281" s="3">
        <v>44735.411220011571</v>
      </c>
      <c r="P281" s="2">
        <v>0</v>
      </c>
      <c r="Q281" s="2" t="s">
        <v>124</v>
      </c>
      <c r="R281" s="2" t="s">
        <v>38</v>
      </c>
      <c r="S281" s="2" t="s">
        <v>35</v>
      </c>
      <c r="T281" s="2" t="s">
        <v>35</v>
      </c>
      <c r="U281" s="2" t="s">
        <v>35</v>
      </c>
      <c r="V281" s="2" t="b">
        <v>0</v>
      </c>
      <c r="W281" s="2" t="s">
        <v>35</v>
      </c>
      <c r="X281" s="2">
        <v>4</v>
      </c>
      <c r="Y281" s="2" t="s">
        <v>35</v>
      </c>
      <c r="Z281" s="2" t="s">
        <v>35</v>
      </c>
    </row>
    <row r="282" spans="1:26" x14ac:dyDescent="0.2">
      <c r="A282" s="2" t="s">
        <v>320</v>
      </c>
      <c r="B282" s="2" t="b">
        <v>0</v>
      </c>
      <c r="C282" s="2" t="b">
        <v>0</v>
      </c>
      <c r="D282" s="2" t="b">
        <v>0</v>
      </c>
      <c r="E282" s="2" t="b">
        <v>0</v>
      </c>
      <c r="F282" s="2" t="s">
        <v>31</v>
      </c>
      <c r="G282" s="2" t="s">
        <v>321</v>
      </c>
      <c r="H282" s="2" t="s">
        <v>322</v>
      </c>
      <c r="I282" s="2" t="s">
        <v>35</v>
      </c>
      <c r="J282" s="2" t="s">
        <v>35</v>
      </c>
      <c r="K282" s="2" t="s">
        <v>35</v>
      </c>
      <c r="L282" s="2" t="s">
        <v>35</v>
      </c>
      <c r="M282" s="2" t="s">
        <v>35</v>
      </c>
      <c r="N282" s="3">
        <v>44735.412984479168</v>
      </c>
      <c r="O282" s="3">
        <v>44735.413450659726</v>
      </c>
      <c r="P282" s="2">
        <v>0</v>
      </c>
      <c r="Q282" s="2" t="s">
        <v>36</v>
      </c>
      <c r="R282" s="2" t="s">
        <v>38</v>
      </c>
      <c r="S282" s="2" t="s">
        <v>35</v>
      </c>
      <c r="T282" s="2" t="s">
        <v>35</v>
      </c>
      <c r="U282" s="2" t="s">
        <v>35</v>
      </c>
      <c r="V282" s="2" t="b">
        <v>0</v>
      </c>
      <c r="W282" s="2" t="s">
        <v>35</v>
      </c>
      <c r="X282" s="2" t="s">
        <v>35</v>
      </c>
      <c r="Y282" s="2">
        <v>5</v>
      </c>
      <c r="Z282" s="2" t="s">
        <v>35</v>
      </c>
    </row>
    <row r="283" spans="1:26" x14ac:dyDescent="0.2">
      <c r="A283" s="2" t="s">
        <v>323</v>
      </c>
      <c r="B283" s="2" t="b">
        <v>0</v>
      </c>
      <c r="C283" s="2" t="b">
        <v>0</v>
      </c>
      <c r="D283" s="2" t="b">
        <v>0</v>
      </c>
      <c r="E283" s="2" t="b">
        <v>0</v>
      </c>
      <c r="F283" s="2" t="s">
        <v>31</v>
      </c>
      <c r="G283" s="2" t="s">
        <v>324</v>
      </c>
      <c r="H283" s="2" t="s">
        <v>325</v>
      </c>
      <c r="I283" s="2" t="s">
        <v>35</v>
      </c>
      <c r="J283" s="2" t="s">
        <v>35</v>
      </c>
      <c r="K283" s="2" t="s">
        <v>35</v>
      </c>
      <c r="L283" s="2" t="s">
        <v>35</v>
      </c>
      <c r="M283" s="2" t="s">
        <v>35</v>
      </c>
      <c r="N283" s="3">
        <v>44735.423411516203</v>
      </c>
      <c r="O283" s="3">
        <v>44735.42445972222</v>
      </c>
      <c r="P283" s="2">
        <v>0</v>
      </c>
      <c r="Q283" s="2" t="s">
        <v>36</v>
      </c>
      <c r="R283" s="2" t="s">
        <v>38</v>
      </c>
      <c r="S283" s="2" t="s">
        <v>35</v>
      </c>
      <c r="T283" s="2" t="s">
        <v>35</v>
      </c>
      <c r="U283" s="2" t="s">
        <v>35</v>
      </c>
      <c r="V283" s="2" t="b">
        <v>0</v>
      </c>
      <c r="W283" s="2" t="s">
        <v>35</v>
      </c>
      <c r="X283" s="2" t="s">
        <v>35</v>
      </c>
      <c r="Y283" s="2">
        <v>5</v>
      </c>
      <c r="Z283" s="2">
        <v>3</v>
      </c>
    </row>
    <row r="284" spans="1:26" x14ac:dyDescent="0.2">
      <c r="A284" s="2" t="s">
        <v>326</v>
      </c>
      <c r="B284" s="2" t="b">
        <v>0</v>
      </c>
      <c r="C284" s="2" t="b">
        <v>0</v>
      </c>
      <c r="D284" s="2" t="b">
        <v>0</v>
      </c>
      <c r="E284" s="2" t="b">
        <v>0</v>
      </c>
      <c r="F284" s="2" t="s">
        <v>31</v>
      </c>
      <c r="G284" s="2" t="s">
        <v>327</v>
      </c>
      <c r="H284" s="2" t="s">
        <v>328</v>
      </c>
      <c r="I284" s="2" t="s">
        <v>35</v>
      </c>
      <c r="J284" s="2" t="s">
        <v>35</v>
      </c>
      <c r="K284" s="2" t="s">
        <v>35</v>
      </c>
      <c r="L284" s="2" t="s">
        <v>35</v>
      </c>
      <c r="M284" s="2" t="s">
        <v>35</v>
      </c>
      <c r="N284" s="3">
        <v>44735.425170335649</v>
      </c>
      <c r="O284" s="3">
        <v>44735.425384247683</v>
      </c>
      <c r="P284" s="2">
        <v>0</v>
      </c>
      <c r="Q284" s="2" t="s">
        <v>36</v>
      </c>
      <c r="R284" s="2" t="s">
        <v>38</v>
      </c>
      <c r="S284" s="2" t="s">
        <v>35</v>
      </c>
      <c r="T284" s="2" t="s">
        <v>35</v>
      </c>
      <c r="U284" s="2" t="s">
        <v>35</v>
      </c>
      <c r="V284" s="2" t="b">
        <v>0</v>
      </c>
      <c r="W284" s="2" t="s">
        <v>35</v>
      </c>
      <c r="X284" s="2" t="s">
        <v>35</v>
      </c>
      <c r="Y284" s="2">
        <v>7</v>
      </c>
      <c r="Z284" s="2" t="s">
        <v>35</v>
      </c>
    </row>
    <row r="285" spans="1:26" x14ac:dyDescent="0.2">
      <c r="A285" s="2" t="s">
        <v>9245</v>
      </c>
      <c r="B285" s="2" t="b">
        <v>0</v>
      </c>
      <c r="C285" s="2" t="b">
        <v>0</v>
      </c>
      <c r="D285" s="2" t="b">
        <v>0</v>
      </c>
      <c r="E285" s="2" t="b">
        <v>0</v>
      </c>
      <c r="F285" s="2" t="s">
        <v>121</v>
      </c>
      <c r="G285" s="2" t="s">
        <v>149</v>
      </c>
      <c r="H285" s="2" t="s">
        <v>330</v>
      </c>
      <c r="I285" s="2" t="s">
        <v>35</v>
      </c>
      <c r="J285" s="2" t="s">
        <v>35</v>
      </c>
      <c r="K285" s="2" t="s">
        <v>35</v>
      </c>
      <c r="L285" s="2" t="s">
        <v>35</v>
      </c>
      <c r="M285" s="2" t="s">
        <v>35</v>
      </c>
      <c r="N285" s="3">
        <v>44735.427837662035</v>
      </c>
      <c r="O285" s="3">
        <v>44735.427838611111</v>
      </c>
      <c r="P285" s="2">
        <v>0</v>
      </c>
      <c r="Q285" s="2" t="s">
        <v>35</v>
      </c>
      <c r="R285" s="2" t="s">
        <v>38</v>
      </c>
      <c r="S285" s="2" t="s">
        <v>35</v>
      </c>
      <c r="T285" s="2" t="s">
        <v>35</v>
      </c>
      <c r="U285" s="2" t="s">
        <v>35</v>
      </c>
      <c r="V285" s="2" t="b">
        <v>0</v>
      </c>
      <c r="W285" s="2" t="s">
        <v>35</v>
      </c>
      <c r="X285" s="2" t="s">
        <v>35</v>
      </c>
      <c r="Y285" s="2" t="s">
        <v>35</v>
      </c>
      <c r="Z285" s="2" t="s">
        <v>35</v>
      </c>
    </row>
    <row r="286" spans="1:26" x14ac:dyDescent="0.2">
      <c r="A286" s="2" t="s">
        <v>9246</v>
      </c>
      <c r="B286" s="2" t="b">
        <v>0</v>
      </c>
      <c r="C286" s="2" t="b">
        <v>0</v>
      </c>
      <c r="D286" s="2" t="b">
        <v>0</v>
      </c>
      <c r="E286" s="2" t="b">
        <v>0</v>
      </c>
      <c r="F286" s="2" t="s">
        <v>121</v>
      </c>
      <c r="G286" s="2" t="s">
        <v>149</v>
      </c>
      <c r="H286" s="2" t="s">
        <v>330</v>
      </c>
      <c r="I286" s="2" t="s">
        <v>35</v>
      </c>
      <c r="J286" s="2" t="s">
        <v>35</v>
      </c>
      <c r="K286" s="2" t="s">
        <v>35</v>
      </c>
      <c r="L286" s="2" t="s">
        <v>35</v>
      </c>
      <c r="M286" s="2" t="s">
        <v>35</v>
      </c>
      <c r="N286" s="3">
        <v>44735.427837766205</v>
      </c>
      <c r="O286" s="3">
        <v>44735.427838645832</v>
      </c>
      <c r="P286" s="2">
        <v>0</v>
      </c>
      <c r="Q286" s="2" t="s">
        <v>36</v>
      </c>
      <c r="R286" s="2" t="s">
        <v>38</v>
      </c>
      <c r="S286" s="2" t="s">
        <v>35</v>
      </c>
      <c r="T286" s="2" t="s">
        <v>35</v>
      </c>
      <c r="U286" s="2" t="s">
        <v>35</v>
      </c>
      <c r="V286" s="2" t="b">
        <v>0</v>
      </c>
      <c r="W286" s="2" t="s">
        <v>35</v>
      </c>
      <c r="X286" s="2" t="s">
        <v>35</v>
      </c>
      <c r="Y286" s="2" t="s">
        <v>35</v>
      </c>
      <c r="Z286" s="2" t="s">
        <v>35</v>
      </c>
    </row>
    <row r="287" spans="1:26" x14ac:dyDescent="0.2">
      <c r="A287" s="2" t="s">
        <v>329</v>
      </c>
      <c r="B287" s="2" t="b">
        <v>0</v>
      </c>
      <c r="C287" s="2" t="b">
        <v>0</v>
      </c>
      <c r="D287" s="2" t="b">
        <v>0</v>
      </c>
      <c r="E287" s="2" t="b">
        <v>0</v>
      </c>
      <c r="F287" s="2" t="s">
        <v>121</v>
      </c>
      <c r="G287" s="2" t="s">
        <v>149</v>
      </c>
      <c r="H287" s="2" t="s">
        <v>330</v>
      </c>
      <c r="I287" s="2" t="s">
        <v>35</v>
      </c>
      <c r="J287" s="2" t="s">
        <v>35</v>
      </c>
      <c r="K287" s="2" t="s">
        <v>35</v>
      </c>
      <c r="L287" s="2" t="s">
        <v>35</v>
      </c>
      <c r="M287" s="2" t="s">
        <v>35</v>
      </c>
      <c r="N287" s="3">
        <v>44735.427842303237</v>
      </c>
      <c r="O287" s="3">
        <v>44735.42784488426</v>
      </c>
      <c r="P287" s="2">
        <v>0</v>
      </c>
      <c r="Q287" s="2" t="s">
        <v>36</v>
      </c>
      <c r="R287" s="2" t="s">
        <v>38</v>
      </c>
      <c r="S287" s="2" t="s">
        <v>35</v>
      </c>
      <c r="T287" s="2" t="s">
        <v>35</v>
      </c>
      <c r="U287" s="2" t="s">
        <v>35</v>
      </c>
      <c r="V287" s="2" t="b">
        <v>0</v>
      </c>
      <c r="W287" s="2" t="s">
        <v>35</v>
      </c>
      <c r="X287" s="2" t="s">
        <v>35</v>
      </c>
      <c r="Y287" s="2">
        <v>6</v>
      </c>
      <c r="Z287" s="2" t="s">
        <v>35</v>
      </c>
    </row>
    <row r="288" spans="1:26" x14ac:dyDescent="0.2">
      <c r="A288" s="2" t="s">
        <v>331</v>
      </c>
      <c r="B288" s="2" t="b">
        <v>0</v>
      </c>
      <c r="C288" s="2" t="b">
        <v>0</v>
      </c>
      <c r="D288" s="2" t="b">
        <v>0</v>
      </c>
      <c r="E288" s="2" t="b">
        <v>0</v>
      </c>
      <c r="F288" s="2" t="s">
        <v>31</v>
      </c>
      <c r="G288" s="2" t="s">
        <v>332</v>
      </c>
      <c r="H288" s="2" t="s">
        <v>333</v>
      </c>
      <c r="I288" s="2" t="s">
        <v>35</v>
      </c>
      <c r="J288" s="2" t="s">
        <v>35</v>
      </c>
      <c r="K288" s="2" t="s">
        <v>35</v>
      </c>
      <c r="L288" s="2" t="s">
        <v>35</v>
      </c>
      <c r="M288" s="2" t="s">
        <v>35</v>
      </c>
      <c r="N288" s="3">
        <v>44735.427842372686</v>
      </c>
      <c r="O288" s="3">
        <v>44735.428901516207</v>
      </c>
      <c r="P288" s="2">
        <v>0</v>
      </c>
      <c r="Q288" s="2" t="s">
        <v>36</v>
      </c>
      <c r="R288" s="2" t="s">
        <v>38</v>
      </c>
      <c r="S288" s="2" t="s">
        <v>35</v>
      </c>
      <c r="T288" s="2" t="s">
        <v>35</v>
      </c>
      <c r="U288" s="2" t="s">
        <v>35</v>
      </c>
      <c r="V288" s="2" t="b">
        <v>0</v>
      </c>
      <c r="W288" s="2" t="s">
        <v>35</v>
      </c>
      <c r="X288" s="2" t="s">
        <v>35</v>
      </c>
      <c r="Y288" s="2">
        <v>4</v>
      </c>
      <c r="Z288" s="2" t="s">
        <v>35</v>
      </c>
    </row>
    <row r="289" spans="1:26" x14ac:dyDescent="0.2">
      <c r="A289" s="2" t="s">
        <v>9247</v>
      </c>
      <c r="B289" s="2" t="b">
        <v>0</v>
      </c>
      <c r="C289" s="2" t="b">
        <v>0</v>
      </c>
      <c r="D289" s="2" t="b">
        <v>0</v>
      </c>
      <c r="E289" s="2" t="b">
        <v>0</v>
      </c>
      <c r="F289" s="2" t="s">
        <v>121</v>
      </c>
      <c r="G289" s="2" t="s">
        <v>149</v>
      </c>
      <c r="H289" s="2" t="s">
        <v>330</v>
      </c>
      <c r="I289" s="2" t="s">
        <v>35</v>
      </c>
      <c r="J289" s="2" t="s">
        <v>35</v>
      </c>
      <c r="K289" s="2" t="s">
        <v>35</v>
      </c>
      <c r="L289" s="2" t="s">
        <v>35</v>
      </c>
      <c r="M289" s="2" t="s">
        <v>35</v>
      </c>
      <c r="N289" s="3">
        <v>44735.427842407407</v>
      </c>
      <c r="O289" s="3">
        <v>44735.427844293983</v>
      </c>
      <c r="P289" s="2">
        <v>0</v>
      </c>
      <c r="Q289" s="2" t="s">
        <v>36</v>
      </c>
      <c r="R289" s="2" t="s">
        <v>38</v>
      </c>
      <c r="S289" s="2" t="s">
        <v>35</v>
      </c>
      <c r="T289" s="2" t="s">
        <v>35</v>
      </c>
      <c r="U289" s="2" t="s">
        <v>35</v>
      </c>
      <c r="V289" s="2" t="b">
        <v>0</v>
      </c>
      <c r="W289" s="2" t="s">
        <v>35</v>
      </c>
      <c r="X289" s="2" t="s">
        <v>35</v>
      </c>
      <c r="Y289" s="2" t="s">
        <v>35</v>
      </c>
      <c r="Z289" s="2" t="s">
        <v>35</v>
      </c>
    </row>
    <row r="290" spans="1:26" x14ac:dyDescent="0.2">
      <c r="A290" s="2" t="s">
        <v>334</v>
      </c>
      <c r="B290" s="2" t="b">
        <v>0</v>
      </c>
      <c r="C290" s="2" t="b">
        <v>0</v>
      </c>
      <c r="D290" s="2" t="b">
        <v>0</v>
      </c>
      <c r="E290" s="2" t="b">
        <v>0</v>
      </c>
      <c r="F290" s="2" t="s">
        <v>31</v>
      </c>
      <c r="G290" s="2" t="s">
        <v>335</v>
      </c>
      <c r="H290" s="2" t="s">
        <v>336</v>
      </c>
      <c r="I290" s="2" t="s">
        <v>35</v>
      </c>
      <c r="J290" s="2" t="s">
        <v>35</v>
      </c>
      <c r="K290" s="2" t="s">
        <v>35</v>
      </c>
      <c r="L290" s="2" t="s">
        <v>35</v>
      </c>
      <c r="M290" s="2" t="s">
        <v>35</v>
      </c>
      <c r="N290" s="3">
        <v>44735.459319027781</v>
      </c>
      <c r="O290" s="3">
        <v>44735.459471215276</v>
      </c>
      <c r="P290" s="2">
        <v>0</v>
      </c>
      <c r="Q290" s="2" t="s">
        <v>36</v>
      </c>
      <c r="R290" s="2" t="s">
        <v>38</v>
      </c>
      <c r="S290" s="2" t="s">
        <v>35</v>
      </c>
      <c r="T290" s="2" t="s">
        <v>35</v>
      </c>
      <c r="U290" s="2" t="s">
        <v>35</v>
      </c>
      <c r="V290" s="2" t="b">
        <v>0</v>
      </c>
      <c r="W290" s="2" t="s">
        <v>35</v>
      </c>
      <c r="X290" s="2" t="s">
        <v>35</v>
      </c>
      <c r="Y290" s="2">
        <v>4</v>
      </c>
      <c r="Z290" s="2" t="s">
        <v>35</v>
      </c>
    </row>
    <row r="291" spans="1:26" x14ac:dyDescent="0.2">
      <c r="A291" s="2" t="s">
        <v>337</v>
      </c>
      <c r="B291" s="2" t="b">
        <v>0</v>
      </c>
      <c r="C291" s="2" t="b">
        <v>0</v>
      </c>
      <c r="D291" s="2" t="b">
        <v>0</v>
      </c>
      <c r="E291" s="2" t="b">
        <v>0</v>
      </c>
      <c r="F291" s="2" t="s">
        <v>31</v>
      </c>
      <c r="G291" s="2" t="s">
        <v>338</v>
      </c>
      <c r="H291" s="2" t="s">
        <v>339</v>
      </c>
      <c r="I291" s="2" t="s">
        <v>35</v>
      </c>
      <c r="J291" s="2" t="s">
        <v>35</v>
      </c>
      <c r="K291" s="2" t="s">
        <v>35</v>
      </c>
      <c r="L291" s="2" t="s">
        <v>35</v>
      </c>
      <c r="M291" s="2" t="s">
        <v>35</v>
      </c>
      <c r="N291" s="3">
        <v>44735.459959872685</v>
      </c>
      <c r="O291" s="3">
        <v>44735.460114791669</v>
      </c>
      <c r="P291" s="2">
        <v>0</v>
      </c>
      <c r="Q291" s="2" t="s">
        <v>36</v>
      </c>
      <c r="R291" s="2" t="s">
        <v>38</v>
      </c>
      <c r="S291" s="2" t="s">
        <v>35</v>
      </c>
      <c r="T291" s="2" t="s">
        <v>35</v>
      </c>
      <c r="U291" s="2" t="s">
        <v>35</v>
      </c>
      <c r="V291" s="2" t="b">
        <v>0</v>
      </c>
      <c r="W291" s="2" t="s">
        <v>35</v>
      </c>
      <c r="X291" s="2" t="s">
        <v>35</v>
      </c>
      <c r="Y291" s="2" t="s">
        <v>35</v>
      </c>
      <c r="Z291" s="2">
        <v>3</v>
      </c>
    </row>
    <row r="292" spans="1:26" x14ac:dyDescent="0.2">
      <c r="A292" s="2" t="s">
        <v>340</v>
      </c>
      <c r="B292" s="2" t="b">
        <v>0</v>
      </c>
      <c r="C292" s="2" t="b">
        <v>0</v>
      </c>
      <c r="D292" s="2" t="b">
        <v>0</v>
      </c>
      <c r="E292" s="2" t="b">
        <v>0</v>
      </c>
      <c r="F292" s="2" t="s">
        <v>31</v>
      </c>
      <c r="G292" s="2" t="s">
        <v>341</v>
      </c>
      <c r="H292" s="2" t="s">
        <v>342</v>
      </c>
      <c r="I292" s="2" t="s">
        <v>35</v>
      </c>
      <c r="J292" s="2" t="s">
        <v>35</v>
      </c>
      <c r="K292" s="2" t="s">
        <v>35</v>
      </c>
      <c r="L292" s="2" t="s">
        <v>35</v>
      </c>
      <c r="M292" s="2" t="s">
        <v>35</v>
      </c>
      <c r="N292" s="3">
        <v>44735.461427905095</v>
      </c>
      <c r="O292" s="3">
        <v>44735.461558055555</v>
      </c>
      <c r="P292" s="2">
        <v>0</v>
      </c>
      <c r="Q292" s="2" t="s">
        <v>36</v>
      </c>
      <c r="R292" s="2" t="s">
        <v>38</v>
      </c>
      <c r="S292" s="2" t="s">
        <v>35</v>
      </c>
      <c r="T292" s="2" t="s">
        <v>35</v>
      </c>
      <c r="U292" s="2" t="s">
        <v>35</v>
      </c>
      <c r="V292" s="2" t="b">
        <v>0</v>
      </c>
      <c r="W292" s="2" t="s">
        <v>35</v>
      </c>
      <c r="X292" s="2" t="s">
        <v>35</v>
      </c>
      <c r="Y292" s="2" t="s">
        <v>35</v>
      </c>
      <c r="Z292" s="2">
        <v>4</v>
      </c>
    </row>
    <row r="293" spans="1:26" x14ac:dyDescent="0.2">
      <c r="A293" s="2" t="s">
        <v>343</v>
      </c>
      <c r="B293" s="2" t="b">
        <v>0</v>
      </c>
      <c r="C293" s="2" t="b">
        <v>0</v>
      </c>
      <c r="D293" s="2" t="b">
        <v>0</v>
      </c>
      <c r="E293" s="2" t="b">
        <v>0</v>
      </c>
      <c r="F293" s="2" t="s">
        <v>31</v>
      </c>
      <c r="G293" s="2" t="s">
        <v>344</v>
      </c>
      <c r="H293" s="2" t="s">
        <v>345</v>
      </c>
      <c r="I293" s="2" t="s">
        <v>35</v>
      </c>
      <c r="J293" s="2" t="s">
        <v>35</v>
      </c>
      <c r="K293" s="2" t="s">
        <v>35</v>
      </c>
      <c r="L293" s="2" t="s">
        <v>35</v>
      </c>
      <c r="M293" s="2" t="s">
        <v>35</v>
      </c>
      <c r="N293" s="3">
        <v>44735.464761689815</v>
      </c>
      <c r="O293" s="3">
        <v>44735.46519072917</v>
      </c>
      <c r="P293" s="2">
        <v>0</v>
      </c>
      <c r="Q293" s="2" t="s">
        <v>36</v>
      </c>
      <c r="R293" s="2" t="s">
        <v>38</v>
      </c>
      <c r="S293" s="2" t="s">
        <v>35</v>
      </c>
      <c r="T293" s="2" t="s">
        <v>35</v>
      </c>
      <c r="U293" s="2" t="s">
        <v>35</v>
      </c>
      <c r="V293" s="2" t="b">
        <v>0</v>
      </c>
      <c r="W293" s="2" t="s">
        <v>35</v>
      </c>
      <c r="X293" s="2" t="s">
        <v>35</v>
      </c>
      <c r="Y293" s="2" t="s">
        <v>35</v>
      </c>
      <c r="Z293" s="2">
        <v>5</v>
      </c>
    </row>
    <row r="294" spans="1:26" x14ac:dyDescent="0.2">
      <c r="A294" s="2" t="s">
        <v>4247</v>
      </c>
      <c r="B294" s="2" t="b">
        <v>0</v>
      </c>
      <c r="C294" s="2" t="b">
        <v>0</v>
      </c>
      <c r="D294" s="2" t="b">
        <v>0</v>
      </c>
      <c r="E294" s="2" t="b">
        <v>0</v>
      </c>
      <c r="F294" s="2" t="s">
        <v>121</v>
      </c>
      <c r="G294" s="2" t="s">
        <v>9248</v>
      </c>
      <c r="H294" s="2" t="s">
        <v>9249</v>
      </c>
      <c r="I294" s="2" t="s">
        <v>35</v>
      </c>
      <c r="J294" s="2" t="s">
        <v>35</v>
      </c>
      <c r="K294" s="2" t="s">
        <v>35</v>
      </c>
      <c r="L294" s="2" t="s">
        <v>35</v>
      </c>
      <c r="M294" s="2" t="s">
        <v>35</v>
      </c>
      <c r="N294" s="3">
        <v>44735.465612638887</v>
      </c>
      <c r="O294" s="3">
        <v>44735.466169583335</v>
      </c>
      <c r="P294" s="2">
        <v>0</v>
      </c>
      <c r="Q294" s="2" t="s">
        <v>416</v>
      </c>
      <c r="R294" s="2" t="s">
        <v>38</v>
      </c>
      <c r="S294" s="2" t="s">
        <v>35</v>
      </c>
      <c r="T294" s="2" t="s">
        <v>35</v>
      </c>
      <c r="U294" s="2" t="s">
        <v>35</v>
      </c>
      <c r="V294" s="2" t="b">
        <v>0</v>
      </c>
      <c r="W294" s="2" t="s">
        <v>35</v>
      </c>
      <c r="X294" s="2" t="s">
        <v>35</v>
      </c>
      <c r="Y294" s="2" t="s">
        <v>35</v>
      </c>
      <c r="Z294" s="2" t="s">
        <v>35</v>
      </c>
    </row>
    <row r="295" spans="1:26" x14ac:dyDescent="0.2">
      <c r="A295" s="2" t="s">
        <v>9250</v>
      </c>
      <c r="B295" s="2" t="b">
        <v>0</v>
      </c>
      <c r="C295" s="2" t="b">
        <v>0</v>
      </c>
      <c r="D295" s="2" t="b">
        <v>0</v>
      </c>
      <c r="E295" s="2" t="b">
        <v>0</v>
      </c>
      <c r="F295" s="2" t="s">
        <v>121</v>
      </c>
      <c r="G295" s="2" t="s">
        <v>149</v>
      </c>
      <c r="H295" s="2" t="s">
        <v>348</v>
      </c>
      <c r="I295" s="2" t="s">
        <v>35</v>
      </c>
      <c r="J295" s="2" t="s">
        <v>35</v>
      </c>
      <c r="K295" s="2" t="s">
        <v>35</v>
      </c>
      <c r="L295" s="2" t="s">
        <v>35</v>
      </c>
      <c r="M295" s="2" t="s">
        <v>35</v>
      </c>
      <c r="N295" s="3">
        <v>44735.470978981481</v>
      </c>
      <c r="O295" s="3">
        <v>44735.470983032406</v>
      </c>
      <c r="P295" s="2">
        <v>0</v>
      </c>
      <c r="Q295" s="2" t="s">
        <v>35</v>
      </c>
      <c r="R295" s="2" t="s">
        <v>38</v>
      </c>
      <c r="S295" s="2" t="s">
        <v>35</v>
      </c>
      <c r="T295" s="2" t="s">
        <v>35</v>
      </c>
      <c r="U295" s="2" t="s">
        <v>35</v>
      </c>
      <c r="V295" s="2" t="b">
        <v>0</v>
      </c>
      <c r="W295" s="2" t="s">
        <v>35</v>
      </c>
      <c r="X295" s="2" t="s">
        <v>35</v>
      </c>
      <c r="Y295" s="2" t="s">
        <v>35</v>
      </c>
      <c r="Z295" s="2" t="s">
        <v>35</v>
      </c>
    </row>
    <row r="296" spans="1:26" x14ac:dyDescent="0.2">
      <c r="A296" s="2" t="s">
        <v>9251</v>
      </c>
      <c r="B296" s="2" t="b">
        <v>0</v>
      </c>
      <c r="C296" s="2" t="b">
        <v>0</v>
      </c>
      <c r="D296" s="2" t="b">
        <v>0</v>
      </c>
      <c r="E296" s="2" t="b">
        <v>0</v>
      </c>
      <c r="F296" s="2" t="s">
        <v>121</v>
      </c>
      <c r="G296" s="2" t="s">
        <v>149</v>
      </c>
      <c r="H296" s="2" t="s">
        <v>348</v>
      </c>
      <c r="I296" s="2" t="s">
        <v>35</v>
      </c>
      <c r="J296" s="2" t="s">
        <v>35</v>
      </c>
      <c r="K296" s="2" t="s">
        <v>35</v>
      </c>
      <c r="L296" s="2" t="s">
        <v>35</v>
      </c>
      <c r="M296" s="2" t="s">
        <v>35</v>
      </c>
      <c r="N296" s="3">
        <v>44735.470979155092</v>
      </c>
      <c r="O296" s="3">
        <v>44735.470985208332</v>
      </c>
      <c r="P296" s="2">
        <v>0</v>
      </c>
      <c r="Q296" s="2" t="s">
        <v>54</v>
      </c>
      <c r="R296" s="2" t="s">
        <v>38</v>
      </c>
      <c r="S296" s="2" t="s">
        <v>35</v>
      </c>
      <c r="T296" s="2" t="s">
        <v>35</v>
      </c>
      <c r="U296" s="2" t="s">
        <v>35</v>
      </c>
      <c r="V296" s="2" t="b">
        <v>0</v>
      </c>
      <c r="W296" s="2" t="s">
        <v>35</v>
      </c>
      <c r="X296" s="2" t="s">
        <v>35</v>
      </c>
      <c r="Y296" s="2" t="s">
        <v>35</v>
      </c>
      <c r="Z296" s="2" t="s">
        <v>35</v>
      </c>
    </row>
    <row r="297" spans="1:26" x14ac:dyDescent="0.2">
      <c r="A297" s="2" t="s">
        <v>346</v>
      </c>
      <c r="B297" s="2" t="b">
        <v>0</v>
      </c>
      <c r="C297" s="2" t="b">
        <v>0</v>
      </c>
      <c r="D297" s="2" t="b">
        <v>0</v>
      </c>
      <c r="E297" s="2" t="b">
        <v>0</v>
      </c>
      <c r="F297" s="2" t="s">
        <v>31</v>
      </c>
      <c r="G297" s="2" t="s">
        <v>347</v>
      </c>
      <c r="H297" s="2" t="s">
        <v>348</v>
      </c>
      <c r="I297" s="2" t="s">
        <v>35</v>
      </c>
      <c r="J297" s="2" t="s">
        <v>35</v>
      </c>
      <c r="K297" s="2" t="s">
        <v>35</v>
      </c>
      <c r="L297" s="2">
        <v>61</v>
      </c>
      <c r="M297" s="2">
        <v>15</v>
      </c>
      <c r="N297" s="3">
        <v>44735.47098204861</v>
      </c>
      <c r="O297" s="3">
        <v>44735.471405208336</v>
      </c>
      <c r="P297" s="2">
        <v>0</v>
      </c>
      <c r="Q297" s="2" t="s">
        <v>54</v>
      </c>
      <c r="R297" s="2" t="s">
        <v>38</v>
      </c>
      <c r="S297" s="2" t="s">
        <v>35</v>
      </c>
      <c r="T297" s="2" t="s">
        <v>35</v>
      </c>
      <c r="U297" s="2" t="s">
        <v>35</v>
      </c>
      <c r="V297" s="2" t="b">
        <v>0</v>
      </c>
      <c r="W297" s="2" t="s">
        <v>35</v>
      </c>
      <c r="X297" s="2" t="s">
        <v>35</v>
      </c>
      <c r="Y297" s="2" t="s">
        <v>35</v>
      </c>
      <c r="Z297" s="2" t="s">
        <v>35</v>
      </c>
    </row>
    <row r="298" spans="1:26" x14ac:dyDescent="0.2">
      <c r="A298" s="2" t="s">
        <v>349</v>
      </c>
      <c r="B298" s="2" t="b">
        <v>0</v>
      </c>
      <c r="C298" s="2" t="b">
        <v>0</v>
      </c>
      <c r="D298" s="2" t="b">
        <v>0</v>
      </c>
      <c r="E298" s="2" t="b">
        <v>0</v>
      </c>
      <c r="F298" s="2" t="s">
        <v>31</v>
      </c>
      <c r="G298" s="2" t="s">
        <v>350</v>
      </c>
      <c r="H298" s="2" t="s">
        <v>351</v>
      </c>
      <c r="I298" s="2" t="s">
        <v>352</v>
      </c>
      <c r="J298" s="2" t="s">
        <v>35</v>
      </c>
      <c r="K298" s="2" t="s">
        <v>35</v>
      </c>
      <c r="L298" s="2" t="s">
        <v>35</v>
      </c>
      <c r="M298" s="2" t="s">
        <v>35</v>
      </c>
      <c r="N298" s="3">
        <v>44735.473035196759</v>
      </c>
      <c r="O298" s="3">
        <v>44735.473355821756</v>
      </c>
      <c r="P298" s="2">
        <v>0</v>
      </c>
      <c r="Q298" s="2" t="s">
        <v>124</v>
      </c>
      <c r="R298" s="2" t="s">
        <v>38</v>
      </c>
      <c r="S298" s="2" t="s">
        <v>35</v>
      </c>
      <c r="T298" s="2" t="s">
        <v>35</v>
      </c>
      <c r="U298" s="2" t="s">
        <v>35</v>
      </c>
      <c r="V298" s="2" t="b">
        <v>0</v>
      </c>
      <c r="W298" s="2" t="s">
        <v>35</v>
      </c>
      <c r="X298" s="2">
        <v>4</v>
      </c>
      <c r="Y298" s="2" t="s">
        <v>35</v>
      </c>
      <c r="Z298" s="2" t="s">
        <v>35</v>
      </c>
    </row>
    <row r="299" spans="1:26" x14ac:dyDescent="0.2">
      <c r="A299" s="2" t="s">
        <v>353</v>
      </c>
      <c r="B299" s="2" t="b">
        <v>0</v>
      </c>
      <c r="C299" s="2" t="b">
        <v>0</v>
      </c>
      <c r="D299" s="2" t="b">
        <v>0</v>
      </c>
      <c r="E299" s="2" t="b">
        <v>0</v>
      </c>
      <c r="F299" s="2" t="s">
        <v>31</v>
      </c>
      <c r="G299" s="2" t="s">
        <v>354</v>
      </c>
      <c r="H299" s="2" t="s">
        <v>355</v>
      </c>
      <c r="I299" s="2" t="s">
        <v>35</v>
      </c>
      <c r="J299" s="2" t="s">
        <v>35</v>
      </c>
      <c r="K299" s="2" t="s">
        <v>35</v>
      </c>
      <c r="L299" s="2" t="s">
        <v>35</v>
      </c>
      <c r="M299" s="2" t="s">
        <v>35</v>
      </c>
      <c r="N299" s="3">
        <v>44735.473778159721</v>
      </c>
      <c r="O299" s="3">
        <v>44735.473961643518</v>
      </c>
      <c r="P299" s="2">
        <v>0</v>
      </c>
      <c r="Q299" s="2" t="s">
        <v>36</v>
      </c>
      <c r="R299" s="2" t="s">
        <v>38</v>
      </c>
      <c r="S299" s="2" t="s">
        <v>35</v>
      </c>
      <c r="T299" s="2" t="s">
        <v>35</v>
      </c>
      <c r="U299" s="2" t="s">
        <v>35</v>
      </c>
      <c r="V299" s="2" t="b">
        <v>0</v>
      </c>
      <c r="W299" s="2" t="s">
        <v>35</v>
      </c>
      <c r="X299" s="2" t="s">
        <v>35</v>
      </c>
      <c r="Y299" s="2" t="s">
        <v>35</v>
      </c>
      <c r="Z299" s="2">
        <v>3</v>
      </c>
    </row>
    <row r="300" spans="1:26" x14ac:dyDescent="0.2">
      <c r="A300" s="2" t="s">
        <v>356</v>
      </c>
      <c r="B300" s="2" t="b">
        <v>0</v>
      </c>
      <c r="C300" s="2" t="b">
        <v>0</v>
      </c>
      <c r="D300" s="2" t="b">
        <v>0</v>
      </c>
      <c r="E300" s="2" t="b">
        <v>0</v>
      </c>
      <c r="F300" s="2" t="s">
        <v>31</v>
      </c>
      <c r="G300" s="2" t="s">
        <v>357</v>
      </c>
      <c r="H300" s="2" t="s">
        <v>358</v>
      </c>
      <c r="I300" s="2" t="s">
        <v>35</v>
      </c>
      <c r="J300" s="2" t="s">
        <v>35</v>
      </c>
      <c r="K300" s="2" t="s">
        <v>35</v>
      </c>
      <c r="L300" s="2" t="s">
        <v>35</v>
      </c>
      <c r="M300" s="2" t="s">
        <v>35</v>
      </c>
      <c r="N300" s="3">
        <v>44735.475314131945</v>
      </c>
      <c r="O300" s="3">
        <v>44735.476063402777</v>
      </c>
      <c r="P300" s="2">
        <v>0</v>
      </c>
      <c r="Q300" s="2" t="s">
        <v>124</v>
      </c>
      <c r="R300" s="2" t="s">
        <v>38</v>
      </c>
      <c r="S300" s="2" t="s">
        <v>35</v>
      </c>
      <c r="T300" s="2" t="s">
        <v>35</v>
      </c>
      <c r="U300" s="2" t="s">
        <v>35</v>
      </c>
      <c r="V300" s="2" t="b">
        <v>0</v>
      </c>
      <c r="W300" s="2" t="s">
        <v>35</v>
      </c>
      <c r="X300" s="2">
        <v>4</v>
      </c>
      <c r="Y300" s="2" t="s">
        <v>35</v>
      </c>
      <c r="Z300" s="2" t="s">
        <v>35</v>
      </c>
    </row>
    <row r="301" spans="1:26" x14ac:dyDescent="0.2">
      <c r="A301" s="2" t="s">
        <v>359</v>
      </c>
      <c r="B301" s="2" t="b">
        <v>0</v>
      </c>
      <c r="C301" s="2" t="b">
        <v>0</v>
      </c>
      <c r="D301" s="2" t="b">
        <v>0</v>
      </c>
      <c r="E301" s="2" t="b">
        <v>0</v>
      </c>
      <c r="F301" s="2" t="s">
        <v>31</v>
      </c>
      <c r="G301" s="2" t="s">
        <v>360</v>
      </c>
      <c r="H301" s="2" t="s">
        <v>361</v>
      </c>
      <c r="I301" s="2" t="s">
        <v>352</v>
      </c>
      <c r="J301" s="2" t="s">
        <v>35</v>
      </c>
      <c r="K301" s="2" t="s">
        <v>35</v>
      </c>
      <c r="L301" s="2" t="s">
        <v>35</v>
      </c>
      <c r="M301" s="2" t="s">
        <v>35</v>
      </c>
      <c r="N301" s="3">
        <v>44735.476845787038</v>
      </c>
      <c r="O301" s="3">
        <v>44735.477900219907</v>
      </c>
      <c r="P301" s="2">
        <v>0</v>
      </c>
      <c r="Q301" s="2" t="s">
        <v>124</v>
      </c>
      <c r="R301" s="2" t="s">
        <v>38</v>
      </c>
      <c r="S301" s="2" t="s">
        <v>35</v>
      </c>
      <c r="T301" s="2" t="s">
        <v>35</v>
      </c>
      <c r="U301" s="2" t="s">
        <v>35</v>
      </c>
      <c r="V301" s="2" t="b">
        <v>0</v>
      </c>
      <c r="W301" s="2" t="s">
        <v>35</v>
      </c>
      <c r="X301" s="2">
        <v>4</v>
      </c>
      <c r="Y301" s="2" t="s">
        <v>35</v>
      </c>
      <c r="Z301" s="2" t="s">
        <v>35</v>
      </c>
    </row>
    <row r="302" spans="1:26" x14ac:dyDescent="0.2">
      <c r="A302" s="2" t="s">
        <v>362</v>
      </c>
      <c r="B302" s="2" t="b">
        <v>0</v>
      </c>
      <c r="C302" s="2" t="b">
        <v>0</v>
      </c>
      <c r="D302" s="2" t="b">
        <v>0</v>
      </c>
      <c r="E302" s="2" t="b">
        <v>0</v>
      </c>
      <c r="F302" s="2" t="s">
        <v>31</v>
      </c>
      <c r="G302" s="2" t="s">
        <v>363</v>
      </c>
      <c r="H302" s="2" t="s">
        <v>364</v>
      </c>
      <c r="I302" s="2" t="s">
        <v>352</v>
      </c>
      <c r="J302" s="2" t="s">
        <v>35</v>
      </c>
      <c r="K302" s="2" t="s">
        <v>35</v>
      </c>
      <c r="L302" s="2" t="s">
        <v>35</v>
      </c>
      <c r="M302" s="2" t="s">
        <v>35</v>
      </c>
      <c r="N302" s="3">
        <v>44735.478199791665</v>
      </c>
      <c r="O302" s="3">
        <v>44735.478477974539</v>
      </c>
      <c r="P302" s="2">
        <v>0</v>
      </c>
      <c r="Q302" s="2" t="s">
        <v>124</v>
      </c>
      <c r="R302" s="2" t="s">
        <v>38</v>
      </c>
      <c r="S302" s="2" t="s">
        <v>35</v>
      </c>
      <c r="T302" s="2" t="s">
        <v>35</v>
      </c>
      <c r="U302" s="2" t="s">
        <v>35</v>
      </c>
      <c r="V302" s="2" t="b">
        <v>0</v>
      </c>
      <c r="W302" s="2" t="s">
        <v>35</v>
      </c>
      <c r="X302" s="2">
        <v>4</v>
      </c>
      <c r="Y302" s="2" t="s">
        <v>35</v>
      </c>
      <c r="Z302" s="2" t="s">
        <v>35</v>
      </c>
    </row>
    <row r="303" spans="1:26" x14ac:dyDescent="0.2">
      <c r="A303" s="2" t="s">
        <v>365</v>
      </c>
      <c r="B303" s="2" t="b">
        <v>0</v>
      </c>
      <c r="C303" s="2" t="b">
        <v>0</v>
      </c>
      <c r="D303" s="2" t="b">
        <v>0</v>
      </c>
      <c r="E303" s="2" t="b">
        <v>0</v>
      </c>
      <c r="F303" s="2" t="s">
        <v>31</v>
      </c>
      <c r="G303" s="2" t="s">
        <v>366</v>
      </c>
      <c r="H303" s="2" t="s">
        <v>367</v>
      </c>
      <c r="I303" s="2" t="s">
        <v>368</v>
      </c>
      <c r="J303" s="2" t="s">
        <v>35</v>
      </c>
      <c r="K303" s="2" t="s">
        <v>35</v>
      </c>
      <c r="L303" s="2" t="s">
        <v>35</v>
      </c>
      <c r="M303" s="2" t="s">
        <v>35</v>
      </c>
      <c r="N303" s="3">
        <v>44735.478567777776</v>
      </c>
      <c r="O303" s="3">
        <v>44735.479970659719</v>
      </c>
      <c r="P303" s="2">
        <v>0</v>
      </c>
      <c r="Q303" s="2" t="s">
        <v>36</v>
      </c>
      <c r="R303" s="2" t="s">
        <v>38</v>
      </c>
      <c r="S303" s="2" t="s">
        <v>35</v>
      </c>
      <c r="T303" s="2" t="s">
        <v>35</v>
      </c>
      <c r="U303" s="2" t="s">
        <v>35</v>
      </c>
      <c r="V303" s="2" t="b">
        <v>0</v>
      </c>
      <c r="W303" s="2" t="s">
        <v>369</v>
      </c>
      <c r="X303" s="2">
        <v>100</v>
      </c>
      <c r="Y303" s="2" t="s">
        <v>35</v>
      </c>
      <c r="Z303" s="2" t="s">
        <v>35</v>
      </c>
    </row>
    <row r="304" spans="1:26" x14ac:dyDescent="0.2">
      <c r="A304" s="2" t="s">
        <v>370</v>
      </c>
      <c r="B304" s="2" t="b">
        <v>0</v>
      </c>
      <c r="C304" s="2" t="b">
        <v>0</v>
      </c>
      <c r="D304" s="2" t="b">
        <v>0</v>
      </c>
      <c r="E304" s="2" t="b">
        <v>0</v>
      </c>
      <c r="F304" s="2" t="s">
        <v>31</v>
      </c>
      <c r="G304" s="2" t="s">
        <v>371</v>
      </c>
      <c r="H304" s="2" t="s">
        <v>372</v>
      </c>
      <c r="I304" s="2" t="s">
        <v>352</v>
      </c>
      <c r="J304" s="2" t="s">
        <v>35</v>
      </c>
      <c r="K304" s="2" t="s">
        <v>35</v>
      </c>
      <c r="L304" s="2" t="s">
        <v>35</v>
      </c>
      <c r="M304" s="2" t="s">
        <v>35</v>
      </c>
      <c r="N304" s="3">
        <v>44735.481152708337</v>
      </c>
      <c r="O304" s="3">
        <v>44735.481391053239</v>
      </c>
      <c r="P304" s="2">
        <v>0</v>
      </c>
      <c r="Q304" s="2" t="s">
        <v>124</v>
      </c>
      <c r="R304" s="2" t="s">
        <v>38</v>
      </c>
      <c r="S304" s="2" t="s">
        <v>35</v>
      </c>
      <c r="T304" s="2" t="s">
        <v>35</v>
      </c>
      <c r="U304" s="2" t="s">
        <v>35</v>
      </c>
      <c r="V304" s="2" t="b">
        <v>0</v>
      </c>
      <c r="W304" s="2" t="s">
        <v>35</v>
      </c>
      <c r="X304" s="2">
        <v>4</v>
      </c>
      <c r="Y304" s="2" t="s">
        <v>35</v>
      </c>
      <c r="Z304" s="2" t="s">
        <v>35</v>
      </c>
    </row>
    <row r="305" spans="1:26" x14ac:dyDescent="0.2">
      <c r="A305" s="2" t="s">
        <v>373</v>
      </c>
      <c r="B305" s="2" t="b">
        <v>0</v>
      </c>
      <c r="C305" s="2" t="b">
        <v>0</v>
      </c>
      <c r="D305" s="2" t="b">
        <v>0</v>
      </c>
      <c r="E305" s="2" t="b">
        <v>0</v>
      </c>
      <c r="F305" s="2" t="s">
        <v>31</v>
      </c>
      <c r="G305" s="2" t="s">
        <v>374</v>
      </c>
      <c r="H305" s="2" t="s">
        <v>375</v>
      </c>
      <c r="I305" s="2" t="s">
        <v>352</v>
      </c>
      <c r="J305" s="2" t="s">
        <v>35</v>
      </c>
      <c r="K305" s="2" t="s">
        <v>35</v>
      </c>
      <c r="L305" s="2" t="s">
        <v>35</v>
      </c>
      <c r="M305" s="2" t="s">
        <v>35</v>
      </c>
      <c r="N305" s="3">
        <v>44735.481774305554</v>
      </c>
      <c r="O305" s="3">
        <v>44735.482161388885</v>
      </c>
      <c r="P305" s="2">
        <v>0</v>
      </c>
      <c r="Q305" s="2" t="s">
        <v>124</v>
      </c>
      <c r="R305" s="2" t="s">
        <v>38</v>
      </c>
      <c r="S305" s="2" t="s">
        <v>35</v>
      </c>
      <c r="T305" s="2" t="s">
        <v>35</v>
      </c>
      <c r="U305" s="2" t="s">
        <v>35</v>
      </c>
      <c r="V305" s="2" t="b">
        <v>0</v>
      </c>
      <c r="W305" s="2" t="s">
        <v>35</v>
      </c>
      <c r="X305" s="2">
        <v>4</v>
      </c>
      <c r="Y305" s="2" t="s">
        <v>35</v>
      </c>
      <c r="Z305" s="2" t="s">
        <v>35</v>
      </c>
    </row>
    <row r="306" spans="1:26" x14ac:dyDescent="0.2">
      <c r="A306" s="2" t="s">
        <v>376</v>
      </c>
      <c r="B306" s="2" t="b">
        <v>0</v>
      </c>
      <c r="C306" s="2" t="b">
        <v>0</v>
      </c>
      <c r="D306" s="2" t="b">
        <v>0</v>
      </c>
      <c r="E306" s="2" t="b">
        <v>0</v>
      </c>
      <c r="F306" s="2" t="s">
        <v>31</v>
      </c>
      <c r="G306" s="2" t="s">
        <v>377</v>
      </c>
      <c r="H306" s="2" t="s">
        <v>378</v>
      </c>
      <c r="I306" s="2" t="s">
        <v>352</v>
      </c>
      <c r="J306" s="2" t="s">
        <v>35</v>
      </c>
      <c r="K306" s="2" t="s">
        <v>35</v>
      </c>
      <c r="L306" s="2" t="s">
        <v>35</v>
      </c>
      <c r="M306" s="2" t="s">
        <v>35</v>
      </c>
      <c r="N306" s="3">
        <v>44735.483523136572</v>
      </c>
      <c r="O306" s="3">
        <v>44735.483951724535</v>
      </c>
      <c r="P306" s="2">
        <v>0</v>
      </c>
      <c r="Q306" s="2" t="s">
        <v>124</v>
      </c>
      <c r="R306" s="2" t="s">
        <v>38</v>
      </c>
      <c r="S306" s="2" t="s">
        <v>35</v>
      </c>
      <c r="T306" s="2" t="s">
        <v>35</v>
      </c>
      <c r="U306" s="2" t="s">
        <v>35</v>
      </c>
      <c r="V306" s="2" t="b">
        <v>0</v>
      </c>
      <c r="W306" s="2" t="s">
        <v>35</v>
      </c>
      <c r="X306" s="2">
        <v>4</v>
      </c>
      <c r="Y306" s="2" t="s">
        <v>35</v>
      </c>
      <c r="Z306" s="2" t="s">
        <v>35</v>
      </c>
    </row>
    <row r="307" spans="1:26" x14ac:dyDescent="0.2">
      <c r="A307" s="2" t="s">
        <v>379</v>
      </c>
      <c r="B307" s="2" t="b">
        <v>0</v>
      </c>
      <c r="C307" s="2" t="b">
        <v>0</v>
      </c>
      <c r="D307" s="2" t="b">
        <v>0</v>
      </c>
      <c r="E307" s="2" t="b">
        <v>0</v>
      </c>
      <c r="F307" s="2" t="s">
        <v>31</v>
      </c>
      <c r="G307" s="2" t="s">
        <v>380</v>
      </c>
      <c r="H307" s="2" t="s">
        <v>381</v>
      </c>
      <c r="I307" s="2" t="s">
        <v>35</v>
      </c>
      <c r="J307" s="2" t="s">
        <v>35</v>
      </c>
      <c r="K307" s="2" t="s">
        <v>35</v>
      </c>
      <c r="L307" s="2" t="s">
        <v>35</v>
      </c>
      <c r="M307" s="2" t="s">
        <v>35</v>
      </c>
      <c r="N307" s="3">
        <v>44735.485174050926</v>
      </c>
      <c r="O307" s="3">
        <v>44735.485646828703</v>
      </c>
      <c r="P307" s="2">
        <v>0</v>
      </c>
      <c r="Q307" s="2" t="s">
        <v>36</v>
      </c>
      <c r="R307" s="2" t="s">
        <v>38</v>
      </c>
      <c r="S307" s="2" t="s">
        <v>35</v>
      </c>
      <c r="T307" s="2" t="s">
        <v>35</v>
      </c>
      <c r="U307" s="2" t="s">
        <v>35</v>
      </c>
      <c r="V307" s="2" t="b">
        <v>0</v>
      </c>
      <c r="W307" s="2" t="s">
        <v>35</v>
      </c>
      <c r="X307" s="2" t="s">
        <v>35</v>
      </c>
      <c r="Y307" s="2" t="s">
        <v>35</v>
      </c>
      <c r="Z307" s="2">
        <v>4</v>
      </c>
    </row>
    <row r="308" spans="1:26" x14ac:dyDescent="0.2">
      <c r="A308" s="2" t="s">
        <v>382</v>
      </c>
      <c r="B308" s="2" t="b">
        <v>0</v>
      </c>
      <c r="C308" s="2" t="b">
        <v>0</v>
      </c>
      <c r="D308" s="2" t="b">
        <v>0</v>
      </c>
      <c r="E308" s="2" t="b">
        <v>0</v>
      </c>
      <c r="F308" s="2" t="s">
        <v>31</v>
      </c>
      <c r="G308" s="2" t="s">
        <v>383</v>
      </c>
      <c r="H308" s="2" t="s">
        <v>384</v>
      </c>
      <c r="I308" s="2" t="s">
        <v>352</v>
      </c>
      <c r="J308" s="2" t="s">
        <v>35</v>
      </c>
      <c r="K308" s="2" t="s">
        <v>35</v>
      </c>
      <c r="L308" s="2" t="s">
        <v>35</v>
      </c>
      <c r="M308" s="2" t="s">
        <v>35</v>
      </c>
      <c r="N308" s="3">
        <v>44735.487021805558</v>
      </c>
      <c r="O308" s="3">
        <v>44735.487392395837</v>
      </c>
      <c r="P308" s="2">
        <v>0</v>
      </c>
      <c r="Q308" s="2" t="s">
        <v>124</v>
      </c>
      <c r="R308" s="2" t="s">
        <v>38</v>
      </c>
      <c r="S308" s="2" t="s">
        <v>35</v>
      </c>
      <c r="T308" s="2" t="s">
        <v>35</v>
      </c>
      <c r="U308" s="2" t="s">
        <v>35</v>
      </c>
      <c r="V308" s="2" t="b">
        <v>0</v>
      </c>
      <c r="W308" s="2" t="s">
        <v>35</v>
      </c>
      <c r="X308" s="2">
        <v>4</v>
      </c>
      <c r="Y308" s="2" t="s">
        <v>35</v>
      </c>
      <c r="Z308" s="2" t="s">
        <v>35</v>
      </c>
    </row>
    <row r="309" spans="1:26" x14ac:dyDescent="0.2">
      <c r="A309" s="2" t="s">
        <v>385</v>
      </c>
      <c r="B309" s="2" t="b">
        <v>0</v>
      </c>
      <c r="C309" s="2" t="b">
        <v>0</v>
      </c>
      <c r="D309" s="2" t="b">
        <v>0</v>
      </c>
      <c r="E309" s="2" t="b">
        <v>0</v>
      </c>
      <c r="F309" s="2" t="s">
        <v>31</v>
      </c>
      <c r="G309" s="2" t="s">
        <v>386</v>
      </c>
      <c r="H309" s="2" t="s">
        <v>387</v>
      </c>
      <c r="I309" s="2" t="s">
        <v>352</v>
      </c>
      <c r="J309" s="2" t="s">
        <v>35</v>
      </c>
      <c r="K309" s="2" t="s">
        <v>35</v>
      </c>
      <c r="L309" s="2" t="s">
        <v>35</v>
      </c>
      <c r="M309" s="2" t="s">
        <v>35</v>
      </c>
      <c r="N309" s="3">
        <v>44735.488081180556</v>
      </c>
      <c r="O309" s="3">
        <v>44735.488294131945</v>
      </c>
      <c r="P309" s="2">
        <v>0</v>
      </c>
      <c r="Q309" s="2" t="s">
        <v>124</v>
      </c>
      <c r="R309" s="2" t="s">
        <v>38</v>
      </c>
      <c r="S309" s="2" t="s">
        <v>35</v>
      </c>
      <c r="T309" s="2" t="s">
        <v>35</v>
      </c>
      <c r="U309" s="2" t="s">
        <v>35</v>
      </c>
      <c r="V309" s="2" t="b">
        <v>0</v>
      </c>
      <c r="W309" s="2" t="s">
        <v>35</v>
      </c>
      <c r="X309" s="2">
        <v>4</v>
      </c>
      <c r="Y309" s="2" t="s">
        <v>35</v>
      </c>
      <c r="Z309" s="2" t="s">
        <v>35</v>
      </c>
    </row>
    <row r="310" spans="1:26" x14ac:dyDescent="0.2">
      <c r="A310" s="2" t="s">
        <v>388</v>
      </c>
      <c r="B310" s="2" t="b">
        <v>0</v>
      </c>
      <c r="C310" s="2" t="b">
        <v>0</v>
      </c>
      <c r="D310" s="2" t="b">
        <v>0</v>
      </c>
      <c r="E310" s="2" t="b">
        <v>0</v>
      </c>
      <c r="F310" s="2" t="s">
        <v>31</v>
      </c>
      <c r="G310" s="2" t="s">
        <v>389</v>
      </c>
      <c r="H310" s="2" t="s">
        <v>390</v>
      </c>
      <c r="I310" s="2" t="s">
        <v>352</v>
      </c>
      <c r="J310" s="2" t="s">
        <v>35</v>
      </c>
      <c r="K310" s="2" t="s">
        <v>35</v>
      </c>
      <c r="L310" s="2" t="s">
        <v>35</v>
      </c>
      <c r="M310" s="2" t="s">
        <v>35</v>
      </c>
      <c r="N310" s="3">
        <v>44735.48886164352</v>
      </c>
      <c r="O310" s="3">
        <v>44735.48913008102</v>
      </c>
      <c r="P310" s="2">
        <v>0</v>
      </c>
      <c r="Q310" s="2" t="s">
        <v>124</v>
      </c>
      <c r="R310" s="2" t="s">
        <v>38</v>
      </c>
      <c r="S310" s="2" t="s">
        <v>35</v>
      </c>
      <c r="T310" s="2" t="s">
        <v>35</v>
      </c>
      <c r="U310" s="2" t="s">
        <v>35</v>
      </c>
      <c r="V310" s="2" t="b">
        <v>0</v>
      </c>
      <c r="W310" s="2" t="s">
        <v>35</v>
      </c>
      <c r="X310" s="2">
        <v>4</v>
      </c>
      <c r="Y310" s="2" t="s">
        <v>35</v>
      </c>
      <c r="Z310" s="2" t="s">
        <v>35</v>
      </c>
    </row>
    <row r="311" spans="1:26" x14ac:dyDescent="0.2">
      <c r="A311" s="2" t="s">
        <v>391</v>
      </c>
      <c r="B311" s="2" t="b">
        <v>0</v>
      </c>
      <c r="C311" s="2" t="b">
        <v>0</v>
      </c>
      <c r="D311" s="2" t="b">
        <v>0</v>
      </c>
      <c r="E311" s="2" t="b">
        <v>0</v>
      </c>
      <c r="F311" s="2" t="s">
        <v>31</v>
      </c>
      <c r="G311" s="2" t="s">
        <v>392</v>
      </c>
      <c r="H311" s="2" t="s">
        <v>393</v>
      </c>
      <c r="I311" s="2" t="s">
        <v>35</v>
      </c>
      <c r="J311" s="2" t="s">
        <v>35</v>
      </c>
      <c r="K311" s="2" t="s">
        <v>35</v>
      </c>
      <c r="L311" s="2" t="s">
        <v>35</v>
      </c>
      <c r="M311" s="2" t="s">
        <v>35</v>
      </c>
      <c r="N311" s="3">
        <v>44735.490283506944</v>
      </c>
      <c r="O311" s="3">
        <v>44735.490491331017</v>
      </c>
      <c r="P311" s="2">
        <v>0</v>
      </c>
      <c r="Q311" s="2" t="s">
        <v>36</v>
      </c>
      <c r="R311" s="2" t="s">
        <v>38</v>
      </c>
      <c r="S311" s="2" t="s">
        <v>35</v>
      </c>
      <c r="T311" s="2" t="s">
        <v>35</v>
      </c>
      <c r="U311" s="2" t="s">
        <v>35</v>
      </c>
      <c r="V311" s="2" t="b">
        <v>0</v>
      </c>
      <c r="W311" s="2" t="s">
        <v>35</v>
      </c>
      <c r="X311" s="2" t="s">
        <v>35</v>
      </c>
      <c r="Y311" s="2" t="s">
        <v>35</v>
      </c>
      <c r="Z311" s="2">
        <v>3</v>
      </c>
    </row>
    <row r="312" spans="1:26" x14ac:dyDescent="0.2">
      <c r="A312" s="2" t="s">
        <v>394</v>
      </c>
      <c r="B312" s="2" t="b">
        <v>0</v>
      </c>
      <c r="C312" s="2" t="b">
        <v>0</v>
      </c>
      <c r="D312" s="2" t="b">
        <v>0</v>
      </c>
      <c r="E312" s="2" t="b">
        <v>0</v>
      </c>
      <c r="F312" s="2" t="s">
        <v>31</v>
      </c>
      <c r="G312" s="2" t="s">
        <v>395</v>
      </c>
      <c r="H312" s="2" t="s">
        <v>396</v>
      </c>
      <c r="I312" s="2" t="s">
        <v>352</v>
      </c>
      <c r="J312" s="2" t="s">
        <v>35</v>
      </c>
      <c r="K312" s="2" t="s">
        <v>35</v>
      </c>
      <c r="L312" s="2" t="s">
        <v>35</v>
      </c>
      <c r="M312" s="2" t="s">
        <v>35</v>
      </c>
      <c r="N312" s="3">
        <v>44735.49069958333</v>
      </c>
      <c r="O312" s="3">
        <v>44735.490988819445</v>
      </c>
      <c r="P312" s="2">
        <v>0</v>
      </c>
      <c r="Q312" s="2" t="s">
        <v>124</v>
      </c>
      <c r="R312" s="2" t="s">
        <v>38</v>
      </c>
      <c r="S312" s="2" t="s">
        <v>35</v>
      </c>
      <c r="T312" s="2" t="s">
        <v>35</v>
      </c>
      <c r="U312" s="2" t="s">
        <v>35</v>
      </c>
      <c r="V312" s="2" t="b">
        <v>0</v>
      </c>
      <c r="W312" s="2" t="s">
        <v>35</v>
      </c>
      <c r="X312" s="2">
        <v>4</v>
      </c>
      <c r="Y312" s="2" t="s">
        <v>35</v>
      </c>
      <c r="Z312" s="2" t="s">
        <v>35</v>
      </c>
    </row>
    <row r="313" spans="1:26" x14ac:dyDescent="0.2">
      <c r="A313" s="2" t="s">
        <v>397</v>
      </c>
      <c r="B313" s="2" t="b">
        <v>0</v>
      </c>
      <c r="C313" s="2" t="b">
        <v>0</v>
      </c>
      <c r="D313" s="2" t="b">
        <v>0</v>
      </c>
      <c r="E313" s="2" t="b">
        <v>0</v>
      </c>
      <c r="F313" s="2" t="s">
        <v>31</v>
      </c>
      <c r="G313" s="2" t="s">
        <v>398</v>
      </c>
      <c r="H313" s="2" t="s">
        <v>399</v>
      </c>
      <c r="I313" s="2" t="s">
        <v>352</v>
      </c>
      <c r="J313" s="2" t="s">
        <v>35</v>
      </c>
      <c r="K313" s="2" t="s">
        <v>35</v>
      </c>
      <c r="L313" s="2" t="s">
        <v>35</v>
      </c>
      <c r="M313" s="2" t="s">
        <v>35</v>
      </c>
      <c r="N313" s="3">
        <v>44735.492309259258</v>
      </c>
      <c r="O313" s="3">
        <v>44735.492494999999</v>
      </c>
      <c r="P313" s="2">
        <v>0</v>
      </c>
      <c r="Q313" s="2" t="s">
        <v>124</v>
      </c>
      <c r="R313" s="2" t="s">
        <v>38</v>
      </c>
      <c r="S313" s="2" t="s">
        <v>35</v>
      </c>
      <c r="T313" s="2" t="s">
        <v>35</v>
      </c>
      <c r="U313" s="2" t="s">
        <v>35</v>
      </c>
      <c r="V313" s="2" t="b">
        <v>0</v>
      </c>
      <c r="W313" s="2" t="s">
        <v>35</v>
      </c>
      <c r="X313" s="2">
        <v>4</v>
      </c>
      <c r="Y313" s="2" t="s">
        <v>35</v>
      </c>
      <c r="Z313" s="2" t="s">
        <v>35</v>
      </c>
    </row>
    <row r="314" spans="1:26" x14ac:dyDescent="0.2">
      <c r="A314" s="2" t="s">
        <v>400</v>
      </c>
      <c r="B314" s="2" t="b">
        <v>0</v>
      </c>
      <c r="C314" s="2" t="b">
        <v>0</v>
      </c>
      <c r="D314" s="2" t="b">
        <v>0</v>
      </c>
      <c r="E314" s="2" t="b">
        <v>0</v>
      </c>
      <c r="F314" s="2" t="s">
        <v>31</v>
      </c>
      <c r="G314" s="2" t="s">
        <v>401</v>
      </c>
      <c r="H314" s="2" t="s">
        <v>402</v>
      </c>
      <c r="I314" s="2" t="s">
        <v>35</v>
      </c>
      <c r="J314" s="2" t="s">
        <v>35</v>
      </c>
      <c r="K314" s="2" t="s">
        <v>35</v>
      </c>
      <c r="L314" s="2" t="s">
        <v>35</v>
      </c>
      <c r="M314" s="2" t="s">
        <v>35</v>
      </c>
      <c r="N314" s="3">
        <v>44735.493483333332</v>
      </c>
      <c r="O314" s="3">
        <v>44735.493831689811</v>
      </c>
      <c r="P314" s="2">
        <v>0</v>
      </c>
      <c r="Q314" s="2" t="s">
        <v>36</v>
      </c>
      <c r="R314" s="2" t="s">
        <v>38</v>
      </c>
      <c r="S314" s="2" t="s">
        <v>35</v>
      </c>
      <c r="T314" s="2" t="s">
        <v>35</v>
      </c>
      <c r="U314" s="2" t="s">
        <v>35</v>
      </c>
      <c r="V314" s="2" t="b">
        <v>0</v>
      </c>
      <c r="W314" s="2" t="s">
        <v>35</v>
      </c>
      <c r="X314" s="2" t="s">
        <v>35</v>
      </c>
      <c r="Y314" s="2" t="s">
        <v>35</v>
      </c>
      <c r="Z314" s="2">
        <v>5</v>
      </c>
    </row>
    <row r="315" spans="1:26" x14ac:dyDescent="0.2">
      <c r="A315" s="2" t="s">
        <v>403</v>
      </c>
      <c r="B315" s="2" t="b">
        <v>0</v>
      </c>
      <c r="C315" s="2" t="b">
        <v>0</v>
      </c>
      <c r="D315" s="2" t="b">
        <v>0</v>
      </c>
      <c r="E315" s="2" t="b">
        <v>0</v>
      </c>
      <c r="F315" s="2" t="s">
        <v>31</v>
      </c>
      <c r="G315" s="2" t="s">
        <v>404</v>
      </c>
      <c r="H315" s="2" t="s">
        <v>405</v>
      </c>
      <c r="I315" s="2" t="s">
        <v>352</v>
      </c>
      <c r="J315" s="2" t="s">
        <v>35</v>
      </c>
      <c r="K315" s="2" t="s">
        <v>35</v>
      </c>
      <c r="L315" s="2" t="s">
        <v>35</v>
      </c>
      <c r="M315" s="2" t="s">
        <v>35</v>
      </c>
      <c r="N315" s="3">
        <v>44735.494435601853</v>
      </c>
      <c r="O315" s="3">
        <v>44735.494794432867</v>
      </c>
      <c r="P315" s="2">
        <v>0</v>
      </c>
      <c r="Q315" s="2" t="s">
        <v>124</v>
      </c>
      <c r="R315" s="2" t="s">
        <v>38</v>
      </c>
      <c r="S315" s="2" t="s">
        <v>35</v>
      </c>
      <c r="T315" s="2" t="s">
        <v>35</v>
      </c>
      <c r="U315" s="2" t="s">
        <v>35</v>
      </c>
      <c r="V315" s="2" t="b">
        <v>0</v>
      </c>
      <c r="W315" s="2" t="s">
        <v>35</v>
      </c>
      <c r="X315" s="2">
        <v>4</v>
      </c>
      <c r="Y315" s="2" t="s">
        <v>35</v>
      </c>
      <c r="Z315" s="2" t="s">
        <v>35</v>
      </c>
    </row>
    <row r="316" spans="1:26" x14ac:dyDescent="0.2">
      <c r="A316" s="2" t="s">
        <v>406</v>
      </c>
      <c r="B316" s="2" t="b">
        <v>0</v>
      </c>
      <c r="C316" s="2" t="b">
        <v>0</v>
      </c>
      <c r="D316" s="2" t="b">
        <v>0</v>
      </c>
      <c r="E316" s="2" t="b">
        <v>0</v>
      </c>
      <c r="F316" s="2" t="s">
        <v>31</v>
      </c>
      <c r="G316" s="2" t="s">
        <v>407</v>
      </c>
      <c r="H316" s="2" t="s">
        <v>408</v>
      </c>
      <c r="I316" s="2" t="s">
        <v>352</v>
      </c>
      <c r="J316" s="2" t="s">
        <v>35</v>
      </c>
      <c r="K316" s="2" t="s">
        <v>35</v>
      </c>
      <c r="L316" s="2" t="s">
        <v>35</v>
      </c>
      <c r="M316" s="2" t="s">
        <v>35</v>
      </c>
      <c r="N316" s="3">
        <v>44735.500955833333</v>
      </c>
      <c r="O316" s="3">
        <v>44735.501290752312</v>
      </c>
      <c r="P316" s="2">
        <v>0</v>
      </c>
      <c r="Q316" s="2" t="s">
        <v>124</v>
      </c>
      <c r="R316" s="2" t="s">
        <v>38</v>
      </c>
      <c r="S316" s="2" t="s">
        <v>35</v>
      </c>
      <c r="T316" s="2" t="s">
        <v>35</v>
      </c>
      <c r="U316" s="2" t="s">
        <v>35</v>
      </c>
      <c r="V316" s="2" t="b">
        <v>0</v>
      </c>
      <c r="W316" s="2" t="s">
        <v>35</v>
      </c>
      <c r="X316" s="2">
        <v>4</v>
      </c>
      <c r="Y316" s="2" t="s">
        <v>35</v>
      </c>
      <c r="Z316" s="2" t="s">
        <v>35</v>
      </c>
    </row>
    <row r="317" spans="1:26" x14ac:dyDescent="0.2">
      <c r="A317" s="2" t="s">
        <v>409</v>
      </c>
      <c r="B317" s="2" t="b">
        <v>0</v>
      </c>
      <c r="C317" s="2" t="b">
        <v>0</v>
      </c>
      <c r="D317" s="2" t="b">
        <v>0</v>
      </c>
      <c r="E317" s="2" t="b">
        <v>0</v>
      </c>
      <c r="F317" s="2" t="s">
        <v>31</v>
      </c>
      <c r="G317" s="2" t="s">
        <v>410</v>
      </c>
      <c r="H317" s="2" t="s">
        <v>411</v>
      </c>
      <c r="I317" s="2" t="s">
        <v>352</v>
      </c>
      <c r="J317" s="2" t="s">
        <v>35</v>
      </c>
      <c r="K317" s="2" t="s">
        <v>35</v>
      </c>
      <c r="L317" s="2" t="s">
        <v>35</v>
      </c>
      <c r="M317" s="2" t="s">
        <v>35</v>
      </c>
      <c r="N317" s="3">
        <v>44735.502778298614</v>
      </c>
      <c r="O317" s="3">
        <v>44735.5031790625</v>
      </c>
      <c r="P317" s="2">
        <v>0</v>
      </c>
      <c r="Q317" s="2" t="s">
        <v>124</v>
      </c>
      <c r="R317" s="2" t="s">
        <v>38</v>
      </c>
      <c r="S317" s="2" t="s">
        <v>35</v>
      </c>
      <c r="T317" s="2" t="s">
        <v>35</v>
      </c>
      <c r="U317" s="2" t="s">
        <v>35</v>
      </c>
      <c r="V317" s="2" t="b">
        <v>0</v>
      </c>
      <c r="W317" s="2" t="s">
        <v>35</v>
      </c>
      <c r="X317" s="2">
        <v>4</v>
      </c>
      <c r="Y317" s="2" t="s">
        <v>35</v>
      </c>
      <c r="Z317" s="2" t="s">
        <v>35</v>
      </c>
    </row>
    <row r="318" spans="1:26" x14ac:dyDescent="0.2">
      <c r="A318" s="2" t="s">
        <v>412</v>
      </c>
      <c r="B318" s="2" t="b">
        <v>0</v>
      </c>
      <c r="C318" s="2" t="b">
        <v>0</v>
      </c>
      <c r="D318" s="2" t="b">
        <v>0</v>
      </c>
      <c r="E318" s="2" t="b">
        <v>0</v>
      </c>
      <c r="F318" s="2" t="s">
        <v>31</v>
      </c>
      <c r="G318" s="2" t="s">
        <v>413</v>
      </c>
      <c r="H318" s="2" t="s">
        <v>414</v>
      </c>
      <c r="I318" s="2" t="s">
        <v>415</v>
      </c>
      <c r="J318" s="2" t="s">
        <v>35</v>
      </c>
      <c r="K318" s="2" t="s">
        <v>35</v>
      </c>
      <c r="L318" s="2" t="s">
        <v>35</v>
      </c>
      <c r="M318" s="2" t="s">
        <v>35</v>
      </c>
      <c r="N318" s="3">
        <v>44735.503425972223</v>
      </c>
      <c r="O318" s="3">
        <v>44735.503838611112</v>
      </c>
      <c r="P318" s="2">
        <v>0</v>
      </c>
      <c r="Q318" s="2" t="s">
        <v>416</v>
      </c>
      <c r="R318" s="2" t="s">
        <v>38</v>
      </c>
      <c r="S318" s="2" t="s">
        <v>35</v>
      </c>
      <c r="T318" s="2">
        <v>0</v>
      </c>
      <c r="U318" s="2" t="s">
        <v>228</v>
      </c>
      <c r="V318" s="2" t="b">
        <v>0</v>
      </c>
      <c r="W318" s="2" t="s">
        <v>35</v>
      </c>
      <c r="X318" s="2" t="s">
        <v>35</v>
      </c>
      <c r="Y318" s="2" t="s">
        <v>35</v>
      </c>
      <c r="Z318" s="2" t="s">
        <v>35</v>
      </c>
    </row>
    <row r="319" spans="1:26" x14ac:dyDescent="0.2">
      <c r="A319" s="2" t="s">
        <v>418</v>
      </c>
      <c r="B319" s="2" t="b">
        <v>0</v>
      </c>
      <c r="C319" s="2" t="b">
        <v>0</v>
      </c>
      <c r="D319" s="2" t="b">
        <v>0</v>
      </c>
      <c r="E319" s="2" t="b">
        <v>0</v>
      </c>
      <c r="F319" s="2" t="s">
        <v>31</v>
      </c>
      <c r="G319" s="2" t="s">
        <v>419</v>
      </c>
      <c r="H319" s="2" t="s">
        <v>420</v>
      </c>
      <c r="I319" s="2" t="s">
        <v>35</v>
      </c>
      <c r="J319" s="2" t="s">
        <v>35</v>
      </c>
      <c r="K319" s="2" t="s">
        <v>35</v>
      </c>
      <c r="L319" s="2">
        <v>8</v>
      </c>
      <c r="M319" s="2">
        <v>5</v>
      </c>
      <c r="N319" s="3">
        <v>44735.503993009261</v>
      </c>
      <c r="O319" s="3">
        <v>44735.504813692132</v>
      </c>
      <c r="P319" s="2">
        <v>0</v>
      </c>
      <c r="Q319" s="2" t="s">
        <v>54</v>
      </c>
      <c r="R319" s="2" t="s">
        <v>38</v>
      </c>
      <c r="S319" s="2" t="s">
        <v>35</v>
      </c>
      <c r="T319" s="2" t="s">
        <v>35</v>
      </c>
      <c r="U319" s="2" t="s">
        <v>35</v>
      </c>
      <c r="V319" s="2" t="b">
        <v>1</v>
      </c>
      <c r="W319" s="2" t="s">
        <v>35</v>
      </c>
      <c r="X319" s="2" t="s">
        <v>35</v>
      </c>
      <c r="Y319" s="2" t="s">
        <v>35</v>
      </c>
      <c r="Z319" s="2" t="s">
        <v>35</v>
      </c>
    </row>
    <row r="320" spans="1:26" x14ac:dyDescent="0.2">
      <c r="A320" s="2" t="s">
        <v>421</v>
      </c>
      <c r="B320" s="2" t="b">
        <v>0</v>
      </c>
      <c r="C320" s="2" t="b">
        <v>0</v>
      </c>
      <c r="D320" s="2" t="b">
        <v>0</v>
      </c>
      <c r="E320" s="2" t="b">
        <v>0</v>
      </c>
      <c r="F320" s="2" t="s">
        <v>31</v>
      </c>
      <c r="G320" s="2" t="s">
        <v>422</v>
      </c>
      <c r="H320" s="2" t="s">
        <v>423</v>
      </c>
      <c r="I320" s="2" t="s">
        <v>35</v>
      </c>
      <c r="J320" s="2" t="s">
        <v>35</v>
      </c>
      <c r="K320" s="2" t="s">
        <v>35</v>
      </c>
      <c r="L320" s="2" t="s">
        <v>35</v>
      </c>
      <c r="M320" s="2" t="s">
        <v>35</v>
      </c>
      <c r="N320" s="3">
        <v>44735.504870497687</v>
      </c>
      <c r="O320" s="3">
        <v>44735.506299884262</v>
      </c>
      <c r="P320" s="2">
        <v>0</v>
      </c>
      <c r="Q320" s="2" t="s">
        <v>36</v>
      </c>
      <c r="R320" s="2" t="s">
        <v>38</v>
      </c>
      <c r="S320" s="2" t="s">
        <v>35</v>
      </c>
      <c r="T320" s="2" t="s">
        <v>35</v>
      </c>
      <c r="U320" s="2" t="s">
        <v>35</v>
      </c>
      <c r="V320" s="2" t="b">
        <v>0</v>
      </c>
      <c r="W320" s="2" t="s">
        <v>35</v>
      </c>
      <c r="X320" s="2" t="s">
        <v>35</v>
      </c>
      <c r="Y320" s="2">
        <v>6</v>
      </c>
      <c r="Z320" s="2">
        <v>5</v>
      </c>
    </row>
    <row r="321" spans="1:26" x14ac:dyDescent="0.2">
      <c r="A321" s="2" t="s">
        <v>424</v>
      </c>
      <c r="B321" s="2" t="b">
        <v>0</v>
      </c>
      <c r="C321" s="2" t="b">
        <v>0</v>
      </c>
      <c r="D321" s="2" t="b">
        <v>0</v>
      </c>
      <c r="E321" s="2" t="b">
        <v>0</v>
      </c>
      <c r="F321" s="2" t="s">
        <v>31</v>
      </c>
      <c r="G321" s="2" t="s">
        <v>149</v>
      </c>
      <c r="H321" s="2" t="s">
        <v>425</v>
      </c>
      <c r="I321" s="2" t="s">
        <v>35</v>
      </c>
      <c r="J321" s="2" t="s">
        <v>35</v>
      </c>
      <c r="K321" s="2" t="s">
        <v>35</v>
      </c>
      <c r="L321" s="2">
        <v>20</v>
      </c>
      <c r="M321" s="2">
        <v>15</v>
      </c>
      <c r="N321" s="3">
        <v>44735.507324050923</v>
      </c>
      <c r="O321" s="3">
        <v>44735.507817569443</v>
      </c>
      <c r="P321" s="2">
        <v>0</v>
      </c>
      <c r="Q321" s="2" t="s">
        <v>54</v>
      </c>
      <c r="R321" s="2" t="s">
        <v>38</v>
      </c>
      <c r="S321" s="2" t="s">
        <v>35</v>
      </c>
      <c r="T321" s="2" t="s">
        <v>35</v>
      </c>
      <c r="U321" s="2" t="s">
        <v>35</v>
      </c>
      <c r="V321" s="2" t="b">
        <v>0</v>
      </c>
      <c r="W321" s="2" t="s">
        <v>35</v>
      </c>
      <c r="X321" s="2" t="s">
        <v>35</v>
      </c>
      <c r="Y321" s="2" t="s">
        <v>35</v>
      </c>
      <c r="Z321" s="2" t="s">
        <v>35</v>
      </c>
    </row>
    <row r="322" spans="1:26" x14ac:dyDescent="0.2">
      <c r="A322" s="2" t="s">
        <v>426</v>
      </c>
      <c r="B322" s="2" t="b">
        <v>0</v>
      </c>
      <c r="C322" s="2" t="b">
        <v>0</v>
      </c>
      <c r="D322" s="2" t="b">
        <v>0</v>
      </c>
      <c r="E322" s="2" t="b">
        <v>0</v>
      </c>
      <c r="F322" s="2" t="s">
        <v>31</v>
      </c>
      <c r="G322" s="2" t="s">
        <v>427</v>
      </c>
      <c r="H322" s="2" t="s">
        <v>428</v>
      </c>
      <c r="I322" s="2" t="s">
        <v>415</v>
      </c>
      <c r="J322" s="2" t="s">
        <v>35</v>
      </c>
      <c r="K322" s="2" t="s">
        <v>35</v>
      </c>
      <c r="L322" s="2" t="s">
        <v>35</v>
      </c>
      <c r="M322" s="2" t="s">
        <v>35</v>
      </c>
      <c r="N322" s="3">
        <v>44735.507890219909</v>
      </c>
      <c r="O322" s="3">
        <v>44735.508296712964</v>
      </c>
      <c r="P322" s="2">
        <v>0</v>
      </c>
      <c r="Q322" s="2" t="s">
        <v>416</v>
      </c>
      <c r="R322" s="2" t="s">
        <v>38</v>
      </c>
      <c r="S322" s="2" t="s">
        <v>35</v>
      </c>
      <c r="T322" s="2">
        <v>0</v>
      </c>
      <c r="U322" s="2" t="s">
        <v>35</v>
      </c>
      <c r="V322" s="2" t="b">
        <v>0</v>
      </c>
      <c r="W322" s="2" t="s">
        <v>35</v>
      </c>
      <c r="X322" s="2" t="s">
        <v>35</v>
      </c>
      <c r="Y322" s="2" t="s">
        <v>35</v>
      </c>
      <c r="Z322" s="2" t="s">
        <v>35</v>
      </c>
    </row>
    <row r="323" spans="1:26" x14ac:dyDescent="0.2">
      <c r="A323" s="2" t="s">
        <v>429</v>
      </c>
      <c r="B323" s="2" t="b">
        <v>0</v>
      </c>
      <c r="C323" s="2" t="b">
        <v>0</v>
      </c>
      <c r="D323" s="2" t="b">
        <v>0</v>
      </c>
      <c r="E323" s="2" t="b">
        <v>0</v>
      </c>
      <c r="F323" s="2" t="s">
        <v>31</v>
      </c>
      <c r="G323" s="2" t="s">
        <v>430</v>
      </c>
      <c r="H323" s="2" t="s">
        <v>431</v>
      </c>
      <c r="I323" s="2" t="s">
        <v>352</v>
      </c>
      <c r="J323" s="2" t="s">
        <v>35</v>
      </c>
      <c r="K323" s="2" t="s">
        <v>35</v>
      </c>
      <c r="L323" s="2" t="s">
        <v>35</v>
      </c>
      <c r="M323" s="2" t="s">
        <v>35</v>
      </c>
      <c r="N323" s="3">
        <v>44735.508454953706</v>
      </c>
      <c r="O323" s="3">
        <v>44735.508666956019</v>
      </c>
      <c r="P323" s="2">
        <v>0</v>
      </c>
      <c r="Q323" s="2" t="s">
        <v>124</v>
      </c>
      <c r="R323" s="2" t="s">
        <v>38</v>
      </c>
      <c r="S323" s="2" t="s">
        <v>35</v>
      </c>
      <c r="T323" s="2" t="s">
        <v>35</v>
      </c>
      <c r="U323" s="2" t="s">
        <v>35</v>
      </c>
      <c r="V323" s="2" t="b">
        <v>0</v>
      </c>
      <c r="W323" s="2" t="s">
        <v>35</v>
      </c>
      <c r="X323" s="2">
        <v>4</v>
      </c>
      <c r="Y323" s="2" t="s">
        <v>35</v>
      </c>
      <c r="Z323" s="2" t="s">
        <v>35</v>
      </c>
    </row>
    <row r="324" spans="1:26" x14ac:dyDescent="0.2">
      <c r="A324" s="2" t="s">
        <v>432</v>
      </c>
      <c r="B324" s="2" t="b">
        <v>0</v>
      </c>
      <c r="C324" s="2" t="b">
        <v>0</v>
      </c>
      <c r="D324" s="2" t="b">
        <v>0</v>
      </c>
      <c r="E324" s="2" t="b">
        <v>0</v>
      </c>
      <c r="F324" s="2" t="s">
        <v>31</v>
      </c>
      <c r="G324" s="2" t="s">
        <v>433</v>
      </c>
      <c r="H324" s="2" t="s">
        <v>434</v>
      </c>
      <c r="I324" s="2" t="s">
        <v>352</v>
      </c>
      <c r="J324" s="2" t="s">
        <v>35</v>
      </c>
      <c r="K324" s="2" t="s">
        <v>35</v>
      </c>
      <c r="L324" s="2" t="s">
        <v>35</v>
      </c>
      <c r="M324" s="2" t="s">
        <v>35</v>
      </c>
      <c r="N324" s="3">
        <v>44735.509675717592</v>
      </c>
      <c r="O324" s="3">
        <v>44735.509972858796</v>
      </c>
      <c r="P324" s="2">
        <v>0</v>
      </c>
      <c r="Q324" s="2" t="s">
        <v>124</v>
      </c>
      <c r="R324" s="2" t="s">
        <v>38</v>
      </c>
      <c r="S324" s="2" t="s">
        <v>35</v>
      </c>
      <c r="T324" s="2" t="s">
        <v>35</v>
      </c>
      <c r="U324" s="2" t="s">
        <v>35</v>
      </c>
      <c r="V324" s="2" t="b">
        <v>0</v>
      </c>
      <c r="W324" s="2" t="s">
        <v>35</v>
      </c>
      <c r="X324" s="2">
        <v>4</v>
      </c>
      <c r="Y324" s="2" t="s">
        <v>35</v>
      </c>
      <c r="Z324" s="2" t="s">
        <v>35</v>
      </c>
    </row>
    <row r="325" spans="1:26" x14ac:dyDescent="0.2">
      <c r="A325" s="2" t="s">
        <v>435</v>
      </c>
      <c r="B325" s="2" t="b">
        <v>0</v>
      </c>
      <c r="C325" s="2" t="b">
        <v>0</v>
      </c>
      <c r="D325" s="2" t="b">
        <v>0</v>
      </c>
      <c r="E325" s="2" t="b">
        <v>0</v>
      </c>
      <c r="F325" s="2" t="s">
        <v>31</v>
      </c>
      <c r="G325" s="2" t="s">
        <v>436</v>
      </c>
      <c r="H325" s="2" t="s">
        <v>437</v>
      </c>
      <c r="I325" s="2" t="s">
        <v>415</v>
      </c>
      <c r="J325" s="2" t="s">
        <v>35</v>
      </c>
      <c r="K325" s="2" t="s">
        <v>35</v>
      </c>
      <c r="L325" s="2" t="s">
        <v>35</v>
      </c>
      <c r="M325" s="2" t="s">
        <v>35</v>
      </c>
      <c r="N325" s="3">
        <v>44735.510277835645</v>
      </c>
      <c r="O325" s="3">
        <v>44735.510722766201</v>
      </c>
      <c r="P325" s="2">
        <v>0</v>
      </c>
      <c r="Q325" s="2" t="s">
        <v>416</v>
      </c>
      <c r="R325" s="2" t="s">
        <v>38</v>
      </c>
      <c r="S325" s="2" t="s">
        <v>35</v>
      </c>
      <c r="T325" s="2">
        <v>0</v>
      </c>
      <c r="U325" s="2" t="s">
        <v>438</v>
      </c>
      <c r="V325" s="2" t="b">
        <v>0</v>
      </c>
      <c r="W325" s="2" t="s">
        <v>35</v>
      </c>
      <c r="X325" s="2" t="s">
        <v>35</v>
      </c>
      <c r="Y325" s="2" t="s">
        <v>35</v>
      </c>
      <c r="Z325" s="2" t="s">
        <v>35</v>
      </c>
    </row>
    <row r="326" spans="1:26" x14ac:dyDescent="0.2">
      <c r="A326" s="2" t="s">
        <v>439</v>
      </c>
      <c r="B326" s="2" t="b">
        <v>0</v>
      </c>
      <c r="C326" s="2" t="b">
        <v>0</v>
      </c>
      <c r="D326" s="2" t="b">
        <v>0</v>
      </c>
      <c r="E326" s="2" t="b">
        <v>0</v>
      </c>
      <c r="F326" s="2" t="s">
        <v>31</v>
      </c>
      <c r="G326" s="2" t="s">
        <v>440</v>
      </c>
      <c r="H326" s="2" t="s">
        <v>441</v>
      </c>
      <c r="I326" s="2" t="s">
        <v>442</v>
      </c>
      <c r="J326" s="2" t="s">
        <v>35</v>
      </c>
      <c r="K326" s="2" t="s">
        <v>35</v>
      </c>
      <c r="L326" s="2" t="s">
        <v>35</v>
      </c>
      <c r="M326" s="2" t="s">
        <v>35</v>
      </c>
      <c r="N326" s="3">
        <v>44735.511027650464</v>
      </c>
      <c r="O326" s="3">
        <v>44735.511413715278</v>
      </c>
      <c r="P326" s="2">
        <v>0</v>
      </c>
      <c r="Q326" s="2" t="s">
        <v>109</v>
      </c>
      <c r="R326" s="2" t="s">
        <v>38</v>
      </c>
      <c r="S326" s="2" t="s">
        <v>35</v>
      </c>
      <c r="T326" s="2">
        <v>100</v>
      </c>
      <c r="U326" s="2" t="s">
        <v>438</v>
      </c>
      <c r="V326" s="2" t="b">
        <v>0</v>
      </c>
      <c r="W326" s="2" t="s">
        <v>35</v>
      </c>
      <c r="X326" s="2" t="s">
        <v>35</v>
      </c>
      <c r="Y326" s="2" t="s">
        <v>35</v>
      </c>
      <c r="Z326" s="2" t="s">
        <v>35</v>
      </c>
    </row>
    <row r="327" spans="1:26" x14ac:dyDescent="0.2">
      <c r="A327" s="2" t="s">
        <v>443</v>
      </c>
      <c r="B327" s="2" t="b">
        <v>0</v>
      </c>
      <c r="C327" s="2" t="b">
        <v>0</v>
      </c>
      <c r="D327" s="2" t="b">
        <v>0</v>
      </c>
      <c r="E327" s="2" t="b">
        <v>0</v>
      </c>
      <c r="F327" s="2" t="s">
        <v>31</v>
      </c>
      <c r="G327" s="2" t="s">
        <v>444</v>
      </c>
      <c r="H327" s="2" t="s">
        <v>445</v>
      </c>
      <c r="I327" s="2" t="s">
        <v>35</v>
      </c>
      <c r="J327" s="2" t="s">
        <v>35</v>
      </c>
      <c r="K327" s="2" t="s">
        <v>35</v>
      </c>
      <c r="L327" s="2" t="s">
        <v>35</v>
      </c>
      <c r="M327" s="2" t="s">
        <v>35</v>
      </c>
      <c r="N327" s="3">
        <v>44735.511976944443</v>
      </c>
      <c r="O327" s="3">
        <v>44735.512142361113</v>
      </c>
      <c r="P327" s="2">
        <v>0</v>
      </c>
      <c r="Q327" s="2" t="s">
        <v>36</v>
      </c>
      <c r="R327" s="2" t="s">
        <v>38</v>
      </c>
      <c r="S327" s="2" t="s">
        <v>35</v>
      </c>
      <c r="T327" s="2" t="s">
        <v>35</v>
      </c>
      <c r="U327" s="2" t="s">
        <v>35</v>
      </c>
      <c r="V327" s="2" t="b">
        <v>0</v>
      </c>
      <c r="W327" s="2" t="s">
        <v>35</v>
      </c>
      <c r="X327" s="2" t="s">
        <v>35</v>
      </c>
      <c r="Y327" s="2">
        <v>8</v>
      </c>
      <c r="Z327" s="2" t="s">
        <v>35</v>
      </c>
    </row>
    <row r="328" spans="1:26" x14ac:dyDescent="0.2">
      <c r="A328" s="2" t="s">
        <v>446</v>
      </c>
      <c r="B328" s="2" t="b">
        <v>0</v>
      </c>
      <c r="C328" s="2" t="b">
        <v>0</v>
      </c>
      <c r="D328" s="2" t="b">
        <v>0</v>
      </c>
      <c r="E328" s="2" t="b">
        <v>0</v>
      </c>
      <c r="F328" s="2" t="s">
        <v>31</v>
      </c>
      <c r="G328" s="2" t="s">
        <v>447</v>
      </c>
      <c r="H328" s="2" t="s">
        <v>448</v>
      </c>
      <c r="I328" s="2" t="s">
        <v>415</v>
      </c>
      <c r="J328" s="2" t="s">
        <v>35</v>
      </c>
      <c r="K328" s="2" t="s">
        <v>35</v>
      </c>
      <c r="L328" s="2" t="s">
        <v>35</v>
      </c>
      <c r="M328" s="2" t="s">
        <v>35</v>
      </c>
      <c r="N328" s="3">
        <v>44735.515552812503</v>
      </c>
      <c r="O328" s="3">
        <v>44735.515938032404</v>
      </c>
      <c r="P328" s="2">
        <v>0</v>
      </c>
      <c r="Q328" s="2" t="s">
        <v>416</v>
      </c>
      <c r="R328" s="2" t="s">
        <v>38</v>
      </c>
      <c r="S328" s="2" t="s">
        <v>35</v>
      </c>
      <c r="T328" s="2">
        <v>0</v>
      </c>
      <c r="U328" s="2" t="s">
        <v>438</v>
      </c>
      <c r="V328" s="2" t="b">
        <v>0</v>
      </c>
      <c r="W328" s="2" t="s">
        <v>35</v>
      </c>
      <c r="X328" s="2" t="s">
        <v>35</v>
      </c>
      <c r="Y328" s="2" t="s">
        <v>35</v>
      </c>
      <c r="Z328" s="2" t="s">
        <v>35</v>
      </c>
    </row>
    <row r="329" spans="1:26" x14ac:dyDescent="0.2">
      <c r="A329" s="2" t="s">
        <v>449</v>
      </c>
      <c r="B329" s="2" t="b">
        <v>0</v>
      </c>
      <c r="C329" s="2" t="b">
        <v>0</v>
      </c>
      <c r="D329" s="2" t="b">
        <v>0</v>
      </c>
      <c r="E329" s="2" t="b">
        <v>0</v>
      </c>
      <c r="F329" s="2" t="s">
        <v>31</v>
      </c>
      <c r="G329" s="2" t="s">
        <v>450</v>
      </c>
      <c r="H329" s="2" t="s">
        <v>451</v>
      </c>
      <c r="I329" s="2" t="s">
        <v>35</v>
      </c>
      <c r="J329" s="2" t="s">
        <v>35</v>
      </c>
      <c r="K329" s="2" t="s">
        <v>35</v>
      </c>
      <c r="L329" s="2" t="s">
        <v>35</v>
      </c>
      <c r="M329" s="2" t="s">
        <v>35</v>
      </c>
      <c r="N329" s="3">
        <v>44735.516078865738</v>
      </c>
      <c r="O329" s="3">
        <v>44735.516451145835</v>
      </c>
      <c r="P329" s="2">
        <v>0</v>
      </c>
      <c r="Q329" s="2" t="s">
        <v>124</v>
      </c>
      <c r="R329" s="2" t="s">
        <v>38</v>
      </c>
      <c r="S329" s="2" t="s">
        <v>35</v>
      </c>
      <c r="T329" s="2" t="s">
        <v>35</v>
      </c>
      <c r="U329" s="2" t="s">
        <v>35</v>
      </c>
      <c r="V329" s="2" t="b">
        <v>0</v>
      </c>
      <c r="W329" s="2" t="s">
        <v>35</v>
      </c>
      <c r="X329" s="2">
        <v>65</v>
      </c>
      <c r="Y329" s="2" t="s">
        <v>35</v>
      </c>
      <c r="Z329" s="2" t="s">
        <v>35</v>
      </c>
    </row>
    <row r="330" spans="1:26" x14ac:dyDescent="0.2">
      <c r="A330" s="2" t="s">
        <v>452</v>
      </c>
      <c r="B330" s="2" t="b">
        <v>0</v>
      </c>
      <c r="C330" s="2" t="b">
        <v>0</v>
      </c>
      <c r="D330" s="2" t="b">
        <v>0</v>
      </c>
      <c r="E330" s="2" t="b">
        <v>0</v>
      </c>
      <c r="F330" s="2" t="s">
        <v>31</v>
      </c>
      <c r="G330" s="2" t="s">
        <v>453</v>
      </c>
      <c r="H330" s="2" t="s">
        <v>454</v>
      </c>
      <c r="I330" s="2" t="s">
        <v>35</v>
      </c>
      <c r="J330" s="2" t="s">
        <v>35</v>
      </c>
      <c r="K330" s="2" t="s">
        <v>35</v>
      </c>
      <c r="L330" s="2" t="s">
        <v>35</v>
      </c>
      <c r="M330" s="2" t="s">
        <v>35</v>
      </c>
      <c r="N330" s="3">
        <v>44735.516947141201</v>
      </c>
      <c r="O330" s="3">
        <v>44735.517084664352</v>
      </c>
      <c r="P330" s="2">
        <v>0</v>
      </c>
      <c r="Q330" s="2" t="s">
        <v>36</v>
      </c>
      <c r="R330" s="2" t="s">
        <v>38</v>
      </c>
      <c r="S330" s="2" t="s">
        <v>35</v>
      </c>
      <c r="T330" s="2" t="s">
        <v>35</v>
      </c>
      <c r="U330" s="2" t="s">
        <v>35</v>
      </c>
      <c r="V330" s="2" t="b">
        <v>0</v>
      </c>
      <c r="W330" s="2" t="s">
        <v>35</v>
      </c>
      <c r="X330" s="2" t="s">
        <v>35</v>
      </c>
      <c r="Y330" s="2" t="s">
        <v>35</v>
      </c>
      <c r="Z330" s="2">
        <v>3</v>
      </c>
    </row>
    <row r="331" spans="1:26" x14ac:dyDescent="0.2">
      <c r="A331" s="2" t="s">
        <v>455</v>
      </c>
      <c r="B331" s="2" t="b">
        <v>0</v>
      </c>
      <c r="C331" s="2" t="b">
        <v>0</v>
      </c>
      <c r="D331" s="2" t="b">
        <v>0</v>
      </c>
      <c r="E331" s="2" t="b">
        <v>0</v>
      </c>
      <c r="F331" s="2" t="s">
        <v>31</v>
      </c>
      <c r="G331" s="2" t="s">
        <v>456</v>
      </c>
      <c r="H331" s="2" t="s">
        <v>457</v>
      </c>
      <c r="I331" s="2" t="s">
        <v>35</v>
      </c>
      <c r="J331" s="2" t="s">
        <v>35</v>
      </c>
      <c r="K331" s="2" t="s">
        <v>35</v>
      </c>
      <c r="L331" s="2">
        <v>116</v>
      </c>
      <c r="M331" s="2">
        <v>10</v>
      </c>
      <c r="N331" s="3">
        <v>44735.518321736112</v>
      </c>
      <c r="O331" s="3">
        <v>44735.520466296293</v>
      </c>
      <c r="P331" s="2">
        <v>0</v>
      </c>
      <c r="Q331" s="2" t="s">
        <v>54</v>
      </c>
      <c r="R331" s="2" t="s">
        <v>38</v>
      </c>
      <c r="S331" s="2" t="s">
        <v>35</v>
      </c>
      <c r="T331" s="2" t="s">
        <v>35</v>
      </c>
      <c r="U331" s="2" t="s">
        <v>35</v>
      </c>
      <c r="V331" s="2" t="b">
        <v>1</v>
      </c>
      <c r="W331" s="2" t="s">
        <v>35</v>
      </c>
      <c r="X331" s="2" t="s">
        <v>35</v>
      </c>
      <c r="Y331" s="2" t="s">
        <v>35</v>
      </c>
      <c r="Z331" s="2" t="s">
        <v>35</v>
      </c>
    </row>
    <row r="332" spans="1:26" x14ac:dyDescent="0.2">
      <c r="A332" s="2" t="s">
        <v>458</v>
      </c>
      <c r="B332" s="2" t="b">
        <v>0</v>
      </c>
      <c r="C332" s="2" t="b">
        <v>0</v>
      </c>
      <c r="D332" s="2" t="b">
        <v>0</v>
      </c>
      <c r="E332" s="2" t="b">
        <v>0</v>
      </c>
      <c r="F332" s="2" t="s">
        <v>31</v>
      </c>
      <c r="G332" s="2" t="s">
        <v>459</v>
      </c>
      <c r="H332" s="2" t="s">
        <v>460</v>
      </c>
      <c r="I332" s="2" t="s">
        <v>35</v>
      </c>
      <c r="J332" s="2" t="s">
        <v>35</v>
      </c>
      <c r="K332" s="2" t="s">
        <v>35</v>
      </c>
      <c r="L332" s="2">
        <v>25</v>
      </c>
      <c r="M332" s="2">
        <v>14</v>
      </c>
      <c r="N332" s="3">
        <v>44735.520526064814</v>
      </c>
      <c r="O332" s="3">
        <v>44735.521136388888</v>
      </c>
      <c r="P332" s="2">
        <v>0</v>
      </c>
      <c r="Q332" s="2" t="s">
        <v>54</v>
      </c>
      <c r="R332" s="2" t="s">
        <v>38</v>
      </c>
      <c r="S332" s="2" t="s">
        <v>35</v>
      </c>
      <c r="T332" s="2" t="s">
        <v>35</v>
      </c>
      <c r="U332" s="2" t="s">
        <v>35</v>
      </c>
      <c r="V332" s="2" t="b">
        <v>0</v>
      </c>
      <c r="W332" s="2" t="s">
        <v>35</v>
      </c>
      <c r="X332" s="2" t="s">
        <v>35</v>
      </c>
      <c r="Y332" s="2" t="s">
        <v>35</v>
      </c>
      <c r="Z332" s="2" t="s">
        <v>35</v>
      </c>
    </row>
    <row r="333" spans="1:26" x14ac:dyDescent="0.2">
      <c r="A333" s="2" t="s">
        <v>461</v>
      </c>
      <c r="B333" s="2" t="b">
        <v>0</v>
      </c>
      <c r="C333" s="2" t="b">
        <v>0</v>
      </c>
      <c r="D333" s="2" t="b">
        <v>0</v>
      </c>
      <c r="E333" s="2" t="b">
        <v>0</v>
      </c>
      <c r="F333" s="2" t="s">
        <v>31</v>
      </c>
      <c r="G333" s="2" t="s">
        <v>462</v>
      </c>
      <c r="H333" s="2" t="s">
        <v>463</v>
      </c>
      <c r="I333" s="2" t="s">
        <v>35</v>
      </c>
      <c r="J333" s="2" t="s">
        <v>35</v>
      </c>
      <c r="K333" s="2" t="s">
        <v>35</v>
      </c>
      <c r="L333" s="2" t="s">
        <v>35</v>
      </c>
      <c r="M333" s="2" t="s">
        <v>35</v>
      </c>
      <c r="N333" s="3">
        <v>44735.522200555555</v>
      </c>
      <c r="O333" s="3">
        <v>44735.522512048614</v>
      </c>
      <c r="P333" s="2">
        <v>0</v>
      </c>
      <c r="Q333" s="2" t="s">
        <v>36</v>
      </c>
      <c r="R333" s="2" t="s">
        <v>38</v>
      </c>
      <c r="S333" s="2" t="s">
        <v>35</v>
      </c>
      <c r="T333" s="2" t="s">
        <v>35</v>
      </c>
      <c r="U333" s="2" t="s">
        <v>35</v>
      </c>
      <c r="V333" s="2" t="b">
        <v>0</v>
      </c>
      <c r="W333" s="2" t="s">
        <v>35</v>
      </c>
      <c r="X333" s="2" t="s">
        <v>35</v>
      </c>
      <c r="Y333" s="2">
        <v>13</v>
      </c>
      <c r="Z333" s="2" t="s">
        <v>35</v>
      </c>
    </row>
    <row r="334" spans="1:26" x14ac:dyDescent="0.2">
      <c r="A334" s="2" t="s">
        <v>464</v>
      </c>
      <c r="B334" s="2" t="b">
        <v>0</v>
      </c>
      <c r="C334" s="2" t="b">
        <v>0</v>
      </c>
      <c r="D334" s="2" t="b">
        <v>0</v>
      </c>
      <c r="E334" s="2" t="b">
        <v>0</v>
      </c>
      <c r="F334" s="2" t="s">
        <v>31</v>
      </c>
      <c r="G334" s="2" t="s">
        <v>465</v>
      </c>
      <c r="H334" s="2" t="s">
        <v>466</v>
      </c>
      <c r="I334" s="2" t="s">
        <v>442</v>
      </c>
      <c r="J334" s="2" t="s">
        <v>35</v>
      </c>
      <c r="K334" s="2" t="s">
        <v>35</v>
      </c>
      <c r="L334" s="2" t="s">
        <v>35</v>
      </c>
      <c r="M334" s="2" t="s">
        <v>35</v>
      </c>
      <c r="N334" s="3">
        <v>44735.52677715278</v>
      </c>
      <c r="O334" s="3">
        <v>44735.527342476853</v>
      </c>
      <c r="P334" s="2">
        <v>0</v>
      </c>
      <c r="Q334" s="2" t="s">
        <v>416</v>
      </c>
      <c r="R334" s="2" t="s">
        <v>38</v>
      </c>
      <c r="S334" s="2" t="s">
        <v>35</v>
      </c>
      <c r="T334" s="2">
        <v>55</v>
      </c>
      <c r="U334" s="2" t="s">
        <v>438</v>
      </c>
      <c r="V334" s="2" t="b">
        <v>0</v>
      </c>
      <c r="W334" s="2" t="s">
        <v>35</v>
      </c>
      <c r="X334" s="2" t="s">
        <v>35</v>
      </c>
      <c r="Y334" s="2" t="s">
        <v>35</v>
      </c>
      <c r="Z334" s="2" t="s">
        <v>35</v>
      </c>
    </row>
    <row r="335" spans="1:26" x14ac:dyDescent="0.2">
      <c r="A335" s="2" t="s">
        <v>467</v>
      </c>
      <c r="B335" s="2" t="b">
        <v>0</v>
      </c>
      <c r="C335" s="2" t="b">
        <v>0</v>
      </c>
      <c r="D335" s="2" t="b">
        <v>0</v>
      </c>
      <c r="E335" s="2" t="b">
        <v>0</v>
      </c>
      <c r="F335" s="2" t="s">
        <v>31</v>
      </c>
      <c r="G335" s="2" t="s">
        <v>149</v>
      </c>
      <c r="H335" s="2" t="s">
        <v>468</v>
      </c>
      <c r="I335" s="2" t="s">
        <v>35</v>
      </c>
      <c r="J335" s="2" t="s">
        <v>35</v>
      </c>
      <c r="K335" s="2" t="s">
        <v>35</v>
      </c>
      <c r="L335" s="2">
        <v>10</v>
      </c>
      <c r="M335" s="2">
        <v>15</v>
      </c>
      <c r="N335" s="3">
        <v>44735.527854201391</v>
      </c>
      <c r="O335" s="3">
        <v>44735.528068622683</v>
      </c>
      <c r="P335" s="2">
        <v>0</v>
      </c>
      <c r="Q335" s="2" t="s">
        <v>54</v>
      </c>
      <c r="R335" s="2" t="s">
        <v>38</v>
      </c>
      <c r="S335" s="2" t="s">
        <v>35</v>
      </c>
      <c r="T335" s="2" t="s">
        <v>35</v>
      </c>
      <c r="U335" s="2" t="s">
        <v>35</v>
      </c>
      <c r="V335" s="2" t="b">
        <v>0</v>
      </c>
      <c r="W335" s="2" t="s">
        <v>35</v>
      </c>
      <c r="X335" s="2" t="s">
        <v>35</v>
      </c>
      <c r="Y335" s="2" t="s">
        <v>35</v>
      </c>
      <c r="Z335" s="2" t="s">
        <v>35</v>
      </c>
    </row>
    <row r="336" spans="1:26" x14ac:dyDescent="0.2">
      <c r="A336" s="2" t="s">
        <v>469</v>
      </c>
      <c r="B336" s="2" t="b">
        <v>0</v>
      </c>
      <c r="C336" s="2" t="b">
        <v>0</v>
      </c>
      <c r="D336" s="2" t="b">
        <v>0</v>
      </c>
      <c r="E336" s="2" t="b">
        <v>0</v>
      </c>
      <c r="F336" s="2" t="s">
        <v>31</v>
      </c>
      <c r="G336" s="2" t="s">
        <v>470</v>
      </c>
      <c r="H336" s="2" t="s">
        <v>471</v>
      </c>
      <c r="I336" s="2" t="s">
        <v>35</v>
      </c>
      <c r="J336" s="2" t="s">
        <v>35</v>
      </c>
      <c r="K336" s="2" t="s">
        <v>35</v>
      </c>
      <c r="L336" s="2" t="s">
        <v>35</v>
      </c>
      <c r="M336" s="2" t="s">
        <v>35</v>
      </c>
      <c r="N336" s="3">
        <v>44735.528627766202</v>
      </c>
      <c r="O336" s="3">
        <v>44735.52891108796</v>
      </c>
      <c r="P336" s="2">
        <v>0</v>
      </c>
      <c r="Q336" s="2" t="s">
        <v>36</v>
      </c>
      <c r="R336" s="2" t="s">
        <v>38</v>
      </c>
      <c r="S336" s="2" t="s">
        <v>35</v>
      </c>
      <c r="T336" s="2" t="s">
        <v>35</v>
      </c>
      <c r="U336" s="2" t="s">
        <v>35</v>
      </c>
      <c r="V336" s="2" t="b">
        <v>0</v>
      </c>
      <c r="W336" s="2" t="s">
        <v>35</v>
      </c>
      <c r="X336" s="2" t="s">
        <v>35</v>
      </c>
      <c r="Y336" s="2">
        <v>7</v>
      </c>
      <c r="Z336" s="2" t="s">
        <v>35</v>
      </c>
    </row>
    <row r="337" spans="1:26" x14ac:dyDescent="0.2">
      <c r="A337" s="2" t="s">
        <v>472</v>
      </c>
      <c r="B337" s="2" t="b">
        <v>0</v>
      </c>
      <c r="C337" s="2" t="b">
        <v>0</v>
      </c>
      <c r="D337" s="2" t="b">
        <v>0</v>
      </c>
      <c r="E337" s="2" t="b">
        <v>0</v>
      </c>
      <c r="F337" s="2" t="s">
        <v>31</v>
      </c>
      <c r="G337" s="2" t="s">
        <v>473</v>
      </c>
      <c r="H337" s="2" t="s">
        <v>474</v>
      </c>
      <c r="I337" s="2" t="s">
        <v>475</v>
      </c>
      <c r="J337" s="2" t="s">
        <v>35</v>
      </c>
      <c r="K337" s="2" t="s">
        <v>35</v>
      </c>
      <c r="L337" s="2" t="s">
        <v>35</v>
      </c>
      <c r="M337" s="2" t="s">
        <v>35</v>
      </c>
      <c r="N337" s="3">
        <v>44735.52940097222</v>
      </c>
      <c r="O337" s="3">
        <v>44735.53016415509</v>
      </c>
      <c r="P337" s="2">
        <v>0</v>
      </c>
      <c r="Q337" s="2" t="s">
        <v>109</v>
      </c>
      <c r="R337" s="2" t="s">
        <v>38</v>
      </c>
      <c r="S337" s="2" t="s">
        <v>35</v>
      </c>
      <c r="T337" s="2">
        <v>80</v>
      </c>
      <c r="U337" s="2" t="s">
        <v>438</v>
      </c>
      <c r="V337" s="2" t="b">
        <v>0</v>
      </c>
      <c r="W337" s="2" t="s">
        <v>35</v>
      </c>
      <c r="X337" s="2" t="s">
        <v>35</v>
      </c>
      <c r="Y337" s="2" t="s">
        <v>35</v>
      </c>
      <c r="Z337" s="2" t="s">
        <v>35</v>
      </c>
    </row>
    <row r="338" spans="1:26" x14ac:dyDescent="0.2">
      <c r="A338" s="2" t="s">
        <v>476</v>
      </c>
      <c r="B338" s="2" t="b">
        <v>0</v>
      </c>
      <c r="C338" s="2" t="b">
        <v>0</v>
      </c>
      <c r="D338" s="2" t="b">
        <v>0</v>
      </c>
      <c r="E338" s="2" t="b">
        <v>0</v>
      </c>
      <c r="F338" s="2" t="s">
        <v>31</v>
      </c>
      <c r="G338" s="2" t="s">
        <v>477</v>
      </c>
      <c r="H338" s="2" t="s">
        <v>478</v>
      </c>
      <c r="I338" s="2" t="s">
        <v>479</v>
      </c>
      <c r="J338" s="2" t="s">
        <v>35</v>
      </c>
      <c r="K338" s="2" t="s">
        <v>35</v>
      </c>
      <c r="L338" s="2" t="s">
        <v>35</v>
      </c>
      <c r="M338" s="2" t="s">
        <v>35</v>
      </c>
      <c r="N338" s="3">
        <v>44735.530819224536</v>
      </c>
      <c r="O338" s="3">
        <v>44735.531538368057</v>
      </c>
      <c r="P338" s="2">
        <v>0</v>
      </c>
      <c r="Q338" s="2" t="s">
        <v>109</v>
      </c>
      <c r="R338" s="2" t="s">
        <v>38</v>
      </c>
      <c r="S338" s="2" t="s">
        <v>35</v>
      </c>
      <c r="T338" s="2">
        <v>90</v>
      </c>
      <c r="U338" s="2" t="s">
        <v>438</v>
      </c>
      <c r="V338" s="2" t="b">
        <v>0</v>
      </c>
      <c r="W338" s="2" t="s">
        <v>35</v>
      </c>
      <c r="X338" s="2" t="s">
        <v>35</v>
      </c>
      <c r="Y338" s="2" t="s">
        <v>35</v>
      </c>
      <c r="Z338" s="2" t="s">
        <v>35</v>
      </c>
    </row>
    <row r="339" spans="1:26" x14ac:dyDescent="0.2">
      <c r="A339" s="2" t="s">
        <v>480</v>
      </c>
      <c r="B339" s="2" t="b">
        <v>0</v>
      </c>
      <c r="C339" s="2" t="b">
        <v>0</v>
      </c>
      <c r="D339" s="2" t="b">
        <v>0</v>
      </c>
      <c r="E339" s="2" t="b">
        <v>0</v>
      </c>
      <c r="F339" s="2" t="s">
        <v>31</v>
      </c>
      <c r="G339" s="2" t="s">
        <v>481</v>
      </c>
      <c r="H339" s="2" t="s">
        <v>482</v>
      </c>
      <c r="I339" s="2" t="s">
        <v>35</v>
      </c>
      <c r="J339" s="2" t="s">
        <v>35</v>
      </c>
      <c r="K339" s="2" t="s">
        <v>35</v>
      </c>
      <c r="L339" s="2">
        <v>33</v>
      </c>
      <c r="M339" s="2">
        <v>14</v>
      </c>
      <c r="N339" s="3">
        <v>44735.534803171293</v>
      </c>
      <c r="O339" s="3">
        <v>44735.53550395833</v>
      </c>
      <c r="P339" s="2">
        <v>0</v>
      </c>
      <c r="Q339" s="2" t="s">
        <v>54</v>
      </c>
      <c r="R339" s="2" t="s">
        <v>38</v>
      </c>
      <c r="S339" s="2" t="s">
        <v>35</v>
      </c>
      <c r="T339" s="2" t="s">
        <v>35</v>
      </c>
      <c r="U339" s="2" t="s">
        <v>35</v>
      </c>
      <c r="V339" s="2" t="b">
        <v>0</v>
      </c>
      <c r="W339" s="2" t="s">
        <v>35</v>
      </c>
      <c r="X339" s="2" t="s">
        <v>35</v>
      </c>
      <c r="Y339" s="2" t="s">
        <v>35</v>
      </c>
      <c r="Z339" s="2" t="s">
        <v>35</v>
      </c>
    </row>
    <row r="340" spans="1:26" x14ac:dyDescent="0.2">
      <c r="A340" s="2" t="s">
        <v>483</v>
      </c>
      <c r="B340" s="2" t="b">
        <v>0</v>
      </c>
      <c r="C340" s="2" t="b">
        <v>0</v>
      </c>
      <c r="D340" s="2" t="b">
        <v>0</v>
      </c>
      <c r="E340" s="2" t="b">
        <v>0</v>
      </c>
      <c r="F340" s="2" t="s">
        <v>31</v>
      </c>
      <c r="G340" s="2" t="s">
        <v>484</v>
      </c>
      <c r="H340" s="2" t="s">
        <v>485</v>
      </c>
      <c r="I340" s="2" t="s">
        <v>35</v>
      </c>
      <c r="J340" s="2" t="s">
        <v>35</v>
      </c>
      <c r="K340" s="2" t="s">
        <v>35</v>
      </c>
      <c r="L340" s="2">
        <v>5</v>
      </c>
      <c r="M340" s="2">
        <v>15</v>
      </c>
      <c r="N340" s="3">
        <v>44735.535563414349</v>
      </c>
      <c r="O340" s="3">
        <v>44735.535874212961</v>
      </c>
      <c r="P340" s="2">
        <v>0</v>
      </c>
      <c r="Q340" s="2" t="s">
        <v>54</v>
      </c>
      <c r="R340" s="2" t="s">
        <v>38</v>
      </c>
      <c r="S340" s="2" t="s">
        <v>35</v>
      </c>
      <c r="T340" s="2" t="s">
        <v>35</v>
      </c>
      <c r="U340" s="2" t="s">
        <v>35</v>
      </c>
      <c r="V340" s="2" t="b">
        <v>0</v>
      </c>
      <c r="W340" s="2" t="s">
        <v>35</v>
      </c>
      <c r="X340" s="2" t="s">
        <v>35</v>
      </c>
      <c r="Y340" s="2" t="s">
        <v>35</v>
      </c>
      <c r="Z340" s="2" t="s">
        <v>35</v>
      </c>
    </row>
    <row r="341" spans="1:26" x14ac:dyDescent="0.2">
      <c r="A341" s="2" t="s">
        <v>486</v>
      </c>
      <c r="B341" s="2" t="b">
        <v>0</v>
      </c>
      <c r="C341" s="2" t="b">
        <v>0</v>
      </c>
      <c r="D341" s="2" t="b">
        <v>0</v>
      </c>
      <c r="E341" s="2" t="b">
        <v>0</v>
      </c>
      <c r="F341" s="2" t="s">
        <v>31</v>
      </c>
      <c r="G341" s="2" t="s">
        <v>487</v>
      </c>
      <c r="H341" s="2" t="s">
        <v>488</v>
      </c>
      <c r="I341" s="2" t="s">
        <v>352</v>
      </c>
      <c r="J341" s="2" t="s">
        <v>35</v>
      </c>
      <c r="K341" s="2" t="s">
        <v>35</v>
      </c>
      <c r="L341" s="2" t="s">
        <v>35</v>
      </c>
      <c r="M341" s="2" t="s">
        <v>35</v>
      </c>
      <c r="N341" s="3">
        <v>44735.53630310185</v>
      </c>
      <c r="O341" s="3">
        <v>44735.53664082176</v>
      </c>
      <c r="P341" s="2">
        <v>0</v>
      </c>
      <c r="Q341" s="2" t="s">
        <v>124</v>
      </c>
      <c r="R341" s="2" t="s">
        <v>38</v>
      </c>
      <c r="S341" s="2" t="s">
        <v>35</v>
      </c>
      <c r="T341" s="2" t="s">
        <v>35</v>
      </c>
      <c r="U341" s="2" t="s">
        <v>35</v>
      </c>
      <c r="V341" s="2" t="b">
        <v>0</v>
      </c>
      <c r="W341" s="2" t="s">
        <v>35</v>
      </c>
      <c r="X341" s="2">
        <v>4</v>
      </c>
      <c r="Y341" s="2" t="s">
        <v>35</v>
      </c>
      <c r="Z341" s="2" t="s">
        <v>35</v>
      </c>
    </row>
    <row r="342" spans="1:26" x14ac:dyDescent="0.2">
      <c r="A342" s="2" t="s">
        <v>489</v>
      </c>
      <c r="B342" s="2" t="b">
        <v>0</v>
      </c>
      <c r="C342" s="2" t="b">
        <v>0</v>
      </c>
      <c r="D342" s="2" t="b">
        <v>0</v>
      </c>
      <c r="E342" s="2" t="b">
        <v>0</v>
      </c>
      <c r="F342" s="2" t="s">
        <v>31</v>
      </c>
      <c r="G342" s="2" t="s">
        <v>490</v>
      </c>
      <c r="H342" s="2" t="s">
        <v>491</v>
      </c>
      <c r="I342" s="2" t="s">
        <v>352</v>
      </c>
      <c r="J342" s="2" t="s">
        <v>35</v>
      </c>
      <c r="K342" s="2" t="s">
        <v>35</v>
      </c>
      <c r="L342" s="2" t="s">
        <v>35</v>
      </c>
      <c r="M342" s="2" t="s">
        <v>35</v>
      </c>
      <c r="N342" s="3">
        <v>44736.388243449073</v>
      </c>
      <c r="O342" s="3">
        <v>44736.388578402781</v>
      </c>
      <c r="P342" s="2">
        <v>0</v>
      </c>
      <c r="Q342" s="2" t="s">
        <v>124</v>
      </c>
      <c r="R342" s="2" t="s">
        <v>38</v>
      </c>
      <c r="S342" s="2" t="s">
        <v>35</v>
      </c>
      <c r="T342" s="2" t="s">
        <v>35</v>
      </c>
      <c r="U342" s="2" t="s">
        <v>35</v>
      </c>
      <c r="V342" s="2" t="b">
        <v>0</v>
      </c>
      <c r="W342" s="2" t="s">
        <v>35</v>
      </c>
      <c r="X342" s="2">
        <v>4</v>
      </c>
      <c r="Y342" s="2" t="s">
        <v>35</v>
      </c>
      <c r="Z342" s="2" t="s">
        <v>35</v>
      </c>
    </row>
    <row r="343" spans="1:26" x14ac:dyDescent="0.2">
      <c r="A343" s="2" t="s">
        <v>493</v>
      </c>
      <c r="B343" s="2" t="b">
        <v>0</v>
      </c>
      <c r="C343" s="2" t="b">
        <v>0</v>
      </c>
      <c r="D343" s="2" t="b">
        <v>0</v>
      </c>
      <c r="E343" s="2" t="b">
        <v>0</v>
      </c>
      <c r="F343" s="2" t="s">
        <v>31</v>
      </c>
      <c r="G343" s="2" t="s">
        <v>494</v>
      </c>
      <c r="H343" s="2" t="s">
        <v>495</v>
      </c>
      <c r="I343" s="2" t="s">
        <v>35</v>
      </c>
      <c r="J343" s="2" t="s">
        <v>35</v>
      </c>
      <c r="K343" s="2">
        <v>10</v>
      </c>
      <c r="L343" s="2" t="s">
        <v>35</v>
      </c>
      <c r="M343" s="2" t="s">
        <v>35</v>
      </c>
      <c r="N343" s="3">
        <v>44736.390081365738</v>
      </c>
      <c r="O343" s="3">
        <v>44736.390578275466</v>
      </c>
      <c r="P343" s="2">
        <v>0</v>
      </c>
      <c r="Q343" s="2" t="s">
        <v>265</v>
      </c>
      <c r="R343" s="2" t="s">
        <v>38</v>
      </c>
      <c r="S343" s="2" t="s">
        <v>35</v>
      </c>
      <c r="T343" s="2" t="s">
        <v>35</v>
      </c>
      <c r="U343" s="2" t="s">
        <v>35</v>
      </c>
      <c r="V343" s="2" t="b">
        <v>0</v>
      </c>
      <c r="W343" s="2" t="s">
        <v>35</v>
      </c>
      <c r="X343" s="2" t="s">
        <v>35</v>
      </c>
      <c r="Y343" s="2" t="s">
        <v>35</v>
      </c>
      <c r="Z343" s="2" t="s">
        <v>35</v>
      </c>
    </row>
    <row r="344" spans="1:26" x14ac:dyDescent="0.2">
      <c r="A344" s="2" t="s">
        <v>496</v>
      </c>
      <c r="B344" s="2" t="b">
        <v>0</v>
      </c>
      <c r="C344" s="2" t="b">
        <v>0</v>
      </c>
      <c r="D344" s="2" t="b">
        <v>0</v>
      </c>
      <c r="E344" s="2" t="b">
        <v>0</v>
      </c>
      <c r="F344" s="2" t="s">
        <v>31</v>
      </c>
      <c r="G344" s="2" t="s">
        <v>497</v>
      </c>
      <c r="H344" s="2" t="s">
        <v>498</v>
      </c>
      <c r="I344" s="2" t="s">
        <v>35</v>
      </c>
      <c r="J344" s="2" t="s">
        <v>35</v>
      </c>
      <c r="K344" s="2">
        <v>10</v>
      </c>
      <c r="L344" s="2" t="s">
        <v>35</v>
      </c>
      <c r="M344" s="2" t="s">
        <v>35</v>
      </c>
      <c r="N344" s="3">
        <v>44736.390620034719</v>
      </c>
      <c r="O344" s="3">
        <v>44736.391001053242</v>
      </c>
      <c r="P344" s="2">
        <v>0</v>
      </c>
      <c r="Q344" s="2" t="s">
        <v>265</v>
      </c>
      <c r="R344" s="2" t="s">
        <v>38</v>
      </c>
      <c r="S344" s="2" t="s">
        <v>35</v>
      </c>
      <c r="T344" s="2" t="s">
        <v>35</v>
      </c>
      <c r="U344" s="2" t="s">
        <v>35</v>
      </c>
      <c r="V344" s="2" t="b">
        <v>0</v>
      </c>
      <c r="W344" s="2" t="s">
        <v>35</v>
      </c>
      <c r="X344" s="2" t="s">
        <v>35</v>
      </c>
      <c r="Y344" s="2" t="s">
        <v>35</v>
      </c>
      <c r="Z344" s="2" t="s">
        <v>35</v>
      </c>
    </row>
    <row r="345" spans="1:26" x14ac:dyDescent="0.2">
      <c r="A345" s="2" t="s">
        <v>499</v>
      </c>
      <c r="B345" s="2" t="b">
        <v>0</v>
      </c>
      <c r="C345" s="2" t="b">
        <v>0</v>
      </c>
      <c r="D345" s="2" t="b">
        <v>0</v>
      </c>
      <c r="E345" s="2" t="b">
        <v>0</v>
      </c>
      <c r="F345" s="2" t="s">
        <v>31</v>
      </c>
      <c r="G345" s="2" t="s">
        <v>500</v>
      </c>
      <c r="H345" s="2" t="s">
        <v>501</v>
      </c>
      <c r="I345" s="2" t="s">
        <v>352</v>
      </c>
      <c r="J345" s="2" t="s">
        <v>35</v>
      </c>
      <c r="K345" s="2" t="s">
        <v>35</v>
      </c>
      <c r="L345" s="2" t="s">
        <v>35</v>
      </c>
      <c r="M345" s="2" t="s">
        <v>35</v>
      </c>
      <c r="N345" s="3">
        <v>44736.391045254626</v>
      </c>
      <c r="O345" s="3">
        <v>44736.391252766203</v>
      </c>
      <c r="P345" s="2">
        <v>0</v>
      </c>
      <c r="Q345" s="2" t="s">
        <v>124</v>
      </c>
      <c r="R345" s="2" t="s">
        <v>38</v>
      </c>
      <c r="S345" s="2" t="s">
        <v>35</v>
      </c>
      <c r="T345" s="2" t="s">
        <v>35</v>
      </c>
      <c r="U345" s="2" t="s">
        <v>35</v>
      </c>
      <c r="V345" s="2" t="b">
        <v>0</v>
      </c>
      <c r="W345" s="2" t="s">
        <v>35</v>
      </c>
      <c r="X345" s="2">
        <v>4</v>
      </c>
      <c r="Y345" s="2" t="s">
        <v>35</v>
      </c>
      <c r="Z345" s="2" t="s">
        <v>35</v>
      </c>
    </row>
    <row r="346" spans="1:26" x14ac:dyDescent="0.2">
      <c r="A346" s="2" t="s">
        <v>502</v>
      </c>
      <c r="B346" s="2" t="b">
        <v>0</v>
      </c>
      <c r="C346" s="2" t="b">
        <v>0</v>
      </c>
      <c r="D346" s="2" t="b">
        <v>0</v>
      </c>
      <c r="E346" s="2" t="b">
        <v>0</v>
      </c>
      <c r="F346" s="2" t="s">
        <v>31</v>
      </c>
      <c r="G346" s="2" t="s">
        <v>503</v>
      </c>
      <c r="H346" s="2" t="s">
        <v>504</v>
      </c>
      <c r="I346" s="2" t="s">
        <v>35</v>
      </c>
      <c r="J346" s="2" t="s">
        <v>35</v>
      </c>
      <c r="K346" s="2">
        <v>10</v>
      </c>
      <c r="L346" s="2" t="s">
        <v>35</v>
      </c>
      <c r="M346" s="2" t="s">
        <v>35</v>
      </c>
      <c r="N346" s="3">
        <v>44736.391525289349</v>
      </c>
      <c r="O346" s="3">
        <v>44736.391750925926</v>
      </c>
      <c r="P346" s="2">
        <v>0</v>
      </c>
      <c r="Q346" s="2" t="s">
        <v>265</v>
      </c>
      <c r="R346" s="2" t="s">
        <v>38</v>
      </c>
      <c r="S346" s="2" t="s">
        <v>35</v>
      </c>
      <c r="T346" s="2" t="s">
        <v>35</v>
      </c>
      <c r="U346" s="2" t="s">
        <v>35</v>
      </c>
      <c r="V346" s="2" t="b">
        <v>0</v>
      </c>
      <c r="W346" s="2" t="s">
        <v>35</v>
      </c>
      <c r="X346" s="2" t="s">
        <v>35</v>
      </c>
      <c r="Y346" s="2" t="s">
        <v>35</v>
      </c>
      <c r="Z346" s="2" t="s">
        <v>35</v>
      </c>
    </row>
    <row r="347" spans="1:26" x14ac:dyDescent="0.2">
      <c r="A347" s="2" t="s">
        <v>505</v>
      </c>
      <c r="B347" s="2" t="b">
        <v>0</v>
      </c>
      <c r="C347" s="2" t="b">
        <v>0</v>
      </c>
      <c r="D347" s="2" t="b">
        <v>0</v>
      </c>
      <c r="E347" s="2" t="b">
        <v>0</v>
      </c>
      <c r="F347" s="2" t="s">
        <v>31</v>
      </c>
      <c r="G347" s="2" t="s">
        <v>506</v>
      </c>
      <c r="H347" s="2" t="s">
        <v>507</v>
      </c>
      <c r="I347" s="2" t="s">
        <v>352</v>
      </c>
      <c r="J347" s="2" t="s">
        <v>35</v>
      </c>
      <c r="K347" s="2" t="s">
        <v>35</v>
      </c>
      <c r="L347" s="2" t="s">
        <v>35</v>
      </c>
      <c r="M347" s="2" t="s">
        <v>35</v>
      </c>
      <c r="N347" s="3">
        <v>44736.391797986114</v>
      </c>
      <c r="O347" s="3">
        <v>44736.391995219907</v>
      </c>
      <c r="P347" s="2">
        <v>0</v>
      </c>
      <c r="Q347" s="2" t="s">
        <v>124</v>
      </c>
      <c r="R347" s="2" t="s">
        <v>38</v>
      </c>
      <c r="S347" s="2" t="s">
        <v>35</v>
      </c>
      <c r="T347" s="2" t="s">
        <v>35</v>
      </c>
      <c r="U347" s="2" t="s">
        <v>35</v>
      </c>
      <c r="V347" s="2" t="b">
        <v>0</v>
      </c>
      <c r="W347" s="2" t="s">
        <v>35</v>
      </c>
      <c r="X347" s="2">
        <v>4</v>
      </c>
      <c r="Y347" s="2" t="s">
        <v>35</v>
      </c>
      <c r="Z347" s="2" t="s">
        <v>35</v>
      </c>
    </row>
    <row r="348" spans="1:26" x14ac:dyDescent="0.2">
      <c r="A348" s="2" t="s">
        <v>508</v>
      </c>
      <c r="B348" s="2" t="b">
        <v>0</v>
      </c>
      <c r="C348" s="2" t="b">
        <v>0</v>
      </c>
      <c r="D348" s="2" t="b">
        <v>0</v>
      </c>
      <c r="E348" s="2" t="b">
        <v>0</v>
      </c>
      <c r="F348" s="2" t="s">
        <v>31</v>
      </c>
      <c r="G348" s="2" t="s">
        <v>509</v>
      </c>
      <c r="H348" s="2" t="s">
        <v>510</v>
      </c>
      <c r="I348" s="2" t="s">
        <v>35</v>
      </c>
      <c r="J348" s="2" t="s">
        <v>35</v>
      </c>
      <c r="K348" s="2">
        <v>10</v>
      </c>
      <c r="L348" s="2" t="s">
        <v>35</v>
      </c>
      <c r="M348" s="2" t="s">
        <v>35</v>
      </c>
      <c r="N348" s="3">
        <v>44736.392065532411</v>
      </c>
      <c r="O348" s="3">
        <v>44736.392364803243</v>
      </c>
      <c r="P348" s="2">
        <v>0</v>
      </c>
      <c r="Q348" s="2" t="s">
        <v>265</v>
      </c>
      <c r="R348" s="2" t="s">
        <v>38</v>
      </c>
      <c r="S348" s="2" t="s">
        <v>35</v>
      </c>
      <c r="T348" s="2" t="s">
        <v>35</v>
      </c>
      <c r="U348" s="2" t="s">
        <v>35</v>
      </c>
      <c r="V348" s="2" t="b">
        <v>0</v>
      </c>
      <c r="W348" s="2" t="s">
        <v>35</v>
      </c>
      <c r="X348" s="2" t="s">
        <v>35</v>
      </c>
      <c r="Y348" s="2" t="s">
        <v>35</v>
      </c>
      <c r="Z348" s="2" t="s">
        <v>35</v>
      </c>
    </row>
    <row r="349" spans="1:26" x14ac:dyDescent="0.2">
      <c r="A349" s="2" t="s">
        <v>511</v>
      </c>
      <c r="B349" s="2" t="b">
        <v>0</v>
      </c>
      <c r="C349" s="2" t="b">
        <v>0</v>
      </c>
      <c r="D349" s="2" t="b">
        <v>0</v>
      </c>
      <c r="E349" s="2" t="b">
        <v>0</v>
      </c>
      <c r="F349" s="2" t="s">
        <v>31</v>
      </c>
      <c r="G349" s="2" t="s">
        <v>512</v>
      </c>
      <c r="H349" s="2" t="s">
        <v>513</v>
      </c>
      <c r="I349" s="2" t="s">
        <v>352</v>
      </c>
      <c r="J349" s="2" t="s">
        <v>35</v>
      </c>
      <c r="K349" s="2" t="s">
        <v>35</v>
      </c>
      <c r="L349" s="2" t="s">
        <v>35</v>
      </c>
      <c r="M349" s="2" t="s">
        <v>35</v>
      </c>
      <c r="N349" s="3">
        <v>44736.392599039355</v>
      </c>
      <c r="O349" s="3">
        <v>44736.393427708332</v>
      </c>
      <c r="P349" s="2">
        <v>0</v>
      </c>
      <c r="Q349" s="2" t="s">
        <v>124</v>
      </c>
      <c r="R349" s="2" t="s">
        <v>38</v>
      </c>
      <c r="S349" s="2" t="s">
        <v>35</v>
      </c>
      <c r="T349" s="2" t="s">
        <v>35</v>
      </c>
      <c r="U349" s="2" t="s">
        <v>35</v>
      </c>
      <c r="V349" s="2" t="b">
        <v>0</v>
      </c>
      <c r="W349" s="2" t="s">
        <v>35</v>
      </c>
      <c r="X349" s="2">
        <v>4</v>
      </c>
      <c r="Y349" s="2" t="s">
        <v>35</v>
      </c>
      <c r="Z349" s="2" t="s">
        <v>35</v>
      </c>
    </row>
    <row r="350" spans="1:26" x14ac:dyDescent="0.2">
      <c r="A350" s="2" t="s">
        <v>514</v>
      </c>
      <c r="B350" s="2" t="b">
        <v>0</v>
      </c>
      <c r="C350" s="2" t="b">
        <v>0</v>
      </c>
      <c r="D350" s="2" t="b">
        <v>0</v>
      </c>
      <c r="E350" s="2" t="b">
        <v>0</v>
      </c>
      <c r="F350" s="2" t="s">
        <v>31</v>
      </c>
      <c r="G350" s="2" t="s">
        <v>515</v>
      </c>
      <c r="H350" s="2" t="s">
        <v>516</v>
      </c>
      <c r="I350" s="2" t="s">
        <v>352</v>
      </c>
      <c r="J350" s="2" t="s">
        <v>35</v>
      </c>
      <c r="K350" s="2" t="s">
        <v>35</v>
      </c>
      <c r="L350" s="2" t="s">
        <v>35</v>
      </c>
      <c r="M350" s="2" t="s">
        <v>35</v>
      </c>
      <c r="N350" s="3">
        <v>44736.393515648146</v>
      </c>
      <c r="O350" s="3">
        <v>44736.393723449073</v>
      </c>
      <c r="P350" s="2">
        <v>0</v>
      </c>
      <c r="Q350" s="2" t="s">
        <v>124</v>
      </c>
      <c r="R350" s="2" t="s">
        <v>38</v>
      </c>
      <c r="S350" s="2" t="s">
        <v>35</v>
      </c>
      <c r="T350" s="2" t="s">
        <v>35</v>
      </c>
      <c r="U350" s="2" t="s">
        <v>35</v>
      </c>
      <c r="V350" s="2" t="b">
        <v>0</v>
      </c>
      <c r="W350" s="2" t="s">
        <v>35</v>
      </c>
      <c r="X350" s="2">
        <v>4</v>
      </c>
      <c r="Y350" s="2" t="s">
        <v>35</v>
      </c>
      <c r="Z350" s="2" t="s">
        <v>35</v>
      </c>
    </row>
    <row r="351" spans="1:26" x14ac:dyDescent="0.2">
      <c r="A351" s="2" t="s">
        <v>517</v>
      </c>
      <c r="B351" s="2" t="b">
        <v>0</v>
      </c>
      <c r="C351" s="2" t="b">
        <v>0</v>
      </c>
      <c r="D351" s="2" t="b">
        <v>0</v>
      </c>
      <c r="E351" s="2" t="b">
        <v>0</v>
      </c>
      <c r="F351" s="2" t="s">
        <v>31</v>
      </c>
      <c r="G351" s="2" t="s">
        <v>518</v>
      </c>
      <c r="H351" s="2" t="s">
        <v>519</v>
      </c>
      <c r="I351" s="2" t="s">
        <v>352</v>
      </c>
      <c r="J351" s="2" t="s">
        <v>35</v>
      </c>
      <c r="K351" s="2" t="s">
        <v>35</v>
      </c>
      <c r="L351" s="2" t="s">
        <v>35</v>
      </c>
      <c r="M351" s="2" t="s">
        <v>35</v>
      </c>
      <c r="N351" s="3">
        <v>44736.393920995368</v>
      </c>
      <c r="O351" s="3">
        <v>44736.394257569445</v>
      </c>
      <c r="P351" s="2">
        <v>0</v>
      </c>
      <c r="Q351" s="2" t="s">
        <v>124</v>
      </c>
      <c r="R351" s="2" t="s">
        <v>38</v>
      </c>
      <c r="S351" s="2" t="s">
        <v>35</v>
      </c>
      <c r="T351" s="2" t="s">
        <v>35</v>
      </c>
      <c r="U351" s="2" t="s">
        <v>35</v>
      </c>
      <c r="V351" s="2" t="b">
        <v>0</v>
      </c>
      <c r="W351" s="2" t="s">
        <v>35</v>
      </c>
      <c r="X351" s="2">
        <v>4</v>
      </c>
      <c r="Y351" s="2" t="s">
        <v>35</v>
      </c>
      <c r="Z351" s="2" t="s">
        <v>35</v>
      </c>
    </row>
    <row r="352" spans="1:26" x14ac:dyDescent="0.2">
      <c r="A352" s="2" t="s">
        <v>520</v>
      </c>
      <c r="B352" s="2" t="b">
        <v>0</v>
      </c>
      <c r="C352" s="2" t="b">
        <v>0</v>
      </c>
      <c r="D352" s="2" t="b">
        <v>0</v>
      </c>
      <c r="E352" s="2" t="b">
        <v>0</v>
      </c>
      <c r="F352" s="2" t="s">
        <v>31</v>
      </c>
      <c r="G352" s="2" t="s">
        <v>521</v>
      </c>
      <c r="H352" s="2" t="s">
        <v>522</v>
      </c>
      <c r="I352" s="2" t="s">
        <v>352</v>
      </c>
      <c r="J352" s="2" t="s">
        <v>35</v>
      </c>
      <c r="K352" s="2" t="s">
        <v>35</v>
      </c>
      <c r="L352" s="2" t="s">
        <v>35</v>
      </c>
      <c r="M352" s="2" t="s">
        <v>35</v>
      </c>
      <c r="N352" s="3">
        <v>44736.394485694444</v>
      </c>
      <c r="O352" s="3">
        <v>44736.394796932873</v>
      </c>
      <c r="P352" s="2">
        <v>0</v>
      </c>
      <c r="Q352" s="2" t="s">
        <v>124</v>
      </c>
      <c r="R352" s="2" t="s">
        <v>38</v>
      </c>
      <c r="S352" s="2" t="s">
        <v>35</v>
      </c>
      <c r="T352" s="2" t="s">
        <v>35</v>
      </c>
      <c r="U352" s="2" t="s">
        <v>35</v>
      </c>
      <c r="V352" s="2" t="b">
        <v>0</v>
      </c>
      <c r="W352" s="2" t="s">
        <v>35</v>
      </c>
      <c r="X352" s="2">
        <v>4</v>
      </c>
      <c r="Y352" s="2" t="s">
        <v>35</v>
      </c>
      <c r="Z352" s="2" t="s">
        <v>35</v>
      </c>
    </row>
    <row r="353" spans="1:26" x14ac:dyDescent="0.2">
      <c r="A353" s="2" t="s">
        <v>523</v>
      </c>
      <c r="B353" s="2" t="b">
        <v>0</v>
      </c>
      <c r="C353" s="2" t="b">
        <v>0</v>
      </c>
      <c r="D353" s="2" t="b">
        <v>0</v>
      </c>
      <c r="E353" s="2" t="b">
        <v>0</v>
      </c>
      <c r="F353" s="2" t="s">
        <v>31</v>
      </c>
      <c r="G353" s="2" t="s">
        <v>524</v>
      </c>
      <c r="H353" s="2" t="s">
        <v>525</v>
      </c>
      <c r="I353" s="2" t="s">
        <v>526</v>
      </c>
      <c r="J353" s="2" t="s">
        <v>35</v>
      </c>
      <c r="K353" s="2" t="s">
        <v>35</v>
      </c>
      <c r="L353" s="2" t="s">
        <v>35</v>
      </c>
      <c r="M353" s="2" t="s">
        <v>35</v>
      </c>
      <c r="N353" s="3">
        <v>44736.395688009259</v>
      </c>
      <c r="O353" s="3">
        <v>44736.396009884258</v>
      </c>
      <c r="P353" s="2">
        <v>0</v>
      </c>
      <c r="Q353" s="2" t="s">
        <v>109</v>
      </c>
      <c r="R353" s="2" t="s">
        <v>38</v>
      </c>
      <c r="S353" s="2" t="s">
        <v>35</v>
      </c>
      <c r="T353" s="2">
        <v>115</v>
      </c>
      <c r="U353" s="2" t="s">
        <v>35</v>
      </c>
      <c r="V353" s="2" t="b">
        <v>0</v>
      </c>
      <c r="W353" s="2" t="s">
        <v>35</v>
      </c>
      <c r="X353" s="2" t="s">
        <v>35</v>
      </c>
      <c r="Y353" s="2" t="s">
        <v>35</v>
      </c>
      <c r="Z353" s="2" t="s">
        <v>35</v>
      </c>
    </row>
    <row r="354" spans="1:26" x14ac:dyDescent="0.2">
      <c r="A354" s="2" t="s">
        <v>527</v>
      </c>
      <c r="B354" s="2" t="b">
        <v>0</v>
      </c>
      <c r="C354" s="2" t="b">
        <v>0</v>
      </c>
      <c r="D354" s="2" t="b">
        <v>0</v>
      </c>
      <c r="E354" s="2" t="b">
        <v>0</v>
      </c>
      <c r="F354" s="2" t="s">
        <v>31</v>
      </c>
      <c r="G354" s="2" t="s">
        <v>528</v>
      </c>
      <c r="H354" s="2" t="s">
        <v>529</v>
      </c>
      <c r="I354" s="2" t="s">
        <v>530</v>
      </c>
      <c r="J354" s="2" t="s">
        <v>35</v>
      </c>
      <c r="K354" s="2" t="s">
        <v>35</v>
      </c>
      <c r="L354" s="2" t="s">
        <v>35</v>
      </c>
      <c r="M354" s="2" t="s">
        <v>35</v>
      </c>
      <c r="N354" s="3">
        <v>44736.396367581016</v>
      </c>
      <c r="O354" s="3">
        <v>44736.396848090277</v>
      </c>
      <c r="P354" s="2">
        <v>0</v>
      </c>
      <c r="Q354" s="2" t="s">
        <v>109</v>
      </c>
      <c r="R354" s="2" t="s">
        <v>38</v>
      </c>
      <c r="S354" s="2" t="s">
        <v>35</v>
      </c>
      <c r="T354" s="2">
        <v>85</v>
      </c>
      <c r="U354" s="2" t="s">
        <v>35</v>
      </c>
      <c r="V354" s="2" t="b">
        <v>0</v>
      </c>
      <c r="W354" s="2" t="s">
        <v>35</v>
      </c>
      <c r="X354" s="2" t="s">
        <v>35</v>
      </c>
      <c r="Y354" s="2" t="s">
        <v>35</v>
      </c>
      <c r="Z354" s="2" t="s">
        <v>35</v>
      </c>
    </row>
    <row r="355" spans="1:26" x14ac:dyDescent="0.2">
      <c r="A355" s="2" t="s">
        <v>9252</v>
      </c>
      <c r="B355" s="2" t="b">
        <v>0</v>
      </c>
      <c r="C355" s="2" t="b">
        <v>0</v>
      </c>
      <c r="D355" s="2" t="b">
        <v>0</v>
      </c>
      <c r="E355" s="2" t="b">
        <v>0</v>
      </c>
      <c r="F355" s="2" t="s">
        <v>121</v>
      </c>
      <c r="G355" s="2" t="s">
        <v>149</v>
      </c>
      <c r="H355" s="2" t="s">
        <v>533</v>
      </c>
      <c r="I355" s="2" t="s">
        <v>35</v>
      </c>
      <c r="J355" s="2" t="s">
        <v>35</v>
      </c>
      <c r="K355" s="2" t="s">
        <v>35</v>
      </c>
      <c r="L355" s="2" t="s">
        <v>35</v>
      </c>
      <c r="M355" s="2" t="s">
        <v>35</v>
      </c>
      <c r="N355" s="3">
        <v>44736.397225173612</v>
      </c>
      <c r="O355" s="3">
        <v>44736.39722525463</v>
      </c>
      <c r="P355" s="2">
        <v>0</v>
      </c>
      <c r="Q355" s="2" t="s">
        <v>35</v>
      </c>
      <c r="R355" s="2" t="s">
        <v>38</v>
      </c>
      <c r="S355" s="2" t="s">
        <v>35</v>
      </c>
      <c r="T355" s="2" t="s">
        <v>35</v>
      </c>
      <c r="U355" s="2" t="s">
        <v>35</v>
      </c>
      <c r="V355" s="2" t="b">
        <v>0</v>
      </c>
      <c r="W355" s="2" t="s">
        <v>35</v>
      </c>
      <c r="X355" s="2" t="s">
        <v>35</v>
      </c>
      <c r="Y355" s="2" t="s">
        <v>35</v>
      </c>
      <c r="Z355" s="2" t="s">
        <v>35</v>
      </c>
    </row>
    <row r="356" spans="1:26" x14ac:dyDescent="0.2">
      <c r="A356" s="2" t="s">
        <v>531</v>
      </c>
      <c r="B356" s="2" t="b">
        <v>0</v>
      </c>
      <c r="C356" s="2" t="b">
        <v>0</v>
      </c>
      <c r="D356" s="2" t="b">
        <v>0</v>
      </c>
      <c r="E356" s="2" t="b">
        <v>1</v>
      </c>
      <c r="F356" s="2" t="s">
        <v>31</v>
      </c>
      <c r="G356" s="2" t="s">
        <v>532</v>
      </c>
      <c r="H356" s="2" t="s">
        <v>533</v>
      </c>
      <c r="I356" s="2" t="s">
        <v>281</v>
      </c>
      <c r="J356" s="2" t="s">
        <v>35</v>
      </c>
      <c r="K356" s="2">
        <v>11</v>
      </c>
      <c r="L356" s="2" t="s">
        <v>35</v>
      </c>
      <c r="M356" s="2" t="s">
        <v>35</v>
      </c>
      <c r="N356" s="3">
        <v>44736.39724395833</v>
      </c>
      <c r="O356" s="3">
        <v>44736.397790104165</v>
      </c>
      <c r="P356" s="2">
        <v>0</v>
      </c>
      <c r="Q356" s="2" t="s">
        <v>265</v>
      </c>
      <c r="R356" s="2" t="s">
        <v>38</v>
      </c>
      <c r="S356" s="2" t="s">
        <v>35</v>
      </c>
      <c r="T356" s="2" t="s">
        <v>35</v>
      </c>
      <c r="U356" s="2" t="s">
        <v>35</v>
      </c>
      <c r="V356" s="2" t="b">
        <v>0</v>
      </c>
      <c r="W356" s="2" t="s">
        <v>35</v>
      </c>
      <c r="X356" s="2" t="s">
        <v>35</v>
      </c>
      <c r="Y356" s="2" t="s">
        <v>35</v>
      </c>
      <c r="Z356" s="2" t="s">
        <v>35</v>
      </c>
    </row>
    <row r="357" spans="1:26" x14ac:dyDescent="0.2">
      <c r="A357" s="2" t="s">
        <v>534</v>
      </c>
      <c r="B357" s="2" t="b">
        <v>0</v>
      </c>
      <c r="C357" s="2" t="b">
        <v>0</v>
      </c>
      <c r="D357" s="2" t="b">
        <v>0</v>
      </c>
      <c r="E357" s="2" t="b">
        <v>0</v>
      </c>
      <c r="F357" s="2" t="s">
        <v>31</v>
      </c>
      <c r="G357" s="2" t="s">
        <v>535</v>
      </c>
      <c r="H357" s="2" t="s">
        <v>536</v>
      </c>
      <c r="I357" s="2" t="s">
        <v>352</v>
      </c>
      <c r="J357" s="2" t="s">
        <v>35</v>
      </c>
      <c r="K357" s="2" t="s">
        <v>35</v>
      </c>
      <c r="L357" s="2" t="s">
        <v>35</v>
      </c>
      <c r="M357" s="2" t="s">
        <v>35</v>
      </c>
      <c r="N357" s="3">
        <v>44736.397905231483</v>
      </c>
      <c r="O357" s="3">
        <v>44736.398356805556</v>
      </c>
      <c r="P357" s="2">
        <v>0</v>
      </c>
      <c r="Q357" s="2" t="s">
        <v>124</v>
      </c>
      <c r="R357" s="2" t="s">
        <v>38</v>
      </c>
      <c r="S357" s="2" t="s">
        <v>35</v>
      </c>
      <c r="T357" s="2" t="s">
        <v>35</v>
      </c>
      <c r="U357" s="2" t="s">
        <v>35</v>
      </c>
      <c r="V357" s="2" t="b">
        <v>0</v>
      </c>
      <c r="W357" s="2" t="s">
        <v>35</v>
      </c>
      <c r="X357" s="2">
        <v>4</v>
      </c>
      <c r="Y357" s="2" t="s">
        <v>35</v>
      </c>
      <c r="Z357" s="2" t="s">
        <v>35</v>
      </c>
    </row>
    <row r="358" spans="1:26" x14ac:dyDescent="0.2">
      <c r="A358" s="2" t="s">
        <v>537</v>
      </c>
      <c r="B358" s="2" t="b">
        <v>0</v>
      </c>
      <c r="C358" s="2" t="b">
        <v>0</v>
      </c>
      <c r="D358" s="2" t="b">
        <v>0</v>
      </c>
      <c r="E358" s="2" t="b">
        <v>1</v>
      </c>
      <c r="F358" s="2" t="s">
        <v>31</v>
      </c>
      <c r="G358" s="2" t="s">
        <v>538</v>
      </c>
      <c r="H358" s="2" t="s">
        <v>539</v>
      </c>
      <c r="I358" s="2" t="s">
        <v>540</v>
      </c>
      <c r="J358" s="2" t="s">
        <v>35</v>
      </c>
      <c r="K358" s="2">
        <v>11</v>
      </c>
      <c r="L358" s="2" t="s">
        <v>35</v>
      </c>
      <c r="M358" s="2" t="s">
        <v>35</v>
      </c>
      <c r="N358" s="3">
        <v>44736.398390150462</v>
      </c>
      <c r="O358" s="3">
        <v>44736.398998379627</v>
      </c>
      <c r="P358" s="2">
        <v>0</v>
      </c>
      <c r="Q358" s="2" t="s">
        <v>265</v>
      </c>
      <c r="R358" s="2" t="s">
        <v>38</v>
      </c>
      <c r="S358" s="2" t="s">
        <v>35</v>
      </c>
      <c r="T358" s="2" t="s">
        <v>35</v>
      </c>
      <c r="U358" s="2" t="s">
        <v>35</v>
      </c>
      <c r="V358" s="2" t="b">
        <v>0</v>
      </c>
      <c r="W358" s="2" t="s">
        <v>35</v>
      </c>
      <c r="X358" s="2" t="s">
        <v>35</v>
      </c>
      <c r="Y358" s="2" t="s">
        <v>35</v>
      </c>
      <c r="Z358" s="2" t="s">
        <v>35</v>
      </c>
    </row>
    <row r="359" spans="1:26" x14ac:dyDescent="0.2">
      <c r="A359" s="2" t="s">
        <v>541</v>
      </c>
      <c r="B359" s="2" t="b">
        <v>0</v>
      </c>
      <c r="C359" s="2" t="b">
        <v>0</v>
      </c>
      <c r="D359" s="2" t="b">
        <v>0</v>
      </c>
      <c r="E359" s="2" t="b">
        <v>0</v>
      </c>
      <c r="F359" s="2" t="s">
        <v>31</v>
      </c>
      <c r="G359" s="2" t="s">
        <v>542</v>
      </c>
      <c r="H359" s="2" t="s">
        <v>543</v>
      </c>
      <c r="I359" s="2" t="s">
        <v>352</v>
      </c>
      <c r="J359" s="2" t="s">
        <v>35</v>
      </c>
      <c r="K359" s="2" t="s">
        <v>35</v>
      </c>
      <c r="L359" s="2" t="s">
        <v>35</v>
      </c>
      <c r="M359" s="2" t="s">
        <v>35</v>
      </c>
      <c r="N359" s="3">
        <v>44736.399983437499</v>
      </c>
      <c r="O359" s="3">
        <v>44736.400191423614</v>
      </c>
      <c r="P359" s="2">
        <v>0</v>
      </c>
      <c r="Q359" s="2" t="s">
        <v>124</v>
      </c>
      <c r="R359" s="2" t="s">
        <v>38</v>
      </c>
      <c r="S359" s="2" t="s">
        <v>35</v>
      </c>
      <c r="T359" s="2" t="s">
        <v>35</v>
      </c>
      <c r="U359" s="2" t="s">
        <v>35</v>
      </c>
      <c r="V359" s="2" t="b">
        <v>0</v>
      </c>
      <c r="W359" s="2" t="s">
        <v>35</v>
      </c>
      <c r="X359" s="2">
        <v>4</v>
      </c>
      <c r="Y359" s="2" t="s">
        <v>35</v>
      </c>
      <c r="Z359" s="2" t="s">
        <v>35</v>
      </c>
    </row>
    <row r="360" spans="1:26" x14ac:dyDescent="0.2">
      <c r="A360" s="2" t="s">
        <v>544</v>
      </c>
      <c r="B360" s="2" t="b">
        <v>0</v>
      </c>
      <c r="C360" s="2" t="b">
        <v>0</v>
      </c>
      <c r="D360" s="2" t="b">
        <v>0</v>
      </c>
      <c r="E360" s="2" t="b">
        <v>0</v>
      </c>
      <c r="F360" s="2" t="s">
        <v>31</v>
      </c>
      <c r="G360" s="2" t="s">
        <v>545</v>
      </c>
      <c r="H360" s="2" t="s">
        <v>546</v>
      </c>
      <c r="I360" s="2" t="s">
        <v>35</v>
      </c>
      <c r="J360" s="2" t="s">
        <v>35</v>
      </c>
      <c r="K360" s="2">
        <v>11</v>
      </c>
      <c r="L360" s="2" t="s">
        <v>35</v>
      </c>
      <c r="M360" s="2" t="s">
        <v>35</v>
      </c>
      <c r="N360" s="3">
        <v>44736.40037369213</v>
      </c>
      <c r="O360" s="3">
        <v>44736.400668298615</v>
      </c>
      <c r="P360" s="2">
        <v>0</v>
      </c>
      <c r="Q360" s="2" t="s">
        <v>265</v>
      </c>
      <c r="R360" s="2" t="s">
        <v>38</v>
      </c>
      <c r="S360" s="2" t="s">
        <v>35</v>
      </c>
      <c r="T360" s="2" t="s">
        <v>35</v>
      </c>
      <c r="U360" s="2" t="s">
        <v>35</v>
      </c>
      <c r="V360" s="2" t="b">
        <v>0</v>
      </c>
      <c r="W360" s="2" t="s">
        <v>35</v>
      </c>
      <c r="X360" s="2" t="s">
        <v>35</v>
      </c>
      <c r="Y360" s="2" t="s">
        <v>35</v>
      </c>
      <c r="Z360" s="2" t="s">
        <v>35</v>
      </c>
    </row>
    <row r="361" spans="1:26" x14ac:dyDescent="0.2">
      <c r="A361" s="2" t="s">
        <v>547</v>
      </c>
      <c r="B361" s="2" t="b">
        <v>0</v>
      </c>
      <c r="C361" s="2" t="b">
        <v>0</v>
      </c>
      <c r="D361" s="2" t="b">
        <v>0</v>
      </c>
      <c r="E361" s="2" t="b">
        <v>0</v>
      </c>
      <c r="F361" s="2" t="s">
        <v>31</v>
      </c>
      <c r="G361" s="2" t="s">
        <v>548</v>
      </c>
      <c r="H361" s="2" t="s">
        <v>549</v>
      </c>
      <c r="I361" s="2" t="s">
        <v>35</v>
      </c>
      <c r="J361" s="2" t="s">
        <v>35</v>
      </c>
      <c r="K361" s="2" t="s">
        <v>35</v>
      </c>
      <c r="L361" s="2" t="s">
        <v>35</v>
      </c>
      <c r="M361" s="2" t="s">
        <v>35</v>
      </c>
      <c r="N361" s="3">
        <v>44736.402341493056</v>
      </c>
      <c r="O361" s="3">
        <v>44736.402649062496</v>
      </c>
      <c r="P361" s="2">
        <v>0</v>
      </c>
      <c r="Q361" s="2" t="s">
        <v>36</v>
      </c>
      <c r="R361" s="2" t="s">
        <v>38</v>
      </c>
      <c r="S361" s="2" t="s">
        <v>35</v>
      </c>
      <c r="T361" s="2" t="s">
        <v>35</v>
      </c>
      <c r="U361" s="2" t="s">
        <v>35</v>
      </c>
      <c r="V361" s="2" t="b">
        <v>0</v>
      </c>
      <c r="W361" s="2" t="s">
        <v>35</v>
      </c>
      <c r="X361" s="2" t="s">
        <v>35</v>
      </c>
      <c r="Y361" s="2" t="s">
        <v>35</v>
      </c>
      <c r="Z361" s="2">
        <v>3</v>
      </c>
    </row>
    <row r="362" spans="1:26" x14ac:dyDescent="0.2">
      <c r="A362" s="2" t="s">
        <v>9253</v>
      </c>
      <c r="B362" s="2" t="b">
        <v>0</v>
      </c>
      <c r="C362" s="2" t="b">
        <v>0</v>
      </c>
      <c r="D362" s="2" t="b">
        <v>0</v>
      </c>
      <c r="E362" s="2" t="b">
        <v>0</v>
      </c>
      <c r="F362" s="2" t="s">
        <v>121</v>
      </c>
      <c r="G362" s="2" t="s">
        <v>149</v>
      </c>
      <c r="H362" s="2" t="s">
        <v>551</v>
      </c>
      <c r="I362" s="2" t="s">
        <v>35</v>
      </c>
      <c r="J362" s="2" t="s">
        <v>35</v>
      </c>
      <c r="K362" s="2" t="s">
        <v>35</v>
      </c>
      <c r="L362" s="2" t="s">
        <v>35</v>
      </c>
      <c r="M362" s="2" t="s">
        <v>35</v>
      </c>
      <c r="N362" s="3">
        <v>44736.404424502318</v>
      </c>
      <c r="O362" s="3">
        <v>44736.404424664353</v>
      </c>
      <c r="P362" s="2">
        <v>0</v>
      </c>
      <c r="Q362" s="2" t="s">
        <v>35</v>
      </c>
      <c r="R362" s="2" t="s">
        <v>38</v>
      </c>
      <c r="S362" s="2" t="s">
        <v>35</v>
      </c>
      <c r="T362" s="2" t="s">
        <v>35</v>
      </c>
      <c r="U362" s="2" t="s">
        <v>35</v>
      </c>
      <c r="V362" s="2" t="b">
        <v>0</v>
      </c>
      <c r="W362" s="2" t="s">
        <v>35</v>
      </c>
      <c r="X362" s="2" t="s">
        <v>35</v>
      </c>
      <c r="Y362" s="2" t="s">
        <v>35</v>
      </c>
      <c r="Z362" s="2" t="s">
        <v>35</v>
      </c>
    </row>
    <row r="363" spans="1:26" x14ac:dyDescent="0.2">
      <c r="A363" s="2" t="s">
        <v>9254</v>
      </c>
      <c r="B363" s="2" t="b">
        <v>0</v>
      </c>
      <c r="C363" s="2" t="b">
        <v>0</v>
      </c>
      <c r="D363" s="2" t="b">
        <v>0</v>
      </c>
      <c r="E363" s="2" t="b">
        <v>0</v>
      </c>
      <c r="F363" s="2" t="s">
        <v>121</v>
      </c>
      <c r="G363" s="2" t="s">
        <v>149</v>
      </c>
      <c r="H363" s="2" t="s">
        <v>551</v>
      </c>
      <c r="I363" s="2" t="s">
        <v>35</v>
      </c>
      <c r="J363" s="2" t="s">
        <v>35</v>
      </c>
      <c r="K363" s="2" t="s">
        <v>35</v>
      </c>
      <c r="L363" s="2" t="s">
        <v>35</v>
      </c>
      <c r="M363" s="2" t="s">
        <v>35</v>
      </c>
      <c r="N363" s="3">
        <v>44736.40443707176</v>
      </c>
      <c r="O363" s="3">
        <v>44736.404437118057</v>
      </c>
      <c r="P363" s="2">
        <v>0</v>
      </c>
      <c r="Q363" s="2" t="s">
        <v>36</v>
      </c>
      <c r="R363" s="2" t="s">
        <v>38</v>
      </c>
      <c r="S363" s="2" t="s">
        <v>35</v>
      </c>
      <c r="T363" s="2" t="s">
        <v>35</v>
      </c>
      <c r="U363" s="2" t="s">
        <v>35</v>
      </c>
      <c r="V363" s="2" t="b">
        <v>0</v>
      </c>
      <c r="W363" s="2" t="s">
        <v>35</v>
      </c>
      <c r="X363" s="2" t="s">
        <v>35</v>
      </c>
      <c r="Y363" s="2" t="s">
        <v>35</v>
      </c>
      <c r="Z363" s="2" t="s">
        <v>35</v>
      </c>
    </row>
    <row r="364" spans="1:26" x14ac:dyDescent="0.2">
      <c r="A364" s="2" t="s">
        <v>550</v>
      </c>
      <c r="B364" s="2" t="b">
        <v>0</v>
      </c>
      <c r="C364" s="2" t="b">
        <v>0</v>
      </c>
      <c r="D364" s="2" t="b">
        <v>0</v>
      </c>
      <c r="E364" s="2" t="b">
        <v>0</v>
      </c>
      <c r="F364" s="2" t="s">
        <v>31</v>
      </c>
      <c r="G364" s="2" t="s">
        <v>149</v>
      </c>
      <c r="H364" s="2" t="s">
        <v>551</v>
      </c>
      <c r="I364" s="2" t="s">
        <v>35</v>
      </c>
      <c r="J364" s="2" t="s">
        <v>35</v>
      </c>
      <c r="K364" s="2" t="s">
        <v>35</v>
      </c>
      <c r="L364" s="2" t="s">
        <v>35</v>
      </c>
      <c r="M364" s="2" t="s">
        <v>35</v>
      </c>
      <c r="N364" s="3">
        <v>44736.404562476855</v>
      </c>
      <c r="O364" s="3">
        <v>44736.404653715275</v>
      </c>
      <c r="P364" s="2">
        <v>0</v>
      </c>
      <c r="Q364" s="2" t="s">
        <v>36</v>
      </c>
      <c r="R364" s="2" t="s">
        <v>38</v>
      </c>
      <c r="S364" s="2" t="s">
        <v>35</v>
      </c>
      <c r="T364" s="2" t="s">
        <v>35</v>
      </c>
      <c r="U364" s="2" t="s">
        <v>35</v>
      </c>
      <c r="V364" s="2" t="b">
        <v>0</v>
      </c>
      <c r="W364" s="2" t="s">
        <v>35</v>
      </c>
      <c r="X364" s="2" t="s">
        <v>35</v>
      </c>
      <c r="Y364" s="2" t="s">
        <v>35</v>
      </c>
      <c r="Z364" s="2">
        <v>2</v>
      </c>
    </row>
    <row r="365" spans="1:26" x14ac:dyDescent="0.2">
      <c r="A365" s="2" t="s">
        <v>552</v>
      </c>
      <c r="B365" s="2" t="b">
        <v>0</v>
      </c>
      <c r="C365" s="2" t="b">
        <v>0</v>
      </c>
      <c r="D365" s="2" t="b">
        <v>0</v>
      </c>
      <c r="E365" s="2" t="b">
        <v>0</v>
      </c>
      <c r="F365" s="2" t="s">
        <v>31</v>
      </c>
      <c r="G365" s="2" t="s">
        <v>553</v>
      </c>
      <c r="H365" s="2" t="s">
        <v>554</v>
      </c>
      <c r="I365" s="2" t="s">
        <v>352</v>
      </c>
      <c r="J365" s="2" t="s">
        <v>35</v>
      </c>
      <c r="K365" s="2" t="s">
        <v>35</v>
      </c>
      <c r="L365" s="2" t="s">
        <v>35</v>
      </c>
      <c r="M365" s="2" t="s">
        <v>35</v>
      </c>
      <c r="N365" s="3">
        <v>44736.404800150463</v>
      </c>
      <c r="O365" s="3">
        <v>44736.404953784724</v>
      </c>
      <c r="P365" s="2">
        <v>0</v>
      </c>
      <c r="Q365" s="2" t="s">
        <v>124</v>
      </c>
      <c r="R365" s="2" t="s">
        <v>38</v>
      </c>
      <c r="S365" s="2" t="s">
        <v>35</v>
      </c>
      <c r="T365" s="2" t="s">
        <v>35</v>
      </c>
      <c r="U365" s="2" t="s">
        <v>35</v>
      </c>
      <c r="V365" s="2" t="b">
        <v>0</v>
      </c>
      <c r="W365" s="2" t="s">
        <v>35</v>
      </c>
      <c r="X365" s="2">
        <v>4</v>
      </c>
      <c r="Y365" s="2" t="s">
        <v>35</v>
      </c>
      <c r="Z365" s="2" t="s">
        <v>35</v>
      </c>
    </row>
    <row r="366" spans="1:26" x14ac:dyDescent="0.2">
      <c r="A366" s="2" t="s">
        <v>555</v>
      </c>
      <c r="B366" s="2" t="b">
        <v>0</v>
      </c>
      <c r="C366" s="2" t="b">
        <v>0</v>
      </c>
      <c r="D366" s="2" t="b">
        <v>0</v>
      </c>
      <c r="E366" s="2" t="b">
        <v>0</v>
      </c>
      <c r="F366" s="2" t="s">
        <v>31</v>
      </c>
      <c r="G366" s="2" t="s">
        <v>149</v>
      </c>
      <c r="H366" s="2" t="s">
        <v>556</v>
      </c>
      <c r="I366" s="2" t="s">
        <v>557</v>
      </c>
      <c r="J366" s="2" t="s">
        <v>35</v>
      </c>
      <c r="K366" s="2" t="s">
        <v>35</v>
      </c>
      <c r="L366" s="2" t="s">
        <v>35</v>
      </c>
      <c r="M366" s="2" t="s">
        <v>35</v>
      </c>
      <c r="N366" s="3">
        <v>44736.407819178239</v>
      </c>
      <c r="O366" s="3">
        <v>44736.408299247683</v>
      </c>
      <c r="P366" s="2">
        <v>0</v>
      </c>
      <c r="Q366" s="2" t="s">
        <v>109</v>
      </c>
      <c r="R366" s="2" t="s">
        <v>38</v>
      </c>
      <c r="S366" s="2" t="s">
        <v>35</v>
      </c>
      <c r="T366" s="2">
        <v>89</v>
      </c>
      <c r="U366" s="2" t="s">
        <v>35</v>
      </c>
      <c r="V366" s="2" t="b">
        <v>0</v>
      </c>
      <c r="W366" s="2" t="s">
        <v>35</v>
      </c>
      <c r="X366" s="2" t="s">
        <v>35</v>
      </c>
      <c r="Y366" s="2" t="s">
        <v>35</v>
      </c>
      <c r="Z366" s="2" t="s">
        <v>35</v>
      </c>
    </row>
    <row r="367" spans="1:26" x14ac:dyDescent="0.2">
      <c r="A367" s="2" t="s">
        <v>9255</v>
      </c>
      <c r="B367" s="2" t="b">
        <v>0</v>
      </c>
      <c r="C367" s="2" t="b">
        <v>0</v>
      </c>
      <c r="D367" s="2" t="b">
        <v>0</v>
      </c>
      <c r="E367" s="2" t="b">
        <v>0</v>
      </c>
      <c r="F367" s="2" t="s">
        <v>121</v>
      </c>
      <c r="G367" s="2" t="s">
        <v>149</v>
      </c>
      <c r="H367" s="2" t="s">
        <v>559</v>
      </c>
      <c r="I367" s="2" t="s">
        <v>35</v>
      </c>
      <c r="J367" s="2" t="s">
        <v>35</v>
      </c>
      <c r="K367" s="2" t="s">
        <v>35</v>
      </c>
      <c r="L367" s="2" t="s">
        <v>35</v>
      </c>
      <c r="M367" s="2" t="s">
        <v>35</v>
      </c>
      <c r="N367" s="3">
        <v>44736.407819328706</v>
      </c>
      <c r="O367" s="3">
        <v>44736.407851319447</v>
      </c>
      <c r="P367" s="2">
        <v>0</v>
      </c>
      <c r="Q367" s="2" t="s">
        <v>36</v>
      </c>
      <c r="R367" s="2" t="s">
        <v>38</v>
      </c>
      <c r="S367" s="2" t="s">
        <v>35</v>
      </c>
      <c r="T367" s="2" t="s">
        <v>35</v>
      </c>
      <c r="U367" s="2" t="s">
        <v>35</v>
      </c>
      <c r="V367" s="2" t="b">
        <v>0</v>
      </c>
      <c r="W367" s="2" t="s">
        <v>35</v>
      </c>
      <c r="X367" s="2" t="s">
        <v>35</v>
      </c>
      <c r="Y367" s="2" t="s">
        <v>35</v>
      </c>
      <c r="Z367" s="2" t="s">
        <v>35</v>
      </c>
    </row>
    <row r="368" spans="1:26" x14ac:dyDescent="0.2">
      <c r="A368" s="2" t="s">
        <v>9256</v>
      </c>
      <c r="B368" s="2" t="b">
        <v>0</v>
      </c>
      <c r="C368" s="2" t="b">
        <v>0</v>
      </c>
      <c r="D368" s="2" t="b">
        <v>0</v>
      </c>
      <c r="E368" s="2" t="b">
        <v>0</v>
      </c>
      <c r="F368" s="2" t="s">
        <v>121</v>
      </c>
      <c r="G368" s="2" t="s">
        <v>149</v>
      </c>
      <c r="H368" s="2" t="s">
        <v>559</v>
      </c>
      <c r="I368" s="2" t="s">
        <v>35</v>
      </c>
      <c r="J368" s="2" t="s">
        <v>35</v>
      </c>
      <c r="K368" s="2" t="s">
        <v>35</v>
      </c>
      <c r="L368" s="2" t="s">
        <v>35</v>
      </c>
      <c r="M368" s="2" t="s">
        <v>35</v>
      </c>
      <c r="N368" s="3">
        <v>44736.407819502318</v>
      </c>
      <c r="O368" s="3">
        <v>44736.407851354168</v>
      </c>
      <c r="P368" s="2">
        <v>0</v>
      </c>
      <c r="Q368" s="2" t="s">
        <v>36</v>
      </c>
      <c r="R368" s="2" t="s">
        <v>38</v>
      </c>
      <c r="S368" s="2" t="s">
        <v>35</v>
      </c>
      <c r="T368" s="2" t="s">
        <v>35</v>
      </c>
      <c r="U368" s="2" t="s">
        <v>35</v>
      </c>
      <c r="V368" s="2" t="b">
        <v>0</v>
      </c>
      <c r="W368" s="2" t="s">
        <v>35</v>
      </c>
      <c r="X368" s="2" t="s">
        <v>35</v>
      </c>
      <c r="Y368" s="2" t="s">
        <v>35</v>
      </c>
      <c r="Z368" s="2" t="s">
        <v>35</v>
      </c>
    </row>
    <row r="369" spans="1:26" x14ac:dyDescent="0.2">
      <c r="A369" s="2" t="s">
        <v>9257</v>
      </c>
      <c r="B369" s="2" t="b">
        <v>0</v>
      </c>
      <c r="C369" s="2" t="b">
        <v>0</v>
      </c>
      <c r="D369" s="2" t="b">
        <v>0</v>
      </c>
      <c r="E369" s="2" t="b">
        <v>0</v>
      </c>
      <c r="F369" s="2" t="s">
        <v>121</v>
      </c>
      <c r="G369" s="2" t="s">
        <v>149</v>
      </c>
      <c r="H369" s="2" t="s">
        <v>559</v>
      </c>
      <c r="I369" s="2" t="s">
        <v>35</v>
      </c>
      <c r="J369" s="2" t="s">
        <v>35</v>
      </c>
      <c r="K369" s="2" t="s">
        <v>35</v>
      </c>
      <c r="L369" s="2" t="s">
        <v>35</v>
      </c>
      <c r="M369" s="2" t="s">
        <v>35</v>
      </c>
      <c r="N369" s="3">
        <v>44736.407819537038</v>
      </c>
      <c r="O369" s="3">
        <v>44736.407851354168</v>
      </c>
      <c r="P369" s="2">
        <v>0</v>
      </c>
      <c r="Q369" s="2" t="s">
        <v>36</v>
      </c>
      <c r="R369" s="2" t="s">
        <v>38</v>
      </c>
      <c r="S369" s="2" t="s">
        <v>35</v>
      </c>
      <c r="T369" s="2" t="s">
        <v>35</v>
      </c>
      <c r="U369" s="2" t="s">
        <v>35</v>
      </c>
      <c r="V369" s="2" t="b">
        <v>0</v>
      </c>
      <c r="W369" s="2" t="s">
        <v>35</v>
      </c>
      <c r="X369" s="2" t="s">
        <v>35</v>
      </c>
      <c r="Y369" s="2" t="s">
        <v>35</v>
      </c>
      <c r="Z369" s="2">
        <v>4</v>
      </c>
    </row>
    <row r="370" spans="1:26" x14ac:dyDescent="0.2">
      <c r="A370" s="2" t="s">
        <v>558</v>
      </c>
      <c r="B370" s="2" t="b">
        <v>0</v>
      </c>
      <c r="C370" s="2" t="b">
        <v>0</v>
      </c>
      <c r="D370" s="2" t="b">
        <v>0</v>
      </c>
      <c r="E370" s="2" t="b">
        <v>0</v>
      </c>
      <c r="F370" s="2" t="s">
        <v>31</v>
      </c>
      <c r="G370" s="2" t="s">
        <v>149</v>
      </c>
      <c r="H370" s="2" t="s">
        <v>559</v>
      </c>
      <c r="I370" s="2" t="s">
        <v>35</v>
      </c>
      <c r="J370" s="2" t="s">
        <v>35</v>
      </c>
      <c r="K370" s="2" t="s">
        <v>35</v>
      </c>
      <c r="L370" s="2" t="s">
        <v>35</v>
      </c>
      <c r="M370" s="2" t="s">
        <v>35</v>
      </c>
      <c r="N370" s="3">
        <v>44736.407819583335</v>
      </c>
      <c r="O370" s="3">
        <v>44736.407851365744</v>
      </c>
      <c r="P370" s="2">
        <v>0</v>
      </c>
      <c r="Q370" s="2" t="s">
        <v>36</v>
      </c>
      <c r="R370" s="2" t="s">
        <v>38</v>
      </c>
      <c r="S370" s="2" t="s">
        <v>35</v>
      </c>
      <c r="T370" s="2" t="s">
        <v>35</v>
      </c>
      <c r="U370" s="2" t="s">
        <v>35</v>
      </c>
      <c r="V370" s="2" t="b">
        <v>0</v>
      </c>
      <c r="W370" s="2" t="s">
        <v>35</v>
      </c>
      <c r="X370" s="2" t="s">
        <v>35</v>
      </c>
      <c r="Y370" s="2" t="s">
        <v>35</v>
      </c>
      <c r="Z370" s="2">
        <v>4</v>
      </c>
    </row>
    <row r="371" spans="1:26" x14ac:dyDescent="0.2">
      <c r="A371" s="2" t="s">
        <v>9258</v>
      </c>
      <c r="B371" s="2" t="b">
        <v>0</v>
      </c>
      <c r="C371" s="2" t="b">
        <v>0</v>
      </c>
      <c r="D371" s="2" t="b">
        <v>0</v>
      </c>
      <c r="E371" s="2" t="b">
        <v>0</v>
      </c>
      <c r="F371" s="2" t="s">
        <v>121</v>
      </c>
      <c r="G371" s="2" t="s">
        <v>149</v>
      </c>
      <c r="H371" s="2" t="s">
        <v>556</v>
      </c>
      <c r="I371" s="2" t="s">
        <v>35</v>
      </c>
      <c r="J371" s="2" t="s">
        <v>35</v>
      </c>
      <c r="K371" s="2" t="s">
        <v>35</v>
      </c>
      <c r="L371" s="2" t="s">
        <v>35</v>
      </c>
      <c r="M371" s="2" t="s">
        <v>35</v>
      </c>
      <c r="N371" s="3">
        <v>44736.407819618056</v>
      </c>
      <c r="O371" s="3">
        <v>44736.407851377313</v>
      </c>
      <c r="P371" s="2">
        <v>0</v>
      </c>
      <c r="Q371" s="2" t="s">
        <v>35</v>
      </c>
      <c r="R371" s="2" t="s">
        <v>38</v>
      </c>
      <c r="S371" s="2" t="s">
        <v>35</v>
      </c>
      <c r="T371" s="2" t="s">
        <v>35</v>
      </c>
      <c r="U371" s="2" t="s">
        <v>35</v>
      </c>
      <c r="V371" s="2" t="b">
        <v>0</v>
      </c>
      <c r="W371" s="2" t="s">
        <v>35</v>
      </c>
      <c r="X371" s="2" t="s">
        <v>35</v>
      </c>
      <c r="Y371" s="2" t="s">
        <v>35</v>
      </c>
      <c r="Z371" s="2" t="s">
        <v>35</v>
      </c>
    </row>
    <row r="372" spans="1:26" x14ac:dyDescent="0.2">
      <c r="A372" s="2" t="s">
        <v>9259</v>
      </c>
      <c r="B372" s="2" t="b">
        <v>0</v>
      </c>
      <c r="C372" s="2" t="b">
        <v>0</v>
      </c>
      <c r="D372" s="2" t="b">
        <v>0</v>
      </c>
      <c r="E372" s="2" t="b">
        <v>0</v>
      </c>
      <c r="F372" s="2" t="s">
        <v>121</v>
      </c>
      <c r="G372" s="2" t="s">
        <v>149</v>
      </c>
      <c r="H372" s="2" t="s">
        <v>556</v>
      </c>
      <c r="I372" s="2" t="s">
        <v>35</v>
      </c>
      <c r="J372" s="2" t="s">
        <v>35</v>
      </c>
      <c r="K372" s="2" t="s">
        <v>35</v>
      </c>
      <c r="L372" s="2" t="s">
        <v>35</v>
      </c>
      <c r="M372" s="2" t="s">
        <v>35</v>
      </c>
      <c r="N372" s="3">
        <v>44736.407819652777</v>
      </c>
      <c r="O372" s="3">
        <v>44736.407851377313</v>
      </c>
      <c r="P372" s="2">
        <v>0</v>
      </c>
      <c r="Q372" s="2" t="s">
        <v>109</v>
      </c>
      <c r="R372" s="2" t="s">
        <v>38</v>
      </c>
      <c r="S372" s="2" t="s">
        <v>35</v>
      </c>
      <c r="T372" s="2" t="s">
        <v>35</v>
      </c>
      <c r="U372" s="2" t="s">
        <v>35</v>
      </c>
      <c r="V372" s="2" t="b">
        <v>0</v>
      </c>
      <c r="W372" s="2" t="s">
        <v>35</v>
      </c>
      <c r="X372" s="2" t="s">
        <v>35</v>
      </c>
      <c r="Y372" s="2" t="s">
        <v>35</v>
      </c>
      <c r="Z372" s="2" t="s">
        <v>35</v>
      </c>
    </row>
    <row r="373" spans="1:26" x14ac:dyDescent="0.2">
      <c r="A373" s="2" t="s">
        <v>9260</v>
      </c>
      <c r="B373" s="2" t="b">
        <v>0</v>
      </c>
      <c r="C373" s="2" t="b">
        <v>0</v>
      </c>
      <c r="D373" s="2" t="b">
        <v>0</v>
      </c>
      <c r="E373" s="2" t="b">
        <v>0</v>
      </c>
      <c r="F373" s="2" t="s">
        <v>121</v>
      </c>
      <c r="G373" s="2" t="s">
        <v>149</v>
      </c>
      <c r="H373" s="2" t="s">
        <v>556</v>
      </c>
      <c r="I373" s="2" t="s">
        <v>35</v>
      </c>
      <c r="J373" s="2" t="s">
        <v>35</v>
      </c>
      <c r="K373" s="2" t="s">
        <v>35</v>
      </c>
      <c r="L373" s="2" t="s">
        <v>35</v>
      </c>
      <c r="M373" s="2" t="s">
        <v>35</v>
      </c>
      <c r="N373" s="3">
        <v>44736.407819745371</v>
      </c>
      <c r="O373" s="3">
        <v>44736.407851504628</v>
      </c>
      <c r="P373" s="2">
        <v>0</v>
      </c>
      <c r="Q373" s="2" t="s">
        <v>109</v>
      </c>
      <c r="R373" s="2" t="s">
        <v>38</v>
      </c>
      <c r="S373" s="2" t="s">
        <v>35</v>
      </c>
      <c r="T373" s="2" t="s">
        <v>35</v>
      </c>
      <c r="U373" s="2" t="s">
        <v>35</v>
      </c>
      <c r="V373" s="2" t="b">
        <v>0</v>
      </c>
      <c r="W373" s="2" t="s">
        <v>35</v>
      </c>
      <c r="X373" s="2" t="s">
        <v>35</v>
      </c>
      <c r="Y373" s="2" t="s">
        <v>35</v>
      </c>
      <c r="Z373" s="2" t="s">
        <v>35</v>
      </c>
    </row>
    <row r="374" spans="1:26" x14ac:dyDescent="0.2">
      <c r="A374" s="2" t="s">
        <v>560</v>
      </c>
      <c r="B374" s="2" t="b">
        <v>0</v>
      </c>
      <c r="C374" s="2" t="b">
        <v>0</v>
      </c>
      <c r="D374" s="2" t="b">
        <v>0</v>
      </c>
      <c r="E374" s="2" t="b">
        <v>0</v>
      </c>
      <c r="F374" s="2" t="s">
        <v>31</v>
      </c>
      <c r="G374" s="2" t="s">
        <v>561</v>
      </c>
      <c r="H374" s="2" t="s">
        <v>562</v>
      </c>
      <c r="I374" s="2" t="s">
        <v>563</v>
      </c>
      <c r="J374" s="2" t="s">
        <v>35</v>
      </c>
      <c r="K374" s="2" t="s">
        <v>35</v>
      </c>
      <c r="L374" s="2" t="s">
        <v>35</v>
      </c>
      <c r="M374" s="2" t="s">
        <v>35</v>
      </c>
      <c r="N374" s="3">
        <v>44736.408426041664</v>
      </c>
      <c r="O374" s="3">
        <v>44736.410016724534</v>
      </c>
      <c r="P374" s="2">
        <v>0</v>
      </c>
      <c r="Q374" s="2" t="s">
        <v>416</v>
      </c>
      <c r="R374" s="2" t="s">
        <v>38</v>
      </c>
      <c r="S374" s="2" t="s">
        <v>35</v>
      </c>
      <c r="T374" s="2">
        <v>89</v>
      </c>
      <c r="U374" s="2" t="s">
        <v>564</v>
      </c>
      <c r="V374" s="2" t="b">
        <v>0</v>
      </c>
      <c r="W374" s="2" t="s">
        <v>35</v>
      </c>
      <c r="X374" s="2" t="s">
        <v>35</v>
      </c>
      <c r="Y374" s="2" t="s">
        <v>35</v>
      </c>
      <c r="Z374" s="2" t="s">
        <v>35</v>
      </c>
    </row>
    <row r="375" spans="1:26" x14ac:dyDescent="0.2">
      <c r="A375" s="2" t="s">
        <v>565</v>
      </c>
      <c r="B375" s="2" t="b">
        <v>0</v>
      </c>
      <c r="C375" s="2" t="b">
        <v>0</v>
      </c>
      <c r="D375" s="2" t="b">
        <v>0</v>
      </c>
      <c r="E375" s="2" t="b">
        <v>0</v>
      </c>
      <c r="F375" s="2" t="s">
        <v>31</v>
      </c>
      <c r="G375" s="2" t="s">
        <v>566</v>
      </c>
      <c r="H375" s="2" t="s">
        <v>567</v>
      </c>
      <c r="I375" s="2" t="s">
        <v>35</v>
      </c>
      <c r="J375" s="2" t="s">
        <v>35</v>
      </c>
      <c r="K375" s="2" t="s">
        <v>35</v>
      </c>
      <c r="L375" s="2">
        <v>17</v>
      </c>
      <c r="M375" s="2">
        <v>17</v>
      </c>
      <c r="N375" s="3">
        <v>44736.410451574076</v>
      </c>
      <c r="O375" s="3">
        <v>44736.410649768521</v>
      </c>
      <c r="P375" s="2">
        <v>0</v>
      </c>
      <c r="Q375" s="2" t="s">
        <v>54</v>
      </c>
      <c r="R375" s="2" t="s">
        <v>38</v>
      </c>
      <c r="S375" s="2" t="s">
        <v>35</v>
      </c>
      <c r="T375" s="2" t="s">
        <v>35</v>
      </c>
      <c r="U375" s="2" t="s">
        <v>35</v>
      </c>
      <c r="V375" s="2" t="b">
        <v>0</v>
      </c>
      <c r="W375" s="2" t="s">
        <v>35</v>
      </c>
      <c r="X375" s="2" t="s">
        <v>35</v>
      </c>
      <c r="Y375" s="2" t="s">
        <v>35</v>
      </c>
      <c r="Z375" s="2" t="s">
        <v>35</v>
      </c>
    </row>
    <row r="376" spans="1:26" x14ac:dyDescent="0.2">
      <c r="A376" s="2" t="s">
        <v>568</v>
      </c>
      <c r="B376" s="2" t="b">
        <v>0</v>
      </c>
      <c r="C376" s="2" t="b">
        <v>0</v>
      </c>
      <c r="D376" s="2" t="b">
        <v>0</v>
      </c>
      <c r="E376" s="2" t="b">
        <v>0</v>
      </c>
      <c r="F376" s="2" t="s">
        <v>31</v>
      </c>
      <c r="G376" s="2" t="s">
        <v>569</v>
      </c>
      <c r="H376" s="2" t="s">
        <v>570</v>
      </c>
      <c r="I376" s="2" t="s">
        <v>35</v>
      </c>
      <c r="J376" s="2" t="s">
        <v>35</v>
      </c>
      <c r="K376" s="2" t="s">
        <v>35</v>
      </c>
      <c r="L376" s="2" t="s">
        <v>35</v>
      </c>
      <c r="M376" s="2" t="s">
        <v>35</v>
      </c>
      <c r="N376" s="3">
        <v>44736.411900891202</v>
      </c>
      <c r="O376" s="3">
        <v>44736.412093206018</v>
      </c>
      <c r="P376" s="2">
        <v>0</v>
      </c>
      <c r="Q376" s="2" t="s">
        <v>36</v>
      </c>
      <c r="R376" s="2" t="s">
        <v>38</v>
      </c>
      <c r="S376" s="2" t="s">
        <v>35</v>
      </c>
      <c r="T376" s="2" t="s">
        <v>35</v>
      </c>
      <c r="U376" s="2" t="s">
        <v>35</v>
      </c>
      <c r="V376" s="2" t="b">
        <v>0</v>
      </c>
      <c r="W376" s="2" t="s">
        <v>35</v>
      </c>
      <c r="X376" s="2" t="s">
        <v>35</v>
      </c>
      <c r="Y376" s="2" t="s">
        <v>35</v>
      </c>
      <c r="Z376" s="2">
        <v>3</v>
      </c>
    </row>
    <row r="377" spans="1:26" x14ac:dyDescent="0.2">
      <c r="A377" s="2" t="s">
        <v>571</v>
      </c>
      <c r="B377" s="2" t="b">
        <v>0</v>
      </c>
      <c r="C377" s="2" t="b">
        <v>0</v>
      </c>
      <c r="D377" s="2" t="b">
        <v>0</v>
      </c>
      <c r="E377" s="2" t="b">
        <v>0</v>
      </c>
      <c r="F377" s="2" t="s">
        <v>31</v>
      </c>
      <c r="G377" s="2" t="s">
        <v>572</v>
      </c>
      <c r="H377" s="2" t="s">
        <v>573</v>
      </c>
      <c r="I377" s="2" t="s">
        <v>563</v>
      </c>
      <c r="J377" s="2" t="s">
        <v>35</v>
      </c>
      <c r="K377" s="2" t="s">
        <v>35</v>
      </c>
      <c r="L377" s="2" t="s">
        <v>35</v>
      </c>
      <c r="M377" s="2" t="s">
        <v>35</v>
      </c>
      <c r="N377" s="3">
        <v>44736.412365243057</v>
      </c>
      <c r="O377" s="3">
        <v>44736.41283854167</v>
      </c>
      <c r="P377" s="2">
        <v>0</v>
      </c>
      <c r="Q377" s="2" t="s">
        <v>416</v>
      </c>
      <c r="R377" s="2" t="s">
        <v>38</v>
      </c>
      <c r="S377" s="2" t="s">
        <v>35</v>
      </c>
      <c r="T377" s="2">
        <v>96</v>
      </c>
      <c r="U377" s="2" t="s">
        <v>564</v>
      </c>
      <c r="V377" s="2" t="b">
        <v>0</v>
      </c>
      <c r="W377" s="2" t="s">
        <v>35</v>
      </c>
      <c r="X377" s="2" t="s">
        <v>35</v>
      </c>
      <c r="Y377" s="2" t="s">
        <v>35</v>
      </c>
      <c r="Z377" s="2" t="s">
        <v>35</v>
      </c>
    </row>
    <row r="378" spans="1:26" x14ac:dyDescent="0.2">
      <c r="A378" s="2" t="s">
        <v>574</v>
      </c>
      <c r="B378" s="2" t="b">
        <v>0</v>
      </c>
      <c r="C378" s="2" t="b">
        <v>0</v>
      </c>
      <c r="D378" s="2" t="b">
        <v>0</v>
      </c>
      <c r="E378" s="2" t="b">
        <v>0</v>
      </c>
      <c r="F378" s="2" t="s">
        <v>31</v>
      </c>
      <c r="G378" s="2" t="s">
        <v>575</v>
      </c>
      <c r="H378" s="2" t="s">
        <v>576</v>
      </c>
      <c r="I378" s="2" t="s">
        <v>35</v>
      </c>
      <c r="J378" s="2" t="s">
        <v>35</v>
      </c>
      <c r="K378" s="2" t="s">
        <v>35</v>
      </c>
      <c r="L378" s="2" t="s">
        <v>35</v>
      </c>
      <c r="M378" s="2" t="s">
        <v>35</v>
      </c>
      <c r="N378" s="3">
        <v>44736.413240925925</v>
      </c>
      <c r="O378" s="3">
        <v>44736.41368863426</v>
      </c>
      <c r="P378" s="2">
        <v>0</v>
      </c>
      <c r="Q378" s="2" t="s">
        <v>36</v>
      </c>
      <c r="R378" s="2" t="s">
        <v>38</v>
      </c>
      <c r="S378" s="2" t="s">
        <v>35</v>
      </c>
      <c r="T378" s="2" t="s">
        <v>35</v>
      </c>
      <c r="U378" s="2" t="s">
        <v>35</v>
      </c>
      <c r="V378" s="2" t="b">
        <v>0</v>
      </c>
      <c r="W378" s="2" t="s">
        <v>35</v>
      </c>
      <c r="X378" s="2" t="s">
        <v>35</v>
      </c>
      <c r="Y378" s="2">
        <v>8</v>
      </c>
      <c r="Z378" s="2" t="s">
        <v>35</v>
      </c>
    </row>
    <row r="379" spans="1:26" x14ac:dyDescent="0.2">
      <c r="A379" s="2" t="s">
        <v>577</v>
      </c>
      <c r="B379" s="2" t="b">
        <v>0</v>
      </c>
      <c r="C379" s="2" t="b">
        <v>0</v>
      </c>
      <c r="D379" s="2" t="b">
        <v>0</v>
      </c>
      <c r="E379" s="2" t="b">
        <v>0</v>
      </c>
      <c r="F379" s="2" t="s">
        <v>31</v>
      </c>
      <c r="G379" s="2" t="s">
        <v>578</v>
      </c>
      <c r="H379" s="2" t="s">
        <v>579</v>
      </c>
      <c r="I379" s="2" t="s">
        <v>35</v>
      </c>
      <c r="J379" s="2" t="s">
        <v>35</v>
      </c>
      <c r="K379" s="2" t="s">
        <v>35</v>
      </c>
      <c r="L379" s="2" t="s">
        <v>35</v>
      </c>
      <c r="M379" s="2" t="s">
        <v>35</v>
      </c>
      <c r="N379" s="3">
        <v>44736.413720115743</v>
      </c>
      <c r="O379" s="3">
        <v>44736.413920069448</v>
      </c>
      <c r="P379" s="2">
        <v>0</v>
      </c>
      <c r="Q379" s="2" t="s">
        <v>36</v>
      </c>
      <c r="R379" s="2" t="s">
        <v>38</v>
      </c>
      <c r="S379" s="2" t="s">
        <v>35</v>
      </c>
      <c r="T379" s="2" t="s">
        <v>35</v>
      </c>
      <c r="U379" s="2" t="s">
        <v>35</v>
      </c>
      <c r="V379" s="2" t="b">
        <v>0</v>
      </c>
      <c r="W379" s="2" t="s">
        <v>35</v>
      </c>
      <c r="X379" s="2" t="s">
        <v>35</v>
      </c>
      <c r="Y379" s="2" t="s">
        <v>35</v>
      </c>
      <c r="Z379" s="2">
        <v>6</v>
      </c>
    </row>
    <row r="380" spans="1:26" x14ac:dyDescent="0.2">
      <c r="A380" s="2" t="s">
        <v>9261</v>
      </c>
      <c r="B380" s="2" t="b">
        <v>0</v>
      </c>
      <c r="C380" s="2" t="b">
        <v>0</v>
      </c>
      <c r="D380" s="2" t="b">
        <v>0</v>
      </c>
      <c r="E380" s="2" t="b">
        <v>0</v>
      </c>
      <c r="F380" s="2" t="s">
        <v>121</v>
      </c>
      <c r="G380" s="2" t="s">
        <v>149</v>
      </c>
      <c r="H380" s="2" t="s">
        <v>9262</v>
      </c>
      <c r="I380" s="2" t="s">
        <v>35</v>
      </c>
      <c r="J380" s="2" t="s">
        <v>35</v>
      </c>
      <c r="K380" s="2" t="s">
        <v>35</v>
      </c>
      <c r="L380" s="2" t="s">
        <v>35</v>
      </c>
      <c r="M380" s="2" t="s">
        <v>35</v>
      </c>
      <c r="N380" s="3">
        <v>44736.418745162038</v>
      </c>
      <c r="O380" s="3">
        <v>44736.418775358798</v>
      </c>
      <c r="P380" s="2">
        <v>0</v>
      </c>
      <c r="Q380" s="2" t="s">
        <v>35</v>
      </c>
      <c r="R380" s="2" t="s">
        <v>38</v>
      </c>
      <c r="S380" s="2" t="s">
        <v>35</v>
      </c>
      <c r="T380" s="2" t="s">
        <v>35</v>
      </c>
      <c r="U380" s="2" t="s">
        <v>35</v>
      </c>
      <c r="V380" s="2" t="b">
        <v>0</v>
      </c>
      <c r="W380" s="2" t="s">
        <v>35</v>
      </c>
      <c r="X380" s="2" t="s">
        <v>35</v>
      </c>
      <c r="Y380" s="2" t="s">
        <v>35</v>
      </c>
      <c r="Z380" s="2" t="s">
        <v>35</v>
      </c>
    </row>
    <row r="381" spans="1:26" x14ac:dyDescent="0.2">
      <c r="A381" s="2" t="s">
        <v>9263</v>
      </c>
      <c r="B381" s="2" t="b">
        <v>0</v>
      </c>
      <c r="C381" s="2" t="b">
        <v>0</v>
      </c>
      <c r="D381" s="2" t="b">
        <v>0</v>
      </c>
      <c r="E381" s="2" t="b">
        <v>0</v>
      </c>
      <c r="F381" s="2" t="s">
        <v>121</v>
      </c>
      <c r="G381" s="2" t="s">
        <v>149</v>
      </c>
      <c r="H381" s="2" t="s">
        <v>9262</v>
      </c>
      <c r="I381" s="2" t="s">
        <v>35</v>
      </c>
      <c r="J381" s="2" t="s">
        <v>35</v>
      </c>
      <c r="K381" s="2" t="s">
        <v>35</v>
      </c>
      <c r="L381" s="2" t="s">
        <v>35</v>
      </c>
      <c r="M381" s="2" t="s">
        <v>35</v>
      </c>
      <c r="N381" s="3">
        <v>44736.418745439812</v>
      </c>
      <c r="O381" s="3">
        <v>44736.418775393518</v>
      </c>
      <c r="P381" s="2">
        <v>0</v>
      </c>
      <c r="Q381" s="2" t="s">
        <v>265</v>
      </c>
      <c r="R381" s="2" t="s">
        <v>38</v>
      </c>
      <c r="S381" s="2" t="s">
        <v>35</v>
      </c>
      <c r="T381" s="2" t="s">
        <v>35</v>
      </c>
      <c r="U381" s="2" t="s">
        <v>35</v>
      </c>
      <c r="V381" s="2" t="b">
        <v>0</v>
      </c>
      <c r="W381" s="2" t="s">
        <v>35</v>
      </c>
      <c r="X381" s="2" t="s">
        <v>35</v>
      </c>
      <c r="Y381" s="2" t="s">
        <v>35</v>
      </c>
      <c r="Z381" s="2" t="s">
        <v>35</v>
      </c>
    </row>
    <row r="382" spans="1:26" x14ac:dyDescent="0.2">
      <c r="A382" s="2" t="s">
        <v>9264</v>
      </c>
      <c r="B382" s="2" t="b">
        <v>0</v>
      </c>
      <c r="C382" s="2" t="b">
        <v>0</v>
      </c>
      <c r="D382" s="2" t="b">
        <v>0</v>
      </c>
      <c r="E382" s="2" t="b">
        <v>0</v>
      </c>
      <c r="F382" s="2" t="s">
        <v>121</v>
      </c>
      <c r="G382" s="2" t="s">
        <v>149</v>
      </c>
      <c r="H382" s="2" t="s">
        <v>9262</v>
      </c>
      <c r="I382" s="2" t="s">
        <v>35</v>
      </c>
      <c r="J382" s="2" t="s">
        <v>35</v>
      </c>
      <c r="K382" s="2" t="s">
        <v>35</v>
      </c>
      <c r="L382" s="2" t="s">
        <v>35</v>
      </c>
      <c r="M382" s="2" t="s">
        <v>35</v>
      </c>
      <c r="N382" s="3">
        <v>44736.418745497685</v>
      </c>
      <c r="O382" s="3">
        <v>44736.418775405094</v>
      </c>
      <c r="P382" s="2">
        <v>0</v>
      </c>
      <c r="Q382" s="2" t="s">
        <v>265</v>
      </c>
      <c r="R382" s="2" t="s">
        <v>38</v>
      </c>
      <c r="S382" s="2" t="s">
        <v>35</v>
      </c>
      <c r="T382" s="2" t="s">
        <v>35</v>
      </c>
      <c r="U382" s="2" t="s">
        <v>35</v>
      </c>
      <c r="V382" s="2" t="b">
        <v>0</v>
      </c>
      <c r="W382" s="2" t="s">
        <v>35</v>
      </c>
      <c r="X382" s="2" t="s">
        <v>35</v>
      </c>
      <c r="Y382" s="2" t="s">
        <v>35</v>
      </c>
      <c r="Z382" s="2" t="s">
        <v>35</v>
      </c>
    </row>
    <row r="383" spans="1:26" x14ac:dyDescent="0.2">
      <c r="A383" s="2" t="s">
        <v>9265</v>
      </c>
      <c r="B383" s="2" t="b">
        <v>0</v>
      </c>
      <c r="C383" s="2" t="b">
        <v>0</v>
      </c>
      <c r="D383" s="2" t="b">
        <v>0</v>
      </c>
      <c r="E383" s="2" t="b">
        <v>0</v>
      </c>
      <c r="F383" s="2" t="s">
        <v>121</v>
      </c>
      <c r="G383" s="2" t="s">
        <v>149</v>
      </c>
      <c r="H383" s="2" t="s">
        <v>581</v>
      </c>
      <c r="I383" s="2" t="s">
        <v>35</v>
      </c>
      <c r="J383" s="2" t="s">
        <v>35</v>
      </c>
      <c r="K383" s="2" t="s">
        <v>35</v>
      </c>
      <c r="L383" s="2" t="s">
        <v>35</v>
      </c>
      <c r="M383" s="2" t="s">
        <v>35</v>
      </c>
      <c r="N383" s="3">
        <v>44736.4187475</v>
      </c>
      <c r="O383" s="3">
        <v>44736.418775405094</v>
      </c>
      <c r="P383" s="2">
        <v>0</v>
      </c>
      <c r="Q383" s="2" t="s">
        <v>35</v>
      </c>
      <c r="R383" s="2" t="s">
        <v>38</v>
      </c>
      <c r="S383" s="2" t="s">
        <v>35</v>
      </c>
      <c r="T383" s="2" t="s">
        <v>35</v>
      </c>
      <c r="U383" s="2" t="s">
        <v>35</v>
      </c>
      <c r="V383" s="2" t="b">
        <v>0</v>
      </c>
      <c r="W383" s="2" t="s">
        <v>35</v>
      </c>
      <c r="X383" s="2" t="s">
        <v>35</v>
      </c>
      <c r="Y383" s="2" t="s">
        <v>35</v>
      </c>
      <c r="Z383" s="2" t="s">
        <v>35</v>
      </c>
    </row>
    <row r="384" spans="1:26" x14ac:dyDescent="0.2">
      <c r="A384" s="2" t="s">
        <v>9266</v>
      </c>
      <c r="B384" s="2" t="b">
        <v>0</v>
      </c>
      <c r="C384" s="2" t="b">
        <v>0</v>
      </c>
      <c r="D384" s="2" t="b">
        <v>0</v>
      </c>
      <c r="E384" s="2" t="b">
        <v>0</v>
      </c>
      <c r="F384" s="2" t="s">
        <v>121</v>
      </c>
      <c r="G384" s="2" t="s">
        <v>149</v>
      </c>
      <c r="H384" s="2" t="s">
        <v>581</v>
      </c>
      <c r="I384" s="2" t="s">
        <v>35</v>
      </c>
      <c r="J384" s="2" t="s">
        <v>35</v>
      </c>
      <c r="K384" s="2" t="s">
        <v>35</v>
      </c>
      <c r="L384" s="2" t="s">
        <v>35</v>
      </c>
      <c r="M384" s="2" t="s">
        <v>35</v>
      </c>
      <c r="N384" s="3">
        <v>44736.418747708332</v>
      </c>
      <c r="O384" s="3">
        <v>44736.418775416663</v>
      </c>
      <c r="P384" s="2">
        <v>0</v>
      </c>
      <c r="Q384" s="2" t="s">
        <v>36</v>
      </c>
      <c r="R384" s="2" t="s">
        <v>38</v>
      </c>
      <c r="S384" s="2" t="s">
        <v>35</v>
      </c>
      <c r="T384" s="2" t="s">
        <v>35</v>
      </c>
      <c r="U384" s="2" t="s">
        <v>35</v>
      </c>
      <c r="V384" s="2" t="b">
        <v>0</v>
      </c>
      <c r="W384" s="2" t="s">
        <v>35</v>
      </c>
      <c r="X384" s="2" t="s">
        <v>35</v>
      </c>
      <c r="Y384" s="2" t="s">
        <v>35</v>
      </c>
      <c r="Z384" s="2" t="s">
        <v>35</v>
      </c>
    </row>
    <row r="385" spans="1:26" x14ac:dyDescent="0.2">
      <c r="A385" s="2" t="s">
        <v>9267</v>
      </c>
      <c r="B385" s="2" t="b">
        <v>0</v>
      </c>
      <c r="C385" s="2" t="b">
        <v>0</v>
      </c>
      <c r="D385" s="2" t="b">
        <v>0</v>
      </c>
      <c r="E385" s="2" t="b">
        <v>0</v>
      </c>
      <c r="F385" s="2" t="s">
        <v>121</v>
      </c>
      <c r="G385" s="2" t="s">
        <v>149</v>
      </c>
      <c r="H385" s="2" t="s">
        <v>581</v>
      </c>
      <c r="I385" s="2" t="s">
        <v>35</v>
      </c>
      <c r="J385" s="2" t="s">
        <v>35</v>
      </c>
      <c r="K385" s="2" t="s">
        <v>35</v>
      </c>
      <c r="L385" s="2" t="s">
        <v>35</v>
      </c>
      <c r="M385" s="2" t="s">
        <v>35</v>
      </c>
      <c r="N385" s="3">
        <v>44736.418747754629</v>
      </c>
      <c r="O385" s="3">
        <v>44736.418775428239</v>
      </c>
      <c r="P385" s="2">
        <v>0</v>
      </c>
      <c r="Q385" s="2" t="s">
        <v>36</v>
      </c>
      <c r="R385" s="2" t="s">
        <v>38</v>
      </c>
      <c r="S385" s="2" t="s">
        <v>35</v>
      </c>
      <c r="T385" s="2" t="s">
        <v>35</v>
      </c>
      <c r="U385" s="2" t="s">
        <v>35</v>
      </c>
      <c r="V385" s="2" t="b">
        <v>0</v>
      </c>
      <c r="W385" s="2" t="s">
        <v>35</v>
      </c>
      <c r="X385" s="2" t="s">
        <v>35</v>
      </c>
      <c r="Y385" s="2" t="s">
        <v>35</v>
      </c>
      <c r="Z385" s="2" t="s">
        <v>35</v>
      </c>
    </row>
    <row r="386" spans="1:26" x14ac:dyDescent="0.2">
      <c r="A386" s="2" t="s">
        <v>9268</v>
      </c>
      <c r="B386" s="2" t="b">
        <v>0</v>
      </c>
      <c r="C386" s="2" t="b">
        <v>0</v>
      </c>
      <c r="D386" s="2" t="b">
        <v>0</v>
      </c>
      <c r="E386" s="2" t="b">
        <v>0</v>
      </c>
      <c r="F386" s="2" t="s">
        <v>121</v>
      </c>
      <c r="G386" s="2" t="s">
        <v>149</v>
      </c>
      <c r="H386" s="2" t="s">
        <v>581</v>
      </c>
      <c r="I386" s="2" t="s">
        <v>35</v>
      </c>
      <c r="J386" s="2" t="s">
        <v>35</v>
      </c>
      <c r="K386" s="2" t="s">
        <v>35</v>
      </c>
      <c r="L386" s="2" t="s">
        <v>35</v>
      </c>
      <c r="M386" s="2" t="s">
        <v>35</v>
      </c>
      <c r="N386" s="3">
        <v>44736.41874778935</v>
      </c>
      <c r="O386" s="3">
        <v>44736.418775428239</v>
      </c>
      <c r="P386" s="2">
        <v>0</v>
      </c>
      <c r="Q386" s="2" t="s">
        <v>36</v>
      </c>
      <c r="R386" s="2" t="s">
        <v>38</v>
      </c>
      <c r="S386" s="2" t="s">
        <v>35</v>
      </c>
      <c r="T386" s="2" t="s">
        <v>35</v>
      </c>
      <c r="U386" s="2" t="s">
        <v>35</v>
      </c>
      <c r="V386" s="2" t="b">
        <v>0</v>
      </c>
      <c r="W386" s="2" t="s">
        <v>35</v>
      </c>
      <c r="X386" s="2" t="s">
        <v>35</v>
      </c>
      <c r="Y386" s="2" t="s">
        <v>35</v>
      </c>
      <c r="Z386" s="2">
        <v>4</v>
      </c>
    </row>
    <row r="387" spans="1:26" x14ac:dyDescent="0.2">
      <c r="A387" s="2" t="s">
        <v>580</v>
      </c>
      <c r="B387" s="2" t="b">
        <v>0</v>
      </c>
      <c r="C387" s="2" t="b">
        <v>0</v>
      </c>
      <c r="D387" s="2" t="b">
        <v>0</v>
      </c>
      <c r="E387" s="2" t="b">
        <v>0</v>
      </c>
      <c r="F387" s="2" t="s">
        <v>31</v>
      </c>
      <c r="G387" s="2" t="s">
        <v>149</v>
      </c>
      <c r="H387" s="2" t="s">
        <v>581</v>
      </c>
      <c r="I387" s="2" t="s">
        <v>35</v>
      </c>
      <c r="J387" s="2" t="s">
        <v>35</v>
      </c>
      <c r="K387" s="2" t="s">
        <v>35</v>
      </c>
      <c r="L387" s="2" t="s">
        <v>35</v>
      </c>
      <c r="M387" s="2" t="s">
        <v>35</v>
      </c>
      <c r="N387" s="3">
        <v>44736.418747835647</v>
      </c>
      <c r="O387" s="3">
        <v>44736.418775555554</v>
      </c>
      <c r="P387" s="2">
        <v>0</v>
      </c>
      <c r="Q387" s="2" t="s">
        <v>36</v>
      </c>
      <c r="R387" s="2" t="s">
        <v>38</v>
      </c>
      <c r="S387" s="2" t="s">
        <v>35</v>
      </c>
      <c r="T387" s="2" t="s">
        <v>35</v>
      </c>
      <c r="U387" s="2" t="s">
        <v>35</v>
      </c>
      <c r="V387" s="2" t="b">
        <v>0</v>
      </c>
      <c r="W387" s="2" t="s">
        <v>35</v>
      </c>
      <c r="X387" s="2" t="s">
        <v>35</v>
      </c>
      <c r="Y387" s="2" t="s">
        <v>35</v>
      </c>
      <c r="Z387" s="2">
        <v>4</v>
      </c>
    </row>
    <row r="388" spans="1:26" x14ac:dyDescent="0.2">
      <c r="A388" s="2" t="s">
        <v>9269</v>
      </c>
      <c r="B388" s="2" t="b">
        <v>0</v>
      </c>
      <c r="C388" s="2" t="b">
        <v>0</v>
      </c>
      <c r="D388" s="2" t="b">
        <v>0</v>
      </c>
      <c r="E388" s="2" t="b">
        <v>0</v>
      </c>
      <c r="F388" s="2" t="s">
        <v>121</v>
      </c>
      <c r="G388" s="2" t="s">
        <v>149</v>
      </c>
      <c r="H388" s="2" t="s">
        <v>583</v>
      </c>
      <c r="I388" s="2" t="s">
        <v>35</v>
      </c>
      <c r="J388" s="2" t="s">
        <v>35</v>
      </c>
      <c r="K388" s="2" t="s">
        <v>35</v>
      </c>
      <c r="L388" s="2" t="s">
        <v>35</v>
      </c>
      <c r="M388" s="2" t="s">
        <v>35</v>
      </c>
      <c r="N388" s="3">
        <v>44736.418747870368</v>
      </c>
      <c r="O388" s="3">
        <v>44736.41877556713</v>
      </c>
      <c r="P388" s="2">
        <v>0</v>
      </c>
      <c r="Q388" s="2" t="s">
        <v>35</v>
      </c>
      <c r="R388" s="2" t="s">
        <v>38</v>
      </c>
      <c r="S388" s="2" t="s">
        <v>35</v>
      </c>
      <c r="T388" s="2" t="s">
        <v>35</v>
      </c>
      <c r="U388" s="2" t="s">
        <v>35</v>
      </c>
      <c r="V388" s="2" t="b">
        <v>0</v>
      </c>
      <c r="W388" s="2" t="s">
        <v>35</v>
      </c>
      <c r="X388" s="2" t="s">
        <v>35</v>
      </c>
      <c r="Y388" s="2" t="s">
        <v>35</v>
      </c>
      <c r="Z388" s="2" t="s">
        <v>35</v>
      </c>
    </row>
    <row r="389" spans="1:26" x14ac:dyDescent="0.2">
      <c r="A389" s="2" t="s">
        <v>9270</v>
      </c>
      <c r="B389" s="2" t="b">
        <v>0</v>
      </c>
      <c r="C389" s="2" t="b">
        <v>0</v>
      </c>
      <c r="D389" s="2" t="b">
        <v>0</v>
      </c>
      <c r="E389" s="2" t="b">
        <v>0</v>
      </c>
      <c r="F389" s="2" t="s">
        <v>121</v>
      </c>
      <c r="G389" s="2" t="s">
        <v>149</v>
      </c>
      <c r="H389" s="2" t="s">
        <v>583</v>
      </c>
      <c r="I389" s="2" t="s">
        <v>35</v>
      </c>
      <c r="J389" s="2" t="s">
        <v>35</v>
      </c>
      <c r="K389" s="2" t="s">
        <v>35</v>
      </c>
      <c r="L389" s="2" t="s">
        <v>35</v>
      </c>
      <c r="M389" s="2" t="s">
        <v>35</v>
      </c>
      <c r="N389" s="3">
        <v>44736.418747905096</v>
      </c>
      <c r="O389" s="3">
        <v>44736.418775578706</v>
      </c>
      <c r="P389" s="2">
        <v>0</v>
      </c>
      <c r="Q389" s="2" t="s">
        <v>36</v>
      </c>
      <c r="R389" s="2" t="s">
        <v>38</v>
      </c>
      <c r="S389" s="2" t="s">
        <v>35</v>
      </c>
      <c r="T389" s="2" t="s">
        <v>35</v>
      </c>
      <c r="U389" s="2" t="s">
        <v>35</v>
      </c>
      <c r="V389" s="2" t="b">
        <v>0</v>
      </c>
      <c r="W389" s="2" t="s">
        <v>35</v>
      </c>
      <c r="X389" s="2" t="s">
        <v>35</v>
      </c>
      <c r="Y389" s="2" t="s">
        <v>35</v>
      </c>
      <c r="Z389" s="2" t="s">
        <v>35</v>
      </c>
    </row>
    <row r="390" spans="1:26" x14ac:dyDescent="0.2">
      <c r="A390" s="2" t="s">
        <v>9271</v>
      </c>
      <c r="B390" s="2" t="b">
        <v>0</v>
      </c>
      <c r="C390" s="2" t="b">
        <v>0</v>
      </c>
      <c r="D390" s="2" t="b">
        <v>0</v>
      </c>
      <c r="E390" s="2" t="b">
        <v>0</v>
      </c>
      <c r="F390" s="2" t="s">
        <v>121</v>
      </c>
      <c r="G390" s="2" t="s">
        <v>149</v>
      </c>
      <c r="H390" s="2" t="s">
        <v>583</v>
      </c>
      <c r="I390" s="2" t="s">
        <v>35</v>
      </c>
      <c r="J390" s="2" t="s">
        <v>35</v>
      </c>
      <c r="K390" s="2" t="s">
        <v>35</v>
      </c>
      <c r="L390" s="2" t="s">
        <v>35</v>
      </c>
      <c r="M390" s="2" t="s">
        <v>35</v>
      </c>
      <c r="N390" s="3">
        <v>44736.418761030094</v>
      </c>
      <c r="O390" s="3">
        <v>44736.418775578706</v>
      </c>
      <c r="P390" s="2">
        <v>0</v>
      </c>
      <c r="Q390" s="2" t="s">
        <v>36</v>
      </c>
      <c r="R390" s="2" t="s">
        <v>38</v>
      </c>
      <c r="S390" s="2" t="s">
        <v>35</v>
      </c>
      <c r="T390" s="2" t="s">
        <v>35</v>
      </c>
      <c r="U390" s="2" t="s">
        <v>35</v>
      </c>
      <c r="V390" s="2" t="b">
        <v>0</v>
      </c>
      <c r="W390" s="2" t="s">
        <v>35</v>
      </c>
      <c r="X390" s="2" t="s">
        <v>35</v>
      </c>
      <c r="Y390" s="2" t="s">
        <v>35</v>
      </c>
      <c r="Z390" s="2" t="s">
        <v>35</v>
      </c>
    </row>
    <row r="391" spans="1:26" x14ac:dyDescent="0.2">
      <c r="A391" s="2" t="s">
        <v>9272</v>
      </c>
      <c r="B391" s="2" t="b">
        <v>0</v>
      </c>
      <c r="C391" s="2" t="b">
        <v>0</v>
      </c>
      <c r="D391" s="2" t="b">
        <v>0</v>
      </c>
      <c r="E391" s="2" t="b">
        <v>0</v>
      </c>
      <c r="F391" s="2" t="s">
        <v>121</v>
      </c>
      <c r="G391" s="2" t="s">
        <v>149</v>
      </c>
      <c r="H391" s="2" t="s">
        <v>583</v>
      </c>
      <c r="I391" s="2" t="s">
        <v>35</v>
      </c>
      <c r="J391" s="2" t="s">
        <v>35</v>
      </c>
      <c r="K391" s="2" t="s">
        <v>35</v>
      </c>
      <c r="L391" s="2" t="s">
        <v>35</v>
      </c>
      <c r="M391" s="2" t="s">
        <v>35</v>
      </c>
      <c r="N391" s="3">
        <v>44736.418761064815</v>
      </c>
      <c r="O391" s="3">
        <v>44736.418775590275</v>
      </c>
      <c r="P391" s="2">
        <v>0</v>
      </c>
      <c r="Q391" s="2" t="s">
        <v>36</v>
      </c>
      <c r="R391" s="2" t="s">
        <v>38</v>
      </c>
      <c r="S391" s="2" t="s">
        <v>35</v>
      </c>
      <c r="T391" s="2" t="s">
        <v>35</v>
      </c>
      <c r="U391" s="2" t="s">
        <v>35</v>
      </c>
      <c r="V391" s="2" t="b">
        <v>0</v>
      </c>
      <c r="W391" s="2" t="s">
        <v>35</v>
      </c>
      <c r="X391" s="2" t="s">
        <v>35</v>
      </c>
      <c r="Y391" s="2">
        <v>9</v>
      </c>
      <c r="Z391" s="2">
        <v>4</v>
      </c>
    </row>
    <row r="392" spans="1:26" x14ac:dyDescent="0.2">
      <c r="A392" s="2" t="s">
        <v>9273</v>
      </c>
      <c r="B392" s="2" t="b">
        <v>0</v>
      </c>
      <c r="C392" s="2" t="b">
        <v>0</v>
      </c>
      <c r="D392" s="2" t="b">
        <v>0</v>
      </c>
      <c r="E392" s="2" t="b">
        <v>0</v>
      </c>
      <c r="F392" s="2" t="s">
        <v>121</v>
      </c>
      <c r="G392" s="2" t="s">
        <v>149</v>
      </c>
      <c r="H392" s="2" t="s">
        <v>583</v>
      </c>
      <c r="I392" s="2" t="s">
        <v>35</v>
      </c>
      <c r="J392" s="2" t="s">
        <v>35</v>
      </c>
      <c r="K392" s="2" t="s">
        <v>35</v>
      </c>
      <c r="L392" s="2" t="s">
        <v>35</v>
      </c>
      <c r="M392" s="2" t="s">
        <v>35</v>
      </c>
      <c r="N392" s="3">
        <v>44736.418761099536</v>
      </c>
      <c r="O392" s="3">
        <v>44736.418775682869</v>
      </c>
      <c r="P392" s="2">
        <v>0</v>
      </c>
      <c r="Q392" s="2" t="s">
        <v>36</v>
      </c>
      <c r="R392" s="2" t="s">
        <v>38</v>
      </c>
      <c r="S392" s="2" t="s">
        <v>35</v>
      </c>
      <c r="T392" s="2" t="s">
        <v>35</v>
      </c>
      <c r="U392" s="2" t="s">
        <v>35</v>
      </c>
      <c r="V392" s="2" t="b">
        <v>0</v>
      </c>
      <c r="W392" s="2" t="s">
        <v>35</v>
      </c>
      <c r="X392" s="2" t="s">
        <v>35</v>
      </c>
      <c r="Y392" s="2">
        <v>9</v>
      </c>
      <c r="Z392" s="2">
        <v>4</v>
      </c>
    </row>
    <row r="393" spans="1:26" x14ac:dyDescent="0.2">
      <c r="A393" s="2" t="s">
        <v>582</v>
      </c>
      <c r="B393" s="2" t="b">
        <v>0</v>
      </c>
      <c r="C393" s="2" t="b">
        <v>0</v>
      </c>
      <c r="D393" s="2" t="b">
        <v>0</v>
      </c>
      <c r="E393" s="2" t="b">
        <v>0</v>
      </c>
      <c r="F393" s="2" t="s">
        <v>121</v>
      </c>
      <c r="G393" s="2" t="s">
        <v>149</v>
      </c>
      <c r="H393" s="2" t="s">
        <v>583</v>
      </c>
      <c r="I393" s="2" t="s">
        <v>584</v>
      </c>
      <c r="J393" s="2" t="s">
        <v>35</v>
      </c>
      <c r="K393" s="2" t="s">
        <v>35</v>
      </c>
      <c r="L393" s="2" t="s">
        <v>35</v>
      </c>
      <c r="M393" s="2" t="s">
        <v>35</v>
      </c>
      <c r="N393" s="3">
        <v>44736.41876119213</v>
      </c>
      <c r="O393" s="3">
        <v>44736.418775682869</v>
      </c>
      <c r="P393" s="2">
        <v>0</v>
      </c>
      <c r="Q393" s="2" t="s">
        <v>36</v>
      </c>
      <c r="R393" s="2" t="s">
        <v>38</v>
      </c>
      <c r="S393" s="2" t="s">
        <v>35</v>
      </c>
      <c r="T393" s="2" t="s">
        <v>35</v>
      </c>
      <c r="U393" s="2" t="s">
        <v>35</v>
      </c>
      <c r="V393" s="2" t="b">
        <v>0</v>
      </c>
      <c r="W393" s="2" t="s">
        <v>35</v>
      </c>
      <c r="X393" s="2" t="s">
        <v>35</v>
      </c>
      <c r="Y393" s="2">
        <v>9</v>
      </c>
      <c r="Z393" s="2">
        <v>4</v>
      </c>
    </row>
    <row r="394" spans="1:26" x14ac:dyDescent="0.2">
      <c r="A394" s="2" t="s">
        <v>585</v>
      </c>
      <c r="B394" s="2" t="b">
        <v>0</v>
      </c>
      <c r="C394" s="2" t="b">
        <v>0</v>
      </c>
      <c r="D394" s="2" t="b">
        <v>0</v>
      </c>
      <c r="E394" s="2" t="b">
        <v>0</v>
      </c>
      <c r="F394" s="2" t="s">
        <v>31</v>
      </c>
      <c r="G394" s="2" t="s">
        <v>586</v>
      </c>
      <c r="H394" s="2" t="s">
        <v>587</v>
      </c>
      <c r="I394" s="2" t="s">
        <v>588</v>
      </c>
      <c r="J394" s="2" t="s">
        <v>35</v>
      </c>
      <c r="K394" s="2" t="s">
        <v>35</v>
      </c>
      <c r="L394" s="2" t="s">
        <v>35</v>
      </c>
      <c r="M394" s="2" t="s">
        <v>35</v>
      </c>
      <c r="N394" s="3">
        <v>44736.418761226851</v>
      </c>
      <c r="O394" s="3">
        <v>44736.419815949077</v>
      </c>
      <c r="P394" s="2">
        <v>0</v>
      </c>
      <c r="Q394" s="2" t="s">
        <v>36</v>
      </c>
      <c r="R394" s="2" t="s">
        <v>38</v>
      </c>
      <c r="S394" s="2" t="s">
        <v>35</v>
      </c>
      <c r="T394" s="2" t="s">
        <v>35</v>
      </c>
      <c r="U394" s="2" t="s">
        <v>35</v>
      </c>
      <c r="V394" s="2" t="b">
        <v>0</v>
      </c>
      <c r="W394" s="2" t="s">
        <v>35</v>
      </c>
      <c r="X394" s="2" t="s">
        <v>35</v>
      </c>
      <c r="Y394" s="2">
        <v>4</v>
      </c>
      <c r="Z394" s="2">
        <v>4</v>
      </c>
    </row>
    <row r="395" spans="1:26" x14ac:dyDescent="0.2">
      <c r="A395" s="2" t="s">
        <v>589</v>
      </c>
      <c r="B395" s="2" t="b">
        <v>0</v>
      </c>
      <c r="C395" s="2" t="b">
        <v>0</v>
      </c>
      <c r="D395" s="2" t="b">
        <v>0</v>
      </c>
      <c r="E395" s="2" t="b">
        <v>0</v>
      </c>
      <c r="F395" s="2" t="s">
        <v>31</v>
      </c>
      <c r="G395" s="2" t="s">
        <v>590</v>
      </c>
      <c r="H395" s="2" t="s">
        <v>591</v>
      </c>
      <c r="I395" s="2" t="s">
        <v>35</v>
      </c>
      <c r="J395" s="2" t="s">
        <v>35</v>
      </c>
      <c r="K395" s="2" t="s">
        <v>35</v>
      </c>
      <c r="L395" s="2" t="s">
        <v>35</v>
      </c>
      <c r="M395" s="2" t="s">
        <v>35</v>
      </c>
      <c r="N395" s="3">
        <v>44736.419866307871</v>
      </c>
      <c r="O395" s="3">
        <v>44736.420235196761</v>
      </c>
      <c r="P395" s="2">
        <v>0</v>
      </c>
      <c r="Q395" s="2" t="s">
        <v>36</v>
      </c>
      <c r="R395" s="2" t="s">
        <v>38</v>
      </c>
      <c r="S395" s="2" t="s">
        <v>35</v>
      </c>
      <c r="T395" s="2" t="s">
        <v>35</v>
      </c>
      <c r="U395" s="2" t="s">
        <v>35</v>
      </c>
      <c r="V395" s="2" t="b">
        <v>0</v>
      </c>
      <c r="W395" s="2" t="s">
        <v>35</v>
      </c>
      <c r="X395" s="2" t="s">
        <v>35</v>
      </c>
      <c r="Y395" s="2" t="s">
        <v>35</v>
      </c>
      <c r="Z395" s="2">
        <v>4</v>
      </c>
    </row>
    <row r="396" spans="1:26" x14ac:dyDescent="0.2">
      <c r="A396" s="2" t="s">
        <v>592</v>
      </c>
      <c r="B396" s="2" t="b">
        <v>0</v>
      </c>
      <c r="C396" s="2" t="b">
        <v>0</v>
      </c>
      <c r="D396" s="2" t="b">
        <v>0</v>
      </c>
      <c r="E396" s="2" t="b">
        <v>0</v>
      </c>
      <c r="F396" s="2" t="s">
        <v>31</v>
      </c>
      <c r="G396" s="2" t="s">
        <v>593</v>
      </c>
      <c r="H396" s="2" t="s">
        <v>594</v>
      </c>
      <c r="I396" s="2" t="s">
        <v>35</v>
      </c>
      <c r="J396" s="2" t="s">
        <v>35</v>
      </c>
      <c r="K396" s="2" t="s">
        <v>35</v>
      </c>
      <c r="L396" s="2" t="s">
        <v>35</v>
      </c>
      <c r="M396" s="2" t="s">
        <v>35</v>
      </c>
      <c r="N396" s="3">
        <v>44736.42148827546</v>
      </c>
      <c r="O396" s="3">
        <v>44736.421627997683</v>
      </c>
      <c r="P396" s="2">
        <v>0</v>
      </c>
      <c r="Q396" s="2" t="s">
        <v>36</v>
      </c>
      <c r="R396" s="2" t="s">
        <v>38</v>
      </c>
      <c r="S396" s="2" t="s">
        <v>35</v>
      </c>
      <c r="T396" s="2" t="s">
        <v>35</v>
      </c>
      <c r="U396" s="2" t="s">
        <v>35</v>
      </c>
      <c r="V396" s="2" t="b">
        <v>0</v>
      </c>
      <c r="W396" s="2" t="s">
        <v>35</v>
      </c>
      <c r="X396" s="2" t="s">
        <v>35</v>
      </c>
      <c r="Y396" s="2" t="s">
        <v>35</v>
      </c>
      <c r="Z396" s="2">
        <v>2</v>
      </c>
    </row>
    <row r="397" spans="1:26" x14ac:dyDescent="0.2">
      <c r="A397" s="2" t="s">
        <v>595</v>
      </c>
      <c r="B397" s="2" t="b">
        <v>0</v>
      </c>
      <c r="C397" s="2" t="b">
        <v>0</v>
      </c>
      <c r="D397" s="2" t="b">
        <v>0</v>
      </c>
      <c r="E397" s="2" t="b">
        <v>0</v>
      </c>
      <c r="F397" s="2" t="s">
        <v>31</v>
      </c>
      <c r="G397" s="2" t="s">
        <v>596</v>
      </c>
      <c r="H397" s="2" t="s">
        <v>597</v>
      </c>
      <c r="I397" s="2" t="s">
        <v>598</v>
      </c>
      <c r="J397" s="2" t="s">
        <v>35</v>
      </c>
      <c r="K397" s="2" t="s">
        <v>35</v>
      </c>
      <c r="L397" s="2" t="s">
        <v>35</v>
      </c>
      <c r="M397" s="2" t="s">
        <v>35</v>
      </c>
      <c r="N397" s="3">
        <v>44736.421960277781</v>
      </c>
      <c r="O397" s="3">
        <v>44736.422284652777</v>
      </c>
      <c r="P397" s="2">
        <v>0</v>
      </c>
      <c r="Q397" s="2" t="s">
        <v>36</v>
      </c>
      <c r="R397" s="2" t="s">
        <v>38</v>
      </c>
      <c r="S397" s="2" t="s">
        <v>35</v>
      </c>
      <c r="T397" s="2" t="s">
        <v>35</v>
      </c>
      <c r="U397" s="2" t="s">
        <v>35</v>
      </c>
      <c r="V397" s="2" t="b">
        <v>0</v>
      </c>
      <c r="W397" s="2" t="s">
        <v>35</v>
      </c>
      <c r="X397" s="2" t="s">
        <v>35</v>
      </c>
      <c r="Y397" s="2">
        <v>4</v>
      </c>
      <c r="Z397" s="2" t="s">
        <v>35</v>
      </c>
    </row>
    <row r="398" spans="1:26" x14ac:dyDescent="0.2">
      <c r="A398" s="2" t="s">
        <v>599</v>
      </c>
      <c r="B398" s="2" t="b">
        <v>0</v>
      </c>
      <c r="C398" s="2" t="b">
        <v>0</v>
      </c>
      <c r="D398" s="2" t="b">
        <v>0</v>
      </c>
      <c r="E398" s="2" t="b">
        <v>0</v>
      </c>
      <c r="F398" s="2" t="s">
        <v>31</v>
      </c>
      <c r="G398" s="2" t="s">
        <v>600</v>
      </c>
      <c r="H398" s="2" t="s">
        <v>601</v>
      </c>
      <c r="I398" s="2" t="s">
        <v>602</v>
      </c>
      <c r="J398" s="2" t="s">
        <v>35</v>
      </c>
      <c r="K398" s="2" t="s">
        <v>35</v>
      </c>
      <c r="L398" s="2" t="s">
        <v>35</v>
      </c>
      <c r="M398" s="2" t="s">
        <v>35</v>
      </c>
      <c r="N398" s="3">
        <v>44736.422736550929</v>
      </c>
      <c r="O398" s="3">
        <v>44736.423546458333</v>
      </c>
      <c r="P398" s="2">
        <v>0</v>
      </c>
      <c r="Q398" s="2" t="s">
        <v>36</v>
      </c>
      <c r="R398" s="2" t="s">
        <v>38</v>
      </c>
      <c r="S398" s="2" t="s">
        <v>35</v>
      </c>
      <c r="T398" s="2" t="s">
        <v>35</v>
      </c>
      <c r="U398" s="2" t="s">
        <v>35</v>
      </c>
      <c r="V398" s="2" t="b">
        <v>0</v>
      </c>
      <c r="W398" s="2" t="s">
        <v>35</v>
      </c>
      <c r="X398" s="2" t="s">
        <v>35</v>
      </c>
      <c r="Y398" s="2">
        <v>5</v>
      </c>
      <c r="Z398" s="2" t="s">
        <v>35</v>
      </c>
    </row>
    <row r="399" spans="1:26" x14ac:dyDescent="0.2">
      <c r="A399" s="2" t="s">
        <v>603</v>
      </c>
      <c r="B399" s="2" t="b">
        <v>0</v>
      </c>
      <c r="C399" s="2" t="b">
        <v>0</v>
      </c>
      <c r="D399" s="2" t="b">
        <v>0</v>
      </c>
      <c r="E399" s="2" t="b">
        <v>0</v>
      </c>
      <c r="F399" s="2" t="s">
        <v>31</v>
      </c>
      <c r="G399" s="2" t="s">
        <v>604</v>
      </c>
      <c r="H399" s="2" t="s">
        <v>605</v>
      </c>
      <c r="I399" s="2" t="s">
        <v>35</v>
      </c>
      <c r="J399" s="2" t="s">
        <v>35</v>
      </c>
      <c r="K399" s="2" t="s">
        <v>35</v>
      </c>
      <c r="L399" s="2" t="s">
        <v>35</v>
      </c>
      <c r="M399" s="2" t="s">
        <v>35</v>
      </c>
      <c r="N399" s="3">
        <v>44736.424343287035</v>
      </c>
      <c r="O399" s="3">
        <v>44736.424500138892</v>
      </c>
      <c r="P399" s="2">
        <v>0</v>
      </c>
      <c r="Q399" s="2" t="s">
        <v>36</v>
      </c>
      <c r="R399" s="2" t="s">
        <v>38</v>
      </c>
      <c r="S399" s="2" t="s">
        <v>35</v>
      </c>
      <c r="T399" s="2" t="s">
        <v>35</v>
      </c>
      <c r="U399" s="2" t="s">
        <v>35</v>
      </c>
      <c r="V399" s="2" t="b">
        <v>0</v>
      </c>
      <c r="W399" s="2" t="s">
        <v>35</v>
      </c>
      <c r="X399" s="2" t="s">
        <v>35</v>
      </c>
      <c r="Y399" s="2" t="s">
        <v>35</v>
      </c>
      <c r="Z399" s="2">
        <v>4</v>
      </c>
    </row>
    <row r="400" spans="1:26" x14ac:dyDescent="0.2">
      <c r="A400" s="2" t="s">
        <v>606</v>
      </c>
      <c r="B400" s="2" t="b">
        <v>0</v>
      </c>
      <c r="C400" s="2" t="b">
        <v>0</v>
      </c>
      <c r="D400" s="2" t="b">
        <v>0</v>
      </c>
      <c r="E400" s="2" t="b">
        <v>0</v>
      </c>
      <c r="F400" s="2" t="s">
        <v>31</v>
      </c>
      <c r="G400" s="2" t="s">
        <v>607</v>
      </c>
      <c r="H400" s="2" t="s">
        <v>608</v>
      </c>
      <c r="I400" s="2" t="s">
        <v>35</v>
      </c>
      <c r="J400" s="2" t="s">
        <v>35</v>
      </c>
      <c r="K400" s="2" t="s">
        <v>35</v>
      </c>
      <c r="L400" s="2" t="s">
        <v>35</v>
      </c>
      <c r="M400" s="2" t="s">
        <v>35</v>
      </c>
      <c r="N400" s="3">
        <v>44736.426496342596</v>
      </c>
      <c r="O400" s="3">
        <v>44736.426652569447</v>
      </c>
      <c r="P400" s="2">
        <v>0</v>
      </c>
      <c r="Q400" s="2" t="s">
        <v>36</v>
      </c>
      <c r="R400" s="2" t="s">
        <v>38</v>
      </c>
      <c r="S400" s="2" t="s">
        <v>35</v>
      </c>
      <c r="T400" s="2" t="s">
        <v>35</v>
      </c>
      <c r="U400" s="2" t="s">
        <v>35</v>
      </c>
      <c r="V400" s="2" t="b">
        <v>0</v>
      </c>
      <c r="W400" s="2" t="s">
        <v>35</v>
      </c>
      <c r="X400" s="2" t="s">
        <v>35</v>
      </c>
      <c r="Y400" s="2" t="s">
        <v>35</v>
      </c>
      <c r="Z400" s="2">
        <v>4</v>
      </c>
    </row>
    <row r="401" spans="1:26" x14ac:dyDescent="0.2">
      <c r="A401" s="2" t="s">
        <v>609</v>
      </c>
      <c r="B401" s="2" t="b">
        <v>0</v>
      </c>
      <c r="C401" s="2" t="b">
        <v>0</v>
      </c>
      <c r="D401" s="2" t="b">
        <v>0</v>
      </c>
      <c r="E401" s="2" t="b">
        <v>0</v>
      </c>
      <c r="F401" s="2" t="s">
        <v>31</v>
      </c>
      <c r="G401" s="2" t="s">
        <v>610</v>
      </c>
      <c r="H401" s="2" t="s">
        <v>611</v>
      </c>
      <c r="I401" s="2" t="s">
        <v>35</v>
      </c>
      <c r="J401" s="2" t="s">
        <v>35</v>
      </c>
      <c r="K401" s="2" t="s">
        <v>35</v>
      </c>
      <c r="L401" s="2" t="s">
        <v>35</v>
      </c>
      <c r="M401" s="2" t="s">
        <v>35</v>
      </c>
      <c r="N401" s="3">
        <v>44736.427273831017</v>
      </c>
      <c r="O401" s="3">
        <v>44736.427495868054</v>
      </c>
      <c r="P401" s="2">
        <v>0</v>
      </c>
      <c r="Q401" s="2" t="s">
        <v>36</v>
      </c>
      <c r="R401" s="2" t="s">
        <v>38</v>
      </c>
      <c r="S401" s="2" t="s">
        <v>35</v>
      </c>
      <c r="T401" s="2" t="s">
        <v>35</v>
      </c>
      <c r="U401" s="2" t="s">
        <v>35</v>
      </c>
      <c r="V401" s="2" t="b">
        <v>0</v>
      </c>
      <c r="W401" s="2" t="s">
        <v>35</v>
      </c>
      <c r="X401" s="2" t="s">
        <v>35</v>
      </c>
      <c r="Y401" s="2" t="s">
        <v>35</v>
      </c>
      <c r="Z401" s="2">
        <v>2</v>
      </c>
    </row>
    <row r="402" spans="1:26" x14ac:dyDescent="0.2">
      <c r="A402" s="2" t="s">
        <v>612</v>
      </c>
      <c r="B402" s="2" t="b">
        <v>0</v>
      </c>
      <c r="C402" s="2" t="b">
        <v>0</v>
      </c>
      <c r="D402" s="2" t="b">
        <v>0</v>
      </c>
      <c r="E402" s="2" t="b">
        <v>0</v>
      </c>
      <c r="F402" s="2" t="s">
        <v>31</v>
      </c>
      <c r="G402" s="2" t="s">
        <v>613</v>
      </c>
      <c r="H402" s="2" t="s">
        <v>614</v>
      </c>
      <c r="I402" s="2" t="s">
        <v>35</v>
      </c>
      <c r="J402" s="2" t="s">
        <v>35</v>
      </c>
      <c r="K402" s="2" t="s">
        <v>35</v>
      </c>
      <c r="L402" s="2" t="s">
        <v>35</v>
      </c>
      <c r="M402" s="2" t="s">
        <v>35</v>
      </c>
      <c r="N402" s="3">
        <v>44736.428087997687</v>
      </c>
      <c r="O402" s="3">
        <v>44736.428263321759</v>
      </c>
      <c r="P402" s="2">
        <v>0</v>
      </c>
      <c r="Q402" s="2" t="s">
        <v>36</v>
      </c>
      <c r="R402" s="2" t="s">
        <v>38</v>
      </c>
      <c r="S402" s="2" t="s">
        <v>35</v>
      </c>
      <c r="T402" s="2" t="s">
        <v>35</v>
      </c>
      <c r="U402" s="2" t="s">
        <v>35</v>
      </c>
      <c r="V402" s="2" t="b">
        <v>0</v>
      </c>
      <c r="W402" s="2" t="s">
        <v>35</v>
      </c>
      <c r="X402" s="2" t="s">
        <v>35</v>
      </c>
      <c r="Y402" s="2" t="s">
        <v>35</v>
      </c>
      <c r="Z402" s="2">
        <v>2</v>
      </c>
    </row>
    <row r="403" spans="1:26" x14ac:dyDescent="0.2">
      <c r="A403" s="2" t="s">
        <v>615</v>
      </c>
      <c r="B403" s="2" t="b">
        <v>0</v>
      </c>
      <c r="C403" s="2" t="b">
        <v>0</v>
      </c>
      <c r="D403" s="2" t="b">
        <v>0</v>
      </c>
      <c r="E403" s="2" t="b">
        <v>0</v>
      </c>
      <c r="F403" s="2" t="s">
        <v>31</v>
      </c>
      <c r="G403" s="2" t="s">
        <v>616</v>
      </c>
      <c r="H403" s="2" t="s">
        <v>617</v>
      </c>
      <c r="I403" s="2" t="s">
        <v>35</v>
      </c>
      <c r="J403" s="2" t="s">
        <v>35</v>
      </c>
      <c r="K403" s="2" t="s">
        <v>35</v>
      </c>
      <c r="L403" s="2" t="s">
        <v>35</v>
      </c>
      <c r="M403" s="2" t="s">
        <v>35</v>
      </c>
      <c r="N403" s="3">
        <v>44736.429177916667</v>
      </c>
      <c r="O403" s="3">
        <v>44736.429305439815</v>
      </c>
      <c r="P403" s="2">
        <v>0</v>
      </c>
      <c r="Q403" s="2" t="s">
        <v>36</v>
      </c>
      <c r="R403" s="2" t="s">
        <v>38</v>
      </c>
      <c r="S403" s="2" t="s">
        <v>35</v>
      </c>
      <c r="T403" s="2" t="s">
        <v>35</v>
      </c>
      <c r="U403" s="2" t="s">
        <v>35</v>
      </c>
      <c r="V403" s="2" t="b">
        <v>0</v>
      </c>
      <c r="W403" s="2" t="s">
        <v>35</v>
      </c>
      <c r="X403" s="2" t="s">
        <v>35</v>
      </c>
      <c r="Y403" s="2" t="s">
        <v>35</v>
      </c>
      <c r="Z403" s="2">
        <v>4</v>
      </c>
    </row>
    <row r="404" spans="1:26" x14ac:dyDescent="0.2">
      <c r="A404" s="2" t="s">
        <v>618</v>
      </c>
      <c r="B404" s="2" t="b">
        <v>0</v>
      </c>
      <c r="C404" s="2" t="b">
        <v>0</v>
      </c>
      <c r="D404" s="2" t="b">
        <v>0</v>
      </c>
      <c r="E404" s="2" t="b">
        <v>0</v>
      </c>
      <c r="F404" s="2" t="s">
        <v>31</v>
      </c>
      <c r="G404" s="2" t="s">
        <v>619</v>
      </c>
      <c r="H404" s="2" t="s">
        <v>620</v>
      </c>
      <c r="I404" s="2" t="s">
        <v>621</v>
      </c>
      <c r="J404" s="2" t="s">
        <v>35</v>
      </c>
      <c r="K404" s="2" t="s">
        <v>35</v>
      </c>
      <c r="L404" s="2" t="s">
        <v>35</v>
      </c>
      <c r="M404" s="2" t="s">
        <v>35</v>
      </c>
      <c r="N404" s="3">
        <v>44736.429726724535</v>
      </c>
      <c r="O404" s="3">
        <v>44736.430408159722</v>
      </c>
      <c r="P404" s="2">
        <v>0</v>
      </c>
      <c r="Q404" s="2" t="s">
        <v>36</v>
      </c>
      <c r="R404" s="2" t="s">
        <v>38</v>
      </c>
      <c r="S404" s="2" t="s">
        <v>35</v>
      </c>
      <c r="T404" s="2" t="s">
        <v>35</v>
      </c>
      <c r="U404" s="2" t="s">
        <v>35</v>
      </c>
      <c r="V404" s="2" t="b">
        <v>0</v>
      </c>
      <c r="W404" s="2" t="s">
        <v>35</v>
      </c>
      <c r="X404" s="2" t="s">
        <v>35</v>
      </c>
      <c r="Y404" s="2">
        <v>10</v>
      </c>
      <c r="Z404" s="2" t="s">
        <v>35</v>
      </c>
    </row>
    <row r="405" spans="1:26" x14ac:dyDescent="0.2">
      <c r="A405" s="2" t="s">
        <v>622</v>
      </c>
      <c r="B405" s="2" t="b">
        <v>0</v>
      </c>
      <c r="C405" s="2" t="b">
        <v>0</v>
      </c>
      <c r="D405" s="2" t="b">
        <v>0</v>
      </c>
      <c r="E405" s="2" t="b">
        <v>0</v>
      </c>
      <c r="F405" s="2" t="s">
        <v>31</v>
      </c>
      <c r="G405" s="2" t="s">
        <v>623</v>
      </c>
      <c r="H405" s="2" t="s">
        <v>624</v>
      </c>
      <c r="I405" s="2" t="s">
        <v>625</v>
      </c>
      <c r="J405" s="2" t="s">
        <v>35</v>
      </c>
      <c r="K405" s="2" t="s">
        <v>35</v>
      </c>
      <c r="L405" s="2">
        <v>25</v>
      </c>
      <c r="M405" s="2">
        <v>7</v>
      </c>
      <c r="N405" s="3">
        <v>44736.430470902778</v>
      </c>
      <c r="O405" s="3">
        <v>44736.431572824076</v>
      </c>
      <c r="P405" s="2">
        <v>0</v>
      </c>
      <c r="Q405" s="2" t="s">
        <v>54</v>
      </c>
      <c r="R405" s="2" t="s">
        <v>38</v>
      </c>
      <c r="S405" s="2" t="s">
        <v>35</v>
      </c>
      <c r="T405" s="2" t="s">
        <v>35</v>
      </c>
      <c r="U405" s="2" t="s">
        <v>35</v>
      </c>
      <c r="V405" s="2" t="b">
        <v>1</v>
      </c>
      <c r="W405" s="2" t="s">
        <v>35</v>
      </c>
      <c r="X405" s="2" t="s">
        <v>35</v>
      </c>
      <c r="Y405" s="2" t="s">
        <v>35</v>
      </c>
      <c r="Z405" s="2" t="s">
        <v>35</v>
      </c>
    </row>
    <row r="406" spans="1:26" x14ac:dyDescent="0.2">
      <c r="A406" s="2" t="s">
        <v>626</v>
      </c>
      <c r="B406" s="2" t="b">
        <v>0</v>
      </c>
      <c r="C406" s="2" t="b">
        <v>0</v>
      </c>
      <c r="D406" s="2" t="b">
        <v>0</v>
      </c>
      <c r="E406" s="2" t="b">
        <v>0</v>
      </c>
      <c r="F406" s="2" t="s">
        <v>31</v>
      </c>
      <c r="G406" s="2" t="s">
        <v>627</v>
      </c>
      <c r="H406" s="2" t="s">
        <v>628</v>
      </c>
      <c r="I406" s="2" t="s">
        <v>35</v>
      </c>
      <c r="J406" s="2" t="s">
        <v>35</v>
      </c>
      <c r="K406" s="2" t="s">
        <v>35</v>
      </c>
      <c r="L406" s="2" t="s">
        <v>35</v>
      </c>
      <c r="M406" s="2" t="s">
        <v>35</v>
      </c>
      <c r="N406" s="3">
        <v>44736.431912094908</v>
      </c>
      <c r="O406" s="3">
        <v>44736.432055775462</v>
      </c>
      <c r="P406" s="2">
        <v>0</v>
      </c>
      <c r="Q406" s="2" t="s">
        <v>36</v>
      </c>
      <c r="R406" s="2" t="s">
        <v>38</v>
      </c>
      <c r="S406" s="2" t="s">
        <v>35</v>
      </c>
      <c r="T406" s="2" t="s">
        <v>35</v>
      </c>
      <c r="U406" s="2" t="s">
        <v>35</v>
      </c>
      <c r="V406" s="2" t="b">
        <v>0</v>
      </c>
      <c r="W406" s="2" t="s">
        <v>35</v>
      </c>
      <c r="X406" s="2" t="s">
        <v>35</v>
      </c>
      <c r="Y406" s="2" t="s">
        <v>35</v>
      </c>
      <c r="Z406" s="2">
        <v>2</v>
      </c>
    </row>
    <row r="407" spans="1:26" x14ac:dyDescent="0.2">
      <c r="A407" s="2" t="s">
        <v>629</v>
      </c>
      <c r="B407" s="2" t="b">
        <v>0</v>
      </c>
      <c r="C407" s="2" t="b">
        <v>0</v>
      </c>
      <c r="D407" s="2" t="b">
        <v>0</v>
      </c>
      <c r="E407" s="2" t="b">
        <v>0</v>
      </c>
      <c r="F407" s="2" t="s">
        <v>31</v>
      </c>
      <c r="G407" s="2" t="s">
        <v>630</v>
      </c>
      <c r="H407" s="2" t="s">
        <v>631</v>
      </c>
      <c r="I407" s="2" t="s">
        <v>621</v>
      </c>
      <c r="J407" s="2" t="s">
        <v>35</v>
      </c>
      <c r="K407" s="2" t="s">
        <v>35</v>
      </c>
      <c r="L407" s="2" t="s">
        <v>35</v>
      </c>
      <c r="M407" s="2" t="s">
        <v>35</v>
      </c>
      <c r="N407" s="3">
        <v>44736.432479988427</v>
      </c>
      <c r="O407" s="3">
        <v>44736.433038136573</v>
      </c>
      <c r="P407" s="2">
        <v>0</v>
      </c>
      <c r="Q407" s="2" t="s">
        <v>36</v>
      </c>
      <c r="R407" s="2" t="s">
        <v>38</v>
      </c>
      <c r="S407" s="2" t="s">
        <v>35</v>
      </c>
      <c r="T407" s="2" t="s">
        <v>35</v>
      </c>
      <c r="U407" s="2" t="s">
        <v>35</v>
      </c>
      <c r="V407" s="2" t="b">
        <v>0</v>
      </c>
      <c r="W407" s="2" t="s">
        <v>35</v>
      </c>
      <c r="X407" s="2" t="s">
        <v>35</v>
      </c>
      <c r="Y407" s="2">
        <v>10</v>
      </c>
      <c r="Z407" s="2" t="s">
        <v>35</v>
      </c>
    </row>
    <row r="408" spans="1:26" x14ac:dyDescent="0.2">
      <c r="A408" s="2" t="s">
        <v>632</v>
      </c>
      <c r="B408" s="2" t="b">
        <v>0</v>
      </c>
      <c r="C408" s="2" t="b">
        <v>0</v>
      </c>
      <c r="D408" s="2" t="b">
        <v>0</v>
      </c>
      <c r="E408" s="2" t="b">
        <v>0</v>
      </c>
      <c r="F408" s="2" t="s">
        <v>31</v>
      </c>
      <c r="G408" s="2" t="s">
        <v>633</v>
      </c>
      <c r="H408" s="2" t="s">
        <v>634</v>
      </c>
      <c r="I408" s="2" t="s">
        <v>35</v>
      </c>
      <c r="J408" s="2" t="s">
        <v>35</v>
      </c>
      <c r="K408" s="2" t="s">
        <v>35</v>
      </c>
      <c r="L408" s="2" t="s">
        <v>35</v>
      </c>
      <c r="M408" s="2" t="s">
        <v>35</v>
      </c>
      <c r="N408" s="3">
        <v>44736.433617754628</v>
      </c>
      <c r="O408" s="3">
        <v>44736.433797060185</v>
      </c>
      <c r="P408" s="2">
        <v>0</v>
      </c>
      <c r="Q408" s="2" t="s">
        <v>36</v>
      </c>
      <c r="R408" s="2" t="s">
        <v>38</v>
      </c>
      <c r="S408" s="2" t="s">
        <v>35</v>
      </c>
      <c r="T408" s="2" t="s">
        <v>35</v>
      </c>
      <c r="U408" s="2" t="s">
        <v>35</v>
      </c>
      <c r="V408" s="2" t="b">
        <v>0</v>
      </c>
      <c r="W408" s="2" t="s">
        <v>35</v>
      </c>
      <c r="X408" s="2" t="s">
        <v>35</v>
      </c>
      <c r="Y408" s="2" t="s">
        <v>35</v>
      </c>
      <c r="Z408" s="2">
        <v>3</v>
      </c>
    </row>
    <row r="409" spans="1:26" x14ac:dyDescent="0.2">
      <c r="A409" s="2" t="s">
        <v>635</v>
      </c>
      <c r="B409" s="2" t="b">
        <v>0</v>
      </c>
      <c r="C409" s="2" t="b">
        <v>0</v>
      </c>
      <c r="D409" s="2" t="b">
        <v>0</v>
      </c>
      <c r="E409" s="2" t="b">
        <v>0</v>
      </c>
      <c r="F409" s="2" t="s">
        <v>31</v>
      </c>
      <c r="G409" s="2" t="s">
        <v>636</v>
      </c>
      <c r="H409" s="2" t="s">
        <v>637</v>
      </c>
      <c r="I409" s="2" t="s">
        <v>621</v>
      </c>
      <c r="J409" s="2" t="s">
        <v>35</v>
      </c>
      <c r="K409" s="2" t="s">
        <v>35</v>
      </c>
      <c r="L409" s="2" t="s">
        <v>35</v>
      </c>
      <c r="M409" s="2" t="s">
        <v>35</v>
      </c>
      <c r="N409" s="3">
        <v>44736.434579953704</v>
      </c>
      <c r="O409" s="3">
        <v>44736.434888541669</v>
      </c>
      <c r="P409" s="2">
        <v>0</v>
      </c>
      <c r="Q409" s="2" t="s">
        <v>36</v>
      </c>
      <c r="R409" s="2" t="s">
        <v>38</v>
      </c>
      <c r="S409" s="2" t="s">
        <v>35</v>
      </c>
      <c r="T409" s="2" t="s">
        <v>35</v>
      </c>
      <c r="U409" s="2" t="s">
        <v>35</v>
      </c>
      <c r="V409" s="2" t="b">
        <v>0</v>
      </c>
      <c r="W409" s="2" t="s">
        <v>35</v>
      </c>
      <c r="X409" s="2" t="s">
        <v>35</v>
      </c>
      <c r="Y409" s="2">
        <v>6</v>
      </c>
      <c r="Z409" s="2" t="s">
        <v>35</v>
      </c>
    </row>
    <row r="410" spans="1:26" x14ac:dyDescent="0.2">
      <c r="A410" s="2" t="s">
        <v>638</v>
      </c>
      <c r="B410" s="2" t="b">
        <v>0</v>
      </c>
      <c r="C410" s="2" t="b">
        <v>0</v>
      </c>
      <c r="D410" s="2" t="b">
        <v>0</v>
      </c>
      <c r="E410" s="2" t="b">
        <v>0</v>
      </c>
      <c r="F410" s="2" t="s">
        <v>31</v>
      </c>
      <c r="G410" s="2" t="s">
        <v>639</v>
      </c>
      <c r="H410" s="2" t="s">
        <v>640</v>
      </c>
      <c r="I410" s="2" t="s">
        <v>621</v>
      </c>
      <c r="J410" s="2" t="s">
        <v>35</v>
      </c>
      <c r="K410" s="2" t="s">
        <v>35</v>
      </c>
      <c r="L410" s="2" t="s">
        <v>35</v>
      </c>
      <c r="M410" s="2" t="s">
        <v>35</v>
      </c>
      <c r="N410" s="3">
        <v>44736.435659062503</v>
      </c>
      <c r="O410" s="3">
        <v>44736.435957291666</v>
      </c>
      <c r="P410" s="2">
        <v>0</v>
      </c>
      <c r="Q410" s="2" t="s">
        <v>36</v>
      </c>
      <c r="R410" s="2" t="s">
        <v>38</v>
      </c>
      <c r="S410" s="2" t="s">
        <v>35</v>
      </c>
      <c r="T410" s="2" t="s">
        <v>35</v>
      </c>
      <c r="U410" s="2" t="s">
        <v>35</v>
      </c>
      <c r="V410" s="2" t="b">
        <v>0</v>
      </c>
      <c r="W410" s="2" t="s">
        <v>35</v>
      </c>
      <c r="X410" s="2" t="s">
        <v>35</v>
      </c>
      <c r="Y410" s="2">
        <v>6</v>
      </c>
      <c r="Z410" s="2" t="s">
        <v>35</v>
      </c>
    </row>
    <row r="411" spans="1:26" x14ac:dyDescent="0.2">
      <c r="A411" s="2" t="s">
        <v>641</v>
      </c>
      <c r="B411" s="2" t="b">
        <v>0</v>
      </c>
      <c r="C411" s="2" t="b">
        <v>0</v>
      </c>
      <c r="D411" s="2" t="b">
        <v>0</v>
      </c>
      <c r="E411" s="2" t="b">
        <v>0</v>
      </c>
      <c r="F411" s="2" t="s">
        <v>31</v>
      </c>
      <c r="G411" s="2" t="s">
        <v>642</v>
      </c>
      <c r="H411" s="2" t="s">
        <v>643</v>
      </c>
      <c r="I411" s="2" t="s">
        <v>35</v>
      </c>
      <c r="J411" s="2" t="s">
        <v>35</v>
      </c>
      <c r="K411" s="2" t="s">
        <v>35</v>
      </c>
      <c r="L411" s="2" t="s">
        <v>35</v>
      </c>
      <c r="M411" s="2" t="s">
        <v>35</v>
      </c>
      <c r="N411" s="3">
        <v>44736.436488715277</v>
      </c>
      <c r="O411" s="3">
        <v>44736.436678391205</v>
      </c>
      <c r="P411" s="2">
        <v>0</v>
      </c>
      <c r="Q411" s="2" t="s">
        <v>36</v>
      </c>
      <c r="R411" s="2" t="s">
        <v>38</v>
      </c>
      <c r="S411" s="2" t="s">
        <v>35</v>
      </c>
      <c r="T411" s="2" t="s">
        <v>35</v>
      </c>
      <c r="U411" s="2" t="s">
        <v>35</v>
      </c>
      <c r="V411" s="2" t="b">
        <v>0</v>
      </c>
      <c r="W411" s="2" t="s">
        <v>35</v>
      </c>
      <c r="X411" s="2" t="s">
        <v>35</v>
      </c>
      <c r="Y411" s="2" t="s">
        <v>35</v>
      </c>
      <c r="Z411" s="2">
        <v>5</v>
      </c>
    </row>
    <row r="412" spans="1:26" x14ac:dyDescent="0.2">
      <c r="A412" s="2" t="s">
        <v>644</v>
      </c>
      <c r="B412" s="2" t="b">
        <v>0</v>
      </c>
      <c r="C412" s="2" t="b">
        <v>0</v>
      </c>
      <c r="D412" s="2" t="b">
        <v>0</v>
      </c>
      <c r="E412" s="2" t="b">
        <v>0</v>
      </c>
      <c r="F412" s="2" t="s">
        <v>31</v>
      </c>
      <c r="G412" s="2" t="s">
        <v>645</v>
      </c>
      <c r="H412" s="2" t="s">
        <v>646</v>
      </c>
      <c r="I412" s="2" t="s">
        <v>621</v>
      </c>
      <c r="J412" s="2" t="s">
        <v>35</v>
      </c>
      <c r="K412" s="2" t="s">
        <v>35</v>
      </c>
      <c r="L412" s="2" t="s">
        <v>35</v>
      </c>
      <c r="M412" s="2" t="s">
        <v>35</v>
      </c>
      <c r="N412" s="3">
        <v>44736.437247499998</v>
      </c>
      <c r="O412" s="3">
        <v>44736.437903981481</v>
      </c>
      <c r="P412" s="2">
        <v>0</v>
      </c>
      <c r="Q412" s="2" t="s">
        <v>36</v>
      </c>
      <c r="R412" s="2" t="s">
        <v>38</v>
      </c>
      <c r="S412" s="2" t="s">
        <v>35</v>
      </c>
      <c r="T412" s="2" t="s">
        <v>35</v>
      </c>
      <c r="U412" s="2" t="s">
        <v>35</v>
      </c>
      <c r="V412" s="2" t="b">
        <v>0</v>
      </c>
      <c r="W412" s="2" t="s">
        <v>35</v>
      </c>
      <c r="X412" s="2" t="s">
        <v>35</v>
      </c>
      <c r="Y412" s="2">
        <v>7</v>
      </c>
      <c r="Z412" s="2" t="s">
        <v>35</v>
      </c>
    </row>
    <row r="413" spans="1:26" x14ac:dyDescent="0.2">
      <c r="A413" s="2" t="s">
        <v>647</v>
      </c>
      <c r="B413" s="2" t="b">
        <v>0</v>
      </c>
      <c r="C413" s="2" t="b">
        <v>0</v>
      </c>
      <c r="D413" s="2" t="b">
        <v>0</v>
      </c>
      <c r="E413" s="2" t="b">
        <v>0</v>
      </c>
      <c r="F413" s="2" t="s">
        <v>31</v>
      </c>
      <c r="G413" s="2" t="s">
        <v>648</v>
      </c>
      <c r="H413" s="2" t="s">
        <v>649</v>
      </c>
      <c r="I413" s="2" t="s">
        <v>621</v>
      </c>
      <c r="J413" s="2" t="s">
        <v>35</v>
      </c>
      <c r="K413" s="2" t="s">
        <v>35</v>
      </c>
      <c r="L413" s="2" t="s">
        <v>35</v>
      </c>
      <c r="M413" s="2" t="s">
        <v>35</v>
      </c>
      <c r="N413" s="3">
        <v>44736.439377673611</v>
      </c>
      <c r="O413" s="3">
        <v>44736.439802581015</v>
      </c>
      <c r="P413" s="2">
        <v>0</v>
      </c>
      <c r="Q413" s="2" t="s">
        <v>36</v>
      </c>
      <c r="R413" s="2" t="s">
        <v>38</v>
      </c>
      <c r="S413" s="2" t="s">
        <v>35</v>
      </c>
      <c r="T413" s="2" t="s">
        <v>35</v>
      </c>
      <c r="U413" s="2" t="s">
        <v>35</v>
      </c>
      <c r="V413" s="2" t="b">
        <v>0</v>
      </c>
      <c r="W413" s="2" t="s">
        <v>35</v>
      </c>
      <c r="X413" s="2" t="s">
        <v>35</v>
      </c>
      <c r="Y413" s="2">
        <v>4</v>
      </c>
      <c r="Z413" s="2">
        <v>3</v>
      </c>
    </row>
    <row r="414" spans="1:26" x14ac:dyDescent="0.2">
      <c r="A414" s="2" t="s">
        <v>650</v>
      </c>
      <c r="B414" s="2" t="b">
        <v>0</v>
      </c>
      <c r="C414" s="2" t="b">
        <v>0</v>
      </c>
      <c r="D414" s="2" t="b">
        <v>0</v>
      </c>
      <c r="E414" s="2" t="b">
        <v>0</v>
      </c>
      <c r="F414" s="2" t="s">
        <v>31</v>
      </c>
      <c r="G414" s="2" t="s">
        <v>651</v>
      </c>
      <c r="H414" s="2" t="s">
        <v>652</v>
      </c>
      <c r="I414" s="2" t="s">
        <v>35</v>
      </c>
      <c r="J414" s="2" t="s">
        <v>35</v>
      </c>
      <c r="K414" s="2" t="s">
        <v>35</v>
      </c>
      <c r="L414" s="2" t="s">
        <v>35</v>
      </c>
      <c r="M414" s="2" t="s">
        <v>35</v>
      </c>
      <c r="N414" s="3">
        <v>44736.439967060185</v>
      </c>
      <c r="O414" s="3">
        <v>44736.440332500002</v>
      </c>
      <c r="P414" s="2">
        <v>0</v>
      </c>
      <c r="Q414" s="2" t="s">
        <v>36</v>
      </c>
      <c r="R414" s="2" t="s">
        <v>38</v>
      </c>
      <c r="S414" s="2" t="s">
        <v>35</v>
      </c>
      <c r="T414" s="2" t="s">
        <v>35</v>
      </c>
      <c r="U414" s="2" t="s">
        <v>35</v>
      </c>
      <c r="V414" s="2" t="b">
        <v>0</v>
      </c>
      <c r="W414" s="2" t="s">
        <v>35</v>
      </c>
      <c r="X414" s="2" t="s">
        <v>35</v>
      </c>
      <c r="Y414" s="2" t="s">
        <v>35</v>
      </c>
      <c r="Z414" s="2">
        <v>6</v>
      </c>
    </row>
    <row r="415" spans="1:26" x14ac:dyDescent="0.2">
      <c r="A415" s="2" t="s">
        <v>653</v>
      </c>
      <c r="B415" s="2" t="b">
        <v>0</v>
      </c>
      <c r="C415" s="2" t="b">
        <v>0</v>
      </c>
      <c r="D415" s="2" t="b">
        <v>0</v>
      </c>
      <c r="E415" s="2" t="b">
        <v>0</v>
      </c>
      <c r="F415" s="2" t="s">
        <v>31</v>
      </c>
      <c r="G415" s="2" t="s">
        <v>654</v>
      </c>
      <c r="H415" s="2" t="s">
        <v>655</v>
      </c>
      <c r="I415" s="2" t="s">
        <v>621</v>
      </c>
      <c r="J415" s="2" t="s">
        <v>35</v>
      </c>
      <c r="K415" s="2" t="s">
        <v>35</v>
      </c>
      <c r="L415" s="2" t="s">
        <v>35</v>
      </c>
      <c r="M415" s="2" t="s">
        <v>35</v>
      </c>
      <c r="N415" s="3">
        <v>44736.440649652781</v>
      </c>
      <c r="O415" s="3">
        <v>44736.440928680553</v>
      </c>
      <c r="P415" s="2">
        <v>0</v>
      </c>
      <c r="Q415" s="2" t="s">
        <v>36</v>
      </c>
      <c r="R415" s="2" t="s">
        <v>38</v>
      </c>
      <c r="S415" s="2" t="s">
        <v>35</v>
      </c>
      <c r="T415" s="2" t="s">
        <v>35</v>
      </c>
      <c r="U415" s="2" t="s">
        <v>35</v>
      </c>
      <c r="V415" s="2" t="b">
        <v>0</v>
      </c>
      <c r="W415" s="2" t="s">
        <v>35</v>
      </c>
      <c r="X415" s="2" t="s">
        <v>35</v>
      </c>
      <c r="Y415" s="2">
        <v>4</v>
      </c>
      <c r="Z415" s="2">
        <v>5</v>
      </c>
    </row>
    <row r="416" spans="1:26" x14ac:dyDescent="0.2">
      <c r="A416" s="2" t="s">
        <v>656</v>
      </c>
      <c r="B416" s="2" t="b">
        <v>0</v>
      </c>
      <c r="C416" s="2" t="b">
        <v>0</v>
      </c>
      <c r="D416" s="2" t="b">
        <v>0</v>
      </c>
      <c r="E416" s="2" t="b">
        <v>0</v>
      </c>
      <c r="F416" s="2" t="s">
        <v>31</v>
      </c>
      <c r="G416" s="2" t="s">
        <v>657</v>
      </c>
      <c r="H416" s="2" t="s">
        <v>658</v>
      </c>
      <c r="I416" s="2" t="s">
        <v>35</v>
      </c>
      <c r="J416" s="2" t="s">
        <v>35</v>
      </c>
      <c r="K416" s="2" t="s">
        <v>35</v>
      </c>
      <c r="L416" s="2" t="s">
        <v>35</v>
      </c>
      <c r="M416" s="2" t="s">
        <v>35</v>
      </c>
      <c r="N416" s="3">
        <v>44736.44180591435</v>
      </c>
      <c r="O416" s="3">
        <v>44736.441958113428</v>
      </c>
      <c r="P416" s="2">
        <v>0</v>
      </c>
      <c r="Q416" s="2" t="s">
        <v>36</v>
      </c>
      <c r="R416" s="2" t="s">
        <v>38</v>
      </c>
      <c r="S416" s="2" t="s">
        <v>35</v>
      </c>
      <c r="T416" s="2" t="s">
        <v>35</v>
      </c>
      <c r="U416" s="2" t="s">
        <v>35</v>
      </c>
      <c r="V416" s="2" t="b">
        <v>0</v>
      </c>
      <c r="W416" s="2" t="s">
        <v>35</v>
      </c>
      <c r="X416" s="2" t="s">
        <v>35</v>
      </c>
      <c r="Y416" s="2" t="s">
        <v>35</v>
      </c>
      <c r="Z416" s="2">
        <v>2</v>
      </c>
    </row>
    <row r="417" spans="1:26" x14ac:dyDescent="0.2">
      <c r="A417" s="2" t="s">
        <v>659</v>
      </c>
      <c r="B417" s="2" t="b">
        <v>0</v>
      </c>
      <c r="C417" s="2" t="b">
        <v>0</v>
      </c>
      <c r="D417" s="2" t="b">
        <v>0</v>
      </c>
      <c r="E417" s="2" t="b">
        <v>0</v>
      </c>
      <c r="F417" s="2" t="s">
        <v>31</v>
      </c>
      <c r="G417" s="2" t="s">
        <v>660</v>
      </c>
      <c r="H417" s="2" t="s">
        <v>661</v>
      </c>
      <c r="I417" s="2" t="s">
        <v>662</v>
      </c>
      <c r="J417" s="2" t="s">
        <v>35</v>
      </c>
      <c r="K417" s="2" t="s">
        <v>35</v>
      </c>
      <c r="L417" s="2" t="s">
        <v>35</v>
      </c>
      <c r="M417" s="2" t="s">
        <v>35</v>
      </c>
      <c r="N417" s="3">
        <v>44736.442537499999</v>
      </c>
      <c r="O417" s="3">
        <v>44736.442853842593</v>
      </c>
      <c r="P417" s="2">
        <v>0</v>
      </c>
      <c r="Q417" s="2" t="s">
        <v>36</v>
      </c>
      <c r="R417" s="2" t="s">
        <v>38</v>
      </c>
      <c r="S417" s="2" t="s">
        <v>35</v>
      </c>
      <c r="T417" s="2" t="s">
        <v>35</v>
      </c>
      <c r="U417" s="2" t="s">
        <v>35</v>
      </c>
      <c r="V417" s="2" t="b">
        <v>0</v>
      </c>
      <c r="W417" s="2" t="s">
        <v>35</v>
      </c>
      <c r="X417" s="2" t="s">
        <v>35</v>
      </c>
      <c r="Y417" s="2">
        <v>6</v>
      </c>
      <c r="Z417" s="2" t="s">
        <v>35</v>
      </c>
    </row>
    <row r="418" spans="1:26" x14ac:dyDescent="0.2">
      <c r="A418" s="2" t="s">
        <v>663</v>
      </c>
      <c r="B418" s="2" t="b">
        <v>0</v>
      </c>
      <c r="C418" s="2" t="b">
        <v>0</v>
      </c>
      <c r="D418" s="2" t="b">
        <v>0</v>
      </c>
      <c r="E418" s="2" t="b">
        <v>0</v>
      </c>
      <c r="F418" s="2" t="s">
        <v>31</v>
      </c>
      <c r="G418" s="2" t="s">
        <v>664</v>
      </c>
      <c r="H418" s="2" t="s">
        <v>665</v>
      </c>
      <c r="I418" s="2" t="s">
        <v>35</v>
      </c>
      <c r="J418" s="2" t="s">
        <v>35</v>
      </c>
      <c r="K418" s="2" t="s">
        <v>35</v>
      </c>
      <c r="L418" s="2" t="s">
        <v>35</v>
      </c>
      <c r="M418" s="2" t="s">
        <v>35</v>
      </c>
      <c r="N418" s="3">
        <v>44736.443556087965</v>
      </c>
      <c r="O418" s="3">
        <v>44736.443994502311</v>
      </c>
      <c r="P418" s="2">
        <v>0</v>
      </c>
      <c r="Q418" s="2" t="s">
        <v>36</v>
      </c>
      <c r="R418" s="2" t="s">
        <v>38</v>
      </c>
      <c r="S418" s="2" t="s">
        <v>35</v>
      </c>
      <c r="T418" s="2" t="s">
        <v>35</v>
      </c>
      <c r="U418" s="2" t="s">
        <v>35</v>
      </c>
      <c r="V418" s="2" t="b">
        <v>0</v>
      </c>
      <c r="W418" s="2" t="s">
        <v>35</v>
      </c>
      <c r="X418" s="2" t="s">
        <v>35</v>
      </c>
      <c r="Y418" s="2">
        <v>5</v>
      </c>
      <c r="Z418" s="2">
        <v>5</v>
      </c>
    </row>
    <row r="419" spans="1:26" x14ac:dyDescent="0.2">
      <c r="A419" s="2" t="s">
        <v>666</v>
      </c>
      <c r="B419" s="2" t="b">
        <v>0</v>
      </c>
      <c r="C419" s="2" t="b">
        <v>0</v>
      </c>
      <c r="D419" s="2" t="b">
        <v>0</v>
      </c>
      <c r="E419" s="2" t="b">
        <v>0</v>
      </c>
      <c r="F419" s="2" t="s">
        <v>31</v>
      </c>
      <c r="G419" s="2" t="s">
        <v>667</v>
      </c>
      <c r="H419" s="2" t="s">
        <v>668</v>
      </c>
      <c r="I419" s="2" t="s">
        <v>35</v>
      </c>
      <c r="J419" s="2" t="s">
        <v>35</v>
      </c>
      <c r="K419" s="2" t="s">
        <v>35</v>
      </c>
      <c r="L419" s="2" t="s">
        <v>35</v>
      </c>
      <c r="M419" s="2" t="s">
        <v>35</v>
      </c>
      <c r="N419" s="3">
        <v>44736.444668240743</v>
      </c>
      <c r="O419" s="3">
        <v>44736.444909027778</v>
      </c>
      <c r="P419" s="2">
        <v>0</v>
      </c>
      <c r="Q419" s="2" t="s">
        <v>36</v>
      </c>
      <c r="R419" s="2" t="s">
        <v>38</v>
      </c>
      <c r="S419" s="2" t="s">
        <v>35</v>
      </c>
      <c r="T419" s="2" t="s">
        <v>35</v>
      </c>
      <c r="U419" s="2" t="s">
        <v>35</v>
      </c>
      <c r="V419" s="2" t="b">
        <v>0</v>
      </c>
      <c r="W419" s="2" t="s">
        <v>35</v>
      </c>
      <c r="X419" s="2" t="s">
        <v>35</v>
      </c>
      <c r="Y419" s="2" t="s">
        <v>35</v>
      </c>
      <c r="Z419" s="2">
        <v>3</v>
      </c>
    </row>
    <row r="420" spans="1:26" x14ac:dyDescent="0.2">
      <c r="A420" s="2" t="s">
        <v>669</v>
      </c>
      <c r="B420" s="2" t="b">
        <v>0</v>
      </c>
      <c r="C420" s="2" t="b">
        <v>0</v>
      </c>
      <c r="D420" s="2" t="b">
        <v>0</v>
      </c>
      <c r="E420" s="2" t="b">
        <v>0</v>
      </c>
      <c r="F420" s="2" t="s">
        <v>31</v>
      </c>
      <c r="G420" s="2" t="s">
        <v>670</v>
      </c>
      <c r="H420" s="2" t="s">
        <v>671</v>
      </c>
      <c r="I420" s="2" t="s">
        <v>602</v>
      </c>
      <c r="J420" s="2" t="s">
        <v>35</v>
      </c>
      <c r="K420" s="2" t="s">
        <v>35</v>
      </c>
      <c r="L420" s="2" t="s">
        <v>35</v>
      </c>
      <c r="M420" s="2" t="s">
        <v>35</v>
      </c>
      <c r="N420" s="3">
        <v>44736.446847164349</v>
      </c>
      <c r="O420" s="3">
        <v>44736.447243414354</v>
      </c>
      <c r="P420" s="2">
        <v>0</v>
      </c>
      <c r="Q420" s="2" t="s">
        <v>36</v>
      </c>
      <c r="R420" s="2" t="s">
        <v>38</v>
      </c>
      <c r="S420" s="2" t="s">
        <v>35</v>
      </c>
      <c r="T420" s="2" t="s">
        <v>35</v>
      </c>
      <c r="U420" s="2" t="s">
        <v>35</v>
      </c>
      <c r="V420" s="2" t="b">
        <v>0</v>
      </c>
      <c r="W420" s="2" t="s">
        <v>35</v>
      </c>
      <c r="X420" s="2" t="s">
        <v>35</v>
      </c>
      <c r="Y420" s="2">
        <v>4</v>
      </c>
      <c r="Z420" s="2" t="s">
        <v>35</v>
      </c>
    </row>
    <row r="421" spans="1:26" x14ac:dyDescent="0.2">
      <c r="A421" s="2" t="s">
        <v>672</v>
      </c>
      <c r="B421" s="2" t="b">
        <v>0</v>
      </c>
      <c r="C421" s="2" t="b">
        <v>0</v>
      </c>
      <c r="D421" s="2" t="b">
        <v>0</v>
      </c>
      <c r="E421" s="2" t="b">
        <v>0</v>
      </c>
      <c r="F421" s="2" t="s">
        <v>31</v>
      </c>
      <c r="G421" s="2" t="s">
        <v>673</v>
      </c>
      <c r="H421" s="2" t="s">
        <v>674</v>
      </c>
      <c r="I421" s="2" t="s">
        <v>675</v>
      </c>
      <c r="J421" s="2" t="s">
        <v>35</v>
      </c>
      <c r="K421" s="2" t="s">
        <v>35</v>
      </c>
      <c r="L421" s="2" t="s">
        <v>35</v>
      </c>
      <c r="M421" s="2" t="s">
        <v>35</v>
      </c>
      <c r="N421" s="3">
        <v>44736.447903518521</v>
      </c>
      <c r="O421" s="3">
        <v>44736.450911585649</v>
      </c>
      <c r="P421" s="2">
        <v>0</v>
      </c>
      <c r="Q421" s="2" t="s">
        <v>124</v>
      </c>
      <c r="R421" s="2" t="s">
        <v>38</v>
      </c>
      <c r="S421" s="2" t="s">
        <v>35</v>
      </c>
      <c r="T421" s="2" t="s">
        <v>35</v>
      </c>
      <c r="U421" s="2" t="s">
        <v>35</v>
      </c>
      <c r="V421" s="2" t="b">
        <v>0</v>
      </c>
      <c r="W421" s="2" t="s">
        <v>35</v>
      </c>
      <c r="X421" s="2">
        <v>4</v>
      </c>
      <c r="Y421" s="2" t="s">
        <v>35</v>
      </c>
      <c r="Z421" s="2" t="s">
        <v>35</v>
      </c>
    </row>
    <row r="422" spans="1:26" x14ac:dyDescent="0.2">
      <c r="A422" s="2" t="s">
        <v>676</v>
      </c>
      <c r="B422" s="2" t="b">
        <v>0</v>
      </c>
      <c r="C422" s="2" t="b">
        <v>0</v>
      </c>
      <c r="D422" s="2" t="b">
        <v>0</v>
      </c>
      <c r="E422" s="2" t="b">
        <v>0</v>
      </c>
      <c r="F422" s="2" t="s">
        <v>31</v>
      </c>
      <c r="G422" s="2" t="s">
        <v>677</v>
      </c>
      <c r="H422" s="2" t="s">
        <v>678</v>
      </c>
      <c r="I422" s="2" t="s">
        <v>35</v>
      </c>
      <c r="J422" s="2" t="s">
        <v>35</v>
      </c>
      <c r="K422" s="2" t="s">
        <v>35</v>
      </c>
      <c r="L422" s="2" t="s">
        <v>35</v>
      </c>
      <c r="M422" s="2" t="s">
        <v>35</v>
      </c>
      <c r="N422" s="3">
        <v>44736.452521874999</v>
      </c>
      <c r="O422" s="3">
        <v>44736.452665856479</v>
      </c>
      <c r="P422" s="2">
        <v>0</v>
      </c>
      <c r="Q422" s="2" t="s">
        <v>36</v>
      </c>
      <c r="R422" s="2" t="s">
        <v>38</v>
      </c>
      <c r="S422" s="2" t="s">
        <v>35</v>
      </c>
      <c r="T422" s="2" t="s">
        <v>35</v>
      </c>
      <c r="U422" s="2" t="s">
        <v>35</v>
      </c>
      <c r="V422" s="2" t="b">
        <v>0</v>
      </c>
      <c r="W422" s="2" t="s">
        <v>35</v>
      </c>
      <c r="X422" s="2" t="s">
        <v>35</v>
      </c>
      <c r="Y422" s="2" t="s">
        <v>35</v>
      </c>
      <c r="Z422" s="2">
        <v>2</v>
      </c>
    </row>
    <row r="423" spans="1:26" x14ac:dyDescent="0.2">
      <c r="A423" s="2" t="s">
        <v>679</v>
      </c>
      <c r="B423" s="2" t="b">
        <v>0</v>
      </c>
      <c r="C423" s="2" t="b">
        <v>0</v>
      </c>
      <c r="D423" s="2" t="b">
        <v>0</v>
      </c>
      <c r="E423" s="2" t="b">
        <v>0</v>
      </c>
      <c r="F423" s="2" t="s">
        <v>31</v>
      </c>
      <c r="G423" s="2" t="s">
        <v>680</v>
      </c>
      <c r="H423" s="2" t="s">
        <v>681</v>
      </c>
      <c r="I423" s="2" t="s">
        <v>675</v>
      </c>
      <c r="J423" s="2" t="s">
        <v>35</v>
      </c>
      <c r="K423" s="2" t="s">
        <v>35</v>
      </c>
      <c r="L423" s="2" t="s">
        <v>35</v>
      </c>
      <c r="M423" s="2" t="s">
        <v>35</v>
      </c>
      <c r="N423" s="3">
        <v>44736.453368564813</v>
      </c>
      <c r="O423" s="3">
        <v>44736.45360364583</v>
      </c>
      <c r="P423" s="2">
        <v>0</v>
      </c>
      <c r="Q423" s="2" t="s">
        <v>124</v>
      </c>
      <c r="R423" s="2" t="s">
        <v>38</v>
      </c>
      <c r="S423" s="2" t="s">
        <v>35</v>
      </c>
      <c r="T423" s="2" t="s">
        <v>35</v>
      </c>
      <c r="U423" s="2" t="s">
        <v>35</v>
      </c>
      <c r="V423" s="2" t="b">
        <v>0</v>
      </c>
      <c r="W423" s="2" t="s">
        <v>35</v>
      </c>
      <c r="X423" s="2">
        <v>4</v>
      </c>
      <c r="Y423" s="2" t="s">
        <v>35</v>
      </c>
      <c r="Z423" s="2" t="s">
        <v>35</v>
      </c>
    </row>
    <row r="424" spans="1:26" x14ac:dyDescent="0.2">
      <c r="A424" s="2" t="s">
        <v>682</v>
      </c>
      <c r="B424" s="2" t="b">
        <v>0</v>
      </c>
      <c r="C424" s="2" t="b">
        <v>0</v>
      </c>
      <c r="D424" s="2" t="b">
        <v>0</v>
      </c>
      <c r="E424" s="2" t="b">
        <v>0</v>
      </c>
      <c r="F424" s="2" t="s">
        <v>31</v>
      </c>
      <c r="G424" s="2" t="s">
        <v>683</v>
      </c>
      <c r="H424" s="2" t="s">
        <v>684</v>
      </c>
      <c r="I424" s="2" t="s">
        <v>675</v>
      </c>
      <c r="J424" s="2" t="s">
        <v>35</v>
      </c>
      <c r="K424" s="2" t="s">
        <v>35</v>
      </c>
      <c r="L424" s="2" t="s">
        <v>35</v>
      </c>
      <c r="M424" s="2" t="s">
        <v>35</v>
      </c>
      <c r="N424" s="3">
        <v>44736.453729594905</v>
      </c>
      <c r="O424" s="3">
        <v>44736.455519803239</v>
      </c>
      <c r="P424" s="2">
        <v>0</v>
      </c>
      <c r="Q424" s="2" t="s">
        <v>124</v>
      </c>
      <c r="R424" s="2" t="s">
        <v>38</v>
      </c>
      <c r="S424" s="2" t="s">
        <v>35</v>
      </c>
      <c r="T424" s="2" t="s">
        <v>35</v>
      </c>
      <c r="U424" s="2" t="s">
        <v>35</v>
      </c>
      <c r="V424" s="2" t="b">
        <v>0</v>
      </c>
      <c r="W424" s="2" t="s">
        <v>35</v>
      </c>
      <c r="X424" s="2">
        <v>4</v>
      </c>
      <c r="Y424" s="2" t="s">
        <v>35</v>
      </c>
      <c r="Z424" s="2" t="s">
        <v>35</v>
      </c>
    </row>
    <row r="425" spans="1:26" x14ac:dyDescent="0.2">
      <c r="A425" s="2" t="s">
        <v>9274</v>
      </c>
      <c r="B425" s="2" t="b">
        <v>0</v>
      </c>
      <c r="C425" s="2" t="b">
        <v>0</v>
      </c>
      <c r="D425" s="2" t="b">
        <v>0</v>
      </c>
      <c r="E425" s="2" t="b">
        <v>0</v>
      </c>
      <c r="F425" s="2" t="s">
        <v>121</v>
      </c>
      <c r="G425" s="2" t="s">
        <v>149</v>
      </c>
      <c r="H425" s="2" t="s">
        <v>686</v>
      </c>
      <c r="I425" s="2" t="s">
        <v>35</v>
      </c>
      <c r="J425" s="2" t="s">
        <v>35</v>
      </c>
      <c r="K425" s="2" t="s">
        <v>35</v>
      </c>
      <c r="L425" s="2" t="s">
        <v>35</v>
      </c>
      <c r="M425" s="2" t="s">
        <v>35</v>
      </c>
      <c r="N425" s="3">
        <v>44737.416615555558</v>
      </c>
      <c r="O425" s="3">
        <v>44737.416634305555</v>
      </c>
      <c r="P425" s="2">
        <v>0</v>
      </c>
      <c r="Q425" s="2" t="s">
        <v>35</v>
      </c>
      <c r="R425" s="2" t="s">
        <v>38</v>
      </c>
      <c r="S425" s="2" t="s">
        <v>35</v>
      </c>
      <c r="T425" s="2" t="s">
        <v>35</v>
      </c>
      <c r="U425" s="2" t="s">
        <v>35</v>
      </c>
      <c r="V425" s="2" t="b">
        <v>0</v>
      </c>
      <c r="W425" s="2" t="s">
        <v>35</v>
      </c>
      <c r="X425" s="2" t="s">
        <v>35</v>
      </c>
      <c r="Y425" s="2" t="s">
        <v>35</v>
      </c>
      <c r="Z425" s="2" t="s">
        <v>35</v>
      </c>
    </row>
    <row r="426" spans="1:26" x14ac:dyDescent="0.2">
      <c r="A426" s="2" t="s">
        <v>9275</v>
      </c>
      <c r="B426" s="2" t="b">
        <v>0</v>
      </c>
      <c r="C426" s="2" t="b">
        <v>0</v>
      </c>
      <c r="D426" s="2" t="b">
        <v>0</v>
      </c>
      <c r="E426" s="2" t="b">
        <v>0</v>
      </c>
      <c r="F426" s="2" t="s">
        <v>121</v>
      </c>
      <c r="G426" s="2" t="s">
        <v>149</v>
      </c>
      <c r="H426" s="2" t="s">
        <v>686</v>
      </c>
      <c r="I426" s="2" t="s">
        <v>35</v>
      </c>
      <c r="J426" s="2" t="s">
        <v>35</v>
      </c>
      <c r="K426" s="2" t="s">
        <v>35</v>
      </c>
      <c r="L426" s="2" t="s">
        <v>35</v>
      </c>
      <c r="M426" s="2" t="s">
        <v>35</v>
      </c>
      <c r="N426" s="3">
        <v>44737.416615717593</v>
      </c>
      <c r="O426" s="3">
        <v>44737.416634351852</v>
      </c>
      <c r="P426" s="2">
        <v>0</v>
      </c>
      <c r="Q426" s="2" t="s">
        <v>35</v>
      </c>
      <c r="R426" s="2" t="s">
        <v>38</v>
      </c>
      <c r="S426" s="2" t="s">
        <v>35</v>
      </c>
      <c r="T426" s="2" t="s">
        <v>35</v>
      </c>
      <c r="U426" s="2" t="s">
        <v>35</v>
      </c>
      <c r="V426" s="2" t="b">
        <v>0</v>
      </c>
      <c r="W426" s="2" t="s">
        <v>35</v>
      </c>
      <c r="X426" s="2" t="s">
        <v>35</v>
      </c>
      <c r="Y426" s="2" t="s">
        <v>35</v>
      </c>
      <c r="Z426" s="2" t="s">
        <v>35</v>
      </c>
    </row>
    <row r="427" spans="1:26" x14ac:dyDescent="0.2">
      <c r="A427" s="2" t="s">
        <v>9276</v>
      </c>
      <c r="B427" s="2" t="b">
        <v>0</v>
      </c>
      <c r="C427" s="2" t="b">
        <v>0</v>
      </c>
      <c r="D427" s="2" t="b">
        <v>0</v>
      </c>
      <c r="E427" s="2" t="b">
        <v>0</v>
      </c>
      <c r="F427" s="2" t="s">
        <v>121</v>
      </c>
      <c r="G427" s="2" t="s">
        <v>149</v>
      </c>
      <c r="H427" s="2" t="s">
        <v>686</v>
      </c>
      <c r="I427" s="2" t="s">
        <v>35</v>
      </c>
      <c r="J427" s="2" t="s">
        <v>35</v>
      </c>
      <c r="K427" s="2" t="s">
        <v>35</v>
      </c>
      <c r="L427" s="2" t="s">
        <v>35</v>
      </c>
      <c r="M427" s="2" t="s">
        <v>35</v>
      </c>
      <c r="N427" s="3">
        <v>44737.416616030096</v>
      </c>
      <c r="O427" s="3">
        <v>44737.416634351852</v>
      </c>
      <c r="P427" s="2">
        <v>0</v>
      </c>
      <c r="Q427" s="2" t="s">
        <v>35</v>
      </c>
      <c r="R427" s="2" t="s">
        <v>38</v>
      </c>
      <c r="S427" s="2" t="s">
        <v>35</v>
      </c>
      <c r="T427" s="2" t="s">
        <v>35</v>
      </c>
      <c r="U427" s="2" t="s">
        <v>35</v>
      </c>
      <c r="V427" s="2" t="b">
        <v>0</v>
      </c>
      <c r="W427" s="2" t="s">
        <v>35</v>
      </c>
      <c r="X427" s="2" t="s">
        <v>35</v>
      </c>
      <c r="Y427" s="2" t="s">
        <v>35</v>
      </c>
      <c r="Z427" s="2" t="s">
        <v>35</v>
      </c>
    </row>
    <row r="428" spans="1:26" x14ac:dyDescent="0.2">
      <c r="A428" s="2" t="s">
        <v>685</v>
      </c>
      <c r="B428" s="2" t="b">
        <v>0</v>
      </c>
      <c r="C428" s="2" t="b">
        <v>0</v>
      </c>
      <c r="D428" s="2" t="b">
        <v>0</v>
      </c>
      <c r="E428" s="2" t="b">
        <v>0</v>
      </c>
      <c r="F428" s="2" t="s">
        <v>31</v>
      </c>
      <c r="G428" s="2" t="s">
        <v>149</v>
      </c>
      <c r="H428" s="2" t="s">
        <v>686</v>
      </c>
      <c r="I428" s="2" t="s">
        <v>687</v>
      </c>
      <c r="J428" s="2" t="s">
        <v>35</v>
      </c>
      <c r="K428" s="2" t="s">
        <v>35</v>
      </c>
      <c r="L428" s="2">
        <v>6</v>
      </c>
      <c r="M428" s="2">
        <v>15</v>
      </c>
      <c r="N428" s="3">
        <v>44737.416616076385</v>
      </c>
      <c r="O428" s="3">
        <v>44737.416830949071</v>
      </c>
      <c r="P428" s="2">
        <v>0</v>
      </c>
      <c r="Q428" s="2" t="s">
        <v>54</v>
      </c>
      <c r="R428" s="2" t="s">
        <v>38</v>
      </c>
      <c r="S428" s="2" t="s">
        <v>35</v>
      </c>
      <c r="T428" s="2" t="s">
        <v>35</v>
      </c>
      <c r="U428" s="2" t="s">
        <v>35</v>
      </c>
      <c r="V428" s="2" t="b">
        <v>0</v>
      </c>
      <c r="W428" s="2" t="s">
        <v>35</v>
      </c>
      <c r="X428" s="2" t="s">
        <v>35</v>
      </c>
      <c r="Y428" s="2" t="s">
        <v>35</v>
      </c>
      <c r="Z428" s="2" t="s">
        <v>35</v>
      </c>
    </row>
    <row r="429" spans="1:26" x14ac:dyDescent="0.2">
      <c r="A429" s="2" t="s">
        <v>9277</v>
      </c>
      <c r="B429" s="2" t="b">
        <v>0</v>
      </c>
      <c r="C429" s="2" t="b">
        <v>0</v>
      </c>
      <c r="D429" s="2" t="b">
        <v>0</v>
      </c>
      <c r="E429" s="2" t="b">
        <v>0</v>
      </c>
      <c r="F429" s="2" t="s">
        <v>121</v>
      </c>
      <c r="G429" s="2" t="s">
        <v>149</v>
      </c>
      <c r="H429" s="2" t="s">
        <v>686</v>
      </c>
      <c r="I429" s="2" t="s">
        <v>35</v>
      </c>
      <c r="J429" s="2" t="s">
        <v>35</v>
      </c>
      <c r="K429" s="2" t="s">
        <v>35</v>
      </c>
      <c r="L429" s="2" t="s">
        <v>35</v>
      </c>
      <c r="M429" s="2" t="s">
        <v>35</v>
      </c>
      <c r="N429" s="3">
        <v>44737.416616875002</v>
      </c>
      <c r="O429" s="3">
        <v>44737.41663457176</v>
      </c>
      <c r="P429" s="2">
        <v>0</v>
      </c>
      <c r="Q429" s="2" t="s">
        <v>54</v>
      </c>
      <c r="R429" s="2" t="s">
        <v>38</v>
      </c>
      <c r="S429" s="2" t="s">
        <v>35</v>
      </c>
      <c r="T429" s="2" t="s">
        <v>35</v>
      </c>
      <c r="U429" s="2" t="s">
        <v>35</v>
      </c>
      <c r="V429" s="2" t="b">
        <v>0</v>
      </c>
      <c r="W429" s="2" t="s">
        <v>35</v>
      </c>
      <c r="X429" s="2" t="s">
        <v>35</v>
      </c>
      <c r="Y429" s="2" t="s">
        <v>35</v>
      </c>
      <c r="Z429" s="2" t="s">
        <v>35</v>
      </c>
    </row>
    <row r="430" spans="1:26" x14ac:dyDescent="0.2">
      <c r="A430" s="2" t="s">
        <v>689</v>
      </c>
      <c r="B430" s="2" t="b">
        <v>0</v>
      </c>
      <c r="C430" s="2" t="b">
        <v>0</v>
      </c>
      <c r="D430" s="2" t="b">
        <v>0</v>
      </c>
      <c r="E430" s="2" t="b">
        <v>0</v>
      </c>
      <c r="F430" s="2" t="s">
        <v>31</v>
      </c>
      <c r="G430" s="2" t="s">
        <v>690</v>
      </c>
      <c r="H430" s="2" t="s">
        <v>691</v>
      </c>
      <c r="I430" s="2" t="s">
        <v>675</v>
      </c>
      <c r="J430" s="2" t="s">
        <v>35</v>
      </c>
      <c r="K430" s="2" t="s">
        <v>35</v>
      </c>
      <c r="L430" s="2" t="s">
        <v>35</v>
      </c>
      <c r="M430" s="2" t="s">
        <v>35</v>
      </c>
      <c r="N430" s="3">
        <v>44737.417721921294</v>
      </c>
      <c r="O430" s="3">
        <v>44737.417890046294</v>
      </c>
      <c r="P430" s="2">
        <v>0</v>
      </c>
      <c r="Q430" s="2" t="s">
        <v>124</v>
      </c>
      <c r="R430" s="2" t="s">
        <v>38</v>
      </c>
      <c r="S430" s="2" t="s">
        <v>35</v>
      </c>
      <c r="T430" s="2" t="s">
        <v>35</v>
      </c>
      <c r="U430" s="2" t="s">
        <v>35</v>
      </c>
      <c r="V430" s="2" t="b">
        <v>0</v>
      </c>
      <c r="W430" s="2" t="s">
        <v>35</v>
      </c>
      <c r="X430" s="2">
        <v>4</v>
      </c>
      <c r="Y430" s="2" t="s">
        <v>35</v>
      </c>
      <c r="Z430" s="2" t="s">
        <v>35</v>
      </c>
    </row>
    <row r="431" spans="1:26" x14ac:dyDescent="0.2">
      <c r="A431" s="2" t="s">
        <v>692</v>
      </c>
      <c r="B431" s="2" t="b">
        <v>0</v>
      </c>
      <c r="C431" s="2" t="b">
        <v>0</v>
      </c>
      <c r="D431" s="2" t="b">
        <v>0</v>
      </c>
      <c r="E431" s="2" t="b">
        <v>0</v>
      </c>
      <c r="F431" s="2" t="s">
        <v>31</v>
      </c>
      <c r="G431" s="2" t="s">
        <v>693</v>
      </c>
      <c r="H431" s="2" t="s">
        <v>691</v>
      </c>
      <c r="I431" s="2" t="s">
        <v>35</v>
      </c>
      <c r="J431" s="2" t="s">
        <v>35</v>
      </c>
      <c r="K431" s="2" t="s">
        <v>35</v>
      </c>
      <c r="L431" s="2" t="s">
        <v>35</v>
      </c>
      <c r="M431" s="2" t="s">
        <v>35</v>
      </c>
      <c r="N431" s="3">
        <v>44737.418235428238</v>
      </c>
      <c r="O431" s="3">
        <v>44737.418423414354</v>
      </c>
      <c r="P431" s="2">
        <v>0</v>
      </c>
      <c r="Q431" s="2" t="s">
        <v>36</v>
      </c>
      <c r="R431" s="2" t="s">
        <v>38</v>
      </c>
      <c r="S431" s="2" t="s">
        <v>35</v>
      </c>
      <c r="T431" s="2" t="s">
        <v>35</v>
      </c>
      <c r="U431" s="2" t="s">
        <v>35</v>
      </c>
      <c r="V431" s="2" t="b">
        <v>0</v>
      </c>
      <c r="W431" s="2" t="s">
        <v>35</v>
      </c>
      <c r="X431" s="2" t="s">
        <v>35</v>
      </c>
      <c r="Y431" s="2" t="s">
        <v>35</v>
      </c>
      <c r="Z431" s="2">
        <v>3</v>
      </c>
    </row>
    <row r="432" spans="1:26" x14ac:dyDescent="0.2">
      <c r="A432" s="2" t="s">
        <v>694</v>
      </c>
      <c r="B432" s="2" t="b">
        <v>0</v>
      </c>
      <c r="C432" s="2" t="b">
        <v>0</v>
      </c>
      <c r="D432" s="2" t="b">
        <v>0</v>
      </c>
      <c r="E432" s="2" t="b">
        <v>0</v>
      </c>
      <c r="F432" s="2" t="s">
        <v>31</v>
      </c>
      <c r="G432" s="2" t="s">
        <v>695</v>
      </c>
      <c r="H432" s="2" t="s">
        <v>696</v>
      </c>
      <c r="I432" s="2" t="s">
        <v>35</v>
      </c>
      <c r="J432" s="2" t="s">
        <v>35</v>
      </c>
      <c r="K432" s="2" t="s">
        <v>35</v>
      </c>
      <c r="L432" s="2" t="s">
        <v>35</v>
      </c>
      <c r="M432" s="2" t="s">
        <v>35</v>
      </c>
      <c r="N432" s="3">
        <v>44737.419182187499</v>
      </c>
      <c r="O432" s="3">
        <v>44737.419541122683</v>
      </c>
      <c r="P432" s="2">
        <v>0</v>
      </c>
      <c r="Q432" s="2" t="s">
        <v>36</v>
      </c>
      <c r="R432" s="2" t="s">
        <v>38</v>
      </c>
      <c r="S432" s="2" t="s">
        <v>35</v>
      </c>
      <c r="T432" s="2" t="s">
        <v>35</v>
      </c>
      <c r="U432" s="2" t="s">
        <v>35</v>
      </c>
      <c r="V432" s="2" t="b">
        <v>0</v>
      </c>
      <c r="W432" s="2" t="s">
        <v>35</v>
      </c>
      <c r="X432" s="2" t="s">
        <v>35</v>
      </c>
      <c r="Y432" s="2" t="s">
        <v>35</v>
      </c>
      <c r="Z432" s="2">
        <v>3</v>
      </c>
    </row>
    <row r="433" spans="1:26" x14ac:dyDescent="0.2">
      <c r="A433" s="2" t="s">
        <v>697</v>
      </c>
      <c r="B433" s="2" t="b">
        <v>0</v>
      </c>
      <c r="C433" s="2" t="b">
        <v>0</v>
      </c>
      <c r="D433" s="2" t="b">
        <v>0</v>
      </c>
      <c r="E433" s="2" t="b">
        <v>0</v>
      </c>
      <c r="F433" s="2" t="s">
        <v>31</v>
      </c>
      <c r="G433" s="2" t="s">
        <v>698</v>
      </c>
      <c r="H433" s="2" t="s">
        <v>699</v>
      </c>
      <c r="I433" s="2" t="s">
        <v>700</v>
      </c>
      <c r="J433" s="2" t="s">
        <v>35</v>
      </c>
      <c r="K433" s="2" t="s">
        <v>35</v>
      </c>
      <c r="L433" s="2" t="s">
        <v>35</v>
      </c>
      <c r="M433" s="2" t="s">
        <v>35</v>
      </c>
      <c r="N433" s="3">
        <v>44737.421559166665</v>
      </c>
      <c r="O433" s="3">
        <v>44737.422376898146</v>
      </c>
      <c r="P433" s="2">
        <v>0</v>
      </c>
      <c r="Q433" s="2" t="s">
        <v>36</v>
      </c>
      <c r="R433" s="2" t="s">
        <v>38</v>
      </c>
      <c r="S433" s="2" t="s">
        <v>35</v>
      </c>
      <c r="T433" s="2" t="s">
        <v>35</v>
      </c>
      <c r="U433" s="2" t="s">
        <v>35</v>
      </c>
      <c r="V433" s="2" t="b">
        <v>0</v>
      </c>
      <c r="W433" s="2" t="s">
        <v>35</v>
      </c>
      <c r="X433" s="2" t="s">
        <v>35</v>
      </c>
      <c r="Y433" s="2">
        <v>4</v>
      </c>
      <c r="Z433" s="2">
        <v>2</v>
      </c>
    </row>
    <row r="434" spans="1:26" x14ac:dyDescent="0.2">
      <c r="A434" s="2" t="s">
        <v>701</v>
      </c>
      <c r="B434" s="2" t="b">
        <v>0</v>
      </c>
      <c r="C434" s="2" t="b">
        <v>0</v>
      </c>
      <c r="D434" s="2" t="b">
        <v>0</v>
      </c>
      <c r="E434" s="2" t="b">
        <v>0</v>
      </c>
      <c r="F434" s="2" t="s">
        <v>31</v>
      </c>
      <c r="G434" s="2" t="s">
        <v>702</v>
      </c>
      <c r="H434" s="2" t="s">
        <v>703</v>
      </c>
      <c r="I434" s="2" t="s">
        <v>35</v>
      </c>
      <c r="J434" s="2" t="s">
        <v>35</v>
      </c>
      <c r="K434" s="2" t="s">
        <v>35</v>
      </c>
      <c r="L434" s="2" t="s">
        <v>35</v>
      </c>
      <c r="M434" s="2" t="s">
        <v>35</v>
      </c>
      <c r="N434" s="3">
        <v>44737.422413865737</v>
      </c>
      <c r="O434" s="3">
        <v>44737.422642696758</v>
      </c>
      <c r="P434" s="2">
        <v>0</v>
      </c>
      <c r="Q434" s="2" t="s">
        <v>36</v>
      </c>
      <c r="R434" s="2" t="s">
        <v>38</v>
      </c>
      <c r="S434" s="2" t="s">
        <v>35</v>
      </c>
      <c r="T434" s="2" t="s">
        <v>35</v>
      </c>
      <c r="U434" s="2" t="s">
        <v>35</v>
      </c>
      <c r="V434" s="2" t="b">
        <v>0</v>
      </c>
      <c r="W434" s="2" t="s">
        <v>35</v>
      </c>
      <c r="X434" s="2" t="s">
        <v>35</v>
      </c>
      <c r="Y434" s="2" t="s">
        <v>35</v>
      </c>
      <c r="Z434" s="2">
        <v>4</v>
      </c>
    </row>
    <row r="435" spans="1:26" x14ac:dyDescent="0.2">
      <c r="A435" s="2" t="s">
        <v>704</v>
      </c>
      <c r="B435" s="2" t="b">
        <v>0</v>
      </c>
      <c r="C435" s="2" t="b">
        <v>0</v>
      </c>
      <c r="D435" s="2" t="b">
        <v>0</v>
      </c>
      <c r="E435" s="2" t="b">
        <v>0</v>
      </c>
      <c r="F435" s="2" t="s">
        <v>31</v>
      </c>
      <c r="G435" s="2" t="s">
        <v>705</v>
      </c>
      <c r="H435" s="2" t="s">
        <v>706</v>
      </c>
      <c r="I435" s="2" t="s">
        <v>675</v>
      </c>
      <c r="J435" s="2" t="s">
        <v>35</v>
      </c>
      <c r="K435" s="2" t="s">
        <v>35</v>
      </c>
      <c r="L435" s="2" t="s">
        <v>35</v>
      </c>
      <c r="M435" s="2" t="s">
        <v>35</v>
      </c>
      <c r="N435" s="3">
        <v>44737.422684884259</v>
      </c>
      <c r="O435" s="3">
        <v>44737.422848425929</v>
      </c>
      <c r="P435" s="2">
        <v>0</v>
      </c>
      <c r="Q435" s="2" t="s">
        <v>124</v>
      </c>
      <c r="R435" s="2" t="s">
        <v>38</v>
      </c>
      <c r="S435" s="2" t="s">
        <v>35</v>
      </c>
      <c r="T435" s="2" t="s">
        <v>35</v>
      </c>
      <c r="U435" s="2" t="s">
        <v>35</v>
      </c>
      <c r="V435" s="2" t="b">
        <v>0</v>
      </c>
      <c r="W435" s="2" t="s">
        <v>35</v>
      </c>
      <c r="X435" s="2">
        <v>4</v>
      </c>
      <c r="Y435" s="2" t="s">
        <v>35</v>
      </c>
      <c r="Z435" s="2" t="s">
        <v>35</v>
      </c>
    </row>
    <row r="436" spans="1:26" x14ac:dyDescent="0.2">
      <c r="A436" s="2" t="s">
        <v>707</v>
      </c>
      <c r="B436" s="2" t="b">
        <v>0</v>
      </c>
      <c r="C436" s="2" t="b">
        <v>0</v>
      </c>
      <c r="D436" s="2" t="b">
        <v>0</v>
      </c>
      <c r="E436" s="2" t="b">
        <v>0</v>
      </c>
      <c r="F436" s="2" t="s">
        <v>31</v>
      </c>
      <c r="G436" s="2" t="s">
        <v>708</v>
      </c>
      <c r="H436" s="2" t="s">
        <v>709</v>
      </c>
      <c r="I436" s="2" t="s">
        <v>35</v>
      </c>
      <c r="J436" s="2" t="s">
        <v>35</v>
      </c>
      <c r="K436" s="2" t="s">
        <v>35</v>
      </c>
      <c r="L436" s="2" t="s">
        <v>35</v>
      </c>
      <c r="M436" s="2" t="s">
        <v>35</v>
      </c>
      <c r="N436" s="3">
        <v>44737.423463321757</v>
      </c>
      <c r="O436" s="3">
        <v>44737.423833125002</v>
      </c>
      <c r="P436" s="2">
        <v>0</v>
      </c>
      <c r="Q436" s="2" t="s">
        <v>36</v>
      </c>
      <c r="R436" s="2" t="s">
        <v>38</v>
      </c>
      <c r="S436" s="2" t="s">
        <v>35</v>
      </c>
      <c r="T436" s="2" t="s">
        <v>35</v>
      </c>
      <c r="U436" s="2" t="s">
        <v>35</v>
      </c>
      <c r="V436" s="2" t="b">
        <v>0</v>
      </c>
      <c r="W436" s="2" t="s">
        <v>35</v>
      </c>
      <c r="X436" s="2" t="s">
        <v>35</v>
      </c>
      <c r="Y436" s="2" t="s">
        <v>35</v>
      </c>
      <c r="Z436" s="2">
        <v>3</v>
      </c>
    </row>
    <row r="437" spans="1:26" x14ac:dyDescent="0.2">
      <c r="A437" s="2" t="s">
        <v>710</v>
      </c>
      <c r="B437" s="2" t="b">
        <v>0</v>
      </c>
      <c r="C437" s="2" t="b">
        <v>0</v>
      </c>
      <c r="D437" s="2" t="b">
        <v>0</v>
      </c>
      <c r="E437" s="2" t="b">
        <v>0</v>
      </c>
      <c r="F437" s="2" t="s">
        <v>31</v>
      </c>
      <c r="G437" s="2" t="s">
        <v>711</v>
      </c>
      <c r="H437" s="2" t="s">
        <v>712</v>
      </c>
      <c r="I437" s="2" t="s">
        <v>675</v>
      </c>
      <c r="J437" s="2" t="s">
        <v>35</v>
      </c>
      <c r="K437" s="2" t="s">
        <v>35</v>
      </c>
      <c r="L437" s="2" t="s">
        <v>35</v>
      </c>
      <c r="M437" s="2" t="s">
        <v>35</v>
      </c>
      <c r="N437" s="3">
        <v>44737.424236909719</v>
      </c>
      <c r="O437" s="3">
        <v>44737.424655069444</v>
      </c>
      <c r="P437" s="2">
        <v>0</v>
      </c>
      <c r="Q437" s="2" t="s">
        <v>124</v>
      </c>
      <c r="R437" s="2" t="s">
        <v>38</v>
      </c>
      <c r="S437" s="2" t="s">
        <v>35</v>
      </c>
      <c r="T437" s="2" t="s">
        <v>35</v>
      </c>
      <c r="U437" s="2" t="s">
        <v>35</v>
      </c>
      <c r="V437" s="2" t="b">
        <v>0</v>
      </c>
      <c r="W437" s="2" t="s">
        <v>35</v>
      </c>
      <c r="X437" s="2">
        <v>4</v>
      </c>
      <c r="Y437" s="2" t="s">
        <v>35</v>
      </c>
      <c r="Z437" s="2" t="s">
        <v>35</v>
      </c>
    </row>
    <row r="438" spans="1:26" x14ac:dyDescent="0.2">
      <c r="A438" s="2" t="s">
        <v>713</v>
      </c>
      <c r="B438" s="2" t="b">
        <v>0</v>
      </c>
      <c r="C438" s="2" t="b">
        <v>0</v>
      </c>
      <c r="D438" s="2" t="b">
        <v>0</v>
      </c>
      <c r="E438" s="2" t="b">
        <v>0</v>
      </c>
      <c r="F438" s="2" t="s">
        <v>31</v>
      </c>
      <c r="G438" s="2" t="s">
        <v>714</v>
      </c>
      <c r="H438" s="2" t="s">
        <v>715</v>
      </c>
      <c r="I438" s="2" t="s">
        <v>35</v>
      </c>
      <c r="J438" s="2" t="s">
        <v>35</v>
      </c>
      <c r="K438" s="2" t="s">
        <v>35</v>
      </c>
      <c r="L438" s="2" t="s">
        <v>35</v>
      </c>
      <c r="M438" s="2" t="s">
        <v>35</v>
      </c>
      <c r="N438" s="3">
        <v>44737.424690532411</v>
      </c>
      <c r="O438" s="3">
        <v>44737.42517422454</v>
      </c>
      <c r="P438" s="2">
        <v>0</v>
      </c>
      <c r="Q438" s="2" t="s">
        <v>36</v>
      </c>
      <c r="R438" s="2" t="s">
        <v>38</v>
      </c>
      <c r="S438" s="2" t="s">
        <v>35</v>
      </c>
      <c r="T438" s="2" t="s">
        <v>35</v>
      </c>
      <c r="U438" s="2" t="s">
        <v>35</v>
      </c>
      <c r="V438" s="2" t="b">
        <v>0</v>
      </c>
      <c r="W438" s="2" t="s">
        <v>35</v>
      </c>
      <c r="X438" s="2" t="s">
        <v>35</v>
      </c>
      <c r="Y438" s="2" t="s">
        <v>35</v>
      </c>
      <c r="Z438" s="2">
        <v>4</v>
      </c>
    </row>
    <row r="439" spans="1:26" x14ac:dyDescent="0.2">
      <c r="A439" s="2" t="s">
        <v>716</v>
      </c>
      <c r="B439" s="2" t="b">
        <v>0</v>
      </c>
      <c r="C439" s="2" t="b">
        <v>0</v>
      </c>
      <c r="D439" s="2" t="b">
        <v>0</v>
      </c>
      <c r="E439" s="2" t="b">
        <v>0</v>
      </c>
      <c r="F439" s="2" t="s">
        <v>31</v>
      </c>
      <c r="G439" s="2" t="s">
        <v>717</v>
      </c>
      <c r="H439" s="2" t="s">
        <v>718</v>
      </c>
      <c r="I439" s="2" t="s">
        <v>675</v>
      </c>
      <c r="J439" s="2" t="s">
        <v>35</v>
      </c>
      <c r="K439" s="2" t="s">
        <v>35</v>
      </c>
      <c r="L439" s="2" t="s">
        <v>35</v>
      </c>
      <c r="M439" s="2" t="s">
        <v>35</v>
      </c>
      <c r="N439" s="3">
        <v>44737.42633905093</v>
      </c>
      <c r="O439" s="3">
        <v>44737.426552129633</v>
      </c>
      <c r="P439" s="2">
        <v>0</v>
      </c>
      <c r="Q439" s="2" t="s">
        <v>124</v>
      </c>
      <c r="R439" s="2" t="s">
        <v>38</v>
      </c>
      <c r="S439" s="2" t="s">
        <v>35</v>
      </c>
      <c r="T439" s="2" t="s">
        <v>35</v>
      </c>
      <c r="U439" s="2" t="s">
        <v>35</v>
      </c>
      <c r="V439" s="2" t="b">
        <v>0</v>
      </c>
      <c r="W439" s="2" t="s">
        <v>35</v>
      </c>
      <c r="X439" s="2">
        <v>4</v>
      </c>
      <c r="Y439" s="2" t="s">
        <v>35</v>
      </c>
      <c r="Z439" s="2" t="s">
        <v>35</v>
      </c>
    </row>
    <row r="440" spans="1:26" x14ac:dyDescent="0.2">
      <c r="A440" s="2" t="s">
        <v>719</v>
      </c>
      <c r="B440" s="2" t="b">
        <v>0</v>
      </c>
      <c r="C440" s="2" t="b">
        <v>0</v>
      </c>
      <c r="D440" s="2" t="b">
        <v>0</v>
      </c>
      <c r="E440" s="2" t="b">
        <v>0</v>
      </c>
      <c r="F440" s="2" t="s">
        <v>31</v>
      </c>
      <c r="G440" s="2" t="s">
        <v>720</v>
      </c>
      <c r="H440" s="2" t="s">
        <v>721</v>
      </c>
      <c r="I440" s="2" t="s">
        <v>35</v>
      </c>
      <c r="J440" s="2" t="s">
        <v>35</v>
      </c>
      <c r="K440" s="2" t="s">
        <v>35</v>
      </c>
      <c r="L440" s="2" t="s">
        <v>35</v>
      </c>
      <c r="M440" s="2" t="s">
        <v>35</v>
      </c>
      <c r="N440" s="3">
        <v>44737.426629837966</v>
      </c>
      <c r="O440" s="3">
        <v>44737.42687275463</v>
      </c>
      <c r="P440" s="2">
        <v>0</v>
      </c>
      <c r="Q440" s="2" t="s">
        <v>36</v>
      </c>
      <c r="R440" s="2" t="s">
        <v>38</v>
      </c>
      <c r="S440" s="2" t="s">
        <v>35</v>
      </c>
      <c r="T440" s="2" t="s">
        <v>35</v>
      </c>
      <c r="U440" s="2" t="s">
        <v>35</v>
      </c>
      <c r="V440" s="2" t="b">
        <v>0</v>
      </c>
      <c r="W440" s="2" t="s">
        <v>35</v>
      </c>
      <c r="X440" s="2" t="s">
        <v>35</v>
      </c>
      <c r="Y440" s="2" t="s">
        <v>35</v>
      </c>
      <c r="Z440" s="2">
        <v>3</v>
      </c>
    </row>
    <row r="441" spans="1:26" x14ac:dyDescent="0.2">
      <c r="A441" s="2" t="s">
        <v>722</v>
      </c>
      <c r="B441" s="2" t="b">
        <v>0</v>
      </c>
      <c r="C441" s="2" t="b">
        <v>0</v>
      </c>
      <c r="D441" s="2" t="b">
        <v>0</v>
      </c>
      <c r="E441" s="2" t="b">
        <v>0</v>
      </c>
      <c r="F441" s="2" t="s">
        <v>31</v>
      </c>
      <c r="G441" s="2" t="s">
        <v>723</v>
      </c>
      <c r="H441" s="2" t="s">
        <v>724</v>
      </c>
      <c r="I441" s="2" t="s">
        <v>725</v>
      </c>
      <c r="J441" s="2" t="s">
        <v>35</v>
      </c>
      <c r="K441" s="2" t="s">
        <v>35</v>
      </c>
      <c r="L441" s="2" t="s">
        <v>35</v>
      </c>
      <c r="M441" s="2" t="s">
        <v>35</v>
      </c>
      <c r="N441" s="3">
        <v>44737.427613472224</v>
      </c>
      <c r="O441" s="3">
        <v>44737.4280340162</v>
      </c>
      <c r="P441" s="2">
        <v>0</v>
      </c>
      <c r="Q441" s="2" t="s">
        <v>36</v>
      </c>
      <c r="R441" s="2" t="s">
        <v>38</v>
      </c>
      <c r="S441" s="2" t="s">
        <v>35</v>
      </c>
      <c r="T441" s="2" t="s">
        <v>35</v>
      </c>
      <c r="U441" s="2" t="s">
        <v>35</v>
      </c>
      <c r="V441" s="2" t="b">
        <v>0</v>
      </c>
      <c r="W441" s="2" t="s">
        <v>35</v>
      </c>
      <c r="X441" s="2" t="s">
        <v>35</v>
      </c>
      <c r="Y441" s="2">
        <v>5</v>
      </c>
      <c r="Z441" s="2">
        <v>2</v>
      </c>
    </row>
    <row r="442" spans="1:26" x14ac:dyDescent="0.2">
      <c r="A442" s="2" t="s">
        <v>726</v>
      </c>
      <c r="B442" s="2" t="b">
        <v>0</v>
      </c>
      <c r="C442" s="2" t="b">
        <v>0</v>
      </c>
      <c r="D442" s="2" t="b">
        <v>0</v>
      </c>
      <c r="E442" s="2" t="b">
        <v>0</v>
      </c>
      <c r="F442" s="2" t="s">
        <v>31</v>
      </c>
      <c r="G442" s="2" t="s">
        <v>149</v>
      </c>
      <c r="H442" s="2" t="s">
        <v>727</v>
      </c>
      <c r="I442" s="2" t="s">
        <v>725</v>
      </c>
      <c r="J442" s="2" t="s">
        <v>35</v>
      </c>
      <c r="K442" s="2" t="s">
        <v>35</v>
      </c>
      <c r="L442" s="2" t="s">
        <v>35</v>
      </c>
      <c r="M442" s="2" t="s">
        <v>35</v>
      </c>
      <c r="N442" s="3">
        <v>44737.429277800926</v>
      </c>
      <c r="O442" s="3">
        <v>44737.429609814812</v>
      </c>
      <c r="P442" s="2">
        <v>0</v>
      </c>
      <c r="Q442" s="2" t="s">
        <v>36</v>
      </c>
      <c r="R442" s="2" t="s">
        <v>38</v>
      </c>
      <c r="S442" s="2" t="s">
        <v>35</v>
      </c>
      <c r="T442" s="2" t="s">
        <v>35</v>
      </c>
      <c r="U442" s="2" t="s">
        <v>35</v>
      </c>
      <c r="V442" s="2" t="b">
        <v>0</v>
      </c>
      <c r="W442" s="2" t="s">
        <v>35</v>
      </c>
      <c r="X442" s="2" t="s">
        <v>35</v>
      </c>
      <c r="Y442" s="2">
        <v>5</v>
      </c>
      <c r="Z442" s="2" t="s">
        <v>35</v>
      </c>
    </row>
    <row r="443" spans="1:26" x14ac:dyDescent="0.2">
      <c r="A443" s="2" t="s">
        <v>728</v>
      </c>
      <c r="B443" s="2" t="b">
        <v>0</v>
      </c>
      <c r="C443" s="2" t="b">
        <v>0</v>
      </c>
      <c r="D443" s="2" t="b">
        <v>0</v>
      </c>
      <c r="E443" s="2" t="b">
        <v>0</v>
      </c>
      <c r="F443" s="2" t="s">
        <v>31</v>
      </c>
      <c r="G443" s="2" t="s">
        <v>729</v>
      </c>
      <c r="H443" s="2" t="s">
        <v>730</v>
      </c>
      <c r="I443" s="2" t="s">
        <v>725</v>
      </c>
      <c r="J443" s="2" t="s">
        <v>35</v>
      </c>
      <c r="K443" s="2" t="s">
        <v>35</v>
      </c>
      <c r="L443" s="2" t="s">
        <v>35</v>
      </c>
      <c r="M443" s="2" t="s">
        <v>35</v>
      </c>
      <c r="N443" s="3">
        <v>44737.430784374999</v>
      </c>
      <c r="O443" s="3">
        <v>44737.431031597225</v>
      </c>
      <c r="P443" s="2">
        <v>0</v>
      </c>
      <c r="Q443" s="2" t="s">
        <v>36</v>
      </c>
      <c r="R443" s="2" t="s">
        <v>38</v>
      </c>
      <c r="S443" s="2" t="s">
        <v>35</v>
      </c>
      <c r="T443" s="2" t="s">
        <v>35</v>
      </c>
      <c r="U443" s="2" t="s">
        <v>35</v>
      </c>
      <c r="V443" s="2" t="b">
        <v>0</v>
      </c>
      <c r="W443" s="2" t="s">
        <v>35</v>
      </c>
      <c r="X443" s="2" t="s">
        <v>35</v>
      </c>
      <c r="Y443" s="2">
        <v>4</v>
      </c>
      <c r="Z443" s="2" t="s">
        <v>35</v>
      </c>
    </row>
    <row r="444" spans="1:26" x14ac:dyDescent="0.2">
      <c r="A444" s="2" t="s">
        <v>731</v>
      </c>
      <c r="B444" s="2" t="b">
        <v>0</v>
      </c>
      <c r="C444" s="2" t="b">
        <v>0</v>
      </c>
      <c r="D444" s="2" t="b">
        <v>0</v>
      </c>
      <c r="E444" s="2" t="b">
        <v>0</v>
      </c>
      <c r="F444" s="2" t="s">
        <v>31</v>
      </c>
      <c r="G444" s="2" t="s">
        <v>732</v>
      </c>
      <c r="H444" s="2" t="s">
        <v>733</v>
      </c>
      <c r="I444" s="2" t="s">
        <v>35</v>
      </c>
      <c r="J444" s="2" t="s">
        <v>35</v>
      </c>
      <c r="K444" s="2" t="s">
        <v>35</v>
      </c>
      <c r="L444" s="2">
        <v>53</v>
      </c>
      <c r="M444" s="2">
        <v>9</v>
      </c>
      <c r="N444" s="3">
        <v>44737.433453379628</v>
      </c>
      <c r="O444" s="3">
        <v>44737.433721504633</v>
      </c>
      <c r="P444" s="2">
        <v>0</v>
      </c>
      <c r="Q444" s="2" t="s">
        <v>54</v>
      </c>
      <c r="R444" s="2" t="s">
        <v>38</v>
      </c>
      <c r="S444" s="2" t="s">
        <v>35</v>
      </c>
      <c r="T444" s="2" t="s">
        <v>35</v>
      </c>
      <c r="U444" s="2" t="s">
        <v>35</v>
      </c>
      <c r="V444" s="2" t="b">
        <v>1</v>
      </c>
      <c r="W444" s="2" t="s">
        <v>35</v>
      </c>
      <c r="X444" s="2" t="s">
        <v>35</v>
      </c>
      <c r="Y444" s="2" t="s">
        <v>35</v>
      </c>
      <c r="Z444" s="2" t="s">
        <v>35</v>
      </c>
    </row>
    <row r="445" spans="1:26" x14ac:dyDescent="0.2">
      <c r="A445" s="2" t="s">
        <v>4777</v>
      </c>
      <c r="B445" s="2" t="b">
        <v>0</v>
      </c>
      <c r="C445" s="2" t="b">
        <v>0</v>
      </c>
      <c r="D445" s="2" t="b">
        <v>0</v>
      </c>
      <c r="E445" s="2" t="b">
        <v>0</v>
      </c>
      <c r="F445" s="2" t="s">
        <v>121</v>
      </c>
      <c r="G445" s="2" t="s">
        <v>9278</v>
      </c>
      <c r="H445" s="2" t="s">
        <v>735</v>
      </c>
      <c r="I445" s="2" t="s">
        <v>9279</v>
      </c>
      <c r="J445" s="2" t="s">
        <v>35</v>
      </c>
      <c r="K445" s="2" t="s">
        <v>35</v>
      </c>
      <c r="L445" s="2" t="s">
        <v>35</v>
      </c>
      <c r="M445" s="2" t="s">
        <v>35</v>
      </c>
      <c r="N445" s="3">
        <v>44737.433767002316</v>
      </c>
      <c r="O445" s="3">
        <v>44737.434132372684</v>
      </c>
      <c r="P445" s="2">
        <v>0</v>
      </c>
      <c r="Q445" s="2" t="s">
        <v>36</v>
      </c>
      <c r="R445" s="2" t="s">
        <v>38</v>
      </c>
      <c r="S445" s="2" t="s">
        <v>35</v>
      </c>
      <c r="T445" s="2" t="s">
        <v>35</v>
      </c>
      <c r="U445" s="2" t="s">
        <v>35</v>
      </c>
      <c r="V445" s="2" t="b">
        <v>0</v>
      </c>
      <c r="W445" s="2" t="s">
        <v>35</v>
      </c>
      <c r="X445" s="2" t="s">
        <v>35</v>
      </c>
      <c r="Y445" s="2" t="s">
        <v>35</v>
      </c>
      <c r="Z445" s="2">
        <v>12</v>
      </c>
    </row>
    <row r="446" spans="1:26" x14ac:dyDescent="0.2">
      <c r="A446" s="2" t="s">
        <v>734</v>
      </c>
      <c r="B446" s="2" t="b">
        <v>0</v>
      </c>
      <c r="C446" s="2" t="b">
        <v>0</v>
      </c>
      <c r="D446" s="2" t="b">
        <v>0</v>
      </c>
      <c r="E446" s="2" t="b">
        <v>0</v>
      </c>
      <c r="F446" s="2" t="s">
        <v>31</v>
      </c>
      <c r="G446" s="2" t="s">
        <v>149</v>
      </c>
      <c r="H446" s="2" t="s">
        <v>735</v>
      </c>
      <c r="I446" s="2" t="s">
        <v>736</v>
      </c>
      <c r="J446" s="2" t="s">
        <v>35</v>
      </c>
      <c r="K446" s="2" t="s">
        <v>35</v>
      </c>
      <c r="L446" s="2" t="s">
        <v>35</v>
      </c>
      <c r="M446" s="2" t="s">
        <v>35</v>
      </c>
      <c r="N446" s="3">
        <v>44737.434814189815</v>
      </c>
      <c r="O446" s="3">
        <v>44737.435091423613</v>
      </c>
      <c r="P446" s="2">
        <v>0</v>
      </c>
      <c r="Q446" s="2" t="s">
        <v>36</v>
      </c>
      <c r="R446" s="2" t="s">
        <v>38</v>
      </c>
      <c r="S446" s="2" t="s">
        <v>35</v>
      </c>
      <c r="T446" s="2" t="s">
        <v>35</v>
      </c>
      <c r="U446" s="2" t="s">
        <v>35</v>
      </c>
      <c r="V446" s="2" t="b">
        <v>0</v>
      </c>
      <c r="W446" s="2" t="s">
        <v>35</v>
      </c>
      <c r="X446" s="2" t="s">
        <v>35</v>
      </c>
      <c r="Y446" s="2">
        <v>12</v>
      </c>
      <c r="Z446" s="2" t="s">
        <v>35</v>
      </c>
    </row>
    <row r="447" spans="1:26" x14ac:dyDescent="0.2">
      <c r="A447" s="2" t="s">
        <v>737</v>
      </c>
      <c r="B447" s="2" t="b">
        <v>0</v>
      </c>
      <c r="C447" s="2" t="b">
        <v>0</v>
      </c>
      <c r="D447" s="2" t="b">
        <v>0</v>
      </c>
      <c r="E447" s="2" t="b">
        <v>0</v>
      </c>
      <c r="F447" s="2" t="s">
        <v>31</v>
      </c>
      <c r="G447" s="2" t="s">
        <v>738</v>
      </c>
      <c r="H447" s="2" t="s">
        <v>739</v>
      </c>
      <c r="I447" s="2" t="s">
        <v>740</v>
      </c>
      <c r="J447" s="2" t="s">
        <v>35</v>
      </c>
      <c r="K447" s="2" t="s">
        <v>35</v>
      </c>
      <c r="L447" s="2" t="s">
        <v>35</v>
      </c>
      <c r="M447" s="2" t="s">
        <v>35</v>
      </c>
      <c r="N447" s="3">
        <v>44737.436764409722</v>
      </c>
      <c r="O447" s="3">
        <v>44737.437331331021</v>
      </c>
      <c r="P447" s="2">
        <v>0</v>
      </c>
      <c r="Q447" s="2" t="s">
        <v>36</v>
      </c>
      <c r="R447" s="2" t="s">
        <v>38</v>
      </c>
      <c r="S447" s="2" t="s">
        <v>35</v>
      </c>
      <c r="T447" s="2" t="s">
        <v>35</v>
      </c>
      <c r="U447" s="2" t="s">
        <v>35</v>
      </c>
      <c r="V447" s="2" t="b">
        <v>0</v>
      </c>
      <c r="W447" s="2" t="s">
        <v>35</v>
      </c>
      <c r="X447" s="2" t="s">
        <v>35</v>
      </c>
      <c r="Y447" s="2">
        <v>4</v>
      </c>
      <c r="Z447" s="2">
        <v>3</v>
      </c>
    </row>
    <row r="448" spans="1:26" x14ac:dyDescent="0.2">
      <c r="A448" s="2" t="s">
        <v>741</v>
      </c>
      <c r="B448" s="2" t="b">
        <v>0</v>
      </c>
      <c r="C448" s="2" t="b">
        <v>0</v>
      </c>
      <c r="D448" s="2" t="b">
        <v>0</v>
      </c>
      <c r="E448" s="2" t="b">
        <v>0</v>
      </c>
      <c r="F448" s="2" t="s">
        <v>31</v>
      </c>
      <c r="G448" s="2" t="s">
        <v>742</v>
      </c>
      <c r="H448" s="2" t="s">
        <v>743</v>
      </c>
      <c r="I448" s="2" t="s">
        <v>35</v>
      </c>
      <c r="J448" s="2" t="s">
        <v>35</v>
      </c>
      <c r="K448" s="2" t="s">
        <v>35</v>
      </c>
      <c r="L448" s="2" t="s">
        <v>35</v>
      </c>
      <c r="M448" s="2" t="s">
        <v>35</v>
      </c>
      <c r="N448" s="3">
        <v>44737.438985358793</v>
      </c>
      <c r="O448" s="3">
        <v>44737.439096064816</v>
      </c>
      <c r="P448" s="2">
        <v>0</v>
      </c>
      <c r="Q448" s="2" t="s">
        <v>36</v>
      </c>
      <c r="R448" s="2" t="s">
        <v>38</v>
      </c>
      <c r="S448" s="2" t="s">
        <v>35</v>
      </c>
      <c r="T448" s="2" t="s">
        <v>35</v>
      </c>
      <c r="U448" s="2" t="s">
        <v>35</v>
      </c>
      <c r="V448" s="2" t="b">
        <v>0</v>
      </c>
      <c r="W448" s="2" t="s">
        <v>35</v>
      </c>
      <c r="X448" s="2" t="s">
        <v>35</v>
      </c>
      <c r="Y448" s="2" t="s">
        <v>35</v>
      </c>
      <c r="Z448" s="2">
        <v>2</v>
      </c>
    </row>
    <row r="449" spans="1:26" x14ac:dyDescent="0.2">
      <c r="A449" s="2" t="s">
        <v>744</v>
      </c>
      <c r="B449" s="2" t="b">
        <v>0</v>
      </c>
      <c r="C449" s="2" t="b">
        <v>0</v>
      </c>
      <c r="D449" s="2" t="b">
        <v>0</v>
      </c>
      <c r="E449" s="2" t="b">
        <v>0</v>
      </c>
      <c r="F449" s="2" t="s">
        <v>31</v>
      </c>
      <c r="G449" s="2" t="s">
        <v>745</v>
      </c>
      <c r="H449" s="2" t="s">
        <v>746</v>
      </c>
      <c r="I449" s="2" t="s">
        <v>675</v>
      </c>
      <c r="J449" s="2" t="s">
        <v>35</v>
      </c>
      <c r="K449" s="2" t="s">
        <v>35</v>
      </c>
      <c r="L449" s="2" t="s">
        <v>35</v>
      </c>
      <c r="M449" s="2" t="s">
        <v>35</v>
      </c>
      <c r="N449" s="3">
        <v>44737.439672569446</v>
      </c>
      <c r="O449" s="3">
        <v>44737.439962962962</v>
      </c>
      <c r="P449" s="2">
        <v>0</v>
      </c>
      <c r="Q449" s="2" t="s">
        <v>124</v>
      </c>
      <c r="R449" s="2" t="s">
        <v>38</v>
      </c>
      <c r="S449" s="2" t="s">
        <v>35</v>
      </c>
      <c r="T449" s="2" t="s">
        <v>35</v>
      </c>
      <c r="U449" s="2" t="s">
        <v>35</v>
      </c>
      <c r="V449" s="2" t="b">
        <v>0</v>
      </c>
      <c r="W449" s="2" t="s">
        <v>35</v>
      </c>
      <c r="X449" s="2">
        <v>4</v>
      </c>
      <c r="Y449" s="2" t="s">
        <v>35</v>
      </c>
      <c r="Z449" s="2" t="s">
        <v>35</v>
      </c>
    </row>
    <row r="450" spans="1:26" x14ac:dyDescent="0.2">
      <c r="A450" s="2" t="s">
        <v>747</v>
      </c>
      <c r="B450" s="2" t="b">
        <v>0</v>
      </c>
      <c r="C450" s="2" t="b">
        <v>0</v>
      </c>
      <c r="D450" s="2" t="b">
        <v>0</v>
      </c>
      <c r="E450" s="2" t="b">
        <v>0</v>
      </c>
      <c r="F450" s="2" t="s">
        <v>31</v>
      </c>
      <c r="G450" s="2" t="s">
        <v>748</v>
      </c>
      <c r="H450" s="2" t="s">
        <v>749</v>
      </c>
      <c r="I450" s="2" t="s">
        <v>736</v>
      </c>
      <c r="J450" s="2" t="s">
        <v>35</v>
      </c>
      <c r="K450" s="2" t="s">
        <v>35</v>
      </c>
      <c r="L450" s="2" t="s">
        <v>35</v>
      </c>
      <c r="M450" s="2" t="s">
        <v>35</v>
      </c>
      <c r="N450" s="3">
        <v>44737.44006025463</v>
      </c>
      <c r="O450" s="3">
        <v>44737.44147484954</v>
      </c>
      <c r="P450" s="2">
        <v>0</v>
      </c>
      <c r="Q450" s="2" t="s">
        <v>36</v>
      </c>
      <c r="R450" s="2" t="s">
        <v>38</v>
      </c>
      <c r="S450" s="2" t="s">
        <v>35</v>
      </c>
      <c r="T450" s="2" t="s">
        <v>35</v>
      </c>
      <c r="U450" s="2" t="s">
        <v>35</v>
      </c>
      <c r="V450" s="2" t="b">
        <v>0</v>
      </c>
      <c r="W450" s="2" t="s">
        <v>35</v>
      </c>
      <c r="X450" s="2" t="s">
        <v>35</v>
      </c>
      <c r="Y450" s="2">
        <v>4</v>
      </c>
      <c r="Z450" s="2">
        <v>5</v>
      </c>
    </row>
    <row r="451" spans="1:26" x14ac:dyDescent="0.2">
      <c r="A451" s="2" t="s">
        <v>750</v>
      </c>
      <c r="B451" s="2" t="b">
        <v>0</v>
      </c>
      <c r="C451" s="2" t="b">
        <v>0</v>
      </c>
      <c r="D451" s="2" t="b">
        <v>0</v>
      </c>
      <c r="E451" s="2" t="b">
        <v>0</v>
      </c>
      <c r="F451" s="2" t="s">
        <v>31</v>
      </c>
      <c r="G451" s="2" t="s">
        <v>751</v>
      </c>
      <c r="H451" s="2" t="s">
        <v>752</v>
      </c>
      <c r="I451" s="2" t="s">
        <v>35</v>
      </c>
      <c r="J451" s="2" t="s">
        <v>35</v>
      </c>
      <c r="K451" s="2" t="s">
        <v>35</v>
      </c>
      <c r="L451" s="2" t="s">
        <v>35</v>
      </c>
      <c r="M451" s="2" t="s">
        <v>35</v>
      </c>
      <c r="N451" s="3">
        <v>44737.443087083331</v>
      </c>
      <c r="O451" s="3">
        <v>44737.44319982639</v>
      </c>
      <c r="P451" s="2">
        <v>0</v>
      </c>
      <c r="Q451" s="2" t="s">
        <v>36</v>
      </c>
      <c r="R451" s="2" t="s">
        <v>38</v>
      </c>
      <c r="S451" s="2" t="s">
        <v>35</v>
      </c>
      <c r="T451" s="2" t="s">
        <v>35</v>
      </c>
      <c r="U451" s="2" t="s">
        <v>35</v>
      </c>
      <c r="V451" s="2" t="b">
        <v>0</v>
      </c>
      <c r="W451" s="2" t="s">
        <v>35</v>
      </c>
      <c r="X451" s="2" t="s">
        <v>35</v>
      </c>
      <c r="Y451" s="2" t="s">
        <v>35</v>
      </c>
      <c r="Z451" s="2">
        <v>2</v>
      </c>
    </row>
    <row r="452" spans="1:26" x14ac:dyDescent="0.2">
      <c r="A452" s="2" t="s">
        <v>753</v>
      </c>
      <c r="B452" s="2" t="b">
        <v>0</v>
      </c>
      <c r="C452" s="2" t="b">
        <v>0</v>
      </c>
      <c r="D452" s="2" t="b">
        <v>0</v>
      </c>
      <c r="E452" s="2" t="b">
        <v>0</v>
      </c>
      <c r="F452" s="2" t="s">
        <v>31</v>
      </c>
      <c r="G452" s="2" t="s">
        <v>754</v>
      </c>
      <c r="H452" s="2" t="s">
        <v>755</v>
      </c>
      <c r="I452" s="2" t="s">
        <v>736</v>
      </c>
      <c r="J452" s="2" t="s">
        <v>35</v>
      </c>
      <c r="K452" s="2" t="s">
        <v>35</v>
      </c>
      <c r="L452" s="2" t="s">
        <v>35</v>
      </c>
      <c r="M452" s="2" t="s">
        <v>35</v>
      </c>
      <c r="N452" s="3">
        <v>44737.444362592592</v>
      </c>
      <c r="O452" s="3">
        <v>44737.444947638891</v>
      </c>
      <c r="P452" s="2">
        <v>0</v>
      </c>
      <c r="Q452" s="2" t="s">
        <v>36</v>
      </c>
      <c r="R452" s="2" t="s">
        <v>38</v>
      </c>
      <c r="S452" s="2" t="s">
        <v>35</v>
      </c>
      <c r="T452" s="2" t="s">
        <v>35</v>
      </c>
      <c r="U452" s="2" t="s">
        <v>35</v>
      </c>
      <c r="V452" s="2" t="b">
        <v>0</v>
      </c>
      <c r="W452" s="2" t="s">
        <v>35</v>
      </c>
      <c r="X452" s="2" t="s">
        <v>35</v>
      </c>
      <c r="Y452" s="2">
        <v>4</v>
      </c>
      <c r="Z452" s="2" t="s">
        <v>35</v>
      </c>
    </row>
    <row r="453" spans="1:26" x14ac:dyDescent="0.2">
      <c r="A453" s="2" t="s">
        <v>756</v>
      </c>
      <c r="B453" s="2" t="b">
        <v>0</v>
      </c>
      <c r="C453" s="2" t="b">
        <v>0</v>
      </c>
      <c r="D453" s="2" t="b">
        <v>0</v>
      </c>
      <c r="E453" s="2" t="b">
        <v>0</v>
      </c>
      <c r="F453" s="2" t="s">
        <v>31</v>
      </c>
      <c r="G453" s="2" t="s">
        <v>757</v>
      </c>
      <c r="H453" s="2" t="s">
        <v>758</v>
      </c>
      <c r="I453" s="2" t="s">
        <v>759</v>
      </c>
      <c r="J453" s="2" t="s">
        <v>35</v>
      </c>
      <c r="K453" s="2" t="s">
        <v>35</v>
      </c>
      <c r="L453" s="2" t="s">
        <v>35</v>
      </c>
      <c r="M453" s="2" t="s">
        <v>35</v>
      </c>
      <c r="N453" s="3">
        <v>44737.446973078702</v>
      </c>
      <c r="O453" s="3">
        <v>44737.4480453125</v>
      </c>
      <c r="P453" s="2">
        <v>0</v>
      </c>
      <c r="Q453" s="2" t="s">
        <v>109</v>
      </c>
      <c r="R453" s="2" t="s">
        <v>38</v>
      </c>
      <c r="S453" s="2" t="s">
        <v>35</v>
      </c>
      <c r="T453" s="2">
        <v>0</v>
      </c>
      <c r="U453" s="2" t="s">
        <v>35</v>
      </c>
      <c r="V453" s="2" t="b">
        <v>0</v>
      </c>
      <c r="W453" s="2" t="s">
        <v>35</v>
      </c>
      <c r="X453" s="2" t="s">
        <v>35</v>
      </c>
      <c r="Y453" s="2" t="s">
        <v>35</v>
      </c>
      <c r="Z453" s="2" t="s">
        <v>35</v>
      </c>
    </row>
    <row r="454" spans="1:26" x14ac:dyDescent="0.2">
      <c r="A454" s="2" t="s">
        <v>760</v>
      </c>
      <c r="B454" s="2" t="b">
        <v>0</v>
      </c>
      <c r="C454" s="2" t="b">
        <v>0</v>
      </c>
      <c r="D454" s="2" t="b">
        <v>0</v>
      </c>
      <c r="E454" s="2" t="b">
        <v>0</v>
      </c>
      <c r="F454" s="2" t="s">
        <v>31</v>
      </c>
      <c r="G454" s="2" t="s">
        <v>761</v>
      </c>
      <c r="H454" s="2" t="s">
        <v>762</v>
      </c>
      <c r="I454" s="2" t="s">
        <v>35</v>
      </c>
      <c r="J454" s="2" t="s">
        <v>35</v>
      </c>
      <c r="K454" s="2" t="s">
        <v>35</v>
      </c>
      <c r="L454" s="2" t="s">
        <v>35</v>
      </c>
      <c r="M454" s="2" t="s">
        <v>35</v>
      </c>
      <c r="N454" s="3">
        <v>44737.448360821756</v>
      </c>
      <c r="O454" s="3">
        <v>44737.448481134263</v>
      </c>
      <c r="P454" s="2">
        <v>0</v>
      </c>
      <c r="Q454" s="2" t="s">
        <v>36</v>
      </c>
      <c r="R454" s="2" t="s">
        <v>38</v>
      </c>
      <c r="S454" s="2" t="s">
        <v>35</v>
      </c>
      <c r="T454" s="2" t="s">
        <v>35</v>
      </c>
      <c r="U454" s="2" t="s">
        <v>35</v>
      </c>
      <c r="V454" s="2" t="b">
        <v>0</v>
      </c>
      <c r="W454" s="2" t="s">
        <v>35</v>
      </c>
      <c r="X454" s="2" t="s">
        <v>35</v>
      </c>
      <c r="Y454" s="2" t="s">
        <v>35</v>
      </c>
      <c r="Z454" s="2">
        <v>5</v>
      </c>
    </row>
    <row r="455" spans="1:26" x14ac:dyDescent="0.2">
      <c r="A455" s="2" t="s">
        <v>763</v>
      </c>
      <c r="B455" s="2" t="b">
        <v>0</v>
      </c>
      <c r="C455" s="2" t="b">
        <v>0</v>
      </c>
      <c r="D455" s="2" t="b">
        <v>0</v>
      </c>
      <c r="E455" s="2" t="b">
        <v>0</v>
      </c>
      <c r="F455" s="2" t="s">
        <v>31</v>
      </c>
      <c r="G455" s="2" t="s">
        <v>764</v>
      </c>
      <c r="H455" s="2" t="s">
        <v>765</v>
      </c>
      <c r="I455" s="2" t="s">
        <v>766</v>
      </c>
      <c r="J455" s="2" t="s">
        <v>35</v>
      </c>
      <c r="K455" s="2" t="s">
        <v>35</v>
      </c>
      <c r="L455" s="2" t="s">
        <v>35</v>
      </c>
      <c r="M455" s="2" t="s">
        <v>35</v>
      </c>
      <c r="N455" s="3">
        <v>44737.449153344911</v>
      </c>
      <c r="O455" s="3">
        <v>44737.449407673608</v>
      </c>
      <c r="P455" s="2">
        <v>0</v>
      </c>
      <c r="Q455" s="2" t="s">
        <v>36</v>
      </c>
      <c r="R455" s="2" t="s">
        <v>38</v>
      </c>
      <c r="S455" s="2" t="s">
        <v>35</v>
      </c>
      <c r="T455" s="2" t="s">
        <v>35</v>
      </c>
      <c r="U455" s="2" t="s">
        <v>35</v>
      </c>
      <c r="V455" s="2" t="b">
        <v>0</v>
      </c>
      <c r="W455" s="2" t="s">
        <v>35</v>
      </c>
      <c r="X455" s="2" t="s">
        <v>35</v>
      </c>
      <c r="Y455" s="2">
        <v>4</v>
      </c>
      <c r="Z455" s="2">
        <v>3</v>
      </c>
    </row>
    <row r="456" spans="1:26" x14ac:dyDescent="0.2">
      <c r="A456" s="2" t="s">
        <v>767</v>
      </c>
      <c r="B456" s="2" t="b">
        <v>0</v>
      </c>
      <c r="C456" s="2" t="b">
        <v>0</v>
      </c>
      <c r="D456" s="2" t="b">
        <v>0</v>
      </c>
      <c r="E456" s="2" t="b">
        <v>0</v>
      </c>
      <c r="F456" s="2" t="s">
        <v>31</v>
      </c>
      <c r="G456" s="2" t="s">
        <v>768</v>
      </c>
      <c r="H456" s="2" t="s">
        <v>769</v>
      </c>
      <c r="I456" s="2" t="s">
        <v>766</v>
      </c>
      <c r="J456" s="2" t="s">
        <v>35</v>
      </c>
      <c r="K456" s="2" t="s">
        <v>35</v>
      </c>
      <c r="L456" s="2" t="s">
        <v>35</v>
      </c>
      <c r="M456" s="2" t="s">
        <v>35</v>
      </c>
      <c r="N456" s="3">
        <v>44737.44971079861</v>
      </c>
      <c r="O456" s="3">
        <v>44737.4508446412</v>
      </c>
      <c r="P456" s="2">
        <v>0</v>
      </c>
      <c r="Q456" s="2" t="s">
        <v>36</v>
      </c>
      <c r="R456" s="2" t="s">
        <v>38</v>
      </c>
      <c r="S456" s="2" t="s">
        <v>35</v>
      </c>
      <c r="T456" s="2" t="s">
        <v>35</v>
      </c>
      <c r="U456" s="2" t="s">
        <v>35</v>
      </c>
      <c r="V456" s="2" t="b">
        <v>0</v>
      </c>
      <c r="W456" s="2" t="s">
        <v>35</v>
      </c>
      <c r="X456" s="2" t="s">
        <v>35</v>
      </c>
      <c r="Y456" s="2">
        <v>4</v>
      </c>
      <c r="Z456" s="2">
        <v>7</v>
      </c>
    </row>
    <row r="457" spans="1:26" x14ac:dyDescent="0.2">
      <c r="A457" s="2" t="s">
        <v>770</v>
      </c>
      <c r="B457" s="2" t="b">
        <v>0</v>
      </c>
      <c r="C457" s="2" t="b">
        <v>0</v>
      </c>
      <c r="D457" s="2" t="b">
        <v>0</v>
      </c>
      <c r="E457" s="2" t="b">
        <v>0</v>
      </c>
      <c r="F457" s="2" t="s">
        <v>31</v>
      </c>
      <c r="G457" s="2" t="s">
        <v>771</v>
      </c>
      <c r="H457" s="2" t="s">
        <v>772</v>
      </c>
      <c r="I457" s="2" t="s">
        <v>773</v>
      </c>
      <c r="J457" s="2" t="s">
        <v>35</v>
      </c>
      <c r="K457" s="2" t="s">
        <v>35</v>
      </c>
      <c r="L457" s="2" t="s">
        <v>35</v>
      </c>
      <c r="M457" s="2" t="s">
        <v>35</v>
      </c>
      <c r="N457" s="3">
        <v>44737.45124771991</v>
      </c>
      <c r="O457" s="3">
        <v>44737.451695694443</v>
      </c>
      <c r="P457" s="2">
        <v>0</v>
      </c>
      <c r="Q457" s="2" t="s">
        <v>36</v>
      </c>
      <c r="R457" s="2" t="s">
        <v>38</v>
      </c>
      <c r="S457" s="2" t="s">
        <v>35</v>
      </c>
      <c r="T457" s="2" t="s">
        <v>35</v>
      </c>
      <c r="U457" s="2" t="s">
        <v>35</v>
      </c>
      <c r="V457" s="2" t="b">
        <v>0</v>
      </c>
      <c r="W457" s="2" t="s">
        <v>35</v>
      </c>
      <c r="X457" s="2" t="s">
        <v>35</v>
      </c>
      <c r="Y457" s="2">
        <v>9</v>
      </c>
      <c r="Z457" s="2" t="s">
        <v>35</v>
      </c>
    </row>
    <row r="458" spans="1:26" x14ac:dyDescent="0.2">
      <c r="A458" s="2" t="s">
        <v>774</v>
      </c>
      <c r="B458" s="2" t="b">
        <v>0</v>
      </c>
      <c r="C458" s="2" t="b">
        <v>0</v>
      </c>
      <c r="D458" s="2" t="b">
        <v>0</v>
      </c>
      <c r="E458" s="2" t="b">
        <v>0</v>
      </c>
      <c r="F458" s="2" t="s">
        <v>31</v>
      </c>
      <c r="G458" s="2" t="s">
        <v>775</v>
      </c>
      <c r="H458" s="2" t="s">
        <v>776</v>
      </c>
      <c r="I458" s="2" t="s">
        <v>35</v>
      </c>
      <c r="J458" s="2" t="s">
        <v>35</v>
      </c>
      <c r="K458" s="2" t="s">
        <v>35</v>
      </c>
      <c r="L458" s="2">
        <v>56</v>
      </c>
      <c r="M458" s="2">
        <v>15</v>
      </c>
      <c r="N458" s="3">
        <v>44737.452346006947</v>
      </c>
      <c r="O458" s="3">
        <v>44737.453287881945</v>
      </c>
      <c r="P458" s="2">
        <v>0</v>
      </c>
      <c r="Q458" s="2" t="s">
        <v>54</v>
      </c>
      <c r="R458" s="2" t="s">
        <v>38</v>
      </c>
      <c r="S458" s="2" t="s">
        <v>35</v>
      </c>
      <c r="T458" s="2" t="s">
        <v>35</v>
      </c>
      <c r="U458" s="2" t="s">
        <v>35</v>
      </c>
      <c r="V458" s="2" t="b">
        <v>0</v>
      </c>
      <c r="W458" s="2" t="s">
        <v>35</v>
      </c>
      <c r="X458" s="2" t="s">
        <v>35</v>
      </c>
      <c r="Y458" s="2" t="s">
        <v>35</v>
      </c>
      <c r="Z458" s="2" t="s">
        <v>35</v>
      </c>
    </row>
    <row r="459" spans="1:26" x14ac:dyDescent="0.2">
      <c r="A459" s="2" t="s">
        <v>777</v>
      </c>
      <c r="B459" s="2" t="b">
        <v>0</v>
      </c>
      <c r="C459" s="2" t="b">
        <v>0</v>
      </c>
      <c r="D459" s="2" t="b">
        <v>0</v>
      </c>
      <c r="E459" s="2" t="b">
        <v>0</v>
      </c>
      <c r="F459" s="2" t="s">
        <v>31</v>
      </c>
      <c r="G459" s="2" t="s">
        <v>778</v>
      </c>
      <c r="H459" s="2" t="s">
        <v>779</v>
      </c>
      <c r="I459" s="2" t="s">
        <v>35</v>
      </c>
      <c r="J459" s="2" t="s">
        <v>35</v>
      </c>
      <c r="K459" s="2" t="s">
        <v>35</v>
      </c>
      <c r="L459" s="2" t="s">
        <v>35</v>
      </c>
      <c r="M459" s="2" t="s">
        <v>35</v>
      </c>
      <c r="N459" s="3">
        <v>44737.455675509256</v>
      </c>
      <c r="O459" s="3">
        <v>44737.455867280092</v>
      </c>
      <c r="P459" s="2">
        <v>0</v>
      </c>
      <c r="Q459" s="2" t="s">
        <v>36</v>
      </c>
      <c r="R459" s="2" t="s">
        <v>38</v>
      </c>
      <c r="S459" s="2" t="s">
        <v>35</v>
      </c>
      <c r="T459" s="2" t="s">
        <v>35</v>
      </c>
      <c r="U459" s="2" t="s">
        <v>35</v>
      </c>
      <c r="V459" s="2" t="b">
        <v>0</v>
      </c>
      <c r="W459" s="2" t="s">
        <v>35</v>
      </c>
      <c r="X459" s="2" t="s">
        <v>35</v>
      </c>
      <c r="Y459" s="2" t="s">
        <v>35</v>
      </c>
      <c r="Z459" s="2">
        <v>5</v>
      </c>
    </row>
    <row r="460" spans="1:26" x14ac:dyDescent="0.2">
      <c r="A460" s="2" t="s">
        <v>780</v>
      </c>
      <c r="B460" s="2" t="b">
        <v>0</v>
      </c>
      <c r="C460" s="2" t="b">
        <v>0</v>
      </c>
      <c r="D460" s="2" t="b">
        <v>0</v>
      </c>
      <c r="E460" s="2" t="b">
        <v>0</v>
      </c>
      <c r="F460" s="2" t="s">
        <v>31</v>
      </c>
      <c r="G460" s="2" t="s">
        <v>781</v>
      </c>
      <c r="H460" s="2" t="s">
        <v>782</v>
      </c>
      <c r="I460" s="2" t="s">
        <v>35</v>
      </c>
      <c r="J460" s="2" t="s">
        <v>35</v>
      </c>
      <c r="K460" s="2" t="s">
        <v>35</v>
      </c>
      <c r="L460" s="2">
        <v>30</v>
      </c>
      <c r="M460" s="2">
        <v>14</v>
      </c>
      <c r="N460" s="3">
        <v>44737.456030428242</v>
      </c>
      <c r="O460" s="3">
        <v>44737.456588564812</v>
      </c>
      <c r="P460" s="2">
        <v>0</v>
      </c>
      <c r="Q460" s="2" t="s">
        <v>54</v>
      </c>
      <c r="R460" s="2" t="s">
        <v>38</v>
      </c>
      <c r="S460" s="2" t="s">
        <v>35</v>
      </c>
      <c r="T460" s="2" t="s">
        <v>35</v>
      </c>
      <c r="U460" s="2" t="s">
        <v>35</v>
      </c>
      <c r="V460" s="2" t="b">
        <v>0</v>
      </c>
      <c r="W460" s="2" t="s">
        <v>35</v>
      </c>
      <c r="X460" s="2" t="s">
        <v>35</v>
      </c>
      <c r="Y460" s="2" t="s">
        <v>35</v>
      </c>
      <c r="Z460" s="2" t="s">
        <v>35</v>
      </c>
    </row>
    <row r="461" spans="1:26" x14ac:dyDescent="0.2">
      <c r="A461" s="2" t="s">
        <v>783</v>
      </c>
      <c r="B461" s="2" t="b">
        <v>0</v>
      </c>
      <c r="C461" s="2" t="b">
        <v>0</v>
      </c>
      <c r="D461" s="2" t="b">
        <v>0</v>
      </c>
      <c r="E461" s="2" t="b">
        <v>0</v>
      </c>
      <c r="F461" s="2" t="s">
        <v>31</v>
      </c>
      <c r="G461" s="2" t="s">
        <v>784</v>
      </c>
      <c r="H461" s="2" t="s">
        <v>785</v>
      </c>
      <c r="I461" s="2" t="s">
        <v>773</v>
      </c>
      <c r="J461" s="2" t="s">
        <v>35</v>
      </c>
      <c r="K461" s="2" t="s">
        <v>35</v>
      </c>
      <c r="L461" s="2" t="s">
        <v>35</v>
      </c>
      <c r="M461" s="2" t="s">
        <v>35</v>
      </c>
      <c r="N461" s="3">
        <v>44737.456719583337</v>
      </c>
      <c r="O461" s="3">
        <v>44737.457253761575</v>
      </c>
      <c r="P461" s="2">
        <v>0</v>
      </c>
      <c r="Q461" s="2" t="s">
        <v>36</v>
      </c>
      <c r="R461" s="2" t="s">
        <v>38</v>
      </c>
      <c r="S461" s="2" t="s">
        <v>35</v>
      </c>
      <c r="T461" s="2" t="s">
        <v>35</v>
      </c>
      <c r="U461" s="2" t="s">
        <v>35</v>
      </c>
      <c r="V461" s="2" t="b">
        <v>0</v>
      </c>
      <c r="W461" s="2" t="s">
        <v>35</v>
      </c>
      <c r="X461" s="2" t="s">
        <v>35</v>
      </c>
      <c r="Y461" s="2">
        <v>6</v>
      </c>
      <c r="Z461" s="2" t="s">
        <v>35</v>
      </c>
    </row>
    <row r="462" spans="1:26" x14ac:dyDescent="0.2">
      <c r="A462" s="2" t="s">
        <v>9280</v>
      </c>
      <c r="B462" s="2" t="b">
        <v>0</v>
      </c>
      <c r="C462" s="2" t="b">
        <v>0</v>
      </c>
      <c r="D462" s="2" t="b">
        <v>0</v>
      </c>
      <c r="E462" s="2" t="b">
        <v>0</v>
      </c>
      <c r="F462" s="2" t="s">
        <v>121</v>
      </c>
      <c r="G462" s="2" t="s">
        <v>149</v>
      </c>
      <c r="H462" s="2" t="s">
        <v>35</v>
      </c>
      <c r="I462" s="2" t="s">
        <v>35</v>
      </c>
      <c r="J462" s="2" t="s">
        <v>35</v>
      </c>
      <c r="K462" s="2" t="s">
        <v>35</v>
      </c>
      <c r="L462" s="2" t="s">
        <v>35</v>
      </c>
      <c r="M462" s="2" t="s">
        <v>35</v>
      </c>
      <c r="N462" s="3">
        <v>44737.457281770832</v>
      </c>
      <c r="O462" s="3">
        <v>44737.457281828705</v>
      </c>
      <c r="P462" s="2">
        <v>0</v>
      </c>
      <c r="Q462" s="2" t="s">
        <v>35</v>
      </c>
      <c r="R462" s="2" t="s">
        <v>38</v>
      </c>
      <c r="S462" s="2" t="s">
        <v>35</v>
      </c>
      <c r="T462" s="2" t="s">
        <v>35</v>
      </c>
      <c r="U462" s="2" t="s">
        <v>35</v>
      </c>
      <c r="V462" s="2" t="b">
        <v>0</v>
      </c>
      <c r="W462" s="2" t="s">
        <v>35</v>
      </c>
      <c r="X462" s="2" t="s">
        <v>35</v>
      </c>
      <c r="Y462" s="2" t="s">
        <v>35</v>
      </c>
      <c r="Z462" s="2" t="s">
        <v>35</v>
      </c>
    </row>
    <row r="463" spans="1:26" x14ac:dyDescent="0.2">
      <c r="A463" s="2" t="s">
        <v>786</v>
      </c>
      <c r="B463" s="2" t="b">
        <v>0</v>
      </c>
      <c r="C463" s="2" t="b">
        <v>0</v>
      </c>
      <c r="D463" s="2" t="b">
        <v>0</v>
      </c>
      <c r="E463" s="2" t="b">
        <v>0</v>
      </c>
      <c r="F463" s="2" t="s">
        <v>31</v>
      </c>
      <c r="G463" s="2" t="s">
        <v>787</v>
      </c>
      <c r="H463" s="2" t="s">
        <v>788</v>
      </c>
      <c r="I463" s="2" t="s">
        <v>773</v>
      </c>
      <c r="J463" s="2" t="s">
        <v>35</v>
      </c>
      <c r="K463" s="2" t="s">
        <v>35</v>
      </c>
      <c r="L463" s="2" t="s">
        <v>35</v>
      </c>
      <c r="M463" s="2" t="s">
        <v>35</v>
      </c>
      <c r="N463" s="3">
        <v>44737.459764247687</v>
      </c>
      <c r="O463" s="3">
        <v>44737.460178541667</v>
      </c>
      <c r="P463" s="2">
        <v>0</v>
      </c>
      <c r="Q463" s="2" t="s">
        <v>36</v>
      </c>
      <c r="R463" s="2" t="s">
        <v>38</v>
      </c>
      <c r="S463" s="2" t="s">
        <v>35</v>
      </c>
      <c r="T463" s="2" t="s">
        <v>35</v>
      </c>
      <c r="U463" s="2" t="s">
        <v>35</v>
      </c>
      <c r="V463" s="2" t="b">
        <v>0</v>
      </c>
      <c r="W463" s="2" t="s">
        <v>35</v>
      </c>
      <c r="X463" s="2" t="s">
        <v>35</v>
      </c>
      <c r="Y463" s="2">
        <v>7</v>
      </c>
      <c r="Z463" s="2" t="s">
        <v>35</v>
      </c>
    </row>
    <row r="464" spans="1:26" x14ac:dyDescent="0.2">
      <c r="A464" s="2" t="s">
        <v>789</v>
      </c>
      <c r="B464" s="2" t="b">
        <v>0</v>
      </c>
      <c r="C464" s="2" t="b">
        <v>0</v>
      </c>
      <c r="D464" s="2" t="b">
        <v>0</v>
      </c>
      <c r="E464" s="2" t="b">
        <v>0</v>
      </c>
      <c r="F464" s="2" t="s">
        <v>31</v>
      </c>
      <c r="G464" s="2" t="s">
        <v>790</v>
      </c>
      <c r="H464" s="2" t="s">
        <v>791</v>
      </c>
      <c r="I464" s="2" t="s">
        <v>35</v>
      </c>
      <c r="J464" s="2" t="s">
        <v>35</v>
      </c>
      <c r="K464" s="2" t="s">
        <v>35</v>
      </c>
      <c r="L464" s="2" t="s">
        <v>35</v>
      </c>
      <c r="M464" s="2" t="s">
        <v>35</v>
      </c>
      <c r="N464" s="3">
        <v>44737.464108136577</v>
      </c>
      <c r="O464" s="3">
        <v>44737.464261053239</v>
      </c>
      <c r="P464" s="2">
        <v>0</v>
      </c>
      <c r="Q464" s="2" t="s">
        <v>36</v>
      </c>
      <c r="R464" s="2" t="s">
        <v>38</v>
      </c>
      <c r="S464" s="2" t="s">
        <v>35</v>
      </c>
      <c r="T464" s="2" t="s">
        <v>35</v>
      </c>
      <c r="U464" s="2" t="s">
        <v>35</v>
      </c>
      <c r="V464" s="2" t="b">
        <v>0</v>
      </c>
      <c r="W464" s="2" t="s">
        <v>35</v>
      </c>
      <c r="X464" s="2" t="s">
        <v>35</v>
      </c>
      <c r="Y464" s="2" t="s">
        <v>35</v>
      </c>
      <c r="Z464" s="2">
        <v>3</v>
      </c>
    </row>
    <row r="465" spans="1:26" x14ac:dyDescent="0.2">
      <c r="A465" s="2" t="s">
        <v>793</v>
      </c>
      <c r="B465" s="2" t="b">
        <v>0</v>
      </c>
      <c r="C465" s="2" t="b">
        <v>0</v>
      </c>
      <c r="D465" s="2" t="b">
        <v>0</v>
      </c>
      <c r="E465" s="2" t="b">
        <v>0</v>
      </c>
      <c r="F465" s="2" t="s">
        <v>31</v>
      </c>
      <c r="G465" s="2" t="s">
        <v>794</v>
      </c>
      <c r="H465" s="2" t="s">
        <v>795</v>
      </c>
      <c r="I465" s="2" t="s">
        <v>35</v>
      </c>
      <c r="J465" s="2" t="s">
        <v>35</v>
      </c>
      <c r="K465" s="2" t="s">
        <v>35</v>
      </c>
      <c r="L465" s="2" t="s">
        <v>35</v>
      </c>
      <c r="M465" s="2" t="s">
        <v>35</v>
      </c>
      <c r="N465" s="3">
        <v>44737.466522395836</v>
      </c>
      <c r="O465" s="3">
        <v>44737.466633483797</v>
      </c>
      <c r="P465" s="2">
        <v>0</v>
      </c>
      <c r="Q465" s="2" t="s">
        <v>36</v>
      </c>
      <c r="R465" s="2" t="s">
        <v>38</v>
      </c>
      <c r="S465" s="2" t="s">
        <v>35</v>
      </c>
      <c r="T465" s="2" t="s">
        <v>35</v>
      </c>
      <c r="U465" s="2" t="s">
        <v>35</v>
      </c>
      <c r="V465" s="2" t="b">
        <v>0</v>
      </c>
      <c r="W465" s="2" t="s">
        <v>35</v>
      </c>
      <c r="X465" s="2" t="s">
        <v>35</v>
      </c>
      <c r="Y465" s="2" t="s">
        <v>35</v>
      </c>
      <c r="Z465" s="2">
        <v>2</v>
      </c>
    </row>
    <row r="466" spans="1:26" x14ac:dyDescent="0.2">
      <c r="A466" s="2" t="s">
        <v>796</v>
      </c>
      <c r="B466" s="2" t="b">
        <v>0</v>
      </c>
      <c r="C466" s="2" t="b">
        <v>0</v>
      </c>
      <c r="D466" s="2" t="b">
        <v>0</v>
      </c>
      <c r="E466" s="2" t="b">
        <v>0</v>
      </c>
      <c r="F466" s="2" t="s">
        <v>31</v>
      </c>
      <c r="G466" s="2" t="s">
        <v>797</v>
      </c>
      <c r="H466" s="2" t="s">
        <v>798</v>
      </c>
      <c r="I466" s="2" t="s">
        <v>35</v>
      </c>
      <c r="J466" s="2" t="s">
        <v>35</v>
      </c>
      <c r="K466" s="2" t="s">
        <v>35</v>
      </c>
      <c r="L466" s="2" t="s">
        <v>35</v>
      </c>
      <c r="M466" s="2" t="s">
        <v>35</v>
      </c>
      <c r="N466" s="3">
        <v>44737.467113831015</v>
      </c>
      <c r="O466" s="3">
        <v>44737.467305289349</v>
      </c>
      <c r="P466" s="2">
        <v>0</v>
      </c>
      <c r="Q466" s="2" t="s">
        <v>36</v>
      </c>
      <c r="R466" s="2" t="s">
        <v>38</v>
      </c>
      <c r="S466" s="2" t="s">
        <v>35</v>
      </c>
      <c r="T466" s="2" t="s">
        <v>35</v>
      </c>
      <c r="U466" s="2" t="s">
        <v>35</v>
      </c>
      <c r="V466" s="2" t="b">
        <v>0</v>
      </c>
      <c r="W466" s="2" t="s">
        <v>35</v>
      </c>
      <c r="X466" s="2" t="s">
        <v>35</v>
      </c>
      <c r="Y466" s="2" t="s">
        <v>35</v>
      </c>
      <c r="Z466" s="2">
        <v>2</v>
      </c>
    </row>
    <row r="467" spans="1:26" x14ac:dyDescent="0.2">
      <c r="A467" s="2" t="s">
        <v>799</v>
      </c>
      <c r="B467" s="2" t="b">
        <v>0</v>
      </c>
      <c r="C467" s="2" t="b">
        <v>0</v>
      </c>
      <c r="D467" s="2" t="b">
        <v>0</v>
      </c>
      <c r="E467" s="2" t="b">
        <v>0</v>
      </c>
      <c r="F467" s="2" t="s">
        <v>31</v>
      </c>
      <c r="G467" s="2" t="s">
        <v>800</v>
      </c>
      <c r="H467" s="2" t="s">
        <v>801</v>
      </c>
      <c r="I467" s="2" t="s">
        <v>35</v>
      </c>
      <c r="J467" s="2" t="s">
        <v>35</v>
      </c>
      <c r="K467" s="2">
        <v>4</v>
      </c>
      <c r="L467" s="2" t="s">
        <v>35</v>
      </c>
      <c r="M467" s="2" t="s">
        <v>35</v>
      </c>
      <c r="N467" s="3">
        <v>44737.467515405093</v>
      </c>
      <c r="O467" s="3">
        <v>44737.467977152781</v>
      </c>
      <c r="P467" s="2">
        <v>0</v>
      </c>
      <c r="Q467" s="2" t="s">
        <v>265</v>
      </c>
      <c r="R467" s="2" t="s">
        <v>38</v>
      </c>
      <c r="S467" s="2" t="s">
        <v>35</v>
      </c>
      <c r="T467" s="2" t="s">
        <v>35</v>
      </c>
      <c r="U467" s="2" t="s">
        <v>35</v>
      </c>
      <c r="V467" s="2" t="b">
        <v>0</v>
      </c>
      <c r="W467" s="2" t="s">
        <v>35</v>
      </c>
      <c r="X467" s="2" t="s">
        <v>35</v>
      </c>
      <c r="Y467" s="2" t="s">
        <v>35</v>
      </c>
      <c r="Z467" s="2" t="s">
        <v>35</v>
      </c>
    </row>
    <row r="468" spans="1:26" x14ac:dyDescent="0.2">
      <c r="A468" s="2" t="s">
        <v>802</v>
      </c>
      <c r="B468" s="2" t="b">
        <v>0</v>
      </c>
      <c r="C468" s="2" t="b">
        <v>0</v>
      </c>
      <c r="D468" s="2" t="b">
        <v>0</v>
      </c>
      <c r="E468" s="2" t="b">
        <v>0</v>
      </c>
      <c r="F468" s="2" t="s">
        <v>31</v>
      </c>
      <c r="G468" s="2" t="s">
        <v>803</v>
      </c>
      <c r="H468" s="2" t="s">
        <v>804</v>
      </c>
      <c r="I468" s="2" t="s">
        <v>35</v>
      </c>
      <c r="J468" s="2" t="s">
        <v>35</v>
      </c>
      <c r="K468" s="2" t="s">
        <v>35</v>
      </c>
      <c r="L468" s="2" t="s">
        <v>35</v>
      </c>
      <c r="M468" s="2" t="s">
        <v>35</v>
      </c>
      <c r="N468" s="3">
        <v>44737.468881527777</v>
      </c>
      <c r="O468" s="3">
        <v>44737.469520567131</v>
      </c>
      <c r="P468" s="2">
        <v>0</v>
      </c>
      <c r="Q468" s="2" t="s">
        <v>36</v>
      </c>
      <c r="R468" s="2" t="s">
        <v>38</v>
      </c>
      <c r="S468" s="2" t="s">
        <v>35</v>
      </c>
      <c r="T468" s="2" t="s">
        <v>35</v>
      </c>
      <c r="U468" s="2" t="s">
        <v>35</v>
      </c>
      <c r="V468" s="2" t="b">
        <v>0</v>
      </c>
      <c r="W468" s="2" t="s">
        <v>35</v>
      </c>
      <c r="X468" s="2" t="s">
        <v>35</v>
      </c>
      <c r="Y468" s="2" t="s">
        <v>35</v>
      </c>
      <c r="Z468" s="2">
        <v>3</v>
      </c>
    </row>
    <row r="469" spans="1:26" x14ac:dyDescent="0.2">
      <c r="A469" s="2" t="s">
        <v>805</v>
      </c>
      <c r="B469" s="2" t="b">
        <v>0</v>
      </c>
      <c r="C469" s="2" t="b">
        <v>0</v>
      </c>
      <c r="D469" s="2" t="b">
        <v>0</v>
      </c>
      <c r="E469" s="2" t="b">
        <v>0</v>
      </c>
      <c r="F469" s="2" t="s">
        <v>31</v>
      </c>
      <c r="G469" s="2" t="s">
        <v>806</v>
      </c>
      <c r="H469" s="2" t="s">
        <v>807</v>
      </c>
      <c r="I469" s="2" t="s">
        <v>35</v>
      </c>
      <c r="J469" s="2" t="s">
        <v>35</v>
      </c>
      <c r="K469" s="2" t="s">
        <v>35</v>
      </c>
      <c r="L469" s="2" t="s">
        <v>35</v>
      </c>
      <c r="M469" s="2" t="s">
        <v>35</v>
      </c>
      <c r="N469" s="3">
        <v>44737.470912523146</v>
      </c>
      <c r="O469" s="3">
        <v>44737.471022152778</v>
      </c>
      <c r="P469" s="2">
        <v>0</v>
      </c>
      <c r="Q469" s="2" t="s">
        <v>36</v>
      </c>
      <c r="R469" s="2" t="s">
        <v>38</v>
      </c>
      <c r="S469" s="2" t="s">
        <v>35</v>
      </c>
      <c r="T469" s="2" t="s">
        <v>35</v>
      </c>
      <c r="U469" s="2" t="s">
        <v>35</v>
      </c>
      <c r="V469" s="2" t="b">
        <v>0</v>
      </c>
      <c r="W469" s="2" t="s">
        <v>35</v>
      </c>
      <c r="X469" s="2" t="s">
        <v>35</v>
      </c>
      <c r="Y469" s="2" t="s">
        <v>35</v>
      </c>
      <c r="Z469" s="2">
        <v>4</v>
      </c>
    </row>
    <row r="470" spans="1:26" x14ac:dyDescent="0.2">
      <c r="A470" s="2" t="s">
        <v>808</v>
      </c>
      <c r="B470" s="2" t="b">
        <v>0</v>
      </c>
      <c r="C470" s="2" t="b">
        <v>0</v>
      </c>
      <c r="D470" s="2" t="b">
        <v>0</v>
      </c>
      <c r="E470" s="2" t="b">
        <v>0</v>
      </c>
      <c r="F470" s="2" t="s">
        <v>31</v>
      </c>
      <c r="G470" s="2" t="s">
        <v>809</v>
      </c>
      <c r="H470" s="2" t="s">
        <v>810</v>
      </c>
      <c r="I470" s="2" t="s">
        <v>35</v>
      </c>
      <c r="J470" s="2" t="s">
        <v>35</v>
      </c>
      <c r="K470" s="2" t="s">
        <v>35</v>
      </c>
      <c r="L470" s="2" t="s">
        <v>35</v>
      </c>
      <c r="M470" s="2" t="s">
        <v>35</v>
      </c>
      <c r="N470" s="3">
        <v>44737.475397905095</v>
      </c>
      <c r="O470" s="3">
        <v>44737.475664803242</v>
      </c>
      <c r="P470" s="2">
        <v>0</v>
      </c>
      <c r="Q470" s="2" t="s">
        <v>36</v>
      </c>
      <c r="R470" s="2" t="s">
        <v>38</v>
      </c>
      <c r="S470" s="2" t="s">
        <v>35</v>
      </c>
      <c r="T470" s="2" t="s">
        <v>35</v>
      </c>
      <c r="U470" s="2" t="s">
        <v>35</v>
      </c>
      <c r="V470" s="2" t="b">
        <v>0</v>
      </c>
      <c r="W470" s="2" t="s">
        <v>35</v>
      </c>
      <c r="X470" s="2">
        <v>116</v>
      </c>
      <c r="Y470" s="2" t="s">
        <v>35</v>
      </c>
      <c r="Z470" s="2">
        <v>2</v>
      </c>
    </row>
    <row r="471" spans="1:26" x14ac:dyDescent="0.2">
      <c r="A471" s="2" t="s">
        <v>811</v>
      </c>
      <c r="B471" s="2" t="b">
        <v>0</v>
      </c>
      <c r="C471" s="2" t="b">
        <v>0</v>
      </c>
      <c r="D471" s="2" t="b">
        <v>0</v>
      </c>
      <c r="E471" s="2" t="b">
        <v>0</v>
      </c>
      <c r="F471" s="2" t="s">
        <v>31</v>
      </c>
      <c r="G471" s="2" t="s">
        <v>149</v>
      </c>
      <c r="H471" s="2" t="s">
        <v>812</v>
      </c>
      <c r="I471" s="2" t="s">
        <v>35</v>
      </c>
      <c r="J471" s="2" t="s">
        <v>35</v>
      </c>
      <c r="K471" s="2" t="s">
        <v>35</v>
      </c>
      <c r="L471" s="2" t="s">
        <v>35</v>
      </c>
      <c r="M471" s="2" t="s">
        <v>35</v>
      </c>
      <c r="N471" s="3">
        <v>44737.476955231483</v>
      </c>
      <c r="O471" s="3">
        <v>44737.477078275464</v>
      </c>
      <c r="P471" s="2">
        <v>0</v>
      </c>
      <c r="Q471" s="2" t="s">
        <v>36</v>
      </c>
      <c r="R471" s="2" t="s">
        <v>38</v>
      </c>
      <c r="S471" s="2" t="s">
        <v>35</v>
      </c>
      <c r="T471" s="2" t="s">
        <v>35</v>
      </c>
      <c r="U471" s="2" t="s">
        <v>35</v>
      </c>
      <c r="V471" s="2" t="b">
        <v>0</v>
      </c>
      <c r="W471" s="2" t="s">
        <v>35</v>
      </c>
      <c r="X471" s="2" t="s">
        <v>35</v>
      </c>
      <c r="Y471" s="2" t="s">
        <v>35</v>
      </c>
      <c r="Z471" s="2">
        <v>2</v>
      </c>
    </row>
    <row r="472" spans="1:26" x14ac:dyDescent="0.2">
      <c r="A472" s="2" t="s">
        <v>813</v>
      </c>
      <c r="B472" s="2" t="b">
        <v>0</v>
      </c>
      <c r="C472" s="2" t="b">
        <v>0</v>
      </c>
      <c r="D472" s="2" t="b">
        <v>0</v>
      </c>
      <c r="E472" s="2" t="b">
        <v>0</v>
      </c>
      <c r="F472" s="2" t="s">
        <v>31</v>
      </c>
      <c r="G472" s="2" t="s">
        <v>814</v>
      </c>
      <c r="H472" s="2" t="s">
        <v>815</v>
      </c>
      <c r="I472" s="2" t="s">
        <v>35</v>
      </c>
      <c r="J472" s="2" t="s">
        <v>35</v>
      </c>
      <c r="K472" s="2" t="s">
        <v>35</v>
      </c>
      <c r="L472" s="2">
        <v>9</v>
      </c>
      <c r="M472" s="2">
        <v>13</v>
      </c>
      <c r="N472" s="3">
        <v>44737.477272881944</v>
      </c>
      <c r="O472" s="3">
        <v>44737.477657719908</v>
      </c>
      <c r="P472" s="2">
        <v>0</v>
      </c>
      <c r="Q472" s="2" t="s">
        <v>54</v>
      </c>
      <c r="R472" s="2" t="s">
        <v>38</v>
      </c>
      <c r="S472" s="2" t="s">
        <v>35</v>
      </c>
      <c r="T472" s="2" t="s">
        <v>35</v>
      </c>
      <c r="U472" s="2" t="s">
        <v>35</v>
      </c>
      <c r="V472" s="2" t="b">
        <v>0</v>
      </c>
      <c r="W472" s="2" t="s">
        <v>35</v>
      </c>
      <c r="X472" s="2" t="s">
        <v>35</v>
      </c>
      <c r="Y472" s="2" t="s">
        <v>35</v>
      </c>
      <c r="Z472" s="2" t="s">
        <v>35</v>
      </c>
    </row>
    <row r="473" spans="1:26" x14ac:dyDescent="0.2">
      <c r="A473" s="2" t="s">
        <v>816</v>
      </c>
      <c r="B473" s="2" t="b">
        <v>0</v>
      </c>
      <c r="C473" s="2" t="b">
        <v>0</v>
      </c>
      <c r="D473" s="2" t="b">
        <v>0</v>
      </c>
      <c r="E473" s="2" t="b">
        <v>0</v>
      </c>
      <c r="F473" s="2" t="s">
        <v>31</v>
      </c>
      <c r="G473" s="2" t="s">
        <v>817</v>
      </c>
      <c r="H473" s="2" t="s">
        <v>818</v>
      </c>
      <c r="I473" s="2" t="s">
        <v>35</v>
      </c>
      <c r="J473" s="2" t="s">
        <v>35</v>
      </c>
      <c r="K473" s="2" t="s">
        <v>35</v>
      </c>
      <c r="L473" s="2" t="s">
        <v>35</v>
      </c>
      <c r="M473" s="2" t="s">
        <v>35</v>
      </c>
      <c r="N473" s="3">
        <v>44737.478603773146</v>
      </c>
      <c r="O473" s="3">
        <v>44737.47876351852</v>
      </c>
      <c r="P473" s="2">
        <v>0</v>
      </c>
      <c r="Q473" s="2" t="s">
        <v>36</v>
      </c>
      <c r="R473" s="2" t="s">
        <v>38</v>
      </c>
      <c r="S473" s="2" t="s">
        <v>35</v>
      </c>
      <c r="T473" s="2" t="s">
        <v>35</v>
      </c>
      <c r="U473" s="2" t="s">
        <v>35</v>
      </c>
      <c r="V473" s="2" t="b">
        <v>0</v>
      </c>
      <c r="W473" s="2" t="s">
        <v>35</v>
      </c>
      <c r="X473" s="2" t="s">
        <v>35</v>
      </c>
      <c r="Y473" s="2" t="s">
        <v>35</v>
      </c>
      <c r="Z473" s="2">
        <v>3</v>
      </c>
    </row>
    <row r="474" spans="1:26" x14ac:dyDescent="0.2">
      <c r="A474" s="2" t="s">
        <v>819</v>
      </c>
      <c r="B474" s="2" t="b">
        <v>0</v>
      </c>
      <c r="C474" s="2" t="b">
        <v>0</v>
      </c>
      <c r="D474" s="2" t="b">
        <v>0</v>
      </c>
      <c r="E474" s="2" t="b">
        <v>0</v>
      </c>
      <c r="F474" s="2" t="s">
        <v>31</v>
      </c>
      <c r="G474" s="2" t="s">
        <v>820</v>
      </c>
      <c r="H474" s="2" t="s">
        <v>821</v>
      </c>
      <c r="I474" s="2" t="s">
        <v>675</v>
      </c>
      <c r="J474" s="2" t="s">
        <v>35</v>
      </c>
      <c r="K474" s="2" t="s">
        <v>35</v>
      </c>
      <c r="L474" s="2" t="s">
        <v>35</v>
      </c>
      <c r="M474" s="2" t="s">
        <v>35</v>
      </c>
      <c r="N474" s="3">
        <v>44737.478912870371</v>
      </c>
      <c r="O474" s="3">
        <v>44737.479154618057</v>
      </c>
      <c r="P474" s="2">
        <v>0</v>
      </c>
      <c r="Q474" s="2" t="s">
        <v>124</v>
      </c>
      <c r="R474" s="2" t="s">
        <v>38</v>
      </c>
      <c r="S474" s="2" t="s">
        <v>35</v>
      </c>
      <c r="T474" s="2" t="s">
        <v>35</v>
      </c>
      <c r="U474" s="2" t="s">
        <v>35</v>
      </c>
      <c r="V474" s="2" t="b">
        <v>0</v>
      </c>
      <c r="W474" s="2" t="s">
        <v>35</v>
      </c>
      <c r="X474" s="2">
        <v>4</v>
      </c>
      <c r="Y474" s="2" t="s">
        <v>35</v>
      </c>
      <c r="Z474" s="2" t="s">
        <v>35</v>
      </c>
    </row>
    <row r="475" spans="1:26" x14ac:dyDescent="0.2">
      <c r="A475" s="2" t="s">
        <v>822</v>
      </c>
      <c r="B475" s="2" t="b">
        <v>0</v>
      </c>
      <c r="C475" s="2" t="b">
        <v>0</v>
      </c>
      <c r="D475" s="2" t="b">
        <v>0</v>
      </c>
      <c r="E475" s="2" t="b">
        <v>0</v>
      </c>
      <c r="F475" s="2" t="s">
        <v>31</v>
      </c>
      <c r="G475" s="2" t="s">
        <v>823</v>
      </c>
      <c r="H475" s="2" t="s">
        <v>821</v>
      </c>
      <c r="I475" s="2" t="s">
        <v>35</v>
      </c>
      <c r="J475" s="2" t="s">
        <v>35</v>
      </c>
      <c r="K475" s="2" t="s">
        <v>35</v>
      </c>
      <c r="L475" s="2" t="s">
        <v>35</v>
      </c>
      <c r="M475" s="2" t="s">
        <v>35</v>
      </c>
      <c r="N475" s="3">
        <v>44737.479511805555</v>
      </c>
      <c r="O475" s="3">
        <v>44737.479644768522</v>
      </c>
      <c r="P475" s="2">
        <v>0</v>
      </c>
      <c r="Q475" s="2" t="s">
        <v>36</v>
      </c>
      <c r="R475" s="2" t="s">
        <v>38</v>
      </c>
      <c r="S475" s="2" t="s">
        <v>35</v>
      </c>
      <c r="T475" s="2" t="s">
        <v>35</v>
      </c>
      <c r="U475" s="2" t="s">
        <v>35</v>
      </c>
      <c r="V475" s="2" t="b">
        <v>0</v>
      </c>
      <c r="W475" s="2" t="s">
        <v>35</v>
      </c>
      <c r="X475" s="2" t="s">
        <v>35</v>
      </c>
      <c r="Y475" s="2" t="s">
        <v>35</v>
      </c>
      <c r="Z475" s="2">
        <v>3</v>
      </c>
    </row>
    <row r="476" spans="1:26" x14ac:dyDescent="0.2">
      <c r="A476" s="2" t="s">
        <v>824</v>
      </c>
      <c r="B476" s="2" t="b">
        <v>0</v>
      </c>
      <c r="C476" s="2" t="b">
        <v>0</v>
      </c>
      <c r="D476" s="2" t="b">
        <v>0</v>
      </c>
      <c r="E476" s="2" t="b">
        <v>0</v>
      </c>
      <c r="F476" s="2" t="s">
        <v>31</v>
      </c>
      <c r="G476" s="2" t="s">
        <v>825</v>
      </c>
      <c r="H476" s="2" t="s">
        <v>826</v>
      </c>
      <c r="I476" s="2" t="s">
        <v>35</v>
      </c>
      <c r="J476" s="2" t="s">
        <v>35</v>
      </c>
      <c r="K476" s="2" t="s">
        <v>35</v>
      </c>
      <c r="L476" s="2" t="s">
        <v>35</v>
      </c>
      <c r="M476" s="2" t="s">
        <v>35</v>
      </c>
      <c r="N476" s="3">
        <v>44737.480972673613</v>
      </c>
      <c r="O476" s="3">
        <v>44737.48117097222</v>
      </c>
      <c r="P476" s="2">
        <v>0</v>
      </c>
      <c r="Q476" s="2" t="s">
        <v>36</v>
      </c>
      <c r="R476" s="2" t="s">
        <v>38</v>
      </c>
      <c r="S476" s="2" t="s">
        <v>35</v>
      </c>
      <c r="T476" s="2" t="s">
        <v>35</v>
      </c>
      <c r="U476" s="2" t="s">
        <v>35</v>
      </c>
      <c r="V476" s="2" t="b">
        <v>0</v>
      </c>
      <c r="W476" s="2" t="s">
        <v>35</v>
      </c>
      <c r="X476" s="2" t="s">
        <v>35</v>
      </c>
      <c r="Y476" s="2" t="s">
        <v>35</v>
      </c>
      <c r="Z476" s="2">
        <v>2</v>
      </c>
    </row>
    <row r="477" spans="1:26" x14ac:dyDescent="0.2">
      <c r="A477" s="2" t="s">
        <v>827</v>
      </c>
      <c r="B477" s="2" t="b">
        <v>0</v>
      </c>
      <c r="C477" s="2" t="b">
        <v>0</v>
      </c>
      <c r="D477" s="2" t="b">
        <v>0</v>
      </c>
      <c r="E477" s="2" t="b">
        <v>0</v>
      </c>
      <c r="F477" s="2" t="s">
        <v>31</v>
      </c>
      <c r="G477" s="2" t="s">
        <v>828</v>
      </c>
      <c r="H477" s="2" t="s">
        <v>829</v>
      </c>
      <c r="I477" s="2" t="s">
        <v>35</v>
      </c>
      <c r="J477" s="2" t="s">
        <v>35</v>
      </c>
      <c r="K477" s="2" t="s">
        <v>35</v>
      </c>
      <c r="L477" s="2">
        <v>18</v>
      </c>
      <c r="M477" s="2">
        <v>13</v>
      </c>
      <c r="N477" s="3">
        <v>44737.482520104168</v>
      </c>
      <c r="O477" s="3">
        <v>44737.48296050926</v>
      </c>
      <c r="P477" s="2">
        <v>0</v>
      </c>
      <c r="Q477" s="2" t="s">
        <v>54</v>
      </c>
      <c r="R477" s="2" t="s">
        <v>38</v>
      </c>
      <c r="S477" s="2" t="s">
        <v>35</v>
      </c>
      <c r="T477" s="2" t="s">
        <v>35</v>
      </c>
      <c r="U477" s="2" t="s">
        <v>35</v>
      </c>
      <c r="V477" s="2" t="b">
        <v>0</v>
      </c>
      <c r="W477" s="2" t="s">
        <v>35</v>
      </c>
      <c r="X477" s="2" t="s">
        <v>35</v>
      </c>
      <c r="Y477" s="2" t="s">
        <v>35</v>
      </c>
      <c r="Z477" s="2" t="s">
        <v>35</v>
      </c>
    </row>
    <row r="478" spans="1:26" x14ac:dyDescent="0.2">
      <c r="A478" s="2" t="s">
        <v>830</v>
      </c>
      <c r="B478" s="2" t="b">
        <v>0</v>
      </c>
      <c r="C478" s="2" t="b">
        <v>0</v>
      </c>
      <c r="D478" s="2" t="b">
        <v>0</v>
      </c>
      <c r="E478" s="2" t="b">
        <v>0</v>
      </c>
      <c r="F478" s="2" t="s">
        <v>31</v>
      </c>
      <c r="G478" s="2" t="s">
        <v>831</v>
      </c>
      <c r="H478" s="2" t="s">
        <v>832</v>
      </c>
      <c r="I478" s="2" t="s">
        <v>35</v>
      </c>
      <c r="J478" s="2" t="s">
        <v>35</v>
      </c>
      <c r="K478" s="2" t="s">
        <v>35</v>
      </c>
      <c r="L478" s="2">
        <v>13</v>
      </c>
      <c r="M478" s="2">
        <v>15</v>
      </c>
      <c r="N478" s="3">
        <v>44737.483042106483</v>
      </c>
      <c r="O478" s="3">
        <v>44737.483380254627</v>
      </c>
      <c r="P478" s="2">
        <v>0</v>
      </c>
      <c r="Q478" s="2" t="s">
        <v>54</v>
      </c>
      <c r="R478" s="2" t="s">
        <v>38</v>
      </c>
      <c r="S478" s="2" t="s">
        <v>35</v>
      </c>
      <c r="T478" s="2" t="s">
        <v>35</v>
      </c>
      <c r="U478" s="2" t="s">
        <v>35</v>
      </c>
      <c r="V478" s="2" t="b">
        <v>0</v>
      </c>
      <c r="W478" s="2" t="s">
        <v>35</v>
      </c>
      <c r="X478" s="2" t="s">
        <v>35</v>
      </c>
      <c r="Y478" s="2" t="s">
        <v>35</v>
      </c>
      <c r="Z478" s="2" t="s">
        <v>35</v>
      </c>
    </row>
    <row r="479" spans="1:26" x14ac:dyDescent="0.2">
      <c r="A479" s="2" t="s">
        <v>833</v>
      </c>
      <c r="B479" s="2" t="b">
        <v>0</v>
      </c>
      <c r="C479" s="2" t="b">
        <v>0</v>
      </c>
      <c r="D479" s="2" t="b">
        <v>0</v>
      </c>
      <c r="E479" s="2" t="b">
        <v>0</v>
      </c>
      <c r="F479" s="2" t="s">
        <v>31</v>
      </c>
      <c r="G479" s="2" t="s">
        <v>149</v>
      </c>
      <c r="H479" s="2" t="s">
        <v>834</v>
      </c>
      <c r="I479" s="2" t="s">
        <v>35</v>
      </c>
      <c r="J479" s="2" t="s">
        <v>35</v>
      </c>
      <c r="K479" s="2" t="s">
        <v>35</v>
      </c>
      <c r="L479" s="2" t="s">
        <v>35</v>
      </c>
      <c r="M479" s="2" t="s">
        <v>35</v>
      </c>
      <c r="N479" s="3">
        <v>44737.486048900464</v>
      </c>
      <c r="O479" s="3">
        <v>44737.486262615741</v>
      </c>
      <c r="P479" s="2">
        <v>0</v>
      </c>
      <c r="Q479" s="2" t="s">
        <v>36</v>
      </c>
      <c r="R479" s="2" t="s">
        <v>38</v>
      </c>
      <c r="S479" s="2" t="s">
        <v>35</v>
      </c>
      <c r="T479" s="2" t="s">
        <v>35</v>
      </c>
      <c r="U479" s="2" t="s">
        <v>35</v>
      </c>
      <c r="V479" s="2" t="b">
        <v>0</v>
      </c>
      <c r="W479" s="2" t="s">
        <v>35</v>
      </c>
      <c r="X479" s="2" t="s">
        <v>35</v>
      </c>
      <c r="Y479" s="2" t="s">
        <v>35</v>
      </c>
      <c r="Z479" s="2">
        <v>3</v>
      </c>
    </row>
    <row r="480" spans="1:26" x14ac:dyDescent="0.2">
      <c r="A480" s="2" t="s">
        <v>835</v>
      </c>
      <c r="B480" s="2" t="b">
        <v>0</v>
      </c>
      <c r="C480" s="2" t="b">
        <v>0</v>
      </c>
      <c r="D480" s="2" t="b">
        <v>0</v>
      </c>
      <c r="E480" s="2" t="b">
        <v>0</v>
      </c>
      <c r="F480" s="2" t="s">
        <v>31</v>
      </c>
      <c r="G480" s="2" t="s">
        <v>836</v>
      </c>
      <c r="H480" s="2" t="s">
        <v>837</v>
      </c>
      <c r="I480" s="2" t="s">
        <v>838</v>
      </c>
      <c r="J480" s="2" t="s">
        <v>35</v>
      </c>
      <c r="K480" s="2" t="s">
        <v>35</v>
      </c>
      <c r="L480" s="2" t="s">
        <v>35</v>
      </c>
      <c r="M480" s="2" t="s">
        <v>35</v>
      </c>
      <c r="N480" s="3">
        <v>44737.48721741898</v>
      </c>
      <c r="O480" s="3">
        <v>44737.487750335647</v>
      </c>
      <c r="P480" s="2">
        <v>0</v>
      </c>
      <c r="Q480" s="2" t="s">
        <v>36</v>
      </c>
      <c r="R480" s="2" t="s">
        <v>38</v>
      </c>
      <c r="S480" s="2" t="s">
        <v>35</v>
      </c>
      <c r="T480" s="2" t="s">
        <v>35</v>
      </c>
      <c r="U480" s="2" t="s">
        <v>839</v>
      </c>
      <c r="V480" s="2" t="b">
        <v>0</v>
      </c>
      <c r="W480" s="2" t="s">
        <v>35</v>
      </c>
      <c r="X480" s="2">
        <v>100</v>
      </c>
      <c r="Y480" s="2" t="s">
        <v>35</v>
      </c>
      <c r="Z480" s="2" t="s">
        <v>35</v>
      </c>
    </row>
    <row r="481" spans="1:26" x14ac:dyDescent="0.2">
      <c r="A481" s="2" t="s">
        <v>840</v>
      </c>
      <c r="B481" s="2" t="b">
        <v>0</v>
      </c>
      <c r="C481" s="2" t="b">
        <v>0</v>
      </c>
      <c r="D481" s="2" t="b">
        <v>0</v>
      </c>
      <c r="E481" s="2" t="b">
        <v>0</v>
      </c>
      <c r="F481" s="2" t="s">
        <v>31</v>
      </c>
      <c r="G481" s="2" t="s">
        <v>841</v>
      </c>
      <c r="H481" s="2" t="s">
        <v>842</v>
      </c>
      <c r="I481" s="2" t="s">
        <v>35</v>
      </c>
      <c r="J481" s="2" t="s">
        <v>35</v>
      </c>
      <c r="K481" s="2" t="s">
        <v>35</v>
      </c>
      <c r="L481" s="2" t="s">
        <v>35</v>
      </c>
      <c r="M481" s="2" t="s">
        <v>35</v>
      </c>
      <c r="N481" s="3">
        <v>44737.488465555558</v>
      </c>
      <c r="O481" s="3">
        <v>44737.488612615743</v>
      </c>
      <c r="P481" s="2">
        <v>0</v>
      </c>
      <c r="Q481" s="2" t="s">
        <v>36</v>
      </c>
      <c r="R481" s="2" t="s">
        <v>38</v>
      </c>
      <c r="S481" s="2" t="s">
        <v>35</v>
      </c>
      <c r="T481" s="2" t="s">
        <v>35</v>
      </c>
      <c r="U481" s="2" t="s">
        <v>35</v>
      </c>
      <c r="V481" s="2" t="b">
        <v>0</v>
      </c>
      <c r="W481" s="2" t="s">
        <v>35</v>
      </c>
      <c r="X481" s="2" t="s">
        <v>35</v>
      </c>
      <c r="Y481" s="2" t="s">
        <v>35</v>
      </c>
      <c r="Z481" s="2">
        <v>4</v>
      </c>
    </row>
    <row r="482" spans="1:26" x14ac:dyDescent="0.2">
      <c r="A482" s="2" t="s">
        <v>843</v>
      </c>
      <c r="B482" s="2" t="b">
        <v>0</v>
      </c>
      <c r="C482" s="2" t="b">
        <v>0</v>
      </c>
      <c r="D482" s="2" t="b">
        <v>0</v>
      </c>
      <c r="E482" s="2" t="b">
        <v>0</v>
      </c>
      <c r="F482" s="2" t="s">
        <v>31</v>
      </c>
      <c r="G482" s="2" t="s">
        <v>844</v>
      </c>
      <c r="H482" s="2" t="s">
        <v>845</v>
      </c>
      <c r="I482" s="2" t="s">
        <v>675</v>
      </c>
      <c r="J482" s="2" t="s">
        <v>35</v>
      </c>
      <c r="K482" s="2" t="s">
        <v>35</v>
      </c>
      <c r="L482" s="2" t="s">
        <v>35</v>
      </c>
      <c r="M482" s="2" t="s">
        <v>35</v>
      </c>
      <c r="N482" s="3">
        <v>44737.499484791668</v>
      </c>
      <c r="O482" s="3">
        <v>44737.499677361113</v>
      </c>
      <c r="P482" s="2">
        <v>0</v>
      </c>
      <c r="Q482" s="2" t="s">
        <v>124</v>
      </c>
      <c r="R482" s="2" t="s">
        <v>38</v>
      </c>
      <c r="S482" s="2" t="s">
        <v>35</v>
      </c>
      <c r="T482" s="2" t="s">
        <v>35</v>
      </c>
      <c r="U482" s="2" t="s">
        <v>35</v>
      </c>
      <c r="V482" s="2" t="b">
        <v>0</v>
      </c>
      <c r="W482" s="2" t="s">
        <v>35</v>
      </c>
      <c r="X482" s="2">
        <v>4</v>
      </c>
      <c r="Y482" s="2" t="s">
        <v>35</v>
      </c>
      <c r="Z482" s="2" t="s">
        <v>35</v>
      </c>
    </row>
    <row r="483" spans="1:26" x14ac:dyDescent="0.2">
      <c r="A483" s="2" t="s">
        <v>846</v>
      </c>
      <c r="B483" s="2" t="b">
        <v>0</v>
      </c>
      <c r="C483" s="2" t="b">
        <v>0</v>
      </c>
      <c r="D483" s="2" t="b">
        <v>0</v>
      </c>
      <c r="E483" s="2" t="b">
        <v>0</v>
      </c>
      <c r="F483" s="2" t="s">
        <v>31</v>
      </c>
      <c r="G483" s="2" t="s">
        <v>847</v>
      </c>
      <c r="H483" s="2" t="s">
        <v>848</v>
      </c>
      <c r="I483" s="2" t="s">
        <v>675</v>
      </c>
      <c r="J483" s="2" t="s">
        <v>35</v>
      </c>
      <c r="K483" s="2" t="s">
        <v>35</v>
      </c>
      <c r="L483" s="2" t="s">
        <v>35</v>
      </c>
      <c r="M483" s="2" t="s">
        <v>35</v>
      </c>
      <c r="N483" s="3">
        <v>44737.500219641202</v>
      </c>
      <c r="O483" s="3">
        <v>44737.500559976848</v>
      </c>
      <c r="P483" s="2">
        <v>0</v>
      </c>
      <c r="Q483" s="2" t="s">
        <v>124</v>
      </c>
      <c r="R483" s="2" t="s">
        <v>38</v>
      </c>
      <c r="S483" s="2" t="s">
        <v>35</v>
      </c>
      <c r="T483" s="2" t="s">
        <v>35</v>
      </c>
      <c r="U483" s="2" t="s">
        <v>35</v>
      </c>
      <c r="V483" s="2" t="b">
        <v>0</v>
      </c>
      <c r="W483" s="2" t="s">
        <v>35</v>
      </c>
      <c r="X483" s="2">
        <v>4</v>
      </c>
      <c r="Y483" s="2" t="s">
        <v>35</v>
      </c>
      <c r="Z483" s="2" t="s">
        <v>35</v>
      </c>
    </row>
    <row r="484" spans="1:26" x14ac:dyDescent="0.2">
      <c r="A484" s="2" t="s">
        <v>849</v>
      </c>
      <c r="B484" s="2" t="b">
        <v>0</v>
      </c>
      <c r="C484" s="2" t="b">
        <v>0</v>
      </c>
      <c r="D484" s="2" t="b">
        <v>0</v>
      </c>
      <c r="E484" s="2" t="b">
        <v>0</v>
      </c>
      <c r="F484" s="2" t="s">
        <v>31</v>
      </c>
      <c r="G484" s="2" t="s">
        <v>850</v>
      </c>
      <c r="H484" s="2" t="s">
        <v>851</v>
      </c>
      <c r="I484" s="2" t="s">
        <v>852</v>
      </c>
      <c r="J484" s="2" t="s">
        <v>35</v>
      </c>
      <c r="K484" s="2" t="s">
        <v>35</v>
      </c>
      <c r="L484" s="2" t="s">
        <v>35</v>
      </c>
      <c r="M484" s="2" t="s">
        <v>35</v>
      </c>
      <c r="N484" s="3">
        <v>44737.501407766205</v>
      </c>
      <c r="O484" s="3">
        <v>44737.503135462961</v>
      </c>
      <c r="P484" s="2">
        <v>0</v>
      </c>
      <c r="Q484" s="2" t="s">
        <v>100</v>
      </c>
      <c r="R484" s="2" t="s">
        <v>38</v>
      </c>
      <c r="S484" s="2" t="s">
        <v>35</v>
      </c>
      <c r="T484" s="2">
        <v>110</v>
      </c>
      <c r="U484" s="2" t="s">
        <v>35</v>
      </c>
      <c r="V484" s="2" t="b">
        <v>0</v>
      </c>
      <c r="W484" s="2" t="s">
        <v>35</v>
      </c>
      <c r="X484" s="2" t="s">
        <v>35</v>
      </c>
      <c r="Y484" s="2" t="s">
        <v>35</v>
      </c>
      <c r="Z484" s="2" t="s">
        <v>35</v>
      </c>
    </row>
    <row r="485" spans="1:26" x14ac:dyDescent="0.2">
      <c r="A485" s="2" t="s">
        <v>4950</v>
      </c>
      <c r="B485" s="2" t="b">
        <v>0</v>
      </c>
      <c r="C485" s="2" t="b">
        <v>0</v>
      </c>
      <c r="D485" s="2" t="b">
        <v>0</v>
      </c>
      <c r="E485" s="2" t="b">
        <v>0</v>
      </c>
      <c r="F485" s="2" t="s">
        <v>121</v>
      </c>
      <c r="G485" s="2" t="s">
        <v>9281</v>
      </c>
      <c r="H485" s="2" t="s">
        <v>9282</v>
      </c>
      <c r="I485" s="2" t="s">
        <v>35</v>
      </c>
      <c r="J485" s="2" t="s">
        <v>35</v>
      </c>
      <c r="K485" s="2" t="s">
        <v>35</v>
      </c>
      <c r="L485" s="2" t="s">
        <v>35</v>
      </c>
      <c r="M485" s="2" t="s">
        <v>35</v>
      </c>
      <c r="N485" s="3">
        <v>44737.504526909725</v>
      </c>
      <c r="O485" s="3">
        <v>44737.504719641205</v>
      </c>
      <c r="P485" s="2">
        <v>0</v>
      </c>
      <c r="Q485" s="2" t="s">
        <v>124</v>
      </c>
      <c r="R485" s="2" t="s">
        <v>38</v>
      </c>
      <c r="S485" s="2" t="s">
        <v>35</v>
      </c>
      <c r="T485" s="2" t="s">
        <v>35</v>
      </c>
      <c r="U485" s="2" t="s">
        <v>35</v>
      </c>
      <c r="V485" s="2" t="b">
        <v>0</v>
      </c>
      <c r="W485" s="2" t="s">
        <v>35</v>
      </c>
      <c r="X485" s="2" t="s">
        <v>35</v>
      </c>
      <c r="Y485" s="2" t="s">
        <v>35</v>
      </c>
      <c r="Z485" s="2" t="s">
        <v>35</v>
      </c>
    </row>
    <row r="486" spans="1:26" x14ac:dyDescent="0.2">
      <c r="A486" s="2" t="s">
        <v>853</v>
      </c>
      <c r="B486" s="2" t="b">
        <v>0</v>
      </c>
      <c r="C486" s="2" t="b">
        <v>0</v>
      </c>
      <c r="D486" s="2" t="b">
        <v>0</v>
      </c>
      <c r="E486" s="2" t="b">
        <v>0</v>
      </c>
      <c r="F486" s="2" t="s">
        <v>31</v>
      </c>
      <c r="G486" s="2" t="s">
        <v>854</v>
      </c>
      <c r="H486" s="2" t="s">
        <v>855</v>
      </c>
      <c r="I486" s="2" t="s">
        <v>35</v>
      </c>
      <c r="J486" s="2" t="s">
        <v>35</v>
      </c>
      <c r="K486" s="2">
        <v>10</v>
      </c>
      <c r="L486" s="2" t="s">
        <v>35</v>
      </c>
      <c r="M486" s="2" t="s">
        <v>35</v>
      </c>
      <c r="N486" s="3">
        <v>44737.506398194448</v>
      </c>
      <c r="O486" s="3">
        <v>44737.506841921298</v>
      </c>
      <c r="P486" s="2">
        <v>0</v>
      </c>
      <c r="Q486" s="2" t="s">
        <v>265</v>
      </c>
      <c r="R486" s="2" t="s">
        <v>38</v>
      </c>
      <c r="S486" s="2" t="s">
        <v>35</v>
      </c>
      <c r="T486" s="2" t="s">
        <v>35</v>
      </c>
      <c r="U486" s="2" t="s">
        <v>35</v>
      </c>
      <c r="V486" s="2" t="b">
        <v>0</v>
      </c>
      <c r="W486" s="2" t="s">
        <v>35</v>
      </c>
      <c r="X486" s="2" t="s">
        <v>35</v>
      </c>
      <c r="Y486" s="2" t="s">
        <v>35</v>
      </c>
      <c r="Z486" s="2" t="s">
        <v>35</v>
      </c>
    </row>
    <row r="487" spans="1:26" x14ac:dyDescent="0.2">
      <c r="A487" s="2" t="s">
        <v>856</v>
      </c>
      <c r="B487" s="2" t="b">
        <v>0</v>
      </c>
      <c r="C487" s="2" t="b">
        <v>0</v>
      </c>
      <c r="D487" s="2" t="b">
        <v>0</v>
      </c>
      <c r="E487" s="2" t="b">
        <v>0</v>
      </c>
      <c r="F487" s="2" t="s">
        <v>31</v>
      </c>
      <c r="G487" s="2" t="s">
        <v>857</v>
      </c>
      <c r="H487" s="2" t="s">
        <v>858</v>
      </c>
      <c r="I487" s="2" t="s">
        <v>675</v>
      </c>
      <c r="J487" s="2" t="s">
        <v>35</v>
      </c>
      <c r="K487" s="2" t="s">
        <v>35</v>
      </c>
      <c r="L487" s="2" t="s">
        <v>35</v>
      </c>
      <c r="M487" s="2" t="s">
        <v>35</v>
      </c>
      <c r="N487" s="3">
        <v>44737.506963263892</v>
      </c>
      <c r="O487" s="3">
        <v>44737.507414201391</v>
      </c>
      <c r="P487" s="2">
        <v>0</v>
      </c>
      <c r="Q487" s="2" t="s">
        <v>124</v>
      </c>
      <c r="R487" s="2" t="s">
        <v>38</v>
      </c>
      <c r="S487" s="2" t="s">
        <v>35</v>
      </c>
      <c r="T487" s="2" t="s">
        <v>35</v>
      </c>
      <c r="U487" s="2" t="s">
        <v>35</v>
      </c>
      <c r="V487" s="2" t="b">
        <v>0</v>
      </c>
      <c r="W487" s="2" t="s">
        <v>35</v>
      </c>
      <c r="X487" s="2">
        <v>4</v>
      </c>
      <c r="Y487" s="2" t="s">
        <v>35</v>
      </c>
      <c r="Z487" s="2" t="s">
        <v>35</v>
      </c>
    </row>
    <row r="488" spans="1:26" x14ac:dyDescent="0.2">
      <c r="A488" s="2" t="s">
        <v>859</v>
      </c>
      <c r="B488" s="2" t="b">
        <v>0</v>
      </c>
      <c r="C488" s="2" t="b">
        <v>0</v>
      </c>
      <c r="D488" s="2" t="b">
        <v>0</v>
      </c>
      <c r="E488" s="2" t="b">
        <v>0</v>
      </c>
      <c r="F488" s="2" t="s">
        <v>31</v>
      </c>
      <c r="G488" s="2" t="s">
        <v>860</v>
      </c>
      <c r="H488" s="2" t="s">
        <v>861</v>
      </c>
      <c r="I488" s="2" t="s">
        <v>35</v>
      </c>
      <c r="J488" s="2" t="s">
        <v>35</v>
      </c>
      <c r="K488" s="2">
        <v>10</v>
      </c>
      <c r="L488" s="2" t="s">
        <v>35</v>
      </c>
      <c r="M488" s="2" t="s">
        <v>35</v>
      </c>
      <c r="N488" s="3">
        <v>44737.507577847224</v>
      </c>
      <c r="O488" s="3">
        <v>44737.507999456022</v>
      </c>
      <c r="P488" s="2">
        <v>0</v>
      </c>
      <c r="Q488" s="2" t="s">
        <v>265</v>
      </c>
      <c r="R488" s="2" t="s">
        <v>38</v>
      </c>
      <c r="S488" s="2" t="s">
        <v>35</v>
      </c>
      <c r="T488" s="2" t="s">
        <v>35</v>
      </c>
      <c r="U488" s="2" t="s">
        <v>35</v>
      </c>
      <c r="V488" s="2" t="b">
        <v>0</v>
      </c>
      <c r="W488" s="2" t="s">
        <v>35</v>
      </c>
      <c r="X488" s="2" t="s">
        <v>35</v>
      </c>
      <c r="Y488" s="2" t="s">
        <v>35</v>
      </c>
      <c r="Z488" s="2" t="s">
        <v>35</v>
      </c>
    </row>
    <row r="489" spans="1:26" x14ac:dyDescent="0.2">
      <c r="A489" s="2" t="s">
        <v>862</v>
      </c>
      <c r="B489" s="2" t="b">
        <v>0</v>
      </c>
      <c r="C489" s="2" t="b">
        <v>0</v>
      </c>
      <c r="D489" s="2" t="b">
        <v>0</v>
      </c>
      <c r="E489" s="2" t="b">
        <v>0</v>
      </c>
      <c r="F489" s="2" t="s">
        <v>31</v>
      </c>
      <c r="G489" s="2" t="s">
        <v>863</v>
      </c>
      <c r="H489" s="2" t="s">
        <v>864</v>
      </c>
      <c r="I489" s="2" t="s">
        <v>35</v>
      </c>
      <c r="J489" s="2" t="s">
        <v>35</v>
      </c>
      <c r="K489" s="2" t="s">
        <v>35</v>
      </c>
      <c r="L489" s="2" t="s">
        <v>35</v>
      </c>
      <c r="M489" s="2" t="s">
        <v>35</v>
      </c>
      <c r="N489" s="3">
        <v>44737.511554328703</v>
      </c>
      <c r="O489" s="3">
        <v>44737.511744108793</v>
      </c>
      <c r="P489" s="2">
        <v>0</v>
      </c>
      <c r="Q489" s="2" t="s">
        <v>36</v>
      </c>
      <c r="R489" s="2" t="s">
        <v>38</v>
      </c>
      <c r="S489" s="2" t="s">
        <v>35</v>
      </c>
      <c r="T489" s="2" t="s">
        <v>35</v>
      </c>
      <c r="U489" s="2" t="s">
        <v>35</v>
      </c>
      <c r="V489" s="2" t="b">
        <v>0</v>
      </c>
      <c r="W489" s="2" t="s">
        <v>35</v>
      </c>
      <c r="X489" s="2" t="s">
        <v>35</v>
      </c>
      <c r="Y489" s="2" t="s">
        <v>35</v>
      </c>
      <c r="Z489" s="2">
        <v>2</v>
      </c>
    </row>
    <row r="490" spans="1:26" x14ac:dyDescent="0.2">
      <c r="A490" s="2" t="s">
        <v>865</v>
      </c>
      <c r="B490" s="2" t="b">
        <v>0</v>
      </c>
      <c r="C490" s="2" t="b">
        <v>0</v>
      </c>
      <c r="D490" s="2" t="b">
        <v>0</v>
      </c>
      <c r="E490" s="2" t="b">
        <v>0</v>
      </c>
      <c r="F490" s="2" t="s">
        <v>31</v>
      </c>
      <c r="G490" s="2" t="s">
        <v>866</v>
      </c>
      <c r="H490" s="2" t="s">
        <v>867</v>
      </c>
      <c r="I490" s="2" t="s">
        <v>675</v>
      </c>
      <c r="J490" s="2" t="s">
        <v>35</v>
      </c>
      <c r="K490" s="2" t="s">
        <v>35</v>
      </c>
      <c r="L490" s="2" t="s">
        <v>35</v>
      </c>
      <c r="M490" s="2" t="s">
        <v>35</v>
      </c>
      <c r="N490" s="3">
        <v>44737.512057881948</v>
      </c>
      <c r="O490" s="3">
        <v>44737.512242881945</v>
      </c>
      <c r="P490" s="2">
        <v>0</v>
      </c>
      <c r="Q490" s="2" t="s">
        <v>124</v>
      </c>
      <c r="R490" s="2" t="s">
        <v>38</v>
      </c>
      <c r="S490" s="2" t="s">
        <v>35</v>
      </c>
      <c r="T490" s="2" t="s">
        <v>35</v>
      </c>
      <c r="U490" s="2" t="s">
        <v>35</v>
      </c>
      <c r="V490" s="2" t="b">
        <v>0</v>
      </c>
      <c r="W490" s="2" t="s">
        <v>35</v>
      </c>
      <c r="X490" s="2">
        <v>4</v>
      </c>
      <c r="Y490" s="2" t="s">
        <v>35</v>
      </c>
      <c r="Z490" s="2" t="s">
        <v>35</v>
      </c>
    </row>
    <row r="491" spans="1:26" x14ac:dyDescent="0.2">
      <c r="A491" s="2" t="s">
        <v>868</v>
      </c>
      <c r="B491" s="2" t="b">
        <v>0</v>
      </c>
      <c r="C491" s="2" t="b">
        <v>0</v>
      </c>
      <c r="D491" s="2" t="b">
        <v>0</v>
      </c>
      <c r="E491" s="2" t="b">
        <v>0</v>
      </c>
      <c r="F491" s="2" t="s">
        <v>31</v>
      </c>
      <c r="G491" s="2" t="s">
        <v>869</v>
      </c>
      <c r="H491" s="2" t="s">
        <v>870</v>
      </c>
      <c r="I491" s="2" t="s">
        <v>35</v>
      </c>
      <c r="J491" s="2" t="s">
        <v>35</v>
      </c>
      <c r="K491" s="2" t="s">
        <v>35</v>
      </c>
      <c r="L491" s="2" t="s">
        <v>35</v>
      </c>
      <c r="M491" s="2" t="s">
        <v>35</v>
      </c>
      <c r="N491" s="3">
        <v>44737.51307050926</v>
      </c>
      <c r="O491" s="3">
        <v>44737.513197384258</v>
      </c>
      <c r="P491" s="2">
        <v>0</v>
      </c>
      <c r="Q491" s="2" t="s">
        <v>36</v>
      </c>
      <c r="R491" s="2" t="s">
        <v>38</v>
      </c>
      <c r="S491" s="2" t="s">
        <v>35</v>
      </c>
      <c r="T491" s="2" t="s">
        <v>35</v>
      </c>
      <c r="U491" s="2" t="s">
        <v>35</v>
      </c>
      <c r="V491" s="2" t="b">
        <v>0</v>
      </c>
      <c r="W491" s="2" t="s">
        <v>35</v>
      </c>
      <c r="X491" s="2" t="s">
        <v>35</v>
      </c>
      <c r="Y491" s="2" t="s">
        <v>35</v>
      </c>
      <c r="Z491" s="2">
        <v>3</v>
      </c>
    </row>
    <row r="492" spans="1:26" x14ac:dyDescent="0.2">
      <c r="A492" s="2" t="s">
        <v>871</v>
      </c>
      <c r="B492" s="2" t="b">
        <v>0</v>
      </c>
      <c r="C492" s="2" t="b">
        <v>0</v>
      </c>
      <c r="D492" s="2" t="b">
        <v>0</v>
      </c>
      <c r="E492" s="2" t="b">
        <v>0</v>
      </c>
      <c r="F492" s="2" t="s">
        <v>31</v>
      </c>
      <c r="G492" s="2" t="s">
        <v>872</v>
      </c>
      <c r="H492" s="2" t="s">
        <v>873</v>
      </c>
      <c r="I492" s="2" t="s">
        <v>675</v>
      </c>
      <c r="J492" s="2" t="s">
        <v>35</v>
      </c>
      <c r="K492" s="2" t="s">
        <v>35</v>
      </c>
      <c r="L492" s="2" t="s">
        <v>35</v>
      </c>
      <c r="M492" s="2" t="s">
        <v>35</v>
      </c>
      <c r="N492" s="3">
        <v>44737.515036122684</v>
      </c>
      <c r="O492" s="3">
        <v>44737.515243530092</v>
      </c>
      <c r="P492" s="2">
        <v>0</v>
      </c>
      <c r="Q492" s="2" t="s">
        <v>124</v>
      </c>
      <c r="R492" s="2" t="s">
        <v>38</v>
      </c>
      <c r="S492" s="2" t="s">
        <v>35</v>
      </c>
      <c r="T492" s="2" t="s">
        <v>35</v>
      </c>
      <c r="U492" s="2" t="s">
        <v>35</v>
      </c>
      <c r="V492" s="2" t="b">
        <v>0</v>
      </c>
      <c r="W492" s="2" t="s">
        <v>35</v>
      </c>
      <c r="X492" s="2">
        <v>4</v>
      </c>
      <c r="Y492" s="2" t="s">
        <v>35</v>
      </c>
      <c r="Z492" s="2" t="s">
        <v>35</v>
      </c>
    </row>
    <row r="493" spans="1:26" x14ac:dyDescent="0.2">
      <c r="A493" s="2" t="s">
        <v>874</v>
      </c>
      <c r="B493" s="2" t="b">
        <v>0</v>
      </c>
      <c r="C493" s="2" t="b">
        <v>0</v>
      </c>
      <c r="D493" s="2" t="b">
        <v>0</v>
      </c>
      <c r="E493" s="2" t="b">
        <v>0</v>
      </c>
      <c r="F493" s="2" t="s">
        <v>31</v>
      </c>
      <c r="G493" s="2" t="s">
        <v>875</v>
      </c>
      <c r="H493" s="2" t="s">
        <v>876</v>
      </c>
      <c r="I493" s="2" t="s">
        <v>675</v>
      </c>
      <c r="J493" s="2" t="s">
        <v>35</v>
      </c>
      <c r="K493" s="2" t="s">
        <v>35</v>
      </c>
      <c r="L493" s="2" t="s">
        <v>35</v>
      </c>
      <c r="M493" s="2" t="s">
        <v>35</v>
      </c>
      <c r="N493" s="3">
        <v>44737.515482152776</v>
      </c>
      <c r="O493" s="3">
        <v>44737.515645925923</v>
      </c>
      <c r="P493" s="2">
        <v>0</v>
      </c>
      <c r="Q493" s="2" t="s">
        <v>124</v>
      </c>
      <c r="R493" s="2" t="s">
        <v>38</v>
      </c>
      <c r="S493" s="2" t="s">
        <v>35</v>
      </c>
      <c r="T493" s="2" t="s">
        <v>35</v>
      </c>
      <c r="U493" s="2" t="s">
        <v>35</v>
      </c>
      <c r="V493" s="2" t="b">
        <v>0</v>
      </c>
      <c r="W493" s="2" t="s">
        <v>35</v>
      </c>
      <c r="X493" s="2">
        <v>4</v>
      </c>
      <c r="Y493" s="2" t="s">
        <v>35</v>
      </c>
      <c r="Z493" s="2" t="s">
        <v>35</v>
      </c>
    </row>
    <row r="494" spans="1:26" x14ac:dyDescent="0.2">
      <c r="A494" s="2" t="s">
        <v>877</v>
      </c>
      <c r="B494" s="2" t="b">
        <v>0</v>
      </c>
      <c r="C494" s="2" t="b">
        <v>0</v>
      </c>
      <c r="D494" s="2" t="b">
        <v>0</v>
      </c>
      <c r="E494" s="2" t="b">
        <v>0</v>
      </c>
      <c r="F494" s="2" t="s">
        <v>31</v>
      </c>
      <c r="G494" s="2" t="s">
        <v>878</v>
      </c>
      <c r="H494" s="2" t="s">
        <v>879</v>
      </c>
      <c r="I494" s="2" t="s">
        <v>880</v>
      </c>
      <c r="J494" s="2" t="s">
        <v>35</v>
      </c>
      <c r="K494" s="2">
        <v>0</v>
      </c>
      <c r="L494" s="2" t="s">
        <v>35</v>
      </c>
      <c r="M494" s="2" t="s">
        <v>35</v>
      </c>
      <c r="N494" s="3">
        <v>44737.515680104167</v>
      </c>
      <c r="O494" s="3">
        <v>44737.516476759258</v>
      </c>
      <c r="P494" s="2">
        <v>0</v>
      </c>
      <c r="Q494" s="2" t="s">
        <v>265</v>
      </c>
      <c r="R494" s="2" t="s">
        <v>38</v>
      </c>
      <c r="S494" s="2" t="s">
        <v>35</v>
      </c>
      <c r="T494" s="2" t="s">
        <v>35</v>
      </c>
      <c r="U494" s="2" t="s">
        <v>35</v>
      </c>
      <c r="V494" s="2" t="b">
        <v>0</v>
      </c>
      <c r="W494" s="2" t="s">
        <v>35</v>
      </c>
      <c r="X494" s="2" t="s">
        <v>35</v>
      </c>
      <c r="Y494" s="2" t="s">
        <v>35</v>
      </c>
      <c r="Z494" s="2" t="s">
        <v>35</v>
      </c>
    </row>
    <row r="495" spans="1:26" x14ac:dyDescent="0.2">
      <c r="A495" s="2" t="s">
        <v>881</v>
      </c>
      <c r="B495" s="2" t="b">
        <v>0</v>
      </c>
      <c r="C495" s="2" t="b">
        <v>0</v>
      </c>
      <c r="D495" s="2" t="b">
        <v>0</v>
      </c>
      <c r="E495" s="2" t="b">
        <v>0</v>
      </c>
      <c r="F495" s="2" t="s">
        <v>31</v>
      </c>
      <c r="G495" s="2" t="s">
        <v>882</v>
      </c>
      <c r="H495" s="2" t="s">
        <v>883</v>
      </c>
      <c r="I495" s="2" t="s">
        <v>675</v>
      </c>
      <c r="J495" s="2" t="s">
        <v>35</v>
      </c>
      <c r="K495" s="2" t="s">
        <v>35</v>
      </c>
      <c r="L495" s="2" t="s">
        <v>35</v>
      </c>
      <c r="M495" s="2" t="s">
        <v>35</v>
      </c>
      <c r="N495" s="3">
        <v>44737.516726273148</v>
      </c>
      <c r="O495" s="3">
        <v>44737.517545532406</v>
      </c>
      <c r="P495" s="2">
        <v>0</v>
      </c>
      <c r="Q495" s="2" t="s">
        <v>124</v>
      </c>
      <c r="R495" s="2" t="s">
        <v>38</v>
      </c>
      <c r="S495" s="2" t="s">
        <v>35</v>
      </c>
      <c r="T495" s="2" t="s">
        <v>35</v>
      </c>
      <c r="U495" s="2" t="s">
        <v>35</v>
      </c>
      <c r="V495" s="2" t="b">
        <v>0</v>
      </c>
      <c r="W495" s="2" t="s">
        <v>35</v>
      </c>
      <c r="X495" s="2">
        <v>4</v>
      </c>
      <c r="Y495" s="2" t="s">
        <v>35</v>
      </c>
      <c r="Z495" s="2" t="s">
        <v>35</v>
      </c>
    </row>
    <row r="496" spans="1:26" x14ac:dyDescent="0.2">
      <c r="A496" s="2" t="s">
        <v>884</v>
      </c>
      <c r="B496" s="2" t="b">
        <v>0</v>
      </c>
      <c r="C496" s="2" t="b">
        <v>0</v>
      </c>
      <c r="D496" s="2" t="b">
        <v>0</v>
      </c>
      <c r="E496" s="2" t="b">
        <v>0</v>
      </c>
      <c r="F496" s="2" t="s">
        <v>31</v>
      </c>
      <c r="G496" s="2" t="s">
        <v>885</v>
      </c>
      <c r="H496" s="2" t="s">
        <v>886</v>
      </c>
      <c r="I496" s="2" t="s">
        <v>675</v>
      </c>
      <c r="J496" s="2" t="s">
        <v>35</v>
      </c>
      <c r="K496" s="2" t="s">
        <v>35</v>
      </c>
      <c r="L496" s="2" t="s">
        <v>35</v>
      </c>
      <c r="M496" s="2" t="s">
        <v>35</v>
      </c>
      <c r="N496" s="3">
        <v>44737.51759019676</v>
      </c>
      <c r="O496" s="3">
        <v>44737.517943553241</v>
      </c>
      <c r="P496" s="2">
        <v>0</v>
      </c>
      <c r="Q496" s="2" t="s">
        <v>124</v>
      </c>
      <c r="R496" s="2" t="s">
        <v>38</v>
      </c>
      <c r="S496" s="2" t="s">
        <v>35</v>
      </c>
      <c r="T496" s="2" t="s">
        <v>35</v>
      </c>
      <c r="U496" s="2" t="s">
        <v>35</v>
      </c>
      <c r="V496" s="2" t="b">
        <v>0</v>
      </c>
      <c r="W496" s="2" t="s">
        <v>35</v>
      </c>
      <c r="X496" s="2">
        <v>4</v>
      </c>
      <c r="Y496" s="2" t="s">
        <v>35</v>
      </c>
      <c r="Z496" s="2" t="s">
        <v>35</v>
      </c>
    </row>
    <row r="497" spans="1:26" x14ac:dyDescent="0.2">
      <c r="A497" s="2" t="s">
        <v>887</v>
      </c>
      <c r="B497" s="2" t="b">
        <v>0</v>
      </c>
      <c r="C497" s="2" t="b">
        <v>0</v>
      </c>
      <c r="D497" s="2" t="b">
        <v>0</v>
      </c>
      <c r="E497" s="2" t="b">
        <v>0</v>
      </c>
      <c r="F497" s="2" t="s">
        <v>31</v>
      </c>
      <c r="G497" s="2" t="s">
        <v>888</v>
      </c>
      <c r="H497" s="2" t="s">
        <v>889</v>
      </c>
      <c r="I497" s="2" t="s">
        <v>675</v>
      </c>
      <c r="J497" s="2" t="s">
        <v>35</v>
      </c>
      <c r="K497" s="2" t="s">
        <v>35</v>
      </c>
      <c r="L497" s="2" t="s">
        <v>35</v>
      </c>
      <c r="M497" s="2" t="s">
        <v>35</v>
      </c>
      <c r="N497" s="3">
        <v>44737.519019074076</v>
      </c>
      <c r="O497" s="3">
        <v>44737.519171539352</v>
      </c>
      <c r="P497" s="2">
        <v>0</v>
      </c>
      <c r="Q497" s="2" t="s">
        <v>124</v>
      </c>
      <c r="R497" s="2" t="s">
        <v>38</v>
      </c>
      <c r="S497" s="2" t="s">
        <v>35</v>
      </c>
      <c r="T497" s="2" t="s">
        <v>35</v>
      </c>
      <c r="U497" s="2" t="s">
        <v>35</v>
      </c>
      <c r="V497" s="2" t="b">
        <v>0</v>
      </c>
      <c r="W497" s="2" t="s">
        <v>35</v>
      </c>
      <c r="X497" s="2">
        <v>4</v>
      </c>
      <c r="Y497" s="2" t="s">
        <v>35</v>
      </c>
      <c r="Z497" s="2" t="s">
        <v>35</v>
      </c>
    </row>
    <row r="498" spans="1:26" x14ac:dyDescent="0.2">
      <c r="A498" s="2" t="s">
        <v>890</v>
      </c>
      <c r="B498" s="2" t="b">
        <v>0</v>
      </c>
      <c r="C498" s="2" t="b">
        <v>0</v>
      </c>
      <c r="D498" s="2" t="b">
        <v>0</v>
      </c>
      <c r="E498" s="2" t="b">
        <v>0</v>
      </c>
      <c r="F498" s="2" t="s">
        <v>31</v>
      </c>
      <c r="G498" s="2" t="s">
        <v>891</v>
      </c>
      <c r="H498" s="2" t="s">
        <v>892</v>
      </c>
      <c r="I498" s="2" t="s">
        <v>35</v>
      </c>
      <c r="J498" s="2" t="s">
        <v>35</v>
      </c>
      <c r="K498" s="2" t="s">
        <v>35</v>
      </c>
      <c r="L498" s="2" t="s">
        <v>35</v>
      </c>
      <c r="M498" s="2" t="s">
        <v>35</v>
      </c>
      <c r="N498" s="3">
        <v>44737.519880115738</v>
      </c>
      <c r="O498" s="3">
        <v>44737.520084502314</v>
      </c>
      <c r="P498" s="2">
        <v>0</v>
      </c>
      <c r="Q498" s="2" t="s">
        <v>36</v>
      </c>
      <c r="R498" s="2" t="s">
        <v>38</v>
      </c>
      <c r="S498" s="2" t="s">
        <v>35</v>
      </c>
      <c r="T498" s="2" t="s">
        <v>35</v>
      </c>
      <c r="U498" s="2" t="s">
        <v>35</v>
      </c>
      <c r="V498" s="2" t="b">
        <v>0</v>
      </c>
      <c r="W498" s="2" t="s">
        <v>35</v>
      </c>
      <c r="X498" s="2" t="s">
        <v>35</v>
      </c>
      <c r="Y498" s="2" t="s">
        <v>35</v>
      </c>
      <c r="Z498" s="2">
        <v>2</v>
      </c>
    </row>
    <row r="499" spans="1:26" x14ac:dyDescent="0.2">
      <c r="A499" s="2" t="s">
        <v>893</v>
      </c>
      <c r="B499" s="2" t="b">
        <v>0</v>
      </c>
      <c r="C499" s="2" t="b">
        <v>0</v>
      </c>
      <c r="D499" s="2" t="b">
        <v>0</v>
      </c>
      <c r="E499" s="2" t="b">
        <v>0</v>
      </c>
      <c r="F499" s="2" t="s">
        <v>31</v>
      </c>
      <c r="G499" s="2" t="s">
        <v>894</v>
      </c>
      <c r="H499" s="2" t="s">
        <v>895</v>
      </c>
      <c r="I499" s="2" t="s">
        <v>896</v>
      </c>
      <c r="J499" s="2" t="s">
        <v>35</v>
      </c>
      <c r="K499" s="2" t="s">
        <v>35</v>
      </c>
      <c r="L499" s="2" t="s">
        <v>35</v>
      </c>
      <c r="M499" s="2" t="s">
        <v>35</v>
      </c>
      <c r="N499" s="3">
        <v>44737.521164027778</v>
      </c>
      <c r="O499" s="3">
        <v>44737.521375462966</v>
      </c>
      <c r="P499" s="2">
        <v>0</v>
      </c>
      <c r="Q499" s="2" t="s">
        <v>109</v>
      </c>
      <c r="R499" s="2" t="s">
        <v>38</v>
      </c>
      <c r="S499" s="2" t="s">
        <v>35</v>
      </c>
      <c r="T499" s="2">
        <v>106</v>
      </c>
      <c r="U499" s="2" t="s">
        <v>35</v>
      </c>
      <c r="V499" s="2" t="b">
        <v>0</v>
      </c>
      <c r="W499" s="2" t="s">
        <v>35</v>
      </c>
      <c r="X499" s="2" t="s">
        <v>35</v>
      </c>
      <c r="Y499" s="2" t="s">
        <v>35</v>
      </c>
      <c r="Z499" s="2" t="s">
        <v>35</v>
      </c>
    </row>
    <row r="500" spans="1:26" x14ac:dyDescent="0.2">
      <c r="A500" s="2" t="s">
        <v>897</v>
      </c>
      <c r="B500" s="2" t="b">
        <v>0</v>
      </c>
      <c r="C500" s="2" t="b">
        <v>0</v>
      </c>
      <c r="D500" s="2" t="b">
        <v>0</v>
      </c>
      <c r="E500" s="2" t="b">
        <v>0</v>
      </c>
      <c r="F500" s="2" t="s">
        <v>31</v>
      </c>
      <c r="G500" s="2" t="s">
        <v>898</v>
      </c>
      <c r="H500" s="2" t="s">
        <v>899</v>
      </c>
      <c r="I500" s="2" t="s">
        <v>896</v>
      </c>
      <c r="J500" s="2" t="s">
        <v>35</v>
      </c>
      <c r="K500" s="2" t="s">
        <v>35</v>
      </c>
      <c r="L500" s="2" t="s">
        <v>35</v>
      </c>
      <c r="M500" s="2" t="s">
        <v>35</v>
      </c>
      <c r="N500" s="3">
        <v>44737.521658518519</v>
      </c>
      <c r="O500" s="3">
        <v>44737.521891215278</v>
      </c>
      <c r="P500" s="2">
        <v>0</v>
      </c>
      <c r="Q500" s="2" t="s">
        <v>109</v>
      </c>
      <c r="R500" s="2" t="s">
        <v>38</v>
      </c>
      <c r="S500" s="2" t="s">
        <v>35</v>
      </c>
      <c r="T500" s="2">
        <v>110</v>
      </c>
      <c r="U500" s="2" t="s">
        <v>35</v>
      </c>
      <c r="V500" s="2" t="b">
        <v>0</v>
      </c>
      <c r="W500" s="2" t="s">
        <v>35</v>
      </c>
      <c r="X500" s="2" t="s">
        <v>35</v>
      </c>
      <c r="Y500" s="2" t="s">
        <v>35</v>
      </c>
      <c r="Z500" s="2" t="s">
        <v>35</v>
      </c>
    </row>
    <row r="501" spans="1:26" x14ac:dyDescent="0.2">
      <c r="A501" s="2" t="s">
        <v>900</v>
      </c>
      <c r="B501" s="2" t="b">
        <v>0</v>
      </c>
      <c r="C501" s="2" t="b">
        <v>0</v>
      </c>
      <c r="D501" s="2" t="b">
        <v>0</v>
      </c>
      <c r="E501" s="2" t="b">
        <v>0</v>
      </c>
      <c r="F501" s="2" t="s">
        <v>31</v>
      </c>
      <c r="G501" s="2" t="s">
        <v>901</v>
      </c>
      <c r="H501" s="2" t="s">
        <v>902</v>
      </c>
      <c r="I501" s="2" t="s">
        <v>35</v>
      </c>
      <c r="J501" s="2" t="s">
        <v>35</v>
      </c>
      <c r="K501" s="2" t="s">
        <v>35</v>
      </c>
      <c r="L501" s="2" t="s">
        <v>35</v>
      </c>
      <c r="M501" s="2" t="s">
        <v>35</v>
      </c>
      <c r="N501" s="3">
        <v>44737.522726041665</v>
      </c>
      <c r="O501" s="3">
        <v>44737.522883981481</v>
      </c>
      <c r="P501" s="2">
        <v>0</v>
      </c>
      <c r="Q501" s="2" t="s">
        <v>36</v>
      </c>
      <c r="R501" s="2" t="s">
        <v>38</v>
      </c>
      <c r="S501" s="2" t="s">
        <v>35</v>
      </c>
      <c r="T501" s="2" t="s">
        <v>35</v>
      </c>
      <c r="U501" s="2" t="s">
        <v>35</v>
      </c>
      <c r="V501" s="2" t="b">
        <v>0</v>
      </c>
      <c r="W501" s="2" t="s">
        <v>35</v>
      </c>
      <c r="X501" s="2" t="s">
        <v>35</v>
      </c>
      <c r="Y501" s="2" t="s">
        <v>35</v>
      </c>
      <c r="Z501" s="2">
        <v>2</v>
      </c>
    </row>
    <row r="502" spans="1:26" x14ac:dyDescent="0.2">
      <c r="A502" s="2" t="s">
        <v>903</v>
      </c>
      <c r="B502" s="2" t="b">
        <v>0</v>
      </c>
      <c r="C502" s="2" t="b">
        <v>0</v>
      </c>
      <c r="D502" s="2" t="b">
        <v>0</v>
      </c>
      <c r="E502" s="2" t="b">
        <v>0</v>
      </c>
      <c r="F502" s="2" t="s">
        <v>31</v>
      </c>
      <c r="G502" s="2" t="s">
        <v>904</v>
      </c>
      <c r="H502" s="2" t="s">
        <v>905</v>
      </c>
      <c r="I502" s="2" t="s">
        <v>906</v>
      </c>
      <c r="J502" s="2" t="s">
        <v>35</v>
      </c>
      <c r="K502" s="2" t="s">
        <v>35</v>
      </c>
      <c r="L502" s="2" t="s">
        <v>35</v>
      </c>
      <c r="M502" s="2" t="s">
        <v>35</v>
      </c>
      <c r="N502" s="3">
        <v>44737.523461215278</v>
      </c>
      <c r="O502" s="3">
        <v>44737.523752141205</v>
      </c>
      <c r="P502" s="2">
        <v>0</v>
      </c>
      <c r="Q502" s="2" t="s">
        <v>36</v>
      </c>
      <c r="R502" s="2" t="s">
        <v>38</v>
      </c>
      <c r="S502" s="2" t="s">
        <v>35</v>
      </c>
      <c r="T502" s="2" t="s">
        <v>35</v>
      </c>
      <c r="U502" s="2" t="s">
        <v>35</v>
      </c>
      <c r="V502" s="2" t="b">
        <v>0</v>
      </c>
      <c r="W502" s="2" t="s">
        <v>35</v>
      </c>
      <c r="X502" s="2" t="s">
        <v>35</v>
      </c>
      <c r="Y502" s="2">
        <v>6</v>
      </c>
      <c r="Z502" s="2" t="s">
        <v>35</v>
      </c>
    </row>
    <row r="503" spans="1:26" x14ac:dyDescent="0.2">
      <c r="A503" s="2" t="s">
        <v>907</v>
      </c>
      <c r="B503" s="2" t="b">
        <v>0</v>
      </c>
      <c r="C503" s="2" t="b">
        <v>0</v>
      </c>
      <c r="D503" s="2" t="b">
        <v>0</v>
      </c>
      <c r="E503" s="2" t="b">
        <v>0</v>
      </c>
      <c r="F503" s="2" t="s">
        <v>31</v>
      </c>
      <c r="G503" s="2" t="s">
        <v>149</v>
      </c>
      <c r="H503" s="2" t="s">
        <v>908</v>
      </c>
      <c r="I503" s="2" t="s">
        <v>35</v>
      </c>
      <c r="J503" s="2" t="s">
        <v>35</v>
      </c>
      <c r="K503" s="2" t="s">
        <v>35</v>
      </c>
      <c r="L503" s="2">
        <v>15</v>
      </c>
      <c r="M503" s="2">
        <v>15</v>
      </c>
      <c r="N503" s="3">
        <v>44737.524007858796</v>
      </c>
      <c r="O503" s="3">
        <v>44737.524369988423</v>
      </c>
      <c r="P503" s="2">
        <v>0</v>
      </c>
      <c r="Q503" s="2" t="s">
        <v>54</v>
      </c>
      <c r="R503" s="2" t="s">
        <v>38</v>
      </c>
      <c r="S503" s="2" t="s">
        <v>35</v>
      </c>
      <c r="T503" s="2" t="s">
        <v>35</v>
      </c>
      <c r="U503" s="2" t="s">
        <v>35</v>
      </c>
      <c r="V503" s="2" t="b">
        <v>0</v>
      </c>
      <c r="W503" s="2" t="s">
        <v>35</v>
      </c>
      <c r="X503" s="2" t="s">
        <v>35</v>
      </c>
      <c r="Y503" s="2" t="s">
        <v>35</v>
      </c>
      <c r="Z503" s="2" t="s">
        <v>35</v>
      </c>
    </row>
    <row r="504" spans="1:26" x14ac:dyDescent="0.2">
      <c r="A504" s="2" t="s">
        <v>909</v>
      </c>
      <c r="B504" s="2" t="b">
        <v>0</v>
      </c>
      <c r="C504" s="2" t="b">
        <v>0</v>
      </c>
      <c r="D504" s="2" t="b">
        <v>0</v>
      </c>
      <c r="E504" s="2" t="b">
        <v>0</v>
      </c>
      <c r="F504" s="2" t="s">
        <v>31</v>
      </c>
      <c r="G504" s="2" t="s">
        <v>910</v>
      </c>
      <c r="H504" s="2" t="s">
        <v>911</v>
      </c>
      <c r="I504" s="2" t="s">
        <v>906</v>
      </c>
      <c r="J504" s="2" t="s">
        <v>35</v>
      </c>
      <c r="K504" s="2" t="s">
        <v>35</v>
      </c>
      <c r="L504" s="2" t="s">
        <v>35</v>
      </c>
      <c r="M504" s="2" t="s">
        <v>35</v>
      </c>
      <c r="N504" s="3">
        <v>44737.524854386575</v>
      </c>
      <c r="O504" s="3">
        <v>44737.525200081021</v>
      </c>
      <c r="P504" s="2">
        <v>0</v>
      </c>
      <c r="Q504" s="2" t="s">
        <v>36</v>
      </c>
      <c r="R504" s="2" t="s">
        <v>38</v>
      </c>
      <c r="S504" s="2" t="s">
        <v>35</v>
      </c>
      <c r="T504" s="2" t="s">
        <v>35</v>
      </c>
      <c r="U504" s="2" t="s">
        <v>35</v>
      </c>
      <c r="V504" s="2" t="b">
        <v>0</v>
      </c>
      <c r="W504" s="2" t="s">
        <v>35</v>
      </c>
      <c r="X504" s="2" t="s">
        <v>35</v>
      </c>
      <c r="Y504" s="2">
        <v>4</v>
      </c>
      <c r="Z504" s="2" t="s">
        <v>35</v>
      </c>
    </row>
    <row r="505" spans="1:26" x14ac:dyDescent="0.2">
      <c r="A505" s="2" t="s">
        <v>912</v>
      </c>
      <c r="B505" s="2" t="b">
        <v>0</v>
      </c>
      <c r="C505" s="2" t="b">
        <v>0</v>
      </c>
      <c r="D505" s="2" t="b">
        <v>0</v>
      </c>
      <c r="E505" s="2" t="b">
        <v>0</v>
      </c>
      <c r="F505" s="2" t="s">
        <v>31</v>
      </c>
      <c r="G505" s="2" t="s">
        <v>913</v>
      </c>
      <c r="H505" s="2" t="s">
        <v>914</v>
      </c>
      <c r="I505" s="2" t="s">
        <v>675</v>
      </c>
      <c r="J505" s="2" t="s">
        <v>35</v>
      </c>
      <c r="K505" s="2" t="s">
        <v>35</v>
      </c>
      <c r="L505" s="2" t="s">
        <v>35</v>
      </c>
      <c r="M505" s="2" t="s">
        <v>35</v>
      </c>
      <c r="N505" s="3">
        <v>44737.526667002312</v>
      </c>
      <c r="O505" s="3">
        <v>44737.527705578701</v>
      </c>
      <c r="P505" s="2">
        <v>0</v>
      </c>
      <c r="Q505" s="2" t="s">
        <v>124</v>
      </c>
      <c r="R505" s="2" t="s">
        <v>38</v>
      </c>
      <c r="S505" s="2" t="s">
        <v>35</v>
      </c>
      <c r="T505" s="2" t="s">
        <v>35</v>
      </c>
      <c r="U505" s="2" t="s">
        <v>35</v>
      </c>
      <c r="V505" s="2" t="b">
        <v>0</v>
      </c>
      <c r="W505" s="2" t="s">
        <v>35</v>
      </c>
      <c r="X505" s="2">
        <v>4</v>
      </c>
      <c r="Y505" s="2" t="s">
        <v>35</v>
      </c>
      <c r="Z505" s="2" t="s">
        <v>35</v>
      </c>
    </row>
    <row r="506" spans="1:26" x14ac:dyDescent="0.2">
      <c r="A506" s="2" t="s">
        <v>915</v>
      </c>
      <c r="B506" s="2" t="b">
        <v>0</v>
      </c>
      <c r="C506" s="2" t="b">
        <v>0</v>
      </c>
      <c r="D506" s="2" t="b">
        <v>0</v>
      </c>
      <c r="E506" s="2" t="b">
        <v>0</v>
      </c>
      <c r="F506" s="2" t="s">
        <v>31</v>
      </c>
      <c r="G506" s="2" t="s">
        <v>916</v>
      </c>
      <c r="H506" s="2" t="s">
        <v>917</v>
      </c>
      <c r="I506" s="2" t="s">
        <v>675</v>
      </c>
      <c r="J506" s="2" t="s">
        <v>35</v>
      </c>
      <c r="K506" s="2" t="s">
        <v>35</v>
      </c>
      <c r="L506" s="2" t="s">
        <v>35</v>
      </c>
      <c r="M506" s="2" t="s">
        <v>35</v>
      </c>
      <c r="N506" s="3">
        <v>44737.527775937502</v>
      </c>
      <c r="O506" s="3">
        <v>44737.528022847226</v>
      </c>
      <c r="P506" s="2">
        <v>0</v>
      </c>
      <c r="Q506" s="2" t="s">
        <v>124</v>
      </c>
      <c r="R506" s="2" t="s">
        <v>38</v>
      </c>
      <c r="S506" s="2" t="s">
        <v>35</v>
      </c>
      <c r="T506" s="2" t="s">
        <v>35</v>
      </c>
      <c r="U506" s="2" t="s">
        <v>35</v>
      </c>
      <c r="V506" s="2" t="b">
        <v>0</v>
      </c>
      <c r="W506" s="2" t="s">
        <v>35</v>
      </c>
      <c r="X506" s="2">
        <v>4</v>
      </c>
      <c r="Y506" s="2" t="s">
        <v>35</v>
      </c>
      <c r="Z506" s="2" t="s">
        <v>35</v>
      </c>
    </row>
    <row r="507" spans="1:26" x14ac:dyDescent="0.2">
      <c r="A507" s="2" t="s">
        <v>918</v>
      </c>
      <c r="B507" s="2" t="b">
        <v>0</v>
      </c>
      <c r="C507" s="2" t="b">
        <v>0</v>
      </c>
      <c r="D507" s="2" t="b">
        <v>0</v>
      </c>
      <c r="E507" s="2" t="b">
        <v>0</v>
      </c>
      <c r="F507" s="2" t="s">
        <v>31</v>
      </c>
      <c r="G507" s="2" t="s">
        <v>919</v>
      </c>
      <c r="H507" s="2" t="s">
        <v>920</v>
      </c>
      <c r="I507" s="2" t="s">
        <v>675</v>
      </c>
      <c r="J507" s="2" t="s">
        <v>35</v>
      </c>
      <c r="K507" s="2" t="s">
        <v>35</v>
      </c>
      <c r="L507" s="2" t="s">
        <v>35</v>
      </c>
      <c r="M507" s="2" t="s">
        <v>35</v>
      </c>
      <c r="N507" s="3">
        <v>44737.529034224535</v>
      </c>
      <c r="O507" s="3">
        <v>44737.529266377314</v>
      </c>
      <c r="P507" s="2">
        <v>0</v>
      </c>
      <c r="Q507" s="2" t="s">
        <v>124</v>
      </c>
      <c r="R507" s="2" t="s">
        <v>38</v>
      </c>
      <c r="S507" s="2" t="s">
        <v>35</v>
      </c>
      <c r="T507" s="2" t="s">
        <v>35</v>
      </c>
      <c r="U507" s="2" t="s">
        <v>35</v>
      </c>
      <c r="V507" s="2" t="b">
        <v>0</v>
      </c>
      <c r="W507" s="2" t="s">
        <v>35</v>
      </c>
      <c r="X507" s="2">
        <v>4</v>
      </c>
      <c r="Y507" s="2" t="s">
        <v>35</v>
      </c>
      <c r="Z507" s="2" t="s">
        <v>35</v>
      </c>
    </row>
    <row r="508" spans="1:26" x14ac:dyDescent="0.2">
      <c r="A508" s="2" t="s">
        <v>921</v>
      </c>
      <c r="B508" s="2" t="b">
        <v>0</v>
      </c>
      <c r="C508" s="2" t="b">
        <v>0</v>
      </c>
      <c r="D508" s="2" t="b">
        <v>0</v>
      </c>
      <c r="E508" s="2" t="b">
        <v>0</v>
      </c>
      <c r="F508" s="2" t="s">
        <v>31</v>
      </c>
      <c r="G508" s="2" t="s">
        <v>922</v>
      </c>
      <c r="H508" s="2" t="s">
        <v>923</v>
      </c>
      <c r="I508" s="2" t="s">
        <v>35</v>
      </c>
      <c r="J508" s="2" t="s">
        <v>35</v>
      </c>
      <c r="K508" s="2" t="s">
        <v>35</v>
      </c>
      <c r="L508" s="2">
        <v>31</v>
      </c>
      <c r="M508" s="2">
        <v>15</v>
      </c>
      <c r="N508" s="3">
        <v>44737.52978921296</v>
      </c>
      <c r="O508" s="3">
        <v>44737.53038621528</v>
      </c>
      <c r="P508" s="2">
        <v>0</v>
      </c>
      <c r="Q508" s="2" t="s">
        <v>54</v>
      </c>
      <c r="R508" s="2" t="s">
        <v>38</v>
      </c>
      <c r="S508" s="2" t="s">
        <v>35</v>
      </c>
      <c r="T508" s="2" t="s">
        <v>35</v>
      </c>
      <c r="U508" s="2" t="s">
        <v>35</v>
      </c>
      <c r="V508" s="2" t="b">
        <v>0</v>
      </c>
      <c r="W508" s="2" t="s">
        <v>35</v>
      </c>
      <c r="X508" s="2" t="s">
        <v>35</v>
      </c>
      <c r="Y508" s="2" t="s">
        <v>35</v>
      </c>
      <c r="Z508" s="2" t="s">
        <v>35</v>
      </c>
    </row>
    <row r="509" spans="1:26" x14ac:dyDescent="0.2">
      <c r="A509" s="2" t="s">
        <v>924</v>
      </c>
      <c r="B509" s="2" t="b">
        <v>0</v>
      </c>
      <c r="C509" s="2" t="b">
        <v>0</v>
      </c>
      <c r="D509" s="2" t="b">
        <v>0</v>
      </c>
      <c r="E509" s="2" t="b">
        <v>0</v>
      </c>
      <c r="F509" s="2" t="s">
        <v>31</v>
      </c>
      <c r="G509" s="2" t="s">
        <v>925</v>
      </c>
      <c r="H509" s="2" t="s">
        <v>926</v>
      </c>
      <c r="I509" s="2" t="s">
        <v>927</v>
      </c>
      <c r="J509" s="2" t="s">
        <v>35</v>
      </c>
      <c r="K509" s="2" t="s">
        <v>35</v>
      </c>
      <c r="L509" s="2" t="s">
        <v>35</v>
      </c>
      <c r="M509" s="2" t="s">
        <v>35</v>
      </c>
      <c r="N509" s="3">
        <v>44737.530469282407</v>
      </c>
      <c r="O509" s="3">
        <v>44737.530909502311</v>
      </c>
      <c r="P509" s="2">
        <v>0</v>
      </c>
      <c r="Q509" s="2" t="s">
        <v>54</v>
      </c>
      <c r="R509" s="2" t="s">
        <v>38</v>
      </c>
      <c r="S509" s="2" t="s">
        <v>35</v>
      </c>
      <c r="T509" s="2" t="s">
        <v>35</v>
      </c>
      <c r="U509" s="2" t="s">
        <v>35</v>
      </c>
      <c r="V509" s="2" t="b">
        <v>0</v>
      </c>
      <c r="W509" s="2" t="s">
        <v>35</v>
      </c>
      <c r="X509" s="2" t="s">
        <v>35</v>
      </c>
      <c r="Y509" s="2" t="s">
        <v>35</v>
      </c>
      <c r="Z509" s="2" t="s">
        <v>35</v>
      </c>
    </row>
    <row r="510" spans="1:26" x14ac:dyDescent="0.2">
      <c r="A510" s="2" t="s">
        <v>928</v>
      </c>
      <c r="B510" s="2" t="b">
        <v>0</v>
      </c>
      <c r="C510" s="2" t="b">
        <v>0</v>
      </c>
      <c r="D510" s="2" t="b">
        <v>0</v>
      </c>
      <c r="E510" s="2" t="b">
        <v>0</v>
      </c>
      <c r="F510" s="2" t="s">
        <v>31</v>
      </c>
      <c r="G510" s="2" t="s">
        <v>929</v>
      </c>
      <c r="H510" s="2" t="s">
        <v>930</v>
      </c>
      <c r="I510" s="2" t="s">
        <v>35</v>
      </c>
      <c r="J510" s="2" t="s">
        <v>35</v>
      </c>
      <c r="K510" s="2" t="s">
        <v>35</v>
      </c>
      <c r="L510" s="2" t="s">
        <v>35</v>
      </c>
      <c r="M510" s="2" t="s">
        <v>35</v>
      </c>
      <c r="N510" s="3">
        <v>44737.532058229168</v>
      </c>
      <c r="O510" s="3">
        <v>44737.532222604168</v>
      </c>
      <c r="P510" s="2">
        <v>0</v>
      </c>
      <c r="Q510" s="2" t="s">
        <v>36</v>
      </c>
      <c r="R510" s="2" t="s">
        <v>38</v>
      </c>
      <c r="S510" s="2" t="s">
        <v>35</v>
      </c>
      <c r="T510" s="2" t="s">
        <v>35</v>
      </c>
      <c r="U510" s="2" t="s">
        <v>35</v>
      </c>
      <c r="V510" s="2" t="b">
        <v>0</v>
      </c>
      <c r="W510" s="2" t="s">
        <v>35</v>
      </c>
      <c r="X510" s="2" t="s">
        <v>35</v>
      </c>
      <c r="Y510" s="2" t="s">
        <v>35</v>
      </c>
      <c r="Z510" s="2">
        <v>3</v>
      </c>
    </row>
    <row r="511" spans="1:26" x14ac:dyDescent="0.2">
      <c r="A511" s="2" t="s">
        <v>931</v>
      </c>
      <c r="B511" s="2" t="b">
        <v>0</v>
      </c>
      <c r="C511" s="2" t="b">
        <v>0</v>
      </c>
      <c r="D511" s="2" t="b">
        <v>0</v>
      </c>
      <c r="E511" s="2" t="b">
        <v>0</v>
      </c>
      <c r="F511" s="2" t="s">
        <v>31</v>
      </c>
      <c r="G511" s="2" t="s">
        <v>932</v>
      </c>
      <c r="H511" s="2" t="s">
        <v>933</v>
      </c>
      <c r="I511" s="2" t="s">
        <v>35</v>
      </c>
      <c r="J511" s="2" t="s">
        <v>35</v>
      </c>
      <c r="K511" s="2" t="s">
        <v>35</v>
      </c>
      <c r="L511" s="2">
        <v>29</v>
      </c>
      <c r="M511" s="2">
        <v>16</v>
      </c>
      <c r="N511" s="3">
        <v>44737.532494965279</v>
      </c>
      <c r="O511" s="3">
        <v>44737.533045694443</v>
      </c>
      <c r="P511" s="2">
        <v>0</v>
      </c>
      <c r="Q511" s="2" t="s">
        <v>54</v>
      </c>
      <c r="R511" s="2" t="s">
        <v>38</v>
      </c>
      <c r="S511" s="2" t="s">
        <v>35</v>
      </c>
      <c r="T511" s="2" t="s">
        <v>35</v>
      </c>
      <c r="U511" s="2" t="s">
        <v>35</v>
      </c>
      <c r="V511" s="2" t="b">
        <v>0</v>
      </c>
      <c r="W511" s="2" t="s">
        <v>35</v>
      </c>
      <c r="X511" s="2" t="s">
        <v>35</v>
      </c>
      <c r="Y511" s="2" t="s">
        <v>35</v>
      </c>
      <c r="Z511" s="2" t="s">
        <v>35</v>
      </c>
    </row>
    <row r="512" spans="1:26" x14ac:dyDescent="0.2">
      <c r="A512" s="2" t="s">
        <v>934</v>
      </c>
      <c r="B512" s="2" t="b">
        <v>0</v>
      </c>
      <c r="C512" s="2" t="b">
        <v>0</v>
      </c>
      <c r="D512" s="2" t="b">
        <v>0</v>
      </c>
      <c r="E512" s="2" t="b">
        <v>0</v>
      </c>
      <c r="F512" s="2" t="s">
        <v>31</v>
      </c>
      <c r="G512" s="2" t="s">
        <v>935</v>
      </c>
      <c r="H512" s="2" t="s">
        <v>936</v>
      </c>
      <c r="I512" s="2" t="s">
        <v>35</v>
      </c>
      <c r="J512" s="2" t="s">
        <v>35</v>
      </c>
      <c r="K512" s="2" t="s">
        <v>35</v>
      </c>
      <c r="L512" s="2">
        <v>29</v>
      </c>
      <c r="M512" s="2">
        <v>15</v>
      </c>
      <c r="N512" s="3">
        <v>44737.533099421293</v>
      </c>
      <c r="O512" s="3">
        <v>44737.533664710645</v>
      </c>
      <c r="P512" s="2">
        <v>0</v>
      </c>
      <c r="Q512" s="2" t="s">
        <v>54</v>
      </c>
      <c r="R512" s="2" t="s">
        <v>38</v>
      </c>
      <c r="S512" s="2" t="s">
        <v>35</v>
      </c>
      <c r="T512" s="2" t="s">
        <v>35</v>
      </c>
      <c r="U512" s="2" t="s">
        <v>35</v>
      </c>
      <c r="V512" s="2" t="b">
        <v>0</v>
      </c>
      <c r="W512" s="2" t="s">
        <v>35</v>
      </c>
      <c r="X512" s="2" t="s">
        <v>35</v>
      </c>
      <c r="Y512" s="2" t="s">
        <v>35</v>
      </c>
      <c r="Z512" s="2" t="s">
        <v>35</v>
      </c>
    </row>
    <row r="513" spans="1:26" x14ac:dyDescent="0.2">
      <c r="A513" s="2" t="s">
        <v>9283</v>
      </c>
      <c r="B513" s="2" t="b">
        <v>0</v>
      </c>
      <c r="C513" s="2" t="b">
        <v>0</v>
      </c>
      <c r="D513" s="2" t="b">
        <v>0</v>
      </c>
      <c r="E513" s="2" t="b">
        <v>0</v>
      </c>
      <c r="F513" s="2" t="s">
        <v>121</v>
      </c>
      <c r="G513" s="2" t="s">
        <v>149</v>
      </c>
      <c r="H513" s="2" t="s">
        <v>9284</v>
      </c>
      <c r="I513" s="2" t="s">
        <v>35</v>
      </c>
      <c r="J513" s="2" t="s">
        <v>35</v>
      </c>
      <c r="K513" s="2" t="s">
        <v>35</v>
      </c>
      <c r="L513" s="2" t="s">
        <v>35</v>
      </c>
      <c r="M513" s="2" t="s">
        <v>35</v>
      </c>
      <c r="N513" s="3">
        <v>44737.534469189814</v>
      </c>
      <c r="O513" s="3">
        <v>44737.534505162039</v>
      </c>
      <c r="P513" s="2">
        <v>0</v>
      </c>
      <c r="Q513" s="2" t="s">
        <v>36</v>
      </c>
      <c r="R513" s="2" t="s">
        <v>38</v>
      </c>
      <c r="S513" s="2" t="s">
        <v>35</v>
      </c>
      <c r="T513" s="2" t="s">
        <v>35</v>
      </c>
      <c r="U513" s="2" t="s">
        <v>35</v>
      </c>
      <c r="V513" s="2" t="b">
        <v>0</v>
      </c>
      <c r="W513" s="2" t="s">
        <v>35</v>
      </c>
      <c r="X513" s="2" t="s">
        <v>35</v>
      </c>
      <c r="Y513" s="2" t="s">
        <v>35</v>
      </c>
      <c r="Z513" s="2" t="s">
        <v>35</v>
      </c>
    </row>
    <row r="514" spans="1:26" x14ac:dyDescent="0.2">
      <c r="A514" s="2" t="s">
        <v>937</v>
      </c>
      <c r="B514" s="2" t="b">
        <v>0</v>
      </c>
      <c r="C514" s="2" t="b">
        <v>0</v>
      </c>
      <c r="D514" s="2" t="b">
        <v>0</v>
      </c>
      <c r="E514" s="2" t="b">
        <v>0</v>
      </c>
      <c r="F514" s="2" t="s">
        <v>31</v>
      </c>
      <c r="G514" s="2" t="s">
        <v>938</v>
      </c>
      <c r="H514" s="2" t="s">
        <v>939</v>
      </c>
      <c r="I514" s="2" t="s">
        <v>940</v>
      </c>
      <c r="J514" s="2" t="s">
        <v>35</v>
      </c>
      <c r="K514" s="2" t="s">
        <v>35</v>
      </c>
      <c r="L514" s="2" t="s">
        <v>35</v>
      </c>
      <c r="M514" s="2" t="s">
        <v>35</v>
      </c>
      <c r="N514" s="3">
        <v>44740.451746446757</v>
      </c>
      <c r="O514" s="3">
        <v>44740.452059050927</v>
      </c>
      <c r="P514" s="2">
        <v>0</v>
      </c>
      <c r="Q514" s="2" t="s">
        <v>124</v>
      </c>
      <c r="R514" s="2" t="s">
        <v>38</v>
      </c>
      <c r="S514" s="2" t="s">
        <v>35</v>
      </c>
      <c r="T514" s="2" t="s">
        <v>35</v>
      </c>
      <c r="U514" s="2" t="s">
        <v>35</v>
      </c>
      <c r="V514" s="2" t="b">
        <v>0</v>
      </c>
      <c r="W514" s="2" t="s">
        <v>35</v>
      </c>
      <c r="X514" s="2">
        <v>4</v>
      </c>
      <c r="Y514" s="2" t="s">
        <v>35</v>
      </c>
      <c r="Z514" s="2" t="s">
        <v>35</v>
      </c>
    </row>
    <row r="515" spans="1:26" x14ac:dyDescent="0.2">
      <c r="A515" s="2" t="s">
        <v>942</v>
      </c>
      <c r="B515" s="2" t="b">
        <v>0</v>
      </c>
      <c r="C515" s="2" t="b">
        <v>0</v>
      </c>
      <c r="D515" s="2" t="b">
        <v>0</v>
      </c>
      <c r="E515" s="2" t="b">
        <v>0</v>
      </c>
      <c r="F515" s="2" t="s">
        <v>31</v>
      </c>
      <c r="G515" s="2" t="s">
        <v>943</v>
      </c>
      <c r="H515" s="2" t="s">
        <v>944</v>
      </c>
      <c r="I515" s="2" t="s">
        <v>940</v>
      </c>
      <c r="J515" s="2" t="s">
        <v>35</v>
      </c>
      <c r="K515" s="2" t="s">
        <v>35</v>
      </c>
      <c r="L515" s="2" t="s">
        <v>35</v>
      </c>
      <c r="M515" s="2" t="s">
        <v>35</v>
      </c>
      <c r="N515" s="3">
        <v>44740.452408518518</v>
      </c>
      <c r="O515" s="3">
        <v>44740.452614745373</v>
      </c>
      <c r="P515" s="2">
        <v>0</v>
      </c>
      <c r="Q515" s="2" t="s">
        <v>124</v>
      </c>
      <c r="R515" s="2" t="s">
        <v>38</v>
      </c>
      <c r="S515" s="2" t="s">
        <v>35</v>
      </c>
      <c r="T515" s="2" t="s">
        <v>35</v>
      </c>
      <c r="U515" s="2" t="s">
        <v>35</v>
      </c>
      <c r="V515" s="2" t="b">
        <v>0</v>
      </c>
      <c r="W515" s="2" t="s">
        <v>35</v>
      </c>
      <c r="X515" s="2">
        <v>4</v>
      </c>
      <c r="Y515" s="2" t="s">
        <v>35</v>
      </c>
      <c r="Z515" s="2" t="s">
        <v>35</v>
      </c>
    </row>
    <row r="516" spans="1:26" x14ac:dyDescent="0.2">
      <c r="A516" s="2" t="s">
        <v>945</v>
      </c>
      <c r="B516" s="2" t="b">
        <v>0</v>
      </c>
      <c r="C516" s="2" t="b">
        <v>0</v>
      </c>
      <c r="D516" s="2" t="b">
        <v>0</v>
      </c>
      <c r="E516" s="2" t="b">
        <v>0</v>
      </c>
      <c r="F516" s="2" t="s">
        <v>31</v>
      </c>
      <c r="G516" s="2" t="s">
        <v>946</v>
      </c>
      <c r="H516" s="2" t="s">
        <v>947</v>
      </c>
      <c r="I516" s="2" t="s">
        <v>940</v>
      </c>
      <c r="J516" s="2" t="s">
        <v>35</v>
      </c>
      <c r="K516" s="2" t="s">
        <v>35</v>
      </c>
      <c r="L516" s="2" t="s">
        <v>35</v>
      </c>
      <c r="M516" s="2" t="s">
        <v>35</v>
      </c>
      <c r="N516" s="3">
        <v>44740.452987048608</v>
      </c>
      <c r="O516" s="3">
        <v>44740.453242384261</v>
      </c>
      <c r="P516" s="2">
        <v>0</v>
      </c>
      <c r="Q516" s="2" t="s">
        <v>124</v>
      </c>
      <c r="R516" s="2" t="s">
        <v>38</v>
      </c>
      <c r="S516" s="2" t="s">
        <v>35</v>
      </c>
      <c r="T516" s="2" t="s">
        <v>35</v>
      </c>
      <c r="U516" s="2" t="s">
        <v>35</v>
      </c>
      <c r="V516" s="2" t="b">
        <v>0</v>
      </c>
      <c r="W516" s="2" t="s">
        <v>35</v>
      </c>
      <c r="X516" s="2">
        <v>4</v>
      </c>
      <c r="Y516" s="2" t="s">
        <v>35</v>
      </c>
      <c r="Z516" s="2" t="s">
        <v>35</v>
      </c>
    </row>
    <row r="517" spans="1:26" x14ac:dyDescent="0.2">
      <c r="A517" s="2" t="s">
        <v>948</v>
      </c>
      <c r="B517" s="2" t="b">
        <v>0</v>
      </c>
      <c r="C517" s="2" t="b">
        <v>0</v>
      </c>
      <c r="D517" s="2" t="b">
        <v>0</v>
      </c>
      <c r="E517" s="2" t="b">
        <v>0</v>
      </c>
      <c r="F517" s="2" t="s">
        <v>31</v>
      </c>
      <c r="G517" s="2" t="s">
        <v>949</v>
      </c>
      <c r="H517" s="2" t="s">
        <v>950</v>
      </c>
      <c r="I517" s="2" t="s">
        <v>940</v>
      </c>
      <c r="J517" s="2" t="s">
        <v>35</v>
      </c>
      <c r="K517" s="2" t="s">
        <v>35</v>
      </c>
      <c r="L517" s="2" t="s">
        <v>35</v>
      </c>
      <c r="M517" s="2" t="s">
        <v>35</v>
      </c>
      <c r="N517" s="3">
        <v>44740.454233101853</v>
      </c>
      <c r="O517" s="3">
        <v>44740.454411990744</v>
      </c>
      <c r="P517" s="2">
        <v>0</v>
      </c>
      <c r="Q517" s="2" t="s">
        <v>124</v>
      </c>
      <c r="R517" s="2" t="s">
        <v>38</v>
      </c>
      <c r="S517" s="2" t="s">
        <v>35</v>
      </c>
      <c r="T517" s="2" t="s">
        <v>35</v>
      </c>
      <c r="U517" s="2" t="s">
        <v>35</v>
      </c>
      <c r="V517" s="2" t="b">
        <v>0</v>
      </c>
      <c r="W517" s="2" t="s">
        <v>35</v>
      </c>
      <c r="X517" s="2">
        <v>4</v>
      </c>
      <c r="Y517" s="2" t="s">
        <v>35</v>
      </c>
      <c r="Z517" s="2" t="s">
        <v>35</v>
      </c>
    </row>
    <row r="518" spans="1:26" x14ac:dyDescent="0.2">
      <c r="A518" s="2" t="s">
        <v>951</v>
      </c>
      <c r="B518" s="2" t="b">
        <v>0</v>
      </c>
      <c r="C518" s="2" t="b">
        <v>0</v>
      </c>
      <c r="D518" s="2" t="b">
        <v>0</v>
      </c>
      <c r="E518" s="2" t="b">
        <v>0</v>
      </c>
      <c r="F518" s="2" t="s">
        <v>31</v>
      </c>
      <c r="G518" s="2" t="s">
        <v>149</v>
      </c>
      <c r="H518" s="2" t="s">
        <v>952</v>
      </c>
      <c r="I518" s="2" t="s">
        <v>940</v>
      </c>
      <c r="J518" s="2" t="s">
        <v>35</v>
      </c>
      <c r="K518" s="2" t="s">
        <v>35</v>
      </c>
      <c r="L518" s="2" t="s">
        <v>35</v>
      </c>
      <c r="M518" s="2" t="s">
        <v>35</v>
      </c>
      <c r="N518" s="3">
        <v>44740.454495787038</v>
      </c>
      <c r="O518" s="3">
        <v>44740.454676655092</v>
      </c>
      <c r="P518" s="2">
        <v>0</v>
      </c>
      <c r="Q518" s="2" t="s">
        <v>124</v>
      </c>
      <c r="R518" s="2" t="s">
        <v>38</v>
      </c>
      <c r="S518" s="2" t="s">
        <v>35</v>
      </c>
      <c r="T518" s="2" t="s">
        <v>35</v>
      </c>
      <c r="U518" s="2" t="s">
        <v>35</v>
      </c>
      <c r="V518" s="2" t="b">
        <v>0</v>
      </c>
      <c r="W518" s="2" t="s">
        <v>35</v>
      </c>
      <c r="X518" s="2">
        <v>4</v>
      </c>
      <c r="Y518" s="2" t="s">
        <v>35</v>
      </c>
      <c r="Z518" s="2" t="s">
        <v>35</v>
      </c>
    </row>
    <row r="519" spans="1:26" x14ac:dyDescent="0.2">
      <c r="A519" s="2" t="s">
        <v>953</v>
      </c>
      <c r="B519" s="2" t="b">
        <v>0</v>
      </c>
      <c r="C519" s="2" t="b">
        <v>0</v>
      </c>
      <c r="D519" s="2" t="b">
        <v>0</v>
      </c>
      <c r="E519" s="2" t="b">
        <v>0</v>
      </c>
      <c r="F519" s="2" t="s">
        <v>31</v>
      </c>
      <c r="G519" s="2" t="s">
        <v>954</v>
      </c>
      <c r="H519" s="2" t="s">
        <v>955</v>
      </c>
      <c r="I519" s="2" t="s">
        <v>956</v>
      </c>
      <c r="J519" s="2" t="s">
        <v>35</v>
      </c>
      <c r="K519" s="2" t="s">
        <v>35</v>
      </c>
      <c r="L519" s="2" t="s">
        <v>35</v>
      </c>
      <c r="M519" s="2" t="s">
        <v>35</v>
      </c>
      <c r="N519" s="3">
        <v>44740.455151423608</v>
      </c>
      <c r="O519" s="3">
        <v>44740.455473506947</v>
      </c>
      <c r="P519" s="2">
        <v>0</v>
      </c>
      <c r="Q519" s="2" t="s">
        <v>124</v>
      </c>
      <c r="R519" s="2" t="s">
        <v>38</v>
      </c>
      <c r="S519" s="2" t="s">
        <v>35</v>
      </c>
      <c r="T519" s="2" t="s">
        <v>35</v>
      </c>
      <c r="U519" s="2" t="s">
        <v>35</v>
      </c>
      <c r="V519" s="2" t="b">
        <v>0</v>
      </c>
      <c r="W519" s="2" t="s">
        <v>35</v>
      </c>
      <c r="X519" s="2">
        <v>4</v>
      </c>
      <c r="Y519" s="2" t="s">
        <v>35</v>
      </c>
      <c r="Z519" s="2" t="s">
        <v>35</v>
      </c>
    </row>
    <row r="520" spans="1:26" x14ac:dyDescent="0.2">
      <c r="A520" s="2" t="s">
        <v>957</v>
      </c>
      <c r="B520" s="2" t="b">
        <v>0</v>
      </c>
      <c r="C520" s="2" t="b">
        <v>0</v>
      </c>
      <c r="D520" s="2" t="b">
        <v>0</v>
      </c>
      <c r="E520" s="2" t="b">
        <v>0</v>
      </c>
      <c r="F520" s="2" t="s">
        <v>31</v>
      </c>
      <c r="G520" s="2" t="s">
        <v>958</v>
      </c>
      <c r="H520" s="2" t="s">
        <v>959</v>
      </c>
      <c r="I520" s="2" t="s">
        <v>940</v>
      </c>
      <c r="J520" s="2" t="s">
        <v>35</v>
      </c>
      <c r="K520" s="2" t="s">
        <v>35</v>
      </c>
      <c r="L520" s="2" t="s">
        <v>35</v>
      </c>
      <c r="M520" s="2" t="s">
        <v>35</v>
      </c>
      <c r="N520" s="3">
        <v>44740.455632129633</v>
      </c>
      <c r="O520" s="3">
        <v>44740.455861203707</v>
      </c>
      <c r="P520" s="2">
        <v>0</v>
      </c>
      <c r="Q520" s="2" t="s">
        <v>124</v>
      </c>
      <c r="R520" s="2" t="s">
        <v>38</v>
      </c>
      <c r="S520" s="2" t="s">
        <v>35</v>
      </c>
      <c r="T520" s="2" t="s">
        <v>35</v>
      </c>
      <c r="U520" s="2" t="s">
        <v>35</v>
      </c>
      <c r="V520" s="2" t="b">
        <v>0</v>
      </c>
      <c r="W520" s="2" t="s">
        <v>35</v>
      </c>
      <c r="X520" s="2">
        <v>4</v>
      </c>
      <c r="Y520" s="2" t="s">
        <v>35</v>
      </c>
      <c r="Z520" s="2" t="s">
        <v>35</v>
      </c>
    </row>
    <row r="521" spans="1:26" x14ac:dyDescent="0.2">
      <c r="A521" s="2" t="s">
        <v>960</v>
      </c>
      <c r="B521" s="2" t="b">
        <v>0</v>
      </c>
      <c r="C521" s="2" t="b">
        <v>0</v>
      </c>
      <c r="D521" s="2" t="b">
        <v>0</v>
      </c>
      <c r="E521" s="2" t="b">
        <v>0</v>
      </c>
      <c r="F521" s="2" t="s">
        <v>31</v>
      </c>
      <c r="G521" s="2" t="s">
        <v>961</v>
      </c>
      <c r="H521" s="2" t="s">
        <v>962</v>
      </c>
      <c r="I521" s="2" t="s">
        <v>940</v>
      </c>
      <c r="J521" s="2" t="s">
        <v>35</v>
      </c>
      <c r="K521" s="2" t="s">
        <v>35</v>
      </c>
      <c r="L521" s="2" t="s">
        <v>35</v>
      </c>
      <c r="M521" s="2" t="s">
        <v>35</v>
      </c>
      <c r="N521" s="3">
        <v>44740.456147719909</v>
      </c>
      <c r="O521" s="3">
        <v>44740.456453472223</v>
      </c>
      <c r="P521" s="2">
        <v>0</v>
      </c>
      <c r="Q521" s="2" t="s">
        <v>124</v>
      </c>
      <c r="R521" s="2" t="s">
        <v>38</v>
      </c>
      <c r="S521" s="2" t="s">
        <v>35</v>
      </c>
      <c r="T521" s="2" t="s">
        <v>35</v>
      </c>
      <c r="U521" s="2" t="s">
        <v>35</v>
      </c>
      <c r="V521" s="2" t="b">
        <v>0</v>
      </c>
      <c r="W521" s="2" t="s">
        <v>35</v>
      </c>
      <c r="X521" s="2">
        <v>4</v>
      </c>
      <c r="Y521" s="2" t="s">
        <v>35</v>
      </c>
      <c r="Z521" s="2" t="s">
        <v>35</v>
      </c>
    </row>
    <row r="522" spans="1:26" x14ac:dyDescent="0.2">
      <c r="A522" s="2" t="s">
        <v>963</v>
      </c>
      <c r="B522" s="2" t="b">
        <v>0</v>
      </c>
      <c r="C522" s="2" t="b">
        <v>0</v>
      </c>
      <c r="D522" s="2" t="b">
        <v>0</v>
      </c>
      <c r="E522" s="2" t="b">
        <v>0</v>
      </c>
      <c r="F522" s="2" t="s">
        <v>31</v>
      </c>
      <c r="G522" s="2" t="s">
        <v>964</v>
      </c>
      <c r="H522" s="2" t="s">
        <v>965</v>
      </c>
      <c r="I522" s="2" t="s">
        <v>35</v>
      </c>
      <c r="J522" s="2" t="s">
        <v>35</v>
      </c>
      <c r="K522" s="2" t="s">
        <v>35</v>
      </c>
      <c r="L522" s="2" t="s">
        <v>35</v>
      </c>
      <c r="M522" s="2" t="s">
        <v>35</v>
      </c>
      <c r="N522" s="3">
        <v>44740.459044907409</v>
      </c>
      <c r="O522" s="3">
        <v>44740.459317731482</v>
      </c>
      <c r="P522" s="2">
        <v>0</v>
      </c>
      <c r="Q522" s="2" t="s">
        <v>36</v>
      </c>
      <c r="R522" s="2" t="s">
        <v>38</v>
      </c>
      <c r="S522" s="2" t="s">
        <v>35</v>
      </c>
      <c r="T522" s="2" t="s">
        <v>35</v>
      </c>
      <c r="U522" s="2" t="s">
        <v>35</v>
      </c>
      <c r="V522" s="2" t="b">
        <v>0</v>
      </c>
      <c r="W522" s="2" t="s">
        <v>35</v>
      </c>
      <c r="X522" s="2" t="s">
        <v>35</v>
      </c>
      <c r="Y522" s="2" t="s">
        <v>35</v>
      </c>
      <c r="Z522" s="2">
        <v>2</v>
      </c>
    </row>
    <row r="523" spans="1:26" x14ac:dyDescent="0.2">
      <c r="A523" s="2" t="s">
        <v>966</v>
      </c>
      <c r="B523" s="2" t="b">
        <v>0</v>
      </c>
      <c r="C523" s="2" t="b">
        <v>0</v>
      </c>
      <c r="D523" s="2" t="b">
        <v>0</v>
      </c>
      <c r="E523" s="2" t="b">
        <v>0</v>
      </c>
      <c r="F523" s="2" t="s">
        <v>31</v>
      </c>
      <c r="G523" s="2" t="s">
        <v>967</v>
      </c>
      <c r="H523" s="2" t="s">
        <v>968</v>
      </c>
      <c r="I523" s="2" t="s">
        <v>969</v>
      </c>
      <c r="J523" s="2" t="s">
        <v>35</v>
      </c>
      <c r="K523" s="2" t="s">
        <v>35</v>
      </c>
      <c r="L523" s="2" t="s">
        <v>35</v>
      </c>
      <c r="M523" s="2" t="s">
        <v>35</v>
      </c>
      <c r="N523" s="3">
        <v>44740.459686782408</v>
      </c>
      <c r="O523" s="3">
        <v>44740.460035555552</v>
      </c>
      <c r="P523" s="2">
        <v>0</v>
      </c>
      <c r="Q523" s="2" t="s">
        <v>124</v>
      </c>
      <c r="R523" s="2" t="s">
        <v>38</v>
      </c>
      <c r="S523" s="2" t="s">
        <v>35</v>
      </c>
      <c r="T523" s="2" t="s">
        <v>35</v>
      </c>
      <c r="U523" s="2" t="s">
        <v>35</v>
      </c>
      <c r="V523" s="2" t="b">
        <v>0</v>
      </c>
      <c r="W523" s="2" t="s">
        <v>35</v>
      </c>
      <c r="X523" s="2">
        <v>4</v>
      </c>
      <c r="Y523" s="2" t="s">
        <v>35</v>
      </c>
      <c r="Z523" s="2" t="s">
        <v>35</v>
      </c>
    </row>
    <row r="524" spans="1:26" x14ac:dyDescent="0.2">
      <c r="A524" s="2" t="s">
        <v>970</v>
      </c>
      <c r="B524" s="2" t="b">
        <v>0</v>
      </c>
      <c r="C524" s="2" t="b">
        <v>0</v>
      </c>
      <c r="D524" s="2" t="b">
        <v>0</v>
      </c>
      <c r="E524" s="2" t="b">
        <v>0</v>
      </c>
      <c r="F524" s="2" t="s">
        <v>31</v>
      </c>
      <c r="G524" s="2" t="s">
        <v>971</v>
      </c>
      <c r="H524" s="2" t="s">
        <v>972</v>
      </c>
      <c r="I524" s="2" t="s">
        <v>940</v>
      </c>
      <c r="J524" s="2" t="s">
        <v>35</v>
      </c>
      <c r="K524" s="2" t="s">
        <v>35</v>
      </c>
      <c r="L524" s="2" t="s">
        <v>35</v>
      </c>
      <c r="M524" s="2" t="s">
        <v>35</v>
      </c>
      <c r="N524" s="3">
        <v>44740.460553888886</v>
      </c>
      <c r="O524" s="3">
        <v>44740.460740671297</v>
      </c>
      <c r="P524" s="2">
        <v>0</v>
      </c>
      <c r="Q524" s="2" t="s">
        <v>124</v>
      </c>
      <c r="R524" s="2" t="s">
        <v>38</v>
      </c>
      <c r="S524" s="2" t="s">
        <v>35</v>
      </c>
      <c r="T524" s="2" t="s">
        <v>35</v>
      </c>
      <c r="U524" s="2" t="s">
        <v>35</v>
      </c>
      <c r="V524" s="2" t="b">
        <v>0</v>
      </c>
      <c r="W524" s="2" t="s">
        <v>35</v>
      </c>
      <c r="X524" s="2">
        <v>4</v>
      </c>
      <c r="Y524" s="2" t="s">
        <v>35</v>
      </c>
      <c r="Z524" s="2" t="s">
        <v>35</v>
      </c>
    </row>
    <row r="525" spans="1:26" x14ac:dyDescent="0.2">
      <c r="A525" s="2" t="s">
        <v>973</v>
      </c>
      <c r="B525" s="2" t="b">
        <v>0</v>
      </c>
      <c r="C525" s="2" t="b">
        <v>0</v>
      </c>
      <c r="D525" s="2" t="b">
        <v>0</v>
      </c>
      <c r="E525" s="2" t="b">
        <v>0</v>
      </c>
      <c r="F525" s="2" t="s">
        <v>31</v>
      </c>
      <c r="G525" s="2" t="s">
        <v>974</v>
      </c>
      <c r="H525" s="2" t="s">
        <v>975</v>
      </c>
      <c r="I525" s="2" t="s">
        <v>35</v>
      </c>
      <c r="J525" s="2" t="s">
        <v>35</v>
      </c>
      <c r="K525" s="2" t="s">
        <v>35</v>
      </c>
      <c r="L525" s="2">
        <v>25</v>
      </c>
      <c r="M525" s="2">
        <v>16</v>
      </c>
      <c r="N525" s="3">
        <v>44740.462459942129</v>
      </c>
      <c r="O525" s="3">
        <v>44740.46523021991</v>
      </c>
      <c r="P525" s="2">
        <v>0</v>
      </c>
      <c r="Q525" s="2" t="s">
        <v>54</v>
      </c>
      <c r="R525" s="2" t="s">
        <v>38</v>
      </c>
      <c r="S525" s="2" t="s">
        <v>35</v>
      </c>
      <c r="T525" s="2" t="s">
        <v>35</v>
      </c>
      <c r="U525" s="2" t="s">
        <v>35</v>
      </c>
      <c r="V525" s="2" t="b">
        <v>0</v>
      </c>
      <c r="W525" s="2" t="s">
        <v>35</v>
      </c>
      <c r="X525" s="2" t="s">
        <v>35</v>
      </c>
      <c r="Y525" s="2" t="s">
        <v>35</v>
      </c>
      <c r="Z525" s="2" t="s">
        <v>35</v>
      </c>
    </row>
    <row r="526" spans="1:26" x14ac:dyDescent="0.2">
      <c r="A526" s="2" t="s">
        <v>976</v>
      </c>
      <c r="B526" s="2" t="b">
        <v>0</v>
      </c>
      <c r="C526" s="2" t="b">
        <v>0</v>
      </c>
      <c r="D526" s="2" t="b">
        <v>0</v>
      </c>
      <c r="E526" s="2" t="b">
        <v>0</v>
      </c>
      <c r="F526" s="2" t="s">
        <v>121</v>
      </c>
      <c r="G526" s="2" t="s">
        <v>977</v>
      </c>
      <c r="H526" s="2" t="s">
        <v>978</v>
      </c>
      <c r="I526" s="2" t="s">
        <v>119</v>
      </c>
      <c r="J526" s="2" t="s">
        <v>35</v>
      </c>
      <c r="K526" s="2" t="s">
        <v>35</v>
      </c>
      <c r="L526" s="2" t="s">
        <v>35</v>
      </c>
      <c r="M526" s="2" t="s">
        <v>35</v>
      </c>
      <c r="N526" s="3">
        <v>44740.46527883102</v>
      </c>
      <c r="O526" s="3">
        <v>44740.465843252314</v>
      </c>
      <c r="P526" s="2">
        <v>0</v>
      </c>
      <c r="Q526" s="2" t="s">
        <v>109</v>
      </c>
      <c r="R526" s="2" t="s">
        <v>38</v>
      </c>
      <c r="S526" s="2" t="s">
        <v>35</v>
      </c>
      <c r="T526" s="2">
        <v>0</v>
      </c>
      <c r="U526" s="2" t="s">
        <v>979</v>
      </c>
      <c r="V526" s="2" t="b">
        <v>0</v>
      </c>
      <c r="W526" s="2" t="s">
        <v>35</v>
      </c>
      <c r="X526" s="2" t="s">
        <v>35</v>
      </c>
      <c r="Y526" s="2" t="s">
        <v>35</v>
      </c>
      <c r="Z526" s="2" t="s">
        <v>35</v>
      </c>
    </row>
    <row r="527" spans="1:26" x14ac:dyDescent="0.2">
      <c r="A527" s="2" t="s">
        <v>980</v>
      </c>
      <c r="B527" s="2" t="b">
        <v>0</v>
      </c>
      <c r="C527" s="2" t="b">
        <v>0</v>
      </c>
      <c r="D527" s="2" t="b">
        <v>0</v>
      </c>
      <c r="E527" s="2" t="b">
        <v>0</v>
      </c>
      <c r="F527" s="2" t="s">
        <v>31</v>
      </c>
      <c r="G527" s="2" t="s">
        <v>981</v>
      </c>
      <c r="H527" s="2" t="s">
        <v>982</v>
      </c>
      <c r="I527" s="2" t="s">
        <v>35</v>
      </c>
      <c r="J527" s="2" t="s">
        <v>35</v>
      </c>
      <c r="K527" s="2" t="s">
        <v>35</v>
      </c>
      <c r="L527" s="2" t="s">
        <v>35</v>
      </c>
      <c r="M527" s="2" t="s">
        <v>35</v>
      </c>
      <c r="N527" s="3">
        <v>44740.468285625</v>
      </c>
      <c r="O527" s="3">
        <v>44740.46851697917</v>
      </c>
      <c r="P527" s="2">
        <v>0</v>
      </c>
      <c r="Q527" s="2" t="s">
        <v>36</v>
      </c>
      <c r="R527" s="2" t="s">
        <v>38</v>
      </c>
      <c r="S527" s="2" t="s">
        <v>35</v>
      </c>
      <c r="T527" s="2" t="s">
        <v>35</v>
      </c>
      <c r="U527" s="2" t="s">
        <v>35</v>
      </c>
      <c r="V527" s="2" t="b">
        <v>0</v>
      </c>
      <c r="W527" s="2" t="s">
        <v>35</v>
      </c>
      <c r="X527" s="2" t="s">
        <v>35</v>
      </c>
      <c r="Y527" s="2" t="s">
        <v>35</v>
      </c>
      <c r="Z527" s="2">
        <v>2</v>
      </c>
    </row>
    <row r="528" spans="1:26" x14ac:dyDescent="0.2">
      <c r="A528" s="2" t="s">
        <v>983</v>
      </c>
      <c r="B528" s="2" t="b">
        <v>0</v>
      </c>
      <c r="C528" s="2" t="b">
        <v>0</v>
      </c>
      <c r="D528" s="2" t="b">
        <v>0</v>
      </c>
      <c r="E528" s="2" t="b">
        <v>0</v>
      </c>
      <c r="F528" s="2" t="s">
        <v>31</v>
      </c>
      <c r="G528" s="2" t="s">
        <v>984</v>
      </c>
      <c r="H528" s="2" t="s">
        <v>985</v>
      </c>
      <c r="I528" s="2" t="s">
        <v>35</v>
      </c>
      <c r="J528" s="2" t="s">
        <v>35</v>
      </c>
      <c r="K528" s="2" t="s">
        <v>35</v>
      </c>
      <c r="L528" s="2" t="s">
        <v>35</v>
      </c>
      <c r="M528" s="2" t="s">
        <v>35</v>
      </c>
      <c r="N528" s="3">
        <v>44740.473271840281</v>
      </c>
      <c r="O528" s="3">
        <v>44740.473557627316</v>
      </c>
      <c r="P528" s="2">
        <v>0</v>
      </c>
      <c r="Q528" s="2" t="s">
        <v>109</v>
      </c>
      <c r="R528" s="2" t="s">
        <v>38</v>
      </c>
      <c r="S528" s="2" t="s">
        <v>35</v>
      </c>
      <c r="T528" s="2">
        <v>0</v>
      </c>
      <c r="U528" s="2" t="s">
        <v>979</v>
      </c>
      <c r="V528" s="2" t="b">
        <v>0</v>
      </c>
      <c r="W528" s="2" t="s">
        <v>35</v>
      </c>
      <c r="X528" s="2" t="s">
        <v>35</v>
      </c>
      <c r="Y528" s="2" t="s">
        <v>35</v>
      </c>
      <c r="Z528" s="2" t="s">
        <v>35</v>
      </c>
    </row>
    <row r="529" spans="1:26" x14ac:dyDescent="0.2">
      <c r="A529" s="2" t="s">
        <v>986</v>
      </c>
      <c r="B529" s="2" t="b">
        <v>0</v>
      </c>
      <c r="C529" s="2" t="b">
        <v>0</v>
      </c>
      <c r="D529" s="2" t="b">
        <v>0</v>
      </c>
      <c r="E529" s="2" t="b">
        <v>0</v>
      </c>
      <c r="F529" s="2" t="s">
        <v>31</v>
      </c>
      <c r="G529" s="2" t="s">
        <v>987</v>
      </c>
      <c r="H529" s="2" t="s">
        <v>988</v>
      </c>
      <c r="I529" s="2" t="s">
        <v>35</v>
      </c>
      <c r="J529" s="2" t="s">
        <v>35</v>
      </c>
      <c r="K529" s="2" t="s">
        <v>35</v>
      </c>
      <c r="L529" s="2" t="s">
        <v>35</v>
      </c>
      <c r="M529" s="2" t="s">
        <v>35</v>
      </c>
      <c r="N529" s="3">
        <v>44740.475054699076</v>
      </c>
      <c r="O529" s="3">
        <v>44740.4752853588</v>
      </c>
      <c r="P529" s="2">
        <v>0</v>
      </c>
      <c r="Q529" s="2" t="s">
        <v>36</v>
      </c>
      <c r="R529" s="2" t="s">
        <v>38</v>
      </c>
      <c r="S529" s="2" t="s">
        <v>35</v>
      </c>
      <c r="T529" s="2" t="s">
        <v>35</v>
      </c>
      <c r="U529" s="2" t="s">
        <v>35</v>
      </c>
      <c r="V529" s="2" t="b">
        <v>0</v>
      </c>
      <c r="W529" s="2" t="s">
        <v>35</v>
      </c>
      <c r="X529" s="2" t="s">
        <v>35</v>
      </c>
      <c r="Y529" s="2" t="s">
        <v>35</v>
      </c>
      <c r="Z529" s="2">
        <v>2</v>
      </c>
    </row>
    <row r="530" spans="1:26" x14ac:dyDescent="0.2">
      <c r="A530" s="2" t="s">
        <v>989</v>
      </c>
      <c r="B530" s="2" t="b">
        <v>0</v>
      </c>
      <c r="C530" s="2" t="b">
        <v>0</v>
      </c>
      <c r="D530" s="2" t="b">
        <v>0</v>
      </c>
      <c r="E530" s="2" t="b">
        <v>0</v>
      </c>
      <c r="F530" s="2" t="s">
        <v>31</v>
      </c>
      <c r="G530" s="2" t="s">
        <v>990</v>
      </c>
      <c r="H530" s="2" t="s">
        <v>991</v>
      </c>
      <c r="I530" s="2" t="s">
        <v>940</v>
      </c>
      <c r="J530" s="2" t="s">
        <v>35</v>
      </c>
      <c r="K530" s="2" t="s">
        <v>35</v>
      </c>
      <c r="L530" s="2" t="s">
        <v>35</v>
      </c>
      <c r="M530" s="2" t="s">
        <v>35</v>
      </c>
      <c r="N530" s="3">
        <v>44740.475649456021</v>
      </c>
      <c r="O530" s="3">
        <v>44740.475853368058</v>
      </c>
      <c r="P530" s="2">
        <v>0</v>
      </c>
      <c r="Q530" s="2" t="s">
        <v>124</v>
      </c>
      <c r="R530" s="2" t="s">
        <v>38</v>
      </c>
      <c r="S530" s="2" t="s">
        <v>35</v>
      </c>
      <c r="T530" s="2" t="s">
        <v>35</v>
      </c>
      <c r="U530" s="2" t="s">
        <v>35</v>
      </c>
      <c r="V530" s="2" t="b">
        <v>0</v>
      </c>
      <c r="W530" s="2" t="s">
        <v>35</v>
      </c>
      <c r="X530" s="2">
        <v>4</v>
      </c>
      <c r="Y530" s="2" t="s">
        <v>35</v>
      </c>
      <c r="Z530" s="2" t="s">
        <v>35</v>
      </c>
    </row>
    <row r="531" spans="1:26" x14ac:dyDescent="0.2">
      <c r="A531" s="2" t="s">
        <v>992</v>
      </c>
      <c r="B531" s="2" t="b">
        <v>0</v>
      </c>
      <c r="C531" s="2" t="b">
        <v>0</v>
      </c>
      <c r="D531" s="2" t="b">
        <v>0</v>
      </c>
      <c r="E531" s="2" t="b">
        <v>0</v>
      </c>
      <c r="F531" s="2" t="s">
        <v>31</v>
      </c>
      <c r="G531" s="2" t="s">
        <v>993</v>
      </c>
      <c r="H531" s="2" t="s">
        <v>994</v>
      </c>
      <c r="I531" s="2" t="s">
        <v>35</v>
      </c>
      <c r="J531" s="2" t="s">
        <v>35</v>
      </c>
      <c r="K531" s="2" t="s">
        <v>35</v>
      </c>
      <c r="L531" s="2" t="s">
        <v>35</v>
      </c>
      <c r="M531" s="2" t="s">
        <v>35</v>
      </c>
      <c r="N531" s="3">
        <v>44740.476735358796</v>
      </c>
      <c r="O531" s="3">
        <v>44740.476877986112</v>
      </c>
      <c r="P531" s="2">
        <v>0</v>
      </c>
      <c r="Q531" s="2" t="s">
        <v>36</v>
      </c>
      <c r="R531" s="2" t="s">
        <v>38</v>
      </c>
      <c r="S531" s="2" t="s">
        <v>35</v>
      </c>
      <c r="T531" s="2" t="s">
        <v>35</v>
      </c>
      <c r="U531" s="2" t="s">
        <v>35</v>
      </c>
      <c r="V531" s="2" t="b">
        <v>0</v>
      </c>
      <c r="W531" s="2" t="s">
        <v>35</v>
      </c>
      <c r="X531" s="2" t="s">
        <v>35</v>
      </c>
      <c r="Y531" s="2" t="s">
        <v>35</v>
      </c>
      <c r="Z531" s="2">
        <v>2</v>
      </c>
    </row>
    <row r="532" spans="1:26" x14ac:dyDescent="0.2">
      <c r="A532" s="2" t="s">
        <v>995</v>
      </c>
      <c r="B532" s="2" t="b">
        <v>0</v>
      </c>
      <c r="C532" s="2" t="b">
        <v>0</v>
      </c>
      <c r="D532" s="2" t="b">
        <v>0</v>
      </c>
      <c r="E532" s="2" t="b">
        <v>0</v>
      </c>
      <c r="F532" s="2" t="s">
        <v>31</v>
      </c>
      <c r="G532" s="2" t="s">
        <v>996</v>
      </c>
      <c r="H532" s="2" t="s">
        <v>997</v>
      </c>
      <c r="I532" s="2" t="s">
        <v>35</v>
      </c>
      <c r="J532" s="2" t="s">
        <v>35</v>
      </c>
      <c r="K532" s="2" t="s">
        <v>35</v>
      </c>
      <c r="L532" s="2" t="s">
        <v>35</v>
      </c>
      <c r="M532" s="2" t="s">
        <v>35</v>
      </c>
      <c r="N532" s="3">
        <v>44740.47823177083</v>
      </c>
      <c r="O532" s="3">
        <v>44740.47840709491</v>
      </c>
      <c r="P532" s="2">
        <v>0</v>
      </c>
      <c r="Q532" s="2" t="s">
        <v>36</v>
      </c>
      <c r="R532" s="2" t="s">
        <v>38</v>
      </c>
      <c r="S532" s="2" t="s">
        <v>35</v>
      </c>
      <c r="T532" s="2" t="s">
        <v>35</v>
      </c>
      <c r="U532" s="2" t="s">
        <v>35</v>
      </c>
      <c r="V532" s="2" t="b">
        <v>0</v>
      </c>
      <c r="W532" s="2" t="s">
        <v>35</v>
      </c>
      <c r="X532" s="2" t="s">
        <v>35</v>
      </c>
      <c r="Y532" s="2" t="s">
        <v>35</v>
      </c>
      <c r="Z532" s="2">
        <v>5</v>
      </c>
    </row>
    <row r="533" spans="1:26" x14ac:dyDescent="0.2">
      <c r="A533" s="2" t="s">
        <v>998</v>
      </c>
      <c r="B533" s="2" t="b">
        <v>0</v>
      </c>
      <c r="C533" s="2" t="b">
        <v>0</v>
      </c>
      <c r="D533" s="2" t="b">
        <v>0</v>
      </c>
      <c r="E533" s="2" t="b">
        <v>0</v>
      </c>
      <c r="F533" s="2" t="s">
        <v>31</v>
      </c>
      <c r="G533" s="2" t="s">
        <v>999</v>
      </c>
      <c r="H533" s="2" t="s">
        <v>1000</v>
      </c>
      <c r="I533" s="2" t="s">
        <v>35</v>
      </c>
      <c r="J533" s="2" t="s">
        <v>35</v>
      </c>
      <c r="K533" s="2" t="s">
        <v>35</v>
      </c>
      <c r="L533" s="2" t="s">
        <v>35</v>
      </c>
      <c r="M533" s="2" t="s">
        <v>35</v>
      </c>
      <c r="N533" s="3">
        <v>44740.479016018522</v>
      </c>
      <c r="O533" s="3">
        <v>44740.479122662036</v>
      </c>
      <c r="P533" s="2">
        <v>0</v>
      </c>
      <c r="Q533" s="2" t="s">
        <v>36</v>
      </c>
      <c r="R533" s="2" t="s">
        <v>38</v>
      </c>
      <c r="S533" s="2" t="s">
        <v>35</v>
      </c>
      <c r="T533" s="2" t="s">
        <v>35</v>
      </c>
      <c r="U533" s="2" t="s">
        <v>35</v>
      </c>
      <c r="V533" s="2" t="b">
        <v>0</v>
      </c>
      <c r="W533" s="2" t="s">
        <v>35</v>
      </c>
      <c r="X533" s="2" t="s">
        <v>35</v>
      </c>
      <c r="Y533" s="2" t="s">
        <v>35</v>
      </c>
      <c r="Z533" s="2">
        <v>5</v>
      </c>
    </row>
    <row r="534" spans="1:26" x14ac:dyDescent="0.2">
      <c r="A534" s="2" t="s">
        <v>1001</v>
      </c>
      <c r="B534" s="2" t="b">
        <v>0</v>
      </c>
      <c r="C534" s="2" t="b">
        <v>0</v>
      </c>
      <c r="D534" s="2" t="b">
        <v>0</v>
      </c>
      <c r="E534" s="2" t="b">
        <v>0</v>
      </c>
      <c r="F534" s="2" t="s">
        <v>31</v>
      </c>
      <c r="G534" s="2" t="s">
        <v>1002</v>
      </c>
      <c r="H534" s="2" t="s">
        <v>1003</v>
      </c>
      <c r="I534" s="2" t="s">
        <v>1004</v>
      </c>
      <c r="J534" s="2" t="s">
        <v>35</v>
      </c>
      <c r="K534" s="2" t="s">
        <v>35</v>
      </c>
      <c r="L534" s="2" t="s">
        <v>35</v>
      </c>
      <c r="M534" s="2" t="s">
        <v>35</v>
      </c>
      <c r="N534" s="3">
        <v>44740.481651076392</v>
      </c>
      <c r="O534" s="3">
        <v>44740.481877372687</v>
      </c>
      <c r="P534" s="2">
        <v>0</v>
      </c>
      <c r="Q534" s="2" t="s">
        <v>36</v>
      </c>
      <c r="R534" s="2" t="s">
        <v>38</v>
      </c>
      <c r="S534" s="2" t="s">
        <v>35</v>
      </c>
      <c r="T534" s="2" t="s">
        <v>35</v>
      </c>
      <c r="U534" s="2" t="s">
        <v>35</v>
      </c>
      <c r="V534" s="2" t="b">
        <v>0</v>
      </c>
      <c r="W534" s="2" t="s">
        <v>35</v>
      </c>
      <c r="X534" s="2" t="s">
        <v>35</v>
      </c>
      <c r="Y534" s="2">
        <v>5</v>
      </c>
      <c r="Z534" s="2" t="s">
        <v>35</v>
      </c>
    </row>
    <row r="535" spans="1:26" x14ac:dyDescent="0.2">
      <c r="A535" s="2" t="s">
        <v>1005</v>
      </c>
      <c r="B535" s="2" t="b">
        <v>0</v>
      </c>
      <c r="C535" s="2" t="b">
        <v>0</v>
      </c>
      <c r="D535" s="2" t="b">
        <v>0</v>
      </c>
      <c r="E535" s="2" t="b">
        <v>0</v>
      </c>
      <c r="F535" s="2" t="s">
        <v>31</v>
      </c>
      <c r="G535" s="2" t="s">
        <v>1006</v>
      </c>
      <c r="H535" s="2" t="s">
        <v>1007</v>
      </c>
      <c r="I535" s="2" t="s">
        <v>35</v>
      </c>
      <c r="J535" s="2" t="s">
        <v>35</v>
      </c>
      <c r="K535" s="2" t="s">
        <v>35</v>
      </c>
      <c r="L535" s="2" t="s">
        <v>35</v>
      </c>
      <c r="M535" s="2" t="s">
        <v>35</v>
      </c>
      <c r="N535" s="3">
        <v>44740.483220023147</v>
      </c>
      <c r="O535" s="3">
        <v>44740.483433912035</v>
      </c>
      <c r="P535" s="2">
        <v>0</v>
      </c>
      <c r="Q535" s="2" t="s">
        <v>36</v>
      </c>
      <c r="R535" s="2" t="s">
        <v>38</v>
      </c>
      <c r="S535" s="2" t="s">
        <v>35</v>
      </c>
      <c r="T535" s="2" t="s">
        <v>35</v>
      </c>
      <c r="U535" s="2" t="s">
        <v>35</v>
      </c>
      <c r="V535" s="2" t="b">
        <v>0</v>
      </c>
      <c r="W535" s="2" t="s">
        <v>1008</v>
      </c>
      <c r="X535" s="2" t="s">
        <v>35</v>
      </c>
      <c r="Y535" s="2" t="s">
        <v>35</v>
      </c>
      <c r="Z535" s="2" t="s">
        <v>35</v>
      </c>
    </row>
    <row r="536" spans="1:26" x14ac:dyDescent="0.2">
      <c r="A536" s="2" t="s">
        <v>1009</v>
      </c>
      <c r="B536" s="2" t="b">
        <v>0</v>
      </c>
      <c r="C536" s="2" t="b">
        <v>0</v>
      </c>
      <c r="D536" s="2" t="b">
        <v>0</v>
      </c>
      <c r="E536" s="2" t="b">
        <v>0</v>
      </c>
      <c r="F536" s="2" t="s">
        <v>31</v>
      </c>
      <c r="G536" s="2" t="s">
        <v>1010</v>
      </c>
      <c r="H536" s="2" t="s">
        <v>1011</v>
      </c>
      <c r="I536" s="2" t="s">
        <v>1012</v>
      </c>
      <c r="J536" s="2" t="s">
        <v>35</v>
      </c>
      <c r="K536" s="2" t="s">
        <v>35</v>
      </c>
      <c r="L536" s="2" t="s">
        <v>35</v>
      </c>
      <c r="M536" s="2" t="s">
        <v>35</v>
      </c>
      <c r="N536" s="3">
        <v>44740.484845856481</v>
      </c>
      <c r="O536" s="3">
        <v>44740.485190335647</v>
      </c>
      <c r="P536" s="2">
        <v>0</v>
      </c>
      <c r="Q536" s="2" t="s">
        <v>36</v>
      </c>
      <c r="R536" s="2" t="s">
        <v>38</v>
      </c>
      <c r="S536" s="2" t="s">
        <v>35</v>
      </c>
      <c r="T536" s="2" t="s">
        <v>35</v>
      </c>
      <c r="U536" s="2" t="s">
        <v>35</v>
      </c>
      <c r="V536" s="2" t="b">
        <v>0</v>
      </c>
      <c r="W536" s="2" t="s">
        <v>35</v>
      </c>
      <c r="X536" s="2" t="s">
        <v>35</v>
      </c>
      <c r="Y536" s="2">
        <v>4</v>
      </c>
      <c r="Z536" s="2" t="s">
        <v>35</v>
      </c>
    </row>
    <row r="537" spans="1:26" x14ac:dyDescent="0.2">
      <c r="A537" s="2" t="s">
        <v>1013</v>
      </c>
      <c r="B537" s="2" t="b">
        <v>0</v>
      </c>
      <c r="C537" s="2" t="b">
        <v>0</v>
      </c>
      <c r="D537" s="2" t="b">
        <v>0</v>
      </c>
      <c r="E537" s="2" t="b">
        <v>0</v>
      </c>
      <c r="F537" s="2" t="s">
        <v>31</v>
      </c>
      <c r="G537" s="2" t="s">
        <v>1014</v>
      </c>
      <c r="H537" s="2" t="s">
        <v>1015</v>
      </c>
      <c r="I537" s="2" t="s">
        <v>35</v>
      </c>
      <c r="J537" s="2" t="s">
        <v>35</v>
      </c>
      <c r="K537" s="2" t="s">
        <v>35</v>
      </c>
      <c r="L537" s="2" t="s">
        <v>35</v>
      </c>
      <c r="M537" s="2" t="s">
        <v>35</v>
      </c>
      <c r="N537" s="3">
        <v>44740.485820416667</v>
      </c>
      <c r="O537" s="3">
        <v>44740.486120844907</v>
      </c>
      <c r="P537" s="2">
        <v>0</v>
      </c>
      <c r="Q537" s="2" t="s">
        <v>36</v>
      </c>
      <c r="R537" s="2" t="s">
        <v>38</v>
      </c>
      <c r="S537" s="2" t="s">
        <v>35</v>
      </c>
      <c r="T537" s="2" t="s">
        <v>35</v>
      </c>
      <c r="U537" s="2" t="s">
        <v>35</v>
      </c>
      <c r="V537" s="2" t="b">
        <v>0</v>
      </c>
      <c r="W537" s="2" t="s">
        <v>1016</v>
      </c>
      <c r="X537" s="2" t="s">
        <v>35</v>
      </c>
      <c r="Y537" s="2" t="s">
        <v>35</v>
      </c>
      <c r="Z537" s="2" t="s">
        <v>35</v>
      </c>
    </row>
    <row r="538" spans="1:26" x14ac:dyDescent="0.2">
      <c r="A538" s="2" t="s">
        <v>1017</v>
      </c>
      <c r="B538" s="2" t="b">
        <v>0</v>
      </c>
      <c r="C538" s="2" t="b">
        <v>0</v>
      </c>
      <c r="D538" s="2" t="b">
        <v>0</v>
      </c>
      <c r="E538" s="2" t="b">
        <v>0</v>
      </c>
      <c r="F538" s="2" t="s">
        <v>31</v>
      </c>
      <c r="G538" s="2" t="s">
        <v>1018</v>
      </c>
      <c r="H538" s="2" t="s">
        <v>1019</v>
      </c>
      <c r="I538" s="2" t="s">
        <v>1020</v>
      </c>
      <c r="J538" s="2" t="s">
        <v>35</v>
      </c>
      <c r="K538" s="2" t="s">
        <v>35</v>
      </c>
      <c r="L538" s="2">
        <v>10</v>
      </c>
      <c r="M538" s="2">
        <v>15</v>
      </c>
      <c r="N538" s="3">
        <v>44740.489992303243</v>
      </c>
      <c r="O538" s="3">
        <v>44740.491162789353</v>
      </c>
      <c r="P538" s="2">
        <v>0</v>
      </c>
      <c r="Q538" s="2" t="s">
        <v>54</v>
      </c>
      <c r="R538" s="2" t="s">
        <v>38</v>
      </c>
      <c r="S538" s="2" t="s">
        <v>35</v>
      </c>
      <c r="T538" s="2" t="s">
        <v>35</v>
      </c>
      <c r="U538" s="2" t="s">
        <v>35</v>
      </c>
      <c r="V538" s="2" t="b">
        <v>0</v>
      </c>
      <c r="W538" s="2" t="s">
        <v>35</v>
      </c>
      <c r="X538" s="2" t="s">
        <v>35</v>
      </c>
      <c r="Y538" s="2" t="s">
        <v>35</v>
      </c>
      <c r="Z538" s="2" t="s">
        <v>35</v>
      </c>
    </row>
    <row r="539" spans="1:26" x14ac:dyDescent="0.2">
      <c r="A539" s="2" t="s">
        <v>1021</v>
      </c>
      <c r="B539" s="2" t="b">
        <v>0</v>
      </c>
      <c r="C539" s="2" t="b">
        <v>0</v>
      </c>
      <c r="D539" s="2" t="b">
        <v>0</v>
      </c>
      <c r="E539" s="2" t="b">
        <v>0</v>
      </c>
      <c r="F539" s="2" t="s">
        <v>31</v>
      </c>
      <c r="G539" s="2" t="s">
        <v>149</v>
      </c>
      <c r="H539" s="2" t="s">
        <v>1022</v>
      </c>
      <c r="I539" s="2" t="s">
        <v>1023</v>
      </c>
      <c r="J539" s="2" t="s">
        <v>35</v>
      </c>
      <c r="K539" s="2" t="s">
        <v>35</v>
      </c>
      <c r="L539" s="2">
        <v>3</v>
      </c>
      <c r="M539" s="2">
        <v>25</v>
      </c>
      <c r="N539" s="3">
        <v>44740.491403287037</v>
      </c>
      <c r="O539" s="3">
        <v>44740.491937824074</v>
      </c>
      <c r="P539" s="2">
        <v>0</v>
      </c>
      <c r="Q539" s="2" t="s">
        <v>54</v>
      </c>
      <c r="R539" s="2" t="s">
        <v>38</v>
      </c>
      <c r="S539" s="2" t="s">
        <v>35</v>
      </c>
      <c r="T539" s="2" t="s">
        <v>35</v>
      </c>
      <c r="U539" s="2" t="s">
        <v>35</v>
      </c>
      <c r="V539" s="2" t="b">
        <v>0</v>
      </c>
      <c r="W539" s="2" t="s">
        <v>35</v>
      </c>
      <c r="X539" s="2" t="s">
        <v>35</v>
      </c>
      <c r="Y539" s="2" t="s">
        <v>35</v>
      </c>
      <c r="Z539" s="2" t="s">
        <v>35</v>
      </c>
    </row>
    <row r="540" spans="1:26" x14ac:dyDescent="0.2">
      <c r="A540" s="2" t="s">
        <v>1024</v>
      </c>
      <c r="B540" s="2" t="b">
        <v>0</v>
      </c>
      <c r="C540" s="2" t="b">
        <v>0</v>
      </c>
      <c r="D540" s="2" t="b">
        <v>0</v>
      </c>
      <c r="E540" s="2" t="b">
        <v>0</v>
      </c>
      <c r="F540" s="2" t="s">
        <v>31</v>
      </c>
      <c r="G540" s="2" t="s">
        <v>1025</v>
      </c>
      <c r="H540" s="2" t="s">
        <v>1026</v>
      </c>
      <c r="I540" s="2" t="s">
        <v>1027</v>
      </c>
      <c r="J540" s="2" t="s">
        <v>35</v>
      </c>
      <c r="K540" s="2" t="s">
        <v>35</v>
      </c>
      <c r="L540" s="2" t="s">
        <v>35</v>
      </c>
      <c r="M540" s="2" t="s">
        <v>35</v>
      </c>
      <c r="N540" s="3">
        <v>44740.493087337964</v>
      </c>
      <c r="O540" s="3">
        <v>44740.493371064818</v>
      </c>
      <c r="P540" s="2">
        <v>0</v>
      </c>
      <c r="Q540" s="2" t="s">
        <v>36</v>
      </c>
      <c r="R540" s="2" t="s">
        <v>38</v>
      </c>
      <c r="S540" s="2" t="s">
        <v>35</v>
      </c>
      <c r="T540" s="2" t="s">
        <v>35</v>
      </c>
      <c r="U540" s="2" t="s">
        <v>35</v>
      </c>
      <c r="V540" s="2" t="b">
        <v>0</v>
      </c>
      <c r="W540" s="2" t="s">
        <v>35</v>
      </c>
      <c r="X540" s="2" t="s">
        <v>35</v>
      </c>
      <c r="Y540" s="2">
        <v>4</v>
      </c>
      <c r="Z540" s="2" t="s">
        <v>35</v>
      </c>
    </row>
    <row r="541" spans="1:26" x14ac:dyDescent="0.2">
      <c r="A541" s="2" t="s">
        <v>1028</v>
      </c>
      <c r="B541" s="2" t="b">
        <v>0</v>
      </c>
      <c r="C541" s="2" t="b">
        <v>0</v>
      </c>
      <c r="D541" s="2" t="b">
        <v>0</v>
      </c>
      <c r="E541" s="2" t="b">
        <v>0</v>
      </c>
      <c r="F541" s="2" t="s">
        <v>31</v>
      </c>
      <c r="G541" s="2" t="s">
        <v>1029</v>
      </c>
      <c r="H541" s="2" t="s">
        <v>1030</v>
      </c>
      <c r="I541" s="2" t="s">
        <v>1031</v>
      </c>
      <c r="J541" s="2" t="s">
        <v>35</v>
      </c>
      <c r="K541" s="2" t="s">
        <v>35</v>
      </c>
      <c r="L541" s="2" t="s">
        <v>35</v>
      </c>
      <c r="M541" s="2" t="s">
        <v>35</v>
      </c>
      <c r="N541" s="3">
        <v>44740.494386747683</v>
      </c>
      <c r="O541" s="3">
        <v>44740.494619872683</v>
      </c>
      <c r="P541" s="2">
        <v>0</v>
      </c>
      <c r="Q541" s="2" t="s">
        <v>36</v>
      </c>
      <c r="R541" s="2" t="s">
        <v>38</v>
      </c>
      <c r="S541" s="2" t="s">
        <v>35</v>
      </c>
      <c r="T541" s="2" t="s">
        <v>35</v>
      </c>
      <c r="U541" s="2" t="s">
        <v>35</v>
      </c>
      <c r="V541" s="2" t="b">
        <v>0</v>
      </c>
      <c r="W541" s="2" t="s">
        <v>35</v>
      </c>
      <c r="X541" s="2" t="s">
        <v>35</v>
      </c>
      <c r="Y541" s="2">
        <v>4</v>
      </c>
      <c r="Z541" s="2" t="s">
        <v>35</v>
      </c>
    </row>
    <row r="542" spans="1:26" x14ac:dyDescent="0.2">
      <c r="A542" s="2" t="s">
        <v>1032</v>
      </c>
      <c r="B542" s="2" t="b">
        <v>0</v>
      </c>
      <c r="C542" s="2" t="b">
        <v>0</v>
      </c>
      <c r="D542" s="2" t="b">
        <v>0</v>
      </c>
      <c r="E542" s="2" t="b">
        <v>0</v>
      </c>
      <c r="F542" s="2" t="s">
        <v>31</v>
      </c>
      <c r="G542" s="2" t="s">
        <v>1033</v>
      </c>
      <c r="H542" s="2" t="s">
        <v>1034</v>
      </c>
      <c r="I542" s="2" t="s">
        <v>35</v>
      </c>
      <c r="J542" s="2" t="s">
        <v>35</v>
      </c>
      <c r="K542" s="2" t="s">
        <v>35</v>
      </c>
      <c r="L542" s="2" t="s">
        <v>35</v>
      </c>
      <c r="M542" s="2" t="s">
        <v>35</v>
      </c>
      <c r="N542" s="3">
        <v>44740.494937523152</v>
      </c>
      <c r="O542" s="3">
        <v>44740.495197511576</v>
      </c>
      <c r="P542" s="2">
        <v>0</v>
      </c>
      <c r="Q542" s="2" t="s">
        <v>36</v>
      </c>
      <c r="R542" s="2" t="s">
        <v>38</v>
      </c>
      <c r="S542" s="2" t="s">
        <v>35</v>
      </c>
      <c r="T542" s="2" t="s">
        <v>35</v>
      </c>
      <c r="U542" s="2" t="s">
        <v>35</v>
      </c>
      <c r="V542" s="2" t="b">
        <v>0</v>
      </c>
      <c r="W542" s="2" t="s">
        <v>35</v>
      </c>
      <c r="X542" s="2" t="s">
        <v>35</v>
      </c>
      <c r="Y542" s="2" t="s">
        <v>35</v>
      </c>
      <c r="Z542" s="2">
        <v>4</v>
      </c>
    </row>
    <row r="543" spans="1:26" x14ac:dyDescent="0.2">
      <c r="A543" s="2" t="s">
        <v>1035</v>
      </c>
      <c r="B543" s="2" t="b">
        <v>0</v>
      </c>
      <c r="C543" s="2" t="b">
        <v>0</v>
      </c>
      <c r="D543" s="2" t="b">
        <v>0</v>
      </c>
      <c r="E543" s="2" t="b">
        <v>0</v>
      </c>
      <c r="F543" s="2" t="s">
        <v>31</v>
      </c>
      <c r="G543" s="2" t="s">
        <v>1036</v>
      </c>
      <c r="H543" s="2" t="s">
        <v>1037</v>
      </c>
      <c r="I543" s="2" t="s">
        <v>1038</v>
      </c>
      <c r="J543" s="2" t="s">
        <v>35</v>
      </c>
      <c r="K543" s="2" t="s">
        <v>35</v>
      </c>
      <c r="L543" s="2" t="s">
        <v>35</v>
      </c>
      <c r="M543" s="2" t="s">
        <v>35</v>
      </c>
      <c r="N543" s="3">
        <v>44740.496797500004</v>
      </c>
      <c r="O543" s="3">
        <v>44740.497739942133</v>
      </c>
      <c r="P543" s="2">
        <v>0</v>
      </c>
      <c r="Q543" s="2" t="s">
        <v>109</v>
      </c>
      <c r="R543" s="2" t="s">
        <v>38</v>
      </c>
      <c r="S543" s="2" t="s">
        <v>35</v>
      </c>
      <c r="T543" s="2">
        <v>0</v>
      </c>
      <c r="U543" s="2" t="s">
        <v>979</v>
      </c>
      <c r="V543" s="2" t="b">
        <v>0</v>
      </c>
      <c r="W543" s="2" t="s">
        <v>35</v>
      </c>
      <c r="X543" s="2" t="s">
        <v>35</v>
      </c>
      <c r="Y543" s="2" t="s">
        <v>35</v>
      </c>
      <c r="Z543" s="2" t="s">
        <v>35</v>
      </c>
    </row>
    <row r="544" spans="1:26" x14ac:dyDescent="0.2">
      <c r="A544" s="2" t="s">
        <v>1039</v>
      </c>
      <c r="B544" s="2" t="b">
        <v>0</v>
      </c>
      <c r="C544" s="2" t="b">
        <v>0</v>
      </c>
      <c r="D544" s="2" t="b">
        <v>0</v>
      </c>
      <c r="E544" s="2" t="b">
        <v>0</v>
      </c>
      <c r="F544" s="2" t="s">
        <v>31</v>
      </c>
      <c r="G544" s="2" t="s">
        <v>1040</v>
      </c>
      <c r="H544" s="2" t="s">
        <v>1041</v>
      </c>
      <c r="I544" s="2" t="s">
        <v>1038</v>
      </c>
      <c r="J544" s="2" t="s">
        <v>35</v>
      </c>
      <c r="K544" s="2" t="s">
        <v>35</v>
      </c>
      <c r="L544" s="2" t="s">
        <v>35</v>
      </c>
      <c r="M544" s="2" t="s">
        <v>35</v>
      </c>
      <c r="N544" s="3">
        <v>44740.498441655094</v>
      </c>
      <c r="O544" s="3">
        <v>44740.498886574074</v>
      </c>
      <c r="P544" s="2">
        <v>0</v>
      </c>
      <c r="Q544" s="2" t="s">
        <v>109</v>
      </c>
      <c r="R544" s="2" t="s">
        <v>38</v>
      </c>
      <c r="S544" s="2" t="s">
        <v>35</v>
      </c>
      <c r="T544" s="2">
        <v>0</v>
      </c>
      <c r="U544" s="2" t="s">
        <v>979</v>
      </c>
      <c r="V544" s="2" t="b">
        <v>0</v>
      </c>
      <c r="W544" s="2" t="s">
        <v>35</v>
      </c>
      <c r="X544" s="2" t="s">
        <v>35</v>
      </c>
      <c r="Y544" s="2" t="s">
        <v>35</v>
      </c>
      <c r="Z544" s="2" t="s">
        <v>35</v>
      </c>
    </row>
    <row r="545" spans="1:26" x14ac:dyDescent="0.2">
      <c r="A545" s="2" t="s">
        <v>1042</v>
      </c>
      <c r="B545" s="2" t="b">
        <v>0</v>
      </c>
      <c r="C545" s="2" t="b">
        <v>0</v>
      </c>
      <c r="D545" s="2" t="b">
        <v>0</v>
      </c>
      <c r="E545" s="2" t="b">
        <v>0</v>
      </c>
      <c r="F545" s="2" t="s">
        <v>31</v>
      </c>
      <c r="G545" s="2" t="s">
        <v>149</v>
      </c>
      <c r="H545" s="2" t="s">
        <v>1043</v>
      </c>
      <c r="I545" s="2" t="s">
        <v>35</v>
      </c>
      <c r="J545" s="2" t="s">
        <v>35</v>
      </c>
      <c r="K545" s="2" t="s">
        <v>35</v>
      </c>
      <c r="L545" s="2" t="s">
        <v>35</v>
      </c>
      <c r="M545" s="2" t="s">
        <v>35</v>
      </c>
      <c r="N545" s="3">
        <v>44740.499368055556</v>
      </c>
      <c r="O545" s="3">
        <v>44740.499604155091</v>
      </c>
      <c r="P545" s="2">
        <v>0</v>
      </c>
      <c r="Q545" s="2" t="s">
        <v>36</v>
      </c>
      <c r="R545" s="2" t="s">
        <v>38</v>
      </c>
      <c r="S545" s="2" t="s">
        <v>35</v>
      </c>
      <c r="T545" s="2" t="s">
        <v>35</v>
      </c>
      <c r="U545" s="2" t="s">
        <v>35</v>
      </c>
      <c r="V545" s="2" t="b">
        <v>0</v>
      </c>
      <c r="W545" s="2" t="s">
        <v>35</v>
      </c>
      <c r="X545" s="2" t="s">
        <v>35</v>
      </c>
      <c r="Y545" s="2" t="s">
        <v>35</v>
      </c>
      <c r="Z545" s="2">
        <v>4</v>
      </c>
    </row>
    <row r="546" spans="1:26" x14ac:dyDescent="0.2">
      <c r="A546" s="2" t="s">
        <v>1044</v>
      </c>
      <c r="B546" s="2" t="b">
        <v>0</v>
      </c>
      <c r="C546" s="2" t="b">
        <v>0</v>
      </c>
      <c r="D546" s="2" t="b">
        <v>0</v>
      </c>
      <c r="E546" s="2" t="b">
        <v>0</v>
      </c>
      <c r="F546" s="2" t="s">
        <v>31</v>
      </c>
      <c r="G546" s="2" t="s">
        <v>149</v>
      </c>
      <c r="H546" s="2" t="s">
        <v>1045</v>
      </c>
      <c r="I546" s="2" t="s">
        <v>35</v>
      </c>
      <c r="J546" s="2" t="s">
        <v>35</v>
      </c>
      <c r="K546" s="2" t="s">
        <v>35</v>
      </c>
      <c r="L546" s="2" t="s">
        <v>35</v>
      </c>
      <c r="M546" s="2" t="s">
        <v>35</v>
      </c>
      <c r="N546" s="3">
        <v>44740.501539780096</v>
      </c>
      <c r="O546" s="3">
        <v>44740.501695624997</v>
      </c>
      <c r="P546" s="2">
        <v>0</v>
      </c>
      <c r="Q546" s="2" t="s">
        <v>36</v>
      </c>
      <c r="R546" s="2" t="s">
        <v>38</v>
      </c>
      <c r="S546" s="2" t="s">
        <v>35</v>
      </c>
      <c r="T546" s="2" t="s">
        <v>35</v>
      </c>
      <c r="U546" s="2" t="s">
        <v>35</v>
      </c>
      <c r="V546" s="2" t="b">
        <v>0</v>
      </c>
      <c r="W546" s="2" t="s">
        <v>35</v>
      </c>
      <c r="X546" s="2" t="s">
        <v>35</v>
      </c>
      <c r="Y546" s="2" t="s">
        <v>35</v>
      </c>
      <c r="Z546" s="2">
        <v>3</v>
      </c>
    </row>
    <row r="547" spans="1:26" x14ac:dyDescent="0.2">
      <c r="A547" s="2" t="s">
        <v>1046</v>
      </c>
      <c r="B547" s="2" t="b">
        <v>0</v>
      </c>
      <c r="C547" s="2" t="b">
        <v>0</v>
      </c>
      <c r="D547" s="2" t="b">
        <v>0</v>
      </c>
      <c r="E547" s="2" t="b">
        <v>0</v>
      </c>
      <c r="F547" s="2" t="s">
        <v>31</v>
      </c>
      <c r="G547" s="2" t="s">
        <v>1047</v>
      </c>
      <c r="H547" s="2" t="s">
        <v>1048</v>
      </c>
      <c r="I547" s="2" t="s">
        <v>35</v>
      </c>
      <c r="J547" s="2" t="s">
        <v>35</v>
      </c>
      <c r="K547" s="2" t="s">
        <v>35</v>
      </c>
      <c r="L547" s="2" t="s">
        <v>35</v>
      </c>
      <c r="M547" s="2" t="s">
        <v>35</v>
      </c>
      <c r="N547" s="3">
        <v>44740.502857939813</v>
      </c>
      <c r="O547" s="3">
        <v>44740.502968298613</v>
      </c>
      <c r="P547" s="2">
        <v>0</v>
      </c>
      <c r="Q547" s="2" t="s">
        <v>36</v>
      </c>
      <c r="R547" s="2" t="s">
        <v>38</v>
      </c>
      <c r="S547" s="2" t="s">
        <v>35</v>
      </c>
      <c r="T547" s="2" t="s">
        <v>35</v>
      </c>
      <c r="U547" s="2" t="s">
        <v>35</v>
      </c>
      <c r="V547" s="2" t="b">
        <v>0</v>
      </c>
      <c r="W547" s="2" t="s">
        <v>35</v>
      </c>
      <c r="X547" s="2" t="s">
        <v>35</v>
      </c>
      <c r="Y547" s="2" t="s">
        <v>35</v>
      </c>
      <c r="Z547" s="2">
        <v>2</v>
      </c>
    </row>
    <row r="548" spans="1:26" x14ac:dyDescent="0.2">
      <c r="A548" s="2" t="s">
        <v>1049</v>
      </c>
      <c r="B548" s="2" t="b">
        <v>0</v>
      </c>
      <c r="C548" s="2" t="b">
        <v>0</v>
      </c>
      <c r="D548" s="2" t="b">
        <v>0</v>
      </c>
      <c r="E548" s="2" t="b">
        <v>0</v>
      </c>
      <c r="F548" s="2" t="s">
        <v>31</v>
      </c>
      <c r="G548" s="2" t="s">
        <v>1050</v>
      </c>
      <c r="H548" s="2" t="s">
        <v>1051</v>
      </c>
      <c r="I548" s="2" t="s">
        <v>35</v>
      </c>
      <c r="J548" s="2" t="s">
        <v>35</v>
      </c>
      <c r="K548" s="2" t="s">
        <v>35</v>
      </c>
      <c r="L548" s="2" t="s">
        <v>35</v>
      </c>
      <c r="M548" s="2" t="s">
        <v>35</v>
      </c>
      <c r="N548" s="3">
        <v>44740.504366597219</v>
      </c>
      <c r="O548" s="3">
        <v>44740.504527754631</v>
      </c>
      <c r="P548" s="2">
        <v>0</v>
      </c>
      <c r="Q548" s="2" t="s">
        <v>36</v>
      </c>
      <c r="R548" s="2" t="s">
        <v>38</v>
      </c>
      <c r="S548" s="2" t="s">
        <v>35</v>
      </c>
      <c r="T548" s="2" t="s">
        <v>35</v>
      </c>
      <c r="U548" s="2" t="s">
        <v>35</v>
      </c>
      <c r="V548" s="2" t="b">
        <v>0</v>
      </c>
      <c r="W548" s="2" t="s">
        <v>35</v>
      </c>
      <c r="X548" s="2" t="s">
        <v>35</v>
      </c>
      <c r="Y548" s="2" t="s">
        <v>35</v>
      </c>
      <c r="Z548" s="2">
        <v>4</v>
      </c>
    </row>
    <row r="549" spans="1:26" x14ac:dyDescent="0.2">
      <c r="A549" s="2" t="s">
        <v>1052</v>
      </c>
      <c r="B549" s="2" t="b">
        <v>0</v>
      </c>
      <c r="C549" s="2" t="b">
        <v>0</v>
      </c>
      <c r="D549" s="2" t="b">
        <v>0</v>
      </c>
      <c r="E549" s="2" t="b">
        <v>0</v>
      </c>
      <c r="F549" s="2" t="s">
        <v>31</v>
      </c>
      <c r="G549" s="2" t="s">
        <v>1053</v>
      </c>
      <c r="H549" s="2" t="s">
        <v>1054</v>
      </c>
      <c r="I549" s="2" t="s">
        <v>35</v>
      </c>
      <c r="J549" s="2" t="s">
        <v>35</v>
      </c>
      <c r="K549" s="2" t="s">
        <v>35</v>
      </c>
      <c r="L549" s="2">
        <v>3</v>
      </c>
      <c r="M549" s="2">
        <v>15</v>
      </c>
      <c r="N549" s="3">
        <v>44740.506672291667</v>
      </c>
      <c r="O549" s="3">
        <v>44740.506927175928</v>
      </c>
      <c r="P549" s="2">
        <v>0</v>
      </c>
      <c r="Q549" s="2" t="s">
        <v>54</v>
      </c>
      <c r="R549" s="2" t="s">
        <v>38</v>
      </c>
      <c r="S549" s="2" t="s">
        <v>35</v>
      </c>
      <c r="T549" s="2" t="s">
        <v>35</v>
      </c>
      <c r="U549" s="2" t="s">
        <v>35</v>
      </c>
      <c r="V549" s="2" t="b">
        <v>0</v>
      </c>
      <c r="W549" s="2" t="s">
        <v>35</v>
      </c>
      <c r="X549" s="2" t="s">
        <v>35</v>
      </c>
      <c r="Y549" s="2" t="s">
        <v>35</v>
      </c>
      <c r="Z549" s="2" t="s">
        <v>35</v>
      </c>
    </row>
    <row r="550" spans="1:26" x14ac:dyDescent="0.2">
      <c r="A550" s="2" t="s">
        <v>1055</v>
      </c>
      <c r="B550" s="2" t="b">
        <v>0</v>
      </c>
      <c r="C550" s="2" t="b">
        <v>0</v>
      </c>
      <c r="D550" s="2" t="b">
        <v>0</v>
      </c>
      <c r="E550" s="2" t="b">
        <v>0</v>
      </c>
      <c r="F550" s="2" t="s">
        <v>31</v>
      </c>
      <c r="G550" s="2" t="s">
        <v>1056</v>
      </c>
      <c r="H550" s="2" t="s">
        <v>1057</v>
      </c>
      <c r="I550" s="2" t="s">
        <v>35</v>
      </c>
      <c r="J550" s="2" t="s">
        <v>35</v>
      </c>
      <c r="K550" s="2">
        <v>8</v>
      </c>
      <c r="L550" s="2" t="s">
        <v>35</v>
      </c>
      <c r="M550" s="2" t="s">
        <v>35</v>
      </c>
      <c r="N550" s="3">
        <v>44740.506985706015</v>
      </c>
      <c r="O550" s="3">
        <v>44740.507235543984</v>
      </c>
      <c r="P550" s="2">
        <v>0</v>
      </c>
      <c r="Q550" s="2" t="s">
        <v>265</v>
      </c>
      <c r="R550" s="2" t="s">
        <v>38</v>
      </c>
      <c r="S550" s="2" t="s">
        <v>35</v>
      </c>
      <c r="T550" s="2" t="s">
        <v>35</v>
      </c>
      <c r="U550" s="2" t="s">
        <v>35</v>
      </c>
      <c r="V550" s="2" t="b">
        <v>0</v>
      </c>
      <c r="W550" s="2" t="s">
        <v>35</v>
      </c>
      <c r="X550" s="2" t="s">
        <v>35</v>
      </c>
      <c r="Y550" s="2" t="s">
        <v>35</v>
      </c>
      <c r="Z550" s="2" t="s">
        <v>35</v>
      </c>
    </row>
    <row r="551" spans="1:26" x14ac:dyDescent="0.2">
      <c r="A551" s="2" t="s">
        <v>1058</v>
      </c>
      <c r="B551" s="2" t="b">
        <v>0</v>
      </c>
      <c r="C551" s="2" t="b">
        <v>0</v>
      </c>
      <c r="D551" s="2" t="b">
        <v>0</v>
      </c>
      <c r="E551" s="2" t="b">
        <v>0</v>
      </c>
      <c r="F551" s="2" t="s">
        <v>31</v>
      </c>
      <c r="G551" s="2" t="s">
        <v>1059</v>
      </c>
      <c r="H551" s="2" t="s">
        <v>1060</v>
      </c>
      <c r="I551" s="2" t="s">
        <v>35</v>
      </c>
      <c r="J551" s="2" t="s">
        <v>35</v>
      </c>
      <c r="K551" s="2" t="s">
        <v>35</v>
      </c>
      <c r="L551" s="2">
        <v>3</v>
      </c>
      <c r="M551" s="2">
        <v>15</v>
      </c>
      <c r="N551" s="3">
        <v>44740.508977511578</v>
      </c>
      <c r="O551" s="3">
        <v>44740.509178217595</v>
      </c>
      <c r="P551" s="2">
        <v>0</v>
      </c>
      <c r="Q551" s="2" t="s">
        <v>54</v>
      </c>
      <c r="R551" s="2" t="s">
        <v>38</v>
      </c>
      <c r="S551" s="2" t="s">
        <v>35</v>
      </c>
      <c r="T551" s="2" t="s">
        <v>35</v>
      </c>
      <c r="U551" s="2" t="s">
        <v>35</v>
      </c>
      <c r="V551" s="2" t="b">
        <v>0</v>
      </c>
      <c r="W551" s="2" t="s">
        <v>35</v>
      </c>
      <c r="X551" s="2" t="s">
        <v>35</v>
      </c>
      <c r="Y551" s="2" t="s">
        <v>35</v>
      </c>
      <c r="Z551" s="2" t="s">
        <v>35</v>
      </c>
    </row>
    <row r="552" spans="1:26" x14ac:dyDescent="0.2">
      <c r="A552" s="2" t="s">
        <v>1061</v>
      </c>
      <c r="B552" s="2" t="b">
        <v>0</v>
      </c>
      <c r="C552" s="2" t="b">
        <v>0</v>
      </c>
      <c r="D552" s="2" t="b">
        <v>0</v>
      </c>
      <c r="E552" s="2" t="b">
        <v>0</v>
      </c>
      <c r="F552" s="2" t="s">
        <v>31</v>
      </c>
      <c r="G552" s="2" t="s">
        <v>1062</v>
      </c>
      <c r="H552" s="2" t="s">
        <v>1063</v>
      </c>
      <c r="I552" s="2" t="s">
        <v>35</v>
      </c>
      <c r="J552" s="2" t="s">
        <v>35</v>
      </c>
      <c r="K552" s="2">
        <v>10</v>
      </c>
      <c r="L552" s="2" t="s">
        <v>35</v>
      </c>
      <c r="M552" s="2" t="s">
        <v>35</v>
      </c>
      <c r="N552" s="3">
        <v>44740.509225266207</v>
      </c>
      <c r="O552" s="3">
        <v>44740.509412858795</v>
      </c>
      <c r="P552" s="2">
        <v>0</v>
      </c>
      <c r="Q552" s="2" t="s">
        <v>265</v>
      </c>
      <c r="R552" s="2" t="s">
        <v>38</v>
      </c>
      <c r="S552" s="2" t="s">
        <v>35</v>
      </c>
      <c r="T552" s="2" t="s">
        <v>35</v>
      </c>
      <c r="U552" s="2" t="s">
        <v>35</v>
      </c>
      <c r="V552" s="2" t="b">
        <v>0</v>
      </c>
      <c r="W552" s="2" t="s">
        <v>35</v>
      </c>
      <c r="X552" s="2" t="s">
        <v>35</v>
      </c>
      <c r="Y552" s="2" t="s">
        <v>35</v>
      </c>
      <c r="Z552" s="2" t="s">
        <v>35</v>
      </c>
    </row>
    <row r="553" spans="1:26" x14ac:dyDescent="0.2">
      <c r="A553" s="2" t="s">
        <v>1064</v>
      </c>
      <c r="B553" s="2" t="b">
        <v>0</v>
      </c>
      <c r="C553" s="2" t="b">
        <v>0</v>
      </c>
      <c r="D553" s="2" t="b">
        <v>0</v>
      </c>
      <c r="E553" s="2" t="b">
        <v>0</v>
      </c>
      <c r="F553" s="2" t="s">
        <v>31</v>
      </c>
      <c r="G553" s="2" t="s">
        <v>1065</v>
      </c>
      <c r="H553" s="2" t="s">
        <v>1066</v>
      </c>
      <c r="I553" s="2" t="s">
        <v>35</v>
      </c>
      <c r="J553" s="2" t="s">
        <v>35</v>
      </c>
      <c r="K553" s="2" t="s">
        <v>35</v>
      </c>
      <c r="L553" s="2">
        <v>2</v>
      </c>
      <c r="M553" s="2">
        <v>16</v>
      </c>
      <c r="N553" s="3">
        <v>44740.510803761572</v>
      </c>
      <c r="O553" s="3">
        <v>44740.511019560188</v>
      </c>
      <c r="P553" s="2">
        <v>0</v>
      </c>
      <c r="Q553" s="2" t="s">
        <v>54</v>
      </c>
      <c r="R553" s="2" t="s">
        <v>38</v>
      </c>
      <c r="S553" s="2" t="s">
        <v>35</v>
      </c>
      <c r="T553" s="2" t="s">
        <v>35</v>
      </c>
      <c r="U553" s="2" t="s">
        <v>35</v>
      </c>
      <c r="V553" s="2" t="b">
        <v>0</v>
      </c>
      <c r="W553" s="2" t="s">
        <v>35</v>
      </c>
      <c r="X553" s="2" t="s">
        <v>35</v>
      </c>
      <c r="Y553" s="2" t="s">
        <v>35</v>
      </c>
      <c r="Z553" s="2" t="s">
        <v>35</v>
      </c>
    </row>
    <row r="554" spans="1:26" x14ac:dyDescent="0.2">
      <c r="A554" s="2" t="s">
        <v>1067</v>
      </c>
      <c r="B554" s="2" t="b">
        <v>0</v>
      </c>
      <c r="C554" s="2" t="b">
        <v>0</v>
      </c>
      <c r="D554" s="2" t="b">
        <v>0</v>
      </c>
      <c r="E554" s="2" t="b">
        <v>0</v>
      </c>
      <c r="F554" s="2" t="s">
        <v>31</v>
      </c>
      <c r="G554" s="2" t="s">
        <v>1068</v>
      </c>
      <c r="H554" s="2" t="s">
        <v>1066</v>
      </c>
      <c r="I554" s="2" t="s">
        <v>35</v>
      </c>
      <c r="J554" s="2" t="s">
        <v>35</v>
      </c>
      <c r="K554" s="2">
        <v>8</v>
      </c>
      <c r="L554" s="2" t="s">
        <v>35</v>
      </c>
      <c r="M554" s="2" t="s">
        <v>35</v>
      </c>
      <c r="N554" s="3">
        <v>44740.511101956021</v>
      </c>
      <c r="O554" s="3">
        <v>44740.511341990743</v>
      </c>
      <c r="P554" s="2">
        <v>0</v>
      </c>
      <c r="Q554" s="2" t="s">
        <v>265</v>
      </c>
      <c r="R554" s="2" t="s">
        <v>38</v>
      </c>
      <c r="S554" s="2" t="s">
        <v>35</v>
      </c>
      <c r="T554" s="2" t="s">
        <v>35</v>
      </c>
      <c r="U554" s="2" t="s">
        <v>35</v>
      </c>
      <c r="V554" s="2" t="b">
        <v>0</v>
      </c>
      <c r="W554" s="2" t="s">
        <v>35</v>
      </c>
      <c r="X554" s="2" t="s">
        <v>35</v>
      </c>
      <c r="Y554" s="2" t="s">
        <v>35</v>
      </c>
      <c r="Z554" s="2" t="s">
        <v>35</v>
      </c>
    </row>
    <row r="555" spans="1:26" x14ac:dyDescent="0.2">
      <c r="A555" s="2" t="s">
        <v>1069</v>
      </c>
      <c r="B555" s="2" t="b">
        <v>0</v>
      </c>
      <c r="C555" s="2" t="b">
        <v>0</v>
      </c>
      <c r="D555" s="2" t="b">
        <v>0</v>
      </c>
      <c r="E555" s="2" t="b">
        <v>0</v>
      </c>
      <c r="F555" s="2" t="s">
        <v>31</v>
      </c>
      <c r="G555" s="2" t="s">
        <v>1070</v>
      </c>
      <c r="H555" s="2" t="s">
        <v>1071</v>
      </c>
      <c r="I555" s="2" t="s">
        <v>35</v>
      </c>
      <c r="J555" s="2" t="s">
        <v>35</v>
      </c>
      <c r="K555" s="2" t="s">
        <v>35</v>
      </c>
      <c r="L555" s="2" t="s">
        <v>35</v>
      </c>
      <c r="M555" s="2" t="s">
        <v>35</v>
      </c>
      <c r="N555" s="3">
        <v>44740.515258611114</v>
      </c>
      <c r="O555" s="3">
        <v>44740.515367974534</v>
      </c>
      <c r="P555" s="2">
        <v>0</v>
      </c>
      <c r="Q555" s="2" t="s">
        <v>36</v>
      </c>
      <c r="R555" s="2" t="s">
        <v>38</v>
      </c>
      <c r="S555" s="2" t="s">
        <v>35</v>
      </c>
      <c r="T555" s="2" t="s">
        <v>35</v>
      </c>
      <c r="U555" s="2" t="s">
        <v>35</v>
      </c>
      <c r="V555" s="2" t="b">
        <v>0</v>
      </c>
      <c r="W555" s="2" t="s">
        <v>35</v>
      </c>
      <c r="X555" s="2" t="s">
        <v>35</v>
      </c>
      <c r="Y555" s="2" t="s">
        <v>35</v>
      </c>
      <c r="Z555" s="2">
        <v>3</v>
      </c>
    </row>
    <row r="556" spans="1:26" x14ac:dyDescent="0.2">
      <c r="A556" s="2" t="s">
        <v>1072</v>
      </c>
      <c r="B556" s="2" t="b">
        <v>0</v>
      </c>
      <c r="C556" s="2" t="b">
        <v>0</v>
      </c>
      <c r="D556" s="2" t="b">
        <v>0</v>
      </c>
      <c r="E556" s="2" t="b">
        <v>0</v>
      </c>
      <c r="F556" s="2" t="s">
        <v>31</v>
      </c>
      <c r="G556" s="2" t="s">
        <v>1073</v>
      </c>
      <c r="H556" s="2" t="s">
        <v>1074</v>
      </c>
      <c r="I556" s="2" t="s">
        <v>114</v>
      </c>
      <c r="J556" s="2" t="s">
        <v>35</v>
      </c>
      <c r="K556" s="2" t="s">
        <v>35</v>
      </c>
      <c r="L556" s="2" t="s">
        <v>35</v>
      </c>
      <c r="M556" s="2" t="s">
        <v>35</v>
      </c>
      <c r="N556" s="3">
        <v>44740.51988122685</v>
      </c>
      <c r="O556" s="3">
        <v>44740.520257037038</v>
      </c>
      <c r="P556" s="2">
        <v>0</v>
      </c>
      <c r="Q556" s="2" t="s">
        <v>109</v>
      </c>
      <c r="R556" s="2" t="s">
        <v>38</v>
      </c>
      <c r="S556" s="2" t="s">
        <v>35</v>
      </c>
      <c r="T556" s="2">
        <v>0</v>
      </c>
      <c r="U556" s="2" t="s">
        <v>979</v>
      </c>
      <c r="V556" s="2" t="b">
        <v>0</v>
      </c>
      <c r="W556" s="2" t="s">
        <v>35</v>
      </c>
      <c r="X556" s="2" t="s">
        <v>35</v>
      </c>
      <c r="Y556" s="2" t="s">
        <v>35</v>
      </c>
      <c r="Z556" s="2" t="s">
        <v>35</v>
      </c>
    </row>
    <row r="557" spans="1:26" x14ac:dyDescent="0.2">
      <c r="A557" s="2" t="s">
        <v>1075</v>
      </c>
      <c r="B557" s="2" t="b">
        <v>0</v>
      </c>
      <c r="C557" s="2" t="b">
        <v>0</v>
      </c>
      <c r="D557" s="2" t="b">
        <v>0</v>
      </c>
      <c r="E557" s="2" t="b">
        <v>0</v>
      </c>
      <c r="F557" s="2" t="s">
        <v>31</v>
      </c>
      <c r="G557" s="2" t="s">
        <v>149</v>
      </c>
      <c r="H557" s="2" t="s">
        <v>1076</v>
      </c>
      <c r="I557" s="2" t="s">
        <v>114</v>
      </c>
      <c r="J557" s="2" t="s">
        <v>35</v>
      </c>
      <c r="K557" s="2" t="s">
        <v>35</v>
      </c>
      <c r="L557" s="2" t="s">
        <v>35</v>
      </c>
      <c r="M557" s="2" t="s">
        <v>35</v>
      </c>
      <c r="N557" s="3">
        <v>44740.520495937497</v>
      </c>
      <c r="O557" s="3">
        <v>44740.520821273145</v>
      </c>
      <c r="P557" s="2">
        <v>0</v>
      </c>
      <c r="Q557" s="2" t="s">
        <v>109</v>
      </c>
      <c r="R557" s="2" t="s">
        <v>38</v>
      </c>
      <c r="S557" s="2" t="s">
        <v>35</v>
      </c>
      <c r="T557" s="2">
        <v>0</v>
      </c>
      <c r="U557" s="2" t="s">
        <v>979</v>
      </c>
      <c r="V557" s="2" t="b">
        <v>0</v>
      </c>
      <c r="W557" s="2" t="s">
        <v>35</v>
      </c>
      <c r="X557" s="2" t="s">
        <v>35</v>
      </c>
      <c r="Y557" s="2" t="s">
        <v>35</v>
      </c>
      <c r="Z557" s="2" t="s">
        <v>35</v>
      </c>
    </row>
    <row r="558" spans="1:26" x14ac:dyDescent="0.2">
      <c r="A558" s="2" t="s">
        <v>1077</v>
      </c>
      <c r="B558" s="2" t="b">
        <v>0</v>
      </c>
      <c r="C558" s="2" t="b">
        <v>0</v>
      </c>
      <c r="D558" s="2" t="b">
        <v>0</v>
      </c>
      <c r="E558" s="2" t="b">
        <v>0</v>
      </c>
      <c r="F558" s="2" t="s">
        <v>31</v>
      </c>
      <c r="G558" s="2" t="s">
        <v>1078</v>
      </c>
      <c r="H558" s="2" t="s">
        <v>1079</v>
      </c>
      <c r="I558" s="2" t="s">
        <v>1080</v>
      </c>
      <c r="J558" s="2" t="s">
        <v>35</v>
      </c>
      <c r="K558" s="2" t="s">
        <v>35</v>
      </c>
      <c r="L558" s="2" t="s">
        <v>35</v>
      </c>
      <c r="M558" s="2" t="s">
        <v>35</v>
      </c>
      <c r="N558" s="3">
        <v>44740.520946053242</v>
      </c>
      <c r="O558" s="3">
        <v>44740.522066712962</v>
      </c>
      <c r="P558" s="2">
        <v>0</v>
      </c>
      <c r="Q558" s="2" t="s">
        <v>100</v>
      </c>
      <c r="R558" s="2" t="s">
        <v>38</v>
      </c>
      <c r="S558" s="2" t="s">
        <v>35</v>
      </c>
      <c r="T558" s="2">
        <v>45</v>
      </c>
      <c r="U558" s="2" t="s">
        <v>35</v>
      </c>
      <c r="V558" s="2" t="b">
        <v>0</v>
      </c>
      <c r="W558" s="2" t="s">
        <v>35</v>
      </c>
      <c r="X558" s="2" t="s">
        <v>35</v>
      </c>
      <c r="Y558" s="2" t="s">
        <v>35</v>
      </c>
      <c r="Z558" s="2" t="s">
        <v>35</v>
      </c>
    </row>
    <row r="559" spans="1:26" x14ac:dyDescent="0.2">
      <c r="A559" s="2" t="s">
        <v>1081</v>
      </c>
      <c r="B559" s="2" t="b">
        <v>0</v>
      </c>
      <c r="C559" s="2" t="b">
        <v>0</v>
      </c>
      <c r="D559" s="2" t="b">
        <v>0</v>
      </c>
      <c r="E559" s="2" t="b">
        <v>1</v>
      </c>
      <c r="F559" s="2" t="s">
        <v>31</v>
      </c>
      <c r="G559" s="2" t="s">
        <v>1082</v>
      </c>
      <c r="H559" s="2" t="s">
        <v>1083</v>
      </c>
      <c r="I559" s="2" t="s">
        <v>1084</v>
      </c>
      <c r="J559" s="2" t="s">
        <v>35</v>
      </c>
      <c r="K559" s="2">
        <v>8</v>
      </c>
      <c r="L559" s="2" t="s">
        <v>35</v>
      </c>
      <c r="M559" s="2" t="s">
        <v>35</v>
      </c>
      <c r="N559" s="3">
        <v>44740.525639050924</v>
      </c>
      <c r="O559" s="3">
        <v>44740.526760486115</v>
      </c>
      <c r="P559" s="2">
        <v>0</v>
      </c>
      <c r="Q559" s="2" t="s">
        <v>265</v>
      </c>
      <c r="R559" s="2" t="s">
        <v>38</v>
      </c>
      <c r="S559" s="2" t="s">
        <v>35</v>
      </c>
      <c r="T559" s="2" t="s">
        <v>35</v>
      </c>
      <c r="U559" s="2" t="s">
        <v>35</v>
      </c>
      <c r="V559" s="2" t="b">
        <v>0</v>
      </c>
      <c r="W559" s="2" t="s">
        <v>35</v>
      </c>
      <c r="X559" s="2" t="s">
        <v>35</v>
      </c>
      <c r="Y559" s="2" t="s">
        <v>35</v>
      </c>
      <c r="Z559" s="2" t="s">
        <v>35</v>
      </c>
    </row>
    <row r="560" spans="1:26" x14ac:dyDescent="0.2">
      <c r="A560" s="2" t="s">
        <v>1085</v>
      </c>
      <c r="B560" s="2" t="b">
        <v>0</v>
      </c>
      <c r="C560" s="2" t="b">
        <v>0</v>
      </c>
      <c r="D560" s="2" t="b">
        <v>0</v>
      </c>
      <c r="E560" s="2" t="b">
        <v>0</v>
      </c>
      <c r="F560" s="2" t="s">
        <v>31</v>
      </c>
      <c r="G560" s="2" t="s">
        <v>1086</v>
      </c>
      <c r="H560" s="2" t="s">
        <v>1087</v>
      </c>
      <c r="I560" s="2" t="s">
        <v>940</v>
      </c>
      <c r="J560" s="2" t="s">
        <v>35</v>
      </c>
      <c r="K560" s="2" t="s">
        <v>35</v>
      </c>
      <c r="L560" s="2" t="s">
        <v>35</v>
      </c>
      <c r="M560" s="2" t="s">
        <v>35</v>
      </c>
      <c r="N560" s="3">
        <v>44740.528336898147</v>
      </c>
      <c r="O560" s="3">
        <v>44740.528766030089</v>
      </c>
      <c r="P560" s="2">
        <v>0</v>
      </c>
      <c r="Q560" s="2" t="s">
        <v>124</v>
      </c>
      <c r="R560" s="2" t="s">
        <v>38</v>
      </c>
      <c r="S560" s="2" t="s">
        <v>35</v>
      </c>
      <c r="T560" s="2" t="s">
        <v>35</v>
      </c>
      <c r="U560" s="2" t="s">
        <v>35</v>
      </c>
      <c r="V560" s="2" t="b">
        <v>0</v>
      </c>
      <c r="W560" s="2" t="s">
        <v>35</v>
      </c>
      <c r="X560" s="2">
        <v>4</v>
      </c>
      <c r="Y560" s="2" t="s">
        <v>35</v>
      </c>
      <c r="Z560" s="2" t="s">
        <v>35</v>
      </c>
    </row>
    <row r="561" spans="1:26" x14ac:dyDescent="0.2">
      <c r="A561" s="2" t="s">
        <v>1088</v>
      </c>
      <c r="B561" s="2" t="b">
        <v>0</v>
      </c>
      <c r="C561" s="2" t="b">
        <v>0</v>
      </c>
      <c r="D561" s="2" t="b">
        <v>0</v>
      </c>
      <c r="E561" s="2" t="b">
        <v>0</v>
      </c>
      <c r="F561" s="2" t="s">
        <v>31</v>
      </c>
      <c r="G561" s="2" t="s">
        <v>1089</v>
      </c>
      <c r="H561" s="2" t="s">
        <v>1090</v>
      </c>
      <c r="I561" s="2" t="s">
        <v>1091</v>
      </c>
      <c r="J561" s="2" t="s">
        <v>35</v>
      </c>
      <c r="K561" s="2" t="s">
        <v>35</v>
      </c>
      <c r="L561" s="2" t="s">
        <v>35</v>
      </c>
      <c r="M561" s="2" t="s">
        <v>35</v>
      </c>
      <c r="N561" s="3">
        <v>44740.528899328703</v>
      </c>
      <c r="O561" s="3">
        <v>44740.52940255787</v>
      </c>
      <c r="P561" s="2">
        <v>0</v>
      </c>
      <c r="Q561" s="2" t="s">
        <v>109</v>
      </c>
      <c r="R561" s="2" t="s">
        <v>38</v>
      </c>
      <c r="S561" s="2" t="s">
        <v>35</v>
      </c>
      <c r="T561" s="2">
        <v>0</v>
      </c>
      <c r="U561" s="2" t="s">
        <v>979</v>
      </c>
      <c r="V561" s="2" t="b">
        <v>0</v>
      </c>
      <c r="W561" s="2" t="s">
        <v>35</v>
      </c>
      <c r="X561" s="2" t="s">
        <v>35</v>
      </c>
      <c r="Y561" s="2" t="s">
        <v>35</v>
      </c>
      <c r="Z561" s="2" t="s">
        <v>35</v>
      </c>
    </row>
    <row r="562" spans="1:26" x14ac:dyDescent="0.2">
      <c r="A562" s="2" t="s">
        <v>1092</v>
      </c>
      <c r="B562" s="2" t="b">
        <v>0</v>
      </c>
      <c r="C562" s="2" t="b">
        <v>0</v>
      </c>
      <c r="D562" s="2" t="b">
        <v>0</v>
      </c>
      <c r="E562" s="2" t="b">
        <v>1</v>
      </c>
      <c r="F562" s="2" t="s">
        <v>31</v>
      </c>
      <c r="G562" s="2" t="s">
        <v>1093</v>
      </c>
      <c r="H562" s="2" t="s">
        <v>1094</v>
      </c>
      <c r="I562" s="2" t="s">
        <v>1095</v>
      </c>
      <c r="J562" s="2" t="s">
        <v>35</v>
      </c>
      <c r="K562" s="2">
        <v>15</v>
      </c>
      <c r="L562" s="2" t="s">
        <v>35</v>
      </c>
      <c r="M562" s="2" t="s">
        <v>35</v>
      </c>
      <c r="N562" s="3">
        <v>44740.530813067133</v>
      </c>
      <c r="O562" s="3">
        <v>44740.531299525464</v>
      </c>
      <c r="P562" s="2">
        <v>0</v>
      </c>
      <c r="Q562" s="2" t="s">
        <v>265</v>
      </c>
      <c r="R562" s="2" t="s">
        <v>38</v>
      </c>
      <c r="S562" s="2" t="s">
        <v>35</v>
      </c>
      <c r="T562" s="2" t="s">
        <v>35</v>
      </c>
      <c r="U562" s="2" t="s">
        <v>35</v>
      </c>
      <c r="V562" s="2" t="b">
        <v>0</v>
      </c>
      <c r="W562" s="2" t="s">
        <v>35</v>
      </c>
      <c r="X562" s="2" t="s">
        <v>35</v>
      </c>
      <c r="Y562" s="2" t="s">
        <v>35</v>
      </c>
      <c r="Z562" s="2" t="s">
        <v>35</v>
      </c>
    </row>
    <row r="563" spans="1:26" x14ac:dyDescent="0.2">
      <c r="A563" s="2" t="s">
        <v>1096</v>
      </c>
      <c r="B563" s="2" t="b">
        <v>0</v>
      </c>
      <c r="C563" s="2" t="b">
        <v>0</v>
      </c>
      <c r="D563" s="2" t="b">
        <v>0</v>
      </c>
      <c r="E563" s="2" t="b">
        <v>0</v>
      </c>
      <c r="F563" s="2" t="s">
        <v>31</v>
      </c>
      <c r="G563" s="2" t="s">
        <v>1097</v>
      </c>
      <c r="H563" s="2" t="s">
        <v>1098</v>
      </c>
      <c r="I563" s="2" t="s">
        <v>1099</v>
      </c>
      <c r="J563" s="2" t="s">
        <v>35</v>
      </c>
      <c r="K563" s="2" t="s">
        <v>35</v>
      </c>
      <c r="L563" s="2" t="s">
        <v>35</v>
      </c>
      <c r="M563" s="2" t="s">
        <v>35</v>
      </c>
      <c r="N563" s="3">
        <v>44740.531541782409</v>
      </c>
      <c r="O563" s="3">
        <v>44740.532112384259</v>
      </c>
      <c r="P563" s="2">
        <v>0</v>
      </c>
      <c r="Q563" s="2" t="s">
        <v>109</v>
      </c>
      <c r="R563" s="2" t="s">
        <v>38</v>
      </c>
      <c r="S563" s="2" t="s">
        <v>35</v>
      </c>
      <c r="T563" s="2">
        <v>0</v>
      </c>
      <c r="U563" s="2" t="s">
        <v>979</v>
      </c>
      <c r="V563" s="2" t="b">
        <v>0</v>
      </c>
      <c r="W563" s="2" t="s">
        <v>35</v>
      </c>
      <c r="X563" s="2" t="s">
        <v>35</v>
      </c>
      <c r="Y563" s="2" t="s">
        <v>35</v>
      </c>
      <c r="Z563" s="2" t="s">
        <v>35</v>
      </c>
    </row>
    <row r="564" spans="1:26" x14ac:dyDescent="0.2">
      <c r="A564" s="2" t="s">
        <v>1100</v>
      </c>
      <c r="B564" s="2" t="b">
        <v>0</v>
      </c>
      <c r="C564" s="2" t="b">
        <v>0</v>
      </c>
      <c r="D564" s="2" t="b">
        <v>0</v>
      </c>
      <c r="E564" s="2" t="b">
        <v>0</v>
      </c>
      <c r="F564" s="2" t="s">
        <v>31</v>
      </c>
      <c r="G564" s="2" t="s">
        <v>1101</v>
      </c>
      <c r="H564" s="2" t="s">
        <v>1102</v>
      </c>
      <c r="I564" s="2" t="s">
        <v>119</v>
      </c>
      <c r="J564" s="2" t="s">
        <v>35</v>
      </c>
      <c r="K564" s="2" t="s">
        <v>35</v>
      </c>
      <c r="L564" s="2" t="s">
        <v>35</v>
      </c>
      <c r="M564" s="2" t="s">
        <v>35</v>
      </c>
      <c r="N564" s="3">
        <v>44740.533663703703</v>
      </c>
      <c r="O564" s="3">
        <v>44740.534286203707</v>
      </c>
      <c r="P564" s="2">
        <v>0</v>
      </c>
      <c r="Q564" s="2" t="s">
        <v>109</v>
      </c>
      <c r="R564" s="2" t="s">
        <v>38</v>
      </c>
      <c r="S564" s="2" t="s">
        <v>35</v>
      </c>
      <c r="T564" s="2">
        <v>60</v>
      </c>
      <c r="U564" s="2" t="s">
        <v>979</v>
      </c>
      <c r="V564" s="2" t="b">
        <v>0</v>
      </c>
      <c r="W564" s="2" t="s">
        <v>35</v>
      </c>
      <c r="X564" s="2" t="s">
        <v>35</v>
      </c>
      <c r="Y564" s="2" t="s">
        <v>35</v>
      </c>
      <c r="Z564" s="2" t="s">
        <v>35</v>
      </c>
    </row>
    <row r="565" spans="1:26" x14ac:dyDescent="0.2">
      <c r="A565" s="2" t="s">
        <v>1103</v>
      </c>
      <c r="B565" s="2" t="b">
        <v>0</v>
      </c>
      <c r="C565" s="2" t="b">
        <v>0</v>
      </c>
      <c r="D565" s="2" t="b">
        <v>0</v>
      </c>
      <c r="E565" s="2" t="b">
        <v>0</v>
      </c>
      <c r="F565" s="2" t="s">
        <v>31</v>
      </c>
      <c r="G565" s="2" t="s">
        <v>1104</v>
      </c>
      <c r="H565" s="2" t="s">
        <v>1105</v>
      </c>
      <c r="I565" s="2" t="s">
        <v>1106</v>
      </c>
      <c r="J565" s="2" t="s">
        <v>35</v>
      </c>
      <c r="K565" s="2" t="s">
        <v>35</v>
      </c>
      <c r="L565" s="2" t="s">
        <v>35</v>
      </c>
      <c r="M565" s="2" t="s">
        <v>35</v>
      </c>
      <c r="N565" s="3">
        <v>44740.535989456017</v>
      </c>
      <c r="O565" s="3">
        <v>44740.536977974538</v>
      </c>
      <c r="P565" s="2">
        <v>0</v>
      </c>
      <c r="Q565" s="2" t="s">
        <v>36</v>
      </c>
      <c r="R565" s="2" t="s">
        <v>38</v>
      </c>
      <c r="S565" s="2" t="s">
        <v>35</v>
      </c>
      <c r="T565" s="2" t="s">
        <v>35</v>
      </c>
      <c r="U565" s="2" t="s">
        <v>35</v>
      </c>
      <c r="V565" s="2" t="b">
        <v>0</v>
      </c>
      <c r="W565" s="2" t="s">
        <v>35</v>
      </c>
      <c r="X565" s="2" t="s">
        <v>35</v>
      </c>
      <c r="Y565" s="2">
        <v>7</v>
      </c>
      <c r="Z565" s="2" t="s">
        <v>35</v>
      </c>
    </row>
    <row r="566" spans="1:26" x14ac:dyDescent="0.2">
      <c r="A566" s="2" t="s">
        <v>1107</v>
      </c>
      <c r="B566" s="2" t="b">
        <v>0</v>
      </c>
      <c r="C566" s="2" t="b">
        <v>0</v>
      </c>
      <c r="D566" s="2" t="b">
        <v>0</v>
      </c>
      <c r="E566" s="2" t="b">
        <v>0</v>
      </c>
      <c r="F566" s="2" t="s">
        <v>31</v>
      </c>
      <c r="G566" s="2" t="s">
        <v>1108</v>
      </c>
      <c r="H566" s="2" t="s">
        <v>1109</v>
      </c>
      <c r="I566" s="2" t="s">
        <v>1110</v>
      </c>
      <c r="J566" s="2" t="s">
        <v>35</v>
      </c>
      <c r="K566" s="2" t="s">
        <v>35</v>
      </c>
      <c r="L566" s="2" t="s">
        <v>35</v>
      </c>
      <c r="M566" s="2" t="s">
        <v>35</v>
      </c>
      <c r="N566" s="3">
        <v>44740.537943657408</v>
      </c>
      <c r="O566" s="3">
        <v>44740.538253587962</v>
      </c>
      <c r="P566" s="2">
        <v>0</v>
      </c>
      <c r="Q566" s="2" t="s">
        <v>36</v>
      </c>
      <c r="R566" s="2" t="s">
        <v>38</v>
      </c>
      <c r="S566" s="2" t="s">
        <v>35</v>
      </c>
      <c r="T566" s="2" t="s">
        <v>35</v>
      </c>
      <c r="U566" s="2" t="s">
        <v>35</v>
      </c>
      <c r="V566" s="2" t="b">
        <v>0</v>
      </c>
      <c r="W566" s="2" t="s">
        <v>35</v>
      </c>
      <c r="X566" s="2" t="s">
        <v>35</v>
      </c>
      <c r="Y566" s="2">
        <v>9</v>
      </c>
      <c r="Z566" s="2" t="s">
        <v>35</v>
      </c>
    </row>
    <row r="567" spans="1:26" x14ac:dyDescent="0.2">
      <c r="A567" s="2" t="s">
        <v>1111</v>
      </c>
      <c r="B567" s="2" t="b">
        <v>0</v>
      </c>
      <c r="C567" s="2" t="b">
        <v>0</v>
      </c>
      <c r="D567" s="2" t="b">
        <v>0</v>
      </c>
      <c r="E567" s="2" t="b">
        <v>0</v>
      </c>
      <c r="F567" s="2" t="s">
        <v>31</v>
      </c>
      <c r="G567" s="2" t="s">
        <v>1112</v>
      </c>
      <c r="H567" s="2" t="s">
        <v>1113</v>
      </c>
      <c r="I567" s="2" t="s">
        <v>35</v>
      </c>
      <c r="J567" s="2" t="s">
        <v>35</v>
      </c>
      <c r="K567" s="2" t="s">
        <v>35</v>
      </c>
      <c r="L567" s="2">
        <v>10</v>
      </c>
      <c r="M567" s="2">
        <v>15</v>
      </c>
      <c r="N567" s="3">
        <v>44740.538316435188</v>
      </c>
      <c r="O567" s="3">
        <v>44740.538740069445</v>
      </c>
      <c r="P567" s="2">
        <v>0</v>
      </c>
      <c r="Q567" s="2" t="s">
        <v>54</v>
      </c>
      <c r="R567" s="2" t="s">
        <v>38</v>
      </c>
      <c r="S567" s="2" t="s">
        <v>35</v>
      </c>
      <c r="T567" s="2" t="s">
        <v>35</v>
      </c>
      <c r="U567" s="2" t="s">
        <v>35</v>
      </c>
      <c r="V567" s="2" t="b">
        <v>1</v>
      </c>
      <c r="W567" s="2" t="s">
        <v>35</v>
      </c>
      <c r="X567" s="2" t="s">
        <v>35</v>
      </c>
      <c r="Y567" s="2" t="s">
        <v>35</v>
      </c>
      <c r="Z567" s="2" t="s">
        <v>35</v>
      </c>
    </row>
    <row r="568" spans="1:26" x14ac:dyDescent="0.2">
      <c r="A568" s="2" t="s">
        <v>1114</v>
      </c>
      <c r="B568" s="2" t="b">
        <v>0</v>
      </c>
      <c r="C568" s="2" t="b">
        <v>0</v>
      </c>
      <c r="D568" s="2" t="b">
        <v>0</v>
      </c>
      <c r="E568" s="2" t="b">
        <v>0</v>
      </c>
      <c r="F568" s="2" t="s">
        <v>31</v>
      </c>
      <c r="G568" s="2" t="s">
        <v>1115</v>
      </c>
      <c r="H568" s="2" t="s">
        <v>1116</v>
      </c>
      <c r="I568" s="2" t="s">
        <v>675</v>
      </c>
      <c r="J568" s="2" t="s">
        <v>35</v>
      </c>
      <c r="K568" s="2" t="s">
        <v>35</v>
      </c>
      <c r="L568" s="2" t="s">
        <v>35</v>
      </c>
      <c r="M568" s="2" t="s">
        <v>35</v>
      </c>
      <c r="N568" s="3">
        <v>44743.592847418979</v>
      </c>
      <c r="O568" s="3">
        <v>44743.593009583332</v>
      </c>
      <c r="P568" s="2">
        <v>0</v>
      </c>
      <c r="Q568" s="2" t="s">
        <v>124</v>
      </c>
      <c r="R568" s="2" t="s">
        <v>38</v>
      </c>
      <c r="S568" s="2" t="s">
        <v>35</v>
      </c>
      <c r="T568" s="2" t="s">
        <v>35</v>
      </c>
      <c r="U568" s="2" t="s">
        <v>35</v>
      </c>
      <c r="V568" s="2" t="b">
        <v>0</v>
      </c>
      <c r="W568" s="2" t="s">
        <v>35</v>
      </c>
      <c r="X568" s="2">
        <v>4</v>
      </c>
      <c r="Y568" s="2" t="s">
        <v>35</v>
      </c>
      <c r="Z568" s="2" t="s">
        <v>35</v>
      </c>
    </row>
    <row r="569" spans="1:26" x14ac:dyDescent="0.2">
      <c r="A569" s="2" t="s">
        <v>1118</v>
      </c>
      <c r="B569" s="2" t="b">
        <v>0</v>
      </c>
      <c r="C569" s="2" t="b">
        <v>0</v>
      </c>
      <c r="D569" s="2" t="b">
        <v>0</v>
      </c>
      <c r="E569" s="2" t="b">
        <v>0</v>
      </c>
      <c r="F569" s="2" t="s">
        <v>31</v>
      </c>
      <c r="G569" s="2" t="s">
        <v>1119</v>
      </c>
      <c r="H569" s="2" t="s">
        <v>1120</v>
      </c>
      <c r="I569" s="2" t="s">
        <v>602</v>
      </c>
      <c r="J569" s="2" t="s">
        <v>35</v>
      </c>
      <c r="K569" s="2" t="s">
        <v>35</v>
      </c>
      <c r="L569" s="2" t="s">
        <v>35</v>
      </c>
      <c r="M569" s="2" t="s">
        <v>35</v>
      </c>
      <c r="N569" s="3">
        <v>44743.594386736113</v>
      </c>
      <c r="O569" s="3">
        <v>44743.594732847225</v>
      </c>
      <c r="P569" s="2">
        <v>0</v>
      </c>
      <c r="Q569" s="2" t="s">
        <v>36</v>
      </c>
      <c r="R569" s="2" t="s">
        <v>38</v>
      </c>
      <c r="S569" s="2" t="s">
        <v>35</v>
      </c>
      <c r="T569" s="2" t="s">
        <v>35</v>
      </c>
      <c r="U569" s="2" t="s">
        <v>35</v>
      </c>
      <c r="V569" s="2" t="b">
        <v>0</v>
      </c>
      <c r="W569" s="2" t="s">
        <v>35</v>
      </c>
      <c r="X569" s="2" t="s">
        <v>35</v>
      </c>
      <c r="Y569" s="2">
        <v>4</v>
      </c>
      <c r="Z569" s="2">
        <v>4</v>
      </c>
    </row>
    <row r="570" spans="1:26" x14ac:dyDescent="0.2">
      <c r="A570" s="2" t="s">
        <v>1121</v>
      </c>
      <c r="B570" s="2" t="b">
        <v>0</v>
      </c>
      <c r="C570" s="2" t="b">
        <v>0</v>
      </c>
      <c r="D570" s="2" t="b">
        <v>0</v>
      </c>
      <c r="E570" s="2" t="b">
        <v>0</v>
      </c>
      <c r="F570" s="2" t="s">
        <v>31</v>
      </c>
      <c r="G570" s="2" t="s">
        <v>1122</v>
      </c>
      <c r="H570" s="2" t="s">
        <v>1123</v>
      </c>
      <c r="I570" s="2" t="s">
        <v>1124</v>
      </c>
      <c r="J570" s="2" t="s">
        <v>35</v>
      </c>
      <c r="K570" s="2" t="s">
        <v>35</v>
      </c>
      <c r="L570" s="2" t="s">
        <v>35</v>
      </c>
      <c r="M570" s="2" t="s">
        <v>35</v>
      </c>
      <c r="N570" s="3">
        <v>44743.595891319441</v>
      </c>
      <c r="O570" s="3">
        <v>44743.597189756947</v>
      </c>
      <c r="P570" s="2">
        <v>0</v>
      </c>
      <c r="Q570" s="2" t="s">
        <v>416</v>
      </c>
      <c r="R570" s="2" t="s">
        <v>38</v>
      </c>
      <c r="S570" s="2" t="s">
        <v>35</v>
      </c>
      <c r="T570" s="2">
        <v>100</v>
      </c>
      <c r="U570" s="2" t="s">
        <v>228</v>
      </c>
      <c r="V570" s="2" t="b">
        <v>0</v>
      </c>
      <c r="W570" s="2" t="s">
        <v>35</v>
      </c>
      <c r="X570" s="2" t="s">
        <v>35</v>
      </c>
      <c r="Y570" s="2" t="s">
        <v>35</v>
      </c>
      <c r="Z570" s="2" t="s">
        <v>35</v>
      </c>
    </row>
    <row r="571" spans="1:26" x14ac:dyDescent="0.2">
      <c r="A571" s="2" t="s">
        <v>5299</v>
      </c>
      <c r="B571" s="2" t="b">
        <v>0</v>
      </c>
      <c r="C571" s="2" t="b">
        <v>0</v>
      </c>
      <c r="D571" s="2" t="b">
        <v>0</v>
      </c>
      <c r="E571" s="2" t="b">
        <v>0</v>
      </c>
      <c r="F571" s="2" t="s">
        <v>121</v>
      </c>
      <c r="G571" s="2" t="s">
        <v>9285</v>
      </c>
      <c r="H571" s="2" t="s">
        <v>9286</v>
      </c>
      <c r="I571" s="2" t="s">
        <v>35</v>
      </c>
      <c r="J571" s="2" t="s">
        <v>35</v>
      </c>
      <c r="K571" s="2" t="s">
        <v>35</v>
      </c>
      <c r="L571" s="2" t="s">
        <v>35</v>
      </c>
      <c r="M571" s="2" t="s">
        <v>35</v>
      </c>
      <c r="N571" s="3">
        <v>44743.597498449075</v>
      </c>
      <c r="O571" s="3">
        <v>44743.597636041668</v>
      </c>
      <c r="P571" s="2">
        <v>0</v>
      </c>
      <c r="Q571" s="2" t="s">
        <v>36</v>
      </c>
      <c r="R571" s="2" t="s">
        <v>38</v>
      </c>
      <c r="S571" s="2" t="s">
        <v>35</v>
      </c>
      <c r="T571" s="2" t="s">
        <v>35</v>
      </c>
      <c r="U571" s="2" t="s">
        <v>35</v>
      </c>
      <c r="V571" s="2" t="b">
        <v>0</v>
      </c>
      <c r="W571" s="2" t="s">
        <v>35</v>
      </c>
      <c r="X571" s="2" t="s">
        <v>35</v>
      </c>
      <c r="Y571" s="2" t="s">
        <v>35</v>
      </c>
      <c r="Z571" s="2" t="s">
        <v>35</v>
      </c>
    </row>
    <row r="572" spans="1:26" x14ac:dyDescent="0.2">
      <c r="A572" s="2" t="s">
        <v>1125</v>
      </c>
      <c r="B572" s="2" t="b">
        <v>0</v>
      </c>
      <c r="C572" s="2" t="b">
        <v>0</v>
      </c>
      <c r="D572" s="2" t="b">
        <v>0</v>
      </c>
      <c r="E572" s="2" t="b">
        <v>0</v>
      </c>
      <c r="F572" s="2" t="s">
        <v>31</v>
      </c>
      <c r="G572" s="2" t="s">
        <v>1126</v>
      </c>
      <c r="H572" s="2" t="s">
        <v>1127</v>
      </c>
      <c r="I572" s="2" t="s">
        <v>1128</v>
      </c>
      <c r="J572" s="2" t="s">
        <v>35</v>
      </c>
      <c r="K572" s="2" t="s">
        <v>35</v>
      </c>
      <c r="L572" s="2" t="s">
        <v>35</v>
      </c>
      <c r="M572" s="2" t="s">
        <v>35</v>
      </c>
      <c r="N572" s="3">
        <v>44743.610585115741</v>
      </c>
      <c r="O572" s="3">
        <v>44743.610838229164</v>
      </c>
      <c r="P572" s="2">
        <v>0</v>
      </c>
      <c r="Q572" s="2" t="s">
        <v>36</v>
      </c>
      <c r="R572" s="2" t="s">
        <v>38</v>
      </c>
      <c r="S572" s="2" t="s">
        <v>35</v>
      </c>
      <c r="T572" s="2" t="s">
        <v>35</v>
      </c>
      <c r="U572" s="2" t="s">
        <v>35</v>
      </c>
      <c r="V572" s="2" t="b">
        <v>0</v>
      </c>
      <c r="W572" s="2" t="s">
        <v>35</v>
      </c>
      <c r="X572" s="2" t="s">
        <v>35</v>
      </c>
      <c r="Y572" s="2">
        <v>4</v>
      </c>
      <c r="Z572" s="2">
        <v>3</v>
      </c>
    </row>
    <row r="573" spans="1:26" x14ac:dyDescent="0.2">
      <c r="A573" s="2" t="s">
        <v>1129</v>
      </c>
      <c r="B573" s="2" t="b">
        <v>0</v>
      </c>
      <c r="C573" s="2" t="b">
        <v>0</v>
      </c>
      <c r="D573" s="2" t="b">
        <v>0</v>
      </c>
      <c r="E573" s="2" t="b">
        <v>0</v>
      </c>
      <c r="F573" s="2" t="s">
        <v>31</v>
      </c>
      <c r="G573" s="2" t="s">
        <v>1130</v>
      </c>
      <c r="H573" s="2" t="s">
        <v>1131</v>
      </c>
      <c r="I573" s="2" t="s">
        <v>35</v>
      </c>
      <c r="J573" s="2" t="s">
        <v>35</v>
      </c>
      <c r="K573" s="2" t="s">
        <v>35</v>
      </c>
      <c r="L573" s="2" t="s">
        <v>35</v>
      </c>
      <c r="M573" s="2" t="s">
        <v>35</v>
      </c>
      <c r="N573" s="3">
        <v>44743.611167858799</v>
      </c>
      <c r="O573" s="3">
        <v>44743.611326736114</v>
      </c>
      <c r="P573" s="2">
        <v>0</v>
      </c>
      <c r="Q573" s="2" t="s">
        <v>36</v>
      </c>
      <c r="R573" s="2" t="s">
        <v>38</v>
      </c>
      <c r="S573" s="2" t="s">
        <v>35</v>
      </c>
      <c r="T573" s="2" t="s">
        <v>35</v>
      </c>
      <c r="U573" s="2" t="s">
        <v>35</v>
      </c>
      <c r="V573" s="2" t="b">
        <v>0</v>
      </c>
      <c r="W573" s="2" t="s">
        <v>35</v>
      </c>
      <c r="X573" s="2" t="s">
        <v>35</v>
      </c>
      <c r="Y573" s="2" t="s">
        <v>35</v>
      </c>
      <c r="Z573" s="2">
        <v>2</v>
      </c>
    </row>
    <row r="574" spans="1:26" x14ac:dyDescent="0.2">
      <c r="A574" s="2" t="s">
        <v>1132</v>
      </c>
      <c r="B574" s="2" t="b">
        <v>0</v>
      </c>
      <c r="C574" s="2" t="b">
        <v>0</v>
      </c>
      <c r="D574" s="2" t="b">
        <v>0</v>
      </c>
      <c r="E574" s="2" t="b">
        <v>0</v>
      </c>
      <c r="F574" s="2" t="s">
        <v>31</v>
      </c>
      <c r="G574" s="2" t="s">
        <v>1133</v>
      </c>
      <c r="H574" s="2" t="s">
        <v>1134</v>
      </c>
      <c r="I574" s="2" t="s">
        <v>35</v>
      </c>
      <c r="J574" s="2" t="s">
        <v>35</v>
      </c>
      <c r="K574" s="2" t="s">
        <v>35</v>
      </c>
      <c r="L574" s="2" t="s">
        <v>35</v>
      </c>
      <c r="M574" s="2" t="s">
        <v>35</v>
      </c>
      <c r="N574" s="3">
        <v>44743.612293819446</v>
      </c>
      <c r="O574" s="3">
        <v>44743.612608263888</v>
      </c>
      <c r="P574" s="2">
        <v>0</v>
      </c>
      <c r="Q574" s="2" t="s">
        <v>100</v>
      </c>
      <c r="R574" s="2" t="s">
        <v>38</v>
      </c>
      <c r="S574" s="2" t="s">
        <v>35</v>
      </c>
      <c r="T574" s="2">
        <v>113</v>
      </c>
      <c r="U574" s="2" t="s">
        <v>35</v>
      </c>
      <c r="V574" s="2" t="b">
        <v>0</v>
      </c>
      <c r="W574" s="2" t="s">
        <v>35</v>
      </c>
      <c r="X574" s="2" t="s">
        <v>35</v>
      </c>
      <c r="Y574" s="2" t="s">
        <v>35</v>
      </c>
      <c r="Z574" s="2" t="s">
        <v>35</v>
      </c>
    </row>
    <row r="575" spans="1:26" x14ac:dyDescent="0.2">
      <c r="A575" s="2" t="s">
        <v>1135</v>
      </c>
      <c r="B575" s="2" t="b">
        <v>0</v>
      </c>
      <c r="C575" s="2" t="b">
        <v>0</v>
      </c>
      <c r="D575" s="2" t="b">
        <v>0</v>
      </c>
      <c r="E575" s="2" t="b">
        <v>0</v>
      </c>
      <c r="F575" s="2" t="s">
        <v>31</v>
      </c>
      <c r="G575" s="2" t="s">
        <v>1136</v>
      </c>
      <c r="H575" s="2" t="s">
        <v>1137</v>
      </c>
      <c r="I575" s="2" t="s">
        <v>35</v>
      </c>
      <c r="J575" s="2" t="s">
        <v>35</v>
      </c>
      <c r="K575" s="2" t="s">
        <v>35</v>
      </c>
      <c r="L575" s="2" t="s">
        <v>35</v>
      </c>
      <c r="M575" s="2" t="s">
        <v>35</v>
      </c>
      <c r="N575" s="3">
        <v>44743.613095613429</v>
      </c>
      <c r="O575" s="3">
        <v>44743.613250844908</v>
      </c>
      <c r="P575" s="2">
        <v>0</v>
      </c>
      <c r="Q575" s="2" t="s">
        <v>100</v>
      </c>
      <c r="R575" s="2" t="s">
        <v>38</v>
      </c>
      <c r="S575" s="2" t="s">
        <v>35</v>
      </c>
      <c r="T575" s="2">
        <v>113</v>
      </c>
      <c r="U575" s="2" t="s">
        <v>35</v>
      </c>
      <c r="V575" s="2" t="b">
        <v>0</v>
      </c>
      <c r="W575" s="2" t="s">
        <v>35</v>
      </c>
      <c r="X575" s="2" t="s">
        <v>35</v>
      </c>
      <c r="Y575" s="2" t="s">
        <v>35</v>
      </c>
      <c r="Z575" s="2" t="s">
        <v>35</v>
      </c>
    </row>
    <row r="576" spans="1:26" x14ac:dyDescent="0.2">
      <c r="A576" s="2" t="s">
        <v>1138</v>
      </c>
      <c r="B576" s="2" t="b">
        <v>0</v>
      </c>
      <c r="C576" s="2" t="b">
        <v>0</v>
      </c>
      <c r="D576" s="2" t="b">
        <v>0</v>
      </c>
      <c r="E576" s="2" t="b">
        <v>0</v>
      </c>
      <c r="F576" s="2" t="s">
        <v>31</v>
      </c>
      <c r="G576" s="2" t="s">
        <v>1139</v>
      </c>
      <c r="H576" s="2" t="s">
        <v>1140</v>
      </c>
      <c r="I576" s="2" t="s">
        <v>1141</v>
      </c>
      <c r="J576" s="2" t="s">
        <v>35</v>
      </c>
      <c r="K576" s="2" t="s">
        <v>35</v>
      </c>
      <c r="L576" s="2" t="s">
        <v>35</v>
      </c>
      <c r="M576" s="2" t="s">
        <v>35</v>
      </c>
      <c r="N576" s="3">
        <v>44743.614108715279</v>
      </c>
      <c r="O576" s="3">
        <v>44743.614588252312</v>
      </c>
      <c r="P576" s="2">
        <v>0</v>
      </c>
      <c r="Q576" s="2" t="s">
        <v>36</v>
      </c>
      <c r="R576" s="2" t="s">
        <v>38</v>
      </c>
      <c r="S576" s="2" t="s">
        <v>35</v>
      </c>
      <c r="T576" s="2" t="s">
        <v>35</v>
      </c>
      <c r="U576" s="2" t="s">
        <v>35</v>
      </c>
      <c r="V576" s="2" t="b">
        <v>0</v>
      </c>
      <c r="W576" s="2" t="s">
        <v>35</v>
      </c>
      <c r="X576" s="2" t="s">
        <v>35</v>
      </c>
      <c r="Y576" s="2">
        <v>4</v>
      </c>
      <c r="Z576" s="2" t="s">
        <v>35</v>
      </c>
    </row>
    <row r="577" spans="1:26" x14ac:dyDescent="0.2">
      <c r="A577" s="2" t="s">
        <v>1142</v>
      </c>
      <c r="B577" s="2" t="b">
        <v>0</v>
      </c>
      <c r="C577" s="2" t="b">
        <v>0</v>
      </c>
      <c r="D577" s="2" t="b">
        <v>0</v>
      </c>
      <c r="E577" s="2" t="b">
        <v>0</v>
      </c>
      <c r="F577" s="2" t="s">
        <v>31</v>
      </c>
      <c r="G577" s="2" t="s">
        <v>1143</v>
      </c>
      <c r="H577" s="2" t="s">
        <v>1144</v>
      </c>
      <c r="I577" s="2" t="s">
        <v>602</v>
      </c>
      <c r="J577" s="2" t="s">
        <v>35</v>
      </c>
      <c r="K577" s="2" t="s">
        <v>35</v>
      </c>
      <c r="L577" s="2" t="s">
        <v>35</v>
      </c>
      <c r="M577" s="2" t="s">
        <v>35</v>
      </c>
      <c r="N577" s="3">
        <v>44743.615936168979</v>
      </c>
      <c r="O577" s="3">
        <v>44743.616377094906</v>
      </c>
      <c r="P577" s="2">
        <v>0</v>
      </c>
      <c r="Q577" s="2" t="s">
        <v>36</v>
      </c>
      <c r="R577" s="2" t="s">
        <v>38</v>
      </c>
      <c r="S577" s="2" t="s">
        <v>35</v>
      </c>
      <c r="T577" s="2" t="s">
        <v>35</v>
      </c>
      <c r="U577" s="2" t="s">
        <v>35</v>
      </c>
      <c r="V577" s="2" t="b">
        <v>0</v>
      </c>
      <c r="W577" s="2" t="s">
        <v>35</v>
      </c>
      <c r="X577" s="2" t="s">
        <v>35</v>
      </c>
      <c r="Y577" s="2">
        <v>4</v>
      </c>
      <c r="Z577" s="2" t="s">
        <v>35</v>
      </c>
    </row>
    <row r="578" spans="1:26" x14ac:dyDescent="0.2">
      <c r="A578" s="2" t="s">
        <v>1145</v>
      </c>
      <c r="B578" s="2" t="b">
        <v>0</v>
      </c>
      <c r="C578" s="2" t="b">
        <v>0</v>
      </c>
      <c r="D578" s="2" t="b">
        <v>0</v>
      </c>
      <c r="E578" s="2" t="b">
        <v>0</v>
      </c>
      <c r="F578" s="2" t="s">
        <v>31</v>
      </c>
      <c r="G578" s="2" t="s">
        <v>1146</v>
      </c>
      <c r="H578" s="2" t="s">
        <v>1147</v>
      </c>
      <c r="I578" s="2" t="s">
        <v>35</v>
      </c>
      <c r="J578" s="2" t="s">
        <v>35</v>
      </c>
      <c r="K578" s="2" t="s">
        <v>35</v>
      </c>
      <c r="L578" s="2">
        <v>15</v>
      </c>
      <c r="M578" s="2">
        <v>17</v>
      </c>
      <c r="N578" s="3">
        <v>44743.616460011574</v>
      </c>
      <c r="O578" s="3">
        <v>44743.616722037033</v>
      </c>
      <c r="P578" s="2">
        <v>0</v>
      </c>
      <c r="Q578" s="2" t="s">
        <v>54</v>
      </c>
      <c r="R578" s="2" t="s">
        <v>38</v>
      </c>
      <c r="S578" s="2" t="s">
        <v>35</v>
      </c>
      <c r="T578" s="2" t="s">
        <v>35</v>
      </c>
      <c r="U578" s="2" t="s">
        <v>35</v>
      </c>
      <c r="V578" s="2" t="b">
        <v>0</v>
      </c>
      <c r="W578" s="2" t="s">
        <v>35</v>
      </c>
      <c r="X578" s="2" t="s">
        <v>35</v>
      </c>
      <c r="Y578" s="2" t="s">
        <v>35</v>
      </c>
      <c r="Z578" s="2" t="s">
        <v>35</v>
      </c>
    </row>
    <row r="579" spans="1:26" x14ac:dyDescent="0.2">
      <c r="A579" s="2" t="s">
        <v>1148</v>
      </c>
      <c r="B579" s="2" t="b">
        <v>0</v>
      </c>
      <c r="C579" s="2" t="b">
        <v>0</v>
      </c>
      <c r="D579" s="2" t="b">
        <v>0</v>
      </c>
      <c r="E579" s="2" t="b">
        <v>0</v>
      </c>
      <c r="F579" s="2" t="s">
        <v>31</v>
      </c>
      <c r="G579" s="2" t="s">
        <v>1149</v>
      </c>
      <c r="H579" s="2" t="s">
        <v>1150</v>
      </c>
      <c r="I579" s="2" t="s">
        <v>35</v>
      </c>
      <c r="J579" s="2" t="s">
        <v>35</v>
      </c>
      <c r="K579" s="2">
        <v>5</v>
      </c>
      <c r="L579" s="2" t="s">
        <v>35</v>
      </c>
      <c r="M579" s="2" t="s">
        <v>35</v>
      </c>
      <c r="N579" s="3">
        <v>44743.617322916667</v>
      </c>
      <c r="O579" s="3">
        <v>44743.617508460651</v>
      </c>
      <c r="P579" s="2">
        <v>0</v>
      </c>
      <c r="Q579" s="2" t="s">
        <v>265</v>
      </c>
      <c r="R579" s="2" t="s">
        <v>38</v>
      </c>
      <c r="S579" s="2" t="s">
        <v>35</v>
      </c>
      <c r="T579" s="2" t="s">
        <v>35</v>
      </c>
      <c r="U579" s="2" t="s">
        <v>35</v>
      </c>
      <c r="V579" s="2" t="b">
        <v>0</v>
      </c>
      <c r="W579" s="2" t="s">
        <v>35</v>
      </c>
      <c r="X579" s="2" t="s">
        <v>35</v>
      </c>
      <c r="Y579" s="2" t="s">
        <v>35</v>
      </c>
      <c r="Z579" s="2" t="s">
        <v>35</v>
      </c>
    </row>
    <row r="580" spans="1:26" x14ac:dyDescent="0.2">
      <c r="A580" s="2" t="s">
        <v>1151</v>
      </c>
      <c r="B580" s="2" t="b">
        <v>0</v>
      </c>
      <c r="C580" s="2" t="b">
        <v>0</v>
      </c>
      <c r="D580" s="2" t="b">
        <v>0</v>
      </c>
      <c r="E580" s="2" t="b">
        <v>0</v>
      </c>
      <c r="F580" s="2" t="s">
        <v>31</v>
      </c>
      <c r="G580" s="2" t="s">
        <v>1152</v>
      </c>
      <c r="H580" s="2" t="s">
        <v>1153</v>
      </c>
      <c r="I580" s="2" t="s">
        <v>35</v>
      </c>
      <c r="J580" s="2" t="s">
        <v>35</v>
      </c>
      <c r="K580" s="2" t="s">
        <v>35</v>
      </c>
      <c r="L580" s="2" t="s">
        <v>35</v>
      </c>
      <c r="M580" s="2" t="s">
        <v>35</v>
      </c>
      <c r="N580" s="3">
        <v>44743.618534733796</v>
      </c>
      <c r="O580" s="3">
        <v>44743.618689270836</v>
      </c>
      <c r="P580" s="2">
        <v>0</v>
      </c>
      <c r="Q580" s="2" t="s">
        <v>36</v>
      </c>
      <c r="R580" s="2" t="s">
        <v>38</v>
      </c>
      <c r="S580" s="2" t="s">
        <v>35</v>
      </c>
      <c r="T580" s="2" t="s">
        <v>35</v>
      </c>
      <c r="U580" s="2" t="s">
        <v>35</v>
      </c>
      <c r="V580" s="2" t="b">
        <v>0</v>
      </c>
      <c r="W580" s="2" t="s">
        <v>35</v>
      </c>
      <c r="X580" s="2" t="s">
        <v>35</v>
      </c>
      <c r="Y580" s="2" t="s">
        <v>35</v>
      </c>
      <c r="Z580" s="2">
        <v>2</v>
      </c>
    </row>
    <row r="581" spans="1:26" x14ac:dyDescent="0.2">
      <c r="A581" s="2" t="s">
        <v>1154</v>
      </c>
      <c r="B581" s="2" t="b">
        <v>0</v>
      </c>
      <c r="C581" s="2" t="b">
        <v>0</v>
      </c>
      <c r="D581" s="2" t="b">
        <v>0</v>
      </c>
      <c r="E581" s="2" t="b">
        <v>0</v>
      </c>
      <c r="F581" s="2" t="s">
        <v>31</v>
      </c>
      <c r="G581" s="2" t="s">
        <v>1155</v>
      </c>
      <c r="H581" s="2" t="s">
        <v>1156</v>
      </c>
      <c r="I581" s="2" t="s">
        <v>35</v>
      </c>
      <c r="J581" s="2" t="s">
        <v>35</v>
      </c>
      <c r="K581" s="2" t="s">
        <v>35</v>
      </c>
      <c r="L581" s="2" t="s">
        <v>35</v>
      </c>
      <c r="M581" s="2" t="s">
        <v>35</v>
      </c>
      <c r="N581" s="3">
        <v>44743.620396967592</v>
      </c>
      <c r="O581" s="3">
        <v>44743.620642476853</v>
      </c>
      <c r="P581" s="2">
        <v>0</v>
      </c>
      <c r="Q581" s="2" t="s">
        <v>36</v>
      </c>
      <c r="R581" s="2" t="s">
        <v>38</v>
      </c>
      <c r="S581" s="2" t="s">
        <v>35</v>
      </c>
      <c r="T581" s="2" t="s">
        <v>35</v>
      </c>
      <c r="U581" s="2" t="s">
        <v>35</v>
      </c>
      <c r="V581" s="2" t="b">
        <v>0</v>
      </c>
      <c r="W581" s="2" t="s">
        <v>35</v>
      </c>
      <c r="X581" s="2" t="s">
        <v>35</v>
      </c>
      <c r="Y581" s="2" t="s">
        <v>35</v>
      </c>
      <c r="Z581" s="2">
        <v>2</v>
      </c>
    </row>
    <row r="582" spans="1:26" x14ac:dyDescent="0.2">
      <c r="A582" s="2" t="s">
        <v>1157</v>
      </c>
      <c r="B582" s="2" t="b">
        <v>0</v>
      </c>
      <c r="C582" s="2" t="b">
        <v>0</v>
      </c>
      <c r="D582" s="2" t="b">
        <v>0</v>
      </c>
      <c r="E582" s="2" t="b">
        <v>0</v>
      </c>
      <c r="F582" s="2" t="s">
        <v>31</v>
      </c>
      <c r="G582" s="2" t="s">
        <v>1158</v>
      </c>
      <c r="H582" s="2" t="s">
        <v>1159</v>
      </c>
      <c r="I582" s="2" t="s">
        <v>602</v>
      </c>
      <c r="J582" s="2" t="s">
        <v>35</v>
      </c>
      <c r="K582" s="2" t="s">
        <v>35</v>
      </c>
      <c r="L582" s="2" t="s">
        <v>35</v>
      </c>
      <c r="M582" s="2" t="s">
        <v>35</v>
      </c>
      <c r="N582" s="3">
        <v>44743.622902337964</v>
      </c>
      <c r="O582" s="3">
        <v>44743.623267430557</v>
      </c>
      <c r="P582" s="2">
        <v>0</v>
      </c>
      <c r="Q582" s="2" t="s">
        <v>36</v>
      </c>
      <c r="R582" s="2" t="s">
        <v>38</v>
      </c>
      <c r="S582" s="2" t="s">
        <v>35</v>
      </c>
      <c r="T582" s="2" t="s">
        <v>35</v>
      </c>
      <c r="U582" s="2" t="s">
        <v>35</v>
      </c>
      <c r="V582" s="2" t="b">
        <v>0</v>
      </c>
      <c r="W582" s="2" t="s">
        <v>35</v>
      </c>
      <c r="X582" s="2" t="s">
        <v>35</v>
      </c>
      <c r="Y582" s="2">
        <v>4</v>
      </c>
      <c r="Z582" s="2" t="s">
        <v>35</v>
      </c>
    </row>
    <row r="583" spans="1:26" x14ac:dyDescent="0.2">
      <c r="A583" s="2" t="s">
        <v>1160</v>
      </c>
      <c r="B583" s="2" t="b">
        <v>0</v>
      </c>
      <c r="C583" s="2" t="b">
        <v>0</v>
      </c>
      <c r="D583" s="2" t="b">
        <v>0</v>
      </c>
      <c r="E583" s="2" t="b">
        <v>0</v>
      </c>
      <c r="F583" s="2" t="s">
        <v>31</v>
      </c>
      <c r="G583" s="2" t="s">
        <v>1161</v>
      </c>
      <c r="H583" s="2" t="s">
        <v>1162</v>
      </c>
      <c r="I583" s="2" t="s">
        <v>35</v>
      </c>
      <c r="J583" s="2" t="s">
        <v>35</v>
      </c>
      <c r="K583" s="2" t="s">
        <v>35</v>
      </c>
      <c r="L583" s="2" t="s">
        <v>35</v>
      </c>
      <c r="M583" s="2" t="s">
        <v>35</v>
      </c>
      <c r="N583" s="3">
        <v>44743.623940902777</v>
      </c>
      <c r="O583" s="3">
        <v>44743.624220925929</v>
      </c>
      <c r="P583" s="2">
        <v>0</v>
      </c>
      <c r="Q583" s="2" t="s">
        <v>36</v>
      </c>
      <c r="R583" s="2" t="s">
        <v>38</v>
      </c>
      <c r="S583" s="2" t="s">
        <v>35</v>
      </c>
      <c r="T583" s="2" t="s">
        <v>35</v>
      </c>
      <c r="U583" s="2" t="s">
        <v>35</v>
      </c>
      <c r="V583" s="2" t="b">
        <v>0</v>
      </c>
      <c r="W583" s="2" t="s">
        <v>35</v>
      </c>
      <c r="X583" s="2" t="s">
        <v>35</v>
      </c>
      <c r="Y583" s="2" t="s">
        <v>35</v>
      </c>
      <c r="Z583" s="2">
        <v>3</v>
      </c>
    </row>
    <row r="584" spans="1:26" x14ac:dyDescent="0.2">
      <c r="A584" s="2" t="s">
        <v>1163</v>
      </c>
      <c r="B584" s="2" t="b">
        <v>0</v>
      </c>
      <c r="C584" s="2" t="b">
        <v>0</v>
      </c>
      <c r="D584" s="2" t="b">
        <v>0</v>
      </c>
      <c r="E584" s="2" t="b">
        <v>0</v>
      </c>
      <c r="F584" s="2" t="s">
        <v>31</v>
      </c>
      <c r="G584" s="2" t="s">
        <v>1164</v>
      </c>
      <c r="H584" s="2" t="s">
        <v>1165</v>
      </c>
      <c r="I584" s="2" t="s">
        <v>602</v>
      </c>
      <c r="J584" s="2" t="s">
        <v>35</v>
      </c>
      <c r="K584" s="2" t="s">
        <v>35</v>
      </c>
      <c r="L584" s="2" t="s">
        <v>35</v>
      </c>
      <c r="M584" s="2" t="s">
        <v>35</v>
      </c>
      <c r="N584" s="3">
        <v>44743.625078969904</v>
      </c>
      <c r="O584" s="3">
        <v>44743.625502152776</v>
      </c>
      <c r="P584" s="2">
        <v>0</v>
      </c>
      <c r="Q584" s="2" t="s">
        <v>36</v>
      </c>
      <c r="R584" s="2" t="s">
        <v>38</v>
      </c>
      <c r="S584" s="2" t="s">
        <v>35</v>
      </c>
      <c r="T584" s="2" t="s">
        <v>35</v>
      </c>
      <c r="U584" s="2" t="s">
        <v>35</v>
      </c>
      <c r="V584" s="2" t="b">
        <v>0</v>
      </c>
      <c r="W584" s="2" t="s">
        <v>35</v>
      </c>
      <c r="X584" s="2" t="s">
        <v>35</v>
      </c>
      <c r="Y584" s="2">
        <v>9</v>
      </c>
      <c r="Z584" s="2">
        <v>4</v>
      </c>
    </row>
    <row r="585" spans="1:26" x14ac:dyDescent="0.2">
      <c r="A585" s="2" t="s">
        <v>1166</v>
      </c>
      <c r="B585" s="2" t="b">
        <v>0</v>
      </c>
      <c r="C585" s="2" t="b">
        <v>0</v>
      </c>
      <c r="D585" s="2" t="b">
        <v>0</v>
      </c>
      <c r="E585" s="2" t="b">
        <v>0</v>
      </c>
      <c r="F585" s="2" t="s">
        <v>31</v>
      </c>
      <c r="G585" s="2" t="s">
        <v>1167</v>
      </c>
      <c r="H585" s="2" t="s">
        <v>1168</v>
      </c>
      <c r="I585" s="2" t="s">
        <v>1169</v>
      </c>
      <c r="J585" s="2" t="s">
        <v>35</v>
      </c>
      <c r="K585" s="2" t="s">
        <v>35</v>
      </c>
      <c r="L585" s="2">
        <v>17</v>
      </c>
      <c r="M585" s="2">
        <v>9</v>
      </c>
      <c r="N585" s="3">
        <v>44743.625651770832</v>
      </c>
      <c r="O585" s="3">
        <v>44743.626227754627</v>
      </c>
      <c r="P585" s="2">
        <v>0</v>
      </c>
      <c r="Q585" s="2" t="s">
        <v>54</v>
      </c>
      <c r="R585" s="2" t="s">
        <v>38</v>
      </c>
      <c r="S585" s="2" t="s">
        <v>35</v>
      </c>
      <c r="T585" s="2" t="s">
        <v>35</v>
      </c>
      <c r="U585" s="2" t="s">
        <v>35</v>
      </c>
      <c r="V585" s="2" t="b">
        <v>1</v>
      </c>
      <c r="W585" s="2" t="s">
        <v>35</v>
      </c>
      <c r="X585" s="2" t="s">
        <v>35</v>
      </c>
      <c r="Y585" s="2" t="s">
        <v>35</v>
      </c>
      <c r="Z585" s="2" t="s">
        <v>35</v>
      </c>
    </row>
    <row r="586" spans="1:26" x14ac:dyDescent="0.2">
      <c r="A586" s="2" t="s">
        <v>1170</v>
      </c>
      <c r="B586" s="2" t="b">
        <v>0</v>
      </c>
      <c r="C586" s="2" t="b">
        <v>0</v>
      </c>
      <c r="D586" s="2" t="b">
        <v>0</v>
      </c>
      <c r="E586" s="2" t="b">
        <v>0</v>
      </c>
      <c r="F586" s="2" t="s">
        <v>31</v>
      </c>
      <c r="G586" s="2" t="s">
        <v>1171</v>
      </c>
      <c r="H586" s="2" t="s">
        <v>1172</v>
      </c>
      <c r="I586" s="2" t="s">
        <v>1173</v>
      </c>
      <c r="J586" s="2" t="s">
        <v>35</v>
      </c>
      <c r="K586" s="2" t="s">
        <v>35</v>
      </c>
      <c r="L586" s="2" t="s">
        <v>35</v>
      </c>
      <c r="M586" s="2" t="s">
        <v>35</v>
      </c>
      <c r="N586" s="3">
        <v>44743.626282372687</v>
      </c>
      <c r="O586" s="3">
        <v>44743.62684084491</v>
      </c>
      <c r="P586" s="2">
        <v>0</v>
      </c>
      <c r="Q586" s="2" t="s">
        <v>36</v>
      </c>
      <c r="R586" s="2" t="s">
        <v>38</v>
      </c>
      <c r="S586" s="2" t="s">
        <v>35</v>
      </c>
      <c r="T586" s="2" t="s">
        <v>35</v>
      </c>
      <c r="U586" s="2" t="s">
        <v>35</v>
      </c>
      <c r="V586" s="2" t="b">
        <v>0</v>
      </c>
      <c r="W586" s="2" t="s">
        <v>35</v>
      </c>
      <c r="X586" s="2" t="s">
        <v>35</v>
      </c>
      <c r="Y586" s="2">
        <v>11</v>
      </c>
      <c r="Z586" s="2" t="s">
        <v>35</v>
      </c>
    </row>
    <row r="587" spans="1:26" x14ac:dyDescent="0.2">
      <c r="A587" s="2" t="s">
        <v>1174</v>
      </c>
      <c r="B587" s="2" t="b">
        <v>0</v>
      </c>
      <c r="C587" s="2" t="b">
        <v>0</v>
      </c>
      <c r="D587" s="2" t="b">
        <v>0</v>
      </c>
      <c r="E587" s="2" t="b">
        <v>0</v>
      </c>
      <c r="F587" s="2" t="s">
        <v>31</v>
      </c>
      <c r="G587" s="2" t="s">
        <v>1175</v>
      </c>
      <c r="H587" s="2" t="s">
        <v>1176</v>
      </c>
      <c r="I587" s="2" t="s">
        <v>1177</v>
      </c>
      <c r="J587" s="2" t="s">
        <v>35</v>
      </c>
      <c r="K587" s="2" t="s">
        <v>35</v>
      </c>
      <c r="L587" s="2" t="s">
        <v>35</v>
      </c>
      <c r="M587" s="2" t="s">
        <v>35</v>
      </c>
      <c r="N587" s="3">
        <v>44743.627843090275</v>
      </c>
      <c r="O587" s="3">
        <v>44743.628229988426</v>
      </c>
      <c r="P587" s="2">
        <v>0</v>
      </c>
      <c r="Q587" s="2" t="s">
        <v>36</v>
      </c>
      <c r="R587" s="2" t="s">
        <v>38</v>
      </c>
      <c r="S587" s="2" t="s">
        <v>35</v>
      </c>
      <c r="T587" s="2" t="s">
        <v>35</v>
      </c>
      <c r="U587" s="2" t="s">
        <v>35</v>
      </c>
      <c r="V587" s="2" t="b">
        <v>0</v>
      </c>
      <c r="W587" s="2" t="s">
        <v>35</v>
      </c>
      <c r="X587" s="2" t="s">
        <v>35</v>
      </c>
      <c r="Y587" s="2">
        <v>7</v>
      </c>
      <c r="Z587" s="2" t="s">
        <v>35</v>
      </c>
    </row>
    <row r="588" spans="1:26" x14ac:dyDescent="0.2">
      <c r="A588" s="2" t="s">
        <v>1178</v>
      </c>
      <c r="B588" s="2" t="b">
        <v>0</v>
      </c>
      <c r="C588" s="2" t="b">
        <v>0</v>
      </c>
      <c r="D588" s="2" t="b">
        <v>0</v>
      </c>
      <c r="E588" s="2" t="b">
        <v>0</v>
      </c>
      <c r="F588" s="2" t="s">
        <v>31</v>
      </c>
      <c r="G588" s="2" t="s">
        <v>1179</v>
      </c>
      <c r="H588" s="2" t="s">
        <v>1180</v>
      </c>
      <c r="I588" s="2" t="s">
        <v>1181</v>
      </c>
      <c r="J588" s="2" t="s">
        <v>35</v>
      </c>
      <c r="K588" s="2" t="s">
        <v>35</v>
      </c>
      <c r="L588" s="2">
        <v>13</v>
      </c>
      <c r="M588" s="2">
        <v>13</v>
      </c>
      <c r="N588" s="3">
        <v>44743.628727523152</v>
      </c>
      <c r="O588" s="3">
        <v>44743.629452800924</v>
      </c>
      <c r="P588" s="2">
        <v>0</v>
      </c>
      <c r="Q588" s="2" t="s">
        <v>54</v>
      </c>
      <c r="R588" s="2" t="s">
        <v>38</v>
      </c>
      <c r="S588" s="2" t="s">
        <v>35</v>
      </c>
      <c r="T588" s="2" t="s">
        <v>35</v>
      </c>
      <c r="U588" s="2" t="s">
        <v>35</v>
      </c>
      <c r="V588" s="2" t="b">
        <v>1</v>
      </c>
      <c r="W588" s="2" t="s">
        <v>35</v>
      </c>
      <c r="X588" s="2" t="s">
        <v>35</v>
      </c>
      <c r="Y588" s="2" t="s">
        <v>35</v>
      </c>
      <c r="Z588" s="2" t="s">
        <v>35</v>
      </c>
    </row>
    <row r="589" spans="1:26" x14ac:dyDescent="0.2">
      <c r="A589" s="2" t="s">
        <v>1182</v>
      </c>
      <c r="B589" s="2" t="b">
        <v>0</v>
      </c>
      <c r="C589" s="2" t="b">
        <v>0</v>
      </c>
      <c r="D589" s="2" t="b">
        <v>0</v>
      </c>
      <c r="E589" s="2" t="b">
        <v>0</v>
      </c>
      <c r="F589" s="2" t="s">
        <v>31</v>
      </c>
      <c r="G589" s="2" t="s">
        <v>1183</v>
      </c>
      <c r="H589" s="2" t="s">
        <v>1184</v>
      </c>
      <c r="I589" s="2" t="s">
        <v>1185</v>
      </c>
      <c r="J589" s="2" t="s">
        <v>35</v>
      </c>
      <c r="K589" s="2" t="s">
        <v>35</v>
      </c>
      <c r="L589" s="2" t="s">
        <v>35</v>
      </c>
      <c r="M589" s="2" t="s">
        <v>35</v>
      </c>
      <c r="N589" s="3">
        <v>44743.629506574071</v>
      </c>
      <c r="O589" s="3">
        <v>44743.629745138889</v>
      </c>
      <c r="P589" s="2">
        <v>0</v>
      </c>
      <c r="Q589" s="2" t="s">
        <v>36</v>
      </c>
      <c r="R589" s="2" t="s">
        <v>38</v>
      </c>
      <c r="S589" s="2" t="s">
        <v>35</v>
      </c>
      <c r="T589" s="2" t="s">
        <v>35</v>
      </c>
      <c r="U589" s="2" t="s">
        <v>35</v>
      </c>
      <c r="V589" s="2" t="b">
        <v>0</v>
      </c>
      <c r="W589" s="2" t="s">
        <v>35</v>
      </c>
      <c r="X589" s="2" t="s">
        <v>35</v>
      </c>
      <c r="Y589" s="2">
        <v>13</v>
      </c>
      <c r="Z589" s="2" t="s">
        <v>35</v>
      </c>
    </row>
    <row r="590" spans="1:26" x14ac:dyDescent="0.2">
      <c r="A590" s="2" t="s">
        <v>1186</v>
      </c>
      <c r="B590" s="2" t="b">
        <v>0</v>
      </c>
      <c r="C590" s="2" t="b">
        <v>0</v>
      </c>
      <c r="D590" s="2" t="b">
        <v>0</v>
      </c>
      <c r="E590" s="2" t="b">
        <v>0</v>
      </c>
      <c r="F590" s="2" t="s">
        <v>31</v>
      </c>
      <c r="G590" s="2" t="s">
        <v>1187</v>
      </c>
      <c r="H590" s="2" t="s">
        <v>1188</v>
      </c>
      <c r="I590" s="2" t="s">
        <v>35</v>
      </c>
      <c r="J590" s="2" t="s">
        <v>35</v>
      </c>
      <c r="K590" s="2" t="s">
        <v>35</v>
      </c>
      <c r="L590" s="2" t="s">
        <v>35</v>
      </c>
      <c r="M590" s="2" t="s">
        <v>35</v>
      </c>
      <c r="N590" s="3">
        <v>44743.630332418979</v>
      </c>
      <c r="O590" s="3">
        <v>44743.630586064814</v>
      </c>
      <c r="P590" s="2">
        <v>0</v>
      </c>
      <c r="Q590" s="2" t="s">
        <v>36</v>
      </c>
      <c r="R590" s="2" t="s">
        <v>38</v>
      </c>
      <c r="S590" s="2" t="s">
        <v>35</v>
      </c>
      <c r="T590" s="2" t="s">
        <v>35</v>
      </c>
      <c r="U590" s="2" t="s">
        <v>35</v>
      </c>
      <c r="V590" s="2" t="b">
        <v>0</v>
      </c>
      <c r="W590" s="2" t="s">
        <v>35</v>
      </c>
      <c r="X590" s="2" t="s">
        <v>35</v>
      </c>
      <c r="Y590" s="2" t="s">
        <v>35</v>
      </c>
      <c r="Z590" s="2">
        <v>8</v>
      </c>
    </row>
    <row r="591" spans="1:26" x14ac:dyDescent="0.2">
      <c r="A591" s="2" t="s">
        <v>1189</v>
      </c>
      <c r="B591" s="2" t="b">
        <v>0</v>
      </c>
      <c r="C591" s="2" t="b">
        <v>0</v>
      </c>
      <c r="D591" s="2" t="b">
        <v>0</v>
      </c>
      <c r="E591" s="2" t="b">
        <v>0</v>
      </c>
      <c r="F591" s="2" t="s">
        <v>31</v>
      </c>
      <c r="G591" s="2" t="s">
        <v>1190</v>
      </c>
      <c r="H591" s="2" t="s">
        <v>1191</v>
      </c>
      <c r="I591" s="2" t="s">
        <v>35</v>
      </c>
      <c r="J591" s="2" t="s">
        <v>35</v>
      </c>
      <c r="K591" s="2" t="s">
        <v>35</v>
      </c>
      <c r="L591" s="2" t="s">
        <v>35</v>
      </c>
      <c r="M591" s="2" t="s">
        <v>35</v>
      </c>
      <c r="N591" s="3">
        <v>44743.632037175928</v>
      </c>
      <c r="O591" s="3">
        <v>44743.632155057872</v>
      </c>
      <c r="P591" s="2">
        <v>0</v>
      </c>
      <c r="Q591" s="2" t="s">
        <v>36</v>
      </c>
      <c r="R591" s="2" t="s">
        <v>38</v>
      </c>
      <c r="S591" s="2" t="s">
        <v>35</v>
      </c>
      <c r="T591" s="2" t="s">
        <v>35</v>
      </c>
      <c r="U591" s="2" t="s">
        <v>35</v>
      </c>
      <c r="V591" s="2" t="b">
        <v>0</v>
      </c>
      <c r="W591" s="2" t="s">
        <v>35</v>
      </c>
      <c r="X591" s="2" t="s">
        <v>35</v>
      </c>
      <c r="Y591" s="2" t="s">
        <v>35</v>
      </c>
      <c r="Z591" s="2">
        <v>6</v>
      </c>
    </row>
    <row r="592" spans="1:26" x14ac:dyDescent="0.2">
      <c r="A592" s="2" t="s">
        <v>1192</v>
      </c>
      <c r="B592" s="2" t="b">
        <v>0</v>
      </c>
      <c r="C592" s="2" t="b">
        <v>0</v>
      </c>
      <c r="D592" s="2" t="b">
        <v>0</v>
      </c>
      <c r="E592" s="2" t="b">
        <v>0</v>
      </c>
      <c r="F592" s="2" t="s">
        <v>31</v>
      </c>
      <c r="G592" s="2" t="s">
        <v>1193</v>
      </c>
      <c r="H592" s="2" t="s">
        <v>1194</v>
      </c>
      <c r="I592" s="2" t="s">
        <v>35</v>
      </c>
      <c r="J592" s="2" t="s">
        <v>35</v>
      </c>
      <c r="K592" s="2" t="s">
        <v>35</v>
      </c>
      <c r="L592" s="2" t="s">
        <v>35</v>
      </c>
      <c r="M592" s="2" t="s">
        <v>35</v>
      </c>
      <c r="N592" s="3">
        <v>44743.633863703704</v>
      </c>
      <c r="O592" s="3">
        <v>44743.633999074074</v>
      </c>
      <c r="P592" s="2">
        <v>0</v>
      </c>
      <c r="Q592" s="2" t="s">
        <v>36</v>
      </c>
      <c r="R592" s="2" t="s">
        <v>38</v>
      </c>
      <c r="S592" s="2" t="s">
        <v>35</v>
      </c>
      <c r="T592" s="2" t="s">
        <v>35</v>
      </c>
      <c r="U592" s="2" t="s">
        <v>35</v>
      </c>
      <c r="V592" s="2" t="b">
        <v>0</v>
      </c>
      <c r="W592" s="2" t="s">
        <v>35</v>
      </c>
      <c r="X592" s="2" t="s">
        <v>35</v>
      </c>
      <c r="Y592" s="2" t="s">
        <v>35</v>
      </c>
      <c r="Z592" s="2">
        <v>5</v>
      </c>
    </row>
    <row r="593" spans="1:26" x14ac:dyDescent="0.2">
      <c r="A593" s="2" t="s">
        <v>1195</v>
      </c>
      <c r="B593" s="2" t="b">
        <v>0</v>
      </c>
      <c r="C593" s="2" t="b">
        <v>0</v>
      </c>
      <c r="D593" s="2" t="b">
        <v>0</v>
      </c>
      <c r="E593" s="2" t="b">
        <v>0</v>
      </c>
      <c r="F593" s="2" t="s">
        <v>31</v>
      </c>
      <c r="G593" s="2" t="s">
        <v>1196</v>
      </c>
      <c r="H593" s="2" t="s">
        <v>1197</v>
      </c>
      <c r="I593" s="2" t="s">
        <v>1198</v>
      </c>
      <c r="J593" s="2" t="s">
        <v>35</v>
      </c>
      <c r="K593" s="2" t="s">
        <v>35</v>
      </c>
      <c r="L593" s="2" t="s">
        <v>35</v>
      </c>
      <c r="M593" s="2" t="s">
        <v>35</v>
      </c>
      <c r="N593" s="3">
        <v>44743.63453920139</v>
      </c>
      <c r="O593" s="3">
        <v>44743.63503016204</v>
      </c>
      <c r="P593" s="2">
        <v>0</v>
      </c>
      <c r="Q593" s="2" t="s">
        <v>36</v>
      </c>
      <c r="R593" s="2" t="s">
        <v>38</v>
      </c>
      <c r="S593" s="2" t="s">
        <v>35</v>
      </c>
      <c r="T593" s="2" t="s">
        <v>35</v>
      </c>
      <c r="U593" s="2" t="s">
        <v>35</v>
      </c>
      <c r="V593" s="2" t="b">
        <v>0</v>
      </c>
      <c r="W593" s="2" t="s">
        <v>35</v>
      </c>
      <c r="X593" s="2" t="s">
        <v>35</v>
      </c>
      <c r="Y593" s="2">
        <v>5</v>
      </c>
      <c r="Z593" s="2">
        <v>3</v>
      </c>
    </row>
    <row r="594" spans="1:26" x14ac:dyDescent="0.2">
      <c r="A594" s="2" t="s">
        <v>1199</v>
      </c>
      <c r="B594" s="2" t="b">
        <v>0</v>
      </c>
      <c r="C594" s="2" t="b">
        <v>0</v>
      </c>
      <c r="D594" s="2" t="b">
        <v>0</v>
      </c>
      <c r="E594" s="2" t="b">
        <v>0</v>
      </c>
      <c r="F594" s="2" t="s">
        <v>31</v>
      </c>
      <c r="G594" s="2" t="s">
        <v>1200</v>
      </c>
      <c r="H594" s="2" t="s">
        <v>1201</v>
      </c>
      <c r="I594" s="2" t="s">
        <v>35</v>
      </c>
      <c r="J594" s="2" t="s">
        <v>35</v>
      </c>
      <c r="K594" s="2" t="s">
        <v>35</v>
      </c>
      <c r="L594" s="2" t="s">
        <v>35</v>
      </c>
      <c r="M594" s="2" t="s">
        <v>35</v>
      </c>
      <c r="N594" s="3">
        <v>44743.635363252317</v>
      </c>
      <c r="O594" s="3">
        <v>44743.635515428243</v>
      </c>
      <c r="P594" s="2">
        <v>0</v>
      </c>
      <c r="Q594" s="2" t="s">
        <v>36</v>
      </c>
      <c r="R594" s="2" t="s">
        <v>38</v>
      </c>
      <c r="S594" s="2" t="s">
        <v>35</v>
      </c>
      <c r="T594" s="2" t="s">
        <v>35</v>
      </c>
      <c r="U594" s="2" t="s">
        <v>35</v>
      </c>
      <c r="V594" s="2" t="b">
        <v>0</v>
      </c>
      <c r="W594" s="2" t="s">
        <v>35</v>
      </c>
      <c r="X594" s="2" t="s">
        <v>35</v>
      </c>
      <c r="Y594" s="2" t="s">
        <v>35</v>
      </c>
      <c r="Z594" s="2">
        <v>4</v>
      </c>
    </row>
    <row r="595" spans="1:26" x14ac:dyDescent="0.2">
      <c r="A595" s="2" t="s">
        <v>1202</v>
      </c>
      <c r="B595" s="2" t="b">
        <v>0</v>
      </c>
      <c r="C595" s="2" t="b">
        <v>0</v>
      </c>
      <c r="D595" s="2" t="b">
        <v>0</v>
      </c>
      <c r="E595" s="2" t="b">
        <v>0</v>
      </c>
      <c r="F595" s="2" t="s">
        <v>31</v>
      </c>
      <c r="G595" s="2" t="s">
        <v>1203</v>
      </c>
      <c r="H595" s="2" t="s">
        <v>1204</v>
      </c>
      <c r="I595" s="2" t="s">
        <v>1198</v>
      </c>
      <c r="J595" s="2" t="s">
        <v>35</v>
      </c>
      <c r="K595" s="2" t="s">
        <v>35</v>
      </c>
      <c r="L595" s="2" t="s">
        <v>35</v>
      </c>
      <c r="M595" s="2" t="s">
        <v>35</v>
      </c>
      <c r="N595" s="3">
        <v>44743.636718078706</v>
      </c>
      <c r="O595" s="3">
        <v>44743.637017835645</v>
      </c>
      <c r="P595" s="2">
        <v>0</v>
      </c>
      <c r="Q595" s="2" t="s">
        <v>36</v>
      </c>
      <c r="R595" s="2" t="s">
        <v>38</v>
      </c>
      <c r="S595" s="2" t="s">
        <v>35</v>
      </c>
      <c r="T595" s="2" t="s">
        <v>35</v>
      </c>
      <c r="U595" s="2" t="s">
        <v>35</v>
      </c>
      <c r="V595" s="2" t="b">
        <v>0</v>
      </c>
      <c r="W595" s="2" t="s">
        <v>35</v>
      </c>
      <c r="X595" s="2" t="s">
        <v>35</v>
      </c>
      <c r="Y595" s="2">
        <v>5</v>
      </c>
      <c r="Z595" s="2" t="s">
        <v>35</v>
      </c>
    </row>
    <row r="596" spans="1:26" x14ac:dyDescent="0.2">
      <c r="A596" s="2" t="s">
        <v>1205</v>
      </c>
      <c r="B596" s="2" t="b">
        <v>0</v>
      </c>
      <c r="C596" s="2" t="b">
        <v>0</v>
      </c>
      <c r="D596" s="2" t="b">
        <v>0</v>
      </c>
      <c r="E596" s="2" t="b">
        <v>0</v>
      </c>
      <c r="F596" s="2" t="s">
        <v>31</v>
      </c>
      <c r="G596" s="2" t="s">
        <v>1206</v>
      </c>
      <c r="H596" s="2" t="s">
        <v>1207</v>
      </c>
      <c r="I596" s="2" t="s">
        <v>35</v>
      </c>
      <c r="J596" s="2" t="s">
        <v>35</v>
      </c>
      <c r="K596" s="2" t="s">
        <v>35</v>
      </c>
      <c r="L596" s="2" t="s">
        <v>35</v>
      </c>
      <c r="M596" s="2" t="s">
        <v>35</v>
      </c>
      <c r="N596" s="3">
        <v>44743.63786855324</v>
      </c>
      <c r="O596" s="3">
        <v>44743.638029594906</v>
      </c>
      <c r="P596" s="2">
        <v>0</v>
      </c>
      <c r="Q596" s="2" t="s">
        <v>36</v>
      </c>
      <c r="R596" s="2" t="s">
        <v>38</v>
      </c>
      <c r="S596" s="2" t="s">
        <v>35</v>
      </c>
      <c r="T596" s="2" t="s">
        <v>35</v>
      </c>
      <c r="U596" s="2" t="s">
        <v>35</v>
      </c>
      <c r="V596" s="2" t="b">
        <v>0</v>
      </c>
      <c r="W596" s="2" t="s">
        <v>35</v>
      </c>
      <c r="X596" s="2" t="s">
        <v>35</v>
      </c>
      <c r="Y596" s="2" t="s">
        <v>35</v>
      </c>
      <c r="Z596" s="2">
        <v>2</v>
      </c>
    </row>
    <row r="597" spans="1:26" x14ac:dyDescent="0.2">
      <c r="A597" s="2" t="s">
        <v>1208</v>
      </c>
      <c r="B597" s="2" t="b">
        <v>0</v>
      </c>
      <c r="C597" s="2" t="b">
        <v>0</v>
      </c>
      <c r="D597" s="2" t="b">
        <v>0</v>
      </c>
      <c r="E597" s="2" t="b">
        <v>0</v>
      </c>
      <c r="F597" s="2" t="s">
        <v>31</v>
      </c>
      <c r="G597" s="2" t="s">
        <v>1209</v>
      </c>
      <c r="H597" s="2" t="s">
        <v>1210</v>
      </c>
      <c r="I597" s="2" t="s">
        <v>35</v>
      </c>
      <c r="J597" s="2" t="s">
        <v>35</v>
      </c>
      <c r="K597" s="2" t="s">
        <v>35</v>
      </c>
      <c r="L597" s="2" t="s">
        <v>35</v>
      </c>
      <c r="M597" s="2" t="s">
        <v>35</v>
      </c>
      <c r="N597" s="3">
        <v>44743.639561759257</v>
      </c>
      <c r="O597" s="3">
        <v>44743.639905625001</v>
      </c>
      <c r="P597" s="2">
        <v>0</v>
      </c>
      <c r="Q597" s="2" t="s">
        <v>109</v>
      </c>
      <c r="R597" s="2" t="s">
        <v>38</v>
      </c>
      <c r="S597" s="2" t="s">
        <v>35</v>
      </c>
      <c r="T597" s="2">
        <v>107</v>
      </c>
      <c r="U597" s="2" t="s">
        <v>35</v>
      </c>
      <c r="V597" s="2" t="b">
        <v>0</v>
      </c>
      <c r="W597" s="2" t="s">
        <v>35</v>
      </c>
      <c r="X597" s="2" t="s">
        <v>35</v>
      </c>
      <c r="Y597" s="2" t="s">
        <v>35</v>
      </c>
      <c r="Z597" s="2" t="s">
        <v>35</v>
      </c>
    </row>
    <row r="598" spans="1:26" x14ac:dyDescent="0.2">
      <c r="A598" s="2" t="s">
        <v>1211</v>
      </c>
      <c r="B598" s="2" t="b">
        <v>0</v>
      </c>
      <c r="C598" s="2" t="b">
        <v>0</v>
      </c>
      <c r="D598" s="2" t="b">
        <v>0</v>
      </c>
      <c r="E598" s="2" t="b">
        <v>0</v>
      </c>
      <c r="F598" s="2" t="s">
        <v>31</v>
      </c>
      <c r="G598" s="2" t="s">
        <v>1212</v>
      </c>
      <c r="H598" s="2" t="s">
        <v>1213</v>
      </c>
      <c r="I598" s="2" t="s">
        <v>35</v>
      </c>
      <c r="J598" s="2" t="s">
        <v>35</v>
      </c>
      <c r="K598" s="2" t="s">
        <v>35</v>
      </c>
      <c r="L598" s="2">
        <v>2</v>
      </c>
      <c r="M598" s="2">
        <v>25</v>
      </c>
      <c r="N598" s="3">
        <v>44743.639991458331</v>
      </c>
      <c r="O598" s="3">
        <v>44743.640206539349</v>
      </c>
      <c r="P598" s="2">
        <v>0</v>
      </c>
      <c r="Q598" s="2" t="s">
        <v>54</v>
      </c>
      <c r="R598" s="2" t="s">
        <v>38</v>
      </c>
      <c r="S598" s="2" t="s">
        <v>35</v>
      </c>
      <c r="T598" s="2" t="s">
        <v>35</v>
      </c>
      <c r="U598" s="2" t="s">
        <v>35</v>
      </c>
      <c r="V598" s="2" t="b">
        <v>0</v>
      </c>
      <c r="W598" s="2" t="s">
        <v>35</v>
      </c>
      <c r="X598" s="2" t="s">
        <v>35</v>
      </c>
      <c r="Y598" s="2" t="s">
        <v>35</v>
      </c>
      <c r="Z598" s="2" t="s">
        <v>35</v>
      </c>
    </row>
    <row r="599" spans="1:26" x14ac:dyDescent="0.2">
      <c r="A599" s="2" t="s">
        <v>1214</v>
      </c>
      <c r="B599" s="2" t="b">
        <v>0</v>
      </c>
      <c r="C599" s="2" t="b">
        <v>0</v>
      </c>
      <c r="D599" s="2" t="b">
        <v>0</v>
      </c>
      <c r="E599" s="2" t="b">
        <v>0</v>
      </c>
      <c r="F599" s="2" t="s">
        <v>31</v>
      </c>
      <c r="G599" s="2" t="s">
        <v>1215</v>
      </c>
      <c r="H599" s="2" t="s">
        <v>1216</v>
      </c>
      <c r="I599" s="2" t="s">
        <v>1217</v>
      </c>
      <c r="J599" s="2" t="s">
        <v>35</v>
      </c>
      <c r="K599" s="2" t="s">
        <v>35</v>
      </c>
      <c r="L599" s="2" t="s">
        <v>35</v>
      </c>
      <c r="M599" s="2" t="s">
        <v>35</v>
      </c>
      <c r="N599" s="3">
        <v>44743.640327997688</v>
      </c>
      <c r="O599" s="3">
        <v>44743.640885312503</v>
      </c>
      <c r="P599" s="2">
        <v>0</v>
      </c>
      <c r="Q599" s="2" t="s">
        <v>36</v>
      </c>
      <c r="R599" s="2" t="s">
        <v>38</v>
      </c>
      <c r="S599" s="2" t="s">
        <v>35</v>
      </c>
      <c r="T599" s="2" t="s">
        <v>35</v>
      </c>
      <c r="U599" s="2" t="s">
        <v>35</v>
      </c>
      <c r="V599" s="2" t="b">
        <v>0</v>
      </c>
      <c r="W599" s="2" t="s">
        <v>35</v>
      </c>
      <c r="X599" s="2" t="s">
        <v>35</v>
      </c>
      <c r="Y599" s="2">
        <v>6</v>
      </c>
      <c r="Z599" s="2" t="s">
        <v>35</v>
      </c>
    </row>
    <row r="600" spans="1:26" x14ac:dyDescent="0.2">
      <c r="A600" s="2" t="s">
        <v>1218</v>
      </c>
      <c r="B600" s="2" t="b">
        <v>0</v>
      </c>
      <c r="C600" s="2" t="b">
        <v>0</v>
      </c>
      <c r="D600" s="2" t="b">
        <v>0</v>
      </c>
      <c r="E600" s="2" t="b">
        <v>0</v>
      </c>
      <c r="F600" s="2" t="s">
        <v>31</v>
      </c>
      <c r="G600" s="2" t="s">
        <v>1219</v>
      </c>
      <c r="H600" s="2" t="s">
        <v>1220</v>
      </c>
      <c r="I600" s="2" t="s">
        <v>1221</v>
      </c>
      <c r="J600" s="2" t="s">
        <v>35</v>
      </c>
      <c r="K600" s="2" t="s">
        <v>35</v>
      </c>
      <c r="L600" s="2" t="s">
        <v>35</v>
      </c>
      <c r="M600" s="2" t="s">
        <v>35</v>
      </c>
      <c r="N600" s="3">
        <v>44743.66871125</v>
      </c>
      <c r="O600" s="3">
        <v>44743.668975370369</v>
      </c>
      <c r="P600" s="2">
        <v>0</v>
      </c>
      <c r="Q600" s="2" t="s">
        <v>36</v>
      </c>
      <c r="R600" s="2" t="s">
        <v>38</v>
      </c>
      <c r="S600" s="2" t="s">
        <v>35</v>
      </c>
      <c r="T600" s="2" t="s">
        <v>35</v>
      </c>
      <c r="U600" s="2" t="s">
        <v>35</v>
      </c>
      <c r="V600" s="2" t="b">
        <v>0</v>
      </c>
      <c r="W600" s="2" t="s">
        <v>35</v>
      </c>
      <c r="X600" s="2" t="s">
        <v>35</v>
      </c>
      <c r="Y600" s="2">
        <v>4</v>
      </c>
      <c r="Z600" s="2" t="s">
        <v>35</v>
      </c>
    </row>
    <row r="601" spans="1:26" x14ac:dyDescent="0.2">
      <c r="A601" s="2" t="s">
        <v>1222</v>
      </c>
      <c r="B601" s="2" t="b">
        <v>0</v>
      </c>
      <c r="C601" s="2" t="b">
        <v>0</v>
      </c>
      <c r="D601" s="2" t="b">
        <v>0</v>
      </c>
      <c r="E601" s="2" t="b">
        <v>0</v>
      </c>
      <c r="F601" s="2" t="s">
        <v>31</v>
      </c>
      <c r="G601" s="2" t="s">
        <v>1223</v>
      </c>
      <c r="H601" s="2" t="s">
        <v>1224</v>
      </c>
      <c r="I601" s="2" t="s">
        <v>35</v>
      </c>
      <c r="J601" s="2" t="s">
        <v>35</v>
      </c>
      <c r="K601" s="2">
        <v>4</v>
      </c>
      <c r="L601" s="2" t="s">
        <v>35</v>
      </c>
      <c r="M601" s="2" t="s">
        <v>35</v>
      </c>
      <c r="N601" s="3">
        <v>44743.66974164352</v>
      </c>
      <c r="O601" s="3">
        <v>44743.670108009261</v>
      </c>
      <c r="P601" s="2">
        <v>0</v>
      </c>
      <c r="Q601" s="2" t="s">
        <v>265</v>
      </c>
      <c r="R601" s="2" t="s">
        <v>38</v>
      </c>
      <c r="S601" s="2" t="s">
        <v>35</v>
      </c>
      <c r="T601" s="2" t="s">
        <v>35</v>
      </c>
      <c r="U601" s="2" t="s">
        <v>35</v>
      </c>
      <c r="V601" s="2" t="b">
        <v>0</v>
      </c>
      <c r="W601" s="2" t="s">
        <v>35</v>
      </c>
      <c r="X601" s="2" t="s">
        <v>35</v>
      </c>
      <c r="Y601" s="2" t="s">
        <v>35</v>
      </c>
      <c r="Z601" s="2" t="s">
        <v>35</v>
      </c>
    </row>
    <row r="602" spans="1:26" x14ac:dyDescent="0.2">
      <c r="A602" s="2" t="s">
        <v>1225</v>
      </c>
      <c r="B602" s="2" t="b">
        <v>0</v>
      </c>
      <c r="C602" s="2" t="b">
        <v>0</v>
      </c>
      <c r="D602" s="2" t="b">
        <v>0</v>
      </c>
      <c r="E602" s="2" t="b">
        <v>0</v>
      </c>
      <c r="F602" s="2" t="s">
        <v>31</v>
      </c>
      <c r="G602" s="2" t="s">
        <v>1226</v>
      </c>
      <c r="H602" s="2" t="s">
        <v>1227</v>
      </c>
      <c r="I602" s="2" t="s">
        <v>35</v>
      </c>
      <c r="J602" s="2" t="s">
        <v>35</v>
      </c>
      <c r="K602" s="2" t="s">
        <v>35</v>
      </c>
      <c r="L602" s="2">
        <v>14</v>
      </c>
      <c r="M602" s="2">
        <v>11</v>
      </c>
      <c r="N602" s="3">
        <v>44743.670317384262</v>
      </c>
      <c r="O602" s="3">
        <v>44743.670825624999</v>
      </c>
      <c r="P602" s="2">
        <v>0</v>
      </c>
      <c r="Q602" s="2" t="s">
        <v>54</v>
      </c>
      <c r="R602" s="2" t="s">
        <v>38</v>
      </c>
      <c r="S602" s="2" t="s">
        <v>35</v>
      </c>
      <c r="T602" s="2" t="s">
        <v>35</v>
      </c>
      <c r="U602" s="2" t="s">
        <v>35</v>
      </c>
      <c r="V602" s="2" t="b">
        <v>0</v>
      </c>
      <c r="W602" s="2" t="s">
        <v>35</v>
      </c>
      <c r="X602" s="2" t="s">
        <v>35</v>
      </c>
      <c r="Y602" s="2" t="s">
        <v>35</v>
      </c>
      <c r="Z602" s="2" t="s">
        <v>35</v>
      </c>
    </row>
    <row r="603" spans="1:26" x14ac:dyDescent="0.2">
      <c r="A603" s="2" t="s">
        <v>1228</v>
      </c>
      <c r="B603" s="2" t="b">
        <v>0</v>
      </c>
      <c r="C603" s="2" t="b">
        <v>0</v>
      </c>
      <c r="D603" s="2" t="b">
        <v>0</v>
      </c>
      <c r="E603" s="2" t="b">
        <v>0</v>
      </c>
      <c r="F603" s="2" t="s">
        <v>31</v>
      </c>
      <c r="G603" s="2" t="s">
        <v>1229</v>
      </c>
      <c r="H603" s="2" t="s">
        <v>1230</v>
      </c>
      <c r="I603" s="2" t="s">
        <v>1231</v>
      </c>
      <c r="J603" s="2" t="s">
        <v>35</v>
      </c>
      <c r="K603" s="2" t="s">
        <v>35</v>
      </c>
      <c r="L603" s="2" t="s">
        <v>35</v>
      </c>
      <c r="M603" s="2" t="s">
        <v>35</v>
      </c>
      <c r="N603" s="3">
        <v>44743.672406307873</v>
      </c>
      <c r="O603" s="3">
        <v>44743.672835474536</v>
      </c>
      <c r="P603" s="2">
        <v>0</v>
      </c>
      <c r="Q603" s="2" t="s">
        <v>36</v>
      </c>
      <c r="R603" s="2" t="s">
        <v>38</v>
      </c>
      <c r="S603" s="2" t="s">
        <v>35</v>
      </c>
      <c r="T603" s="2" t="s">
        <v>35</v>
      </c>
      <c r="U603" s="2" t="s">
        <v>35</v>
      </c>
      <c r="V603" s="2" t="b">
        <v>0</v>
      </c>
      <c r="W603" s="2" t="s">
        <v>35</v>
      </c>
      <c r="X603" s="2" t="s">
        <v>35</v>
      </c>
      <c r="Y603" s="2">
        <v>8</v>
      </c>
      <c r="Z603" s="2" t="s">
        <v>35</v>
      </c>
    </row>
    <row r="604" spans="1:26" x14ac:dyDescent="0.2">
      <c r="A604" s="2" t="s">
        <v>1232</v>
      </c>
      <c r="B604" s="2" t="b">
        <v>0</v>
      </c>
      <c r="C604" s="2" t="b">
        <v>0</v>
      </c>
      <c r="D604" s="2" t="b">
        <v>0</v>
      </c>
      <c r="E604" s="2" t="b">
        <v>0</v>
      </c>
      <c r="F604" s="2" t="s">
        <v>31</v>
      </c>
      <c r="G604" s="2" t="s">
        <v>1233</v>
      </c>
      <c r="H604" s="2" t="s">
        <v>1234</v>
      </c>
      <c r="I604" s="2" t="s">
        <v>35</v>
      </c>
      <c r="J604" s="2" t="s">
        <v>35</v>
      </c>
      <c r="K604" s="2" t="s">
        <v>35</v>
      </c>
      <c r="L604" s="2" t="s">
        <v>35</v>
      </c>
      <c r="M604" s="2" t="s">
        <v>35</v>
      </c>
      <c r="N604" s="3">
        <v>44743.67432677083</v>
      </c>
      <c r="O604" s="3">
        <v>44743.674549351854</v>
      </c>
      <c r="P604" s="2">
        <v>0</v>
      </c>
      <c r="Q604" s="2" t="s">
        <v>36</v>
      </c>
      <c r="R604" s="2" t="s">
        <v>38</v>
      </c>
      <c r="S604" s="2" t="s">
        <v>35</v>
      </c>
      <c r="T604" s="2" t="s">
        <v>35</v>
      </c>
      <c r="U604" s="2" t="s">
        <v>35</v>
      </c>
      <c r="V604" s="2" t="b">
        <v>0</v>
      </c>
      <c r="W604" s="2" t="s">
        <v>1235</v>
      </c>
      <c r="X604" s="2" t="s">
        <v>35</v>
      </c>
      <c r="Y604" s="2" t="s">
        <v>35</v>
      </c>
      <c r="Z604" s="2" t="s">
        <v>35</v>
      </c>
    </row>
    <row r="605" spans="1:26" x14ac:dyDescent="0.2">
      <c r="A605" s="2" t="s">
        <v>1236</v>
      </c>
      <c r="B605" s="2" t="b">
        <v>0</v>
      </c>
      <c r="C605" s="2" t="b">
        <v>0</v>
      </c>
      <c r="D605" s="2" t="b">
        <v>0</v>
      </c>
      <c r="E605" s="2" t="b">
        <v>0</v>
      </c>
      <c r="F605" s="2" t="s">
        <v>31</v>
      </c>
      <c r="G605" s="2" t="s">
        <v>149</v>
      </c>
      <c r="H605" s="2" t="s">
        <v>1237</v>
      </c>
      <c r="I605" s="2" t="s">
        <v>35</v>
      </c>
      <c r="J605" s="2" t="s">
        <v>35</v>
      </c>
      <c r="K605" s="2" t="s">
        <v>35</v>
      </c>
      <c r="L605" s="2" t="s">
        <v>35</v>
      </c>
      <c r="M605" s="2" t="s">
        <v>35</v>
      </c>
      <c r="N605" s="3">
        <v>44743.674980127318</v>
      </c>
      <c r="O605" s="3">
        <v>44743.675089745368</v>
      </c>
      <c r="P605" s="2">
        <v>0</v>
      </c>
      <c r="Q605" s="2" t="s">
        <v>36</v>
      </c>
      <c r="R605" s="2" t="s">
        <v>38</v>
      </c>
      <c r="S605" s="2" t="s">
        <v>35</v>
      </c>
      <c r="T605" s="2" t="s">
        <v>35</v>
      </c>
      <c r="U605" s="2" t="s">
        <v>35</v>
      </c>
      <c r="V605" s="2" t="b">
        <v>0</v>
      </c>
      <c r="W605" s="2" t="s">
        <v>35</v>
      </c>
      <c r="X605" s="2" t="s">
        <v>35</v>
      </c>
      <c r="Y605" s="2" t="s">
        <v>35</v>
      </c>
      <c r="Z605" s="2">
        <v>6</v>
      </c>
    </row>
    <row r="606" spans="1:26" x14ac:dyDescent="0.2">
      <c r="A606" s="2" t="s">
        <v>1238</v>
      </c>
      <c r="B606" s="2" t="b">
        <v>0</v>
      </c>
      <c r="C606" s="2" t="b">
        <v>0</v>
      </c>
      <c r="D606" s="2" t="b">
        <v>0</v>
      </c>
      <c r="E606" s="2" t="b">
        <v>0</v>
      </c>
      <c r="F606" s="2" t="s">
        <v>31</v>
      </c>
      <c r="G606" s="2" t="s">
        <v>1239</v>
      </c>
      <c r="H606" s="2" t="s">
        <v>1240</v>
      </c>
      <c r="I606" s="2" t="s">
        <v>1221</v>
      </c>
      <c r="J606" s="2" t="s">
        <v>35</v>
      </c>
      <c r="K606" s="2" t="s">
        <v>35</v>
      </c>
      <c r="L606" s="2" t="s">
        <v>35</v>
      </c>
      <c r="M606" s="2" t="s">
        <v>35</v>
      </c>
      <c r="N606" s="3">
        <v>44743.675814212962</v>
      </c>
      <c r="O606" s="3">
        <v>44743.676411180553</v>
      </c>
      <c r="P606" s="2">
        <v>0</v>
      </c>
      <c r="Q606" s="2" t="s">
        <v>36</v>
      </c>
      <c r="R606" s="2" t="s">
        <v>38</v>
      </c>
      <c r="S606" s="2" t="s">
        <v>35</v>
      </c>
      <c r="T606" s="2" t="s">
        <v>35</v>
      </c>
      <c r="U606" s="2" t="s">
        <v>35</v>
      </c>
      <c r="V606" s="2" t="b">
        <v>0</v>
      </c>
      <c r="W606" s="2" t="s">
        <v>35</v>
      </c>
      <c r="X606" s="2" t="s">
        <v>35</v>
      </c>
      <c r="Y606" s="2">
        <v>10</v>
      </c>
      <c r="Z606" s="2" t="s">
        <v>35</v>
      </c>
    </row>
    <row r="607" spans="1:26" x14ac:dyDescent="0.2">
      <c r="A607" s="2" t="s">
        <v>1241</v>
      </c>
      <c r="B607" s="2" t="b">
        <v>0</v>
      </c>
      <c r="C607" s="2" t="b">
        <v>0</v>
      </c>
      <c r="D607" s="2" t="b">
        <v>0</v>
      </c>
      <c r="E607" s="2" t="b">
        <v>0</v>
      </c>
      <c r="F607" s="2" t="s">
        <v>31</v>
      </c>
      <c r="G607" s="2" t="s">
        <v>1242</v>
      </c>
      <c r="H607" s="2" t="s">
        <v>1243</v>
      </c>
      <c r="I607" s="2" t="s">
        <v>1221</v>
      </c>
      <c r="J607" s="2" t="s">
        <v>35</v>
      </c>
      <c r="K607" s="2" t="s">
        <v>35</v>
      </c>
      <c r="L607" s="2" t="s">
        <v>35</v>
      </c>
      <c r="M607" s="2" t="s">
        <v>35</v>
      </c>
      <c r="N607" s="3">
        <v>44743.677382048612</v>
      </c>
      <c r="O607" s="3">
        <v>44743.677712743054</v>
      </c>
      <c r="P607" s="2">
        <v>0</v>
      </c>
      <c r="Q607" s="2" t="s">
        <v>36</v>
      </c>
      <c r="R607" s="2" t="s">
        <v>38</v>
      </c>
      <c r="S607" s="2" t="s">
        <v>35</v>
      </c>
      <c r="T607" s="2" t="s">
        <v>35</v>
      </c>
      <c r="U607" s="2" t="s">
        <v>35</v>
      </c>
      <c r="V607" s="2" t="b">
        <v>0</v>
      </c>
      <c r="W607" s="2" t="s">
        <v>35</v>
      </c>
      <c r="X607" s="2" t="s">
        <v>35</v>
      </c>
      <c r="Y607" s="2">
        <v>5</v>
      </c>
      <c r="Z607" s="2" t="s">
        <v>35</v>
      </c>
    </row>
    <row r="608" spans="1:26" x14ac:dyDescent="0.2">
      <c r="A608" s="2" t="s">
        <v>1244</v>
      </c>
      <c r="B608" s="2" t="b">
        <v>0</v>
      </c>
      <c r="C608" s="2" t="b">
        <v>0</v>
      </c>
      <c r="D608" s="2" t="b">
        <v>0</v>
      </c>
      <c r="E608" s="2" t="b">
        <v>0</v>
      </c>
      <c r="F608" s="2" t="s">
        <v>31</v>
      </c>
      <c r="G608" s="2" t="s">
        <v>1245</v>
      </c>
      <c r="H608" s="2" t="s">
        <v>1246</v>
      </c>
      <c r="I608" s="2" t="s">
        <v>35</v>
      </c>
      <c r="J608" s="2" t="s">
        <v>35</v>
      </c>
      <c r="K608" s="2">
        <v>12</v>
      </c>
      <c r="L608" s="2" t="s">
        <v>35</v>
      </c>
      <c r="M608" s="2" t="s">
        <v>35</v>
      </c>
      <c r="N608" s="3">
        <v>44743.678023368055</v>
      </c>
      <c r="O608" s="3">
        <v>44743.678249884259</v>
      </c>
      <c r="P608" s="2">
        <v>0</v>
      </c>
      <c r="Q608" s="2" t="s">
        <v>265</v>
      </c>
      <c r="R608" s="2" t="s">
        <v>38</v>
      </c>
      <c r="S608" s="2" t="s">
        <v>35</v>
      </c>
      <c r="T608" s="2" t="s">
        <v>35</v>
      </c>
      <c r="U608" s="2" t="s">
        <v>35</v>
      </c>
      <c r="V608" s="2" t="b">
        <v>0</v>
      </c>
      <c r="W608" s="2" t="s">
        <v>35</v>
      </c>
      <c r="X608" s="2" t="s">
        <v>35</v>
      </c>
      <c r="Y608" s="2" t="s">
        <v>35</v>
      </c>
      <c r="Z608" s="2" t="s">
        <v>35</v>
      </c>
    </row>
    <row r="609" spans="1:26" x14ac:dyDescent="0.2">
      <c r="A609" s="2" t="s">
        <v>1247</v>
      </c>
      <c r="B609" s="2" t="b">
        <v>0</v>
      </c>
      <c r="C609" s="2" t="b">
        <v>0</v>
      </c>
      <c r="D609" s="2" t="b">
        <v>0</v>
      </c>
      <c r="E609" s="2" t="b">
        <v>0</v>
      </c>
      <c r="F609" s="2" t="s">
        <v>31</v>
      </c>
      <c r="G609" s="2" t="s">
        <v>1248</v>
      </c>
      <c r="H609" s="2" t="s">
        <v>1249</v>
      </c>
      <c r="I609" s="2" t="s">
        <v>35</v>
      </c>
      <c r="J609" s="2" t="s">
        <v>35</v>
      </c>
      <c r="K609" s="2" t="s">
        <v>35</v>
      </c>
      <c r="L609" s="2">
        <v>10</v>
      </c>
      <c r="M609" s="2">
        <v>15</v>
      </c>
      <c r="N609" s="3">
        <v>44743.678674189818</v>
      </c>
      <c r="O609" s="3">
        <v>44743.678824456016</v>
      </c>
      <c r="P609" s="2">
        <v>0</v>
      </c>
      <c r="Q609" s="2" t="s">
        <v>54</v>
      </c>
      <c r="R609" s="2" t="s">
        <v>38</v>
      </c>
      <c r="S609" s="2" t="s">
        <v>35</v>
      </c>
      <c r="T609" s="2" t="s">
        <v>35</v>
      </c>
      <c r="U609" s="2" t="s">
        <v>35</v>
      </c>
      <c r="V609" s="2" t="b">
        <v>0</v>
      </c>
      <c r="W609" s="2" t="s">
        <v>35</v>
      </c>
      <c r="X609" s="2" t="s">
        <v>35</v>
      </c>
      <c r="Y609" s="2" t="s">
        <v>35</v>
      </c>
      <c r="Z609" s="2" t="s">
        <v>35</v>
      </c>
    </row>
    <row r="610" spans="1:26" x14ac:dyDescent="0.2">
      <c r="A610" s="2" t="s">
        <v>1250</v>
      </c>
      <c r="B610" s="2" t="b">
        <v>0</v>
      </c>
      <c r="C610" s="2" t="b">
        <v>0</v>
      </c>
      <c r="D610" s="2" t="b">
        <v>0</v>
      </c>
      <c r="E610" s="2" t="b">
        <v>0</v>
      </c>
      <c r="F610" s="2" t="s">
        <v>31</v>
      </c>
      <c r="G610" s="2" t="s">
        <v>1251</v>
      </c>
      <c r="H610" s="2" t="s">
        <v>1252</v>
      </c>
      <c r="I610" s="2" t="s">
        <v>1221</v>
      </c>
      <c r="J610" s="2" t="s">
        <v>35</v>
      </c>
      <c r="K610" s="2" t="s">
        <v>35</v>
      </c>
      <c r="L610" s="2" t="s">
        <v>35</v>
      </c>
      <c r="M610" s="2" t="s">
        <v>35</v>
      </c>
      <c r="N610" s="3">
        <v>44743.680383252315</v>
      </c>
      <c r="O610" s="3">
        <v>44743.680687314816</v>
      </c>
      <c r="P610" s="2">
        <v>0</v>
      </c>
      <c r="Q610" s="2" t="s">
        <v>36</v>
      </c>
      <c r="R610" s="2" t="s">
        <v>38</v>
      </c>
      <c r="S610" s="2" t="s">
        <v>35</v>
      </c>
      <c r="T610" s="2" t="s">
        <v>35</v>
      </c>
      <c r="U610" s="2" t="s">
        <v>35</v>
      </c>
      <c r="V610" s="2" t="b">
        <v>0</v>
      </c>
      <c r="W610" s="2" t="s">
        <v>35</v>
      </c>
      <c r="X610" s="2" t="s">
        <v>35</v>
      </c>
      <c r="Y610" s="2">
        <v>10</v>
      </c>
      <c r="Z610" s="2" t="s">
        <v>35</v>
      </c>
    </row>
    <row r="611" spans="1:26" x14ac:dyDescent="0.2">
      <c r="A611" s="2" t="s">
        <v>1253</v>
      </c>
      <c r="B611" s="2" t="b">
        <v>0</v>
      </c>
      <c r="C611" s="2" t="b">
        <v>0</v>
      </c>
      <c r="D611" s="2" t="b">
        <v>0</v>
      </c>
      <c r="E611" s="2" t="b">
        <v>0</v>
      </c>
      <c r="F611" s="2" t="s">
        <v>31</v>
      </c>
      <c r="G611" s="2" t="s">
        <v>1254</v>
      </c>
      <c r="H611" s="2" t="s">
        <v>1255</v>
      </c>
      <c r="I611" s="2" t="s">
        <v>35</v>
      </c>
      <c r="J611" s="2" t="s">
        <v>35</v>
      </c>
      <c r="K611" s="2" t="s">
        <v>35</v>
      </c>
      <c r="L611" s="2">
        <v>21</v>
      </c>
      <c r="M611" s="2">
        <v>18</v>
      </c>
      <c r="N611" s="3">
        <v>44743.681235914351</v>
      </c>
      <c r="O611" s="3">
        <v>44743.681601921293</v>
      </c>
      <c r="P611" s="2">
        <v>0</v>
      </c>
      <c r="Q611" s="2" t="s">
        <v>54</v>
      </c>
      <c r="R611" s="2" t="s">
        <v>38</v>
      </c>
      <c r="S611" s="2" t="s">
        <v>35</v>
      </c>
      <c r="T611" s="2" t="s">
        <v>35</v>
      </c>
      <c r="U611" s="2" t="s">
        <v>35</v>
      </c>
      <c r="V611" s="2" t="b">
        <v>0</v>
      </c>
      <c r="W611" s="2" t="s">
        <v>35</v>
      </c>
      <c r="X611" s="2" t="s">
        <v>35</v>
      </c>
      <c r="Y611" s="2" t="s">
        <v>35</v>
      </c>
      <c r="Z611" s="2" t="s">
        <v>35</v>
      </c>
    </row>
    <row r="612" spans="1:26" x14ac:dyDescent="0.2">
      <c r="A612" s="2" t="s">
        <v>1256</v>
      </c>
      <c r="B612" s="2" t="b">
        <v>0</v>
      </c>
      <c r="C612" s="2" t="b">
        <v>0</v>
      </c>
      <c r="D612" s="2" t="b">
        <v>0</v>
      </c>
      <c r="E612" s="2" t="b">
        <v>0</v>
      </c>
      <c r="F612" s="2" t="s">
        <v>31</v>
      </c>
      <c r="G612" s="2" t="s">
        <v>1257</v>
      </c>
      <c r="H612" s="2" t="s">
        <v>1258</v>
      </c>
      <c r="I612" s="2" t="s">
        <v>1259</v>
      </c>
      <c r="J612" s="2" t="s">
        <v>35</v>
      </c>
      <c r="K612" s="2" t="s">
        <v>35</v>
      </c>
      <c r="L612" s="2" t="s">
        <v>35</v>
      </c>
      <c r="M612" s="2" t="s">
        <v>35</v>
      </c>
      <c r="N612" s="3">
        <v>44743.68186138889</v>
      </c>
      <c r="O612" s="3">
        <v>44743.68227892361</v>
      </c>
      <c r="P612" s="2">
        <v>0</v>
      </c>
      <c r="Q612" s="2" t="s">
        <v>36</v>
      </c>
      <c r="R612" s="2" t="s">
        <v>38</v>
      </c>
      <c r="S612" s="2" t="s">
        <v>35</v>
      </c>
      <c r="T612" s="2" t="s">
        <v>35</v>
      </c>
      <c r="U612" s="2" t="s">
        <v>35</v>
      </c>
      <c r="V612" s="2" t="b">
        <v>0</v>
      </c>
      <c r="W612" s="2" t="s">
        <v>35</v>
      </c>
      <c r="X612" s="2" t="s">
        <v>35</v>
      </c>
      <c r="Y612" s="2">
        <v>6</v>
      </c>
      <c r="Z612" s="2" t="s">
        <v>35</v>
      </c>
    </row>
    <row r="613" spans="1:26" x14ac:dyDescent="0.2">
      <c r="A613" s="2" t="s">
        <v>1260</v>
      </c>
      <c r="B613" s="2" t="b">
        <v>0</v>
      </c>
      <c r="C613" s="2" t="b">
        <v>0</v>
      </c>
      <c r="D613" s="2" t="b">
        <v>0</v>
      </c>
      <c r="E613" s="2" t="b">
        <v>0</v>
      </c>
      <c r="F613" s="2" t="s">
        <v>31</v>
      </c>
      <c r="G613" s="2" t="s">
        <v>1261</v>
      </c>
      <c r="H613" s="2" t="s">
        <v>1262</v>
      </c>
      <c r="I613" s="2" t="s">
        <v>1221</v>
      </c>
      <c r="J613" s="2" t="s">
        <v>35</v>
      </c>
      <c r="K613" s="2" t="s">
        <v>35</v>
      </c>
      <c r="L613" s="2" t="s">
        <v>35</v>
      </c>
      <c r="M613" s="2" t="s">
        <v>35</v>
      </c>
      <c r="N613" s="3">
        <v>44743.684881967594</v>
      </c>
      <c r="O613" s="3">
        <v>44743.685166423609</v>
      </c>
      <c r="P613" s="2">
        <v>0</v>
      </c>
      <c r="Q613" s="2" t="s">
        <v>36</v>
      </c>
      <c r="R613" s="2" t="s">
        <v>38</v>
      </c>
      <c r="S613" s="2" t="s">
        <v>35</v>
      </c>
      <c r="T613" s="2" t="s">
        <v>35</v>
      </c>
      <c r="U613" s="2" t="s">
        <v>35</v>
      </c>
      <c r="V613" s="2" t="b">
        <v>0</v>
      </c>
      <c r="W613" s="2" t="s">
        <v>35</v>
      </c>
      <c r="X613" s="2" t="s">
        <v>35</v>
      </c>
      <c r="Y613" s="2">
        <v>6</v>
      </c>
      <c r="Z613" s="2" t="s">
        <v>35</v>
      </c>
    </row>
    <row r="614" spans="1:26" x14ac:dyDescent="0.2">
      <c r="A614" s="2" t="s">
        <v>1263</v>
      </c>
      <c r="B614" s="2" t="b">
        <v>0</v>
      </c>
      <c r="C614" s="2" t="b">
        <v>0</v>
      </c>
      <c r="D614" s="2" t="b">
        <v>0</v>
      </c>
      <c r="E614" s="2" t="b">
        <v>0</v>
      </c>
      <c r="F614" s="2" t="s">
        <v>31</v>
      </c>
      <c r="G614" s="2" t="s">
        <v>1264</v>
      </c>
      <c r="H614" s="2" t="s">
        <v>1265</v>
      </c>
      <c r="I614" s="2" t="s">
        <v>35</v>
      </c>
      <c r="J614" s="2" t="s">
        <v>35</v>
      </c>
      <c r="K614" s="2" t="s">
        <v>35</v>
      </c>
      <c r="L614" s="2" t="s">
        <v>35</v>
      </c>
      <c r="M614" s="2" t="s">
        <v>35</v>
      </c>
      <c r="N614" s="3">
        <v>44743.685663518518</v>
      </c>
      <c r="O614" s="3">
        <v>44743.686395798613</v>
      </c>
      <c r="P614" s="2">
        <v>0</v>
      </c>
      <c r="Q614" s="2" t="s">
        <v>36</v>
      </c>
      <c r="R614" s="2" t="s">
        <v>38</v>
      </c>
      <c r="S614" s="2" t="s">
        <v>35</v>
      </c>
      <c r="T614" s="2" t="s">
        <v>35</v>
      </c>
      <c r="U614" s="2" t="s">
        <v>35</v>
      </c>
      <c r="V614" s="2" t="b">
        <v>0</v>
      </c>
      <c r="W614" s="2" t="s">
        <v>35</v>
      </c>
      <c r="X614" s="2" t="s">
        <v>35</v>
      </c>
      <c r="Y614" s="2" t="s">
        <v>35</v>
      </c>
      <c r="Z614" s="2">
        <v>3</v>
      </c>
    </row>
    <row r="615" spans="1:26" x14ac:dyDescent="0.2">
      <c r="A615" s="2" t="s">
        <v>1266</v>
      </c>
      <c r="B615" s="2" t="b">
        <v>0</v>
      </c>
      <c r="C615" s="2" t="b">
        <v>0</v>
      </c>
      <c r="D615" s="2" t="b">
        <v>0</v>
      </c>
      <c r="E615" s="2" t="b">
        <v>0</v>
      </c>
      <c r="F615" s="2" t="s">
        <v>31</v>
      </c>
      <c r="G615" s="2" t="s">
        <v>1267</v>
      </c>
      <c r="H615" s="2" t="s">
        <v>1268</v>
      </c>
      <c r="I615" s="2" t="s">
        <v>35</v>
      </c>
      <c r="J615" s="2" t="s">
        <v>35</v>
      </c>
      <c r="K615" s="2" t="s">
        <v>35</v>
      </c>
      <c r="L615" s="2" t="s">
        <v>35</v>
      </c>
      <c r="M615" s="2" t="s">
        <v>35</v>
      </c>
      <c r="N615" s="3">
        <v>44743.686924027781</v>
      </c>
      <c r="O615" s="3">
        <v>44743.68721935185</v>
      </c>
      <c r="P615" s="2">
        <v>0</v>
      </c>
      <c r="Q615" s="2" t="s">
        <v>36</v>
      </c>
      <c r="R615" s="2" t="s">
        <v>38</v>
      </c>
      <c r="S615" s="2" t="s">
        <v>35</v>
      </c>
      <c r="T615" s="2" t="s">
        <v>35</v>
      </c>
      <c r="U615" s="2" t="s">
        <v>35</v>
      </c>
      <c r="V615" s="2" t="b">
        <v>0</v>
      </c>
      <c r="W615" s="2" t="s">
        <v>35</v>
      </c>
      <c r="X615" s="2" t="s">
        <v>35</v>
      </c>
      <c r="Y615" s="2" t="s">
        <v>35</v>
      </c>
      <c r="Z615" s="2">
        <v>3</v>
      </c>
    </row>
    <row r="616" spans="1:26" x14ac:dyDescent="0.2">
      <c r="A616" s="2" t="s">
        <v>1269</v>
      </c>
      <c r="B616" s="2" t="b">
        <v>0</v>
      </c>
      <c r="C616" s="2" t="b">
        <v>0</v>
      </c>
      <c r="D616" s="2" t="b">
        <v>0</v>
      </c>
      <c r="E616" s="2" t="b">
        <v>0</v>
      </c>
      <c r="F616" s="2" t="s">
        <v>31</v>
      </c>
      <c r="G616" s="2" t="s">
        <v>1270</v>
      </c>
      <c r="H616" s="2" t="s">
        <v>1271</v>
      </c>
      <c r="I616" s="2" t="s">
        <v>1221</v>
      </c>
      <c r="J616" s="2" t="s">
        <v>35</v>
      </c>
      <c r="K616" s="2" t="s">
        <v>35</v>
      </c>
      <c r="L616" s="2" t="s">
        <v>35</v>
      </c>
      <c r="M616" s="2" t="s">
        <v>35</v>
      </c>
      <c r="N616" s="3">
        <v>44743.687393645836</v>
      </c>
      <c r="O616" s="3">
        <v>44743.68783693287</v>
      </c>
      <c r="P616" s="2">
        <v>0</v>
      </c>
      <c r="Q616" s="2" t="s">
        <v>36</v>
      </c>
      <c r="R616" s="2" t="s">
        <v>38</v>
      </c>
      <c r="S616" s="2" t="s">
        <v>35</v>
      </c>
      <c r="T616" s="2" t="s">
        <v>35</v>
      </c>
      <c r="U616" s="2" t="s">
        <v>35</v>
      </c>
      <c r="V616" s="2" t="b">
        <v>0</v>
      </c>
      <c r="W616" s="2" t="s">
        <v>35</v>
      </c>
      <c r="X616" s="2" t="s">
        <v>35</v>
      </c>
      <c r="Y616" s="2">
        <v>6</v>
      </c>
      <c r="Z616" s="2" t="s">
        <v>35</v>
      </c>
    </row>
    <row r="617" spans="1:26" x14ac:dyDescent="0.2">
      <c r="A617" s="2" t="s">
        <v>1272</v>
      </c>
      <c r="B617" s="2" t="b">
        <v>0</v>
      </c>
      <c r="C617" s="2" t="b">
        <v>0</v>
      </c>
      <c r="D617" s="2" t="b">
        <v>0</v>
      </c>
      <c r="E617" s="2" t="b">
        <v>0</v>
      </c>
      <c r="F617" s="2" t="s">
        <v>31</v>
      </c>
      <c r="G617" s="2" t="s">
        <v>1273</v>
      </c>
      <c r="H617" s="2" t="s">
        <v>1274</v>
      </c>
      <c r="I617" s="2" t="s">
        <v>1275</v>
      </c>
      <c r="J617" s="2" t="s">
        <v>35</v>
      </c>
      <c r="K617" s="2" t="s">
        <v>35</v>
      </c>
      <c r="L617" s="2" t="s">
        <v>35</v>
      </c>
      <c r="M617" s="2" t="s">
        <v>35</v>
      </c>
      <c r="N617" s="3">
        <v>44743.688588078701</v>
      </c>
      <c r="O617" s="3">
        <v>44743.689048159722</v>
      </c>
      <c r="P617" s="2">
        <v>0</v>
      </c>
      <c r="Q617" s="2" t="s">
        <v>36</v>
      </c>
      <c r="R617" s="2" t="s">
        <v>38</v>
      </c>
      <c r="S617" s="2" t="s">
        <v>35</v>
      </c>
      <c r="T617" s="2" t="s">
        <v>35</v>
      </c>
      <c r="U617" s="2" t="s">
        <v>35</v>
      </c>
      <c r="V617" s="2" t="b">
        <v>0</v>
      </c>
      <c r="W617" s="2" t="s">
        <v>35</v>
      </c>
      <c r="X617" s="2" t="s">
        <v>35</v>
      </c>
      <c r="Y617" s="2">
        <v>5</v>
      </c>
      <c r="Z617" s="2" t="s">
        <v>35</v>
      </c>
    </row>
    <row r="618" spans="1:26" x14ac:dyDescent="0.2">
      <c r="A618" s="2" t="s">
        <v>1276</v>
      </c>
      <c r="B618" s="2" t="b">
        <v>0</v>
      </c>
      <c r="C618" s="2" t="b">
        <v>0</v>
      </c>
      <c r="D618" s="2" t="b">
        <v>0</v>
      </c>
      <c r="E618" s="2" t="b">
        <v>0</v>
      </c>
      <c r="F618" s="2" t="s">
        <v>31</v>
      </c>
      <c r="G618" s="2" t="s">
        <v>1277</v>
      </c>
      <c r="H618" s="2" t="s">
        <v>1278</v>
      </c>
      <c r="I618" s="2" t="s">
        <v>662</v>
      </c>
      <c r="J618" s="2" t="s">
        <v>35</v>
      </c>
      <c r="K618" s="2" t="s">
        <v>35</v>
      </c>
      <c r="L618" s="2" t="s">
        <v>35</v>
      </c>
      <c r="M618" s="2" t="s">
        <v>35</v>
      </c>
      <c r="N618" s="3">
        <v>44743.689745127318</v>
      </c>
      <c r="O618" s="3">
        <v>44743.690047430558</v>
      </c>
      <c r="P618" s="2">
        <v>0</v>
      </c>
      <c r="Q618" s="2" t="s">
        <v>36</v>
      </c>
      <c r="R618" s="2" t="s">
        <v>38</v>
      </c>
      <c r="S618" s="2" t="s">
        <v>35</v>
      </c>
      <c r="T618" s="2" t="s">
        <v>35</v>
      </c>
      <c r="U618" s="2" t="s">
        <v>35</v>
      </c>
      <c r="V618" s="2" t="b">
        <v>0</v>
      </c>
      <c r="W618" s="2" t="s">
        <v>35</v>
      </c>
      <c r="X618" s="2" t="s">
        <v>35</v>
      </c>
      <c r="Y618" s="2">
        <v>7</v>
      </c>
      <c r="Z618" s="2">
        <v>2</v>
      </c>
    </row>
    <row r="619" spans="1:26" x14ac:dyDescent="0.2">
      <c r="A619" s="2" t="s">
        <v>1279</v>
      </c>
      <c r="B619" s="2" t="b">
        <v>0</v>
      </c>
      <c r="C619" s="2" t="b">
        <v>0</v>
      </c>
      <c r="D619" s="2" t="b">
        <v>0</v>
      </c>
      <c r="E619" s="2" t="b">
        <v>0</v>
      </c>
      <c r="F619" s="2" t="s">
        <v>31</v>
      </c>
      <c r="G619" s="2" t="s">
        <v>1280</v>
      </c>
      <c r="H619" s="2" t="s">
        <v>1281</v>
      </c>
      <c r="I619" s="2" t="s">
        <v>1275</v>
      </c>
      <c r="J619" s="2" t="s">
        <v>35</v>
      </c>
      <c r="K619" s="2" t="s">
        <v>35</v>
      </c>
      <c r="L619" s="2" t="s">
        <v>35</v>
      </c>
      <c r="M619" s="2" t="s">
        <v>35</v>
      </c>
      <c r="N619" s="3">
        <v>44743.690827662038</v>
      </c>
      <c r="O619" s="3">
        <v>44743.691209722223</v>
      </c>
      <c r="P619" s="2">
        <v>0</v>
      </c>
      <c r="Q619" s="2" t="s">
        <v>36</v>
      </c>
      <c r="R619" s="2" t="s">
        <v>38</v>
      </c>
      <c r="S619" s="2" t="s">
        <v>35</v>
      </c>
      <c r="T619" s="2" t="s">
        <v>35</v>
      </c>
      <c r="U619" s="2" t="s">
        <v>35</v>
      </c>
      <c r="V619" s="2" t="b">
        <v>0</v>
      </c>
      <c r="W619" s="2" t="s">
        <v>35</v>
      </c>
      <c r="X619" s="2" t="s">
        <v>35</v>
      </c>
      <c r="Y619" s="2">
        <v>4</v>
      </c>
      <c r="Z619" s="2" t="s">
        <v>35</v>
      </c>
    </row>
    <row r="620" spans="1:26" x14ac:dyDescent="0.2">
      <c r="A620" s="2" t="s">
        <v>1282</v>
      </c>
      <c r="B620" s="2" t="b">
        <v>0</v>
      </c>
      <c r="C620" s="2" t="b">
        <v>0</v>
      </c>
      <c r="D620" s="2" t="b">
        <v>0</v>
      </c>
      <c r="E620" s="2" t="b">
        <v>0</v>
      </c>
      <c r="F620" s="2" t="s">
        <v>31</v>
      </c>
      <c r="G620" s="2" t="s">
        <v>1283</v>
      </c>
      <c r="H620" s="2" t="s">
        <v>1284</v>
      </c>
      <c r="I620" s="2" t="s">
        <v>1173</v>
      </c>
      <c r="J620" s="2" t="s">
        <v>35</v>
      </c>
      <c r="K620" s="2" t="s">
        <v>35</v>
      </c>
      <c r="L620" s="2" t="s">
        <v>35</v>
      </c>
      <c r="M620" s="2" t="s">
        <v>35</v>
      </c>
      <c r="N620" s="3">
        <v>44743.691254884259</v>
      </c>
      <c r="O620" s="3">
        <v>44743.691672673609</v>
      </c>
      <c r="P620" s="2">
        <v>0</v>
      </c>
      <c r="Q620" s="2" t="s">
        <v>36</v>
      </c>
      <c r="R620" s="2" t="s">
        <v>38</v>
      </c>
      <c r="S620" s="2" t="s">
        <v>35</v>
      </c>
      <c r="T620" s="2" t="s">
        <v>35</v>
      </c>
      <c r="U620" s="2" t="s">
        <v>35</v>
      </c>
      <c r="V620" s="2" t="b">
        <v>0</v>
      </c>
      <c r="W620" s="2" t="s">
        <v>35</v>
      </c>
      <c r="X620" s="2" t="s">
        <v>35</v>
      </c>
      <c r="Y620" s="2">
        <v>8</v>
      </c>
      <c r="Z620" s="2" t="s">
        <v>35</v>
      </c>
    </row>
    <row r="621" spans="1:26" x14ac:dyDescent="0.2">
      <c r="A621" s="2" t="s">
        <v>1285</v>
      </c>
      <c r="B621" s="2" t="b">
        <v>0</v>
      </c>
      <c r="C621" s="2" t="b">
        <v>0</v>
      </c>
      <c r="D621" s="2" t="b">
        <v>0</v>
      </c>
      <c r="E621" s="2" t="b">
        <v>0</v>
      </c>
      <c r="F621" s="2" t="s">
        <v>31</v>
      </c>
      <c r="G621" s="2" t="s">
        <v>1286</v>
      </c>
      <c r="H621" s="2" t="s">
        <v>1287</v>
      </c>
      <c r="I621" s="2" t="s">
        <v>662</v>
      </c>
      <c r="J621" s="2" t="s">
        <v>35</v>
      </c>
      <c r="K621" s="2" t="s">
        <v>35</v>
      </c>
      <c r="L621" s="2" t="s">
        <v>35</v>
      </c>
      <c r="M621" s="2" t="s">
        <v>35</v>
      </c>
      <c r="N621" s="3">
        <v>44743.692362847221</v>
      </c>
      <c r="O621" s="3">
        <v>44743.692701608794</v>
      </c>
      <c r="P621" s="2">
        <v>0</v>
      </c>
      <c r="Q621" s="2" t="s">
        <v>36</v>
      </c>
      <c r="R621" s="2" t="s">
        <v>38</v>
      </c>
      <c r="S621" s="2" t="s">
        <v>35</v>
      </c>
      <c r="T621" s="2" t="s">
        <v>35</v>
      </c>
      <c r="U621" s="2" t="s">
        <v>35</v>
      </c>
      <c r="V621" s="2" t="b">
        <v>0</v>
      </c>
      <c r="W621" s="2" t="s">
        <v>35</v>
      </c>
      <c r="X621" s="2" t="s">
        <v>35</v>
      </c>
      <c r="Y621" s="2">
        <v>8</v>
      </c>
      <c r="Z621" s="2" t="s">
        <v>35</v>
      </c>
    </row>
    <row r="622" spans="1:26" x14ac:dyDescent="0.2">
      <c r="A622" s="2" t="s">
        <v>1288</v>
      </c>
      <c r="B622" s="2" t="b">
        <v>0</v>
      </c>
      <c r="C622" s="2" t="b">
        <v>0</v>
      </c>
      <c r="D622" s="2" t="b">
        <v>0</v>
      </c>
      <c r="E622" s="2" t="b">
        <v>0</v>
      </c>
      <c r="F622" s="2" t="s">
        <v>31</v>
      </c>
      <c r="G622" s="2" t="s">
        <v>1289</v>
      </c>
      <c r="H622" s="2" t="s">
        <v>1290</v>
      </c>
      <c r="I622" s="2" t="s">
        <v>1291</v>
      </c>
      <c r="J622" s="2" t="s">
        <v>35</v>
      </c>
      <c r="K622" s="2" t="s">
        <v>35</v>
      </c>
      <c r="L622" s="2">
        <v>3</v>
      </c>
      <c r="M622" s="2">
        <v>14</v>
      </c>
      <c r="N622" s="3">
        <v>44743.692953310187</v>
      </c>
      <c r="O622" s="3">
        <v>44743.693367569445</v>
      </c>
      <c r="P622" s="2">
        <v>0</v>
      </c>
      <c r="Q622" s="2" t="s">
        <v>54</v>
      </c>
      <c r="R622" s="2" t="s">
        <v>38</v>
      </c>
      <c r="S622" s="2" t="s">
        <v>35</v>
      </c>
      <c r="T622" s="2" t="s">
        <v>35</v>
      </c>
      <c r="U622" s="2" t="s">
        <v>35</v>
      </c>
      <c r="V622" s="2" t="b">
        <v>1</v>
      </c>
      <c r="W622" s="2" t="s">
        <v>35</v>
      </c>
      <c r="X622" s="2" t="s">
        <v>35</v>
      </c>
      <c r="Y622" s="2" t="s">
        <v>35</v>
      </c>
      <c r="Z622" s="2" t="s">
        <v>35</v>
      </c>
    </row>
    <row r="623" spans="1:26" x14ac:dyDescent="0.2">
      <c r="A623" s="2" t="s">
        <v>1292</v>
      </c>
      <c r="B623" s="2" t="b">
        <v>0</v>
      </c>
      <c r="C623" s="2" t="b">
        <v>0</v>
      </c>
      <c r="D623" s="2" t="b">
        <v>0</v>
      </c>
      <c r="E623" s="2" t="b">
        <v>0</v>
      </c>
      <c r="F623" s="2" t="s">
        <v>31</v>
      </c>
      <c r="G623" s="2" t="s">
        <v>1293</v>
      </c>
      <c r="H623" s="2" t="s">
        <v>1294</v>
      </c>
      <c r="I623" s="2" t="s">
        <v>1221</v>
      </c>
      <c r="J623" s="2" t="s">
        <v>35</v>
      </c>
      <c r="K623" s="2" t="s">
        <v>35</v>
      </c>
      <c r="L623" s="2" t="s">
        <v>35</v>
      </c>
      <c r="M623" s="2" t="s">
        <v>35</v>
      </c>
      <c r="N623" s="3">
        <v>44743.699186423612</v>
      </c>
      <c r="O623" s="3">
        <v>44743.699401851853</v>
      </c>
      <c r="P623" s="2">
        <v>0</v>
      </c>
      <c r="Q623" s="2" t="s">
        <v>36</v>
      </c>
      <c r="R623" s="2" t="s">
        <v>38</v>
      </c>
      <c r="S623" s="2" t="s">
        <v>35</v>
      </c>
      <c r="T623" s="2" t="s">
        <v>35</v>
      </c>
      <c r="U623" s="2" t="s">
        <v>35</v>
      </c>
      <c r="V623" s="2" t="b">
        <v>0</v>
      </c>
      <c r="W623" s="2" t="s">
        <v>35</v>
      </c>
      <c r="X623" s="2" t="s">
        <v>35</v>
      </c>
      <c r="Y623" s="2">
        <v>4</v>
      </c>
      <c r="Z623" s="2" t="s">
        <v>35</v>
      </c>
    </row>
    <row r="624" spans="1:26" x14ac:dyDescent="0.2">
      <c r="A624" s="2" t="s">
        <v>1295</v>
      </c>
      <c r="B624" s="2" t="b">
        <v>0</v>
      </c>
      <c r="C624" s="2" t="b">
        <v>0</v>
      </c>
      <c r="D624" s="2" t="b">
        <v>0</v>
      </c>
      <c r="E624" s="2" t="b">
        <v>0</v>
      </c>
      <c r="F624" s="2" t="s">
        <v>31</v>
      </c>
      <c r="G624" s="2" t="s">
        <v>1296</v>
      </c>
      <c r="H624" s="2" t="s">
        <v>1297</v>
      </c>
      <c r="I624" s="2" t="s">
        <v>35</v>
      </c>
      <c r="J624" s="2" t="s">
        <v>35</v>
      </c>
      <c r="K624" s="2" t="s">
        <v>35</v>
      </c>
      <c r="L624" s="2">
        <v>7</v>
      </c>
      <c r="M624" s="2">
        <v>16</v>
      </c>
      <c r="N624" s="3">
        <v>44743.699578564818</v>
      </c>
      <c r="O624" s="3">
        <v>44743.699752685185</v>
      </c>
      <c r="P624" s="2">
        <v>0</v>
      </c>
      <c r="Q624" s="2" t="s">
        <v>54</v>
      </c>
      <c r="R624" s="2" t="s">
        <v>38</v>
      </c>
      <c r="S624" s="2" t="s">
        <v>35</v>
      </c>
      <c r="T624" s="2" t="s">
        <v>35</v>
      </c>
      <c r="U624" s="2" t="s">
        <v>35</v>
      </c>
      <c r="V624" s="2" t="b">
        <v>0</v>
      </c>
      <c r="W624" s="2" t="s">
        <v>35</v>
      </c>
      <c r="X624" s="2" t="s">
        <v>35</v>
      </c>
      <c r="Y624" s="2" t="s">
        <v>35</v>
      </c>
      <c r="Z624" s="2" t="s">
        <v>35</v>
      </c>
    </row>
    <row r="625" spans="1:26" x14ac:dyDescent="0.2">
      <c r="A625" s="2" t="s">
        <v>1298</v>
      </c>
      <c r="B625" s="2" t="b">
        <v>0</v>
      </c>
      <c r="C625" s="2" t="b">
        <v>0</v>
      </c>
      <c r="D625" s="2" t="b">
        <v>0</v>
      </c>
      <c r="E625" s="2" t="b">
        <v>0</v>
      </c>
      <c r="F625" s="2" t="s">
        <v>31</v>
      </c>
      <c r="G625" s="2" t="s">
        <v>1299</v>
      </c>
      <c r="H625" s="2" t="s">
        <v>1300</v>
      </c>
      <c r="I625" s="2" t="s">
        <v>35</v>
      </c>
      <c r="J625" s="2" t="s">
        <v>35</v>
      </c>
      <c r="K625" s="2" t="s">
        <v>35</v>
      </c>
      <c r="L625" s="2">
        <v>5</v>
      </c>
      <c r="M625" s="2">
        <v>15</v>
      </c>
      <c r="N625" s="3">
        <v>44743.699873344907</v>
      </c>
      <c r="O625" s="3">
        <v>44743.700046111109</v>
      </c>
      <c r="P625" s="2">
        <v>0</v>
      </c>
      <c r="Q625" s="2" t="s">
        <v>54</v>
      </c>
      <c r="R625" s="2" t="s">
        <v>38</v>
      </c>
      <c r="S625" s="2" t="s">
        <v>35</v>
      </c>
      <c r="T625" s="2" t="s">
        <v>35</v>
      </c>
      <c r="U625" s="2" t="s">
        <v>35</v>
      </c>
      <c r="V625" s="2" t="b">
        <v>0</v>
      </c>
      <c r="W625" s="2" t="s">
        <v>35</v>
      </c>
      <c r="X625" s="2" t="s">
        <v>35</v>
      </c>
      <c r="Y625" s="2" t="s">
        <v>35</v>
      </c>
      <c r="Z625" s="2" t="s">
        <v>35</v>
      </c>
    </row>
    <row r="626" spans="1:26" x14ac:dyDescent="0.2">
      <c r="A626" s="2" t="s">
        <v>1301</v>
      </c>
      <c r="B626" s="2" t="b">
        <v>0</v>
      </c>
      <c r="C626" s="2" t="b">
        <v>0</v>
      </c>
      <c r="D626" s="2" t="b">
        <v>0</v>
      </c>
      <c r="E626" s="2" t="b">
        <v>0</v>
      </c>
      <c r="F626" s="2" t="s">
        <v>31</v>
      </c>
      <c r="G626" s="2" t="s">
        <v>1302</v>
      </c>
      <c r="H626" s="2" t="s">
        <v>1303</v>
      </c>
      <c r="I626" s="2" t="s">
        <v>1221</v>
      </c>
      <c r="J626" s="2" t="s">
        <v>35</v>
      </c>
      <c r="K626" s="2" t="s">
        <v>35</v>
      </c>
      <c r="L626" s="2" t="s">
        <v>35</v>
      </c>
      <c r="M626" s="2" t="s">
        <v>35</v>
      </c>
      <c r="N626" s="3">
        <v>44743.700345300924</v>
      </c>
      <c r="O626" s="3">
        <v>44743.700689155092</v>
      </c>
      <c r="P626" s="2">
        <v>0</v>
      </c>
      <c r="Q626" s="2" t="s">
        <v>36</v>
      </c>
      <c r="R626" s="2" t="s">
        <v>38</v>
      </c>
      <c r="S626" s="2" t="s">
        <v>35</v>
      </c>
      <c r="T626" s="2" t="s">
        <v>35</v>
      </c>
      <c r="U626" s="2" t="s">
        <v>35</v>
      </c>
      <c r="V626" s="2" t="b">
        <v>0</v>
      </c>
      <c r="W626" s="2" t="s">
        <v>35</v>
      </c>
      <c r="X626" s="2" t="s">
        <v>35</v>
      </c>
      <c r="Y626" s="2">
        <v>7</v>
      </c>
      <c r="Z626" s="2" t="s">
        <v>35</v>
      </c>
    </row>
    <row r="627" spans="1:26" x14ac:dyDescent="0.2">
      <c r="A627" s="2" t="s">
        <v>1304</v>
      </c>
      <c r="B627" s="2" t="b">
        <v>0</v>
      </c>
      <c r="C627" s="2" t="b">
        <v>0</v>
      </c>
      <c r="D627" s="2" t="b">
        <v>0</v>
      </c>
      <c r="E627" s="2" t="b">
        <v>0</v>
      </c>
      <c r="F627" s="2" t="s">
        <v>31</v>
      </c>
      <c r="G627" s="2" t="s">
        <v>1305</v>
      </c>
      <c r="H627" s="2" t="s">
        <v>1306</v>
      </c>
      <c r="I627" s="2" t="s">
        <v>662</v>
      </c>
      <c r="J627" s="2" t="s">
        <v>35</v>
      </c>
      <c r="K627" s="2" t="s">
        <v>35</v>
      </c>
      <c r="L627" s="2" t="s">
        <v>35</v>
      </c>
      <c r="M627" s="2" t="s">
        <v>35</v>
      </c>
      <c r="N627" s="3">
        <v>44743.702285740743</v>
      </c>
      <c r="O627" s="3">
        <v>44743.702504756948</v>
      </c>
      <c r="P627" s="2">
        <v>0</v>
      </c>
      <c r="Q627" s="2" t="s">
        <v>36</v>
      </c>
      <c r="R627" s="2" t="s">
        <v>38</v>
      </c>
      <c r="S627" s="2" t="s">
        <v>35</v>
      </c>
      <c r="T627" s="2" t="s">
        <v>35</v>
      </c>
      <c r="U627" s="2" t="s">
        <v>35</v>
      </c>
      <c r="V627" s="2" t="b">
        <v>0</v>
      </c>
      <c r="W627" s="2" t="s">
        <v>35</v>
      </c>
      <c r="X627" s="2" t="s">
        <v>35</v>
      </c>
      <c r="Y627" s="2">
        <v>8</v>
      </c>
      <c r="Z627" s="2" t="s">
        <v>35</v>
      </c>
    </row>
    <row r="628" spans="1:26" x14ac:dyDescent="0.2">
      <c r="A628" s="2" t="s">
        <v>1307</v>
      </c>
      <c r="B628" s="2" t="b">
        <v>0</v>
      </c>
      <c r="C628" s="2" t="b">
        <v>0</v>
      </c>
      <c r="D628" s="2" t="b">
        <v>0</v>
      </c>
      <c r="E628" s="2" t="b">
        <v>0</v>
      </c>
      <c r="F628" s="2" t="s">
        <v>31</v>
      </c>
      <c r="G628" s="2" t="s">
        <v>1308</v>
      </c>
      <c r="H628" s="2" t="s">
        <v>1309</v>
      </c>
      <c r="I628" s="2" t="s">
        <v>35</v>
      </c>
      <c r="J628" s="2" t="s">
        <v>35</v>
      </c>
      <c r="K628" s="2" t="s">
        <v>35</v>
      </c>
      <c r="L628" s="2" t="s">
        <v>35</v>
      </c>
      <c r="M628" s="2" t="s">
        <v>35</v>
      </c>
      <c r="N628" s="3">
        <v>44743.703955972225</v>
      </c>
      <c r="O628" s="3">
        <v>44743.70408945602</v>
      </c>
      <c r="P628" s="2">
        <v>0</v>
      </c>
      <c r="Q628" s="2" t="s">
        <v>36</v>
      </c>
      <c r="R628" s="2" t="s">
        <v>38</v>
      </c>
      <c r="S628" s="2" t="s">
        <v>35</v>
      </c>
      <c r="T628" s="2" t="s">
        <v>35</v>
      </c>
      <c r="U628" s="2" t="s">
        <v>35</v>
      </c>
      <c r="V628" s="2" t="b">
        <v>0</v>
      </c>
      <c r="W628" s="2" t="s">
        <v>35</v>
      </c>
      <c r="X628" s="2" t="s">
        <v>35</v>
      </c>
      <c r="Y628" s="2" t="s">
        <v>35</v>
      </c>
      <c r="Z628" s="2">
        <v>4</v>
      </c>
    </row>
    <row r="629" spans="1:26" x14ac:dyDescent="0.2">
      <c r="A629" s="2" t="s">
        <v>1310</v>
      </c>
      <c r="B629" s="2" t="b">
        <v>0</v>
      </c>
      <c r="C629" s="2" t="b">
        <v>0</v>
      </c>
      <c r="D629" s="2" t="b">
        <v>0</v>
      </c>
      <c r="E629" s="2" t="b">
        <v>0</v>
      </c>
      <c r="F629" s="2" t="s">
        <v>31</v>
      </c>
      <c r="G629" s="2" t="s">
        <v>1311</v>
      </c>
      <c r="H629" s="2" t="s">
        <v>1312</v>
      </c>
      <c r="I629" s="2" t="s">
        <v>1313</v>
      </c>
      <c r="J629" s="2" t="s">
        <v>35</v>
      </c>
      <c r="K629" s="2" t="s">
        <v>35</v>
      </c>
      <c r="L629" s="2" t="s">
        <v>35</v>
      </c>
      <c r="M629" s="2" t="s">
        <v>35</v>
      </c>
      <c r="N629" s="3">
        <v>44743.704600625002</v>
      </c>
      <c r="O629" s="3">
        <v>44743.704986307872</v>
      </c>
      <c r="P629" s="2">
        <v>0</v>
      </c>
      <c r="Q629" s="2" t="s">
        <v>36</v>
      </c>
      <c r="R629" s="2" t="s">
        <v>38</v>
      </c>
      <c r="S629" s="2" t="s">
        <v>35</v>
      </c>
      <c r="T629" s="2" t="s">
        <v>35</v>
      </c>
      <c r="U629" s="2" t="s">
        <v>35</v>
      </c>
      <c r="V629" s="2" t="b">
        <v>0</v>
      </c>
      <c r="W629" s="2" t="s">
        <v>35</v>
      </c>
      <c r="X629" s="2" t="s">
        <v>35</v>
      </c>
      <c r="Y629" s="2">
        <v>14</v>
      </c>
      <c r="Z629" s="2" t="s">
        <v>35</v>
      </c>
    </row>
    <row r="630" spans="1:26" x14ac:dyDescent="0.2">
      <c r="A630" s="2" t="s">
        <v>1314</v>
      </c>
      <c r="B630" s="2" t="b">
        <v>0</v>
      </c>
      <c r="C630" s="2" t="b">
        <v>0</v>
      </c>
      <c r="D630" s="2" t="b">
        <v>0</v>
      </c>
      <c r="E630" s="2" t="b">
        <v>0</v>
      </c>
      <c r="F630" s="2" t="s">
        <v>31</v>
      </c>
      <c r="G630" s="2" t="s">
        <v>1315</v>
      </c>
      <c r="H630" s="2" t="s">
        <v>1316</v>
      </c>
      <c r="I630" s="2" t="s">
        <v>1291</v>
      </c>
      <c r="J630" s="2" t="s">
        <v>35</v>
      </c>
      <c r="K630" s="2" t="s">
        <v>35</v>
      </c>
      <c r="L630" s="2">
        <v>23</v>
      </c>
      <c r="M630" s="2">
        <v>9</v>
      </c>
      <c r="N630" s="3">
        <v>44743.705134282405</v>
      </c>
      <c r="O630" s="3">
        <v>44743.705715011572</v>
      </c>
      <c r="P630" s="2">
        <v>0</v>
      </c>
      <c r="Q630" s="2" t="s">
        <v>54</v>
      </c>
      <c r="R630" s="2" t="s">
        <v>38</v>
      </c>
      <c r="S630" s="2" t="s">
        <v>35</v>
      </c>
      <c r="T630" s="2" t="s">
        <v>35</v>
      </c>
      <c r="U630" s="2" t="s">
        <v>35</v>
      </c>
      <c r="V630" s="2" t="b">
        <v>1</v>
      </c>
      <c r="W630" s="2" t="s">
        <v>35</v>
      </c>
      <c r="X630" s="2" t="s">
        <v>35</v>
      </c>
      <c r="Y630" s="2" t="s">
        <v>35</v>
      </c>
      <c r="Z630" s="2" t="s">
        <v>35</v>
      </c>
    </row>
    <row r="631" spans="1:26" x14ac:dyDescent="0.2">
      <c r="A631" s="2" t="s">
        <v>1317</v>
      </c>
      <c r="B631" s="2" t="b">
        <v>0</v>
      </c>
      <c r="C631" s="2" t="b">
        <v>0</v>
      </c>
      <c r="D631" s="2" t="b">
        <v>0</v>
      </c>
      <c r="E631" s="2" t="b">
        <v>0</v>
      </c>
      <c r="F631" s="2" t="s">
        <v>31</v>
      </c>
      <c r="G631" s="2" t="s">
        <v>1318</v>
      </c>
      <c r="H631" s="2" t="s">
        <v>1319</v>
      </c>
      <c r="I631" s="2" t="s">
        <v>1313</v>
      </c>
      <c r="J631" s="2" t="s">
        <v>35</v>
      </c>
      <c r="K631" s="2" t="s">
        <v>35</v>
      </c>
      <c r="L631" s="2" t="s">
        <v>35</v>
      </c>
      <c r="M631" s="2" t="s">
        <v>35</v>
      </c>
      <c r="N631" s="3">
        <v>44743.706187326388</v>
      </c>
      <c r="O631" s="3">
        <v>44743.706436689812</v>
      </c>
      <c r="P631" s="2">
        <v>0</v>
      </c>
      <c r="Q631" s="2" t="s">
        <v>36</v>
      </c>
      <c r="R631" s="2" t="s">
        <v>38</v>
      </c>
      <c r="S631" s="2" t="s">
        <v>35</v>
      </c>
      <c r="T631" s="2" t="s">
        <v>35</v>
      </c>
      <c r="U631" s="2" t="s">
        <v>35</v>
      </c>
      <c r="V631" s="2" t="b">
        <v>0</v>
      </c>
      <c r="W631" s="2" t="s">
        <v>35</v>
      </c>
      <c r="X631" s="2" t="s">
        <v>35</v>
      </c>
      <c r="Y631" s="2">
        <v>8</v>
      </c>
      <c r="Z631" s="2" t="s">
        <v>35</v>
      </c>
    </row>
    <row r="632" spans="1:26" x14ac:dyDescent="0.2">
      <c r="A632" s="2" t="s">
        <v>1320</v>
      </c>
      <c r="B632" s="2" t="b">
        <v>0</v>
      </c>
      <c r="C632" s="2" t="b">
        <v>0</v>
      </c>
      <c r="D632" s="2" t="b">
        <v>0</v>
      </c>
      <c r="E632" s="2" t="b">
        <v>0</v>
      </c>
      <c r="F632" s="2" t="s">
        <v>31</v>
      </c>
      <c r="G632" s="2" t="s">
        <v>1321</v>
      </c>
      <c r="H632" s="2" t="s">
        <v>1322</v>
      </c>
      <c r="I632" s="2" t="s">
        <v>35</v>
      </c>
      <c r="J632" s="2" t="s">
        <v>35</v>
      </c>
      <c r="K632" s="2" t="s">
        <v>35</v>
      </c>
      <c r="L632" s="2">
        <v>7</v>
      </c>
      <c r="M632" s="2">
        <v>14</v>
      </c>
      <c r="N632" s="3">
        <v>44743.706496724539</v>
      </c>
      <c r="O632" s="3">
        <v>44743.706642523146</v>
      </c>
      <c r="P632" s="2">
        <v>0</v>
      </c>
      <c r="Q632" s="2" t="s">
        <v>54</v>
      </c>
      <c r="R632" s="2" t="s">
        <v>38</v>
      </c>
      <c r="S632" s="2" t="s">
        <v>35</v>
      </c>
      <c r="T632" s="2" t="s">
        <v>35</v>
      </c>
      <c r="U632" s="2" t="s">
        <v>35</v>
      </c>
      <c r="V632" s="2" t="b">
        <v>0</v>
      </c>
      <c r="W632" s="2" t="s">
        <v>35</v>
      </c>
      <c r="X632" s="2" t="s">
        <v>35</v>
      </c>
      <c r="Y632" s="2" t="s">
        <v>35</v>
      </c>
      <c r="Z632" s="2" t="s">
        <v>35</v>
      </c>
    </row>
    <row r="633" spans="1:26" x14ac:dyDescent="0.2">
      <c r="A633" s="2" t="s">
        <v>1323</v>
      </c>
      <c r="B633" s="2" t="b">
        <v>0</v>
      </c>
      <c r="C633" s="2" t="b">
        <v>0</v>
      </c>
      <c r="D633" s="2" t="b">
        <v>0</v>
      </c>
      <c r="E633" s="2" t="b">
        <v>0</v>
      </c>
      <c r="F633" s="2" t="s">
        <v>31</v>
      </c>
      <c r="G633" s="2" t="s">
        <v>1324</v>
      </c>
      <c r="H633" s="2" t="s">
        <v>1325</v>
      </c>
      <c r="I633" s="2" t="s">
        <v>1326</v>
      </c>
      <c r="J633" s="2" t="s">
        <v>35</v>
      </c>
      <c r="K633" s="2" t="s">
        <v>35</v>
      </c>
      <c r="L633" s="2">
        <v>2</v>
      </c>
      <c r="M633" s="2">
        <v>16</v>
      </c>
      <c r="N633" s="3">
        <v>44743.707727881942</v>
      </c>
      <c r="O633" s="3">
        <v>44743.708127534723</v>
      </c>
      <c r="P633" s="2">
        <v>0</v>
      </c>
      <c r="Q633" s="2" t="s">
        <v>54</v>
      </c>
      <c r="R633" s="2" t="s">
        <v>38</v>
      </c>
      <c r="S633" s="2" t="s">
        <v>35</v>
      </c>
      <c r="T633" s="2" t="s">
        <v>35</v>
      </c>
      <c r="U633" s="2" t="s">
        <v>35</v>
      </c>
      <c r="V633" s="2" t="b">
        <v>1</v>
      </c>
      <c r="W633" s="2" t="s">
        <v>35</v>
      </c>
      <c r="X633" s="2" t="s">
        <v>35</v>
      </c>
      <c r="Y633" s="2" t="s">
        <v>35</v>
      </c>
      <c r="Z633" s="2" t="s">
        <v>35</v>
      </c>
    </row>
    <row r="634" spans="1:26" x14ac:dyDescent="0.2">
      <c r="A634" s="2" t="s">
        <v>1327</v>
      </c>
      <c r="B634" s="2" t="b">
        <v>0</v>
      </c>
      <c r="C634" s="2" t="b">
        <v>0</v>
      </c>
      <c r="D634" s="2" t="b">
        <v>0</v>
      </c>
      <c r="E634" s="2" t="b">
        <v>0</v>
      </c>
      <c r="F634" s="2" t="s">
        <v>31</v>
      </c>
      <c r="G634" s="2" t="s">
        <v>1328</v>
      </c>
      <c r="H634" s="2" t="s">
        <v>1329</v>
      </c>
      <c r="I634" s="2" t="s">
        <v>35</v>
      </c>
      <c r="J634" s="2" t="s">
        <v>35</v>
      </c>
      <c r="K634" s="2">
        <v>6</v>
      </c>
      <c r="L634" s="2" t="s">
        <v>35</v>
      </c>
      <c r="M634" s="2" t="s">
        <v>35</v>
      </c>
      <c r="N634" s="3">
        <v>44743.709633622682</v>
      </c>
      <c r="O634" s="3">
        <v>44743.709786111111</v>
      </c>
      <c r="P634" s="2">
        <v>0</v>
      </c>
      <c r="Q634" s="2" t="s">
        <v>265</v>
      </c>
      <c r="R634" s="2" t="s">
        <v>38</v>
      </c>
      <c r="S634" s="2" t="s">
        <v>35</v>
      </c>
      <c r="T634" s="2" t="s">
        <v>35</v>
      </c>
      <c r="U634" s="2" t="s">
        <v>35</v>
      </c>
      <c r="V634" s="2" t="b">
        <v>0</v>
      </c>
      <c r="W634" s="2" t="s">
        <v>35</v>
      </c>
      <c r="X634" s="2" t="s">
        <v>35</v>
      </c>
      <c r="Y634" s="2" t="s">
        <v>35</v>
      </c>
      <c r="Z634" s="2" t="s">
        <v>35</v>
      </c>
    </row>
    <row r="635" spans="1:26" x14ac:dyDescent="0.2">
      <c r="A635" s="2" t="s">
        <v>1330</v>
      </c>
      <c r="B635" s="2" t="b">
        <v>0</v>
      </c>
      <c r="C635" s="2" t="b">
        <v>0</v>
      </c>
      <c r="D635" s="2" t="b">
        <v>0</v>
      </c>
      <c r="E635" s="2" t="b">
        <v>0</v>
      </c>
      <c r="F635" s="2" t="s">
        <v>31</v>
      </c>
      <c r="G635" s="2" t="s">
        <v>1331</v>
      </c>
      <c r="H635" s="2" t="s">
        <v>1332</v>
      </c>
      <c r="I635" s="2" t="s">
        <v>35</v>
      </c>
      <c r="J635" s="2" t="s">
        <v>35</v>
      </c>
      <c r="K635" s="2">
        <v>5</v>
      </c>
      <c r="L635" s="2" t="s">
        <v>35</v>
      </c>
      <c r="M635" s="2" t="s">
        <v>35</v>
      </c>
      <c r="N635" s="3">
        <v>44743.70996847222</v>
      </c>
      <c r="O635" s="3">
        <v>44743.710147372687</v>
      </c>
      <c r="P635" s="2">
        <v>0</v>
      </c>
      <c r="Q635" s="2" t="s">
        <v>265</v>
      </c>
      <c r="R635" s="2" t="s">
        <v>38</v>
      </c>
      <c r="S635" s="2" t="s">
        <v>35</v>
      </c>
      <c r="T635" s="2" t="s">
        <v>35</v>
      </c>
      <c r="U635" s="2" t="s">
        <v>35</v>
      </c>
      <c r="V635" s="2" t="b">
        <v>0</v>
      </c>
      <c r="W635" s="2" t="s">
        <v>35</v>
      </c>
      <c r="X635" s="2" t="s">
        <v>35</v>
      </c>
      <c r="Y635" s="2" t="s">
        <v>35</v>
      </c>
      <c r="Z635" s="2" t="s">
        <v>35</v>
      </c>
    </row>
    <row r="636" spans="1:26" x14ac:dyDescent="0.2">
      <c r="A636" s="2" t="s">
        <v>1333</v>
      </c>
      <c r="B636" s="2" t="b">
        <v>0</v>
      </c>
      <c r="C636" s="2" t="b">
        <v>0</v>
      </c>
      <c r="D636" s="2" t="b">
        <v>0</v>
      </c>
      <c r="E636" s="2" t="b">
        <v>0</v>
      </c>
      <c r="F636" s="2" t="s">
        <v>31</v>
      </c>
      <c r="G636" s="2" t="s">
        <v>1334</v>
      </c>
      <c r="H636" s="2" t="s">
        <v>1335</v>
      </c>
      <c r="I636" s="2" t="s">
        <v>1336</v>
      </c>
      <c r="J636" s="2" t="s">
        <v>35</v>
      </c>
      <c r="K636" s="2" t="s">
        <v>35</v>
      </c>
      <c r="L636" s="2" t="s">
        <v>35</v>
      </c>
      <c r="M636" s="2" t="s">
        <v>35</v>
      </c>
      <c r="N636" s="3">
        <v>44743.710730405095</v>
      </c>
      <c r="O636" s="3">
        <v>44743.71098520833</v>
      </c>
      <c r="P636" s="2">
        <v>0</v>
      </c>
      <c r="Q636" s="2" t="s">
        <v>36</v>
      </c>
      <c r="R636" s="2" t="s">
        <v>38</v>
      </c>
      <c r="S636" s="2" t="s">
        <v>35</v>
      </c>
      <c r="T636" s="2" t="s">
        <v>35</v>
      </c>
      <c r="U636" s="2" t="s">
        <v>35</v>
      </c>
      <c r="V636" s="2" t="b">
        <v>0</v>
      </c>
      <c r="W636" s="2" t="s">
        <v>35</v>
      </c>
      <c r="X636" s="2" t="s">
        <v>35</v>
      </c>
      <c r="Y636" s="2">
        <v>4</v>
      </c>
      <c r="Z636" s="2" t="s">
        <v>35</v>
      </c>
    </row>
    <row r="637" spans="1:26" x14ac:dyDescent="0.2">
      <c r="A637" s="2" t="s">
        <v>1337</v>
      </c>
      <c r="B637" s="2" t="b">
        <v>0</v>
      </c>
      <c r="C637" s="2" t="b">
        <v>0</v>
      </c>
      <c r="D637" s="2" t="b">
        <v>0</v>
      </c>
      <c r="E637" s="2" t="b">
        <v>0</v>
      </c>
      <c r="F637" s="2" t="s">
        <v>31</v>
      </c>
      <c r="G637" s="2" t="s">
        <v>1338</v>
      </c>
      <c r="H637" s="2" t="s">
        <v>1339</v>
      </c>
      <c r="I637" s="2" t="s">
        <v>662</v>
      </c>
      <c r="J637" s="2" t="s">
        <v>35</v>
      </c>
      <c r="K637" s="2" t="s">
        <v>35</v>
      </c>
      <c r="L637" s="2" t="s">
        <v>35</v>
      </c>
      <c r="M637" s="2" t="s">
        <v>35</v>
      </c>
      <c r="N637" s="3">
        <v>44743.711198645833</v>
      </c>
      <c r="O637" s="3">
        <v>44743.711436967591</v>
      </c>
      <c r="P637" s="2">
        <v>0</v>
      </c>
      <c r="Q637" s="2" t="s">
        <v>36</v>
      </c>
      <c r="R637" s="2" t="s">
        <v>38</v>
      </c>
      <c r="S637" s="2" t="s">
        <v>35</v>
      </c>
      <c r="T637" s="2" t="s">
        <v>35</v>
      </c>
      <c r="U637" s="2" t="s">
        <v>35</v>
      </c>
      <c r="V637" s="2" t="b">
        <v>0</v>
      </c>
      <c r="W637" s="2" t="s">
        <v>35</v>
      </c>
      <c r="X637" s="2" t="s">
        <v>35</v>
      </c>
      <c r="Y637" s="2">
        <v>10</v>
      </c>
      <c r="Z637" s="2" t="s">
        <v>35</v>
      </c>
    </row>
    <row r="638" spans="1:26" x14ac:dyDescent="0.2">
      <c r="A638" s="2" t="s">
        <v>1340</v>
      </c>
      <c r="B638" s="2" t="b">
        <v>0</v>
      </c>
      <c r="C638" s="2" t="b">
        <v>0</v>
      </c>
      <c r="D638" s="2" t="b">
        <v>0</v>
      </c>
      <c r="E638" s="2" t="b">
        <v>0</v>
      </c>
      <c r="F638" s="2" t="s">
        <v>31</v>
      </c>
      <c r="G638" s="2" t="s">
        <v>1341</v>
      </c>
      <c r="H638" s="2" t="s">
        <v>1342</v>
      </c>
      <c r="I638" s="2" t="s">
        <v>35</v>
      </c>
      <c r="J638" s="2" t="s">
        <v>35</v>
      </c>
      <c r="K638" s="2" t="s">
        <v>35</v>
      </c>
      <c r="L638" s="2">
        <v>3</v>
      </c>
      <c r="M638" s="2">
        <v>15</v>
      </c>
      <c r="N638" s="3">
        <v>44743.711597326386</v>
      </c>
      <c r="O638" s="3">
        <v>44743.711746423614</v>
      </c>
      <c r="P638" s="2">
        <v>0</v>
      </c>
      <c r="Q638" s="2" t="s">
        <v>54</v>
      </c>
      <c r="R638" s="2" t="s">
        <v>38</v>
      </c>
      <c r="S638" s="2" t="s">
        <v>35</v>
      </c>
      <c r="T638" s="2" t="s">
        <v>35</v>
      </c>
      <c r="U638" s="2" t="s">
        <v>35</v>
      </c>
      <c r="V638" s="2" t="b">
        <v>0</v>
      </c>
      <c r="W638" s="2" t="s">
        <v>35</v>
      </c>
      <c r="X638" s="2" t="s">
        <v>35</v>
      </c>
      <c r="Y638" s="2" t="s">
        <v>35</v>
      </c>
      <c r="Z638" s="2" t="s">
        <v>35</v>
      </c>
    </row>
    <row r="639" spans="1:26" x14ac:dyDescent="0.2">
      <c r="A639" s="2" t="s">
        <v>1343</v>
      </c>
      <c r="B639" s="2" t="b">
        <v>0</v>
      </c>
      <c r="C639" s="2" t="b">
        <v>0</v>
      </c>
      <c r="D639" s="2" t="b">
        <v>0</v>
      </c>
      <c r="E639" s="2" t="b">
        <v>0</v>
      </c>
      <c r="F639" s="2" t="s">
        <v>31</v>
      </c>
      <c r="G639" s="2" t="s">
        <v>1344</v>
      </c>
      <c r="H639" s="2" t="s">
        <v>1345</v>
      </c>
      <c r="I639" s="2" t="s">
        <v>35</v>
      </c>
      <c r="J639" s="2" t="s">
        <v>35</v>
      </c>
      <c r="K639" s="2" t="s">
        <v>35</v>
      </c>
      <c r="L639" s="2">
        <v>6</v>
      </c>
      <c r="M639" s="2">
        <v>15</v>
      </c>
      <c r="N639" s="3">
        <v>44743.712067499997</v>
      </c>
      <c r="O639" s="3">
        <v>44743.71236420139</v>
      </c>
      <c r="P639" s="2">
        <v>0</v>
      </c>
      <c r="Q639" s="2" t="s">
        <v>54</v>
      </c>
      <c r="R639" s="2" t="s">
        <v>38</v>
      </c>
      <c r="S639" s="2" t="s">
        <v>35</v>
      </c>
      <c r="T639" s="2" t="s">
        <v>35</v>
      </c>
      <c r="U639" s="2" t="s">
        <v>35</v>
      </c>
      <c r="V639" s="2" t="b">
        <v>0</v>
      </c>
      <c r="W639" s="2" t="s">
        <v>35</v>
      </c>
      <c r="X639" s="2" t="s">
        <v>35</v>
      </c>
      <c r="Y639" s="2" t="s">
        <v>35</v>
      </c>
      <c r="Z639" s="2" t="s">
        <v>35</v>
      </c>
    </row>
    <row r="640" spans="1:26" x14ac:dyDescent="0.2">
      <c r="A640" s="2" t="s">
        <v>1346</v>
      </c>
      <c r="B640" s="2" t="b">
        <v>0</v>
      </c>
      <c r="C640" s="2" t="b">
        <v>0</v>
      </c>
      <c r="D640" s="2" t="b">
        <v>0</v>
      </c>
      <c r="E640" s="2" t="b">
        <v>0</v>
      </c>
      <c r="F640" s="2" t="s">
        <v>31</v>
      </c>
      <c r="G640" s="2" t="s">
        <v>1347</v>
      </c>
      <c r="H640" s="2" t="s">
        <v>1348</v>
      </c>
      <c r="I640" s="2" t="s">
        <v>1349</v>
      </c>
      <c r="J640" s="2" t="s">
        <v>35</v>
      </c>
      <c r="K640" s="2" t="s">
        <v>35</v>
      </c>
      <c r="L640" s="2" t="s">
        <v>35</v>
      </c>
      <c r="M640" s="2" t="s">
        <v>35</v>
      </c>
      <c r="N640" s="3">
        <v>44743.712671053239</v>
      </c>
      <c r="O640" s="3">
        <v>44743.713663541668</v>
      </c>
      <c r="P640" s="2">
        <v>0</v>
      </c>
      <c r="Q640" s="2" t="s">
        <v>36</v>
      </c>
      <c r="R640" s="2" t="s">
        <v>38</v>
      </c>
      <c r="S640" s="2" t="s">
        <v>35</v>
      </c>
      <c r="T640" s="2" t="s">
        <v>35</v>
      </c>
      <c r="U640" s="2" t="s">
        <v>35</v>
      </c>
      <c r="V640" s="2" t="b">
        <v>0</v>
      </c>
      <c r="W640" s="2" t="s">
        <v>35</v>
      </c>
      <c r="X640" s="2" t="s">
        <v>35</v>
      </c>
      <c r="Y640" s="2">
        <v>4</v>
      </c>
      <c r="Z640" s="2">
        <v>3</v>
      </c>
    </row>
    <row r="641" spans="1:26" x14ac:dyDescent="0.2">
      <c r="A641" s="2" t="s">
        <v>1350</v>
      </c>
      <c r="B641" s="2" t="b">
        <v>0</v>
      </c>
      <c r="C641" s="2" t="b">
        <v>0</v>
      </c>
      <c r="D641" s="2" t="b">
        <v>0</v>
      </c>
      <c r="E641" s="2" t="b">
        <v>0</v>
      </c>
      <c r="F641" s="2" t="s">
        <v>31</v>
      </c>
      <c r="G641" s="2" t="s">
        <v>1351</v>
      </c>
      <c r="H641" s="2" t="s">
        <v>1352</v>
      </c>
      <c r="I641" s="2" t="s">
        <v>35</v>
      </c>
      <c r="J641" s="2" t="s">
        <v>35</v>
      </c>
      <c r="K641" s="2" t="s">
        <v>35</v>
      </c>
      <c r="L641" s="2">
        <v>2</v>
      </c>
      <c r="M641" s="2">
        <v>13</v>
      </c>
      <c r="N641" s="3">
        <v>44743.713824456019</v>
      </c>
      <c r="O641" s="3">
        <v>44743.714252685182</v>
      </c>
      <c r="P641" s="2">
        <v>0</v>
      </c>
      <c r="Q641" s="2" t="s">
        <v>54</v>
      </c>
      <c r="R641" s="2" t="s">
        <v>38</v>
      </c>
      <c r="S641" s="2" t="s">
        <v>35</v>
      </c>
      <c r="T641" s="2" t="s">
        <v>35</v>
      </c>
      <c r="U641" s="2" t="s">
        <v>35</v>
      </c>
      <c r="V641" s="2" t="b">
        <v>0</v>
      </c>
      <c r="W641" s="2" t="s">
        <v>35</v>
      </c>
      <c r="X641" s="2" t="s">
        <v>35</v>
      </c>
      <c r="Y641" s="2" t="s">
        <v>35</v>
      </c>
      <c r="Z641" s="2" t="s">
        <v>35</v>
      </c>
    </row>
    <row r="642" spans="1:26" x14ac:dyDescent="0.2">
      <c r="A642" s="2" t="s">
        <v>1353</v>
      </c>
      <c r="B642" s="2" t="b">
        <v>0</v>
      </c>
      <c r="C642" s="2" t="b">
        <v>0</v>
      </c>
      <c r="D642" s="2" t="b">
        <v>0</v>
      </c>
      <c r="E642" s="2" t="b">
        <v>0</v>
      </c>
      <c r="F642" s="2" t="s">
        <v>31</v>
      </c>
      <c r="G642" s="2" t="s">
        <v>1354</v>
      </c>
      <c r="H642" s="2" t="s">
        <v>1355</v>
      </c>
      <c r="I642" s="2" t="s">
        <v>1313</v>
      </c>
      <c r="J642" s="2" t="s">
        <v>35</v>
      </c>
      <c r="K642" s="2" t="s">
        <v>35</v>
      </c>
      <c r="L642" s="2" t="s">
        <v>35</v>
      </c>
      <c r="M642" s="2" t="s">
        <v>35</v>
      </c>
      <c r="N642" s="3">
        <v>44743.714273645834</v>
      </c>
      <c r="O642" s="3">
        <v>44743.714589386575</v>
      </c>
      <c r="P642" s="2">
        <v>0</v>
      </c>
      <c r="Q642" s="2" t="s">
        <v>36</v>
      </c>
      <c r="R642" s="2" t="s">
        <v>38</v>
      </c>
      <c r="S642" s="2" t="s">
        <v>35</v>
      </c>
      <c r="T642" s="2" t="s">
        <v>35</v>
      </c>
      <c r="U642" s="2" t="s">
        <v>35</v>
      </c>
      <c r="V642" s="2" t="b">
        <v>0</v>
      </c>
      <c r="W642" s="2" t="s">
        <v>35</v>
      </c>
      <c r="X642" s="2" t="s">
        <v>35</v>
      </c>
      <c r="Y642" s="2">
        <v>9</v>
      </c>
      <c r="Z642" s="2" t="s">
        <v>35</v>
      </c>
    </row>
    <row r="643" spans="1:26" x14ac:dyDescent="0.2">
      <c r="A643" s="2" t="s">
        <v>1356</v>
      </c>
      <c r="B643" s="2" t="b">
        <v>0</v>
      </c>
      <c r="C643" s="2" t="b">
        <v>0</v>
      </c>
      <c r="D643" s="2" t="b">
        <v>0</v>
      </c>
      <c r="E643" s="2" t="b">
        <v>0</v>
      </c>
      <c r="F643" s="2" t="s">
        <v>31</v>
      </c>
      <c r="G643" s="2" t="s">
        <v>1357</v>
      </c>
      <c r="H643" s="2" t="s">
        <v>1358</v>
      </c>
      <c r="I643" s="2" t="s">
        <v>35</v>
      </c>
      <c r="J643" s="2" t="s">
        <v>35</v>
      </c>
      <c r="K643" s="2" t="s">
        <v>35</v>
      </c>
      <c r="L643" s="2" t="s">
        <v>35</v>
      </c>
      <c r="M643" s="2" t="s">
        <v>35</v>
      </c>
      <c r="N643" s="3">
        <v>44743.715229629626</v>
      </c>
      <c r="O643" s="3">
        <v>44743.715337534719</v>
      </c>
      <c r="P643" s="2">
        <v>0</v>
      </c>
      <c r="Q643" s="2" t="s">
        <v>36</v>
      </c>
      <c r="R643" s="2" t="s">
        <v>38</v>
      </c>
      <c r="S643" s="2" t="s">
        <v>35</v>
      </c>
      <c r="T643" s="2" t="s">
        <v>35</v>
      </c>
      <c r="U643" s="2" t="s">
        <v>35</v>
      </c>
      <c r="V643" s="2" t="b">
        <v>0</v>
      </c>
      <c r="W643" s="2" t="s">
        <v>35</v>
      </c>
      <c r="X643" s="2" t="s">
        <v>35</v>
      </c>
      <c r="Y643" s="2" t="s">
        <v>35</v>
      </c>
      <c r="Z643" s="2">
        <v>3</v>
      </c>
    </row>
    <row r="644" spans="1:26" x14ac:dyDescent="0.2">
      <c r="A644" s="2" t="s">
        <v>1359</v>
      </c>
      <c r="B644" s="2" t="b">
        <v>0</v>
      </c>
      <c r="C644" s="2" t="b">
        <v>0</v>
      </c>
      <c r="D644" s="2" t="b">
        <v>0</v>
      </c>
      <c r="E644" s="2" t="b">
        <v>0</v>
      </c>
      <c r="F644" s="2" t="s">
        <v>31</v>
      </c>
      <c r="G644" s="2" t="s">
        <v>1360</v>
      </c>
      <c r="H644" s="2" t="s">
        <v>1361</v>
      </c>
      <c r="I644" s="2" t="s">
        <v>662</v>
      </c>
      <c r="J644" s="2" t="s">
        <v>35</v>
      </c>
      <c r="K644" s="2" t="s">
        <v>35</v>
      </c>
      <c r="L644" s="2" t="s">
        <v>35</v>
      </c>
      <c r="M644" s="2" t="s">
        <v>35</v>
      </c>
      <c r="N644" s="3">
        <v>44743.715468078706</v>
      </c>
      <c r="O644" s="3">
        <v>44743.71650790509</v>
      </c>
      <c r="P644" s="2">
        <v>0</v>
      </c>
      <c r="Q644" s="2" t="s">
        <v>36</v>
      </c>
      <c r="R644" s="2" t="s">
        <v>38</v>
      </c>
      <c r="S644" s="2" t="s">
        <v>35</v>
      </c>
      <c r="T644" s="2" t="s">
        <v>35</v>
      </c>
      <c r="U644" s="2" t="s">
        <v>35</v>
      </c>
      <c r="V644" s="2" t="b">
        <v>0</v>
      </c>
      <c r="W644" s="2" t="s">
        <v>35</v>
      </c>
      <c r="X644" s="2" t="s">
        <v>35</v>
      </c>
      <c r="Y644" s="2">
        <v>9</v>
      </c>
      <c r="Z644" s="2" t="s">
        <v>35</v>
      </c>
    </row>
    <row r="645" spans="1:26" x14ac:dyDescent="0.2">
      <c r="A645" s="2" t="s">
        <v>1362</v>
      </c>
      <c r="B645" s="2" t="b">
        <v>0</v>
      </c>
      <c r="C645" s="2" t="b">
        <v>0</v>
      </c>
      <c r="D645" s="2" t="b">
        <v>0</v>
      </c>
      <c r="E645" s="2" t="b">
        <v>0</v>
      </c>
      <c r="F645" s="2" t="s">
        <v>31</v>
      </c>
      <c r="G645" s="2" t="s">
        <v>1363</v>
      </c>
      <c r="H645" s="2" t="s">
        <v>1364</v>
      </c>
      <c r="I645" s="2" t="s">
        <v>662</v>
      </c>
      <c r="J645" s="2" t="s">
        <v>35</v>
      </c>
      <c r="K645" s="2" t="s">
        <v>35</v>
      </c>
      <c r="L645" s="2" t="s">
        <v>35</v>
      </c>
      <c r="M645" s="2" t="s">
        <v>35</v>
      </c>
      <c r="N645" s="3">
        <v>44743.717036458336</v>
      </c>
      <c r="O645" s="3">
        <v>44743.717329895837</v>
      </c>
      <c r="P645" s="2">
        <v>0</v>
      </c>
      <c r="Q645" s="2" t="s">
        <v>36</v>
      </c>
      <c r="R645" s="2" t="s">
        <v>38</v>
      </c>
      <c r="S645" s="2" t="s">
        <v>35</v>
      </c>
      <c r="T645" s="2" t="s">
        <v>35</v>
      </c>
      <c r="U645" s="2" t="s">
        <v>35</v>
      </c>
      <c r="V645" s="2" t="b">
        <v>0</v>
      </c>
      <c r="W645" s="2" t="s">
        <v>35</v>
      </c>
      <c r="X645" s="2" t="s">
        <v>35</v>
      </c>
      <c r="Y645" s="2">
        <v>5</v>
      </c>
      <c r="Z645" s="2" t="s">
        <v>35</v>
      </c>
    </row>
    <row r="646" spans="1:26" x14ac:dyDescent="0.2">
      <c r="A646" s="2" t="s">
        <v>1365</v>
      </c>
      <c r="B646" s="2" t="b">
        <v>0</v>
      </c>
      <c r="C646" s="2" t="b">
        <v>0</v>
      </c>
      <c r="D646" s="2" t="b">
        <v>0</v>
      </c>
      <c r="E646" s="2" t="b">
        <v>0</v>
      </c>
      <c r="F646" s="2" t="s">
        <v>31</v>
      </c>
      <c r="G646" s="2" t="s">
        <v>1366</v>
      </c>
      <c r="H646" s="2" t="s">
        <v>1367</v>
      </c>
      <c r="I646" s="2" t="s">
        <v>35</v>
      </c>
      <c r="J646" s="2" t="s">
        <v>35</v>
      </c>
      <c r="K646" s="2" t="s">
        <v>35</v>
      </c>
      <c r="L646" s="2" t="s">
        <v>35</v>
      </c>
      <c r="M646" s="2" t="s">
        <v>35</v>
      </c>
      <c r="N646" s="3">
        <v>44743.717754710648</v>
      </c>
      <c r="O646" s="3">
        <v>44743.717971493053</v>
      </c>
      <c r="P646" s="2">
        <v>0</v>
      </c>
      <c r="Q646" s="2" t="s">
        <v>36</v>
      </c>
      <c r="R646" s="2" t="s">
        <v>38</v>
      </c>
      <c r="S646" s="2" t="s">
        <v>35</v>
      </c>
      <c r="T646" s="2" t="s">
        <v>35</v>
      </c>
      <c r="U646" s="2" t="s">
        <v>35</v>
      </c>
      <c r="V646" s="2" t="b">
        <v>0</v>
      </c>
      <c r="W646" s="2" t="s">
        <v>35</v>
      </c>
      <c r="X646" s="2" t="s">
        <v>35</v>
      </c>
      <c r="Y646" s="2" t="s">
        <v>35</v>
      </c>
      <c r="Z646" s="2">
        <v>3</v>
      </c>
    </row>
    <row r="647" spans="1:26" x14ac:dyDescent="0.2">
      <c r="A647" s="2" t="s">
        <v>1368</v>
      </c>
      <c r="B647" s="2" t="b">
        <v>0</v>
      </c>
      <c r="C647" s="2" t="b">
        <v>0</v>
      </c>
      <c r="D647" s="2" t="b">
        <v>0</v>
      </c>
      <c r="E647" s="2" t="b">
        <v>0</v>
      </c>
      <c r="F647" s="2" t="s">
        <v>31</v>
      </c>
      <c r="G647" s="2" t="s">
        <v>1369</v>
      </c>
      <c r="H647" s="2" t="s">
        <v>1370</v>
      </c>
      <c r="I647" s="2" t="s">
        <v>662</v>
      </c>
      <c r="J647" s="2" t="s">
        <v>35</v>
      </c>
      <c r="K647" s="2" t="s">
        <v>35</v>
      </c>
      <c r="L647" s="2" t="s">
        <v>35</v>
      </c>
      <c r="M647" s="2" t="s">
        <v>35</v>
      </c>
      <c r="N647" s="3">
        <v>44743.718067986112</v>
      </c>
      <c r="O647" s="3">
        <v>44743.718477071758</v>
      </c>
      <c r="P647" s="2">
        <v>0</v>
      </c>
      <c r="Q647" s="2" t="s">
        <v>36</v>
      </c>
      <c r="R647" s="2" t="s">
        <v>38</v>
      </c>
      <c r="S647" s="2" t="s">
        <v>35</v>
      </c>
      <c r="T647" s="2" t="s">
        <v>35</v>
      </c>
      <c r="U647" s="2" t="s">
        <v>35</v>
      </c>
      <c r="V647" s="2" t="b">
        <v>0</v>
      </c>
      <c r="W647" s="2" t="s">
        <v>35</v>
      </c>
      <c r="X647" s="2" t="s">
        <v>35</v>
      </c>
      <c r="Y647" s="2">
        <v>6</v>
      </c>
      <c r="Z647" s="2" t="s">
        <v>35</v>
      </c>
    </row>
    <row r="648" spans="1:26" x14ac:dyDescent="0.2">
      <c r="A648" s="2" t="s">
        <v>1371</v>
      </c>
      <c r="B648" s="2" t="b">
        <v>0</v>
      </c>
      <c r="C648" s="2" t="b">
        <v>0</v>
      </c>
      <c r="D648" s="2" t="b">
        <v>0</v>
      </c>
      <c r="E648" s="2" t="b">
        <v>0</v>
      </c>
      <c r="F648" s="2" t="s">
        <v>31</v>
      </c>
      <c r="G648" s="2" t="s">
        <v>1372</v>
      </c>
      <c r="H648" s="2" t="s">
        <v>1373</v>
      </c>
      <c r="I648" s="2" t="s">
        <v>662</v>
      </c>
      <c r="J648" s="2" t="s">
        <v>35</v>
      </c>
      <c r="K648" s="2" t="s">
        <v>35</v>
      </c>
      <c r="L648" s="2" t="s">
        <v>35</v>
      </c>
      <c r="M648" s="2" t="s">
        <v>35</v>
      </c>
      <c r="N648" s="3">
        <v>44743.719262847226</v>
      </c>
      <c r="O648" s="3">
        <v>44743.719481643515</v>
      </c>
      <c r="P648" s="2">
        <v>0</v>
      </c>
      <c r="Q648" s="2" t="s">
        <v>36</v>
      </c>
      <c r="R648" s="2" t="s">
        <v>38</v>
      </c>
      <c r="S648" s="2" t="s">
        <v>35</v>
      </c>
      <c r="T648" s="2" t="s">
        <v>35</v>
      </c>
      <c r="U648" s="2" t="s">
        <v>35</v>
      </c>
      <c r="V648" s="2" t="b">
        <v>0</v>
      </c>
      <c r="W648" s="2" t="s">
        <v>35</v>
      </c>
      <c r="X648" s="2" t="s">
        <v>35</v>
      </c>
      <c r="Y648" s="2">
        <v>4</v>
      </c>
      <c r="Z648" s="2" t="s">
        <v>35</v>
      </c>
    </row>
    <row r="649" spans="1:26" x14ac:dyDescent="0.2">
      <c r="A649" s="2" t="s">
        <v>1374</v>
      </c>
      <c r="B649" s="2" t="b">
        <v>0</v>
      </c>
      <c r="C649" s="2" t="b">
        <v>0</v>
      </c>
      <c r="D649" s="2" t="b">
        <v>0</v>
      </c>
      <c r="E649" s="2" t="b">
        <v>0</v>
      </c>
      <c r="F649" s="2" t="s">
        <v>31</v>
      </c>
      <c r="G649" s="2" t="s">
        <v>1375</v>
      </c>
      <c r="H649" s="2" t="s">
        <v>1376</v>
      </c>
      <c r="I649" s="2" t="s">
        <v>662</v>
      </c>
      <c r="J649" s="2" t="s">
        <v>35</v>
      </c>
      <c r="K649" s="2" t="s">
        <v>35</v>
      </c>
      <c r="L649" s="2" t="s">
        <v>35</v>
      </c>
      <c r="M649" s="2" t="s">
        <v>35</v>
      </c>
      <c r="N649" s="3">
        <v>44743.719758784726</v>
      </c>
      <c r="O649" s="3">
        <v>44743.719990659723</v>
      </c>
      <c r="P649" s="2">
        <v>0</v>
      </c>
      <c r="Q649" s="2" t="s">
        <v>36</v>
      </c>
      <c r="R649" s="2" t="s">
        <v>38</v>
      </c>
      <c r="S649" s="2" t="s">
        <v>35</v>
      </c>
      <c r="T649" s="2" t="s">
        <v>35</v>
      </c>
      <c r="U649" s="2" t="s">
        <v>35</v>
      </c>
      <c r="V649" s="2" t="b">
        <v>0</v>
      </c>
      <c r="W649" s="2" t="s">
        <v>35</v>
      </c>
      <c r="X649" s="2" t="s">
        <v>35</v>
      </c>
      <c r="Y649" s="2">
        <v>4</v>
      </c>
      <c r="Z649" s="2" t="s">
        <v>35</v>
      </c>
    </row>
    <row r="650" spans="1:26" x14ac:dyDescent="0.2">
      <c r="A650" s="2" t="s">
        <v>1377</v>
      </c>
      <c r="B650" s="2" t="b">
        <v>0</v>
      </c>
      <c r="C650" s="2" t="b">
        <v>0</v>
      </c>
      <c r="D650" s="2" t="b">
        <v>0</v>
      </c>
      <c r="E650" s="2" t="b">
        <v>0</v>
      </c>
      <c r="F650" s="2" t="s">
        <v>31</v>
      </c>
      <c r="G650" s="2" t="s">
        <v>1378</v>
      </c>
      <c r="H650" s="2" t="s">
        <v>1379</v>
      </c>
      <c r="I650" s="2" t="s">
        <v>35</v>
      </c>
      <c r="J650" s="2" t="s">
        <v>35</v>
      </c>
      <c r="K650" s="2" t="s">
        <v>35</v>
      </c>
      <c r="L650" s="2" t="s">
        <v>35</v>
      </c>
      <c r="M650" s="2" t="s">
        <v>35</v>
      </c>
      <c r="N650" s="3">
        <v>44743.720656990743</v>
      </c>
      <c r="O650" s="3">
        <v>44743.720811481478</v>
      </c>
      <c r="P650" s="2">
        <v>0</v>
      </c>
      <c r="Q650" s="2" t="s">
        <v>36</v>
      </c>
      <c r="R650" s="2" t="s">
        <v>38</v>
      </c>
      <c r="S650" s="2" t="s">
        <v>35</v>
      </c>
      <c r="T650" s="2" t="s">
        <v>35</v>
      </c>
      <c r="U650" s="2" t="s">
        <v>35</v>
      </c>
      <c r="V650" s="2" t="b">
        <v>0</v>
      </c>
      <c r="W650" s="2" t="s">
        <v>35</v>
      </c>
      <c r="X650" s="2" t="s">
        <v>35</v>
      </c>
      <c r="Y650" s="2" t="s">
        <v>35</v>
      </c>
      <c r="Z650" s="2">
        <v>3</v>
      </c>
    </row>
    <row r="651" spans="1:26" x14ac:dyDescent="0.2">
      <c r="A651" s="2" t="s">
        <v>1380</v>
      </c>
      <c r="B651" s="2" t="b">
        <v>0</v>
      </c>
      <c r="C651" s="2" t="b">
        <v>0</v>
      </c>
      <c r="D651" s="2" t="b">
        <v>0</v>
      </c>
      <c r="E651" s="2" t="b">
        <v>0</v>
      </c>
      <c r="F651" s="2" t="s">
        <v>31</v>
      </c>
      <c r="G651" s="2" t="s">
        <v>1381</v>
      </c>
      <c r="H651" s="2" t="s">
        <v>1382</v>
      </c>
      <c r="I651" s="2" t="s">
        <v>35</v>
      </c>
      <c r="J651" s="2" t="s">
        <v>35</v>
      </c>
      <c r="K651" s="2" t="s">
        <v>35</v>
      </c>
      <c r="L651" s="2" t="s">
        <v>35</v>
      </c>
      <c r="M651" s="2" t="s">
        <v>35</v>
      </c>
      <c r="N651" s="3">
        <v>44743.722308506942</v>
      </c>
      <c r="O651" s="3">
        <v>44743.722461249999</v>
      </c>
      <c r="P651" s="2">
        <v>0</v>
      </c>
      <c r="Q651" s="2" t="s">
        <v>36</v>
      </c>
      <c r="R651" s="2" t="s">
        <v>38</v>
      </c>
      <c r="S651" s="2" t="s">
        <v>35</v>
      </c>
      <c r="T651" s="2" t="s">
        <v>35</v>
      </c>
      <c r="U651" s="2" t="s">
        <v>35</v>
      </c>
      <c r="V651" s="2" t="b">
        <v>0</v>
      </c>
      <c r="W651" s="2" t="s">
        <v>35</v>
      </c>
      <c r="X651" s="2" t="s">
        <v>35</v>
      </c>
      <c r="Y651" s="2" t="s">
        <v>35</v>
      </c>
      <c r="Z651" s="2">
        <v>3</v>
      </c>
    </row>
    <row r="652" spans="1:26" x14ac:dyDescent="0.2">
      <c r="A652" s="2" t="s">
        <v>1383</v>
      </c>
      <c r="B652" s="2" t="b">
        <v>0</v>
      </c>
      <c r="C652" s="2" t="b">
        <v>0</v>
      </c>
      <c r="D652" s="2" t="b">
        <v>0</v>
      </c>
      <c r="E652" s="2" t="b">
        <v>0</v>
      </c>
      <c r="F652" s="2" t="s">
        <v>31</v>
      </c>
      <c r="G652" s="2" t="s">
        <v>1384</v>
      </c>
      <c r="H652" s="2" t="s">
        <v>1385</v>
      </c>
      <c r="I652" s="2" t="s">
        <v>675</v>
      </c>
      <c r="J652" s="2" t="s">
        <v>35</v>
      </c>
      <c r="K652" s="2" t="s">
        <v>35</v>
      </c>
      <c r="L652" s="2" t="s">
        <v>35</v>
      </c>
      <c r="M652" s="2" t="s">
        <v>35</v>
      </c>
      <c r="N652" s="3">
        <v>44743.724761979167</v>
      </c>
      <c r="O652" s="3">
        <v>44743.72495614583</v>
      </c>
      <c r="P652" s="2">
        <v>0</v>
      </c>
      <c r="Q652" s="2" t="s">
        <v>124</v>
      </c>
      <c r="R652" s="2" t="s">
        <v>38</v>
      </c>
      <c r="S652" s="2" t="s">
        <v>35</v>
      </c>
      <c r="T652" s="2" t="s">
        <v>35</v>
      </c>
      <c r="U652" s="2" t="s">
        <v>35</v>
      </c>
      <c r="V652" s="2" t="b">
        <v>0</v>
      </c>
      <c r="W652" s="2" t="s">
        <v>35</v>
      </c>
      <c r="X652" s="2">
        <v>4</v>
      </c>
      <c r="Y652" s="2" t="s">
        <v>35</v>
      </c>
      <c r="Z652" s="2" t="s">
        <v>35</v>
      </c>
    </row>
    <row r="653" spans="1:26" x14ac:dyDescent="0.2">
      <c r="A653" s="2" t="s">
        <v>1386</v>
      </c>
      <c r="B653" s="2" t="b">
        <v>0</v>
      </c>
      <c r="C653" s="2" t="b">
        <v>0</v>
      </c>
      <c r="D653" s="2" t="b">
        <v>0</v>
      </c>
      <c r="E653" s="2" t="b">
        <v>0</v>
      </c>
      <c r="F653" s="2" t="s">
        <v>31</v>
      </c>
      <c r="G653" s="2" t="s">
        <v>149</v>
      </c>
      <c r="H653" s="2" t="s">
        <v>1387</v>
      </c>
      <c r="I653" s="2" t="s">
        <v>35</v>
      </c>
      <c r="J653" s="2" t="s">
        <v>35</v>
      </c>
      <c r="K653" s="2" t="s">
        <v>35</v>
      </c>
      <c r="L653" s="2" t="s">
        <v>35</v>
      </c>
      <c r="M653" s="2" t="s">
        <v>35</v>
      </c>
      <c r="N653" s="3">
        <v>44743.725456250002</v>
      </c>
      <c r="O653" s="3">
        <v>44743.72565104167</v>
      </c>
      <c r="P653" s="2">
        <v>0</v>
      </c>
      <c r="Q653" s="2" t="s">
        <v>36</v>
      </c>
      <c r="R653" s="2" t="s">
        <v>38</v>
      </c>
      <c r="S653" s="2" t="s">
        <v>35</v>
      </c>
      <c r="T653" s="2" t="s">
        <v>35</v>
      </c>
      <c r="U653" s="2" t="s">
        <v>35</v>
      </c>
      <c r="V653" s="2" t="b">
        <v>0</v>
      </c>
      <c r="W653" s="2" t="s">
        <v>35</v>
      </c>
      <c r="X653" s="2" t="s">
        <v>35</v>
      </c>
      <c r="Y653" s="2" t="s">
        <v>35</v>
      </c>
      <c r="Z653" s="2">
        <v>2</v>
      </c>
    </row>
    <row r="654" spans="1:26" x14ac:dyDescent="0.2">
      <c r="A654" s="2" t="s">
        <v>1388</v>
      </c>
      <c r="B654" s="2" t="b">
        <v>0</v>
      </c>
      <c r="C654" s="2" t="b">
        <v>0</v>
      </c>
      <c r="D654" s="2" t="b">
        <v>0</v>
      </c>
      <c r="E654" s="2" t="b">
        <v>0</v>
      </c>
      <c r="F654" s="2" t="s">
        <v>31</v>
      </c>
      <c r="G654" s="2" t="s">
        <v>1389</v>
      </c>
      <c r="H654" s="2" t="s">
        <v>1390</v>
      </c>
      <c r="I654" s="2" t="s">
        <v>675</v>
      </c>
      <c r="J654" s="2" t="s">
        <v>35</v>
      </c>
      <c r="K654" s="2" t="s">
        <v>35</v>
      </c>
      <c r="L654" s="2" t="s">
        <v>35</v>
      </c>
      <c r="M654" s="2" t="s">
        <v>35</v>
      </c>
      <c r="N654" s="3">
        <v>44743.726075694445</v>
      </c>
      <c r="O654" s="3">
        <v>44743.726250462962</v>
      </c>
      <c r="P654" s="2">
        <v>0</v>
      </c>
      <c r="Q654" s="2" t="s">
        <v>124</v>
      </c>
      <c r="R654" s="2" t="s">
        <v>38</v>
      </c>
      <c r="S654" s="2" t="s">
        <v>35</v>
      </c>
      <c r="T654" s="2" t="s">
        <v>35</v>
      </c>
      <c r="U654" s="2" t="s">
        <v>35</v>
      </c>
      <c r="V654" s="2" t="b">
        <v>0</v>
      </c>
      <c r="W654" s="2" t="s">
        <v>35</v>
      </c>
      <c r="X654" s="2">
        <v>4</v>
      </c>
      <c r="Y654" s="2" t="s">
        <v>35</v>
      </c>
      <c r="Z654" s="2" t="s">
        <v>35</v>
      </c>
    </row>
    <row r="655" spans="1:26" x14ac:dyDescent="0.2">
      <c r="A655" s="2" t="s">
        <v>1391</v>
      </c>
      <c r="B655" s="2" t="b">
        <v>0</v>
      </c>
      <c r="C655" s="2" t="b">
        <v>0</v>
      </c>
      <c r="D655" s="2" t="b">
        <v>0</v>
      </c>
      <c r="E655" s="2" t="b">
        <v>0</v>
      </c>
      <c r="F655" s="2" t="s">
        <v>31</v>
      </c>
      <c r="G655" s="2" t="s">
        <v>1392</v>
      </c>
      <c r="H655" s="2" t="s">
        <v>1393</v>
      </c>
      <c r="I655" s="2" t="s">
        <v>35</v>
      </c>
      <c r="J655" s="2" t="s">
        <v>35</v>
      </c>
      <c r="K655" s="2" t="s">
        <v>35</v>
      </c>
      <c r="L655" s="2" t="s">
        <v>35</v>
      </c>
      <c r="M655" s="2" t="s">
        <v>35</v>
      </c>
      <c r="N655" s="3">
        <v>44743.726454629628</v>
      </c>
      <c r="O655" s="3">
        <v>44743.726577638889</v>
      </c>
      <c r="P655" s="2">
        <v>0</v>
      </c>
      <c r="Q655" s="2" t="s">
        <v>36</v>
      </c>
      <c r="R655" s="2" t="s">
        <v>38</v>
      </c>
      <c r="S655" s="2" t="s">
        <v>35</v>
      </c>
      <c r="T655" s="2" t="s">
        <v>35</v>
      </c>
      <c r="U655" s="2" t="s">
        <v>35</v>
      </c>
      <c r="V655" s="2" t="b">
        <v>0</v>
      </c>
      <c r="W655" s="2" t="s">
        <v>35</v>
      </c>
      <c r="X655" s="2" t="s">
        <v>35</v>
      </c>
      <c r="Y655" s="2" t="s">
        <v>35</v>
      </c>
      <c r="Z655" s="2">
        <v>4</v>
      </c>
    </row>
    <row r="656" spans="1:26" x14ac:dyDescent="0.2">
      <c r="A656" s="2" t="s">
        <v>1394</v>
      </c>
      <c r="B656" s="2" t="b">
        <v>0</v>
      </c>
      <c r="C656" s="2" t="b">
        <v>0</v>
      </c>
      <c r="D656" s="2" t="b">
        <v>0</v>
      </c>
      <c r="E656" s="2" t="b">
        <v>0</v>
      </c>
      <c r="F656" s="2" t="s">
        <v>31</v>
      </c>
      <c r="G656" s="2" t="s">
        <v>1395</v>
      </c>
      <c r="H656" s="2" t="s">
        <v>1396</v>
      </c>
      <c r="I656" s="2" t="s">
        <v>35</v>
      </c>
      <c r="J656" s="2" t="s">
        <v>35</v>
      </c>
      <c r="K656" s="2" t="s">
        <v>35</v>
      </c>
      <c r="L656" s="2" t="s">
        <v>35</v>
      </c>
      <c r="M656" s="2" t="s">
        <v>35</v>
      </c>
      <c r="N656" s="3">
        <v>44743.727087453706</v>
      </c>
      <c r="O656" s="3">
        <v>44743.727269328701</v>
      </c>
      <c r="P656" s="2">
        <v>0</v>
      </c>
      <c r="Q656" s="2" t="s">
        <v>36</v>
      </c>
      <c r="R656" s="2" t="s">
        <v>38</v>
      </c>
      <c r="S656" s="2" t="s">
        <v>35</v>
      </c>
      <c r="T656" s="2" t="s">
        <v>35</v>
      </c>
      <c r="U656" s="2" t="s">
        <v>35</v>
      </c>
      <c r="V656" s="2" t="b">
        <v>0</v>
      </c>
      <c r="W656" s="2" t="s">
        <v>35</v>
      </c>
      <c r="X656" s="2" t="s">
        <v>35</v>
      </c>
      <c r="Y656" s="2" t="s">
        <v>35</v>
      </c>
      <c r="Z656" s="2">
        <v>3</v>
      </c>
    </row>
    <row r="657" spans="1:26" x14ac:dyDescent="0.2">
      <c r="A657" s="2" t="s">
        <v>1397</v>
      </c>
      <c r="B657" s="2" t="b">
        <v>0</v>
      </c>
      <c r="C657" s="2" t="b">
        <v>0</v>
      </c>
      <c r="D657" s="2" t="b">
        <v>0</v>
      </c>
      <c r="E657" s="2" t="b">
        <v>0</v>
      </c>
      <c r="F657" s="2" t="s">
        <v>31</v>
      </c>
      <c r="G657" s="2" t="s">
        <v>1398</v>
      </c>
      <c r="H657" s="2" t="s">
        <v>1399</v>
      </c>
      <c r="I657" s="2" t="s">
        <v>35</v>
      </c>
      <c r="J657" s="2" t="s">
        <v>35</v>
      </c>
      <c r="K657" s="2" t="s">
        <v>35</v>
      </c>
      <c r="L657" s="2" t="s">
        <v>35</v>
      </c>
      <c r="M657" s="2" t="s">
        <v>35</v>
      </c>
      <c r="N657" s="3">
        <v>44743.728233032409</v>
      </c>
      <c r="O657" s="3">
        <v>44743.728356574073</v>
      </c>
      <c r="P657" s="2">
        <v>0</v>
      </c>
      <c r="Q657" s="2" t="s">
        <v>36</v>
      </c>
      <c r="R657" s="2" t="s">
        <v>38</v>
      </c>
      <c r="S657" s="2" t="s">
        <v>35</v>
      </c>
      <c r="T657" s="2" t="s">
        <v>35</v>
      </c>
      <c r="U657" s="2" t="s">
        <v>35</v>
      </c>
      <c r="V657" s="2" t="b">
        <v>0</v>
      </c>
      <c r="W657" s="2" t="s">
        <v>35</v>
      </c>
      <c r="X657" s="2" t="s">
        <v>35</v>
      </c>
      <c r="Y657" s="2" t="s">
        <v>35</v>
      </c>
      <c r="Z657" s="2">
        <v>3</v>
      </c>
    </row>
    <row r="658" spans="1:26" x14ac:dyDescent="0.2">
      <c r="A658" s="2" t="s">
        <v>1400</v>
      </c>
      <c r="B658" s="2" t="b">
        <v>0</v>
      </c>
      <c r="C658" s="2" t="b">
        <v>0</v>
      </c>
      <c r="D658" s="2" t="b">
        <v>0</v>
      </c>
      <c r="E658" s="2" t="b">
        <v>0</v>
      </c>
      <c r="F658" s="2" t="s">
        <v>31</v>
      </c>
      <c r="G658" s="2" t="s">
        <v>1401</v>
      </c>
      <c r="H658" s="2" t="s">
        <v>1402</v>
      </c>
      <c r="I658" s="2" t="s">
        <v>35</v>
      </c>
      <c r="J658" s="2" t="s">
        <v>35</v>
      </c>
      <c r="K658" s="2" t="s">
        <v>35</v>
      </c>
      <c r="L658" s="2" t="s">
        <v>35</v>
      </c>
      <c r="M658" s="2" t="s">
        <v>35</v>
      </c>
      <c r="N658" s="3">
        <v>44743.729044826388</v>
      </c>
      <c r="O658" s="3">
        <v>44743.72917471065</v>
      </c>
      <c r="P658" s="2">
        <v>0</v>
      </c>
      <c r="Q658" s="2" t="s">
        <v>36</v>
      </c>
      <c r="R658" s="2" t="s">
        <v>38</v>
      </c>
      <c r="S658" s="2" t="s">
        <v>35</v>
      </c>
      <c r="T658" s="2" t="s">
        <v>35</v>
      </c>
      <c r="U658" s="2" t="s">
        <v>35</v>
      </c>
      <c r="V658" s="2" t="b">
        <v>0</v>
      </c>
      <c r="W658" s="2" t="s">
        <v>35</v>
      </c>
      <c r="X658" s="2" t="s">
        <v>35</v>
      </c>
      <c r="Y658" s="2" t="s">
        <v>35</v>
      </c>
      <c r="Z658" s="2">
        <v>2</v>
      </c>
    </row>
    <row r="659" spans="1:26" x14ac:dyDescent="0.2">
      <c r="A659" s="2" t="s">
        <v>1403</v>
      </c>
      <c r="B659" s="2" t="b">
        <v>0</v>
      </c>
      <c r="C659" s="2" t="b">
        <v>0</v>
      </c>
      <c r="D659" s="2" t="b">
        <v>0</v>
      </c>
      <c r="E659" s="2" t="b">
        <v>0</v>
      </c>
      <c r="F659" s="2" t="s">
        <v>31</v>
      </c>
      <c r="G659" s="2" t="s">
        <v>1404</v>
      </c>
      <c r="H659" s="2" t="s">
        <v>1405</v>
      </c>
      <c r="I659" s="2" t="s">
        <v>1406</v>
      </c>
      <c r="J659" s="2" t="s">
        <v>35</v>
      </c>
      <c r="K659" s="2" t="s">
        <v>35</v>
      </c>
      <c r="L659" s="2" t="s">
        <v>35</v>
      </c>
      <c r="M659" s="2" t="s">
        <v>35</v>
      </c>
      <c r="N659" s="3">
        <v>44743.730694826387</v>
      </c>
      <c r="O659" s="3">
        <v>44743.731128807871</v>
      </c>
      <c r="P659" s="2">
        <v>0</v>
      </c>
      <c r="Q659" s="2" t="s">
        <v>36</v>
      </c>
      <c r="R659" s="2" t="s">
        <v>38</v>
      </c>
      <c r="S659" s="2" t="s">
        <v>35</v>
      </c>
      <c r="T659" s="2" t="s">
        <v>35</v>
      </c>
      <c r="U659" s="2" t="s">
        <v>35</v>
      </c>
      <c r="V659" s="2" t="b">
        <v>0</v>
      </c>
      <c r="W659" s="2" t="s">
        <v>35</v>
      </c>
      <c r="X659" s="2" t="s">
        <v>35</v>
      </c>
      <c r="Y659" s="2">
        <v>4</v>
      </c>
      <c r="Z659" s="2" t="s">
        <v>35</v>
      </c>
    </row>
    <row r="660" spans="1:26" x14ac:dyDescent="0.2">
      <c r="A660" s="2" t="s">
        <v>1407</v>
      </c>
      <c r="B660" s="2" t="b">
        <v>0</v>
      </c>
      <c r="C660" s="2" t="b">
        <v>0</v>
      </c>
      <c r="D660" s="2" t="b">
        <v>0</v>
      </c>
      <c r="E660" s="2" t="b">
        <v>0</v>
      </c>
      <c r="F660" s="2" t="s">
        <v>31</v>
      </c>
      <c r="G660" s="2" t="s">
        <v>1408</v>
      </c>
      <c r="H660" s="2" t="s">
        <v>1409</v>
      </c>
      <c r="I660" s="2" t="s">
        <v>35</v>
      </c>
      <c r="J660" s="2" t="s">
        <v>35</v>
      </c>
      <c r="K660" s="2" t="s">
        <v>35</v>
      </c>
      <c r="L660" s="2" t="s">
        <v>35</v>
      </c>
      <c r="M660" s="2" t="s">
        <v>35</v>
      </c>
      <c r="N660" s="3">
        <v>44743.732691458332</v>
      </c>
      <c r="O660" s="3">
        <v>44743.732822789352</v>
      </c>
      <c r="P660" s="2">
        <v>0</v>
      </c>
      <c r="Q660" s="2" t="s">
        <v>36</v>
      </c>
      <c r="R660" s="2" t="s">
        <v>38</v>
      </c>
      <c r="S660" s="2" t="s">
        <v>35</v>
      </c>
      <c r="T660" s="2" t="s">
        <v>35</v>
      </c>
      <c r="U660" s="2" t="s">
        <v>35</v>
      </c>
      <c r="V660" s="2" t="b">
        <v>0</v>
      </c>
      <c r="W660" s="2" t="s">
        <v>35</v>
      </c>
      <c r="X660" s="2" t="s">
        <v>35</v>
      </c>
      <c r="Y660" s="2" t="s">
        <v>35</v>
      </c>
      <c r="Z660" s="2">
        <v>4</v>
      </c>
    </row>
    <row r="661" spans="1:26" x14ac:dyDescent="0.2">
      <c r="A661" s="2" t="s">
        <v>1410</v>
      </c>
      <c r="B661" s="2" t="b">
        <v>0</v>
      </c>
      <c r="C661" s="2" t="b">
        <v>0</v>
      </c>
      <c r="D661" s="2" t="b">
        <v>0</v>
      </c>
      <c r="E661" s="2" t="b">
        <v>0</v>
      </c>
      <c r="F661" s="2" t="s">
        <v>31</v>
      </c>
      <c r="G661" s="2" t="s">
        <v>149</v>
      </c>
      <c r="H661" s="2" t="s">
        <v>1411</v>
      </c>
      <c r="I661" s="2" t="s">
        <v>1412</v>
      </c>
      <c r="J661" s="2" t="s">
        <v>35</v>
      </c>
      <c r="K661" s="2" t="s">
        <v>35</v>
      </c>
      <c r="L661" s="2">
        <v>4</v>
      </c>
      <c r="M661" s="2">
        <v>16</v>
      </c>
      <c r="N661" s="3">
        <v>44743.73374408565</v>
      </c>
      <c r="O661" s="3">
        <v>44743.734294490743</v>
      </c>
      <c r="P661" s="2">
        <v>0</v>
      </c>
      <c r="Q661" s="2" t="s">
        <v>54</v>
      </c>
      <c r="R661" s="2" t="s">
        <v>38</v>
      </c>
      <c r="S661" s="2" t="s">
        <v>35</v>
      </c>
      <c r="T661" s="2" t="s">
        <v>35</v>
      </c>
      <c r="U661" s="2" t="s">
        <v>35</v>
      </c>
      <c r="V661" s="2" t="b">
        <v>1</v>
      </c>
      <c r="W661" s="2" t="s">
        <v>35</v>
      </c>
      <c r="X661" s="2" t="s">
        <v>35</v>
      </c>
      <c r="Y661" s="2" t="s">
        <v>35</v>
      </c>
      <c r="Z661" s="2" t="s">
        <v>35</v>
      </c>
    </row>
    <row r="662" spans="1:26" x14ac:dyDescent="0.2">
      <c r="A662" s="2" t="s">
        <v>1413</v>
      </c>
      <c r="B662" s="2" t="b">
        <v>0</v>
      </c>
      <c r="C662" s="2" t="b">
        <v>0</v>
      </c>
      <c r="D662" s="2" t="b">
        <v>0</v>
      </c>
      <c r="E662" s="2" t="b">
        <v>0</v>
      </c>
      <c r="F662" s="2" t="s">
        <v>31</v>
      </c>
      <c r="G662" s="2" t="s">
        <v>1414</v>
      </c>
      <c r="H662" s="2" t="s">
        <v>1415</v>
      </c>
      <c r="I662" s="2" t="s">
        <v>35</v>
      </c>
      <c r="J662" s="2" t="s">
        <v>35</v>
      </c>
      <c r="K662" s="2" t="s">
        <v>35</v>
      </c>
      <c r="L662" s="2">
        <v>7</v>
      </c>
      <c r="M662" s="2">
        <v>16</v>
      </c>
      <c r="N662" s="3">
        <v>44743.734587569445</v>
      </c>
      <c r="O662" s="3">
        <v>44743.735328807874</v>
      </c>
      <c r="P662" s="2">
        <v>0</v>
      </c>
      <c r="Q662" s="2" t="s">
        <v>54</v>
      </c>
      <c r="R662" s="2" t="s">
        <v>38</v>
      </c>
      <c r="S662" s="2" t="s">
        <v>35</v>
      </c>
      <c r="T662" s="2" t="s">
        <v>35</v>
      </c>
      <c r="U662" s="2" t="s">
        <v>35</v>
      </c>
      <c r="V662" s="2" t="b">
        <v>0</v>
      </c>
      <c r="W662" s="2" t="s">
        <v>35</v>
      </c>
      <c r="X662" s="2" t="s">
        <v>35</v>
      </c>
      <c r="Y662" s="2" t="s">
        <v>35</v>
      </c>
      <c r="Z662" s="2" t="s">
        <v>35</v>
      </c>
    </row>
    <row r="663" spans="1:26" x14ac:dyDescent="0.2">
      <c r="A663" s="2" t="s">
        <v>1416</v>
      </c>
      <c r="B663" s="2" t="b">
        <v>0</v>
      </c>
      <c r="C663" s="2" t="b">
        <v>0</v>
      </c>
      <c r="D663" s="2" t="b">
        <v>0</v>
      </c>
      <c r="E663" s="2" t="b">
        <v>0</v>
      </c>
      <c r="F663" s="2" t="s">
        <v>31</v>
      </c>
      <c r="G663" s="2" t="s">
        <v>1417</v>
      </c>
      <c r="H663" s="2" t="s">
        <v>1418</v>
      </c>
      <c r="I663" s="2" t="s">
        <v>35</v>
      </c>
      <c r="J663" s="2" t="s">
        <v>35</v>
      </c>
      <c r="K663" s="2" t="s">
        <v>35</v>
      </c>
      <c r="L663" s="2">
        <v>5</v>
      </c>
      <c r="M663" s="2">
        <v>16</v>
      </c>
      <c r="N663" s="3">
        <v>44743.736324305559</v>
      </c>
      <c r="O663" s="3">
        <v>44743.736570439818</v>
      </c>
      <c r="P663" s="2">
        <v>0</v>
      </c>
      <c r="Q663" s="2" t="s">
        <v>54</v>
      </c>
      <c r="R663" s="2" t="s">
        <v>38</v>
      </c>
      <c r="S663" s="2" t="s">
        <v>35</v>
      </c>
      <c r="T663" s="2" t="s">
        <v>35</v>
      </c>
      <c r="U663" s="2" t="s">
        <v>35</v>
      </c>
      <c r="V663" s="2" t="b">
        <v>0</v>
      </c>
      <c r="W663" s="2" t="s">
        <v>35</v>
      </c>
      <c r="X663" s="2" t="s">
        <v>35</v>
      </c>
      <c r="Y663" s="2" t="s">
        <v>35</v>
      </c>
      <c r="Z663" s="2" t="s">
        <v>35</v>
      </c>
    </row>
    <row r="664" spans="1:26" x14ac:dyDescent="0.2">
      <c r="A664" s="2" t="s">
        <v>1419</v>
      </c>
      <c r="B664" s="2" t="b">
        <v>0</v>
      </c>
      <c r="C664" s="2" t="b">
        <v>0</v>
      </c>
      <c r="D664" s="2" t="b">
        <v>0</v>
      </c>
      <c r="E664" s="2" t="b">
        <v>0</v>
      </c>
      <c r="F664" s="2" t="s">
        <v>31</v>
      </c>
      <c r="G664" s="2" t="s">
        <v>1420</v>
      </c>
      <c r="H664" s="2" t="s">
        <v>1421</v>
      </c>
      <c r="I664" s="2" t="s">
        <v>35</v>
      </c>
      <c r="J664" s="2" t="s">
        <v>35</v>
      </c>
      <c r="K664" s="2" t="s">
        <v>35</v>
      </c>
      <c r="L664" s="2">
        <v>5</v>
      </c>
      <c r="M664" s="2">
        <v>16</v>
      </c>
      <c r="N664" s="3">
        <v>44743.736669791666</v>
      </c>
      <c r="O664" s="3">
        <v>44743.736952754633</v>
      </c>
      <c r="P664" s="2">
        <v>0</v>
      </c>
      <c r="Q664" s="2" t="s">
        <v>54</v>
      </c>
      <c r="R664" s="2" t="s">
        <v>38</v>
      </c>
      <c r="S664" s="2" t="s">
        <v>35</v>
      </c>
      <c r="T664" s="2" t="s">
        <v>35</v>
      </c>
      <c r="U664" s="2" t="s">
        <v>35</v>
      </c>
      <c r="V664" s="2" t="b">
        <v>0</v>
      </c>
      <c r="W664" s="2" t="s">
        <v>35</v>
      </c>
      <c r="X664" s="2" t="s">
        <v>35</v>
      </c>
      <c r="Y664" s="2" t="s">
        <v>35</v>
      </c>
      <c r="Z664" s="2" t="s">
        <v>35</v>
      </c>
    </row>
    <row r="665" spans="1:26" x14ac:dyDescent="0.2">
      <c r="A665" s="2" t="s">
        <v>1422</v>
      </c>
      <c r="B665" s="2" t="b">
        <v>0</v>
      </c>
      <c r="C665" s="2" t="b">
        <v>0</v>
      </c>
      <c r="D665" s="2" t="b">
        <v>0</v>
      </c>
      <c r="E665" s="2" t="b">
        <v>0</v>
      </c>
      <c r="F665" s="2" t="s">
        <v>31</v>
      </c>
      <c r="G665" s="2" t="s">
        <v>1423</v>
      </c>
      <c r="H665" s="2" t="s">
        <v>1424</v>
      </c>
      <c r="I665" s="2" t="s">
        <v>736</v>
      </c>
      <c r="J665" s="2" t="s">
        <v>35</v>
      </c>
      <c r="K665" s="2" t="s">
        <v>35</v>
      </c>
      <c r="L665" s="2" t="s">
        <v>35</v>
      </c>
      <c r="M665" s="2" t="s">
        <v>35</v>
      </c>
      <c r="N665" s="3">
        <v>44747.396360162034</v>
      </c>
      <c r="O665" s="3">
        <v>44747.396896932871</v>
      </c>
      <c r="P665" s="2">
        <v>0</v>
      </c>
      <c r="Q665" s="2" t="s">
        <v>36</v>
      </c>
      <c r="R665" s="2" t="s">
        <v>38</v>
      </c>
      <c r="S665" s="2" t="s">
        <v>35</v>
      </c>
      <c r="T665" s="2" t="s">
        <v>35</v>
      </c>
      <c r="U665" s="2" t="s">
        <v>35</v>
      </c>
      <c r="V665" s="2" t="b">
        <v>0</v>
      </c>
      <c r="W665" s="2" t="s">
        <v>35</v>
      </c>
      <c r="X665" s="2" t="s">
        <v>35</v>
      </c>
      <c r="Y665" s="2">
        <v>6</v>
      </c>
      <c r="Z665" s="2" t="s">
        <v>35</v>
      </c>
    </row>
    <row r="666" spans="1:26" x14ac:dyDescent="0.2">
      <c r="A666" s="2" t="s">
        <v>1425</v>
      </c>
      <c r="B666" s="2" t="b">
        <v>0</v>
      </c>
      <c r="C666" s="2" t="b">
        <v>0</v>
      </c>
      <c r="D666" s="2" t="b">
        <v>0</v>
      </c>
      <c r="E666" s="2" t="b">
        <v>0</v>
      </c>
      <c r="F666" s="2" t="s">
        <v>31</v>
      </c>
      <c r="G666" s="2" t="s">
        <v>1426</v>
      </c>
      <c r="H666" s="2" t="s">
        <v>1427</v>
      </c>
      <c r="I666" s="2" t="s">
        <v>35</v>
      </c>
      <c r="J666" s="2" t="s">
        <v>35</v>
      </c>
      <c r="K666" s="2">
        <v>6</v>
      </c>
      <c r="L666" s="2" t="s">
        <v>35</v>
      </c>
      <c r="M666" s="2" t="s">
        <v>35</v>
      </c>
      <c r="N666" s="3">
        <v>44747.397095925924</v>
      </c>
      <c r="O666" s="3">
        <v>44747.397422430557</v>
      </c>
      <c r="P666" s="2">
        <v>0</v>
      </c>
      <c r="Q666" s="2" t="s">
        <v>265</v>
      </c>
      <c r="R666" s="2" t="s">
        <v>38</v>
      </c>
      <c r="S666" s="2" t="s">
        <v>35</v>
      </c>
      <c r="T666" s="2" t="s">
        <v>35</v>
      </c>
      <c r="U666" s="2" t="s">
        <v>35</v>
      </c>
      <c r="V666" s="2" t="b">
        <v>0</v>
      </c>
      <c r="W666" s="2" t="s">
        <v>35</v>
      </c>
      <c r="X666" s="2" t="s">
        <v>35</v>
      </c>
      <c r="Y666" s="2" t="s">
        <v>35</v>
      </c>
      <c r="Z666" s="2" t="s">
        <v>35</v>
      </c>
    </row>
    <row r="667" spans="1:26" x14ac:dyDescent="0.2">
      <c r="A667" s="2" t="s">
        <v>1428</v>
      </c>
      <c r="B667" s="2" t="b">
        <v>0</v>
      </c>
      <c r="C667" s="2" t="b">
        <v>0</v>
      </c>
      <c r="D667" s="2" t="b">
        <v>0</v>
      </c>
      <c r="E667" s="2" t="b">
        <v>0</v>
      </c>
      <c r="F667" s="2" t="s">
        <v>31</v>
      </c>
      <c r="G667" s="2" t="s">
        <v>1429</v>
      </c>
      <c r="H667" s="2" t="s">
        <v>1427</v>
      </c>
      <c r="I667" s="2" t="s">
        <v>1430</v>
      </c>
      <c r="J667" s="2" t="s">
        <v>35</v>
      </c>
      <c r="K667" s="2" t="s">
        <v>35</v>
      </c>
      <c r="L667" s="2" t="s">
        <v>35</v>
      </c>
      <c r="M667" s="2" t="s">
        <v>35</v>
      </c>
      <c r="N667" s="3">
        <v>44747.397526527777</v>
      </c>
      <c r="O667" s="3">
        <v>44747.398257511573</v>
      </c>
      <c r="P667" s="2">
        <v>0</v>
      </c>
      <c r="Q667" s="2" t="s">
        <v>416</v>
      </c>
      <c r="R667" s="2" t="s">
        <v>38</v>
      </c>
      <c r="S667" s="2" t="s">
        <v>35</v>
      </c>
      <c r="T667" s="2">
        <v>90</v>
      </c>
      <c r="U667" s="2" t="s">
        <v>35</v>
      </c>
      <c r="V667" s="2" t="b">
        <v>0</v>
      </c>
      <c r="W667" s="2" t="s">
        <v>35</v>
      </c>
      <c r="X667" s="2" t="s">
        <v>35</v>
      </c>
      <c r="Y667" s="2" t="s">
        <v>35</v>
      </c>
      <c r="Z667" s="2" t="s">
        <v>35</v>
      </c>
    </row>
    <row r="668" spans="1:26" x14ac:dyDescent="0.2">
      <c r="A668" s="2" t="s">
        <v>1431</v>
      </c>
      <c r="B668" s="2" t="b">
        <v>0</v>
      </c>
      <c r="C668" s="2" t="b">
        <v>0</v>
      </c>
      <c r="D668" s="2" t="b">
        <v>0</v>
      </c>
      <c r="E668" s="2" t="b">
        <v>0</v>
      </c>
      <c r="F668" s="2" t="s">
        <v>31</v>
      </c>
      <c r="G668" s="2" t="s">
        <v>1432</v>
      </c>
      <c r="H668" s="2" t="s">
        <v>1433</v>
      </c>
      <c r="I668" s="2" t="s">
        <v>35</v>
      </c>
      <c r="J668" s="2" t="s">
        <v>35</v>
      </c>
      <c r="K668" s="2" t="s">
        <v>35</v>
      </c>
      <c r="L668" s="2">
        <v>58</v>
      </c>
      <c r="M668" s="2">
        <v>15</v>
      </c>
      <c r="N668" s="3">
        <v>44747.398316423612</v>
      </c>
      <c r="O668" s="3">
        <v>44747.399309745371</v>
      </c>
      <c r="P668" s="2">
        <v>0</v>
      </c>
      <c r="Q668" s="2" t="s">
        <v>54</v>
      </c>
      <c r="R668" s="2" t="s">
        <v>38</v>
      </c>
      <c r="S668" s="2" t="s">
        <v>35</v>
      </c>
      <c r="T668" s="2" t="s">
        <v>35</v>
      </c>
      <c r="U668" s="2" t="s">
        <v>35</v>
      </c>
      <c r="V668" s="2" t="b">
        <v>0</v>
      </c>
      <c r="W668" s="2" t="s">
        <v>35</v>
      </c>
      <c r="X668" s="2" t="s">
        <v>35</v>
      </c>
      <c r="Y668" s="2" t="s">
        <v>35</v>
      </c>
      <c r="Z668" s="2" t="s">
        <v>35</v>
      </c>
    </row>
    <row r="669" spans="1:26" x14ac:dyDescent="0.2">
      <c r="A669" s="2" t="s">
        <v>1434</v>
      </c>
      <c r="B669" s="2" t="b">
        <v>0</v>
      </c>
      <c r="C669" s="2" t="b">
        <v>0</v>
      </c>
      <c r="D669" s="2" t="b">
        <v>0</v>
      </c>
      <c r="E669" s="2" t="b">
        <v>0</v>
      </c>
      <c r="F669" s="2" t="s">
        <v>31</v>
      </c>
      <c r="G669" s="2" t="s">
        <v>1435</v>
      </c>
      <c r="H669" s="2" t="s">
        <v>1436</v>
      </c>
      <c r="I669" s="2" t="s">
        <v>736</v>
      </c>
      <c r="J669" s="2" t="s">
        <v>35</v>
      </c>
      <c r="K669" s="2" t="s">
        <v>35</v>
      </c>
      <c r="L669" s="2" t="s">
        <v>35</v>
      </c>
      <c r="M669" s="2" t="s">
        <v>35</v>
      </c>
      <c r="N669" s="3">
        <v>44747.400510451385</v>
      </c>
      <c r="O669" s="3">
        <v>44747.400771157409</v>
      </c>
      <c r="P669" s="2">
        <v>0</v>
      </c>
      <c r="Q669" s="2" t="s">
        <v>36</v>
      </c>
      <c r="R669" s="2" t="s">
        <v>38</v>
      </c>
      <c r="S669" s="2" t="s">
        <v>35</v>
      </c>
      <c r="T669" s="2" t="s">
        <v>35</v>
      </c>
      <c r="U669" s="2" t="s">
        <v>35</v>
      </c>
      <c r="V669" s="2" t="b">
        <v>0</v>
      </c>
      <c r="W669" s="2" t="s">
        <v>35</v>
      </c>
      <c r="X669" s="2" t="s">
        <v>35</v>
      </c>
      <c r="Y669" s="2">
        <v>7</v>
      </c>
      <c r="Z669" s="2">
        <v>2</v>
      </c>
    </row>
    <row r="670" spans="1:26" x14ac:dyDescent="0.2">
      <c r="A670" s="2" t="s">
        <v>1437</v>
      </c>
      <c r="B670" s="2" t="b">
        <v>0</v>
      </c>
      <c r="C670" s="2" t="b">
        <v>0</v>
      </c>
      <c r="D670" s="2" t="b">
        <v>0</v>
      </c>
      <c r="E670" s="2" t="b">
        <v>0</v>
      </c>
      <c r="F670" s="2" t="s">
        <v>31</v>
      </c>
      <c r="G670" s="2" t="s">
        <v>1438</v>
      </c>
      <c r="H670" s="2" t="s">
        <v>1439</v>
      </c>
      <c r="I670" s="2" t="s">
        <v>1124</v>
      </c>
      <c r="J670" s="2" t="s">
        <v>35</v>
      </c>
      <c r="K670" s="2" t="s">
        <v>35</v>
      </c>
      <c r="L670" s="2" t="s">
        <v>35</v>
      </c>
      <c r="M670" s="2" t="s">
        <v>35</v>
      </c>
      <c r="N670" s="3">
        <v>44747.40213141204</v>
      </c>
      <c r="O670" s="3">
        <v>44747.40244258102</v>
      </c>
      <c r="P670" s="2">
        <v>0</v>
      </c>
      <c r="Q670" s="2" t="s">
        <v>109</v>
      </c>
      <c r="R670" s="2" t="s">
        <v>38</v>
      </c>
      <c r="S670" s="2" t="s">
        <v>35</v>
      </c>
      <c r="T670" s="2">
        <v>117</v>
      </c>
      <c r="U670" s="2" t="s">
        <v>1440</v>
      </c>
      <c r="V670" s="2" t="b">
        <v>0</v>
      </c>
      <c r="W670" s="2" t="s">
        <v>35</v>
      </c>
      <c r="X670" s="2" t="s">
        <v>35</v>
      </c>
      <c r="Y670" s="2" t="s">
        <v>35</v>
      </c>
      <c r="Z670" s="2" t="s">
        <v>35</v>
      </c>
    </row>
    <row r="671" spans="1:26" x14ac:dyDescent="0.2">
      <c r="A671" s="2" t="s">
        <v>1441</v>
      </c>
      <c r="B671" s="2" t="b">
        <v>0</v>
      </c>
      <c r="C671" s="2" t="b">
        <v>0</v>
      </c>
      <c r="D671" s="2" t="b">
        <v>0</v>
      </c>
      <c r="E671" s="2" t="b">
        <v>0</v>
      </c>
      <c r="F671" s="2" t="s">
        <v>31</v>
      </c>
      <c r="G671" s="2" t="s">
        <v>1442</v>
      </c>
      <c r="H671" s="2" t="s">
        <v>1443</v>
      </c>
      <c r="I671" s="2" t="s">
        <v>1444</v>
      </c>
      <c r="J671" s="2" t="s">
        <v>35</v>
      </c>
      <c r="K671" s="2" t="s">
        <v>35</v>
      </c>
      <c r="L671" s="2" t="s">
        <v>35</v>
      </c>
      <c r="M671" s="2" t="s">
        <v>35</v>
      </c>
      <c r="N671" s="3">
        <v>44747.403844641201</v>
      </c>
      <c r="O671" s="3">
        <v>44747.404262337965</v>
      </c>
      <c r="P671" s="2">
        <v>0</v>
      </c>
      <c r="Q671" s="2" t="s">
        <v>36</v>
      </c>
      <c r="R671" s="2" t="s">
        <v>38</v>
      </c>
      <c r="S671" s="2" t="s">
        <v>35</v>
      </c>
      <c r="T671" s="2" t="s">
        <v>35</v>
      </c>
      <c r="U671" s="2" t="s">
        <v>35</v>
      </c>
      <c r="V671" s="2" t="b">
        <v>0</v>
      </c>
      <c r="W671" s="2" t="s">
        <v>35</v>
      </c>
      <c r="X671" s="2" t="s">
        <v>35</v>
      </c>
      <c r="Y671" s="2">
        <v>5</v>
      </c>
      <c r="Z671" s="2" t="s">
        <v>35</v>
      </c>
    </row>
    <row r="672" spans="1:26" x14ac:dyDescent="0.2">
      <c r="A672" s="2" t="s">
        <v>1445</v>
      </c>
      <c r="B672" s="2" t="b">
        <v>0</v>
      </c>
      <c r="C672" s="2" t="b">
        <v>0</v>
      </c>
      <c r="D672" s="2" t="b">
        <v>0</v>
      </c>
      <c r="E672" s="2" t="b">
        <v>0</v>
      </c>
      <c r="F672" s="2" t="s">
        <v>31</v>
      </c>
      <c r="G672" s="2" t="s">
        <v>1446</v>
      </c>
      <c r="H672" s="2" t="s">
        <v>1447</v>
      </c>
      <c r="I672" s="2" t="s">
        <v>35</v>
      </c>
      <c r="J672" s="2" t="s">
        <v>35</v>
      </c>
      <c r="K672" s="2" t="s">
        <v>35</v>
      </c>
      <c r="L672" s="2">
        <v>12</v>
      </c>
      <c r="M672" s="2">
        <v>17</v>
      </c>
      <c r="N672" s="3">
        <v>44747.404944421294</v>
      </c>
      <c r="O672" s="3">
        <v>44747.405394780093</v>
      </c>
      <c r="P672" s="2">
        <v>0</v>
      </c>
      <c r="Q672" s="2" t="s">
        <v>54</v>
      </c>
      <c r="R672" s="2" t="s">
        <v>38</v>
      </c>
      <c r="S672" s="2" t="s">
        <v>35</v>
      </c>
      <c r="T672" s="2" t="s">
        <v>35</v>
      </c>
      <c r="U672" s="2" t="s">
        <v>35</v>
      </c>
      <c r="V672" s="2" t="b">
        <v>0</v>
      </c>
      <c r="W672" s="2" t="s">
        <v>35</v>
      </c>
      <c r="X672" s="2" t="s">
        <v>35</v>
      </c>
      <c r="Y672" s="2" t="s">
        <v>35</v>
      </c>
      <c r="Z672" s="2" t="s">
        <v>35</v>
      </c>
    </row>
    <row r="673" spans="1:26" x14ac:dyDescent="0.2">
      <c r="A673" s="2" t="s">
        <v>1448</v>
      </c>
      <c r="B673" s="2" t="b">
        <v>0</v>
      </c>
      <c r="C673" s="2" t="b">
        <v>0</v>
      </c>
      <c r="D673" s="2" t="b">
        <v>0</v>
      </c>
      <c r="E673" s="2" t="b">
        <v>0</v>
      </c>
      <c r="F673" s="2" t="s">
        <v>31</v>
      </c>
      <c r="G673" s="2" t="s">
        <v>1449</v>
      </c>
      <c r="H673" s="2" t="s">
        <v>1450</v>
      </c>
      <c r="I673" s="2" t="s">
        <v>35</v>
      </c>
      <c r="J673" s="2" t="s">
        <v>35</v>
      </c>
      <c r="K673" s="2" t="s">
        <v>35</v>
      </c>
      <c r="L673" s="2">
        <v>19</v>
      </c>
      <c r="M673" s="2">
        <v>16</v>
      </c>
      <c r="N673" s="3">
        <v>44747.405451481478</v>
      </c>
      <c r="O673" s="3">
        <v>44747.405873402779</v>
      </c>
      <c r="P673" s="2">
        <v>0</v>
      </c>
      <c r="Q673" s="2" t="s">
        <v>54</v>
      </c>
      <c r="R673" s="2" t="s">
        <v>38</v>
      </c>
      <c r="S673" s="2" t="s">
        <v>35</v>
      </c>
      <c r="T673" s="2" t="s">
        <v>35</v>
      </c>
      <c r="U673" s="2" t="s">
        <v>35</v>
      </c>
      <c r="V673" s="2" t="b">
        <v>0</v>
      </c>
      <c r="W673" s="2" t="s">
        <v>35</v>
      </c>
      <c r="X673" s="2" t="s">
        <v>35</v>
      </c>
      <c r="Y673" s="2" t="s">
        <v>35</v>
      </c>
      <c r="Z673" s="2" t="s">
        <v>35</v>
      </c>
    </row>
    <row r="674" spans="1:26" x14ac:dyDescent="0.2">
      <c r="A674" s="2" t="s">
        <v>1451</v>
      </c>
      <c r="B674" s="2" t="b">
        <v>0</v>
      </c>
      <c r="C674" s="2" t="b">
        <v>0</v>
      </c>
      <c r="D674" s="2" t="b">
        <v>0</v>
      </c>
      <c r="E674" s="2" t="b">
        <v>0</v>
      </c>
      <c r="F674" s="2" t="s">
        <v>31</v>
      </c>
      <c r="G674" s="2" t="s">
        <v>1452</v>
      </c>
      <c r="H674" s="2" t="s">
        <v>1453</v>
      </c>
      <c r="I674" s="2" t="s">
        <v>736</v>
      </c>
      <c r="J674" s="2" t="s">
        <v>35</v>
      </c>
      <c r="K674" s="2" t="s">
        <v>35</v>
      </c>
      <c r="L674" s="2" t="s">
        <v>35</v>
      </c>
      <c r="M674" s="2" t="s">
        <v>35</v>
      </c>
      <c r="N674" s="3">
        <v>44747.408570844906</v>
      </c>
      <c r="O674" s="3">
        <v>44747.409111099536</v>
      </c>
      <c r="P674" s="2">
        <v>0</v>
      </c>
      <c r="Q674" s="2" t="s">
        <v>36</v>
      </c>
      <c r="R674" s="2" t="s">
        <v>38</v>
      </c>
      <c r="S674" s="2" t="s">
        <v>35</v>
      </c>
      <c r="T674" s="2" t="s">
        <v>35</v>
      </c>
      <c r="U674" s="2" t="s">
        <v>35</v>
      </c>
      <c r="V674" s="2" t="b">
        <v>0</v>
      </c>
      <c r="W674" s="2" t="s">
        <v>35</v>
      </c>
      <c r="X674" s="2" t="s">
        <v>35</v>
      </c>
      <c r="Y674" s="2">
        <v>6</v>
      </c>
      <c r="Z674" s="2" t="s">
        <v>35</v>
      </c>
    </row>
    <row r="675" spans="1:26" x14ac:dyDescent="0.2">
      <c r="A675" s="2" t="s">
        <v>1454</v>
      </c>
      <c r="B675" s="2" t="b">
        <v>0</v>
      </c>
      <c r="C675" s="2" t="b">
        <v>0</v>
      </c>
      <c r="D675" s="2" t="b">
        <v>0</v>
      </c>
      <c r="E675" s="2" t="b">
        <v>0</v>
      </c>
      <c r="F675" s="2" t="s">
        <v>31</v>
      </c>
      <c r="G675" s="2" t="s">
        <v>1455</v>
      </c>
      <c r="H675" s="2" t="s">
        <v>1456</v>
      </c>
      <c r="I675" s="2" t="s">
        <v>35</v>
      </c>
      <c r="J675" s="2" t="s">
        <v>35</v>
      </c>
      <c r="K675" s="2" t="s">
        <v>35</v>
      </c>
      <c r="L675" s="2" t="s">
        <v>35</v>
      </c>
      <c r="M675" s="2" t="s">
        <v>35</v>
      </c>
      <c r="N675" s="3">
        <v>44747.40978577546</v>
      </c>
      <c r="O675" s="3">
        <v>44747.409916458331</v>
      </c>
      <c r="P675" s="2">
        <v>0</v>
      </c>
      <c r="Q675" s="2" t="s">
        <v>36</v>
      </c>
      <c r="R675" s="2" t="s">
        <v>38</v>
      </c>
      <c r="S675" s="2" t="s">
        <v>35</v>
      </c>
      <c r="T675" s="2" t="s">
        <v>35</v>
      </c>
      <c r="U675" s="2" t="s">
        <v>35</v>
      </c>
      <c r="V675" s="2" t="b">
        <v>0</v>
      </c>
      <c r="W675" s="2" t="s">
        <v>35</v>
      </c>
      <c r="X675" s="2" t="s">
        <v>35</v>
      </c>
      <c r="Y675" s="2" t="s">
        <v>35</v>
      </c>
      <c r="Z675" s="2">
        <v>3</v>
      </c>
    </row>
    <row r="676" spans="1:26" x14ac:dyDescent="0.2">
      <c r="A676" s="2" t="s">
        <v>9287</v>
      </c>
      <c r="B676" s="2" t="b">
        <v>0</v>
      </c>
      <c r="C676" s="2" t="b">
        <v>0</v>
      </c>
      <c r="D676" s="2" t="b">
        <v>0</v>
      </c>
      <c r="E676" s="2" t="b">
        <v>0</v>
      </c>
      <c r="F676" s="2" t="s">
        <v>121</v>
      </c>
      <c r="G676" s="2" t="s">
        <v>149</v>
      </c>
      <c r="H676" s="2" t="s">
        <v>1459</v>
      </c>
      <c r="I676" s="2" t="s">
        <v>35</v>
      </c>
      <c r="J676" s="2" t="s">
        <v>35</v>
      </c>
      <c r="K676" s="2" t="s">
        <v>35</v>
      </c>
      <c r="L676" s="2" t="s">
        <v>35</v>
      </c>
      <c r="M676" s="2" t="s">
        <v>35</v>
      </c>
      <c r="N676" s="3">
        <v>44747.411451562497</v>
      </c>
      <c r="O676" s="3">
        <v>44747.411451678243</v>
      </c>
      <c r="P676" s="2">
        <v>0</v>
      </c>
      <c r="Q676" s="2" t="s">
        <v>35</v>
      </c>
      <c r="R676" s="2" t="s">
        <v>38</v>
      </c>
      <c r="S676" s="2" t="s">
        <v>35</v>
      </c>
      <c r="T676" s="2" t="s">
        <v>35</v>
      </c>
      <c r="U676" s="2" t="s">
        <v>35</v>
      </c>
      <c r="V676" s="2" t="b">
        <v>0</v>
      </c>
      <c r="W676" s="2" t="s">
        <v>35</v>
      </c>
      <c r="X676" s="2" t="s">
        <v>35</v>
      </c>
      <c r="Y676" s="2" t="s">
        <v>35</v>
      </c>
      <c r="Z676" s="2" t="s">
        <v>35</v>
      </c>
    </row>
    <row r="677" spans="1:26" x14ac:dyDescent="0.2">
      <c r="A677" s="2" t="s">
        <v>1457</v>
      </c>
      <c r="B677" s="2" t="b">
        <v>0</v>
      </c>
      <c r="C677" s="2" t="b">
        <v>0</v>
      </c>
      <c r="D677" s="2" t="b">
        <v>0</v>
      </c>
      <c r="E677" s="2" t="b">
        <v>0</v>
      </c>
      <c r="F677" s="2" t="s">
        <v>31</v>
      </c>
      <c r="G677" s="2" t="s">
        <v>1458</v>
      </c>
      <c r="H677" s="2" t="s">
        <v>1459</v>
      </c>
      <c r="I677" s="2" t="s">
        <v>1460</v>
      </c>
      <c r="J677" s="2" t="s">
        <v>35</v>
      </c>
      <c r="K677" s="2" t="s">
        <v>35</v>
      </c>
      <c r="L677" s="2" t="s">
        <v>35</v>
      </c>
      <c r="M677" s="2" t="s">
        <v>35</v>
      </c>
      <c r="N677" s="3">
        <v>44747.411463923614</v>
      </c>
      <c r="O677" s="3">
        <v>44747.4117772338</v>
      </c>
      <c r="P677" s="2">
        <v>0</v>
      </c>
      <c r="Q677" s="2" t="s">
        <v>36</v>
      </c>
      <c r="R677" s="2" t="s">
        <v>38</v>
      </c>
      <c r="S677" s="2" t="s">
        <v>35</v>
      </c>
      <c r="T677" s="2" t="s">
        <v>35</v>
      </c>
      <c r="U677" s="2" t="s">
        <v>35</v>
      </c>
      <c r="V677" s="2" t="b">
        <v>0</v>
      </c>
      <c r="W677" s="2" t="s">
        <v>35</v>
      </c>
      <c r="X677" s="2" t="s">
        <v>35</v>
      </c>
      <c r="Y677" s="2">
        <v>5</v>
      </c>
      <c r="Z677" s="2">
        <v>3</v>
      </c>
    </row>
    <row r="678" spans="1:26" x14ac:dyDescent="0.2">
      <c r="A678" s="2" t="s">
        <v>1461</v>
      </c>
      <c r="B678" s="2" t="b">
        <v>0</v>
      </c>
      <c r="C678" s="2" t="b">
        <v>0</v>
      </c>
      <c r="D678" s="2" t="b">
        <v>0</v>
      </c>
      <c r="E678" s="2" t="b">
        <v>0</v>
      </c>
      <c r="F678" s="2" t="s">
        <v>31</v>
      </c>
      <c r="G678" s="2" t="s">
        <v>1462</v>
      </c>
      <c r="H678" s="2" t="s">
        <v>1463</v>
      </c>
      <c r="I678" s="2" t="s">
        <v>675</v>
      </c>
      <c r="J678" s="2" t="s">
        <v>35</v>
      </c>
      <c r="K678" s="2" t="s">
        <v>35</v>
      </c>
      <c r="L678" s="2" t="s">
        <v>35</v>
      </c>
      <c r="M678" s="2" t="s">
        <v>35</v>
      </c>
      <c r="N678" s="3">
        <v>44747.42669857639</v>
      </c>
      <c r="O678" s="3">
        <v>44747.427022569442</v>
      </c>
      <c r="P678" s="2">
        <v>0</v>
      </c>
      <c r="Q678" s="2" t="s">
        <v>124</v>
      </c>
      <c r="R678" s="2" t="s">
        <v>38</v>
      </c>
      <c r="S678" s="2" t="s">
        <v>35</v>
      </c>
      <c r="T678" s="2" t="s">
        <v>35</v>
      </c>
      <c r="U678" s="2" t="s">
        <v>35</v>
      </c>
      <c r="V678" s="2" t="b">
        <v>0</v>
      </c>
      <c r="W678" s="2" t="s">
        <v>35</v>
      </c>
      <c r="X678" s="2">
        <v>4</v>
      </c>
      <c r="Y678" s="2" t="s">
        <v>35</v>
      </c>
      <c r="Z678" s="2" t="s">
        <v>35</v>
      </c>
    </row>
    <row r="679" spans="1:26" x14ac:dyDescent="0.2">
      <c r="A679" s="2" t="s">
        <v>1465</v>
      </c>
      <c r="B679" s="2" t="b">
        <v>0</v>
      </c>
      <c r="C679" s="2" t="b">
        <v>0</v>
      </c>
      <c r="D679" s="2" t="b">
        <v>0</v>
      </c>
      <c r="E679" s="2" t="b">
        <v>0</v>
      </c>
      <c r="F679" s="2" t="s">
        <v>31</v>
      </c>
      <c r="G679" s="2" t="s">
        <v>1466</v>
      </c>
      <c r="H679" s="2" t="s">
        <v>1467</v>
      </c>
      <c r="I679" s="2" t="s">
        <v>1468</v>
      </c>
      <c r="J679" s="2" t="s">
        <v>35</v>
      </c>
      <c r="K679" s="2" t="s">
        <v>35</v>
      </c>
      <c r="L679" s="2" t="s">
        <v>35</v>
      </c>
      <c r="M679" s="2" t="s">
        <v>35</v>
      </c>
      <c r="N679" s="3">
        <v>44747.42753400463</v>
      </c>
      <c r="O679" s="3">
        <v>44747.427807048611</v>
      </c>
      <c r="P679" s="2">
        <v>0</v>
      </c>
      <c r="Q679" s="2" t="s">
        <v>109</v>
      </c>
      <c r="R679" s="2" t="s">
        <v>38</v>
      </c>
      <c r="S679" s="2" t="s">
        <v>35</v>
      </c>
      <c r="T679" s="2">
        <v>115</v>
      </c>
      <c r="U679" s="2" t="s">
        <v>35</v>
      </c>
      <c r="V679" s="2" t="b">
        <v>0</v>
      </c>
      <c r="W679" s="2" t="s">
        <v>35</v>
      </c>
      <c r="X679" s="2" t="s">
        <v>35</v>
      </c>
      <c r="Y679" s="2" t="s">
        <v>35</v>
      </c>
      <c r="Z679" s="2" t="s">
        <v>35</v>
      </c>
    </row>
    <row r="680" spans="1:26" x14ac:dyDescent="0.2">
      <c r="A680" s="2" t="s">
        <v>1469</v>
      </c>
      <c r="B680" s="2" t="b">
        <v>0</v>
      </c>
      <c r="C680" s="2" t="b">
        <v>0</v>
      </c>
      <c r="D680" s="2" t="b">
        <v>0</v>
      </c>
      <c r="E680" s="2" t="b">
        <v>0</v>
      </c>
      <c r="F680" s="2" t="s">
        <v>31</v>
      </c>
      <c r="G680" s="2" t="s">
        <v>1470</v>
      </c>
      <c r="H680" s="2" t="s">
        <v>1471</v>
      </c>
      <c r="I680" s="2" t="s">
        <v>35</v>
      </c>
      <c r="J680" s="2" t="s">
        <v>35</v>
      </c>
      <c r="K680" s="2">
        <v>14</v>
      </c>
      <c r="L680" s="2" t="s">
        <v>35</v>
      </c>
      <c r="M680" s="2" t="s">
        <v>35</v>
      </c>
      <c r="N680" s="3">
        <v>44747.427976099534</v>
      </c>
      <c r="O680" s="3">
        <v>44747.428400775461</v>
      </c>
      <c r="P680" s="2">
        <v>0</v>
      </c>
      <c r="Q680" s="2" t="s">
        <v>265</v>
      </c>
      <c r="R680" s="2" t="s">
        <v>38</v>
      </c>
      <c r="S680" s="2" t="s">
        <v>35</v>
      </c>
      <c r="T680" s="2" t="s">
        <v>35</v>
      </c>
      <c r="U680" s="2" t="s">
        <v>35</v>
      </c>
      <c r="V680" s="2" t="b">
        <v>0</v>
      </c>
      <c r="W680" s="2" t="s">
        <v>35</v>
      </c>
      <c r="X680" s="2" t="s">
        <v>35</v>
      </c>
      <c r="Y680" s="2" t="s">
        <v>35</v>
      </c>
      <c r="Z680" s="2" t="s">
        <v>35</v>
      </c>
    </row>
    <row r="681" spans="1:26" x14ac:dyDescent="0.2">
      <c r="A681" s="2" t="s">
        <v>1472</v>
      </c>
      <c r="B681" s="2" t="b">
        <v>0</v>
      </c>
      <c r="C681" s="2" t="b">
        <v>0</v>
      </c>
      <c r="D681" s="2" t="b">
        <v>0</v>
      </c>
      <c r="E681" s="2" t="b">
        <v>0</v>
      </c>
      <c r="F681" s="2" t="s">
        <v>31</v>
      </c>
      <c r="G681" s="2" t="s">
        <v>1473</v>
      </c>
      <c r="H681" s="2" t="s">
        <v>1474</v>
      </c>
      <c r="I681" s="2" t="s">
        <v>1475</v>
      </c>
      <c r="J681" s="2" t="s">
        <v>35</v>
      </c>
      <c r="K681" s="2" t="s">
        <v>35</v>
      </c>
      <c r="L681" s="2" t="s">
        <v>35</v>
      </c>
      <c r="M681" s="2" t="s">
        <v>35</v>
      </c>
      <c r="N681" s="3">
        <v>44747.429007766201</v>
      </c>
      <c r="O681" s="3">
        <v>44747.429175451391</v>
      </c>
      <c r="P681" s="2">
        <v>0</v>
      </c>
      <c r="Q681" s="2" t="s">
        <v>109</v>
      </c>
      <c r="R681" s="2" t="s">
        <v>38</v>
      </c>
      <c r="S681" s="2" t="s">
        <v>35</v>
      </c>
      <c r="T681" s="2">
        <v>96</v>
      </c>
      <c r="U681" s="2" t="s">
        <v>35</v>
      </c>
      <c r="V681" s="2" t="b">
        <v>0</v>
      </c>
      <c r="W681" s="2" t="s">
        <v>35</v>
      </c>
      <c r="X681" s="2" t="s">
        <v>35</v>
      </c>
      <c r="Y681" s="2" t="s">
        <v>35</v>
      </c>
      <c r="Z681" s="2" t="s">
        <v>35</v>
      </c>
    </row>
    <row r="682" spans="1:26" x14ac:dyDescent="0.2">
      <c r="A682" s="2" t="s">
        <v>1476</v>
      </c>
      <c r="B682" s="2" t="b">
        <v>0</v>
      </c>
      <c r="C682" s="2" t="b">
        <v>0</v>
      </c>
      <c r="D682" s="2" t="b">
        <v>0</v>
      </c>
      <c r="E682" s="2" t="b">
        <v>0</v>
      </c>
      <c r="F682" s="2" t="s">
        <v>31</v>
      </c>
      <c r="G682" s="2" t="s">
        <v>1477</v>
      </c>
      <c r="H682" s="2" t="s">
        <v>1478</v>
      </c>
      <c r="I682" s="2" t="s">
        <v>675</v>
      </c>
      <c r="J682" s="2" t="s">
        <v>35</v>
      </c>
      <c r="K682" s="2" t="s">
        <v>35</v>
      </c>
      <c r="L682" s="2" t="s">
        <v>35</v>
      </c>
      <c r="M682" s="2" t="s">
        <v>35</v>
      </c>
      <c r="N682" s="3">
        <v>44747.42943452546</v>
      </c>
      <c r="O682" s="3">
        <v>44747.429648750003</v>
      </c>
      <c r="P682" s="2">
        <v>0</v>
      </c>
      <c r="Q682" s="2" t="s">
        <v>124</v>
      </c>
      <c r="R682" s="2" t="s">
        <v>38</v>
      </c>
      <c r="S682" s="2" t="s">
        <v>35</v>
      </c>
      <c r="T682" s="2" t="s">
        <v>35</v>
      </c>
      <c r="U682" s="2" t="s">
        <v>35</v>
      </c>
      <c r="V682" s="2" t="b">
        <v>0</v>
      </c>
      <c r="W682" s="2" t="s">
        <v>35</v>
      </c>
      <c r="X682" s="2">
        <v>4</v>
      </c>
      <c r="Y682" s="2" t="s">
        <v>35</v>
      </c>
      <c r="Z682" s="2" t="s">
        <v>35</v>
      </c>
    </row>
    <row r="683" spans="1:26" x14ac:dyDescent="0.2">
      <c r="A683" s="2" t="s">
        <v>1479</v>
      </c>
      <c r="B683" s="2" t="b">
        <v>0</v>
      </c>
      <c r="C683" s="2" t="b">
        <v>0</v>
      </c>
      <c r="D683" s="2" t="b">
        <v>0</v>
      </c>
      <c r="E683" s="2" t="b">
        <v>0</v>
      </c>
      <c r="F683" s="2" t="s">
        <v>31</v>
      </c>
      <c r="G683" s="2" t="s">
        <v>1480</v>
      </c>
      <c r="H683" s="2" t="s">
        <v>1481</v>
      </c>
      <c r="I683" s="2" t="s">
        <v>1475</v>
      </c>
      <c r="J683" s="2" t="s">
        <v>35</v>
      </c>
      <c r="K683" s="2" t="s">
        <v>35</v>
      </c>
      <c r="L683" s="2" t="s">
        <v>35</v>
      </c>
      <c r="M683" s="2" t="s">
        <v>35</v>
      </c>
      <c r="N683" s="3">
        <v>44747.429977534724</v>
      </c>
      <c r="O683" s="3">
        <v>44747.430155243055</v>
      </c>
      <c r="P683" s="2">
        <v>0</v>
      </c>
      <c r="Q683" s="2" t="s">
        <v>109</v>
      </c>
      <c r="R683" s="2" t="s">
        <v>38</v>
      </c>
      <c r="S683" s="2" t="s">
        <v>35</v>
      </c>
      <c r="T683" s="2">
        <v>102</v>
      </c>
      <c r="U683" s="2" t="s">
        <v>35</v>
      </c>
      <c r="V683" s="2" t="b">
        <v>0</v>
      </c>
      <c r="W683" s="2" t="s">
        <v>35</v>
      </c>
      <c r="X683" s="2" t="s">
        <v>35</v>
      </c>
      <c r="Y683" s="2" t="s">
        <v>35</v>
      </c>
      <c r="Z683" s="2" t="s">
        <v>35</v>
      </c>
    </row>
    <row r="684" spans="1:26" x14ac:dyDescent="0.2">
      <c r="A684" s="2" t="s">
        <v>1482</v>
      </c>
      <c r="B684" s="2" t="b">
        <v>0</v>
      </c>
      <c r="C684" s="2" t="b">
        <v>0</v>
      </c>
      <c r="D684" s="2" t="b">
        <v>0</v>
      </c>
      <c r="E684" s="2" t="b">
        <v>0</v>
      </c>
      <c r="F684" s="2" t="s">
        <v>31</v>
      </c>
      <c r="G684" s="2" t="s">
        <v>1483</v>
      </c>
      <c r="H684" s="2" t="s">
        <v>1484</v>
      </c>
      <c r="I684" s="2" t="s">
        <v>35</v>
      </c>
      <c r="J684" s="2" t="s">
        <v>35</v>
      </c>
      <c r="K684" s="2">
        <v>12</v>
      </c>
      <c r="L684" s="2" t="s">
        <v>35</v>
      </c>
      <c r="M684" s="2" t="s">
        <v>35</v>
      </c>
      <c r="N684" s="3">
        <v>44747.430406979169</v>
      </c>
      <c r="O684" s="3">
        <v>44747.430869074073</v>
      </c>
      <c r="P684" s="2">
        <v>0</v>
      </c>
      <c r="Q684" s="2" t="s">
        <v>265</v>
      </c>
      <c r="R684" s="2" t="s">
        <v>38</v>
      </c>
      <c r="S684" s="2" t="s">
        <v>35</v>
      </c>
      <c r="T684" s="2" t="s">
        <v>35</v>
      </c>
      <c r="U684" s="2" t="s">
        <v>35</v>
      </c>
      <c r="V684" s="2" t="b">
        <v>0</v>
      </c>
      <c r="W684" s="2" t="s">
        <v>35</v>
      </c>
      <c r="X684" s="2" t="s">
        <v>35</v>
      </c>
      <c r="Y684" s="2" t="s">
        <v>35</v>
      </c>
      <c r="Z684" s="2" t="s">
        <v>35</v>
      </c>
    </row>
    <row r="685" spans="1:26" x14ac:dyDescent="0.2">
      <c r="A685" s="2" t="s">
        <v>1485</v>
      </c>
      <c r="B685" s="2" t="b">
        <v>0</v>
      </c>
      <c r="C685" s="2" t="b">
        <v>0</v>
      </c>
      <c r="D685" s="2" t="b">
        <v>0</v>
      </c>
      <c r="E685" s="2" t="b">
        <v>0</v>
      </c>
      <c r="F685" s="2" t="s">
        <v>31</v>
      </c>
      <c r="G685" s="2" t="s">
        <v>1486</v>
      </c>
      <c r="H685" s="2" t="s">
        <v>1487</v>
      </c>
      <c r="I685" s="2" t="s">
        <v>675</v>
      </c>
      <c r="J685" s="2" t="s">
        <v>35</v>
      </c>
      <c r="K685" s="2" t="s">
        <v>35</v>
      </c>
      <c r="L685" s="2" t="s">
        <v>35</v>
      </c>
      <c r="M685" s="2" t="s">
        <v>35</v>
      </c>
      <c r="N685" s="3">
        <v>44747.433530555558</v>
      </c>
      <c r="O685" s="3">
        <v>44747.433751504628</v>
      </c>
      <c r="P685" s="2">
        <v>0</v>
      </c>
      <c r="Q685" s="2" t="s">
        <v>124</v>
      </c>
      <c r="R685" s="2" t="s">
        <v>38</v>
      </c>
      <c r="S685" s="2" t="s">
        <v>35</v>
      </c>
      <c r="T685" s="2" t="s">
        <v>35</v>
      </c>
      <c r="U685" s="2" t="s">
        <v>35</v>
      </c>
      <c r="V685" s="2" t="b">
        <v>0</v>
      </c>
      <c r="W685" s="2" t="s">
        <v>35</v>
      </c>
      <c r="X685" s="2">
        <v>4</v>
      </c>
      <c r="Y685" s="2" t="s">
        <v>35</v>
      </c>
      <c r="Z685" s="2" t="s">
        <v>35</v>
      </c>
    </row>
    <row r="686" spans="1:26" x14ac:dyDescent="0.2">
      <c r="A686" s="2" t="s">
        <v>1488</v>
      </c>
      <c r="B686" s="2" t="b">
        <v>0</v>
      </c>
      <c r="C686" s="2" t="b">
        <v>0</v>
      </c>
      <c r="D686" s="2" t="b">
        <v>0</v>
      </c>
      <c r="E686" s="2" t="b">
        <v>0</v>
      </c>
      <c r="F686" s="2" t="s">
        <v>31</v>
      </c>
      <c r="G686" s="2" t="s">
        <v>1489</v>
      </c>
      <c r="H686" s="2" t="s">
        <v>1490</v>
      </c>
      <c r="I686" s="2" t="s">
        <v>675</v>
      </c>
      <c r="J686" s="2" t="s">
        <v>35</v>
      </c>
      <c r="K686" s="2" t="s">
        <v>35</v>
      </c>
      <c r="L686" s="2" t="s">
        <v>35</v>
      </c>
      <c r="M686" s="2" t="s">
        <v>35</v>
      </c>
      <c r="N686" s="3">
        <v>44747.434220821757</v>
      </c>
      <c r="O686" s="3">
        <v>44747.434380671293</v>
      </c>
      <c r="P686" s="2">
        <v>0</v>
      </c>
      <c r="Q686" s="2" t="s">
        <v>124</v>
      </c>
      <c r="R686" s="2" t="s">
        <v>38</v>
      </c>
      <c r="S686" s="2" t="s">
        <v>35</v>
      </c>
      <c r="T686" s="2" t="s">
        <v>35</v>
      </c>
      <c r="U686" s="2" t="s">
        <v>35</v>
      </c>
      <c r="V686" s="2" t="b">
        <v>0</v>
      </c>
      <c r="W686" s="2" t="s">
        <v>35</v>
      </c>
      <c r="X686" s="2">
        <v>4</v>
      </c>
      <c r="Y686" s="2" t="s">
        <v>35</v>
      </c>
      <c r="Z686" s="2" t="s">
        <v>35</v>
      </c>
    </row>
    <row r="687" spans="1:26" x14ac:dyDescent="0.2">
      <c r="A687" s="2" t="s">
        <v>1491</v>
      </c>
      <c r="B687" s="2" t="b">
        <v>0</v>
      </c>
      <c r="C687" s="2" t="b">
        <v>0</v>
      </c>
      <c r="D687" s="2" t="b">
        <v>0</v>
      </c>
      <c r="E687" s="2" t="b">
        <v>0</v>
      </c>
      <c r="F687" s="2" t="s">
        <v>31</v>
      </c>
      <c r="G687" s="2" t="s">
        <v>1492</v>
      </c>
      <c r="H687" s="2" t="s">
        <v>1493</v>
      </c>
      <c r="I687" s="2" t="s">
        <v>35</v>
      </c>
      <c r="J687" s="2" t="s">
        <v>35</v>
      </c>
      <c r="K687" s="2" t="s">
        <v>35</v>
      </c>
      <c r="L687" s="2" t="s">
        <v>35</v>
      </c>
      <c r="M687" s="2" t="s">
        <v>35</v>
      </c>
      <c r="N687" s="3">
        <v>44747.435256238423</v>
      </c>
      <c r="O687" s="3">
        <v>44747.435404004631</v>
      </c>
      <c r="P687" s="2">
        <v>0</v>
      </c>
      <c r="Q687" s="2" t="s">
        <v>36</v>
      </c>
      <c r="R687" s="2" t="s">
        <v>38</v>
      </c>
      <c r="S687" s="2" t="s">
        <v>35</v>
      </c>
      <c r="T687" s="2" t="s">
        <v>35</v>
      </c>
      <c r="U687" s="2" t="s">
        <v>35</v>
      </c>
      <c r="V687" s="2" t="b">
        <v>0</v>
      </c>
      <c r="W687" s="2" t="s">
        <v>35</v>
      </c>
      <c r="X687" s="2" t="s">
        <v>35</v>
      </c>
      <c r="Y687" s="2" t="s">
        <v>35</v>
      </c>
      <c r="Z687" s="2">
        <v>3</v>
      </c>
    </row>
    <row r="688" spans="1:26" x14ac:dyDescent="0.2">
      <c r="A688" s="2" t="s">
        <v>1494</v>
      </c>
      <c r="B688" s="2" t="b">
        <v>0</v>
      </c>
      <c r="C688" s="2" t="b">
        <v>0</v>
      </c>
      <c r="D688" s="2" t="b">
        <v>0</v>
      </c>
      <c r="E688" s="2" t="b">
        <v>0</v>
      </c>
      <c r="F688" s="2" t="s">
        <v>31</v>
      </c>
      <c r="G688" s="2" t="s">
        <v>1495</v>
      </c>
      <c r="H688" s="2" t="s">
        <v>1496</v>
      </c>
      <c r="I688" s="2" t="s">
        <v>35</v>
      </c>
      <c r="J688" s="2" t="s">
        <v>35</v>
      </c>
      <c r="K688" s="2" t="s">
        <v>35</v>
      </c>
      <c r="L688" s="2" t="s">
        <v>35</v>
      </c>
      <c r="M688" s="2" t="s">
        <v>35</v>
      </c>
      <c r="N688" s="3">
        <v>44747.436111689814</v>
      </c>
      <c r="O688" s="3">
        <v>44747.436241909723</v>
      </c>
      <c r="P688" s="2">
        <v>0</v>
      </c>
      <c r="Q688" s="2" t="s">
        <v>36</v>
      </c>
      <c r="R688" s="2" t="s">
        <v>38</v>
      </c>
      <c r="S688" s="2" t="s">
        <v>35</v>
      </c>
      <c r="T688" s="2" t="s">
        <v>35</v>
      </c>
      <c r="U688" s="2" t="s">
        <v>35</v>
      </c>
      <c r="V688" s="2" t="b">
        <v>0</v>
      </c>
      <c r="W688" s="2" t="s">
        <v>35</v>
      </c>
      <c r="X688" s="2" t="s">
        <v>35</v>
      </c>
      <c r="Y688" s="2" t="s">
        <v>35</v>
      </c>
      <c r="Z688" s="2">
        <v>4</v>
      </c>
    </row>
    <row r="689" spans="1:26" x14ac:dyDescent="0.2">
      <c r="A689" s="2" t="s">
        <v>1497</v>
      </c>
      <c r="B689" s="2" t="b">
        <v>0</v>
      </c>
      <c r="C689" s="2" t="b">
        <v>0</v>
      </c>
      <c r="D689" s="2" t="b">
        <v>0</v>
      </c>
      <c r="E689" s="2" t="b">
        <v>0</v>
      </c>
      <c r="F689" s="2" t="s">
        <v>31</v>
      </c>
      <c r="G689" s="2" t="s">
        <v>149</v>
      </c>
      <c r="H689" s="2" t="s">
        <v>1498</v>
      </c>
      <c r="I689" s="2" t="s">
        <v>35</v>
      </c>
      <c r="J689" s="2" t="s">
        <v>35</v>
      </c>
      <c r="K689" s="2" t="s">
        <v>35</v>
      </c>
      <c r="L689" s="2" t="s">
        <v>35</v>
      </c>
      <c r="M689" s="2" t="s">
        <v>35</v>
      </c>
      <c r="N689" s="3">
        <v>44747.437792395831</v>
      </c>
      <c r="O689" s="3">
        <v>44747.437917499999</v>
      </c>
      <c r="P689" s="2">
        <v>0</v>
      </c>
      <c r="Q689" s="2" t="s">
        <v>36</v>
      </c>
      <c r="R689" s="2" t="s">
        <v>38</v>
      </c>
      <c r="S689" s="2" t="s">
        <v>35</v>
      </c>
      <c r="T689" s="2" t="s">
        <v>35</v>
      </c>
      <c r="U689" s="2" t="s">
        <v>35</v>
      </c>
      <c r="V689" s="2" t="b">
        <v>0</v>
      </c>
      <c r="W689" s="2" t="s">
        <v>35</v>
      </c>
      <c r="X689" s="2" t="s">
        <v>35</v>
      </c>
      <c r="Y689" s="2" t="s">
        <v>35</v>
      </c>
      <c r="Z689" s="2">
        <v>3</v>
      </c>
    </row>
    <row r="690" spans="1:26" x14ac:dyDescent="0.2">
      <c r="A690" s="2" t="s">
        <v>1499</v>
      </c>
      <c r="B690" s="2" t="b">
        <v>0</v>
      </c>
      <c r="C690" s="2" t="b">
        <v>0</v>
      </c>
      <c r="D690" s="2" t="b">
        <v>0</v>
      </c>
      <c r="E690" s="2" t="b">
        <v>0</v>
      </c>
      <c r="F690" s="2" t="s">
        <v>31</v>
      </c>
      <c r="G690" s="2" t="s">
        <v>1500</v>
      </c>
      <c r="H690" s="2" t="s">
        <v>1501</v>
      </c>
      <c r="I690" s="2" t="s">
        <v>35</v>
      </c>
      <c r="J690" s="2" t="s">
        <v>35</v>
      </c>
      <c r="K690" s="2" t="s">
        <v>35</v>
      </c>
      <c r="L690" s="2" t="s">
        <v>35</v>
      </c>
      <c r="M690" s="2" t="s">
        <v>35</v>
      </c>
      <c r="N690" s="3">
        <v>44747.439230231481</v>
      </c>
      <c r="O690" s="3">
        <v>44747.439370138891</v>
      </c>
      <c r="P690" s="2">
        <v>0</v>
      </c>
      <c r="Q690" s="2" t="s">
        <v>36</v>
      </c>
      <c r="R690" s="2" t="s">
        <v>38</v>
      </c>
      <c r="S690" s="2" t="s">
        <v>35</v>
      </c>
      <c r="T690" s="2" t="s">
        <v>35</v>
      </c>
      <c r="U690" s="2" t="s">
        <v>35</v>
      </c>
      <c r="V690" s="2" t="b">
        <v>0</v>
      </c>
      <c r="W690" s="2" t="s">
        <v>35</v>
      </c>
      <c r="X690" s="2" t="s">
        <v>35</v>
      </c>
      <c r="Y690" s="2" t="s">
        <v>35</v>
      </c>
      <c r="Z690" s="2">
        <v>3</v>
      </c>
    </row>
    <row r="691" spans="1:26" x14ac:dyDescent="0.2">
      <c r="A691" s="2" t="s">
        <v>1502</v>
      </c>
      <c r="B691" s="2" t="b">
        <v>0</v>
      </c>
      <c r="C691" s="2" t="b">
        <v>0</v>
      </c>
      <c r="D691" s="2" t="b">
        <v>0</v>
      </c>
      <c r="E691" s="2" t="b">
        <v>0</v>
      </c>
      <c r="F691" s="2" t="s">
        <v>31</v>
      </c>
      <c r="G691" s="2" t="s">
        <v>1503</v>
      </c>
      <c r="H691" s="2" t="s">
        <v>1504</v>
      </c>
      <c r="I691" s="2" t="s">
        <v>1505</v>
      </c>
      <c r="J691" s="2" t="s">
        <v>35</v>
      </c>
      <c r="K691" s="2" t="s">
        <v>35</v>
      </c>
      <c r="L691" s="2" t="s">
        <v>35</v>
      </c>
      <c r="M691" s="2" t="s">
        <v>35</v>
      </c>
      <c r="N691" s="3">
        <v>44747.441109201391</v>
      </c>
      <c r="O691" s="3">
        <v>44747.441422164353</v>
      </c>
      <c r="P691" s="2">
        <v>0</v>
      </c>
      <c r="Q691" s="2" t="s">
        <v>36</v>
      </c>
      <c r="R691" s="2" t="s">
        <v>38</v>
      </c>
      <c r="S691" s="2" t="s">
        <v>35</v>
      </c>
      <c r="T691" s="2" t="s">
        <v>35</v>
      </c>
      <c r="U691" s="2" t="s">
        <v>35</v>
      </c>
      <c r="V691" s="2" t="b">
        <v>0</v>
      </c>
      <c r="W691" s="2" t="s">
        <v>35</v>
      </c>
      <c r="X691" s="2" t="s">
        <v>35</v>
      </c>
      <c r="Y691" s="2">
        <v>4</v>
      </c>
      <c r="Z691" s="2">
        <v>3</v>
      </c>
    </row>
    <row r="692" spans="1:26" x14ac:dyDescent="0.2">
      <c r="A692" s="2" t="s">
        <v>1506</v>
      </c>
      <c r="B692" s="2" t="b">
        <v>0</v>
      </c>
      <c r="C692" s="2" t="b">
        <v>0</v>
      </c>
      <c r="D692" s="2" t="b">
        <v>0</v>
      </c>
      <c r="E692" s="2" t="b">
        <v>0</v>
      </c>
      <c r="F692" s="2" t="s">
        <v>31</v>
      </c>
      <c r="G692" s="2" t="s">
        <v>1507</v>
      </c>
      <c r="H692" s="2" t="s">
        <v>1508</v>
      </c>
      <c r="I692" s="2" t="s">
        <v>35</v>
      </c>
      <c r="J692" s="2" t="s">
        <v>35</v>
      </c>
      <c r="K692" s="2" t="s">
        <v>35</v>
      </c>
      <c r="L692" s="2" t="s">
        <v>35</v>
      </c>
      <c r="M692" s="2" t="s">
        <v>35</v>
      </c>
      <c r="N692" s="3">
        <v>44747.442461099534</v>
      </c>
      <c r="O692" s="3">
        <v>44747.44258978009</v>
      </c>
      <c r="P692" s="2">
        <v>0</v>
      </c>
      <c r="Q692" s="2" t="s">
        <v>36</v>
      </c>
      <c r="R692" s="2" t="s">
        <v>38</v>
      </c>
      <c r="S692" s="2" t="s">
        <v>35</v>
      </c>
      <c r="T692" s="2" t="s">
        <v>35</v>
      </c>
      <c r="U692" s="2" t="s">
        <v>35</v>
      </c>
      <c r="V692" s="2" t="b">
        <v>0</v>
      </c>
      <c r="W692" s="2" t="s">
        <v>35</v>
      </c>
      <c r="X692" s="2" t="s">
        <v>35</v>
      </c>
      <c r="Y692" s="2" t="s">
        <v>35</v>
      </c>
      <c r="Z692" s="2">
        <v>5</v>
      </c>
    </row>
    <row r="693" spans="1:26" x14ac:dyDescent="0.2">
      <c r="A693" s="2" t="s">
        <v>1509</v>
      </c>
      <c r="B693" s="2" t="b">
        <v>0</v>
      </c>
      <c r="C693" s="2" t="b">
        <v>0</v>
      </c>
      <c r="D693" s="2" t="b">
        <v>0</v>
      </c>
      <c r="E693" s="2" t="b">
        <v>0</v>
      </c>
      <c r="F693" s="2" t="s">
        <v>31</v>
      </c>
      <c r="G693" s="2" t="s">
        <v>1510</v>
      </c>
      <c r="H693" s="2" t="s">
        <v>1511</v>
      </c>
      <c r="I693" s="2" t="s">
        <v>35</v>
      </c>
      <c r="J693" s="2" t="s">
        <v>35</v>
      </c>
      <c r="K693" s="2">
        <v>10</v>
      </c>
      <c r="L693" s="2" t="s">
        <v>35</v>
      </c>
      <c r="M693" s="2" t="s">
        <v>35</v>
      </c>
      <c r="N693" s="3">
        <v>44747.442645567127</v>
      </c>
      <c r="O693" s="3">
        <v>44747.442898252317</v>
      </c>
      <c r="P693" s="2">
        <v>0</v>
      </c>
      <c r="Q693" s="2" t="s">
        <v>265</v>
      </c>
      <c r="R693" s="2" t="s">
        <v>38</v>
      </c>
      <c r="S693" s="2" t="s">
        <v>35</v>
      </c>
      <c r="T693" s="2" t="s">
        <v>35</v>
      </c>
      <c r="U693" s="2" t="s">
        <v>35</v>
      </c>
      <c r="V693" s="2" t="b">
        <v>0</v>
      </c>
      <c r="W693" s="2" t="s">
        <v>35</v>
      </c>
      <c r="X693" s="2" t="s">
        <v>35</v>
      </c>
      <c r="Y693" s="2" t="s">
        <v>35</v>
      </c>
      <c r="Z693" s="2" t="s">
        <v>35</v>
      </c>
    </row>
    <row r="694" spans="1:26" x14ac:dyDescent="0.2">
      <c r="A694" s="2" t="s">
        <v>1512</v>
      </c>
      <c r="B694" s="2" t="b">
        <v>0</v>
      </c>
      <c r="C694" s="2" t="b">
        <v>0</v>
      </c>
      <c r="D694" s="2" t="b">
        <v>0</v>
      </c>
      <c r="E694" s="2" t="b">
        <v>0</v>
      </c>
      <c r="F694" s="2" t="s">
        <v>31</v>
      </c>
      <c r="G694" s="2" t="s">
        <v>1513</v>
      </c>
      <c r="H694" s="2" t="s">
        <v>1514</v>
      </c>
      <c r="I694" s="2" t="s">
        <v>1515</v>
      </c>
      <c r="J694" s="2" t="s">
        <v>35</v>
      </c>
      <c r="K694" s="2" t="s">
        <v>35</v>
      </c>
      <c r="L694" s="2" t="s">
        <v>35</v>
      </c>
      <c r="M694" s="2" t="s">
        <v>35</v>
      </c>
      <c r="N694" s="3">
        <v>44747.444102974536</v>
      </c>
      <c r="O694" s="3">
        <v>44747.444402013891</v>
      </c>
      <c r="P694" s="2">
        <v>0</v>
      </c>
      <c r="Q694" s="2" t="s">
        <v>36</v>
      </c>
      <c r="R694" s="2" t="s">
        <v>38</v>
      </c>
      <c r="S694" s="2" t="s">
        <v>35</v>
      </c>
      <c r="T694" s="2" t="s">
        <v>35</v>
      </c>
      <c r="U694" s="2" t="s">
        <v>35</v>
      </c>
      <c r="V694" s="2" t="b">
        <v>0</v>
      </c>
      <c r="W694" s="2" t="s">
        <v>35</v>
      </c>
      <c r="X694" s="2" t="s">
        <v>35</v>
      </c>
      <c r="Y694" s="2">
        <v>4</v>
      </c>
      <c r="Z694" s="2">
        <v>3</v>
      </c>
    </row>
    <row r="695" spans="1:26" x14ac:dyDescent="0.2">
      <c r="A695" s="2" t="s">
        <v>1516</v>
      </c>
      <c r="B695" s="2" t="b">
        <v>0</v>
      </c>
      <c r="C695" s="2" t="b">
        <v>0</v>
      </c>
      <c r="D695" s="2" t="b">
        <v>0</v>
      </c>
      <c r="E695" s="2" t="b">
        <v>0</v>
      </c>
      <c r="F695" s="2" t="s">
        <v>31</v>
      </c>
      <c r="G695" s="2" t="s">
        <v>1517</v>
      </c>
      <c r="H695" s="2" t="s">
        <v>1518</v>
      </c>
      <c r="I695" s="2" t="s">
        <v>35</v>
      </c>
      <c r="J695" s="2" t="s">
        <v>35</v>
      </c>
      <c r="K695" s="2" t="s">
        <v>35</v>
      </c>
      <c r="L695" s="2" t="s">
        <v>35</v>
      </c>
      <c r="M695" s="2" t="s">
        <v>35</v>
      </c>
      <c r="N695" s="3">
        <v>44747.445540208333</v>
      </c>
      <c r="O695" s="3">
        <v>44747.445717083334</v>
      </c>
      <c r="P695" s="2">
        <v>0</v>
      </c>
      <c r="Q695" s="2" t="s">
        <v>36</v>
      </c>
      <c r="R695" s="2" t="s">
        <v>38</v>
      </c>
      <c r="S695" s="2" t="s">
        <v>35</v>
      </c>
      <c r="T695" s="2" t="s">
        <v>35</v>
      </c>
      <c r="U695" s="2" t="s">
        <v>35</v>
      </c>
      <c r="V695" s="2" t="b">
        <v>0</v>
      </c>
      <c r="W695" s="2" t="s">
        <v>35</v>
      </c>
      <c r="X695" s="2" t="s">
        <v>35</v>
      </c>
      <c r="Y695" s="2" t="s">
        <v>35</v>
      </c>
      <c r="Z695" s="2">
        <v>4</v>
      </c>
    </row>
    <row r="696" spans="1:26" x14ac:dyDescent="0.2">
      <c r="A696" s="2" t="s">
        <v>1519</v>
      </c>
      <c r="B696" s="2" t="b">
        <v>0</v>
      </c>
      <c r="C696" s="2" t="b">
        <v>0</v>
      </c>
      <c r="D696" s="2" t="b">
        <v>0</v>
      </c>
      <c r="E696" s="2" t="b">
        <v>0</v>
      </c>
      <c r="F696" s="2" t="s">
        <v>31</v>
      </c>
      <c r="G696" s="2" t="s">
        <v>1520</v>
      </c>
      <c r="H696" s="2" t="s">
        <v>1521</v>
      </c>
      <c r="I696" s="2" t="s">
        <v>675</v>
      </c>
      <c r="J696" s="2" t="s">
        <v>35</v>
      </c>
      <c r="K696" s="2" t="s">
        <v>35</v>
      </c>
      <c r="L696" s="2" t="s">
        <v>35</v>
      </c>
      <c r="M696" s="2" t="s">
        <v>35</v>
      </c>
      <c r="N696" s="3">
        <v>44747.446460324078</v>
      </c>
      <c r="O696" s="3">
        <v>44747.446662974537</v>
      </c>
      <c r="P696" s="2">
        <v>0</v>
      </c>
      <c r="Q696" s="2" t="s">
        <v>124</v>
      </c>
      <c r="R696" s="2" t="s">
        <v>38</v>
      </c>
      <c r="S696" s="2" t="s">
        <v>35</v>
      </c>
      <c r="T696" s="2" t="s">
        <v>35</v>
      </c>
      <c r="U696" s="2" t="s">
        <v>35</v>
      </c>
      <c r="V696" s="2" t="b">
        <v>0</v>
      </c>
      <c r="W696" s="2" t="s">
        <v>35</v>
      </c>
      <c r="X696" s="2">
        <v>4</v>
      </c>
      <c r="Y696" s="2" t="s">
        <v>35</v>
      </c>
      <c r="Z696" s="2" t="s">
        <v>35</v>
      </c>
    </row>
    <row r="697" spans="1:26" x14ac:dyDescent="0.2">
      <c r="A697" s="2" t="s">
        <v>1522</v>
      </c>
      <c r="B697" s="2" t="b">
        <v>0</v>
      </c>
      <c r="C697" s="2" t="b">
        <v>0</v>
      </c>
      <c r="D697" s="2" t="b">
        <v>0</v>
      </c>
      <c r="E697" s="2" t="b">
        <v>0</v>
      </c>
      <c r="F697" s="2" t="s">
        <v>31</v>
      </c>
      <c r="G697" s="2" t="s">
        <v>1523</v>
      </c>
      <c r="H697" s="2" t="s">
        <v>1524</v>
      </c>
      <c r="I697" s="2" t="s">
        <v>35</v>
      </c>
      <c r="J697" s="2" t="s">
        <v>35</v>
      </c>
      <c r="K697" s="2" t="s">
        <v>35</v>
      </c>
      <c r="L697" s="2">
        <v>3</v>
      </c>
      <c r="M697" s="2">
        <v>15</v>
      </c>
      <c r="N697" s="3">
        <v>44747.44724509259</v>
      </c>
      <c r="O697" s="3">
        <v>44747.447511168983</v>
      </c>
      <c r="P697" s="2">
        <v>0</v>
      </c>
      <c r="Q697" s="2" t="s">
        <v>54</v>
      </c>
      <c r="R697" s="2" t="s">
        <v>38</v>
      </c>
      <c r="S697" s="2" t="s">
        <v>35</v>
      </c>
      <c r="T697" s="2" t="s">
        <v>35</v>
      </c>
      <c r="U697" s="2" t="s">
        <v>35</v>
      </c>
      <c r="V697" s="2" t="b">
        <v>0</v>
      </c>
      <c r="W697" s="2" t="s">
        <v>35</v>
      </c>
      <c r="X697" s="2" t="s">
        <v>35</v>
      </c>
      <c r="Y697" s="2" t="s">
        <v>35</v>
      </c>
      <c r="Z697" s="2" t="s">
        <v>35</v>
      </c>
    </row>
    <row r="698" spans="1:26" x14ac:dyDescent="0.2">
      <c r="A698" s="2" t="s">
        <v>1525</v>
      </c>
      <c r="B698" s="2" t="b">
        <v>0</v>
      </c>
      <c r="C698" s="2" t="b">
        <v>0</v>
      </c>
      <c r="D698" s="2" t="b">
        <v>0</v>
      </c>
      <c r="E698" s="2" t="b">
        <v>0</v>
      </c>
      <c r="F698" s="2" t="s">
        <v>31</v>
      </c>
      <c r="G698" s="2" t="s">
        <v>1526</v>
      </c>
      <c r="H698" s="2" t="s">
        <v>1527</v>
      </c>
      <c r="I698" s="2" t="s">
        <v>1528</v>
      </c>
      <c r="J698" s="2" t="s">
        <v>35</v>
      </c>
      <c r="K698" s="2" t="s">
        <v>35</v>
      </c>
      <c r="L698" s="2">
        <v>3</v>
      </c>
      <c r="M698" s="2">
        <v>15</v>
      </c>
      <c r="N698" s="3">
        <v>44747.447781886571</v>
      </c>
      <c r="O698" s="3">
        <v>44747.448049548613</v>
      </c>
      <c r="P698" s="2">
        <v>0</v>
      </c>
      <c r="Q698" s="2" t="s">
        <v>54</v>
      </c>
      <c r="R698" s="2" t="s">
        <v>38</v>
      </c>
      <c r="S698" s="2" t="s">
        <v>35</v>
      </c>
      <c r="T698" s="2" t="s">
        <v>35</v>
      </c>
      <c r="U698" s="2" t="s">
        <v>35</v>
      </c>
      <c r="V698" s="2" t="b">
        <v>1</v>
      </c>
      <c r="W698" s="2" t="s">
        <v>35</v>
      </c>
      <c r="X698" s="2" t="s">
        <v>35</v>
      </c>
      <c r="Y698" s="2" t="s">
        <v>35</v>
      </c>
      <c r="Z698" s="2" t="s">
        <v>35</v>
      </c>
    </row>
    <row r="699" spans="1:26" x14ac:dyDescent="0.2">
      <c r="A699" s="2" t="s">
        <v>1529</v>
      </c>
      <c r="B699" s="2" t="b">
        <v>0</v>
      </c>
      <c r="C699" s="2" t="b">
        <v>0</v>
      </c>
      <c r="D699" s="2" t="b">
        <v>0</v>
      </c>
      <c r="E699" s="2" t="b">
        <v>0</v>
      </c>
      <c r="F699" s="2" t="s">
        <v>31</v>
      </c>
      <c r="G699" s="2" t="s">
        <v>1530</v>
      </c>
      <c r="H699" s="2" t="s">
        <v>1531</v>
      </c>
      <c r="I699" s="2" t="s">
        <v>1505</v>
      </c>
      <c r="J699" s="2" t="s">
        <v>35</v>
      </c>
      <c r="K699" s="2" t="s">
        <v>35</v>
      </c>
      <c r="L699" s="2" t="s">
        <v>35</v>
      </c>
      <c r="M699" s="2" t="s">
        <v>35</v>
      </c>
      <c r="N699" s="3">
        <v>44747.44880510417</v>
      </c>
      <c r="O699" s="3">
        <v>44747.449113391202</v>
      </c>
      <c r="P699" s="2">
        <v>0</v>
      </c>
      <c r="Q699" s="2" t="s">
        <v>36</v>
      </c>
      <c r="R699" s="2" t="s">
        <v>38</v>
      </c>
      <c r="S699" s="2" t="s">
        <v>35</v>
      </c>
      <c r="T699" s="2" t="s">
        <v>35</v>
      </c>
      <c r="U699" s="2" t="s">
        <v>35</v>
      </c>
      <c r="V699" s="2" t="b">
        <v>0</v>
      </c>
      <c r="W699" s="2" t="s">
        <v>35</v>
      </c>
      <c r="X699" s="2" t="s">
        <v>35</v>
      </c>
      <c r="Y699" s="2">
        <v>7</v>
      </c>
      <c r="Z699" s="2">
        <v>2</v>
      </c>
    </row>
    <row r="700" spans="1:26" x14ac:dyDescent="0.2">
      <c r="A700" s="2" t="s">
        <v>1532</v>
      </c>
      <c r="B700" s="2" t="b">
        <v>0</v>
      </c>
      <c r="C700" s="2" t="b">
        <v>0</v>
      </c>
      <c r="D700" s="2" t="b">
        <v>0</v>
      </c>
      <c r="E700" s="2" t="b">
        <v>0</v>
      </c>
      <c r="F700" s="2" t="s">
        <v>31</v>
      </c>
      <c r="G700" s="2" t="s">
        <v>1533</v>
      </c>
      <c r="H700" s="2" t="s">
        <v>1534</v>
      </c>
      <c r="I700" s="2" t="s">
        <v>35</v>
      </c>
      <c r="J700" s="2" t="s">
        <v>35</v>
      </c>
      <c r="K700" s="2" t="s">
        <v>35</v>
      </c>
      <c r="L700" s="2" t="s">
        <v>35</v>
      </c>
      <c r="M700" s="2" t="s">
        <v>35</v>
      </c>
      <c r="N700" s="3">
        <v>44747.45001552083</v>
      </c>
      <c r="O700" s="3">
        <v>44747.450554305557</v>
      </c>
      <c r="P700" s="2">
        <v>0</v>
      </c>
      <c r="Q700" s="2" t="s">
        <v>36</v>
      </c>
      <c r="R700" s="2" t="s">
        <v>38</v>
      </c>
      <c r="S700" s="2" t="s">
        <v>35</v>
      </c>
      <c r="T700" s="2" t="s">
        <v>35</v>
      </c>
      <c r="U700" s="2" t="s">
        <v>35</v>
      </c>
      <c r="V700" s="2" t="b">
        <v>0</v>
      </c>
      <c r="W700" s="2" t="s">
        <v>35</v>
      </c>
      <c r="X700" s="2" t="s">
        <v>35</v>
      </c>
      <c r="Y700" s="2" t="s">
        <v>35</v>
      </c>
      <c r="Z700" s="2">
        <v>5</v>
      </c>
    </row>
    <row r="701" spans="1:26" x14ac:dyDescent="0.2">
      <c r="A701" s="2" t="s">
        <v>1535</v>
      </c>
      <c r="B701" s="2" t="b">
        <v>0</v>
      </c>
      <c r="C701" s="2" t="b">
        <v>0</v>
      </c>
      <c r="D701" s="2" t="b">
        <v>0</v>
      </c>
      <c r="E701" s="2" t="b">
        <v>0</v>
      </c>
      <c r="F701" s="2" t="s">
        <v>31</v>
      </c>
      <c r="G701" s="2" t="s">
        <v>1536</v>
      </c>
      <c r="H701" s="2" t="s">
        <v>1537</v>
      </c>
      <c r="I701" s="2" t="s">
        <v>35</v>
      </c>
      <c r="J701" s="2" t="s">
        <v>35</v>
      </c>
      <c r="K701" s="2" t="s">
        <v>35</v>
      </c>
      <c r="L701" s="2" t="s">
        <v>35</v>
      </c>
      <c r="M701" s="2" t="s">
        <v>35</v>
      </c>
      <c r="N701" s="3">
        <v>44747.451429953704</v>
      </c>
      <c r="O701" s="3">
        <v>44747.451570914352</v>
      </c>
      <c r="P701" s="2">
        <v>0</v>
      </c>
      <c r="Q701" s="2" t="s">
        <v>36</v>
      </c>
      <c r="R701" s="2" t="s">
        <v>38</v>
      </c>
      <c r="S701" s="2" t="s">
        <v>35</v>
      </c>
      <c r="T701" s="2" t="s">
        <v>35</v>
      </c>
      <c r="U701" s="2" t="s">
        <v>35</v>
      </c>
      <c r="V701" s="2" t="b">
        <v>0</v>
      </c>
      <c r="W701" s="2" t="s">
        <v>35</v>
      </c>
      <c r="X701" s="2" t="s">
        <v>35</v>
      </c>
      <c r="Y701" s="2" t="s">
        <v>35</v>
      </c>
      <c r="Z701" s="2">
        <v>3</v>
      </c>
    </row>
    <row r="702" spans="1:26" x14ac:dyDescent="0.2">
      <c r="A702" s="2" t="s">
        <v>1538</v>
      </c>
      <c r="B702" s="2" t="b">
        <v>0</v>
      </c>
      <c r="C702" s="2" t="b">
        <v>0</v>
      </c>
      <c r="D702" s="2" t="b">
        <v>0</v>
      </c>
      <c r="E702" s="2" t="b">
        <v>0</v>
      </c>
      <c r="F702" s="2" t="s">
        <v>31</v>
      </c>
      <c r="G702" s="2" t="s">
        <v>1539</v>
      </c>
      <c r="H702" s="2" t="s">
        <v>1540</v>
      </c>
      <c r="I702" s="2" t="s">
        <v>35</v>
      </c>
      <c r="J702" s="2" t="s">
        <v>35</v>
      </c>
      <c r="K702" s="2">
        <v>9</v>
      </c>
      <c r="L702" s="2" t="s">
        <v>35</v>
      </c>
      <c r="M702" s="2" t="s">
        <v>35</v>
      </c>
      <c r="N702" s="3">
        <v>44747.45253505787</v>
      </c>
      <c r="O702" s="3">
        <v>44747.452775949074</v>
      </c>
      <c r="P702" s="2">
        <v>0</v>
      </c>
      <c r="Q702" s="2" t="s">
        <v>265</v>
      </c>
      <c r="R702" s="2" t="s">
        <v>38</v>
      </c>
      <c r="S702" s="2" t="s">
        <v>35</v>
      </c>
      <c r="T702" s="2" t="s">
        <v>35</v>
      </c>
      <c r="U702" s="2" t="s">
        <v>35</v>
      </c>
      <c r="V702" s="2" t="b">
        <v>0</v>
      </c>
      <c r="W702" s="2" t="s">
        <v>35</v>
      </c>
      <c r="X702" s="2" t="s">
        <v>35</v>
      </c>
      <c r="Y702" s="2" t="s">
        <v>35</v>
      </c>
      <c r="Z702" s="2" t="s">
        <v>35</v>
      </c>
    </row>
    <row r="703" spans="1:26" x14ac:dyDescent="0.2">
      <c r="A703" s="2" t="s">
        <v>1541</v>
      </c>
      <c r="B703" s="2" t="b">
        <v>0</v>
      </c>
      <c r="C703" s="2" t="b">
        <v>0</v>
      </c>
      <c r="D703" s="2" t="b">
        <v>0</v>
      </c>
      <c r="E703" s="2" t="b">
        <v>0</v>
      </c>
      <c r="F703" s="2" t="s">
        <v>31</v>
      </c>
      <c r="G703" s="2" t="s">
        <v>1542</v>
      </c>
      <c r="H703" s="2" t="s">
        <v>1543</v>
      </c>
      <c r="I703" s="2" t="s">
        <v>35</v>
      </c>
      <c r="J703" s="2" t="s">
        <v>35</v>
      </c>
      <c r="K703" s="2">
        <v>9</v>
      </c>
      <c r="L703" s="2" t="s">
        <v>35</v>
      </c>
      <c r="M703" s="2" t="s">
        <v>35</v>
      </c>
      <c r="N703" s="3">
        <v>44747.452876979165</v>
      </c>
      <c r="O703" s="3">
        <v>44747.453079189814</v>
      </c>
      <c r="P703" s="2">
        <v>0</v>
      </c>
      <c r="Q703" s="2" t="s">
        <v>265</v>
      </c>
      <c r="R703" s="2" t="s">
        <v>38</v>
      </c>
      <c r="S703" s="2" t="s">
        <v>35</v>
      </c>
      <c r="T703" s="2" t="s">
        <v>35</v>
      </c>
      <c r="U703" s="2" t="s">
        <v>35</v>
      </c>
      <c r="V703" s="2" t="b">
        <v>0</v>
      </c>
      <c r="W703" s="2" t="s">
        <v>35</v>
      </c>
      <c r="X703" s="2" t="s">
        <v>35</v>
      </c>
      <c r="Y703" s="2" t="s">
        <v>35</v>
      </c>
      <c r="Z703" s="2" t="s">
        <v>35</v>
      </c>
    </row>
    <row r="704" spans="1:26" x14ac:dyDescent="0.2">
      <c r="A704" s="2" t="s">
        <v>1544</v>
      </c>
      <c r="B704" s="2" t="b">
        <v>0</v>
      </c>
      <c r="C704" s="2" t="b">
        <v>0</v>
      </c>
      <c r="D704" s="2" t="b">
        <v>0</v>
      </c>
      <c r="E704" s="2" t="b">
        <v>0</v>
      </c>
      <c r="F704" s="2" t="s">
        <v>31</v>
      </c>
      <c r="G704" s="2" t="s">
        <v>1545</v>
      </c>
      <c r="H704" s="2" t="s">
        <v>1546</v>
      </c>
      <c r="I704" s="2" t="s">
        <v>35</v>
      </c>
      <c r="J704" s="2" t="s">
        <v>35</v>
      </c>
      <c r="K704" s="2" t="s">
        <v>35</v>
      </c>
      <c r="L704" s="2" t="s">
        <v>35</v>
      </c>
      <c r="M704" s="2" t="s">
        <v>35</v>
      </c>
      <c r="N704" s="3">
        <v>44747.453460196761</v>
      </c>
      <c r="O704" s="3">
        <v>44747.453572500002</v>
      </c>
      <c r="P704" s="2">
        <v>0</v>
      </c>
      <c r="Q704" s="2" t="s">
        <v>36</v>
      </c>
      <c r="R704" s="2" t="s">
        <v>38</v>
      </c>
      <c r="S704" s="2" t="s">
        <v>35</v>
      </c>
      <c r="T704" s="2" t="s">
        <v>35</v>
      </c>
      <c r="U704" s="2" t="s">
        <v>35</v>
      </c>
      <c r="V704" s="2" t="b">
        <v>0</v>
      </c>
      <c r="W704" s="2" t="s">
        <v>35</v>
      </c>
      <c r="X704" s="2" t="s">
        <v>35</v>
      </c>
      <c r="Y704" s="2" t="s">
        <v>35</v>
      </c>
      <c r="Z704" s="2">
        <v>2</v>
      </c>
    </row>
    <row r="705" spans="1:26" x14ac:dyDescent="0.2">
      <c r="A705" s="2" t="s">
        <v>1547</v>
      </c>
      <c r="B705" s="2" t="b">
        <v>0</v>
      </c>
      <c r="C705" s="2" t="b">
        <v>0</v>
      </c>
      <c r="D705" s="2" t="b">
        <v>0</v>
      </c>
      <c r="E705" s="2" t="b">
        <v>0</v>
      </c>
      <c r="F705" s="2" t="s">
        <v>31</v>
      </c>
      <c r="G705" s="2" t="s">
        <v>1548</v>
      </c>
      <c r="H705" s="2" t="s">
        <v>1549</v>
      </c>
      <c r="I705" s="2" t="s">
        <v>35</v>
      </c>
      <c r="J705" s="2" t="s">
        <v>35</v>
      </c>
      <c r="K705" s="2" t="s">
        <v>35</v>
      </c>
      <c r="L705" s="2" t="s">
        <v>35</v>
      </c>
      <c r="M705" s="2" t="s">
        <v>35</v>
      </c>
      <c r="N705" s="3">
        <v>44747.454365196762</v>
      </c>
      <c r="O705" s="3">
        <v>44747.45448266204</v>
      </c>
      <c r="P705" s="2">
        <v>0</v>
      </c>
      <c r="Q705" s="2" t="s">
        <v>36</v>
      </c>
      <c r="R705" s="2" t="s">
        <v>38</v>
      </c>
      <c r="S705" s="2" t="s">
        <v>35</v>
      </c>
      <c r="T705" s="2" t="s">
        <v>35</v>
      </c>
      <c r="U705" s="2" t="s">
        <v>35</v>
      </c>
      <c r="V705" s="2" t="b">
        <v>0</v>
      </c>
      <c r="W705" s="2" t="s">
        <v>35</v>
      </c>
      <c r="X705" s="2" t="s">
        <v>35</v>
      </c>
      <c r="Y705" s="2" t="s">
        <v>35</v>
      </c>
      <c r="Z705" s="2">
        <v>4</v>
      </c>
    </row>
    <row r="706" spans="1:26" x14ac:dyDescent="0.2">
      <c r="A706" s="2" t="s">
        <v>1550</v>
      </c>
      <c r="B706" s="2" t="b">
        <v>0</v>
      </c>
      <c r="C706" s="2" t="b">
        <v>0</v>
      </c>
      <c r="D706" s="2" t="b">
        <v>0</v>
      </c>
      <c r="E706" s="2" t="b">
        <v>0</v>
      </c>
      <c r="F706" s="2" t="s">
        <v>31</v>
      </c>
      <c r="G706" s="2" t="s">
        <v>1551</v>
      </c>
      <c r="H706" s="2" t="s">
        <v>1552</v>
      </c>
      <c r="I706" s="2" t="s">
        <v>1553</v>
      </c>
      <c r="J706" s="2" t="s">
        <v>35</v>
      </c>
      <c r="K706" s="2" t="s">
        <v>35</v>
      </c>
      <c r="L706" s="2" t="s">
        <v>35</v>
      </c>
      <c r="M706" s="2" t="s">
        <v>35</v>
      </c>
      <c r="N706" s="3">
        <v>44747.455788391206</v>
      </c>
      <c r="O706" s="3">
        <v>44747.456024039355</v>
      </c>
      <c r="P706" s="2">
        <v>0</v>
      </c>
      <c r="Q706" s="2" t="s">
        <v>36</v>
      </c>
      <c r="R706" s="2" t="s">
        <v>38</v>
      </c>
      <c r="S706" s="2" t="s">
        <v>35</v>
      </c>
      <c r="T706" s="2" t="s">
        <v>35</v>
      </c>
      <c r="U706" s="2" t="s">
        <v>35</v>
      </c>
      <c r="V706" s="2" t="b">
        <v>0</v>
      </c>
      <c r="W706" s="2" t="s">
        <v>35</v>
      </c>
      <c r="X706" s="2" t="s">
        <v>35</v>
      </c>
      <c r="Y706" s="2">
        <v>4</v>
      </c>
      <c r="Z706" s="2">
        <v>4</v>
      </c>
    </row>
    <row r="707" spans="1:26" x14ac:dyDescent="0.2">
      <c r="A707" s="2" t="s">
        <v>1554</v>
      </c>
      <c r="B707" s="2" t="b">
        <v>0</v>
      </c>
      <c r="C707" s="2" t="b">
        <v>0</v>
      </c>
      <c r="D707" s="2" t="b">
        <v>0</v>
      </c>
      <c r="E707" s="2" t="b">
        <v>0</v>
      </c>
      <c r="F707" s="2" t="s">
        <v>31</v>
      </c>
      <c r="G707" s="2" t="s">
        <v>1555</v>
      </c>
      <c r="H707" s="2" t="s">
        <v>1556</v>
      </c>
      <c r="I707" s="2" t="s">
        <v>1557</v>
      </c>
      <c r="J707" s="2" t="s">
        <v>35</v>
      </c>
      <c r="K707" s="2" t="s">
        <v>35</v>
      </c>
      <c r="L707" s="2" t="s">
        <v>35</v>
      </c>
      <c r="M707" s="2" t="s">
        <v>35</v>
      </c>
      <c r="N707" s="3">
        <v>44747.45700923611</v>
      </c>
      <c r="O707" s="3">
        <v>44747.457495219911</v>
      </c>
      <c r="P707" s="2">
        <v>0</v>
      </c>
      <c r="Q707" s="2" t="s">
        <v>36</v>
      </c>
      <c r="R707" s="2" t="s">
        <v>38</v>
      </c>
      <c r="S707" s="2" t="s">
        <v>35</v>
      </c>
      <c r="T707" s="2" t="s">
        <v>35</v>
      </c>
      <c r="U707" s="2" t="s">
        <v>35</v>
      </c>
      <c r="V707" s="2" t="b">
        <v>0</v>
      </c>
      <c r="W707" s="2" t="s">
        <v>35</v>
      </c>
      <c r="X707" s="2" t="s">
        <v>35</v>
      </c>
      <c r="Y707" s="2">
        <v>6</v>
      </c>
      <c r="Z707" s="2" t="s">
        <v>35</v>
      </c>
    </row>
    <row r="708" spans="1:26" x14ac:dyDescent="0.2">
      <c r="A708" s="2" t="s">
        <v>1558</v>
      </c>
      <c r="B708" s="2" t="b">
        <v>0</v>
      </c>
      <c r="C708" s="2" t="b">
        <v>0</v>
      </c>
      <c r="D708" s="2" t="b">
        <v>0</v>
      </c>
      <c r="E708" s="2" t="b">
        <v>0</v>
      </c>
      <c r="F708" s="2" t="s">
        <v>31</v>
      </c>
      <c r="G708" s="2" t="s">
        <v>1559</v>
      </c>
      <c r="H708" s="2" t="s">
        <v>1560</v>
      </c>
      <c r="I708" s="2" t="s">
        <v>1561</v>
      </c>
      <c r="J708" s="2" t="s">
        <v>35</v>
      </c>
      <c r="K708" s="2" t="s">
        <v>35</v>
      </c>
      <c r="L708" s="2" t="s">
        <v>35</v>
      </c>
      <c r="M708" s="2" t="s">
        <v>35</v>
      </c>
      <c r="N708" s="3">
        <v>44747.458176435182</v>
      </c>
      <c r="O708" s="3">
        <v>44747.458488090277</v>
      </c>
      <c r="P708" s="2">
        <v>0</v>
      </c>
      <c r="Q708" s="2" t="s">
        <v>416</v>
      </c>
      <c r="R708" s="2" t="s">
        <v>38</v>
      </c>
      <c r="S708" s="2" t="s">
        <v>35</v>
      </c>
      <c r="T708" s="2">
        <v>0</v>
      </c>
      <c r="U708" s="2" t="s">
        <v>1440</v>
      </c>
      <c r="V708" s="2" t="b">
        <v>0</v>
      </c>
      <c r="W708" s="2" t="s">
        <v>35</v>
      </c>
      <c r="X708" s="2" t="s">
        <v>35</v>
      </c>
      <c r="Y708" s="2" t="s">
        <v>35</v>
      </c>
      <c r="Z708" s="2" t="s">
        <v>35</v>
      </c>
    </row>
    <row r="709" spans="1:26" x14ac:dyDescent="0.2">
      <c r="A709" s="2" t="s">
        <v>1562</v>
      </c>
      <c r="B709" s="2" t="b">
        <v>0</v>
      </c>
      <c r="C709" s="2" t="b">
        <v>0</v>
      </c>
      <c r="D709" s="2" t="b">
        <v>0</v>
      </c>
      <c r="E709" s="2" t="b">
        <v>0</v>
      </c>
      <c r="F709" s="2" t="s">
        <v>31</v>
      </c>
      <c r="G709" s="2" t="s">
        <v>1563</v>
      </c>
      <c r="H709" s="2" t="s">
        <v>1564</v>
      </c>
      <c r="I709" s="2" t="s">
        <v>1565</v>
      </c>
      <c r="J709" s="2" t="s">
        <v>35</v>
      </c>
      <c r="K709" s="2" t="s">
        <v>35</v>
      </c>
      <c r="L709" s="2" t="s">
        <v>35</v>
      </c>
      <c r="M709" s="2" t="s">
        <v>35</v>
      </c>
      <c r="N709" s="3">
        <v>44747.459511215275</v>
      </c>
      <c r="O709" s="3">
        <v>44747.460035150463</v>
      </c>
      <c r="P709" s="2">
        <v>0</v>
      </c>
      <c r="Q709" s="2" t="s">
        <v>36</v>
      </c>
      <c r="R709" s="2" t="s">
        <v>38</v>
      </c>
      <c r="S709" s="2" t="s">
        <v>35</v>
      </c>
      <c r="T709" s="2" t="s">
        <v>35</v>
      </c>
      <c r="U709" s="2" t="s">
        <v>35</v>
      </c>
      <c r="V709" s="2" t="b">
        <v>0</v>
      </c>
      <c r="W709" s="2" t="s">
        <v>35</v>
      </c>
      <c r="X709" s="2" t="s">
        <v>35</v>
      </c>
      <c r="Y709" s="2">
        <v>9</v>
      </c>
      <c r="Z709" s="2">
        <v>3</v>
      </c>
    </row>
    <row r="710" spans="1:26" x14ac:dyDescent="0.2">
      <c r="A710" s="2" t="s">
        <v>1566</v>
      </c>
      <c r="B710" s="2" t="b">
        <v>0</v>
      </c>
      <c r="C710" s="2" t="b">
        <v>0</v>
      </c>
      <c r="D710" s="2" t="b">
        <v>0</v>
      </c>
      <c r="E710" s="2" t="b">
        <v>0</v>
      </c>
      <c r="F710" s="2" t="s">
        <v>31</v>
      </c>
      <c r="G710" s="2" t="s">
        <v>149</v>
      </c>
      <c r="H710" s="2" t="s">
        <v>1567</v>
      </c>
      <c r="I710" s="2" t="s">
        <v>1553</v>
      </c>
      <c r="J710" s="2" t="s">
        <v>35</v>
      </c>
      <c r="K710" s="2" t="s">
        <v>35</v>
      </c>
      <c r="L710" s="2" t="s">
        <v>35</v>
      </c>
      <c r="M710" s="2" t="s">
        <v>35</v>
      </c>
      <c r="N710" s="3">
        <v>44747.464382280094</v>
      </c>
      <c r="O710" s="3">
        <v>44747.464586724534</v>
      </c>
      <c r="P710" s="2">
        <v>0</v>
      </c>
      <c r="Q710" s="2" t="s">
        <v>36</v>
      </c>
      <c r="R710" s="2" t="s">
        <v>38</v>
      </c>
      <c r="S710" s="2" t="s">
        <v>35</v>
      </c>
      <c r="T710" s="2" t="s">
        <v>35</v>
      </c>
      <c r="U710" s="2" t="s">
        <v>35</v>
      </c>
      <c r="V710" s="2" t="b">
        <v>0</v>
      </c>
      <c r="W710" s="2" t="s">
        <v>35</v>
      </c>
      <c r="X710" s="2" t="s">
        <v>35</v>
      </c>
      <c r="Y710" s="2">
        <v>10</v>
      </c>
      <c r="Z710" s="2" t="s">
        <v>35</v>
      </c>
    </row>
    <row r="711" spans="1:26" x14ac:dyDescent="0.2">
      <c r="A711" s="2" t="s">
        <v>1568</v>
      </c>
      <c r="B711" s="2" t="b">
        <v>0</v>
      </c>
      <c r="C711" s="2" t="b">
        <v>0</v>
      </c>
      <c r="D711" s="2" t="b">
        <v>0</v>
      </c>
      <c r="E711" s="2" t="b">
        <v>0</v>
      </c>
      <c r="F711" s="2" t="s">
        <v>31</v>
      </c>
      <c r="G711" s="2" t="s">
        <v>1569</v>
      </c>
      <c r="H711" s="2" t="s">
        <v>1570</v>
      </c>
      <c r="I711" s="2" t="s">
        <v>1553</v>
      </c>
      <c r="J711" s="2" t="s">
        <v>35</v>
      </c>
      <c r="K711" s="2" t="s">
        <v>35</v>
      </c>
      <c r="L711" s="2" t="s">
        <v>35</v>
      </c>
      <c r="M711" s="2" t="s">
        <v>35</v>
      </c>
      <c r="N711" s="3">
        <v>44747.465783252315</v>
      </c>
      <c r="O711" s="3">
        <v>44747.465989108794</v>
      </c>
      <c r="P711" s="2">
        <v>0</v>
      </c>
      <c r="Q711" s="2" t="s">
        <v>36</v>
      </c>
      <c r="R711" s="2" t="s">
        <v>38</v>
      </c>
      <c r="S711" s="2" t="s">
        <v>35</v>
      </c>
      <c r="T711" s="2" t="s">
        <v>35</v>
      </c>
      <c r="U711" s="2" t="s">
        <v>35</v>
      </c>
      <c r="V711" s="2" t="b">
        <v>0</v>
      </c>
      <c r="W711" s="2" t="s">
        <v>35</v>
      </c>
      <c r="X711" s="2" t="s">
        <v>35</v>
      </c>
      <c r="Y711" s="2">
        <v>9</v>
      </c>
      <c r="Z711" s="2" t="s">
        <v>35</v>
      </c>
    </row>
    <row r="712" spans="1:26" x14ac:dyDescent="0.2">
      <c r="A712" s="2" t="s">
        <v>1571</v>
      </c>
      <c r="B712" s="2" t="b">
        <v>0</v>
      </c>
      <c r="C712" s="2" t="b">
        <v>0</v>
      </c>
      <c r="D712" s="2" t="b">
        <v>0</v>
      </c>
      <c r="E712" s="2" t="b">
        <v>0</v>
      </c>
      <c r="F712" s="2" t="s">
        <v>31</v>
      </c>
      <c r="G712" s="2" t="s">
        <v>1572</v>
      </c>
      <c r="H712" s="2" t="s">
        <v>1573</v>
      </c>
      <c r="I712" s="2" t="s">
        <v>1574</v>
      </c>
      <c r="J712" s="2" t="s">
        <v>35</v>
      </c>
      <c r="K712" s="2" t="s">
        <v>35</v>
      </c>
      <c r="L712" s="2">
        <v>9</v>
      </c>
      <c r="M712" s="2">
        <v>12</v>
      </c>
      <c r="N712" s="3">
        <v>44747.466081365739</v>
      </c>
      <c r="O712" s="3">
        <v>44747.466709884262</v>
      </c>
      <c r="P712" s="2">
        <v>0</v>
      </c>
      <c r="Q712" s="2" t="s">
        <v>54</v>
      </c>
      <c r="R712" s="2" t="s">
        <v>38</v>
      </c>
      <c r="S712" s="2" t="s">
        <v>35</v>
      </c>
      <c r="T712" s="2" t="s">
        <v>35</v>
      </c>
      <c r="U712" s="2" t="s">
        <v>35</v>
      </c>
      <c r="V712" s="2" t="b">
        <v>1</v>
      </c>
      <c r="W712" s="2" t="s">
        <v>35</v>
      </c>
      <c r="X712" s="2" t="s">
        <v>35</v>
      </c>
      <c r="Y712" s="2" t="s">
        <v>35</v>
      </c>
      <c r="Z712" s="2" t="s">
        <v>35</v>
      </c>
    </row>
    <row r="713" spans="1:26" x14ac:dyDescent="0.2">
      <c r="A713" s="2" t="s">
        <v>1575</v>
      </c>
      <c r="B713" s="2" t="b">
        <v>0</v>
      </c>
      <c r="C713" s="2" t="b">
        <v>0</v>
      </c>
      <c r="D713" s="2" t="b">
        <v>0</v>
      </c>
      <c r="E713" s="2" t="b">
        <v>0</v>
      </c>
      <c r="F713" s="2" t="s">
        <v>31</v>
      </c>
      <c r="G713" s="2" t="s">
        <v>1576</v>
      </c>
      <c r="H713" s="2" t="s">
        <v>1577</v>
      </c>
      <c r="I713" s="2" t="s">
        <v>35</v>
      </c>
      <c r="J713" s="2" t="s">
        <v>35</v>
      </c>
      <c r="K713" s="2" t="s">
        <v>35</v>
      </c>
      <c r="L713" s="2" t="s">
        <v>35</v>
      </c>
      <c r="M713" s="2" t="s">
        <v>35</v>
      </c>
      <c r="N713" s="3">
        <v>44747.466877013889</v>
      </c>
      <c r="O713" s="3">
        <v>44747.467009537038</v>
      </c>
      <c r="P713" s="2">
        <v>0</v>
      </c>
      <c r="Q713" s="2" t="s">
        <v>36</v>
      </c>
      <c r="R713" s="2" t="s">
        <v>38</v>
      </c>
      <c r="S713" s="2" t="s">
        <v>35</v>
      </c>
      <c r="T713" s="2" t="s">
        <v>35</v>
      </c>
      <c r="U713" s="2" t="s">
        <v>35</v>
      </c>
      <c r="V713" s="2" t="b">
        <v>0</v>
      </c>
      <c r="W713" s="2" t="s">
        <v>1235</v>
      </c>
      <c r="X713" s="2" t="s">
        <v>35</v>
      </c>
      <c r="Y713" s="2" t="s">
        <v>35</v>
      </c>
      <c r="Z713" s="2" t="s">
        <v>35</v>
      </c>
    </row>
    <row r="714" spans="1:26" x14ac:dyDescent="0.2">
      <c r="A714" s="2" t="s">
        <v>1578</v>
      </c>
      <c r="B714" s="2" t="b">
        <v>0</v>
      </c>
      <c r="C714" s="2" t="b">
        <v>0</v>
      </c>
      <c r="D714" s="2" t="b">
        <v>0</v>
      </c>
      <c r="E714" s="2" t="b">
        <v>0</v>
      </c>
      <c r="F714" s="2" t="s">
        <v>31</v>
      </c>
      <c r="G714" s="2" t="s">
        <v>1579</v>
      </c>
      <c r="H714" s="2" t="s">
        <v>1580</v>
      </c>
      <c r="I714" s="2" t="s">
        <v>1124</v>
      </c>
      <c r="J714" s="2" t="s">
        <v>35</v>
      </c>
      <c r="K714" s="2" t="s">
        <v>35</v>
      </c>
      <c r="L714" s="2" t="s">
        <v>35</v>
      </c>
      <c r="M714" s="2" t="s">
        <v>35</v>
      </c>
      <c r="N714" s="3">
        <v>44747.467244942127</v>
      </c>
      <c r="O714" s="3">
        <v>44747.467522210645</v>
      </c>
      <c r="P714" s="2">
        <v>0</v>
      </c>
      <c r="Q714" s="2" t="s">
        <v>416</v>
      </c>
      <c r="R714" s="2" t="s">
        <v>38</v>
      </c>
      <c r="S714" s="2" t="s">
        <v>35</v>
      </c>
      <c r="T714" s="2">
        <v>0</v>
      </c>
      <c r="U714" s="2" t="s">
        <v>1440</v>
      </c>
      <c r="V714" s="2" t="b">
        <v>0</v>
      </c>
      <c r="W714" s="2" t="s">
        <v>35</v>
      </c>
      <c r="X714" s="2" t="s">
        <v>35</v>
      </c>
      <c r="Y714" s="2" t="s">
        <v>35</v>
      </c>
      <c r="Z714" s="2" t="s">
        <v>35</v>
      </c>
    </row>
    <row r="715" spans="1:26" x14ac:dyDescent="0.2">
      <c r="A715" s="2" t="s">
        <v>1581</v>
      </c>
      <c r="B715" s="2" t="b">
        <v>0</v>
      </c>
      <c r="C715" s="2" t="b">
        <v>0</v>
      </c>
      <c r="D715" s="2" t="b">
        <v>0</v>
      </c>
      <c r="E715" s="2" t="b">
        <v>0</v>
      </c>
      <c r="F715" s="2" t="s">
        <v>31</v>
      </c>
      <c r="G715" s="2" t="s">
        <v>1582</v>
      </c>
      <c r="H715" s="2" t="s">
        <v>1583</v>
      </c>
      <c r="I715" s="2" t="s">
        <v>35</v>
      </c>
      <c r="J715" s="2" t="s">
        <v>35</v>
      </c>
      <c r="K715" s="2" t="s">
        <v>35</v>
      </c>
      <c r="L715" s="2" t="s">
        <v>35</v>
      </c>
      <c r="M715" s="2" t="s">
        <v>35</v>
      </c>
      <c r="N715" s="3">
        <v>44747.468021273147</v>
      </c>
      <c r="O715" s="3">
        <v>44747.468170949076</v>
      </c>
      <c r="P715" s="2">
        <v>0</v>
      </c>
      <c r="Q715" s="2" t="s">
        <v>36</v>
      </c>
      <c r="R715" s="2" t="s">
        <v>38</v>
      </c>
      <c r="S715" s="2" t="s">
        <v>35</v>
      </c>
      <c r="T715" s="2" t="s">
        <v>35</v>
      </c>
      <c r="U715" s="2" t="s">
        <v>35</v>
      </c>
      <c r="V715" s="2" t="b">
        <v>0</v>
      </c>
      <c r="W715" s="2" t="s">
        <v>1235</v>
      </c>
      <c r="X715" s="2" t="s">
        <v>35</v>
      </c>
      <c r="Y715" s="2" t="s">
        <v>35</v>
      </c>
      <c r="Z715" s="2" t="s">
        <v>35</v>
      </c>
    </row>
    <row r="716" spans="1:26" x14ac:dyDescent="0.2">
      <c r="A716" s="2" t="s">
        <v>1584</v>
      </c>
      <c r="B716" s="2" t="b">
        <v>0</v>
      </c>
      <c r="C716" s="2" t="b">
        <v>0</v>
      </c>
      <c r="D716" s="2" t="b">
        <v>0</v>
      </c>
      <c r="E716" s="2" t="b">
        <v>0</v>
      </c>
      <c r="F716" s="2" t="s">
        <v>31</v>
      </c>
      <c r="G716" s="2" t="s">
        <v>1585</v>
      </c>
      <c r="H716" s="2" t="s">
        <v>1586</v>
      </c>
      <c r="I716" s="2" t="s">
        <v>1587</v>
      </c>
      <c r="J716" s="2" t="s">
        <v>35</v>
      </c>
      <c r="K716" s="2" t="s">
        <v>35</v>
      </c>
      <c r="L716" s="2" t="s">
        <v>35</v>
      </c>
      <c r="M716" s="2" t="s">
        <v>35</v>
      </c>
      <c r="N716" s="3">
        <v>44747.470437349541</v>
      </c>
      <c r="O716" s="3">
        <v>44747.470839988426</v>
      </c>
      <c r="P716" s="2">
        <v>0</v>
      </c>
      <c r="Q716" s="2" t="s">
        <v>36</v>
      </c>
      <c r="R716" s="2" t="s">
        <v>38</v>
      </c>
      <c r="S716" s="2" t="s">
        <v>35</v>
      </c>
      <c r="T716" s="2" t="s">
        <v>35</v>
      </c>
      <c r="U716" s="2" t="s">
        <v>35</v>
      </c>
      <c r="V716" s="2" t="b">
        <v>0</v>
      </c>
      <c r="W716" s="2" t="s">
        <v>35</v>
      </c>
      <c r="X716" s="2" t="s">
        <v>35</v>
      </c>
      <c r="Y716" s="2">
        <v>7</v>
      </c>
      <c r="Z716" s="2" t="s">
        <v>35</v>
      </c>
    </row>
    <row r="717" spans="1:26" x14ac:dyDescent="0.2">
      <c r="A717" s="2" t="s">
        <v>1588</v>
      </c>
      <c r="B717" s="2" t="b">
        <v>0</v>
      </c>
      <c r="C717" s="2" t="b">
        <v>0</v>
      </c>
      <c r="D717" s="2" t="b">
        <v>0</v>
      </c>
      <c r="E717" s="2" t="b">
        <v>0</v>
      </c>
      <c r="F717" s="2" t="s">
        <v>31</v>
      </c>
      <c r="G717" s="2" t="s">
        <v>1589</v>
      </c>
      <c r="H717" s="2" t="s">
        <v>1590</v>
      </c>
      <c r="I717" s="2" t="s">
        <v>35</v>
      </c>
      <c r="J717" s="2" t="s">
        <v>35</v>
      </c>
      <c r="K717" s="2" t="s">
        <v>35</v>
      </c>
      <c r="L717" s="2">
        <v>5</v>
      </c>
      <c r="M717" s="2">
        <v>15</v>
      </c>
      <c r="N717" s="3">
        <v>44747.4751196875</v>
      </c>
      <c r="O717" s="3">
        <v>44747.475560833336</v>
      </c>
      <c r="P717" s="2">
        <v>0</v>
      </c>
      <c r="Q717" s="2" t="s">
        <v>54</v>
      </c>
      <c r="R717" s="2" t="s">
        <v>38</v>
      </c>
      <c r="S717" s="2" t="s">
        <v>35</v>
      </c>
      <c r="T717" s="2" t="s">
        <v>35</v>
      </c>
      <c r="U717" s="2" t="s">
        <v>35</v>
      </c>
      <c r="V717" s="2" t="b">
        <v>0</v>
      </c>
      <c r="W717" s="2" t="s">
        <v>35</v>
      </c>
      <c r="X717" s="2" t="s">
        <v>35</v>
      </c>
      <c r="Y717" s="2" t="s">
        <v>35</v>
      </c>
      <c r="Z717" s="2" t="s">
        <v>35</v>
      </c>
    </row>
    <row r="718" spans="1:26" x14ac:dyDescent="0.2">
      <c r="A718" s="2" t="s">
        <v>1591</v>
      </c>
      <c r="B718" s="2" t="b">
        <v>0</v>
      </c>
      <c r="C718" s="2" t="b">
        <v>0</v>
      </c>
      <c r="D718" s="2" t="b">
        <v>0</v>
      </c>
      <c r="E718" s="2" t="b">
        <v>0</v>
      </c>
      <c r="F718" s="2" t="s">
        <v>31</v>
      </c>
      <c r="G718" s="2" t="s">
        <v>1592</v>
      </c>
      <c r="H718" s="2" t="s">
        <v>1593</v>
      </c>
      <c r="I718" s="2" t="s">
        <v>1594</v>
      </c>
      <c r="J718" s="2" t="s">
        <v>35</v>
      </c>
      <c r="K718" s="2" t="s">
        <v>35</v>
      </c>
      <c r="L718" s="2" t="s">
        <v>35</v>
      </c>
      <c r="M718" s="2" t="s">
        <v>35</v>
      </c>
      <c r="N718" s="3">
        <v>44747.476083946756</v>
      </c>
      <c r="O718" s="3">
        <v>44747.476291423613</v>
      </c>
      <c r="P718" s="2">
        <v>0</v>
      </c>
      <c r="Q718" s="2" t="s">
        <v>36</v>
      </c>
      <c r="R718" s="2" t="s">
        <v>38</v>
      </c>
      <c r="S718" s="2" t="s">
        <v>35</v>
      </c>
      <c r="T718" s="2" t="s">
        <v>35</v>
      </c>
      <c r="U718" s="2" t="s">
        <v>35</v>
      </c>
      <c r="V718" s="2" t="b">
        <v>0</v>
      </c>
      <c r="W718" s="2" t="s">
        <v>35</v>
      </c>
      <c r="X718" s="2" t="s">
        <v>35</v>
      </c>
      <c r="Y718" s="2">
        <v>10</v>
      </c>
      <c r="Z718" s="2" t="s">
        <v>35</v>
      </c>
    </row>
    <row r="719" spans="1:26" x14ac:dyDescent="0.2">
      <c r="A719" s="2" t="s">
        <v>1595</v>
      </c>
      <c r="B719" s="2" t="b">
        <v>0</v>
      </c>
      <c r="C719" s="2" t="b">
        <v>0</v>
      </c>
      <c r="D719" s="2" t="b">
        <v>0</v>
      </c>
      <c r="E719" s="2" t="b">
        <v>0</v>
      </c>
      <c r="F719" s="2" t="s">
        <v>31</v>
      </c>
      <c r="G719" s="2" t="s">
        <v>1596</v>
      </c>
      <c r="H719" s="2" t="s">
        <v>1597</v>
      </c>
      <c r="I719" s="2" t="s">
        <v>1598</v>
      </c>
      <c r="J719" s="2" t="s">
        <v>35</v>
      </c>
      <c r="K719" s="2" t="s">
        <v>35</v>
      </c>
      <c r="L719" s="2" t="s">
        <v>35</v>
      </c>
      <c r="M719" s="2" t="s">
        <v>35</v>
      </c>
      <c r="N719" s="3">
        <v>44747.476850381943</v>
      </c>
      <c r="O719" s="3">
        <v>44747.477094733797</v>
      </c>
      <c r="P719" s="2">
        <v>0</v>
      </c>
      <c r="Q719" s="2" t="s">
        <v>36</v>
      </c>
      <c r="R719" s="2" t="s">
        <v>38</v>
      </c>
      <c r="S719" s="2" t="s">
        <v>35</v>
      </c>
      <c r="T719" s="2" t="s">
        <v>35</v>
      </c>
      <c r="U719" s="2" t="s">
        <v>35</v>
      </c>
      <c r="V719" s="2" t="b">
        <v>0</v>
      </c>
      <c r="W719" s="2" t="s">
        <v>35</v>
      </c>
      <c r="X719" s="2" t="s">
        <v>35</v>
      </c>
      <c r="Y719" s="2">
        <v>7</v>
      </c>
      <c r="Z719" s="2">
        <v>4</v>
      </c>
    </row>
    <row r="720" spans="1:26" x14ac:dyDescent="0.2">
      <c r="A720" s="2" t="s">
        <v>1599</v>
      </c>
      <c r="B720" s="2" t="b">
        <v>0</v>
      </c>
      <c r="C720" s="2" t="b">
        <v>0</v>
      </c>
      <c r="D720" s="2" t="b">
        <v>0</v>
      </c>
      <c r="E720" s="2" t="b">
        <v>0</v>
      </c>
      <c r="F720" s="2" t="s">
        <v>31</v>
      </c>
      <c r="G720" s="2" t="s">
        <v>1600</v>
      </c>
      <c r="H720" s="2" t="s">
        <v>1601</v>
      </c>
      <c r="I720" s="2" t="s">
        <v>35</v>
      </c>
      <c r="J720" s="2" t="s">
        <v>35</v>
      </c>
      <c r="K720" s="2" t="s">
        <v>35</v>
      </c>
      <c r="L720" s="2">
        <v>25</v>
      </c>
      <c r="M720" s="2">
        <v>16</v>
      </c>
      <c r="N720" s="3">
        <v>44747.477818541665</v>
      </c>
      <c r="O720" s="3">
        <v>44747.47805996528</v>
      </c>
      <c r="P720" s="2">
        <v>0</v>
      </c>
      <c r="Q720" s="2" t="s">
        <v>54</v>
      </c>
      <c r="R720" s="2" t="s">
        <v>38</v>
      </c>
      <c r="S720" s="2" t="s">
        <v>35</v>
      </c>
      <c r="T720" s="2" t="s">
        <v>35</v>
      </c>
      <c r="U720" s="2" t="s">
        <v>35</v>
      </c>
      <c r="V720" s="2" t="b">
        <v>0</v>
      </c>
      <c r="W720" s="2" t="s">
        <v>35</v>
      </c>
      <c r="X720" s="2" t="s">
        <v>35</v>
      </c>
      <c r="Y720" s="2" t="s">
        <v>35</v>
      </c>
      <c r="Z720" s="2" t="s">
        <v>35</v>
      </c>
    </row>
    <row r="721" spans="1:26" x14ac:dyDescent="0.2">
      <c r="A721" s="2" t="s">
        <v>1602</v>
      </c>
      <c r="B721" s="2" t="b">
        <v>0</v>
      </c>
      <c r="C721" s="2" t="b">
        <v>0</v>
      </c>
      <c r="D721" s="2" t="b">
        <v>0</v>
      </c>
      <c r="E721" s="2" t="b">
        <v>0</v>
      </c>
      <c r="F721" s="2" t="s">
        <v>31</v>
      </c>
      <c r="G721" s="2" t="s">
        <v>1603</v>
      </c>
      <c r="H721" s="2" t="s">
        <v>1604</v>
      </c>
      <c r="I721" s="2" t="s">
        <v>35</v>
      </c>
      <c r="J721" s="2" t="s">
        <v>35</v>
      </c>
      <c r="K721" s="2" t="s">
        <v>35</v>
      </c>
      <c r="L721" s="2">
        <v>19</v>
      </c>
      <c r="M721" s="2">
        <v>15</v>
      </c>
      <c r="N721" s="3">
        <v>44747.478108900461</v>
      </c>
      <c r="O721" s="3">
        <v>44747.478490185182</v>
      </c>
      <c r="P721" s="2">
        <v>0</v>
      </c>
      <c r="Q721" s="2" t="s">
        <v>54</v>
      </c>
      <c r="R721" s="2" t="s">
        <v>38</v>
      </c>
      <c r="S721" s="2" t="s">
        <v>35</v>
      </c>
      <c r="T721" s="2" t="s">
        <v>35</v>
      </c>
      <c r="U721" s="2" t="s">
        <v>35</v>
      </c>
      <c r="V721" s="2" t="b">
        <v>0</v>
      </c>
      <c r="W721" s="2" t="s">
        <v>35</v>
      </c>
      <c r="X721" s="2" t="s">
        <v>35</v>
      </c>
      <c r="Y721" s="2" t="s">
        <v>35</v>
      </c>
      <c r="Z721" s="2" t="s">
        <v>35</v>
      </c>
    </row>
    <row r="722" spans="1:26" x14ac:dyDescent="0.2">
      <c r="A722" s="2" t="s">
        <v>1605</v>
      </c>
      <c r="B722" s="2" t="b">
        <v>0</v>
      </c>
      <c r="C722" s="2" t="b">
        <v>0</v>
      </c>
      <c r="D722" s="2" t="b">
        <v>0</v>
      </c>
      <c r="E722" s="2" t="b">
        <v>0</v>
      </c>
      <c r="F722" s="2" t="s">
        <v>31</v>
      </c>
      <c r="G722" s="2" t="s">
        <v>1606</v>
      </c>
      <c r="H722" s="2" t="s">
        <v>1607</v>
      </c>
      <c r="I722" s="2" t="s">
        <v>35</v>
      </c>
      <c r="J722" s="2" t="s">
        <v>35</v>
      </c>
      <c r="K722" s="2">
        <v>9</v>
      </c>
      <c r="L722" s="2" t="s">
        <v>35</v>
      </c>
      <c r="M722" s="2" t="s">
        <v>35</v>
      </c>
      <c r="N722" s="3">
        <v>44747.479011006944</v>
      </c>
      <c r="O722" s="3">
        <v>44747.479247847223</v>
      </c>
      <c r="P722" s="2">
        <v>0</v>
      </c>
      <c r="Q722" s="2" t="s">
        <v>265</v>
      </c>
      <c r="R722" s="2" t="s">
        <v>38</v>
      </c>
      <c r="S722" s="2" t="s">
        <v>35</v>
      </c>
      <c r="T722" s="2" t="s">
        <v>35</v>
      </c>
      <c r="U722" s="2" t="s">
        <v>35</v>
      </c>
      <c r="V722" s="2" t="b">
        <v>0</v>
      </c>
      <c r="W722" s="2" t="s">
        <v>35</v>
      </c>
      <c r="X722" s="2" t="s">
        <v>35</v>
      </c>
      <c r="Y722" s="2" t="s">
        <v>35</v>
      </c>
      <c r="Z722" s="2" t="s">
        <v>35</v>
      </c>
    </row>
    <row r="723" spans="1:26" x14ac:dyDescent="0.2">
      <c r="A723" s="2" t="s">
        <v>1608</v>
      </c>
      <c r="B723" s="2" t="b">
        <v>0</v>
      </c>
      <c r="C723" s="2" t="b">
        <v>0</v>
      </c>
      <c r="D723" s="2" t="b">
        <v>0</v>
      </c>
      <c r="E723" s="2" t="b">
        <v>0</v>
      </c>
      <c r="F723" s="2" t="s">
        <v>31</v>
      </c>
      <c r="G723" s="2" t="s">
        <v>1609</v>
      </c>
      <c r="H723" s="2" t="s">
        <v>1610</v>
      </c>
      <c r="I723" s="2" t="s">
        <v>1587</v>
      </c>
      <c r="J723" s="2" t="s">
        <v>35</v>
      </c>
      <c r="K723" s="2" t="s">
        <v>35</v>
      </c>
      <c r="L723" s="2" t="s">
        <v>35</v>
      </c>
      <c r="M723" s="2" t="s">
        <v>35</v>
      </c>
      <c r="N723" s="3">
        <v>44747.47970152778</v>
      </c>
      <c r="O723" s="3">
        <v>44747.480001006945</v>
      </c>
      <c r="P723" s="2">
        <v>0</v>
      </c>
      <c r="Q723" s="2" t="s">
        <v>36</v>
      </c>
      <c r="R723" s="2" t="s">
        <v>38</v>
      </c>
      <c r="S723" s="2" t="s">
        <v>35</v>
      </c>
      <c r="T723" s="2" t="s">
        <v>35</v>
      </c>
      <c r="U723" s="2" t="s">
        <v>35</v>
      </c>
      <c r="V723" s="2" t="b">
        <v>0</v>
      </c>
      <c r="W723" s="2" t="s">
        <v>35</v>
      </c>
      <c r="X723" s="2" t="s">
        <v>35</v>
      </c>
      <c r="Y723" s="2">
        <v>6</v>
      </c>
      <c r="Z723" s="2" t="s">
        <v>35</v>
      </c>
    </row>
    <row r="724" spans="1:26" x14ac:dyDescent="0.2">
      <c r="A724" s="2" t="s">
        <v>1611</v>
      </c>
      <c r="B724" s="2" t="b">
        <v>0</v>
      </c>
      <c r="C724" s="2" t="b">
        <v>0</v>
      </c>
      <c r="D724" s="2" t="b">
        <v>0</v>
      </c>
      <c r="E724" s="2" t="b">
        <v>0</v>
      </c>
      <c r="F724" s="2" t="s">
        <v>31</v>
      </c>
      <c r="G724" s="2" t="s">
        <v>1612</v>
      </c>
      <c r="H724" s="2" t="s">
        <v>1613</v>
      </c>
      <c r="I724" s="2" t="s">
        <v>1614</v>
      </c>
      <c r="J724" s="2" t="s">
        <v>35</v>
      </c>
      <c r="K724" s="2" t="s">
        <v>35</v>
      </c>
      <c r="L724" s="2" t="s">
        <v>35</v>
      </c>
      <c r="M724" s="2" t="s">
        <v>35</v>
      </c>
      <c r="N724" s="3">
        <v>44747.482956041669</v>
      </c>
      <c r="O724" s="3">
        <v>44747.483618692131</v>
      </c>
      <c r="P724" s="2">
        <v>0</v>
      </c>
      <c r="Q724" s="2" t="s">
        <v>36</v>
      </c>
      <c r="R724" s="2" t="s">
        <v>38</v>
      </c>
      <c r="S724" s="2" t="s">
        <v>35</v>
      </c>
      <c r="T724" s="2" t="s">
        <v>35</v>
      </c>
      <c r="U724" s="2" t="s">
        <v>35</v>
      </c>
      <c r="V724" s="2" t="b">
        <v>0</v>
      </c>
      <c r="W724" s="2" t="s">
        <v>35</v>
      </c>
      <c r="X724" s="2" t="s">
        <v>35</v>
      </c>
      <c r="Y724" s="2">
        <v>7</v>
      </c>
      <c r="Z724" s="2" t="s">
        <v>35</v>
      </c>
    </row>
    <row r="725" spans="1:26" x14ac:dyDescent="0.2">
      <c r="A725" s="2" t="s">
        <v>1615</v>
      </c>
      <c r="B725" s="2" t="b">
        <v>0</v>
      </c>
      <c r="C725" s="2" t="b">
        <v>0</v>
      </c>
      <c r="D725" s="2" t="b">
        <v>0</v>
      </c>
      <c r="E725" s="2" t="b">
        <v>0</v>
      </c>
      <c r="F725" s="2" t="s">
        <v>31</v>
      </c>
      <c r="G725" s="2" t="s">
        <v>1616</v>
      </c>
      <c r="H725" s="2" t="s">
        <v>1617</v>
      </c>
      <c r="I725" s="2" t="s">
        <v>1614</v>
      </c>
      <c r="J725" s="2" t="s">
        <v>35</v>
      </c>
      <c r="K725" s="2" t="s">
        <v>35</v>
      </c>
      <c r="L725" s="2" t="s">
        <v>35</v>
      </c>
      <c r="M725" s="2" t="s">
        <v>35</v>
      </c>
      <c r="N725" s="3">
        <v>44747.484232708332</v>
      </c>
      <c r="O725" s="3">
        <v>44747.484611678243</v>
      </c>
      <c r="P725" s="2">
        <v>0</v>
      </c>
      <c r="Q725" s="2" t="s">
        <v>36</v>
      </c>
      <c r="R725" s="2" t="s">
        <v>38</v>
      </c>
      <c r="S725" s="2" t="s">
        <v>35</v>
      </c>
      <c r="T725" s="2" t="s">
        <v>35</v>
      </c>
      <c r="U725" s="2" t="s">
        <v>35</v>
      </c>
      <c r="V725" s="2" t="b">
        <v>0</v>
      </c>
      <c r="W725" s="2" t="s">
        <v>35</v>
      </c>
      <c r="X725" s="2" t="s">
        <v>35</v>
      </c>
      <c r="Y725" s="2">
        <v>5</v>
      </c>
      <c r="Z725" s="2" t="s">
        <v>35</v>
      </c>
    </row>
    <row r="726" spans="1:26" x14ac:dyDescent="0.2">
      <c r="A726" s="2" t="s">
        <v>1618</v>
      </c>
      <c r="B726" s="2" t="b">
        <v>0</v>
      </c>
      <c r="C726" s="2" t="b">
        <v>0</v>
      </c>
      <c r="D726" s="2" t="b">
        <v>0</v>
      </c>
      <c r="E726" s="2" t="b">
        <v>0</v>
      </c>
      <c r="F726" s="2" t="s">
        <v>31</v>
      </c>
      <c r="G726" s="2" t="s">
        <v>1619</v>
      </c>
      <c r="H726" s="2" t="s">
        <v>1620</v>
      </c>
      <c r="I726" s="2" t="s">
        <v>1614</v>
      </c>
      <c r="J726" s="2" t="s">
        <v>35</v>
      </c>
      <c r="K726" s="2" t="s">
        <v>35</v>
      </c>
      <c r="L726" s="2" t="s">
        <v>35</v>
      </c>
      <c r="M726" s="2" t="s">
        <v>35</v>
      </c>
      <c r="N726" s="3">
        <v>44747.485138483797</v>
      </c>
      <c r="O726" s="3">
        <v>44747.485324374997</v>
      </c>
      <c r="P726" s="2">
        <v>0</v>
      </c>
      <c r="Q726" s="2" t="s">
        <v>36</v>
      </c>
      <c r="R726" s="2" t="s">
        <v>38</v>
      </c>
      <c r="S726" s="2" t="s">
        <v>35</v>
      </c>
      <c r="T726" s="2" t="s">
        <v>35</v>
      </c>
      <c r="U726" s="2" t="s">
        <v>35</v>
      </c>
      <c r="V726" s="2" t="b">
        <v>0</v>
      </c>
      <c r="W726" s="2" t="s">
        <v>35</v>
      </c>
      <c r="X726" s="2" t="s">
        <v>35</v>
      </c>
      <c r="Y726" s="2">
        <v>5</v>
      </c>
      <c r="Z726" s="2" t="s">
        <v>35</v>
      </c>
    </row>
    <row r="727" spans="1:26" x14ac:dyDescent="0.2">
      <c r="A727" s="2" t="s">
        <v>1621</v>
      </c>
      <c r="B727" s="2" t="b">
        <v>0</v>
      </c>
      <c r="C727" s="2" t="b">
        <v>0</v>
      </c>
      <c r="D727" s="2" t="b">
        <v>0</v>
      </c>
      <c r="E727" s="2" t="b">
        <v>0</v>
      </c>
      <c r="F727" s="2" t="s">
        <v>31</v>
      </c>
      <c r="G727" s="2" t="s">
        <v>1622</v>
      </c>
      <c r="H727" s="2" t="s">
        <v>1623</v>
      </c>
      <c r="I727" s="2" t="s">
        <v>35</v>
      </c>
      <c r="J727" s="2" t="s">
        <v>35</v>
      </c>
      <c r="K727" s="2" t="s">
        <v>35</v>
      </c>
      <c r="L727" s="2" t="s">
        <v>35</v>
      </c>
      <c r="M727" s="2" t="s">
        <v>35</v>
      </c>
      <c r="N727" s="3">
        <v>44747.485829594909</v>
      </c>
      <c r="O727" s="3">
        <v>44747.485935879631</v>
      </c>
      <c r="P727" s="2">
        <v>0</v>
      </c>
      <c r="Q727" s="2" t="s">
        <v>36</v>
      </c>
      <c r="R727" s="2" t="s">
        <v>38</v>
      </c>
      <c r="S727" s="2" t="s">
        <v>35</v>
      </c>
      <c r="T727" s="2" t="s">
        <v>35</v>
      </c>
      <c r="U727" s="2" t="s">
        <v>35</v>
      </c>
      <c r="V727" s="2" t="b">
        <v>0</v>
      </c>
      <c r="W727" s="2" t="s">
        <v>35</v>
      </c>
      <c r="X727" s="2" t="s">
        <v>35</v>
      </c>
      <c r="Y727" s="2" t="s">
        <v>35</v>
      </c>
      <c r="Z727" s="2">
        <v>4</v>
      </c>
    </row>
    <row r="728" spans="1:26" x14ac:dyDescent="0.2">
      <c r="A728" s="2" t="s">
        <v>1624</v>
      </c>
      <c r="B728" s="2" t="b">
        <v>0</v>
      </c>
      <c r="C728" s="2" t="b">
        <v>0</v>
      </c>
      <c r="D728" s="2" t="b">
        <v>0</v>
      </c>
      <c r="E728" s="2" t="b">
        <v>0</v>
      </c>
      <c r="F728" s="2" t="s">
        <v>31</v>
      </c>
      <c r="G728" s="2" t="s">
        <v>1625</v>
      </c>
      <c r="H728" s="2" t="s">
        <v>1626</v>
      </c>
      <c r="I728" s="2" t="s">
        <v>1627</v>
      </c>
      <c r="J728" s="2" t="s">
        <v>35</v>
      </c>
      <c r="K728" s="2" t="s">
        <v>35</v>
      </c>
      <c r="L728" s="2">
        <v>2</v>
      </c>
      <c r="M728" s="2">
        <v>15</v>
      </c>
      <c r="N728" s="3">
        <v>44747.486218078702</v>
      </c>
      <c r="O728" s="3">
        <v>44747.4868221875</v>
      </c>
      <c r="P728" s="2">
        <v>0</v>
      </c>
      <c r="Q728" s="2" t="s">
        <v>54</v>
      </c>
      <c r="R728" s="2" t="s">
        <v>38</v>
      </c>
      <c r="S728" s="2" t="s">
        <v>35</v>
      </c>
      <c r="T728" s="2" t="s">
        <v>35</v>
      </c>
      <c r="U728" s="2" t="s">
        <v>35</v>
      </c>
      <c r="V728" s="2" t="b">
        <v>1</v>
      </c>
      <c r="W728" s="2" t="s">
        <v>35</v>
      </c>
      <c r="X728" s="2" t="s">
        <v>35</v>
      </c>
      <c r="Y728" s="2" t="s">
        <v>35</v>
      </c>
      <c r="Z728" s="2" t="s">
        <v>35</v>
      </c>
    </row>
    <row r="729" spans="1:26" x14ac:dyDescent="0.2">
      <c r="A729" s="2" t="s">
        <v>1628</v>
      </c>
      <c r="B729" s="2" t="b">
        <v>0</v>
      </c>
      <c r="C729" s="2" t="b">
        <v>0</v>
      </c>
      <c r="D729" s="2" t="b">
        <v>0</v>
      </c>
      <c r="E729" s="2" t="b">
        <v>0</v>
      </c>
      <c r="F729" s="2" t="s">
        <v>31</v>
      </c>
      <c r="G729" s="2" t="s">
        <v>1629</v>
      </c>
      <c r="H729" s="2" t="s">
        <v>1630</v>
      </c>
      <c r="I729" s="2" t="s">
        <v>1631</v>
      </c>
      <c r="J729" s="2" t="s">
        <v>35</v>
      </c>
      <c r="K729" s="2" t="s">
        <v>35</v>
      </c>
      <c r="L729" s="2" t="s">
        <v>35</v>
      </c>
      <c r="M729" s="2" t="s">
        <v>35</v>
      </c>
      <c r="N729" s="3">
        <v>44747.487491840278</v>
      </c>
      <c r="O729" s="3">
        <v>44747.487977986108</v>
      </c>
      <c r="P729" s="2">
        <v>0</v>
      </c>
      <c r="Q729" s="2" t="s">
        <v>36</v>
      </c>
      <c r="R729" s="2" t="s">
        <v>38</v>
      </c>
      <c r="S729" s="2" t="s">
        <v>35</v>
      </c>
      <c r="T729" s="2" t="s">
        <v>35</v>
      </c>
      <c r="U729" s="2" t="s">
        <v>35</v>
      </c>
      <c r="V729" s="2" t="b">
        <v>0</v>
      </c>
      <c r="W729" s="2" t="s">
        <v>35</v>
      </c>
      <c r="X729" s="2" t="s">
        <v>35</v>
      </c>
      <c r="Y729" s="2">
        <v>4</v>
      </c>
      <c r="Z729" s="2">
        <v>2</v>
      </c>
    </row>
    <row r="730" spans="1:26" x14ac:dyDescent="0.2">
      <c r="A730" s="2" t="s">
        <v>1632</v>
      </c>
      <c r="B730" s="2" t="b">
        <v>0</v>
      </c>
      <c r="C730" s="2" t="b">
        <v>0</v>
      </c>
      <c r="D730" s="2" t="b">
        <v>0</v>
      </c>
      <c r="E730" s="2" t="b">
        <v>0</v>
      </c>
      <c r="F730" s="2" t="s">
        <v>31</v>
      </c>
      <c r="G730" s="2" t="s">
        <v>1633</v>
      </c>
      <c r="H730" s="2" t="s">
        <v>1634</v>
      </c>
      <c r="I730" s="2" t="s">
        <v>1631</v>
      </c>
      <c r="J730" s="2" t="s">
        <v>35</v>
      </c>
      <c r="K730" s="2" t="s">
        <v>35</v>
      </c>
      <c r="L730" s="2" t="s">
        <v>35</v>
      </c>
      <c r="M730" s="2" t="s">
        <v>35</v>
      </c>
      <c r="N730" s="3">
        <v>44747.488799131941</v>
      </c>
      <c r="O730" s="3">
        <v>44747.489005833333</v>
      </c>
      <c r="P730" s="2">
        <v>0</v>
      </c>
      <c r="Q730" s="2" t="s">
        <v>36</v>
      </c>
      <c r="R730" s="2" t="s">
        <v>38</v>
      </c>
      <c r="S730" s="2" t="s">
        <v>35</v>
      </c>
      <c r="T730" s="2" t="s">
        <v>35</v>
      </c>
      <c r="U730" s="2" t="s">
        <v>35</v>
      </c>
      <c r="V730" s="2" t="b">
        <v>0</v>
      </c>
      <c r="W730" s="2" t="s">
        <v>35</v>
      </c>
      <c r="X730" s="2" t="s">
        <v>35</v>
      </c>
      <c r="Y730" s="2">
        <v>5</v>
      </c>
      <c r="Z730" s="2">
        <v>2</v>
      </c>
    </row>
    <row r="731" spans="1:26" x14ac:dyDescent="0.2">
      <c r="A731" s="2" t="s">
        <v>1635</v>
      </c>
      <c r="B731" s="2" t="b">
        <v>0</v>
      </c>
      <c r="C731" s="2" t="b">
        <v>0</v>
      </c>
      <c r="D731" s="2" t="b">
        <v>0</v>
      </c>
      <c r="E731" s="2" t="b">
        <v>0</v>
      </c>
      <c r="F731" s="2" t="s">
        <v>31</v>
      </c>
      <c r="G731" s="2" t="s">
        <v>1636</v>
      </c>
      <c r="H731" s="2" t="s">
        <v>1637</v>
      </c>
      <c r="I731" s="2" t="s">
        <v>1631</v>
      </c>
      <c r="J731" s="2" t="s">
        <v>35</v>
      </c>
      <c r="K731" s="2" t="s">
        <v>35</v>
      </c>
      <c r="L731" s="2" t="s">
        <v>35</v>
      </c>
      <c r="M731" s="2" t="s">
        <v>35</v>
      </c>
      <c r="N731" s="3">
        <v>44747.490100057868</v>
      </c>
      <c r="O731" s="3">
        <v>44747.490311574074</v>
      </c>
      <c r="P731" s="2">
        <v>0</v>
      </c>
      <c r="Q731" s="2" t="s">
        <v>36</v>
      </c>
      <c r="R731" s="2" t="s">
        <v>38</v>
      </c>
      <c r="S731" s="2" t="s">
        <v>35</v>
      </c>
      <c r="T731" s="2" t="s">
        <v>35</v>
      </c>
      <c r="U731" s="2" t="s">
        <v>35</v>
      </c>
      <c r="V731" s="2" t="b">
        <v>0</v>
      </c>
      <c r="W731" s="2" t="s">
        <v>35</v>
      </c>
      <c r="X731" s="2" t="s">
        <v>35</v>
      </c>
      <c r="Y731" s="2">
        <v>4</v>
      </c>
      <c r="Z731" s="2" t="s">
        <v>35</v>
      </c>
    </row>
    <row r="732" spans="1:26" x14ac:dyDescent="0.2">
      <c r="A732" s="2" t="s">
        <v>1638</v>
      </c>
      <c r="B732" s="2" t="b">
        <v>0</v>
      </c>
      <c r="C732" s="2" t="b">
        <v>0</v>
      </c>
      <c r="D732" s="2" t="b">
        <v>0</v>
      </c>
      <c r="E732" s="2" t="b">
        <v>0</v>
      </c>
      <c r="F732" s="2" t="s">
        <v>31</v>
      </c>
      <c r="G732" s="2" t="s">
        <v>1639</v>
      </c>
      <c r="H732" s="2" t="s">
        <v>1640</v>
      </c>
      <c r="I732" s="2" t="s">
        <v>1515</v>
      </c>
      <c r="J732" s="2" t="s">
        <v>35</v>
      </c>
      <c r="K732" s="2" t="s">
        <v>35</v>
      </c>
      <c r="L732" s="2" t="s">
        <v>35</v>
      </c>
      <c r="M732" s="2" t="s">
        <v>35</v>
      </c>
      <c r="N732" s="3">
        <v>44747.491263402779</v>
      </c>
      <c r="O732" s="3">
        <v>44747.491579733796</v>
      </c>
      <c r="P732" s="2">
        <v>0</v>
      </c>
      <c r="Q732" s="2" t="s">
        <v>36</v>
      </c>
      <c r="R732" s="2" t="s">
        <v>38</v>
      </c>
      <c r="S732" s="2" t="s">
        <v>35</v>
      </c>
      <c r="T732" s="2" t="s">
        <v>35</v>
      </c>
      <c r="U732" s="2" t="s">
        <v>35</v>
      </c>
      <c r="V732" s="2" t="b">
        <v>0</v>
      </c>
      <c r="W732" s="2" t="s">
        <v>35</v>
      </c>
      <c r="X732" s="2" t="s">
        <v>35</v>
      </c>
      <c r="Y732" s="2">
        <v>4</v>
      </c>
      <c r="Z732" s="2" t="s">
        <v>35</v>
      </c>
    </row>
    <row r="733" spans="1:26" x14ac:dyDescent="0.2">
      <c r="A733" s="2" t="s">
        <v>1641</v>
      </c>
      <c r="B733" s="2" t="b">
        <v>0</v>
      </c>
      <c r="C733" s="2" t="b">
        <v>0</v>
      </c>
      <c r="D733" s="2" t="b">
        <v>0</v>
      </c>
      <c r="E733" s="2" t="b">
        <v>0</v>
      </c>
      <c r="F733" s="2" t="s">
        <v>31</v>
      </c>
      <c r="G733" s="2" t="s">
        <v>1642</v>
      </c>
      <c r="H733" s="2" t="s">
        <v>1643</v>
      </c>
      <c r="I733" s="2" t="s">
        <v>1515</v>
      </c>
      <c r="J733" s="2" t="s">
        <v>35</v>
      </c>
      <c r="K733" s="2" t="s">
        <v>35</v>
      </c>
      <c r="L733" s="2" t="s">
        <v>35</v>
      </c>
      <c r="M733" s="2" t="s">
        <v>35</v>
      </c>
      <c r="N733" s="3">
        <v>44747.49239605324</v>
      </c>
      <c r="O733" s="3">
        <v>44747.492615844909</v>
      </c>
      <c r="P733" s="2">
        <v>0</v>
      </c>
      <c r="Q733" s="2" t="s">
        <v>36</v>
      </c>
      <c r="R733" s="2" t="s">
        <v>38</v>
      </c>
      <c r="S733" s="2" t="s">
        <v>35</v>
      </c>
      <c r="T733" s="2" t="s">
        <v>35</v>
      </c>
      <c r="U733" s="2" t="s">
        <v>35</v>
      </c>
      <c r="V733" s="2" t="b">
        <v>0</v>
      </c>
      <c r="W733" s="2" t="s">
        <v>35</v>
      </c>
      <c r="X733" s="2" t="s">
        <v>35</v>
      </c>
      <c r="Y733" s="2">
        <v>7</v>
      </c>
      <c r="Z733" s="2">
        <v>4</v>
      </c>
    </row>
    <row r="734" spans="1:26" x14ac:dyDescent="0.2">
      <c r="A734" s="2" t="s">
        <v>1644</v>
      </c>
      <c r="B734" s="2" t="b">
        <v>0</v>
      </c>
      <c r="C734" s="2" t="b">
        <v>0</v>
      </c>
      <c r="D734" s="2" t="b">
        <v>0</v>
      </c>
      <c r="E734" s="2" t="b">
        <v>0</v>
      </c>
      <c r="F734" s="2" t="s">
        <v>31</v>
      </c>
      <c r="G734" s="2" t="s">
        <v>1645</v>
      </c>
      <c r="H734" s="2" t="s">
        <v>1646</v>
      </c>
      <c r="I734" s="2" t="s">
        <v>1647</v>
      </c>
      <c r="J734" s="2" t="s">
        <v>35</v>
      </c>
      <c r="K734" s="2" t="s">
        <v>35</v>
      </c>
      <c r="L734" s="2" t="s">
        <v>35</v>
      </c>
      <c r="M734" s="2" t="s">
        <v>35</v>
      </c>
      <c r="N734" s="3">
        <v>44747.493568321763</v>
      </c>
      <c r="O734" s="3">
        <v>44747.494365706021</v>
      </c>
      <c r="P734" s="2">
        <v>0</v>
      </c>
      <c r="Q734" s="2" t="s">
        <v>36</v>
      </c>
      <c r="R734" s="2" t="s">
        <v>38</v>
      </c>
      <c r="S734" s="2" t="s">
        <v>35</v>
      </c>
      <c r="T734" s="2" t="s">
        <v>35</v>
      </c>
      <c r="U734" s="2" t="s">
        <v>35</v>
      </c>
      <c r="V734" s="2" t="b">
        <v>0</v>
      </c>
      <c r="W734" s="2" t="s">
        <v>35</v>
      </c>
      <c r="X734" s="2" t="s">
        <v>35</v>
      </c>
      <c r="Y734" s="2">
        <v>7</v>
      </c>
      <c r="Z734" s="2">
        <v>4</v>
      </c>
    </row>
    <row r="735" spans="1:26" x14ac:dyDescent="0.2">
      <c r="A735" s="2" t="s">
        <v>1648</v>
      </c>
      <c r="B735" s="2" t="b">
        <v>0</v>
      </c>
      <c r="C735" s="2" t="b">
        <v>0</v>
      </c>
      <c r="D735" s="2" t="b">
        <v>0</v>
      </c>
      <c r="E735" s="2" t="b">
        <v>0</v>
      </c>
      <c r="F735" s="2" t="s">
        <v>31</v>
      </c>
      <c r="G735" s="2" t="s">
        <v>1649</v>
      </c>
      <c r="H735" s="2" t="s">
        <v>1650</v>
      </c>
      <c r="I735" s="2" t="s">
        <v>1647</v>
      </c>
      <c r="J735" s="2" t="s">
        <v>35</v>
      </c>
      <c r="K735" s="2" t="s">
        <v>35</v>
      </c>
      <c r="L735" s="2" t="s">
        <v>35</v>
      </c>
      <c r="M735" s="2" t="s">
        <v>35</v>
      </c>
      <c r="N735" s="3">
        <v>44747.495219976852</v>
      </c>
      <c r="O735" s="3">
        <v>44747.495505844905</v>
      </c>
      <c r="P735" s="2">
        <v>0</v>
      </c>
      <c r="Q735" s="2" t="s">
        <v>36</v>
      </c>
      <c r="R735" s="2" t="s">
        <v>38</v>
      </c>
      <c r="S735" s="2" t="s">
        <v>35</v>
      </c>
      <c r="T735" s="2" t="s">
        <v>35</v>
      </c>
      <c r="U735" s="2" t="s">
        <v>35</v>
      </c>
      <c r="V735" s="2" t="b">
        <v>0</v>
      </c>
      <c r="W735" s="2" t="s">
        <v>35</v>
      </c>
      <c r="X735" s="2" t="s">
        <v>35</v>
      </c>
      <c r="Y735" s="2">
        <v>5</v>
      </c>
      <c r="Z735" s="2" t="s">
        <v>35</v>
      </c>
    </row>
    <row r="736" spans="1:26" x14ac:dyDescent="0.2">
      <c r="A736" s="2" t="s">
        <v>1651</v>
      </c>
      <c r="B736" s="2" t="b">
        <v>0</v>
      </c>
      <c r="C736" s="2" t="b">
        <v>0</v>
      </c>
      <c r="D736" s="2" t="b">
        <v>0</v>
      </c>
      <c r="E736" s="2" t="b">
        <v>0</v>
      </c>
      <c r="F736" s="2" t="s">
        <v>31</v>
      </c>
      <c r="G736" s="2" t="s">
        <v>1652</v>
      </c>
      <c r="H736" s="2" t="s">
        <v>1653</v>
      </c>
      <c r="I736" s="2" t="s">
        <v>1654</v>
      </c>
      <c r="J736" s="2" t="s">
        <v>35</v>
      </c>
      <c r="K736" s="2" t="s">
        <v>35</v>
      </c>
      <c r="L736" s="2" t="s">
        <v>35</v>
      </c>
      <c r="M736" s="2" t="s">
        <v>35</v>
      </c>
      <c r="N736" s="3">
        <v>44747.498322013889</v>
      </c>
      <c r="O736" s="3">
        <v>44747.498622430554</v>
      </c>
      <c r="P736" s="2">
        <v>0</v>
      </c>
      <c r="Q736" s="2" t="s">
        <v>36</v>
      </c>
      <c r="R736" s="2" t="s">
        <v>38</v>
      </c>
      <c r="S736" s="2" t="s">
        <v>35</v>
      </c>
      <c r="T736" s="2" t="s">
        <v>35</v>
      </c>
      <c r="U736" s="2" t="s">
        <v>35</v>
      </c>
      <c r="V736" s="2" t="b">
        <v>0</v>
      </c>
      <c r="W736" s="2" t="s">
        <v>35</v>
      </c>
      <c r="X736" s="2" t="s">
        <v>35</v>
      </c>
      <c r="Y736" s="2">
        <v>5</v>
      </c>
      <c r="Z736" s="2">
        <v>3</v>
      </c>
    </row>
    <row r="737" spans="1:26" x14ac:dyDescent="0.2">
      <c r="A737" s="2" t="s">
        <v>1655</v>
      </c>
      <c r="B737" s="2" t="b">
        <v>0</v>
      </c>
      <c r="C737" s="2" t="b">
        <v>0</v>
      </c>
      <c r="D737" s="2" t="b">
        <v>0</v>
      </c>
      <c r="E737" s="2" t="b">
        <v>0</v>
      </c>
      <c r="F737" s="2" t="s">
        <v>31</v>
      </c>
      <c r="G737" s="2" t="s">
        <v>1656</v>
      </c>
      <c r="H737" s="2" t="s">
        <v>1657</v>
      </c>
      <c r="I737" s="2" t="s">
        <v>1658</v>
      </c>
      <c r="J737" s="2" t="s">
        <v>35</v>
      </c>
      <c r="K737" s="2" t="s">
        <v>35</v>
      </c>
      <c r="L737" s="2">
        <v>3</v>
      </c>
      <c r="M737" s="2">
        <v>13</v>
      </c>
      <c r="N737" s="3">
        <v>44747.499291759261</v>
      </c>
      <c r="O737" s="3">
        <v>44747.499661909722</v>
      </c>
      <c r="P737" s="2">
        <v>0</v>
      </c>
      <c r="Q737" s="2" t="s">
        <v>54</v>
      </c>
      <c r="R737" s="2" t="s">
        <v>38</v>
      </c>
      <c r="S737" s="2" t="s">
        <v>35</v>
      </c>
      <c r="T737" s="2" t="s">
        <v>35</v>
      </c>
      <c r="U737" s="2" t="s">
        <v>35</v>
      </c>
      <c r="V737" s="2" t="b">
        <v>1</v>
      </c>
      <c r="W737" s="2" t="s">
        <v>35</v>
      </c>
      <c r="X737" s="2" t="s">
        <v>35</v>
      </c>
      <c r="Y737" s="2" t="s">
        <v>35</v>
      </c>
      <c r="Z737" s="2" t="s">
        <v>35</v>
      </c>
    </row>
    <row r="738" spans="1:26" x14ac:dyDescent="0.2">
      <c r="A738" s="2" t="s">
        <v>1659</v>
      </c>
      <c r="B738" s="2" t="b">
        <v>0</v>
      </c>
      <c r="C738" s="2" t="b">
        <v>0</v>
      </c>
      <c r="D738" s="2" t="b">
        <v>0</v>
      </c>
      <c r="E738" s="2" t="b">
        <v>0</v>
      </c>
      <c r="F738" s="2" t="s">
        <v>31</v>
      </c>
      <c r="G738" s="2" t="s">
        <v>1660</v>
      </c>
      <c r="H738" s="2" t="s">
        <v>1661</v>
      </c>
      <c r="I738" s="2" t="s">
        <v>35</v>
      </c>
      <c r="J738" s="2" t="s">
        <v>35</v>
      </c>
      <c r="K738" s="2" t="s">
        <v>35</v>
      </c>
      <c r="L738" s="2">
        <v>23</v>
      </c>
      <c r="M738" s="2">
        <v>15</v>
      </c>
      <c r="N738" s="3">
        <v>44747.500143819445</v>
      </c>
      <c r="O738" s="3">
        <v>44747.500591793978</v>
      </c>
      <c r="P738" s="2">
        <v>0</v>
      </c>
      <c r="Q738" s="2" t="s">
        <v>54</v>
      </c>
      <c r="R738" s="2" t="s">
        <v>38</v>
      </c>
      <c r="S738" s="2" t="s">
        <v>35</v>
      </c>
      <c r="T738" s="2" t="s">
        <v>35</v>
      </c>
      <c r="U738" s="2" t="s">
        <v>35</v>
      </c>
      <c r="V738" s="2" t="b">
        <v>0</v>
      </c>
      <c r="W738" s="2" t="s">
        <v>35</v>
      </c>
      <c r="X738" s="2" t="s">
        <v>35</v>
      </c>
      <c r="Y738" s="2" t="s">
        <v>35</v>
      </c>
      <c r="Z738" s="2" t="s">
        <v>35</v>
      </c>
    </row>
    <row r="739" spans="1:26" x14ac:dyDescent="0.2">
      <c r="A739" s="2" t="s">
        <v>1662</v>
      </c>
      <c r="B739" s="2" t="b">
        <v>0</v>
      </c>
      <c r="C739" s="2" t="b">
        <v>0</v>
      </c>
      <c r="D739" s="2" t="b">
        <v>0</v>
      </c>
      <c r="E739" s="2" t="b">
        <v>0</v>
      </c>
      <c r="F739" s="2" t="s">
        <v>31</v>
      </c>
      <c r="G739" s="2" t="s">
        <v>1663</v>
      </c>
      <c r="H739" s="2" t="s">
        <v>1664</v>
      </c>
      <c r="I739" s="2" t="s">
        <v>35</v>
      </c>
      <c r="J739" s="2" t="s">
        <v>35</v>
      </c>
      <c r="K739" s="2" t="s">
        <v>35</v>
      </c>
      <c r="L739" s="2">
        <v>2</v>
      </c>
      <c r="M739" s="2">
        <v>15</v>
      </c>
      <c r="N739" s="3">
        <v>44747.500716828705</v>
      </c>
      <c r="O739" s="3">
        <v>44747.500906469904</v>
      </c>
      <c r="P739" s="2">
        <v>0</v>
      </c>
      <c r="Q739" s="2" t="s">
        <v>54</v>
      </c>
      <c r="R739" s="2" t="s">
        <v>38</v>
      </c>
      <c r="S739" s="2" t="s">
        <v>35</v>
      </c>
      <c r="T739" s="2" t="s">
        <v>35</v>
      </c>
      <c r="U739" s="2" t="s">
        <v>35</v>
      </c>
      <c r="V739" s="2" t="b">
        <v>0</v>
      </c>
      <c r="W739" s="2" t="s">
        <v>35</v>
      </c>
      <c r="X739" s="2" t="s">
        <v>35</v>
      </c>
      <c r="Y739" s="2" t="s">
        <v>35</v>
      </c>
      <c r="Z739" s="2" t="s">
        <v>35</v>
      </c>
    </row>
    <row r="740" spans="1:26" x14ac:dyDescent="0.2">
      <c r="A740" s="2" t="s">
        <v>1665</v>
      </c>
      <c r="B740" s="2" t="b">
        <v>0</v>
      </c>
      <c r="C740" s="2" t="b">
        <v>0</v>
      </c>
      <c r="D740" s="2" t="b">
        <v>0</v>
      </c>
      <c r="E740" s="2" t="b">
        <v>0</v>
      </c>
      <c r="F740" s="2" t="s">
        <v>31</v>
      </c>
      <c r="G740" s="2" t="s">
        <v>1666</v>
      </c>
      <c r="H740" s="2" t="s">
        <v>1667</v>
      </c>
      <c r="I740" s="2" t="s">
        <v>1668</v>
      </c>
      <c r="J740" s="2" t="s">
        <v>35</v>
      </c>
      <c r="K740" s="2" t="s">
        <v>35</v>
      </c>
      <c r="L740" s="2" t="s">
        <v>35</v>
      </c>
      <c r="M740" s="2" t="s">
        <v>35</v>
      </c>
      <c r="N740" s="3">
        <v>44747.501525416665</v>
      </c>
      <c r="O740" s="3">
        <v>44747.501783310188</v>
      </c>
      <c r="P740" s="2">
        <v>0</v>
      </c>
      <c r="Q740" s="2" t="s">
        <v>36</v>
      </c>
      <c r="R740" s="2" t="s">
        <v>38</v>
      </c>
      <c r="S740" s="2" t="s">
        <v>35</v>
      </c>
      <c r="T740" s="2" t="s">
        <v>35</v>
      </c>
      <c r="U740" s="2" t="s">
        <v>35</v>
      </c>
      <c r="V740" s="2" t="b">
        <v>0</v>
      </c>
      <c r="W740" s="2" t="s">
        <v>35</v>
      </c>
      <c r="X740" s="2" t="s">
        <v>35</v>
      </c>
      <c r="Y740" s="2">
        <v>11</v>
      </c>
      <c r="Z740" s="2" t="s">
        <v>35</v>
      </c>
    </row>
    <row r="741" spans="1:26" x14ac:dyDescent="0.2">
      <c r="A741" s="2" t="s">
        <v>1669</v>
      </c>
      <c r="B741" s="2" t="b">
        <v>0</v>
      </c>
      <c r="C741" s="2" t="b">
        <v>0</v>
      </c>
      <c r="D741" s="2" t="b">
        <v>0</v>
      </c>
      <c r="E741" s="2" t="b">
        <v>0</v>
      </c>
      <c r="F741" s="2" t="s">
        <v>31</v>
      </c>
      <c r="G741" s="2" t="s">
        <v>1670</v>
      </c>
      <c r="H741" s="2" t="s">
        <v>1671</v>
      </c>
      <c r="I741" s="2" t="s">
        <v>35</v>
      </c>
      <c r="J741" s="2" t="s">
        <v>35</v>
      </c>
      <c r="K741" s="2">
        <v>7</v>
      </c>
      <c r="L741" s="2" t="s">
        <v>35</v>
      </c>
      <c r="M741" s="2" t="s">
        <v>35</v>
      </c>
      <c r="N741" s="3">
        <v>44747.502715833332</v>
      </c>
      <c r="O741" s="3">
        <v>44747.503007187501</v>
      </c>
      <c r="P741" s="2">
        <v>0</v>
      </c>
      <c r="Q741" s="2" t="s">
        <v>265</v>
      </c>
      <c r="R741" s="2" t="s">
        <v>38</v>
      </c>
      <c r="S741" s="2" t="s">
        <v>35</v>
      </c>
      <c r="T741" s="2" t="s">
        <v>35</v>
      </c>
      <c r="U741" s="2" t="s">
        <v>35</v>
      </c>
      <c r="V741" s="2" t="b">
        <v>0</v>
      </c>
      <c r="W741" s="2" t="s">
        <v>35</v>
      </c>
      <c r="X741" s="2" t="s">
        <v>35</v>
      </c>
      <c r="Y741" s="2" t="s">
        <v>35</v>
      </c>
      <c r="Z741" s="2" t="s">
        <v>35</v>
      </c>
    </row>
    <row r="742" spans="1:26" x14ac:dyDescent="0.2">
      <c r="A742" s="2" t="s">
        <v>1672</v>
      </c>
      <c r="B742" s="2" t="b">
        <v>0</v>
      </c>
      <c r="C742" s="2" t="b">
        <v>0</v>
      </c>
      <c r="D742" s="2" t="b">
        <v>0</v>
      </c>
      <c r="E742" s="2" t="b">
        <v>0</v>
      </c>
      <c r="F742" s="2" t="s">
        <v>31</v>
      </c>
      <c r="G742" s="2" t="s">
        <v>1673</v>
      </c>
      <c r="H742" s="2" t="s">
        <v>1674</v>
      </c>
      <c r="I742" s="2" t="s">
        <v>35</v>
      </c>
      <c r="J742" s="2" t="s">
        <v>35</v>
      </c>
      <c r="K742" s="2">
        <v>5</v>
      </c>
      <c r="L742" s="2" t="s">
        <v>35</v>
      </c>
      <c r="M742" s="2" t="s">
        <v>35</v>
      </c>
      <c r="N742" s="3">
        <v>44747.503137662039</v>
      </c>
      <c r="O742" s="3">
        <v>44747.503344606484</v>
      </c>
      <c r="P742" s="2">
        <v>0</v>
      </c>
      <c r="Q742" s="2" t="s">
        <v>265</v>
      </c>
      <c r="R742" s="2" t="s">
        <v>38</v>
      </c>
      <c r="S742" s="2" t="s">
        <v>35</v>
      </c>
      <c r="T742" s="2" t="s">
        <v>35</v>
      </c>
      <c r="U742" s="2" t="s">
        <v>35</v>
      </c>
      <c r="V742" s="2" t="b">
        <v>0</v>
      </c>
      <c r="W742" s="2" t="s">
        <v>35</v>
      </c>
      <c r="X742" s="2" t="s">
        <v>35</v>
      </c>
      <c r="Y742" s="2" t="s">
        <v>35</v>
      </c>
      <c r="Z742" s="2" t="s">
        <v>35</v>
      </c>
    </row>
    <row r="743" spans="1:26" x14ac:dyDescent="0.2">
      <c r="A743" s="2" t="s">
        <v>1675</v>
      </c>
      <c r="B743" s="2" t="b">
        <v>0</v>
      </c>
      <c r="C743" s="2" t="b">
        <v>0</v>
      </c>
      <c r="D743" s="2" t="b">
        <v>0</v>
      </c>
      <c r="E743" s="2" t="b">
        <v>0</v>
      </c>
      <c r="F743" s="2" t="s">
        <v>31</v>
      </c>
      <c r="G743" s="2" t="s">
        <v>149</v>
      </c>
      <c r="H743" s="2" t="s">
        <v>1676</v>
      </c>
      <c r="I743" s="2" t="s">
        <v>1654</v>
      </c>
      <c r="J743" s="2" t="s">
        <v>35</v>
      </c>
      <c r="K743" s="2" t="s">
        <v>35</v>
      </c>
      <c r="L743" s="2" t="s">
        <v>35</v>
      </c>
      <c r="M743" s="2" t="s">
        <v>35</v>
      </c>
      <c r="N743" s="3">
        <v>44747.504125046296</v>
      </c>
      <c r="O743" s="3">
        <v>44747.504345972222</v>
      </c>
      <c r="P743" s="2">
        <v>0</v>
      </c>
      <c r="Q743" s="2" t="s">
        <v>36</v>
      </c>
      <c r="R743" s="2" t="s">
        <v>38</v>
      </c>
      <c r="S743" s="2" t="s">
        <v>35</v>
      </c>
      <c r="T743" s="2" t="s">
        <v>35</v>
      </c>
      <c r="U743" s="2" t="s">
        <v>35</v>
      </c>
      <c r="V743" s="2" t="b">
        <v>0</v>
      </c>
      <c r="W743" s="2" t="s">
        <v>35</v>
      </c>
      <c r="X743" s="2" t="s">
        <v>35</v>
      </c>
      <c r="Y743" s="2">
        <v>8</v>
      </c>
      <c r="Z743" s="2">
        <v>3</v>
      </c>
    </row>
    <row r="744" spans="1:26" x14ac:dyDescent="0.2">
      <c r="A744" s="2" t="s">
        <v>1677</v>
      </c>
      <c r="B744" s="2" t="b">
        <v>0</v>
      </c>
      <c r="C744" s="2" t="b">
        <v>0</v>
      </c>
      <c r="D744" s="2" t="b">
        <v>0</v>
      </c>
      <c r="E744" s="2" t="b">
        <v>0</v>
      </c>
      <c r="F744" s="2" t="s">
        <v>31</v>
      </c>
      <c r="G744" s="2" t="s">
        <v>1678</v>
      </c>
      <c r="H744" s="2" t="s">
        <v>1679</v>
      </c>
      <c r="I744" s="2" t="s">
        <v>1680</v>
      </c>
      <c r="J744" s="2" t="s">
        <v>35</v>
      </c>
      <c r="K744" s="2" t="s">
        <v>35</v>
      </c>
      <c r="L744" s="2" t="s">
        <v>35</v>
      </c>
      <c r="M744" s="2" t="s">
        <v>35</v>
      </c>
      <c r="N744" s="3">
        <v>44747.504584386574</v>
      </c>
      <c r="O744" s="3">
        <v>44747.505115347223</v>
      </c>
      <c r="P744" s="2">
        <v>0</v>
      </c>
      <c r="Q744" s="2" t="s">
        <v>416</v>
      </c>
      <c r="R744" s="2" t="s">
        <v>38</v>
      </c>
      <c r="S744" s="2" t="s">
        <v>35</v>
      </c>
      <c r="T744" s="2">
        <v>0</v>
      </c>
      <c r="U744" s="2" t="s">
        <v>1440</v>
      </c>
      <c r="V744" s="2" t="b">
        <v>0</v>
      </c>
      <c r="W744" s="2" t="s">
        <v>35</v>
      </c>
      <c r="X744" s="2" t="s">
        <v>35</v>
      </c>
      <c r="Y744" s="2" t="s">
        <v>35</v>
      </c>
      <c r="Z744" s="2" t="s">
        <v>35</v>
      </c>
    </row>
    <row r="745" spans="1:26" x14ac:dyDescent="0.2">
      <c r="A745" s="2" t="s">
        <v>1681</v>
      </c>
      <c r="B745" s="2" t="b">
        <v>0</v>
      </c>
      <c r="C745" s="2" t="b">
        <v>0</v>
      </c>
      <c r="D745" s="2" t="b">
        <v>0</v>
      </c>
      <c r="E745" s="2" t="b">
        <v>0</v>
      </c>
      <c r="F745" s="2" t="s">
        <v>31</v>
      </c>
      <c r="G745" s="2" t="s">
        <v>1682</v>
      </c>
      <c r="H745" s="2" t="s">
        <v>1683</v>
      </c>
      <c r="I745" s="2" t="s">
        <v>1594</v>
      </c>
      <c r="J745" s="2" t="s">
        <v>35</v>
      </c>
      <c r="K745" s="2" t="s">
        <v>35</v>
      </c>
      <c r="L745" s="2" t="s">
        <v>35</v>
      </c>
      <c r="M745" s="2" t="s">
        <v>35</v>
      </c>
      <c r="N745" s="3">
        <v>44747.505834814816</v>
      </c>
      <c r="O745" s="3">
        <v>44747.506048495372</v>
      </c>
      <c r="P745" s="2">
        <v>0</v>
      </c>
      <c r="Q745" s="2" t="s">
        <v>36</v>
      </c>
      <c r="R745" s="2" t="s">
        <v>38</v>
      </c>
      <c r="S745" s="2" t="s">
        <v>35</v>
      </c>
      <c r="T745" s="2" t="s">
        <v>35</v>
      </c>
      <c r="U745" s="2" t="s">
        <v>35</v>
      </c>
      <c r="V745" s="2" t="b">
        <v>0</v>
      </c>
      <c r="W745" s="2" t="s">
        <v>35</v>
      </c>
      <c r="X745" s="2" t="s">
        <v>35</v>
      </c>
      <c r="Y745" s="2">
        <v>9</v>
      </c>
      <c r="Z745" s="2" t="s">
        <v>35</v>
      </c>
    </row>
    <row r="746" spans="1:26" x14ac:dyDescent="0.2">
      <c r="A746" s="2" t="s">
        <v>1684</v>
      </c>
      <c r="B746" s="2" t="b">
        <v>0</v>
      </c>
      <c r="C746" s="2" t="b">
        <v>0</v>
      </c>
      <c r="D746" s="2" t="b">
        <v>0</v>
      </c>
      <c r="E746" s="2" t="b">
        <v>0</v>
      </c>
      <c r="F746" s="2" t="s">
        <v>31</v>
      </c>
      <c r="G746" s="2" t="s">
        <v>1685</v>
      </c>
      <c r="H746" s="2" t="s">
        <v>1686</v>
      </c>
      <c r="I746" s="2" t="s">
        <v>35</v>
      </c>
      <c r="J746" s="2" t="s">
        <v>35</v>
      </c>
      <c r="K746" s="2" t="s">
        <v>35</v>
      </c>
      <c r="L746" s="2">
        <v>2</v>
      </c>
      <c r="M746" s="2">
        <v>15</v>
      </c>
      <c r="N746" s="3">
        <v>44747.50688724537</v>
      </c>
      <c r="O746" s="3">
        <v>44747.50722939815</v>
      </c>
      <c r="P746" s="2">
        <v>0</v>
      </c>
      <c r="Q746" s="2" t="s">
        <v>54</v>
      </c>
      <c r="R746" s="2" t="s">
        <v>38</v>
      </c>
      <c r="S746" s="2" t="s">
        <v>35</v>
      </c>
      <c r="T746" s="2" t="s">
        <v>35</v>
      </c>
      <c r="U746" s="2" t="s">
        <v>35</v>
      </c>
      <c r="V746" s="2" t="b">
        <v>0</v>
      </c>
      <c r="W746" s="2" t="s">
        <v>35</v>
      </c>
      <c r="X746" s="2" t="s">
        <v>35</v>
      </c>
      <c r="Y746" s="2" t="s">
        <v>35</v>
      </c>
      <c r="Z746" s="2" t="s">
        <v>35</v>
      </c>
    </row>
    <row r="747" spans="1:26" x14ac:dyDescent="0.2">
      <c r="A747" s="2" t="s">
        <v>1687</v>
      </c>
      <c r="B747" s="2" t="b">
        <v>0</v>
      </c>
      <c r="C747" s="2" t="b">
        <v>0</v>
      </c>
      <c r="D747" s="2" t="b">
        <v>0</v>
      </c>
      <c r="E747" s="2" t="b">
        <v>0</v>
      </c>
      <c r="F747" s="2" t="s">
        <v>31</v>
      </c>
      <c r="G747" s="2" t="s">
        <v>149</v>
      </c>
      <c r="H747" s="2" t="s">
        <v>1688</v>
      </c>
      <c r="I747" s="2" t="s">
        <v>35</v>
      </c>
      <c r="J747" s="2" t="s">
        <v>35</v>
      </c>
      <c r="K747" s="2" t="s">
        <v>35</v>
      </c>
      <c r="L747" s="2">
        <v>45</v>
      </c>
      <c r="M747" s="2">
        <v>15</v>
      </c>
      <c r="N747" s="3">
        <v>44747.507742164351</v>
      </c>
      <c r="O747" s="3">
        <v>44747.508008969904</v>
      </c>
      <c r="P747" s="2">
        <v>0</v>
      </c>
      <c r="Q747" s="2" t="s">
        <v>54</v>
      </c>
      <c r="R747" s="2" t="s">
        <v>38</v>
      </c>
      <c r="S747" s="2" t="s">
        <v>35</v>
      </c>
      <c r="T747" s="2" t="s">
        <v>35</v>
      </c>
      <c r="U747" s="2" t="s">
        <v>35</v>
      </c>
      <c r="V747" s="2" t="b">
        <v>0</v>
      </c>
      <c r="W747" s="2" t="s">
        <v>35</v>
      </c>
      <c r="X747" s="2" t="s">
        <v>35</v>
      </c>
      <c r="Y747" s="2" t="s">
        <v>35</v>
      </c>
      <c r="Z747" s="2" t="s">
        <v>35</v>
      </c>
    </row>
    <row r="748" spans="1:26" x14ac:dyDescent="0.2">
      <c r="A748" s="2" t="s">
        <v>1689</v>
      </c>
      <c r="B748" s="2" t="b">
        <v>0</v>
      </c>
      <c r="C748" s="2" t="b">
        <v>0</v>
      </c>
      <c r="D748" s="2" t="b">
        <v>0</v>
      </c>
      <c r="E748" s="2" t="b">
        <v>0</v>
      </c>
      <c r="F748" s="2" t="s">
        <v>31</v>
      </c>
      <c r="G748" s="2" t="s">
        <v>1690</v>
      </c>
      <c r="H748" s="2" t="s">
        <v>1691</v>
      </c>
      <c r="I748" s="2" t="s">
        <v>35</v>
      </c>
      <c r="J748" s="2" t="s">
        <v>35</v>
      </c>
      <c r="K748" s="2" t="s">
        <v>35</v>
      </c>
      <c r="L748" s="2">
        <v>20</v>
      </c>
      <c r="M748" s="2">
        <v>15</v>
      </c>
      <c r="N748" s="3">
        <v>44747.508656701386</v>
      </c>
      <c r="O748" s="3">
        <v>44747.509025740743</v>
      </c>
      <c r="P748" s="2">
        <v>0</v>
      </c>
      <c r="Q748" s="2" t="s">
        <v>54</v>
      </c>
      <c r="R748" s="2" t="s">
        <v>38</v>
      </c>
      <c r="S748" s="2" t="s">
        <v>35</v>
      </c>
      <c r="T748" s="2" t="s">
        <v>35</v>
      </c>
      <c r="U748" s="2" t="s">
        <v>35</v>
      </c>
      <c r="V748" s="2" t="b">
        <v>0</v>
      </c>
      <c r="W748" s="2" t="s">
        <v>35</v>
      </c>
      <c r="X748" s="2" t="s">
        <v>35</v>
      </c>
      <c r="Y748" s="2" t="s">
        <v>35</v>
      </c>
      <c r="Z748" s="2" t="s">
        <v>35</v>
      </c>
    </row>
    <row r="749" spans="1:26" x14ac:dyDescent="0.2">
      <c r="A749" s="2" t="s">
        <v>1692</v>
      </c>
      <c r="B749" s="2" t="b">
        <v>0</v>
      </c>
      <c r="C749" s="2" t="b">
        <v>0</v>
      </c>
      <c r="D749" s="2" t="b">
        <v>0</v>
      </c>
      <c r="E749" s="2" t="b">
        <v>0</v>
      </c>
      <c r="F749" s="2" t="s">
        <v>31</v>
      </c>
      <c r="G749" s="2" t="s">
        <v>1693</v>
      </c>
      <c r="H749" s="2" t="s">
        <v>1694</v>
      </c>
      <c r="I749" s="2" t="s">
        <v>1594</v>
      </c>
      <c r="J749" s="2" t="s">
        <v>35</v>
      </c>
      <c r="K749" s="2" t="s">
        <v>35</v>
      </c>
      <c r="L749" s="2" t="s">
        <v>35</v>
      </c>
      <c r="M749" s="2" t="s">
        <v>35</v>
      </c>
      <c r="N749" s="3">
        <v>44747.50967107639</v>
      </c>
      <c r="O749" s="3">
        <v>44747.510113923614</v>
      </c>
      <c r="P749" s="2">
        <v>0</v>
      </c>
      <c r="Q749" s="2" t="s">
        <v>36</v>
      </c>
      <c r="R749" s="2" t="s">
        <v>38</v>
      </c>
      <c r="S749" s="2" t="s">
        <v>35</v>
      </c>
      <c r="T749" s="2" t="s">
        <v>35</v>
      </c>
      <c r="U749" s="2" t="s">
        <v>35</v>
      </c>
      <c r="V749" s="2" t="b">
        <v>0</v>
      </c>
      <c r="W749" s="2" t="s">
        <v>35</v>
      </c>
      <c r="X749" s="2" t="s">
        <v>35</v>
      </c>
      <c r="Y749" s="2">
        <v>7</v>
      </c>
      <c r="Z749" s="2" t="s">
        <v>35</v>
      </c>
    </row>
    <row r="750" spans="1:26" x14ac:dyDescent="0.2">
      <c r="A750" s="2" t="s">
        <v>1695</v>
      </c>
      <c r="B750" s="2" t="b">
        <v>0</v>
      </c>
      <c r="C750" s="2" t="b">
        <v>0</v>
      </c>
      <c r="D750" s="2" t="b">
        <v>0</v>
      </c>
      <c r="E750" s="2" t="b">
        <v>0</v>
      </c>
      <c r="F750" s="2" t="s">
        <v>31</v>
      </c>
      <c r="G750" s="2" t="s">
        <v>1696</v>
      </c>
      <c r="H750" s="2" t="s">
        <v>1697</v>
      </c>
      <c r="I750" s="2" t="s">
        <v>35</v>
      </c>
      <c r="J750" s="2" t="s">
        <v>35</v>
      </c>
      <c r="K750" s="2" t="s">
        <v>35</v>
      </c>
      <c r="L750" s="2">
        <v>33</v>
      </c>
      <c r="M750" s="2">
        <v>15</v>
      </c>
      <c r="N750" s="3">
        <v>44747.511014502314</v>
      </c>
      <c r="O750" s="3">
        <v>44747.511513020836</v>
      </c>
      <c r="P750" s="2">
        <v>0</v>
      </c>
      <c r="Q750" s="2" t="s">
        <v>54</v>
      </c>
      <c r="R750" s="2" t="s">
        <v>38</v>
      </c>
      <c r="S750" s="2" t="s">
        <v>35</v>
      </c>
      <c r="T750" s="2" t="s">
        <v>35</v>
      </c>
      <c r="U750" s="2" t="s">
        <v>35</v>
      </c>
      <c r="V750" s="2" t="b">
        <v>0</v>
      </c>
      <c r="W750" s="2" t="s">
        <v>35</v>
      </c>
      <c r="X750" s="2" t="s">
        <v>35</v>
      </c>
      <c r="Y750" s="2" t="s">
        <v>35</v>
      </c>
      <c r="Z750" s="2" t="s">
        <v>35</v>
      </c>
    </row>
    <row r="751" spans="1:26" x14ac:dyDescent="0.2">
      <c r="A751" s="2" t="s">
        <v>1698</v>
      </c>
      <c r="B751" s="2" t="b">
        <v>0</v>
      </c>
      <c r="C751" s="2" t="b">
        <v>0</v>
      </c>
      <c r="D751" s="2" t="b">
        <v>0</v>
      </c>
      <c r="E751" s="2" t="b">
        <v>0</v>
      </c>
      <c r="F751" s="2" t="s">
        <v>31</v>
      </c>
      <c r="G751" s="2" t="s">
        <v>1699</v>
      </c>
      <c r="H751" s="2" t="s">
        <v>1700</v>
      </c>
      <c r="I751" s="2" t="s">
        <v>1701</v>
      </c>
      <c r="J751" s="2" t="s">
        <v>35</v>
      </c>
      <c r="K751" s="2" t="s">
        <v>35</v>
      </c>
      <c r="L751" s="2" t="s">
        <v>35</v>
      </c>
      <c r="M751" s="2" t="s">
        <v>35</v>
      </c>
      <c r="N751" s="3">
        <v>44747.511779976849</v>
      </c>
      <c r="O751" s="3">
        <v>44747.512042002316</v>
      </c>
      <c r="P751" s="2">
        <v>0</v>
      </c>
      <c r="Q751" s="2" t="s">
        <v>54</v>
      </c>
      <c r="R751" s="2" t="s">
        <v>38</v>
      </c>
      <c r="S751" s="2" t="s">
        <v>35</v>
      </c>
      <c r="T751" s="2" t="s">
        <v>35</v>
      </c>
      <c r="U751" s="2" t="s">
        <v>35</v>
      </c>
      <c r="V751" s="2" t="b">
        <v>0</v>
      </c>
      <c r="W751" s="2" t="s">
        <v>35</v>
      </c>
      <c r="X751" s="2" t="s">
        <v>35</v>
      </c>
      <c r="Y751" s="2" t="s">
        <v>35</v>
      </c>
      <c r="Z751" s="2" t="s">
        <v>35</v>
      </c>
    </row>
    <row r="752" spans="1:26" x14ac:dyDescent="0.2">
      <c r="A752" s="2" t="s">
        <v>1702</v>
      </c>
      <c r="B752" s="2" t="b">
        <v>0</v>
      </c>
      <c r="C752" s="2" t="b">
        <v>0</v>
      </c>
      <c r="D752" s="2" t="b">
        <v>0</v>
      </c>
      <c r="E752" s="2" t="b">
        <v>0</v>
      </c>
      <c r="F752" s="2" t="s">
        <v>31</v>
      </c>
      <c r="G752" s="2" t="s">
        <v>1703</v>
      </c>
      <c r="H752" s="2" t="s">
        <v>1704</v>
      </c>
      <c r="I752" s="2" t="s">
        <v>35</v>
      </c>
      <c r="J752" s="2" t="s">
        <v>35</v>
      </c>
      <c r="K752" s="2" t="s">
        <v>35</v>
      </c>
      <c r="L752" s="2">
        <v>35</v>
      </c>
      <c r="M752" s="2">
        <v>15</v>
      </c>
      <c r="N752" s="3">
        <v>44747.512185960652</v>
      </c>
      <c r="O752" s="3">
        <v>44747.51273519676</v>
      </c>
      <c r="P752" s="2">
        <v>0</v>
      </c>
      <c r="Q752" s="2" t="s">
        <v>54</v>
      </c>
      <c r="R752" s="2" t="s">
        <v>38</v>
      </c>
      <c r="S752" s="2" t="s">
        <v>35</v>
      </c>
      <c r="T752" s="2" t="s">
        <v>35</v>
      </c>
      <c r="U752" s="2" t="s">
        <v>35</v>
      </c>
      <c r="V752" s="2" t="b">
        <v>0</v>
      </c>
      <c r="W752" s="2" t="s">
        <v>35</v>
      </c>
      <c r="X752" s="2" t="s">
        <v>35</v>
      </c>
      <c r="Y752" s="2" t="s">
        <v>35</v>
      </c>
      <c r="Z752" s="2" t="s">
        <v>35</v>
      </c>
    </row>
    <row r="753" spans="1:26" x14ac:dyDescent="0.2">
      <c r="A753" s="2" t="s">
        <v>1705</v>
      </c>
      <c r="B753" s="2" t="b">
        <v>0</v>
      </c>
      <c r="C753" s="2" t="b">
        <v>0</v>
      </c>
      <c r="D753" s="2" t="b">
        <v>0</v>
      </c>
      <c r="E753" s="2" t="b">
        <v>0</v>
      </c>
      <c r="F753" s="2" t="s">
        <v>31</v>
      </c>
      <c r="G753" s="2" t="s">
        <v>1706</v>
      </c>
      <c r="H753" s="2" t="s">
        <v>1707</v>
      </c>
      <c r="I753" s="2" t="s">
        <v>35</v>
      </c>
      <c r="J753" s="2" t="s">
        <v>35</v>
      </c>
      <c r="K753" s="2" t="s">
        <v>35</v>
      </c>
      <c r="L753" s="2">
        <v>34</v>
      </c>
      <c r="M753" s="2">
        <v>15</v>
      </c>
      <c r="N753" s="3">
        <v>44747.513038877318</v>
      </c>
      <c r="O753" s="3">
        <v>44747.513443425923</v>
      </c>
      <c r="P753" s="2">
        <v>0</v>
      </c>
      <c r="Q753" s="2" t="s">
        <v>54</v>
      </c>
      <c r="R753" s="2" t="s">
        <v>38</v>
      </c>
      <c r="S753" s="2" t="s">
        <v>35</v>
      </c>
      <c r="T753" s="2" t="s">
        <v>35</v>
      </c>
      <c r="U753" s="2" t="s">
        <v>35</v>
      </c>
      <c r="V753" s="2" t="b">
        <v>0</v>
      </c>
      <c r="W753" s="2" t="s">
        <v>35</v>
      </c>
      <c r="X753" s="2" t="s">
        <v>35</v>
      </c>
      <c r="Y753" s="2" t="s">
        <v>35</v>
      </c>
      <c r="Z753" s="2" t="s">
        <v>35</v>
      </c>
    </row>
    <row r="754" spans="1:26" x14ac:dyDescent="0.2">
      <c r="A754" s="2" t="s">
        <v>1708</v>
      </c>
      <c r="B754" s="2" t="b">
        <v>0</v>
      </c>
      <c r="C754" s="2" t="b">
        <v>0</v>
      </c>
      <c r="D754" s="2" t="b">
        <v>0</v>
      </c>
      <c r="E754" s="2" t="b">
        <v>0</v>
      </c>
      <c r="F754" s="2" t="s">
        <v>31</v>
      </c>
      <c r="G754" s="2" t="s">
        <v>1709</v>
      </c>
      <c r="H754" s="2" t="s">
        <v>1710</v>
      </c>
      <c r="I754" s="2" t="s">
        <v>1711</v>
      </c>
      <c r="J754" s="2" t="s">
        <v>35</v>
      </c>
      <c r="K754" s="2" t="s">
        <v>35</v>
      </c>
      <c r="L754" s="2" t="s">
        <v>35</v>
      </c>
      <c r="M754" s="2" t="s">
        <v>35</v>
      </c>
      <c r="N754" s="3">
        <v>44747.513507650459</v>
      </c>
      <c r="O754" s="3">
        <v>44747.513726516205</v>
      </c>
      <c r="P754" s="2">
        <v>0</v>
      </c>
      <c r="Q754" s="2" t="s">
        <v>54</v>
      </c>
      <c r="R754" s="2" t="s">
        <v>38</v>
      </c>
      <c r="S754" s="2" t="s">
        <v>35</v>
      </c>
      <c r="T754" s="2" t="s">
        <v>35</v>
      </c>
      <c r="U754" s="2" t="s">
        <v>35</v>
      </c>
      <c r="V754" s="2" t="b">
        <v>0</v>
      </c>
      <c r="W754" s="2" t="s">
        <v>35</v>
      </c>
      <c r="X754" s="2" t="s">
        <v>35</v>
      </c>
      <c r="Y754" s="2" t="s">
        <v>35</v>
      </c>
      <c r="Z754" s="2" t="s">
        <v>35</v>
      </c>
    </row>
    <row r="755" spans="1:26" x14ac:dyDescent="0.2">
      <c r="A755" s="2" t="s">
        <v>1712</v>
      </c>
      <c r="B755" s="2" t="b">
        <v>0</v>
      </c>
      <c r="C755" s="2" t="b">
        <v>0</v>
      </c>
      <c r="D755" s="2" t="b">
        <v>0</v>
      </c>
      <c r="E755" s="2" t="b">
        <v>0</v>
      </c>
      <c r="F755" s="2" t="s">
        <v>31</v>
      </c>
      <c r="G755" s="2" t="s">
        <v>1713</v>
      </c>
      <c r="H755" s="2" t="s">
        <v>1714</v>
      </c>
      <c r="I755" s="2" t="s">
        <v>1711</v>
      </c>
      <c r="J755" s="2" t="s">
        <v>35</v>
      </c>
      <c r="K755" s="2" t="s">
        <v>35</v>
      </c>
      <c r="L755" s="2" t="s">
        <v>35</v>
      </c>
      <c r="M755" s="2" t="s">
        <v>35</v>
      </c>
      <c r="N755" s="3">
        <v>44747.514469768517</v>
      </c>
      <c r="O755" s="3">
        <v>44747.51461096065</v>
      </c>
      <c r="P755" s="2">
        <v>0</v>
      </c>
      <c r="Q755" s="2" t="s">
        <v>54</v>
      </c>
      <c r="R755" s="2" t="s">
        <v>38</v>
      </c>
      <c r="S755" s="2" t="s">
        <v>35</v>
      </c>
      <c r="T755" s="2" t="s">
        <v>35</v>
      </c>
      <c r="U755" s="2" t="s">
        <v>35</v>
      </c>
      <c r="V755" s="2" t="b">
        <v>0</v>
      </c>
      <c r="W755" s="2" t="s">
        <v>35</v>
      </c>
      <c r="X755" s="2" t="s">
        <v>35</v>
      </c>
      <c r="Y755" s="2" t="s">
        <v>35</v>
      </c>
      <c r="Z755" s="2" t="s">
        <v>35</v>
      </c>
    </row>
    <row r="756" spans="1:26" x14ac:dyDescent="0.2">
      <c r="A756" s="2" t="s">
        <v>1715</v>
      </c>
      <c r="B756" s="2" t="b">
        <v>0</v>
      </c>
      <c r="C756" s="2" t="b">
        <v>0</v>
      </c>
      <c r="D756" s="2" t="b">
        <v>0</v>
      </c>
      <c r="E756" s="2" t="b">
        <v>0</v>
      </c>
      <c r="F756" s="2" t="s">
        <v>31</v>
      </c>
      <c r="G756" s="2" t="s">
        <v>1716</v>
      </c>
      <c r="H756" s="2" t="s">
        <v>1717</v>
      </c>
      <c r="I756" s="2" t="s">
        <v>35</v>
      </c>
      <c r="J756" s="2" t="s">
        <v>35</v>
      </c>
      <c r="K756" s="2" t="s">
        <v>35</v>
      </c>
      <c r="L756" s="2">
        <v>35</v>
      </c>
      <c r="M756" s="2">
        <v>15</v>
      </c>
      <c r="N756" s="3">
        <v>44747.514665208335</v>
      </c>
      <c r="O756" s="3">
        <v>44747.515119398151</v>
      </c>
      <c r="P756" s="2">
        <v>0</v>
      </c>
      <c r="Q756" s="2" t="s">
        <v>54</v>
      </c>
      <c r="R756" s="2" t="s">
        <v>38</v>
      </c>
      <c r="S756" s="2" t="s">
        <v>35</v>
      </c>
      <c r="T756" s="2" t="s">
        <v>35</v>
      </c>
      <c r="U756" s="2" t="s">
        <v>35</v>
      </c>
      <c r="V756" s="2" t="b">
        <v>0</v>
      </c>
      <c r="W756" s="2" t="s">
        <v>35</v>
      </c>
      <c r="X756" s="2" t="s">
        <v>35</v>
      </c>
      <c r="Y756" s="2" t="s">
        <v>35</v>
      </c>
      <c r="Z756" s="2" t="s">
        <v>35</v>
      </c>
    </row>
    <row r="757" spans="1:26" x14ac:dyDescent="0.2">
      <c r="A757" s="2" t="s">
        <v>1718</v>
      </c>
      <c r="B757" s="2" t="b">
        <v>0</v>
      </c>
      <c r="C757" s="2" t="b">
        <v>0</v>
      </c>
      <c r="D757" s="2" t="b">
        <v>0</v>
      </c>
      <c r="E757" s="2" t="b">
        <v>0</v>
      </c>
      <c r="F757" s="2" t="s">
        <v>31</v>
      </c>
      <c r="G757" s="2" t="s">
        <v>1719</v>
      </c>
      <c r="H757" s="2" t="s">
        <v>1720</v>
      </c>
      <c r="I757" s="2" t="s">
        <v>35</v>
      </c>
      <c r="J757" s="2" t="s">
        <v>35</v>
      </c>
      <c r="K757" s="2" t="s">
        <v>35</v>
      </c>
      <c r="L757" s="2">
        <v>36</v>
      </c>
      <c r="M757" s="2">
        <v>15</v>
      </c>
      <c r="N757" s="3">
        <v>44747.515671643516</v>
      </c>
      <c r="O757" s="3">
        <v>44747.516114571757</v>
      </c>
      <c r="P757" s="2">
        <v>0</v>
      </c>
      <c r="Q757" s="2" t="s">
        <v>54</v>
      </c>
      <c r="R757" s="2" t="s">
        <v>38</v>
      </c>
      <c r="S757" s="2" t="s">
        <v>35</v>
      </c>
      <c r="T757" s="2" t="s">
        <v>35</v>
      </c>
      <c r="U757" s="2" t="s">
        <v>35</v>
      </c>
      <c r="V757" s="2" t="b">
        <v>0</v>
      </c>
      <c r="W757" s="2" t="s">
        <v>35</v>
      </c>
      <c r="X757" s="2" t="s">
        <v>35</v>
      </c>
      <c r="Y757" s="2" t="s">
        <v>35</v>
      </c>
      <c r="Z757" s="2" t="s">
        <v>35</v>
      </c>
    </row>
    <row r="758" spans="1:26" x14ac:dyDescent="0.2">
      <c r="A758" s="2" t="s">
        <v>1721</v>
      </c>
      <c r="B758" s="2" t="b">
        <v>0</v>
      </c>
      <c r="C758" s="2" t="b">
        <v>0</v>
      </c>
      <c r="D758" s="2" t="b">
        <v>0</v>
      </c>
      <c r="E758" s="2" t="b">
        <v>0</v>
      </c>
      <c r="F758" s="2" t="s">
        <v>31</v>
      </c>
      <c r="G758" s="2" t="s">
        <v>1722</v>
      </c>
      <c r="H758" s="2" t="s">
        <v>1720</v>
      </c>
      <c r="I758" s="2" t="s">
        <v>1711</v>
      </c>
      <c r="J758" s="2" t="s">
        <v>35</v>
      </c>
      <c r="K758" s="2" t="s">
        <v>35</v>
      </c>
      <c r="L758" s="2" t="s">
        <v>35</v>
      </c>
      <c r="M758" s="2" t="s">
        <v>35</v>
      </c>
      <c r="N758" s="3">
        <v>44747.516166412039</v>
      </c>
      <c r="O758" s="3">
        <v>44747.516360358793</v>
      </c>
      <c r="P758" s="2">
        <v>0</v>
      </c>
      <c r="Q758" s="2" t="s">
        <v>54</v>
      </c>
      <c r="R758" s="2" t="s">
        <v>38</v>
      </c>
      <c r="S758" s="2" t="s">
        <v>35</v>
      </c>
      <c r="T758" s="2" t="s">
        <v>35</v>
      </c>
      <c r="U758" s="2" t="s">
        <v>35</v>
      </c>
      <c r="V758" s="2" t="b">
        <v>0</v>
      </c>
      <c r="W758" s="2" t="s">
        <v>35</v>
      </c>
      <c r="X758" s="2" t="s">
        <v>35</v>
      </c>
      <c r="Y758" s="2" t="s">
        <v>35</v>
      </c>
      <c r="Z758" s="2" t="s">
        <v>35</v>
      </c>
    </row>
    <row r="759" spans="1:26" x14ac:dyDescent="0.2">
      <c r="A759" s="2" t="s">
        <v>1723</v>
      </c>
      <c r="B759" s="2" t="b">
        <v>0</v>
      </c>
      <c r="C759" s="2" t="b">
        <v>0</v>
      </c>
      <c r="D759" s="2" t="b">
        <v>0</v>
      </c>
      <c r="E759" s="2" t="b">
        <v>0</v>
      </c>
      <c r="F759" s="2" t="s">
        <v>31</v>
      </c>
      <c r="G759" s="2" t="s">
        <v>1724</v>
      </c>
      <c r="H759" s="2" t="s">
        <v>1725</v>
      </c>
      <c r="I759" s="2" t="s">
        <v>35</v>
      </c>
      <c r="J759" s="2" t="s">
        <v>35</v>
      </c>
      <c r="K759" s="2" t="s">
        <v>35</v>
      </c>
      <c r="L759" s="2">
        <v>27</v>
      </c>
      <c r="M759" s="2">
        <v>15</v>
      </c>
      <c r="N759" s="3">
        <v>44747.516948078701</v>
      </c>
      <c r="O759" s="3">
        <v>44747.517542974536</v>
      </c>
      <c r="P759" s="2">
        <v>0</v>
      </c>
      <c r="Q759" s="2" t="s">
        <v>54</v>
      </c>
      <c r="R759" s="2" t="s">
        <v>38</v>
      </c>
      <c r="S759" s="2" t="s">
        <v>35</v>
      </c>
      <c r="T759" s="2" t="s">
        <v>35</v>
      </c>
      <c r="U759" s="2" t="s">
        <v>35</v>
      </c>
      <c r="V759" s="2" t="b">
        <v>0</v>
      </c>
      <c r="W759" s="2" t="s">
        <v>35</v>
      </c>
      <c r="X759" s="2" t="s">
        <v>35</v>
      </c>
      <c r="Y759" s="2" t="s">
        <v>35</v>
      </c>
      <c r="Z759" s="2" t="s">
        <v>35</v>
      </c>
    </row>
    <row r="760" spans="1:26" x14ac:dyDescent="0.2">
      <c r="A760" s="2" t="s">
        <v>1726</v>
      </c>
      <c r="B760" s="2" t="b">
        <v>0</v>
      </c>
      <c r="C760" s="2" t="b">
        <v>0</v>
      </c>
      <c r="D760" s="2" t="b">
        <v>0</v>
      </c>
      <c r="E760" s="2" t="b">
        <v>0</v>
      </c>
      <c r="F760" s="2" t="s">
        <v>31</v>
      </c>
      <c r="G760" s="2" t="s">
        <v>1727</v>
      </c>
      <c r="H760" s="2" t="s">
        <v>1728</v>
      </c>
      <c r="I760" s="2" t="s">
        <v>35</v>
      </c>
      <c r="J760" s="2" t="s">
        <v>35</v>
      </c>
      <c r="K760" s="2" t="s">
        <v>35</v>
      </c>
      <c r="L760" s="2">
        <v>28</v>
      </c>
      <c r="M760" s="2">
        <v>15</v>
      </c>
      <c r="N760" s="3">
        <v>44747.519116261574</v>
      </c>
      <c r="O760" s="3">
        <v>44747.519865138886</v>
      </c>
      <c r="P760" s="2">
        <v>0</v>
      </c>
      <c r="Q760" s="2" t="s">
        <v>54</v>
      </c>
      <c r="R760" s="2" t="s">
        <v>38</v>
      </c>
      <c r="S760" s="2" t="s">
        <v>35</v>
      </c>
      <c r="T760" s="2" t="s">
        <v>35</v>
      </c>
      <c r="U760" s="2" t="s">
        <v>35</v>
      </c>
      <c r="V760" s="2" t="b">
        <v>0</v>
      </c>
      <c r="W760" s="2" t="s">
        <v>35</v>
      </c>
      <c r="X760" s="2" t="s">
        <v>35</v>
      </c>
      <c r="Y760" s="2" t="s">
        <v>35</v>
      </c>
      <c r="Z760" s="2" t="s">
        <v>35</v>
      </c>
    </row>
    <row r="761" spans="1:26" x14ac:dyDescent="0.2">
      <c r="A761" s="2" t="s">
        <v>1729</v>
      </c>
      <c r="B761" s="2" t="b">
        <v>0</v>
      </c>
      <c r="C761" s="2" t="b">
        <v>0</v>
      </c>
      <c r="D761" s="2" t="b">
        <v>0</v>
      </c>
      <c r="E761" s="2" t="b">
        <v>0</v>
      </c>
      <c r="F761" s="2" t="s">
        <v>31</v>
      </c>
      <c r="G761" s="2" t="s">
        <v>1730</v>
      </c>
      <c r="H761" s="2" t="s">
        <v>1731</v>
      </c>
      <c r="I761" s="2" t="s">
        <v>35</v>
      </c>
      <c r="J761" s="2" t="s">
        <v>35</v>
      </c>
      <c r="K761" s="2" t="s">
        <v>35</v>
      </c>
      <c r="L761" s="2">
        <v>37</v>
      </c>
      <c r="M761" s="2">
        <v>15</v>
      </c>
      <c r="N761" s="3">
        <v>44747.5199096875</v>
      </c>
      <c r="O761" s="3">
        <v>44747.520301331017</v>
      </c>
      <c r="P761" s="2">
        <v>0</v>
      </c>
      <c r="Q761" s="2" t="s">
        <v>54</v>
      </c>
      <c r="R761" s="2" t="s">
        <v>38</v>
      </c>
      <c r="S761" s="2" t="s">
        <v>35</v>
      </c>
      <c r="T761" s="2" t="s">
        <v>35</v>
      </c>
      <c r="U761" s="2" t="s">
        <v>35</v>
      </c>
      <c r="V761" s="2" t="b">
        <v>0</v>
      </c>
      <c r="W761" s="2" t="s">
        <v>35</v>
      </c>
      <c r="X761" s="2" t="s">
        <v>35</v>
      </c>
      <c r="Y761" s="2" t="s">
        <v>35</v>
      </c>
      <c r="Z761" s="2" t="s">
        <v>35</v>
      </c>
    </row>
    <row r="762" spans="1:26" x14ac:dyDescent="0.2">
      <c r="A762" s="2" t="s">
        <v>1732</v>
      </c>
      <c r="B762" s="2" t="b">
        <v>0</v>
      </c>
      <c r="C762" s="2" t="b">
        <v>0</v>
      </c>
      <c r="D762" s="2" t="b">
        <v>0</v>
      </c>
      <c r="E762" s="2" t="b">
        <v>0</v>
      </c>
      <c r="F762" s="2" t="s">
        <v>31</v>
      </c>
      <c r="G762" s="2" t="s">
        <v>1733</v>
      </c>
      <c r="H762" s="2" t="s">
        <v>1734</v>
      </c>
      <c r="I762" s="2" t="s">
        <v>35</v>
      </c>
      <c r="J762" s="2" t="s">
        <v>35</v>
      </c>
      <c r="K762" s="2" t="s">
        <v>35</v>
      </c>
      <c r="L762" s="2">
        <v>19</v>
      </c>
      <c r="M762" s="2">
        <v>16</v>
      </c>
      <c r="N762" s="3">
        <v>44747.521550775462</v>
      </c>
      <c r="O762" s="3">
        <v>44747.522159490742</v>
      </c>
      <c r="P762" s="2">
        <v>0</v>
      </c>
      <c r="Q762" s="2" t="s">
        <v>54</v>
      </c>
      <c r="R762" s="2" t="s">
        <v>38</v>
      </c>
      <c r="S762" s="2" t="s">
        <v>35</v>
      </c>
      <c r="T762" s="2" t="s">
        <v>35</v>
      </c>
      <c r="U762" s="2" t="s">
        <v>35</v>
      </c>
      <c r="V762" s="2" t="b">
        <v>0</v>
      </c>
      <c r="W762" s="2" t="s">
        <v>35</v>
      </c>
      <c r="X762" s="2" t="s">
        <v>35</v>
      </c>
      <c r="Y762" s="2" t="s">
        <v>35</v>
      </c>
      <c r="Z762" s="2" t="s">
        <v>35</v>
      </c>
    </row>
    <row r="763" spans="1:26" x14ac:dyDescent="0.2">
      <c r="A763" s="2" t="s">
        <v>1735</v>
      </c>
      <c r="B763" s="2" t="b">
        <v>0</v>
      </c>
      <c r="C763" s="2" t="b">
        <v>0</v>
      </c>
      <c r="D763" s="2" t="b">
        <v>0</v>
      </c>
      <c r="E763" s="2" t="b">
        <v>0</v>
      </c>
      <c r="F763" s="2" t="s">
        <v>31</v>
      </c>
      <c r="G763" s="2" t="s">
        <v>1736</v>
      </c>
      <c r="H763" s="2" t="s">
        <v>1737</v>
      </c>
      <c r="I763" s="2" t="s">
        <v>1738</v>
      </c>
      <c r="J763" s="2" t="s">
        <v>35</v>
      </c>
      <c r="K763" s="2" t="s">
        <v>35</v>
      </c>
      <c r="L763" s="2" t="s">
        <v>35</v>
      </c>
      <c r="M763" s="2" t="s">
        <v>35</v>
      </c>
      <c r="N763" s="3">
        <v>44747.52464452546</v>
      </c>
      <c r="O763" s="3">
        <v>44747.525009351855</v>
      </c>
      <c r="P763" s="2">
        <v>0</v>
      </c>
      <c r="Q763" s="2" t="s">
        <v>36</v>
      </c>
      <c r="R763" s="2" t="s">
        <v>38</v>
      </c>
      <c r="S763" s="2" t="s">
        <v>35</v>
      </c>
      <c r="T763" s="2" t="s">
        <v>35</v>
      </c>
      <c r="U763" s="2" t="s">
        <v>35</v>
      </c>
      <c r="V763" s="2" t="b">
        <v>0</v>
      </c>
      <c r="W763" s="2" t="s">
        <v>35</v>
      </c>
      <c r="X763" s="2" t="s">
        <v>35</v>
      </c>
      <c r="Y763" s="2">
        <v>12</v>
      </c>
      <c r="Z763" s="2">
        <v>4</v>
      </c>
    </row>
    <row r="764" spans="1:26" x14ac:dyDescent="0.2">
      <c r="A764" s="2" t="s">
        <v>1739</v>
      </c>
      <c r="B764" s="2" t="b">
        <v>0</v>
      </c>
      <c r="C764" s="2" t="b">
        <v>0</v>
      </c>
      <c r="D764" s="2" t="b">
        <v>0</v>
      </c>
      <c r="E764" s="2" t="b">
        <v>0</v>
      </c>
      <c r="F764" s="2" t="s">
        <v>31</v>
      </c>
      <c r="G764" s="2" t="s">
        <v>1740</v>
      </c>
      <c r="H764" s="2" t="s">
        <v>1741</v>
      </c>
      <c r="I764" s="2" t="s">
        <v>1742</v>
      </c>
      <c r="J764" s="2" t="s">
        <v>35</v>
      </c>
      <c r="K764" s="2" t="s">
        <v>35</v>
      </c>
      <c r="L764" s="2" t="s">
        <v>35</v>
      </c>
      <c r="M764" s="2" t="s">
        <v>35</v>
      </c>
      <c r="N764" s="3">
        <v>44747.525952372685</v>
      </c>
      <c r="O764" s="3">
        <v>44747.526260960651</v>
      </c>
      <c r="P764" s="2">
        <v>0</v>
      </c>
      <c r="Q764" s="2" t="s">
        <v>36</v>
      </c>
      <c r="R764" s="2" t="s">
        <v>38</v>
      </c>
      <c r="S764" s="2" t="s">
        <v>35</v>
      </c>
      <c r="T764" s="2" t="s">
        <v>35</v>
      </c>
      <c r="U764" s="2" t="s">
        <v>35</v>
      </c>
      <c r="V764" s="2" t="b">
        <v>0</v>
      </c>
      <c r="W764" s="2" t="s">
        <v>35</v>
      </c>
      <c r="X764" s="2" t="s">
        <v>35</v>
      </c>
      <c r="Y764" s="2">
        <v>4</v>
      </c>
      <c r="Z764" s="2" t="s">
        <v>35</v>
      </c>
    </row>
    <row r="765" spans="1:26" x14ac:dyDescent="0.2">
      <c r="A765" s="2" t="s">
        <v>1743</v>
      </c>
      <c r="B765" s="2" t="b">
        <v>0</v>
      </c>
      <c r="C765" s="2" t="b">
        <v>0</v>
      </c>
      <c r="D765" s="2" t="b">
        <v>0</v>
      </c>
      <c r="E765" s="2" t="b">
        <v>0</v>
      </c>
      <c r="F765" s="2" t="s">
        <v>31</v>
      </c>
      <c r="G765" s="2" t="s">
        <v>1744</v>
      </c>
      <c r="H765" s="2" t="s">
        <v>1745</v>
      </c>
      <c r="I765" s="2" t="s">
        <v>35</v>
      </c>
      <c r="J765" s="2" t="s">
        <v>35</v>
      </c>
      <c r="K765" s="2" t="s">
        <v>35</v>
      </c>
      <c r="L765" s="2" t="s">
        <v>35</v>
      </c>
      <c r="M765" s="2" t="s">
        <v>35</v>
      </c>
      <c r="N765" s="3">
        <v>44748.590499143516</v>
      </c>
      <c r="O765" s="3">
        <v>44748.590690625002</v>
      </c>
      <c r="P765" s="2">
        <v>0</v>
      </c>
      <c r="Q765" s="2" t="s">
        <v>36</v>
      </c>
      <c r="R765" s="2" t="s">
        <v>38</v>
      </c>
      <c r="S765" s="2" t="s">
        <v>35</v>
      </c>
      <c r="T765" s="2" t="s">
        <v>35</v>
      </c>
      <c r="U765" s="2" t="s">
        <v>35</v>
      </c>
      <c r="V765" s="2" t="b">
        <v>0</v>
      </c>
      <c r="W765" s="2" t="s">
        <v>35</v>
      </c>
      <c r="X765" s="2" t="s">
        <v>35</v>
      </c>
      <c r="Y765" s="2" t="s">
        <v>35</v>
      </c>
      <c r="Z765" s="2">
        <v>2</v>
      </c>
    </row>
    <row r="766" spans="1:26" x14ac:dyDescent="0.2">
      <c r="A766" s="2" t="s">
        <v>1746</v>
      </c>
      <c r="B766" s="2" t="b">
        <v>0</v>
      </c>
      <c r="C766" s="2" t="b">
        <v>0</v>
      </c>
      <c r="D766" s="2" t="b">
        <v>0</v>
      </c>
      <c r="E766" s="2" t="b">
        <v>0</v>
      </c>
      <c r="F766" s="2" t="s">
        <v>31</v>
      </c>
      <c r="G766" s="2" t="s">
        <v>1747</v>
      </c>
      <c r="H766" s="2" t="s">
        <v>1748</v>
      </c>
      <c r="I766" s="2" t="s">
        <v>1749</v>
      </c>
      <c r="J766" s="2" t="s">
        <v>35</v>
      </c>
      <c r="K766" s="2" t="s">
        <v>35</v>
      </c>
      <c r="L766" s="2">
        <v>2</v>
      </c>
      <c r="M766" s="2">
        <v>19</v>
      </c>
      <c r="N766" s="3">
        <v>44748.591328807874</v>
      </c>
      <c r="O766" s="3">
        <v>44748.592046851853</v>
      </c>
      <c r="P766" s="2">
        <v>0</v>
      </c>
      <c r="Q766" s="2" t="s">
        <v>54</v>
      </c>
      <c r="R766" s="2" t="s">
        <v>38</v>
      </c>
      <c r="S766" s="2" t="s">
        <v>35</v>
      </c>
      <c r="T766" s="2" t="s">
        <v>35</v>
      </c>
      <c r="U766" s="2" t="s">
        <v>35</v>
      </c>
      <c r="V766" s="2" t="b">
        <v>0</v>
      </c>
      <c r="W766" s="2" t="s">
        <v>35</v>
      </c>
      <c r="X766" s="2" t="s">
        <v>35</v>
      </c>
      <c r="Y766" s="2" t="s">
        <v>35</v>
      </c>
      <c r="Z766" s="2" t="s">
        <v>35</v>
      </c>
    </row>
    <row r="767" spans="1:26" x14ac:dyDescent="0.2">
      <c r="A767" s="2" t="s">
        <v>1750</v>
      </c>
      <c r="B767" s="2" t="b">
        <v>0</v>
      </c>
      <c r="C767" s="2" t="b">
        <v>0</v>
      </c>
      <c r="D767" s="2" t="b">
        <v>0</v>
      </c>
      <c r="E767" s="2" t="b">
        <v>0</v>
      </c>
      <c r="F767" s="2" t="s">
        <v>31</v>
      </c>
      <c r="G767" s="2" t="s">
        <v>1751</v>
      </c>
      <c r="H767" s="2" t="s">
        <v>1752</v>
      </c>
      <c r="I767" s="2" t="s">
        <v>35</v>
      </c>
      <c r="J767" s="2" t="s">
        <v>35</v>
      </c>
      <c r="K767" s="2" t="s">
        <v>35</v>
      </c>
      <c r="L767" s="2">
        <v>13</v>
      </c>
      <c r="M767" s="2">
        <v>15</v>
      </c>
      <c r="N767" s="3">
        <v>44748.592460439817</v>
      </c>
      <c r="O767" s="3">
        <v>44748.592814861113</v>
      </c>
      <c r="P767" s="2">
        <v>0</v>
      </c>
      <c r="Q767" s="2" t="s">
        <v>54</v>
      </c>
      <c r="R767" s="2" t="s">
        <v>38</v>
      </c>
      <c r="S767" s="2" t="s">
        <v>35</v>
      </c>
      <c r="T767" s="2" t="s">
        <v>35</v>
      </c>
      <c r="U767" s="2" t="s">
        <v>35</v>
      </c>
      <c r="V767" s="2" t="b">
        <v>0</v>
      </c>
      <c r="W767" s="2" t="s">
        <v>35</v>
      </c>
      <c r="X767" s="2" t="s">
        <v>35</v>
      </c>
      <c r="Y767" s="2" t="s">
        <v>35</v>
      </c>
      <c r="Z767" s="2" t="s">
        <v>35</v>
      </c>
    </row>
    <row r="768" spans="1:26" x14ac:dyDescent="0.2">
      <c r="A768" s="2" t="s">
        <v>1753</v>
      </c>
      <c r="B768" s="2" t="b">
        <v>0</v>
      </c>
      <c r="C768" s="2" t="b">
        <v>0</v>
      </c>
      <c r="D768" s="2" t="b">
        <v>0</v>
      </c>
      <c r="E768" s="2" t="b">
        <v>0</v>
      </c>
      <c r="F768" s="2" t="s">
        <v>31</v>
      </c>
      <c r="G768" s="2" t="s">
        <v>1754</v>
      </c>
      <c r="H768" s="2" t="s">
        <v>1755</v>
      </c>
      <c r="I768" s="2" t="s">
        <v>35</v>
      </c>
      <c r="J768" s="2" t="s">
        <v>35</v>
      </c>
      <c r="K768" s="2" t="s">
        <v>35</v>
      </c>
      <c r="L768" s="2">
        <v>13</v>
      </c>
      <c r="M768" s="2">
        <v>15</v>
      </c>
      <c r="N768" s="3">
        <v>44748.592960462964</v>
      </c>
      <c r="O768" s="3">
        <v>44748.593334722224</v>
      </c>
      <c r="P768" s="2">
        <v>0</v>
      </c>
      <c r="Q768" s="2" t="s">
        <v>54</v>
      </c>
      <c r="R768" s="2" t="s">
        <v>38</v>
      </c>
      <c r="S768" s="2" t="s">
        <v>35</v>
      </c>
      <c r="T768" s="2" t="s">
        <v>35</v>
      </c>
      <c r="U768" s="2" t="s">
        <v>35</v>
      </c>
      <c r="V768" s="2" t="b">
        <v>0</v>
      </c>
      <c r="W768" s="2" t="s">
        <v>35</v>
      </c>
      <c r="X768" s="2" t="s">
        <v>35</v>
      </c>
      <c r="Y768" s="2" t="s">
        <v>35</v>
      </c>
      <c r="Z768" s="2" t="s">
        <v>35</v>
      </c>
    </row>
    <row r="769" spans="1:26" x14ac:dyDescent="0.2">
      <c r="A769" s="2" t="s">
        <v>1756</v>
      </c>
      <c r="B769" s="2" t="b">
        <v>0</v>
      </c>
      <c r="C769" s="2" t="b">
        <v>0</v>
      </c>
      <c r="D769" s="2" t="b">
        <v>0</v>
      </c>
      <c r="E769" s="2" t="b">
        <v>0</v>
      </c>
      <c r="F769" s="2" t="s">
        <v>31</v>
      </c>
      <c r="G769" s="2" t="s">
        <v>1757</v>
      </c>
      <c r="H769" s="2" t="s">
        <v>1758</v>
      </c>
      <c r="I769" s="2" t="s">
        <v>35</v>
      </c>
      <c r="J769" s="2" t="s">
        <v>35</v>
      </c>
      <c r="K769" s="2" t="s">
        <v>35</v>
      </c>
      <c r="L769" s="2">
        <v>6</v>
      </c>
      <c r="M769" s="2">
        <v>15</v>
      </c>
      <c r="N769" s="3">
        <v>44748.593646967594</v>
      </c>
      <c r="O769" s="3">
        <v>44748.594132638886</v>
      </c>
      <c r="P769" s="2">
        <v>0</v>
      </c>
      <c r="Q769" s="2" t="s">
        <v>54</v>
      </c>
      <c r="R769" s="2" t="s">
        <v>38</v>
      </c>
      <c r="S769" s="2" t="s">
        <v>35</v>
      </c>
      <c r="T769" s="2" t="s">
        <v>35</v>
      </c>
      <c r="U769" s="2" t="s">
        <v>35</v>
      </c>
      <c r="V769" s="2" t="b">
        <v>0</v>
      </c>
      <c r="W769" s="2" t="s">
        <v>35</v>
      </c>
      <c r="X769" s="2" t="s">
        <v>35</v>
      </c>
      <c r="Y769" s="2" t="s">
        <v>35</v>
      </c>
      <c r="Z769" s="2" t="s">
        <v>35</v>
      </c>
    </row>
    <row r="770" spans="1:26" x14ac:dyDescent="0.2">
      <c r="A770" s="2" t="s">
        <v>1759</v>
      </c>
      <c r="B770" s="2" t="b">
        <v>0</v>
      </c>
      <c r="C770" s="2" t="b">
        <v>0</v>
      </c>
      <c r="D770" s="2" t="b">
        <v>0</v>
      </c>
      <c r="E770" s="2" t="b">
        <v>0</v>
      </c>
      <c r="F770" s="2" t="s">
        <v>31</v>
      </c>
      <c r="G770" s="2" t="s">
        <v>1760</v>
      </c>
      <c r="H770" s="2" t="s">
        <v>1761</v>
      </c>
      <c r="I770" s="2" t="s">
        <v>35</v>
      </c>
      <c r="J770" s="2" t="s">
        <v>35</v>
      </c>
      <c r="K770" s="2" t="s">
        <v>35</v>
      </c>
      <c r="L770" s="2">
        <v>7</v>
      </c>
      <c r="M770" s="2">
        <v>15</v>
      </c>
      <c r="N770" s="3">
        <v>44748.594505578702</v>
      </c>
      <c r="O770" s="3">
        <v>44748.594811076386</v>
      </c>
      <c r="P770" s="2">
        <v>0</v>
      </c>
      <c r="Q770" s="2" t="s">
        <v>54</v>
      </c>
      <c r="R770" s="2" t="s">
        <v>38</v>
      </c>
      <c r="S770" s="2" t="s">
        <v>35</v>
      </c>
      <c r="T770" s="2" t="s">
        <v>35</v>
      </c>
      <c r="U770" s="2" t="s">
        <v>35</v>
      </c>
      <c r="V770" s="2" t="b">
        <v>0</v>
      </c>
      <c r="W770" s="2" t="s">
        <v>35</v>
      </c>
      <c r="X770" s="2" t="s">
        <v>35</v>
      </c>
      <c r="Y770" s="2" t="s">
        <v>35</v>
      </c>
      <c r="Z770" s="2" t="s">
        <v>35</v>
      </c>
    </row>
    <row r="771" spans="1:26" x14ac:dyDescent="0.2">
      <c r="A771" s="2" t="s">
        <v>1762</v>
      </c>
      <c r="B771" s="2" t="b">
        <v>0</v>
      </c>
      <c r="C771" s="2" t="b">
        <v>0</v>
      </c>
      <c r="D771" s="2" t="b">
        <v>0</v>
      </c>
      <c r="E771" s="2" t="b">
        <v>0</v>
      </c>
      <c r="F771" s="2" t="s">
        <v>31</v>
      </c>
      <c r="G771" s="2" t="s">
        <v>1763</v>
      </c>
      <c r="H771" s="2" t="s">
        <v>1764</v>
      </c>
      <c r="I771" s="2" t="s">
        <v>1765</v>
      </c>
      <c r="J771" s="2" t="s">
        <v>35</v>
      </c>
      <c r="K771" s="2" t="s">
        <v>35</v>
      </c>
      <c r="L771" s="2" t="s">
        <v>35</v>
      </c>
      <c r="M771" s="2" t="s">
        <v>35</v>
      </c>
      <c r="N771" s="3">
        <v>44748.595314479164</v>
      </c>
      <c r="O771" s="3">
        <v>44748.595608067131</v>
      </c>
      <c r="P771" s="2">
        <v>0</v>
      </c>
      <c r="Q771" s="2" t="s">
        <v>36</v>
      </c>
      <c r="R771" s="2" t="s">
        <v>38</v>
      </c>
      <c r="S771" s="2" t="s">
        <v>35</v>
      </c>
      <c r="T771" s="2" t="s">
        <v>35</v>
      </c>
      <c r="U771" s="2" t="s">
        <v>35</v>
      </c>
      <c r="V771" s="2" t="b">
        <v>0</v>
      </c>
      <c r="W771" s="2" t="s">
        <v>35</v>
      </c>
      <c r="X771" s="2" t="s">
        <v>35</v>
      </c>
      <c r="Y771" s="2">
        <v>8</v>
      </c>
      <c r="Z771" s="2" t="s">
        <v>35</v>
      </c>
    </row>
    <row r="772" spans="1:26" x14ac:dyDescent="0.2">
      <c r="A772" s="2" t="s">
        <v>1766</v>
      </c>
      <c r="B772" s="2" t="b">
        <v>0</v>
      </c>
      <c r="C772" s="2" t="b">
        <v>0</v>
      </c>
      <c r="D772" s="2" t="b">
        <v>0</v>
      </c>
      <c r="E772" s="2" t="b">
        <v>0</v>
      </c>
      <c r="F772" s="2" t="s">
        <v>31</v>
      </c>
      <c r="G772" s="2" t="s">
        <v>1767</v>
      </c>
      <c r="H772" s="2" t="s">
        <v>1768</v>
      </c>
      <c r="I772" s="2" t="s">
        <v>35</v>
      </c>
      <c r="J772" s="2" t="s">
        <v>35</v>
      </c>
      <c r="K772" s="2" t="s">
        <v>35</v>
      </c>
      <c r="L772" s="2">
        <v>6</v>
      </c>
      <c r="M772" s="2">
        <v>15</v>
      </c>
      <c r="N772" s="3">
        <v>44748.596492303244</v>
      </c>
      <c r="O772" s="3">
        <v>44748.596742210648</v>
      </c>
      <c r="P772" s="2">
        <v>0</v>
      </c>
      <c r="Q772" s="2" t="s">
        <v>54</v>
      </c>
      <c r="R772" s="2" t="s">
        <v>38</v>
      </c>
      <c r="S772" s="2" t="s">
        <v>35</v>
      </c>
      <c r="T772" s="2" t="s">
        <v>35</v>
      </c>
      <c r="U772" s="2" t="s">
        <v>35</v>
      </c>
      <c r="V772" s="2" t="b">
        <v>0</v>
      </c>
      <c r="W772" s="2" t="s">
        <v>35</v>
      </c>
      <c r="X772" s="2" t="s">
        <v>35</v>
      </c>
      <c r="Y772" s="2" t="s">
        <v>35</v>
      </c>
      <c r="Z772" s="2" t="s">
        <v>35</v>
      </c>
    </row>
    <row r="773" spans="1:26" x14ac:dyDescent="0.2">
      <c r="A773" s="2" t="s">
        <v>1769</v>
      </c>
      <c r="B773" s="2" t="b">
        <v>0</v>
      </c>
      <c r="C773" s="2" t="b">
        <v>0</v>
      </c>
      <c r="D773" s="2" t="b">
        <v>0</v>
      </c>
      <c r="E773" s="2" t="b">
        <v>0</v>
      </c>
      <c r="F773" s="2" t="s">
        <v>31</v>
      </c>
      <c r="G773" s="2" t="s">
        <v>1770</v>
      </c>
      <c r="H773" s="2" t="s">
        <v>1771</v>
      </c>
      <c r="I773" s="2" t="s">
        <v>35</v>
      </c>
      <c r="J773" s="2" t="s">
        <v>35</v>
      </c>
      <c r="K773" s="2" t="s">
        <v>35</v>
      </c>
      <c r="L773" s="2">
        <v>5</v>
      </c>
      <c r="M773" s="2">
        <v>15</v>
      </c>
      <c r="N773" s="3">
        <v>44748.59703449074</v>
      </c>
      <c r="O773" s="3">
        <v>44748.59720650463</v>
      </c>
      <c r="P773" s="2">
        <v>0</v>
      </c>
      <c r="Q773" s="2" t="s">
        <v>54</v>
      </c>
      <c r="R773" s="2" t="s">
        <v>38</v>
      </c>
      <c r="S773" s="2" t="s">
        <v>35</v>
      </c>
      <c r="T773" s="2" t="s">
        <v>35</v>
      </c>
      <c r="U773" s="2" t="s">
        <v>35</v>
      </c>
      <c r="V773" s="2" t="b">
        <v>0</v>
      </c>
      <c r="W773" s="2" t="s">
        <v>35</v>
      </c>
      <c r="X773" s="2" t="s">
        <v>35</v>
      </c>
      <c r="Y773" s="2" t="s">
        <v>35</v>
      </c>
      <c r="Z773" s="2" t="s">
        <v>35</v>
      </c>
    </row>
    <row r="774" spans="1:26" x14ac:dyDescent="0.2">
      <c r="A774" s="2" t="s">
        <v>1772</v>
      </c>
      <c r="B774" s="2" t="b">
        <v>0</v>
      </c>
      <c r="C774" s="2" t="b">
        <v>0</v>
      </c>
      <c r="D774" s="2" t="b">
        <v>0</v>
      </c>
      <c r="E774" s="2" t="b">
        <v>0</v>
      </c>
      <c r="F774" s="2" t="s">
        <v>31</v>
      </c>
      <c r="G774" s="2" t="s">
        <v>1773</v>
      </c>
      <c r="H774" s="2" t="s">
        <v>1774</v>
      </c>
      <c r="I774" s="2" t="s">
        <v>35</v>
      </c>
      <c r="J774" s="2" t="s">
        <v>35</v>
      </c>
      <c r="K774" s="2" t="s">
        <v>35</v>
      </c>
      <c r="L774" s="2" t="s">
        <v>35</v>
      </c>
      <c r="M774" s="2" t="s">
        <v>35</v>
      </c>
      <c r="N774" s="3">
        <v>44748.597242384261</v>
      </c>
      <c r="O774" s="3">
        <v>44748.597549062499</v>
      </c>
      <c r="P774" s="2">
        <v>0</v>
      </c>
      <c r="Q774" s="2" t="s">
        <v>36</v>
      </c>
      <c r="R774" s="2" t="s">
        <v>38</v>
      </c>
      <c r="S774" s="2" t="s">
        <v>35</v>
      </c>
      <c r="T774" s="2" t="s">
        <v>35</v>
      </c>
      <c r="U774" s="2" t="s">
        <v>35</v>
      </c>
      <c r="V774" s="2" t="b">
        <v>0</v>
      </c>
      <c r="W774" s="2" t="s">
        <v>165</v>
      </c>
      <c r="X774" s="2" t="s">
        <v>35</v>
      </c>
      <c r="Y774" s="2" t="s">
        <v>35</v>
      </c>
      <c r="Z774" s="2" t="s">
        <v>35</v>
      </c>
    </row>
    <row r="775" spans="1:26" x14ac:dyDescent="0.2">
      <c r="A775" s="2" t="s">
        <v>1775</v>
      </c>
      <c r="B775" s="2" t="b">
        <v>0</v>
      </c>
      <c r="C775" s="2" t="b">
        <v>0</v>
      </c>
      <c r="D775" s="2" t="b">
        <v>0</v>
      </c>
      <c r="E775" s="2" t="b">
        <v>0</v>
      </c>
      <c r="F775" s="2" t="s">
        <v>31</v>
      </c>
      <c r="G775" s="2" t="s">
        <v>1776</v>
      </c>
      <c r="H775" s="2" t="s">
        <v>1777</v>
      </c>
      <c r="I775" s="2" t="s">
        <v>940</v>
      </c>
      <c r="J775" s="2" t="s">
        <v>35</v>
      </c>
      <c r="K775" s="2" t="s">
        <v>35</v>
      </c>
      <c r="L775" s="2" t="s">
        <v>35</v>
      </c>
      <c r="M775" s="2" t="s">
        <v>35</v>
      </c>
      <c r="N775" s="3">
        <v>44748.599635497689</v>
      </c>
      <c r="O775" s="3">
        <v>44748.599892349535</v>
      </c>
      <c r="P775" s="2">
        <v>0</v>
      </c>
      <c r="Q775" s="2" t="s">
        <v>124</v>
      </c>
      <c r="R775" s="2" t="s">
        <v>38</v>
      </c>
      <c r="S775" s="2" t="s">
        <v>35</v>
      </c>
      <c r="T775" s="2" t="s">
        <v>35</v>
      </c>
      <c r="U775" s="2" t="s">
        <v>35</v>
      </c>
      <c r="V775" s="2" t="b">
        <v>0</v>
      </c>
      <c r="W775" s="2" t="s">
        <v>35</v>
      </c>
      <c r="X775" s="2">
        <v>4</v>
      </c>
      <c r="Y775" s="2" t="s">
        <v>35</v>
      </c>
      <c r="Z775" s="2" t="s">
        <v>35</v>
      </c>
    </row>
    <row r="776" spans="1:26" x14ac:dyDescent="0.2">
      <c r="A776" s="2" t="s">
        <v>1778</v>
      </c>
      <c r="B776" s="2" t="b">
        <v>0</v>
      </c>
      <c r="C776" s="2" t="b">
        <v>0</v>
      </c>
      <c r="D776" s="2" t="b">
        <v>0</v>
      </c>
      <c r="E776" s="2" t="b">
        <v>0</v>
      </c>
      <c r="F776" s="2" t="s">
        <v>31</v>
      </c>
      <c r="G776" s="2" t="s">
        <v>149</v>
      </c>
      <c r="H776" s="2" t="s">
        <v>1779</v>
      </c>
      <c r="I776" s="2" t="s">
        <v>940</v>
      </c>
      <c r="J776" s="2" t="s">
        <v>35</v>
      </c>
      <c r="K776" s="2" t="s">
        <v>35</v>
      </c>
      <c r="L776" s="2" t="s">
        <v>35</v>
      </c>
      <c r="M776" s="2" t="s">
        <v>35</v>
      </c>
      <c r="N776" s="3">
        <v>44748.600552372685</v>
      </c>
      <c r="O776" s="3">
        <v>44748.600758877314</v>
      </c>
      <c r="P776" s="2">
        <v>0</v>
      </c>
      <c r="Q776" s="2" t="s">
        <v>124</v>
      </c>
      <c r="R776" s="2" t="s">
        <v>38</v>
      </c>
      <c r="S776" s="2" t="s">
        <v>35</v>
      </c>
      <c r="T776" s="2" t="s">
        <v>35</v>
      </c>
      <c r="U776" s="2" t="s">
        <v>35</v>
      </c>
      <c r="V776" s="2" t="b">
        <v>0</v>
      </c>
      <c r="W776" s="2" t="s">
        <v>35</v>
      </c>
      <c r="X776" s="2">
        <v>4</v>
      </c>
      <c r="Y776" s="2" t="s">
        <v>35</v>
      </c>
      <c r="Z776" s="2" t="s">
        <v>35</v>
      </c>
    </row>
    <row r="777" spans="1:26" x14ac:dyDescent="0.2">
      <c r="A777" s="2" t="s">
        <v>1780</v>
      </c>
      <c r="B777" s="2" t="b">
        <v>0</v>
      </c>
      <c r="C777" s="2" t="b">
        <v>0</v>
      </c>
      <c r="D777" s="2" t="b">
        <v>0</v>
      </c>
      <c r="E777" s="2" t="b">
        <v>0</v>
      </c>
      <c r="F777" s="2" t="s">
        <v>31</v>
      </c>
      <c r="G777" s="2" t="s">
        <v>1781</v>
      </c>
      <c r="H777" s="2" t="s">
        <v>1782</v>
      </c>
      <c r="I777" s="2" t="s">
        <v>940</v>
      </c>
      <c r="J777" s="2" t="s">
        <v>35</v>
      </c>
      <c r="K777" s="2" t="s">
        <v>35</v>
      </c>
      <c r="L777" s="2" t="s">
        <v>35</v>
      </c>
      <c r="M777" s="2" t="s">
        <v>35</v>
      </c>
      <c r="N777" s="3">
        <v>44748.601175312499</v>
      </c>
      <c r="O777" s="3">
        <v>44748.601422361113</v>
      </c>
      <c r="P777" s="2">
        <v>0</v>
      </c>
      <c r="Q777" s="2" t="s">
        <v>124</v>
      </c>
      <c r="R777" s="2" t="s">
        <v>38</v>
      </c>
      <c r="S777" s="2" t="s">
        <v>35</v>
      </c>
      <c r="T777" s="2" t="s">
        <v>35</v>
      </c>
      <c r="U777" s="2" t="s">
        <v>35</v>
      </c>
      <c r="V777" s="2" t="b">
        <v>0</v>
      </c>
      <c r="W777" s="2" t="s">
        <v>35</v>
      </c>
      <c r="X777" s="2">
        <v>4</v>
      </c>
      <c r="Y777" s="2" t="s">
        <v>35</v>
      </c>
      <c r="Z777" s="2" t="s">
        <v>35</v>
      </c>
    </row>
    <row r="778" spans="1:26" x14ac:dyDescent="0.2">
      <c r="A778" s="2" t="s">
        <v>1783</v>
      </c>
      <c r="B778" s="2" t="b">
        <v>0</v>
      </c>
      <c r="C778" s="2" t="b">
        <v>0</v>
      </c>
      <c r="D778" s="2" t="b">
        <v>0</v>
      </c>
      <c r="E778" s="2" t="b">
        <v>0</v>
      </c>
      <c r="F778" s="2" t="s">
        <v>31</v>
      </c>
      <c r="G778" s="2" t="s">
        <v>1784</v>
      </c>
      <c r="H778" s="2" t="s">
        <v>1785</v>
      </c>
      <c r="I778" s="2" t="s">
        <v>940</v>
      </c>
      <c r="J778" s="2" t="s">
        <v>35</v>
      </c>
      <c r="K778" s="2" t="s">
        <v>35</v>
      </c>
      <c r="L778" s="2" t="s">
        <v>35</v>
      </c>
      <c r="M778" s="2" t="s">
        <v>35</v>
      </c>
      <c r="N778" s="3">
        <v>44748.602517222222</v>
      </c>
      <c r="O778" s="3">
        <v>44748.602736354165</v>
      </c>
      <c r="P778" s="2">
        <v>0</v>
      </c>
      <c r="Q778" s="2" t="s">
        <v>124</v>
      </c>
      <c r="R778" s="2" t="s">
        <v>38</v>
      </c>
      <c r="S778" s="2" t="s">
        <v>35</v>
      </c>
      <c r="T778" s="2" t="s">
        <v>35</v>
      </c>
      <c r="U778" s="2" t="s">
        <v>35</v>
      </c>
      <c r="V778" s="2" t="b">
        <v>0</v>
      </c>
      <c r="W778" s="2" t="s">
        <v>35</v>
      </c>
      <c r="X778" s="2">
        <v>4</v>
      </c>
      <c r="Y778" s="2" t="s">
        <v>35</v>
      </c>
      <c r="Z778" s="2" t="s">
        <v>35</v>
      </c>
    </row>
    <row r="779" spans="1:26" x14ac:dyDescent="0.2">
      <c r="A779" s="2" t="s">
        <v>1786</v>
      </c>
      <c r="B779" s="2" t="b">
        <v>0</v>
      </c>
      <c r="C779" s="2" t="b">
        <v>0</v>
      </c>
      <c r="D779" s="2" t="b">
        <v>0</v>
      </c>
      <c r="E779" s="2" t="b">
        <v>0</v>
      </c>
      <c r="F779" s="2" t="s">
        <v>31</v>
      </c>
      <c r="G779" s="2" t="s">
        <v>1787</v>
      </c>
      <c r="H779" s="2" t="s">
        <v>1788</v>
      </c>
      <c r="I779" s="2" t="s">
        <v>940</v>
      </c>
      <c r="J779" s="2" t="s">
        <v>35</v>
      </c>
      <c r="K779" s="2" t="s">
        <v>35</v>
      </c>
      <c r="L779" s="2" t="s">
        <v>35</v>
      </c>
      <c r="M779" s="2" t="s">
        <v>35</v>
      </c>
      <c r="N779" s="3">
        <v>44748.603118449071</v>
      </c>
      <c r="O779" s="3">
        <v>44748.603509652778</v>
      </c>
      <c r="P779" s="2">
        <v>0</v>
      </c>
      <c r="Q779" s="2" t="s">
        <v>124</v>
      </c>
      <c r="R779" s="2" t="s">
        <v>38</v>
      </c>
      <c r="S779" s="2" t="s">
        <v>35</v>
      </c>
      <c r="T779" s="2" t="s">
        <v>35</v>
      </c>
      <c r="U779" s="2" t="s">
        <v>35</v>
      </c>
      <c r="V779" s="2" t="b">
        <v>0</v>
      </c>
      <c r="W779" s="2" t="s">
        <v>35</v>
      </c>
      <c r="X779" s="2">
        <v>4</v>
      </c>
      <c r="Y779" s="2" t="s">
        <v>35</v>
      </c>
      <c r="Z779" s="2" t="s">
        <v>35</v>
      </c>
    </row>
    <row r="780" spans="1:26" x14ac:dyDescent="0.2">
      <c r="A780" s="2" t="s">
        <v>1789</v>
      </c>
      <c r="B780" s="2" t="b">
        <v>0</v>
      </c>
      <c r="C780" s="2" t="b">
        <v>0</v>
      </c>
      <c r="D780" s="2" t="b">
        <v>0</v>
      </c>
      <c r="E780" s="2" t="b">
        <v>0</v>
      </c>
      <c r="F780" s="2" t="s">
        <v>31</v>
      </c>
      <c r="G780" s="2" t="s">
        <v>1790</v>
      </c>
      <c r="H780" s="2" t="s">
        <v>1791</v>
      </c>
      <c r="I780" s="2" t="s">
        <v>35</v>
      </c>
      <c r="J780" s="2" t="s">
        <v>35</v>
      </c>
      <c r="K780" s="2" t="s">
        <v>35</v>
      </c>
      <c r="L780" s="2" t="s">
        <v>35</v>
      </c>
      <c r="M780" s="2" t="s">
        <v>35</v>
      </c>
      <c r="N780" s="3">
        <v>44748.603703171299</v>
      </c>
      <c r="O780" s="3">
        <v>44748.604172638887</v>
      </c>
      <c r="P780" s="2">
        <v>0</v>
      </c>
      <c r="Q780" s="2" t="s">
        <v>36</v>
      </c>
      <c r="R780" s="2" t="s">
        <v>38</v>
      </c>
      <c r="S780" s="2" t="s">
        <v>35</v>
      </c>
      <c r="T780" s="2" t="s">
        <v>35</v>
      </c>
      <c r="U780" s="2" t="s">
        <v>35</v>
      </c>
      <c r="V780" s="2" t="b">
        <v>0</v>
      </c>
      <c r="W780" s="2" t="s">
        <v>35</v>
      </c>
      <c r="X780" s="2" t="s">
        <v>35</v>
      </c>
      <c r="Y780" s="2" t="s">
        <v>35</v>
      </c>
      <c r="Z780" s="2">
        <v>2</v>
      </c>
    </row>
    <row r="781" spans="1:26" x14ac:dyDescent="0.2">
      <c r="A781" s="2" t="s">
        <v>1792</v>
      </c>
      <c r="B781" s="2" t="b">
        <v>0</v>
      </c>
      <c r="C781" s="2" t="b">
        <v>0</v>
      </c>
      <c r="D781" s="2" t="b">
        <v>0</v>
      </c>
      <c r="E781" s="2" t="b">
        <v>0</v>
      </c>
      <c r="F781" s="2" t="s">
        <v>31</v>
      </c>
      <c r="G781" s="2" t="s">
        <v>1793</v>
      </c>
      <c r="H781" s="2" t="s">
        <v>1794</v>
      </c>
      <c r="I781" s="2" t="s">
        <v>35</v>
      </c>
      <c r="J781" s="2" t="s">
        <v>35</v>
      </c>
      <c r="K781" s="2" t="s">
        <v>35</v>
      </c>
      <c r="L781" s="2" t="s">
        <v>35</v>
      </c>
      <c r="M781" s="2" t="s">
        <v>35</v>
      </c>
      <c r="N781" s="3">
        <v>44748.604962581019</v>
      </c>
      <c r="O781" s="3">
        <v>44748.605159317129</v>
      </c>
      <c r="P781" s="2">
        <v>0</v>
      </c>
      <c r="Q781" s="2" t="s">
        <v>36</v>
      </c>
      <c r="R781" s="2" t="s">
        <v>38</v>
      </c>
      <c r="S781" s="2" t="s">
        <v>35</v>
      </c>
      <c r="T781" s="2" t="s">
        <v>35</v>
      </c>
      <c r="U781" s="2" t="s">
        <v>35</v>
      </c>
      <c r="V781" s="2" t="b">
        <v>0</v>
      </c>
      <c r="W781" s="2" t="s">
        <v>35</v>
      </c>
      <c r="X781" s="2" t="s">
        <v>35</v>
      </c>
      <c r="Y781" s="2" t="s">
        <v>35</v>
      </c>
      <c r="Z781" s="2">
        <v>2</v>
      </c>
    </row>
    <row r="782" spans="1:26" x14ac:dyDescent="0.2">
      <c r="A782" s="2" t="s">
        <v>1795</v>
      </c>
      <c r="B782" s="2" t="b">
        <v>0</v>
      </c>
      <c r="C782" s="2" t="b">
        <v>0</v>
      </c>
      <c r="D782" s="2" t="b">
        <v>0</v>
      </c>
      <c r="E782" s="2" t="b">
        <v>0</v>
      </c>
      <c r="F782" s="2" t="s">
        <v>31</v>
      </c>
      <c r="G782" s="2" t="s">
        <v>1796</v>
      </c>
      <c r="H782" s="2" t="s">
        <v>1797</v>
      </c>
      <c r="I782" s="2" t="s">
        <v>35</v>
      </c>
      <c r="J782" s="2" t="s">
        <v>35</v>
      </c>
      <c r="K782" s="2" t="s">
        <v>35</v>
      </c>
      <c r="L782" s="2" t="s">
        <v>35</v>
      </c>
      <c r="M782" s="2" t="s">
        <v>35</v>
      </c>
      <c r="N782" s="3">
        <v>44748.606437604169</v>
      </c>
      <c r="O782" s="3">
        <v>44748.606557326391</v>
      </c>
      <c r="P782" s="2">
        <v>0</v>
      </c>
      <c r="Q782" s="2" t="s">
        <v>36</v>
      </c>
      <c r="R782" s="2" t="s">
        <v>38</v>
      </c>
      <c r="S782" s="2" t="s">
        <v>35</v>
      </c>
      <c r="T782" s="2" t="s">
        <v>35</v>
      </c>
      <c r="U782" s="2" t="s">
        <v>35</v>
      </c>
      <c r="V782" s="2" t="b">
        <v>0</v>
      </c>
      <c r="W782" s="2" t="s">
        <v>35</v>
      </c>
      <c r="X782" s="2" t="s">
        <v>35</v>
      </c>
      <c r="Y782" s="2" t="s">
        <v>35</v>
      </c>
      <c r="Z782" s="2">
        <v>3</v>
      </c>
    </row>
    <row r="783" spans="1:26" x14ac:dyDescent="0.2">
      <c r="A783" s="2" t="s">
        <v>1798</v>
      </c>
      <c r="B783" s="2" t="b">
        <v>0</v>
      </c>
      <c r="C783" s="2" t="b">
        <v>0</v>
      </c>
      <c r="D783" s="2" t="b">
        <v>0</v>
      </c>
      <c r="E783" s="2" t="b">
        <v>0</v>
      </c>
      <c r="F783" s="2" t="s">
        <v>31</v>
      </c>
      <c r="G783" s="2" t="s">
        <v>1799</v>
      </c>
      <c r="H783" s="2" t="s">
        <v>1800</v>
      </c>
      <c r="I783" s="2" t="s">
        <v>35</v>
      </c>
      <c r="J783" s="2" t="s">
        <v>35</v>
      </c>
      <c r="K783" s="2" t="s">
        <v>35</v>
      </c>
      <c r="L783" s="2" t="s">
        <v>35</v>
      </c>
      <c r="M783" s="2" t="s">
        <v>35</v>
      </c>
      <c r="N783" s="3">
        <v>44748.607157106482</v>
      </c>
      <c r="O783" s="3">
        <v>44748.607420763889</v>
      </c>
      <c r="P783" s="2">
        <v>0</v>
      </c>
      <c r="Q783" s="2" t="s">
        <v>36</v>
      </c>
      <c r="R783" s="2" t="s">
        <v>38</v>
      </c>
      <c r="S783" s="2" t="s">
        <v>35</v>
      </c>
      <c r="T783" s="2" t="s">
        <v>35</v>
      </c>
      <c r="U783" s="2" t="s">
        <v>35</v>
      </c>
      <c r="V783" s="2" t="b">
        <v>0</v>
      </c>
      <c r="W783" s="2" t="s">
        <v>35</v>
      </c>
      <c r="X783" s="2" t="s">
        <v>35</v>
      </c>
      <c r="Y783" s="2" t="s">
        <v>35</v>
      </c>
      <c r="Z783" s="2">
        <v>2</v>
      </c>
    </row>
    <row r="784" spans="1:26" x14ac:dyDescent="0.2">
      <c r="A784" s="2" t="s">
        <v>1801</v>
      </c>
      <c r="B784" s="2" t="b">
        <v>0</v>
      </c>
      <c r="C784" s="2" t="b">
        <v>0</v>
      </c>
      <c r="D784" s="2" t="b">
        <v>0</v>
      </c>
      <c r="E784" s="2" t="b">
        <v>0</v>
      </c>
      <c r="F784" s="2" t="s">
        <v>31</v>
      </c>
      <c r="G784" s="2" t="s">
        <v>1802</v>
      </c>
      <c r="H784" s="2" t="s">
        <v>1803</v>
      </c>
      <c r="I784" s="2" t="s">
        <v>35</v>
      </c>
      <c r="J784" s="2" t="s">
        <v>35</v>
      </c>
      <c r="K784" s="2" t="s">
        <v>35</v>
      </c>
      <c r="L784" s="2" t="s">
        <v>35</v>
      </c>
      <c r="M784" s="2" t="s">
        <v>35</v>
      </c>
      <c r="N784" s="3">
        <v>44748.609893530091</v>
      </c>
      <c r="O784" s="3">
        <v>44748.61001585648</v>
      </c>
      <c r="P784" s="2">
        <v>0</v>
      </c>
      <c r="Q784" s="2" t="s">
        <v>36</v>
      </c>
      <c r="R784" s="2" t="s">
        <v>38</v>
      </c>
      <c r="S784" s="2" t="s">
        <v>35</v>
      </c>
      <c r="T784" s="2" t="s">
        <v>35</v>
      </c>
      <c r="U784" s="2" t="s">
        <v>35</v>
      </c>
      <c r="V784" s="2" t="b">
        <v>0</v>
      </c>
      <c r="W784" s="2" t="s">
        <v>35</v>
      </c>
      <c r="X784" s="2" t="s">
        <v>35</v>
      </c>
      <c r="Y784" s="2" t="s">
        <v>35</v>
      </c>
      <c r="Z784" s="2">
        <v>4</v>
      </c>
    </row>
    <row r="785" spans="1:26" x14ac:dyDescent="0.2">
      <c r="A785" s="2" t="s">
        <v>1804</v>
      </c>
      <c r="B785" s="2" t="b">
        <v>0</v>
      </c>
      <c r="C785" s="2" t="b">
        <v>0</v>
      </c>
      <c r="D785" s="2" t="b">
        <v>0</v>
      </c>
      <c r="E785" s="2" t="b">
        <v>0</v>
      </c>
      <c r="F785" s="2" t="s">
        <v>31</v>
      </c>
      <c r="G785" s="2" t="s">
        <v>1805</v>
      </c>
      <c r="H785" s="2" t="s">
        <v>1806</v>
      </c>
      <c r="I785" s="2" t="s">
        <v>940</v>
      </c>
      <c r="J785" s="2" t="s">
        <v>35</v>
      </c>
      <c r="K785" s="2" t="s">
        <v>35</v>
      </c>
      <c r="L785" s="2" t="s">
        <v>35</v>
      </c>
      <c r="M785" s="2" t="s">
        <v>35</v>
      </c>
      <c r="N785" s="3">
        <v>44748.611765462963</v>
      </c>
      <c r="O785" s="3">
        <v>44748.611956400462</v>
      </c>
      <c r="P785" s="2">
        <v>0</v>
      </c>
      <c r="Q785" s="2" t="s">
        <v>124</v>
      </c>
      <c r="R785" s="2" t="s">
        <v>38</v>
      </c>
      <c r="S785" s="2" t="s">
        <v>35</v>
      </c>
      <c r="T785" s="2" t="s">
        <v>35</v>
      </c>
      <c r="U785" s="2" t="s">
        <v>35</v>
      </c>
      <c r="V785" s="2" t="b">
        <v>0</v>
      </c>
      <c r="W785" s="2" t="s">
        <v>35</v>
      </c>
      <c r="X785" s="2">
        <v>4</v>
      </c>
      <c r="Y785" s="2" t="s">
        <v>35</v>
      </c>
      <c r="Z785" s="2" t="s">
        <v>35</v>
      </c>
    </row>
    <row r="786" spans="1:26" x14ac:dyDescent="0.2">
      <c r="A786" s="2" t="s">
        <v>1807</v>
      </c>
      <c r="B786" s="2" t="b">
        <v>0</v>
      </c>
      <c r="C786" s="2" t="b">
        <v>0</v>
      </c>
      <c r="D786" s="2" t="b">
        <v>0</v>
      </c>
      <c r="E786" s="2" t="b">
        <v>1</v>
      </c>
      <c r="F786" s="2" t="s">
        <v>31</v>
      </c>
      <c r="G786" s="2" t="s">
        <v>1808</v>
      </c>
      <c r="H786" s="2" t="s">
        <v>1809</v>
      </c>
      <c r="I786" s="2" t="s">
        <v>1810</v>
      </c>
      <c r="J786" s="2" t="s">
        <v>35</v>
      </c>
      <c r="K786" s="2">
        <v>15</v>
      </c>
      <c r="L786" s="2" t="s">
        <v>35</v>
      </c>
      <c r="M786" s="2" t="s">
        <v>35</v>
      </c>
      <c r="N786" s="3">
        <v>44748.612043310182</v>
      </c>
      <c r="O786" s="3">
        <v>44748.613276701391</v>
      </c>
      <c r="P786" s="2">
        <v>0</v>
      </c>
      <c r="Q786" s="2" t="s">
        <v>265</v>
      </c>
      <c r="R786" s="2" t="s">
        <v>38</v>
      </c>
      <c r="S786" s="2" t="s">
        <v>35</v>
      </c>
      <c r="T786" s="2" t="s">
        <v>35</v>
      </c>
      <c r="U786" s="2" t="s">
        <v>35</v>
      </c>
      <c r="V786" s="2" t="b">
        <v>0</v>
      </c>
      <c r="W786" s="2" t="s">
        <v>35</v>
      </c>
      <c r="X786" s="2" t="s">
        <v>35</v>
      </c>
      <c r="Y786" s="2" t="s">
        <v>35</v>
      </c>
      <c r="Z786" s="2" t="s">
        <v>35</v>
      </c>
    </row>
    <row r="787" spans="1:26" x14ac:dyDescent="0.2">
      <c r="A787" s="2" t="s">
        <v>1811</v>
      </c>
      <c r="B787" s="2" t="b">
        <v>0</v>
      </c>
      <c r="C787" s="2" t="b">
        <v>0</v>
      </c>
      <c r="D787" s="2" t="b">
        <v>0</v>
      </c>
      <c r="E787" s="2" t="b">
        <v>0</v>
      </c>
      <c r="F787" s="2" t="s">
        <v>31</v>
      </c>
      <c r="G787" s="2" t="s">
        <v>1812</v>
      </c>
      <c r="H787" s="2" t="s">
        <v>1813</v>
      </c>
      <c r="I787" s="2" t="s">
        <v>35</v>
      </c>
      <c r="J787" s="2" t="s">
        <v>35</v>
      </c>
      <c r="K787" s="2" t="s">
        <v>35</v>
      </c>
      <c r="L787" s="2" t="s">
        <v>35</v>
      </c>
      <c r="M787" s="2" t="s">
        <v>35</v>
      </c>
      <c r="N787" s="3">
        <v>44748.613734837963</v>
      </c>
      <c r="O787" s="3">
        <v>44748.613858171295</v>
      </c>
      <c r="P787" s="2">
        <v>0</v>
      </c>
      <c r="Q787" s="2" t="s">
        <v>36</v>
      </c>
      <c r="R787" s="2" t="s">
        <v>38</v>
      </c>
      <c r="S787" s="2" t="s">
        <v>35</v>
      </c>
      <c r="T787" s="2" t="s">
        <v>35</v>
      </c>
      <c r="U787" s="2" t="s">
        <v>35</v>
      </c>
      <c r="V787" s="2" t="b">
        <v>0</v>
      </c>
      <c r="W787" s="2" t="s">
        <v>35</v>
      </c>
      <c r="X787" s="2" t="s">
        <v>35</v>
      </c>
      <c r="Y787" s="2" t="s">
        <v>35</v>
      </c>
      <c r="Z787" s="2">
        <v>3</v>
      </c>
    </row>
    <row r="788" spans="1:26" x14ac:dyDescent="0.2">
      <c r="A788" s="2" t="s">
        <v>1814</v>
      </c>
      <c r="B788" s="2" t="b">
        <v>0</v>
      </c>
      <c r="C788" s="2" t="b">
        <v>0</v>
      </c>
      <c r="D788" s="2" t="b">
        <v>0</v>
      </c>
      <c r="E788" s="2" t="b">
        <v>0</v>
      </c>
      <c r="F788" s="2" t="s">
        <v>31</v>
      </c>
      <c r="G788" s="2" t="s">
        <v>1815</v>
      </c>
      <c r="H788" s="2" t="s">
        <v>1816</v>
      </c>
      <c r="I788" s="2" t="s">
        <v>35</v>
      </c>
      <c r="J788" s="2" t="s">
        <v>35</v>
      </c>
      <c r="K788" s="2" t="s">
        <v>35</v>
      </c>
      <c r="L788" s="2" t="s">
        <v>35</v>
      </c>
      <c r="M788" s="2" t="s">
        <v>35</v>
      </c>
      <c r="N788" s="3">
        <v>44748.615874027775</v>
      </c>
      <c r="O788" s="3">
        <v>44748.616050416669</v>
      </c>
      <c r="P788" s="2">
        <v>0</v>
      </c>
      <c r="Q788" s="2" t="s">
        <v>36</v>
      </c>
      <c r="R788" s="2" t="s">
        <v>38</v>
      </c>
      <c r="S788" s="2" t="s">
        <v>35</v>
      </c>
      <c r="T788" s="2" t="s">
        <v>35</v>
      </c>
      <c r="U788" s="2" t="s">
        <v>35</v>
      </c>
      <c r="V788" s="2" t="b">
        <v>0</v>
      </c>
      <c r="W788" s="2" t="s">
        <v>35</v>
      </c>
      <c r="X788" s="2" t="s">
        <v>35</v>
      </c>
      <c r="Y788" s="2" t="s">
        <v>35</v>
      </c>
      <c r="Z788" s="2">
        <v>2</v>
      </c>
    </row>
    <row r="789" spans="1:26" x14ac:dyDescent="0.2">
      <c r="A789" s="2" t="s">
        <v>1817</v>
      </c>
      <c r="B789" s="2" t="b">
        <v>0</v>
      </c>
      <c r="C789" s="2" t="b">
        <v>0</v>
      </c>
      <c r="D789" s="2" t="b">
        <v>0</v>
      </c>
      <c r="E789" s="2" t="b">
        <v>0</v>
      </c>
      <c r="F789" s="2" t="s">
        <v>31</v>
      </c>
      <c r="G789" s="2" t="s">
        <v>1818</v>
      </c>
      <c r="H789" s="2" t="s">
        <v>1819</v>
      </c>
      <c r="I789" s="2" t="s">
        <v>35</v>
      </c>
      <c r="J789" s="2" t="s">
        <v>35</v>
      </c>
      <c r="K789" s="2" t="s">
        <v>35</v>
      </c>
      <c r="L789" s="2">
        <v>2</v>
      </c>
      <c r="M789" s="2">
        <v>15</v>
      </c>
      <c r="N789" s="3">
        <v>44748.61629322917</v>
      </c>
      <c r="O789" s="3">
        <v>44748.616743564817</v>
      </c>
      <c r="P789" s="2">
        <v>0</v>
      </c>
      <c r="Q789" s="2" t="s">
        <v>54</v>
      </c>
      <c r="R789" s="2" t="s">
        <v>38</v>
      </c>
      <c r="S789" s="2" t="s">
        <v>35</v>
      </c>
      <c r="T789" s="2" t="s">
        <v>35</v>
      </c>
      <c r="U789" s="2" t="s">
        <v>35</v>
      </c>
      <c r="V789" s="2" t="b">
        <v>0</v>
      </c>
      <c r="W789" s="2" t="s">
        <v>35</v>
      </c>
      <c r="X789" s="2" t="s">
        <v>35</v>
      </c>
      <c r="Y789" s="2" t="s">
        <v>35</v>
      </c>
      <c r="Z789" s="2" t="s">
        <v>35</v>
      </c>
    </row>
    <row r="790" spans="1:26" x14ac:dyDescent="0.2">
      <c r="A790" s="2" t="s">
        <v>1820</v>
      </c>
      <c r="B790" s="2" t="b">
        <v>0</v>
      </c>
      <c r="C790" s="2" t="b">
        <v>0</v>
      </c>
      <c r="D790" s="2" t="b">
        <v>0</v>
      </c>
      <c r="E790" s="2" t="b">
        <v>0</v>
      </c>
      <c r="F790" s="2" t="s">
        <v>31</v>
      </c>
      <c r="G790" s="2" t="s">
        <v>1821</v>
      </c>
      <c r="H790" s="2" t="s">
        <v>1822</v>
      </c>
      <c r="I790" s="2" t="s">
        <v>119</v>
      </c>
      <c r="J790" s="2" t="s">
        <v>35</v>
      </c>
      <c r="K790" s="2" t="s">
        <v>35</v>
      </c>
      <c r="L790" s="2" t="s">
        <v>35</v>
      </c>
      <c r="M790" s="2" t="s">
        <v>35</v>
      </c>
      <c r="N790" s="3">
        <v>44748.617552708332</v>
      </c>
      <c r="O790" s="3">
        <v>44748.61790636574</v>
      </c>
      <c r="P790" s="2">
        <v>0</v>
      </c>
      <c r="Q790" s="2" t="s">
        <v>416</v>
      </c>
      <c r="R790" s="2" t="s">
        <v>38</v>
      </c>
      <c r="S790" s="2" t="s">
        <v>35</v>
      </c>
      <c r="T790" s="2">
        <v>0</v>
      </c>
      <c r="U790" s="2" t="s">
        <v>1823</v>
      </c>
      <c r="V790" s="2" t="b">
        <v>0</v>
      </c>
      <c r="W790" s="2" t="s">
        <v>35</v>
      </c>
      <c r="X790" s="2" t="s">
        <v>35</v>
      </c>
      <c r="Y790" s="2" t="s">
        <v>35</v>
      </c>
      <c r="Z790" s="2" t="s">
        <v>35</v>
      </c>
    </row>
    <row r="791" spans="1:26" x14ac:dyDescent="0.2">
      <c r="A791" s="2" t="s">
        <v>9288</v>
      </c>
      <c r="B791" s="2" t="b">
        <v>0</v>
      </c>
      <c r="C791" s="2" t="b">
        <v>0</v>
      </c>
      <c r="D791" s="2" t="b">
        <v>0</v>
      </c>
      <c r="E791" s="2" t="b">
        <v>0</v>
      </c>
      <c r="F791" s="2" t="s">
        <v>121</v>
      </c>
      <c r="G791" s="2" t="s">
        <v>149</v>
      </c>
      <c r="H791" s="2" t="s">
        <v>1825</v>
      </c>
      <c r="I791" s="2" t="s">
        <v>35</v>
      </c>
      <c r="J791" s="2" t="s">
        <v>35</v>
      </c>
      <c r="K791" s="2" t="s">
        <v>35</v>
      </c>
      <c r="L791" s="2" t="s">
        <v>35</v>
      </c>
      <c r="M791" s="2" t="s">
        <v>35</v>
      </c>
      <c r="N791" s="3">
        <v>44748.632398148147</v>
      </c>
      <c r="O791" s="3">
        <v>44748.632413541665</v>
      </c>
      <c r="P791" s="2">
        <v>0</v>
      </c>
      <c r="Q791" s="2" t="s">
        <v>35</v>
      </c>
      <c r="R791" s="2" t="s">
        <v>38</v>
      </c>
      <c r="S791" s="2" t="s">
        <v>35</v>
      </c>
      <c r="T791" s="2" t="s">
        <v>35</v>
      </c>
      <c r="U791" s="2" t="s">
        <v>35</v>
      </c>
      <c r="V791" s="2" t="b">
        <v>0</v>
      </c>
      <c r="W791" s="2" t="s">
        <v>35</v>
      </c>
      <c r="X791" s="2" t="s">
        <v>35</v>
      </c>
      <c r="Y791" s="2" t="s">
        <v>35</v>
      </c>
      <c r="Z791" s="2" t="s">
        <v>35</v>
      </c>
    </row>
    <row r="792" spans="1:26" x14ac:dyDescent="0.2">
      <c r="A792" s="2" t="s">
        <v>1824</v>
      </c>
      <c r="B792" s="2" t="b">
        <v>0</v>
      </c>
      <c r="C792" s="2" t="b">
        <v>0</v>
      </c>
      <c r="D792" s="2" t="b">
        <v>0</v>
      </c>
      <c r="E792" s="2" t="b">
        <v>0</v>
      </c>
      <c r="F792" s="2" t="s">
        <v>121</v>
      </c>
      <c r="G792" s="2" t="s">
        <v>149</v>
      </c>
      <c r="H792" s="2" t="s">
        <v>1825</v>
      </c>
      <c r="I792" s="2" t="s">
        <v>35</v>
      </c>
      <c r="J792" s="2" t="s">
        <v>35</v>
      </c>
      <c r="K792" s="2" t="s">
        <v>35</v>
      </c>
      <c r="L792" s="2" t="s">
        <v>35</v>
      </c>
      <c r="M792" s="2" t="s">
        <v>35</v>
      </c>
      <c r="N792" s="3">
        <v>44748.632398310183</v>
      </c>
      <c r="O792" s="3">
        <v>44748.632413576386</v>
      </c>
      <c r="P792" s="2">
        <v>0</v>
      </c>
      <c r="Q792" s="2" t="s">
        <v>124</v>
      </c>
      <c r="R792" s="2" t="s">
        <v>38</v>
      </c>
      <c r="S792" s="2" t="s">
        <v>35</v>
      </c>
      <c r="T792" s="2" t="s">
        <v>35</v>
      </c>
      <c r="U792" s="2" t="s">
        <v>35</v>
      </c>
      <c r="V792" s="2" t="b">
        <v>0</v>
      </c>
      <c r="W792" s="2" t="s">
        <v>35</v>
      </c>
      <c r="X792" s="2" t="s">
        <v>35</v>
      </c>
      <c r="Y792" s="2" t="s">
        <v>35</v>
      </c>
      <c r="Z792" s="2" t="s">
        <v>35</v>
      </c>
    </row>
    <row r="793" spans="1:26" x14ac:dyDescent="0.2">
      <c r="A793" s="2" t="s">
        <v>1827</v>
      </c>
      <c r="B793" s="2" t="b">
        <v>0</v>
      </c>
      <c r="C793" s="2" t="b">
        <v>0</v>
      </c>
      <c r="D793" s="2" t="b">
        <v>0</v>
      </c>
      <c r="E793" s="2" t="b">
        <v>0</v>
      </c>
      <c r="F793" s="2" t="s">
        <v>121</v>
      </c>
      <c r="G793" s="2" t="s">
        <v>149</v>
      </c>
      <c r="H793" s="2" t="s">
        <v>1825</v>
      </c>
      <c r="I793" s="2" t="s">
        <v>35</v>
      </c>
      <c r="J793" s="2" t="s">
        <v>35</v>
      </c>
      <c r="K793" s="2" t="s">
        <v>35</v>
      </c>
      <c r="L793" s="2" t="s">
        <v>35</v>
      </c>
      <c r="M793" s="2" t="s">
        <v>35</v>
      </c>
      <c r="N793" s="3">
        <v>44748.63239846065</v>
      </c>
      <c r="O793" s="3">
        <v>44748.632413587962</v>
      </c>
      <c r="P793" s="2">
        <v>0</v>
      </c>
      <c r="Q793" s="2" t="s">
        <v>124</v>
      </c>
      <c r="R793" s="2" t="s">
        <v>38</v>
      </c>
      <c r="S793" s="2" t="s">
        <v>35</v>
      </c>
      <c r="T793" s="2" t="s">
        <v>35</v>
      </c>
      <c r="U793" s="2" t="s">
        <v>35</v>
      </c>
      <c r="V793" s="2" t="b">
        <v>0</v>
      </c>
      <c r="W793" s="2" t="s">
        <v>35</v>
      </c>
      <c r="X793" s="2" t="s">
        <v>35</v>
      </c>
      <c r="Y793" s="2" t="s">
        <v>35</v>
      </c>
      <c r="Z793" s="2" t="s">
        <v>35</v>
      </c>
    </row>
    <row r="794" spans="1:26" x14ac:dyDescent="0.2">
      <c r="A794" s="2" t="s">
        <v>1828</v>
      </c>
      <c r="B794" s="2" t="b">
        <v>0</v>
      </c>
      <c r="C794" s="2" t="b">
        <v>0</v>
      </c>
      <c r="D794" s="2" t="b">
        <v>0</v>
      </c>
      <c r="E794" s="2" t="b">
        <v>0</v>
      </c>
      <c r="F794" s="2" t="s">
        <v>31</v>
      </c>
      <c r="G794" s="2" t="s">
        <v>1829</v>
      </c>
      <c r="H794" s="2" t="s">
        <v>1830</v>
      </c>
      <c r="I794" s="2" t="s">
        <v>1831</v>
      </c>
      <c r="J794" s="2" t="s">
        <v>35</v>
      </c>
      <c r="K794" s="2" t="s">
        <v>35</v>
      </c>
      <c r="L794" s="2" t="s">
        <v>35</v>
      </c>
      <c r="M794" s="2" t="s">
        <v>35</v>
      </c>
      <c r="N794" s="3">
        <v>44748.632398576388</v>
      </c>
      <c r="O794" s="3">
        <v>44748.632904386577</v>
      </c>
      <c r="P794" s="2">
        <v>0</v>
      </c>
      <c r="Q794" s="2" t="s">
        <v>36</v>
      </c>
      <c r="R794" s="2" t="s">
        <v>38</v>
      </c>
      <c r="S794" s="2" t="s">
        <v>35</v>
      </c>
      <c r="T794" s="2" t="s">
        <v>35</v>
      </c>
      <c r="U794" s="2" t="s">
        <v>35</v>
      </c>
      <c r="V794" s="2" t="b">
        <v>0</v>
      </c>
      <c r="W794" s="2" t="s">
        <v>35</v>
      </c>
      <c r="X794" s="2">
        <v>4</v>
      </c>
      <c r="Y794" s="2">
        <v>3</v>
      </c>
      <c r="Z794" s="2" t="s">
        <v>35</v>
      </c>
    </row>
    <row r="795" spans="1:26" x14ac:dyDescent="0.2">
      <c r="A795" s="2" t="s">
        <v>1832</v>
      </c>
      <c r="B795" s="2" t="b">
        <v>0</v>
      </c>
      <c r="C795" s="2" t="b">
        <v>0</v>
      </c>
      <c r="D795" s="2" t="b">
        <v>0</v>
      </c>
      <c r="E795" s="2" t="b">
        <v>0</v>
      </c>
      <c r="F795" s="2" t="s">
        <v>31</v>
      </c>
      <c r="G795" s="2" t="s">
        <v>149</v>
      </c>
      <c r="H795" s="2" t="s">
        <v>1825</v>
      </c>
      <c r="I795" s="2" t="s">
        <v>940</v>
      </c>
      <c r="J795" s="2" t="s">
        <v>35</v>
      </c>
      <c r="K795" s="2" t="s">
        <v>35</v>
      </c>
      <c r="L795" s="2" t="s">
        <v>35</v>
      </c>
      <c r="M795" s="2" t="s">
        <v>35</v>
      </c>
      <c r="N795" s="3">
        <v>44748.63239864583</v>
      </c>
      <c r="O795" s="3">
        <v>44748.632413599538</v>
      </c>
      <c r="P795" s="2">
        <v>0</v>
      </c>
      <c r="Q795" s="2" t="s">
        <v>124</v>
      </c>
      <c r="R795" s="2" t="s">
        <v>38</v>
      </c>
      <c r="S795" s="2" t="s">
        <v>35</v>
      </c>
      <c r="T795" s="2" t="s">
        <v>35</v>
      </c>
      <c r="U795" s="2" t="s">
        <v>35</v>
      </c>
      <c r="V795" s="2" t="b">
        <v>0</v>
      </c>
      <c r="W795" s="2" t="s">
        <v>35</v>
      </c>
      <c r="X795" s="2">
        <v>4</v>
      </c>
      <c r="Y795" s="2" t="s">
        <v>35</v>
      </c>
      <c r="Z795" s="2" t="s">
        <v>35</v>
      </c>
    </row>
    <row r="796" spans="1:26" x14ac:dyDescent="0.2">
      <c r="A796" s="2" t="s">
        <v>1833</v>
      </c>
      <c r="B796" s="2" t="b">
        <v>0</v>
      </c>
      <c r="C796" s="2" t="b">
        <v>0</v>
      </c>
      <c r="D796" s="2" t="b">
        <v>0</v>
      </c>
      <c r="E796" s="2" t="b">
        <v>0</v>
      </c>
      <c r="F796" s="2" t="s">
        <v>31</v>
      </c>
      <c r="G796" s="2" t="s">
        <v>149</v>
      </c>
      <c r="H796" s="2" t="s">
        <v>1834</v>
      </c>
      <c r="I796" s="2" t="s">
        <v>1835</v>
      </c>
      <c r="J796" s="2" t="s">
        <v>35</v>
      </c>
      <c r="K796" s="2" t="s">
        <v>35</v>
      </c>
      <c r="L796" s="2" t="s">
        <v>35</v>
      </c>
      <c r="M796" s="2" t="s">
        <v>35</v>
      </c>
      <c r="N796" s="3">
        <v>44748.634756111111</v>
      </c>
      <c r="O796" s="3">
        <v>44748.635266516205</v>
      </c>
      <c r="P796" s="2">
        <v>0</v>
      </c>
      <c r="Q796" s="2" t="s">
        <v>36</v>
      </c>
      <c r="R796" s="2" t="s">
        <v>38</v>
      </c>
      <c r="S796" s="2" t="s">
        <v>35</v>
      </c>
      <c r="T796" s="2" t="s">
        <v>35</v>
      </c>
      <c r="U796" s="2" t="s">
        <v>35</v>
      </c>
      <c r="V796" s="2" t="b">
        <v>0</v>
      </c>
      <c r="W796" s="2" t="s">
        <v>35</v>
      </c>
      <c r="X796" s="2" t="s">
        <v>35</v>
      </c>
      <c r="Y796" s="2">
        <v>6</v>
      </c>
      <c r="Z796" s="2" t="s">
        <v>35</v>
      </c>
    </row>
    <row r="797" spans="1:26" x14ac:dyDescent="0.2">
      <c r="A797" s="2" t="s">
        <v>1836</v>
      </c>
      <c r="B797" s="2" t="b">
        <v>0</v>
      </c>
      <c r="C797" s="2" t="b">
        <v>0</v>
      </c>
      <c r="D797" s="2" t="b">
        <v>0</v>
      </c>
      <c r="E797" s="2" t="b">
        <v>0</v>
      </c>
      <c r="F797" s="2" t="s">
        <v>31</v>
      </c>
      <c r="G797" s="2" t="s">
        <v>149</v>
      </c>
      <c r="H797" s="2" t="s">
        <v>1837</v>
      </c>
      <c r="I797" s="2" t="s">
        <v>35</v>
      </c>
      <c r="J797" s="2" t="s">
        <v>35</v>
      </c>
      <c r="K797" s="2" t="s">
        <v>35</v>
      </c>
      <c r="L797" s="2">
        <v>21</v>
      </c>
      <c r="M797" s="2">
        <v>16</v>
      </c>
      <c r="N797" s="3">
        <v>44748.636153784719</v>
      </c>
      <c r="O797" s="3">
        <v>44748.636500231485</v>
      </c>
      <c r="P797" s="2">
        <v>0</v>
      </c>
      <c r="Q797" s="2" t="s">
        <v>54</v>
      </c>
      <c r="R797" s="2" t="s">
        <v>38</v>
      </c>
      <c r="S797" s="2" t="s">
        <v>35</v>
      </c>
      <c r="T797" s="2" t="s">
        <v>35</v>
      </c>
      <c r="U797" s="2" t="s">
        <v>35</v>
      </c>
      <c r="V797" s="2" t="b">
        <v>0</v>
      </c>
      <c r="W797" s="2" t="s">
        <v>35</v>
      </c>
      <c r="X797" s="2" t="s">
        <v>35</v>
      </c>
      <c r="Y797" s="2" t="s">
        <v>35</v>
      </c>
      <c r="Z797" s="2" t="s">
        <v>35</v>
      </c>
    </row>
    <row r="798" spans="1:26" x14ac:dyDescent="0.2">
      <c r="A798" s="2" t="s">
        <v>1838</v>
      </c>
      <c r="B798" s="2" t="b">
        <v>0</v>
      </c>
      <c r="C798" s="2" t="b">
        <v>0</v>
      </c>
      <c r="D798" s="2" t="b">
        <v>0</v>
      </c>
      <c r="E798" s="2" t="b">
        <v>0</v>
      </c>
      <c r="F798" s="2" t="s">
        <v>31</v>
      </c>
      <c r="G798" s="2" t="s">
        <v>149</v>
      </c>
      <c r="H798" s="2" t="s">
        <v>1839</v>
      </c>
      <c r="I798" s="2" t="s">
        <v>35</v>
      </c>
      <c r="J798" s="2" t="s">
        <v>35</v>
      </c>
      <c r="K798" s="2" t="s">
        <v>35</v>
      </c>
      <c r="L798" s="2">
        <v>15</v>
      </c>
      <c r="M798" s="2">
        <v>16</v>
      </c>
      <c r="N798" s="3">
        <v>44748.636723449075</v>
      </c>
      <c r="O798" s="3">
        <v>44748.63696916667</v>
      </c>
      <c r="P798" s="2">
        <v>0</v>
      </c>
      <c r="Q798" s="2" t="s">
        <v>54</v>
      </c>
      <c r="R798" s="2" t="s">
        <v>38</v>
      </c>
      <c r="S798" s="2" t="s">
        <v>35</v>
      </c>
      <c r="T798" s="2" t="s">
        <v>35</v>
      </c>
      <c r="U798" s="2" t="s">
        <v>35</v>
      </c>
      <c r="V798" s="2" t="b">
        <v>0</v>
      </c>
      <c r="W798" s="2" t="s">
        <v>35</v>
      </c>
      <c r="X798" s="2" t="s">
        <v>35</v>
      </c>
      <c r="Y798" s="2" t="s">
        <v>35</v>
      </c>
      <c r="Z798" s="2" t="s">
        <v>35</v>
      </c>
    </row>
    <row r="799" spans="1:26" x14ac:dyDescent="0.2">
      <c r="A799" s="2" t="s">
        <v>1840</v>
      </c>
      <c r="B799" s="2" t="b">
        <v>0</v>
      </c>
      <c r="C799" s="2" t="b">
        <v>0</v>
      </c>
      <c r="D799" s="2" t="b">
        <v>0</v>
      </c>
      <c r="E799" s="2" t="b">
        <v>0</v>
      </c>
      <c r="F799" s="2" t="s">
        <v>31</v>
      </c>
      <c r="G799" s="2" t="s">
        <v>149</v>
      </c>
      <c r="H799" s="2" t="s">
        <v>1841</v>
      </c>
      <c r="I799" s="2" t="s">
        <v>35</v>
      </c>
      <c r="J799" s="2" t="s">
        <v>35</v>
      </c>
      <c r="K799" s="2" t="s">
        <v>35</v>
      </c>
      <c r="L799" s="2" t="s">
        <v>35</v>
      </c>
      <c r="M799" s="2" t="s">
        <v>35</v>
      </c>
      <c r="N799" s="3">
        <v>44748.637738333331</v>
      </c>
      <c r="O799" s="3">
        <v>44748.637836608796</v>
      </c>
      <c r="P799" s="2">
        <v>0</v>
      </c>
      <c r="Q799" s="2" t="s">
        <v>36</v>
      </c>
      <c r="R799" s="2" t="s">
        <v>38</v>
      </c>
      <c r="S799" s="2" t="s">
        <v>35</v>
      </c>
      <c r="T799" s="2" t="s">
        <v>35</v>
      </c>
      <c r="U799" s="2" t="s">
        <v>35</v>
      </c>
      <c r="V799" s="2" t="b">
        <v>0</v>
      </c>
      <c r="W799" s="2" t="s">
        <v>35</v>
      </c>
      <c r="X799" s="2" t="s">
        <v>35</v>
      </c>
      <c r="Y799" s="2" t="s">
        <v>35</v>
      </c>
      <c r="Z799" s="2">
        <v>2</v>
      </c>
    </row>
    <row r="800" spans="1:26" x14ac:dyDescent="0.2">
      <c r="A800" s="2" t="s">
        <v>1842</v>
      </c>
      <c r="B800" s="2" t="b">
        <v>0</v>
      </c>
      <c r="C800" s="2" t="b">
        <v>0</v>
      </c>
      <c r="D800" s="2" t="b">
        <v>0</v>
      </c>
      <c r="E800" s="2" t="b">
        <v>0</v>
      </c>
      <c r="F800" s="2" t="s">
        <v>31</v>
      </c>
      <c r="G800" s="2" t="s">
        <v>149</v>
      </c>
      <c r="H800" s="2" t="s">
        <v>1843</v>
      </c>
      <c r="I800" s="2" t="s">
        <v>940</v>
      </c>
      <c r="J800" s="2" t="s">
        <v>35</v>
      </c>
      <c r="K800" s="2" t="s">
        <v>35</v>
      </c>
      <c r="L800" s="2" t="s">
        <v>35</v>
      </c>
      <c r="M800" s="2" t="s">
        <v>35</v>
      </c>
      <c r="N800" s="3">
        <v>44748.640732384258</v>
      </c>
      <c r="O800" s="3">
        <v>44748.641055</v>
      </c>
      <c r="P800" s="2">
        <v>0</v>
      </c>
      <c r="Q800" s="2" t="s">
        <v>124</v>
      </c>
      <c r="R800" s="2" t="s">
        <v>38</v>
      </c>
      <c r="S800" s="2" t="s">
        <v>35</v>
      </c>
      <c r="T800" s="2" t="s">
        <v>35</v>
      </c>
      <c r="U800" s="2" t="s">
        <v>35</v>
      </c>
      <c r="V800" s="2" t="b">
        <v>0</v>
      </c>
      <c r="W800" s="2" t="s">
        <v>35</v>
      </c>
      <c r="X800" s="2">
        <v>4</v>
      </c>
      <c r="Y800" s="2" t="s">
        <v>35</v>
      </c>
      <c r="Z800" s="2" t="s">
        <v>35</v>
      </c>
    </row>
    <row r="801" spans="1:26" x14ac:dyDescent="0.2">
      <c r="A801" s="2" t="s">
        <v>1844</v>
      </c>
      <c r="B801" s="2" t="b">
        <v>0</v>
      </c>
      <c r="C801" s="2" t="b">
        <v>0</v>
      </c>
      <c r="D801" s="2" t="b">
        <v>0</v>
      </c>
      <c r="E801" s="2" t="b">
        <v>0</v>
      </c>
      <c r="F801" s="2" t="s">
        <v>31</v>
      </c>
      <c r="G801" s="2" t="s">
        <v>1845</v>
      </c>
      <c r="H801" s="2" t="s">
        <v>1846</v>
      </c>
      <c r="I801" s="2" t="s">
        <v>940</v>
      </c>
      <c r="J801" s="2" t="s">
        <v>35</v>
      </c>
      <c r="K801" s="2" t="s">
        <v>35</v>
      </c>
      <c r="L801" s="2" t="s">
        <v>35</v>
      </c>
      <c r="M801" s="2" t="s">
        <v>35</v>
      </c>
      <c r="N801" s="3">
        <v>44748.641262800928</v>
      </c>
      <c r="O801" s="3">
        <v>44748.641960069443</v>
      </c>
      <c r="P801" s="2">
        <v>0</v>
      </c>
      <c r="Q801" s="2" t="s">
        <v>124</v>
      </c>
      <c r="R801" s="2" t="s">
        <v>38</v>
      </c>
      <c r="S801" s="2" t="s">
        <v>35</v>
      </c>
      <c r="T801" s="2" t="s">
        <v>35</v>
      </c>
      <c r="U801" s="2" t="s">
        <v>35</v>
      </c>
      <c r="V801" s="2" t="b">
        <v>0</v>
      </c>
      <c r="W801" s="2" t="s">
        <v>35</v>
      </c>
      <c r="X801" s="2">
        <v>4</v>
      </c>
      <c r="Y801" s="2" t="s">
        <v>35</v>
      </c>
      <c r="Z801" s="2" t="s">
        <v>35</v>
      </c>
    </row>
    <row r="802" spans="1:26" x14ac:dyDescent="0.2">
      <c r="A802" s="2" t="s">
        <v>1847</v>
      </c>
      <c r="B802" s="2" t="b">
        <v>0</v>
      </c>
      <c r="C802" s="2" t="b">
        <v>0</v>
      </c>
      <c r="D802" s="2" t="b">
        <v>0</v>
      </c>
      <c r="E802" s="2" t="b">
        <v>0</v>
      </c>
      <c r="F802" s="2" t="s">
        <v>31</v>
      </c>
      <c r="G802" s="2" t="s">
        <v>1848</v>
      </c>
      <c r="H802" s="2" t="s">
        <v>1849</v>
      </c>
      <c r="I802" s="2" t="s">
        <v>1850</v>
      </c>
      <c r="J802" s="2" t="s">
        <v>35</v>
      </c>
      <c r="K802" s="2" t="s">
        <v>35</v>
      </c>
      <c r="L802" s="2" t="s">
        <v>35</v>
      </c>
      <c r="M802" s="2" t="s">
        <v>35</v>
      </c>
      <c r="N802" s="3">
        <v>44748.644376296295</v>
      </c>
      <c r="O802" s="3">
        <v>44748.644803819443</v>
      </c>
      <c r="P802" s="2">
        <v>0</v>
      </c>
      <c r="Q802" s="2" t="s">
        <v>36</v>
      </c>
      <c r="R802" s="2" t="s">
        <v>38</v>
      </c>
      <c r="S802" s="2" t="s">
        <v>35</v>
      </c>
      <c r="T802" s="2" t="s">
        <v>35</v>
      </c>
      <c r="U802" s="2" t="s">
        <v>35</v>
      </c>
      <c r="V802" s="2" t="b">
        <v>0</v>
      </c>
      <c r="W802" s="2" t="s">
        <v>35</v>
      </c>
      <c r="X802" s="2" t="s">
        <v>35</v>
      </c>
      <c r="Y802" s="2">
        <v>6</v>
      </c>
      <c r="Z802" s="2" t="s">
        <v>35</v>
      </c>
    </row>
    <row r="803" spans="1:26" x14ac:dyDescent="0.2">
      <c r="A803" s="2" t="s">
        <v>1851</v>
      </c>
      <c r="B803" s="2" t="b">
        <v>0</v>
      </c>
      <c r="C803" s="2" t="b">
        <v>0</v>
      </c>
      <c r="D803" s="2" t="b">
        <v>0</v>
      </c>
      <c r="E803" s="2" t="b">
        <v>0</v>
      </c>
      <c r="F803" s="2" t="s">
        <v>31</v>
      </c>
      <c r="G803" s="2" t="s">
        <v>149</v>
      </c>
      <c r="H803" s="2" t="s">
        <v>1852</v>
      </c>
      <c r="I803" s="2" t="s">
        <v>35</v>
      </c>
      <c r="J803" s="2" t="s">
        <v>35</v>
      </c>
      <c r="K803" s="2" t="s">
        <v>35</v>
      </c>
      <c r="L803" s="2" t="s">
        <v>35</v>
      </c>
      <c r="M803" s="2" t="s">
        <v>35</v>
      </c>
      <c r="N803" s="3">
        <v>44748.645682893519</v>
      </c>
      <c r="O803" s="3">
        <v>44748.645792546296</v>
      </c>
      <c r="P803" s="2">
        <v>0</v>
      </c>
      <c r="Q803" s="2" t="s">
        <v>36</v>
      </c>
      <c r="R803" s="2" t="s">
        <v>38</v>
      </c>
      <c r="S803" s="2" t="s">
        <v>35</v>
      </c>
      <c r="T803" s="2" t="s">
        <v>35</v>
      </c>
      <c r="U803" s="2" t="s">
        <v>35</v>
      </c>
      <c r="V803" s="2" t="b">
        <v>0</v>
      </c>
      <c r="W803" s="2" t="s">
        <v>35</v>
      </c>
      <c r="X803" s="2" t="s">
        <v>35</v>
      </c>
      <c r="Y803" s="2" t="s">
        <v>35</v>
      </c>
      <c r="Z803" s="2">
        <v>3</v>
      </c>
    </row>
    <row r="804" spans="1:26" x14ac:dyDescent="0.2">
      <c r="A804" s="2" t="s">
        <v>1853</v>
      </c>
      <c r="B804" s="2" t="b">
        <v>0</v>
      </c>
      <c r="C804" s="2" t="b">
        <v>0</v>
      </c>
      <c r="D804" s="2" t="b">
        <v>0</v>
      </c>
      <c r="E804" s="2" t="b">
        <v>0</v>
      </c>
      <c r="F804" s="2" t="s">
        <v>31</v>
      </c>
      <c r="G804" s="2" t="s">
        <v>1854</v>
      </c>
      <c r="H804" s="2" t="s">
        <v>1855</v>
      </c>
      <c r="I804" s="2" t="s">
        <v>1850</v>
      </c>
      <c r="J804" s="2" t="s">
        <v>35</v>
      </c>
      <c r="K804" s="2" t="s">
        <v>35</v>
      </c>
      <c r="L804" s="2" t="s">
        <v>35</v>
      </c>
      <c r="M804" s="2" t="s">
        <v>35</v>
      </c>
      <c r="N804" s="3">
        <v>44748.646535254629</v>
      </c>
      <c r="O804" s="3">
        <v>44748.64697047454</v>
      </c>
      <c r="P804" s="2">
        <v>0</v>
      </c>
      <c r="Q804" s="2" t="s">
        <v>36</v>
      </c>
      <c r="R804" s="2" t="s">
        <v>38</v>
      </c>
      <c r="S804" s="2" t="s">
        <v>35</v>
      </c>
      <c r="T804" s="2" t="s">
        <v>35</v>
      </c>
      <c r="U804" s="2" t="s">
        <v>35</v>
      </c>
      <c r="V804" s="2" t="b">
        <v>0</v>
      </c>
      <c r="W804" s="2" t="s">
        <v>35</v>
      </c>
      <c r="X804" s="2" t="s">
        <v>35</v>
      </c>
      <c r="Y804" s="2">
        <v>6</v>
      </c>
      <c r="Z804" s="2" t="s">
        <v>35</v>
      </c>
    </row>
    <row r="805" spans="1:26" x14ac:dyDescent="0.2">
      <c r="A805" s="2" t="s">
        <v>1856</v>
      </c>
      <c r="B805" s="2" t="b">
        <v>0</v>
      </c>
      <c r="C805" s="2" t="b">
        <v>0</v>
      </c>
      <c r="D805" s="2" t="b">
        <v>0</v>
      </c>
      <c r="E805" s="2" t="b">
        <v>0</v>
      </c>
      <c r="F805" s="2" t="s">
        <v>31</v>
      </c>
      <c r="G805" s="2" t="s">
        <v>1857</v>
      </c>
      <c r="H805" s="2" t="s">
        <v>1858</v>
      </c>
      <c r="I805" s="2" t="s">
        <v>35</v>
      </c>
      <c r="J805" s="2" t="s">
        <v>35</v>
      </c>
      <c r="K805" s="2" t="s">
        <v>35</v>
      </c>
      <c r="L805" s="2">
        <v>28</v>
      </c>
      <c r="M805" s="2">
        <v>15</v>
      </c>
      <c r="N805" s="3">
        <v>44748.647654837965</v>
      </c>
      <c r="O805" s="3">
        <v>44748.648228182872</v>
      </c>
      <c r="P805" s="2">
        <v>0</v>
      </c>
      <c r="Q805" s="2" t="s">
        <v>54</v>
      </c>
      <c r="R805" s="2" t="s">
        <v>38</v>
      </c>
      <c r="S805" s="2" t="s">
        <v>35</v>
      </c>
      <c r="T805" s="2" t="s">
        <v>35</v>
      </c>
      <c r="U805" s="2" t="s">
        <v>35</v>
      </c>
      <c r="V805" s="2" t="b">
        <v>0</v>
      </c>
      <c r="W805" s="2" t="s">
        <v>35</v>
      </c>
      <c r="X805" s="2" t="s">
        <v>35</v>
      </c>
      <c r="Y805" s="2" t="s">
        <v>35</v>
      </c>
      <c r="Z805" s="2" t="s">
        <v>35</v>
      </c>
    </row>
    <row r="806" spans="1:26" x14ac:dyDescent="0.2">
      <c r="A806" s="2" t="s">
        <v>1859</v>
      </c>
      <c r="B806" s="2" t="b">
        <v>0</v>
      </c>
      <c r="C806" s="2" t="b">
        <v>0</v>
      </c>
      <c r="D806" s="2" t="b">
        <v>0</v>
      </c>
      <c r="E806" s="2" t="b">
        <v>0</v>
      </c>
      <c r="F806" s="2" t="s">
        <v>31</v>
      </c>
      <c r="G806" s="2" t="s">
        <v>1860</v>
      </c>
      <c r="H806" s="2" t="s">
        <v>1861</v>
      </c>
      <c r="I806" s="2" t="s">
        <v>35</v>
      </c>
      <c r="J806" s="2" t="s">
        <v>35</v>
      </c>
      <c r="K806" s="2" t="s">
        <v>35</v>
      </c>
      <c r="L806" s="2">
        <v>7</v>
      </c>
      <c r="M806" s="2">
        <v>15</v>
      </c>
      <c r="N806" s="3">
        <v>44748.649184421294</v>
      </c>
      <c r="O806" s="3">
        <v>44748.649443344904</v>
      </c>
      <c r="P806" s="2">
        <v>0</v>
      </c>
      <c r="Q806" s="2" t="s">
        <v>54</v>
      </c>
      <c r="R806" s="2" t="s">
        <v>38</v>
      </c>
      <c r="S806" s="2" t="s">
        <v>35</v>
      </c>
      <c r="T806" s="2" t="s">
        <v>35</v>
      </c>
      <c r="U806" s="2" t="s">
        <v>35</v>
      </c>
      <c r="V806" s="2" t="b">
        <v>0</v>
      </c>
      <c r="W806" s="2" t="s">
        <v>35</v>
      </c>
      <c r="X806" s="2" t="s">
        <v>35</v>
      </c>
      <c r="Y806" s="2" t="s">
        <v>35</v>
      </c>
      <c r="Z806" s="2" t="s">
        <v>35</v>
      </c>
    </row>
    <row r="807" spans="1:26" x14ac:dyDescent="0.2">
      <c r="A807" s="2" t="s">
        <v>1862</v>
      </c>
      <c r="B807" s="2" t="b">
        <v>0</v>
      </c>
      <c r="C807" s="2" t="b">
        <v>0</v>
      </c>
      <c r="D807" s="2" t="b">
        <v>0</v>
      </c>
      <c r="E807" s="2" t="b">
        <v>0</v>
      </c>
      <c r="F807" s="2" t="s">
        <v>31</v>
      </c>
      <c r="G807" s="2" t="s">
        <v>1863</v>
      </c>
      <c r="H807" s="2" t="s">
        <v>1864</v>
      </c>
      <c r="I807" s="2" t="s">
        <v>35</v>
      </c>
      <c r="J807" s="2" t="s">
        <v>35</v>
      </c>
      <c r="K807" s="2" t="s">
        <v>35</v>
      </c>
      <c r="L807" s="2">
        <v>3</v>
      </c>
      <c r="M807" s="2">
        <v>15</v>
      </c>
      <c r="N807" s="3">
        <v>44748.649944178243</v>
      </c>
      <c r="O807" s="3">
        <v>44748.650079583334</v>
      </c>
      <c r="P807" s="2">
        <v>0</v>
      </c>
      <c r="Q807" s="2" t="s">
        <v>54</v>
      </c>
      <c r="R807" s="2" t="s">
        <v>38</v>
      </c>
      <c r="S807" s="2" t="s">
        <v>35</v>
      </c>
      <c r="T807" s="2" t="s">
        <v>35</v>
      </c>
      <c r="U807" s="2" t="s">
        <v>35</v>
      </c>
      <c r="V807" s="2" t="b">
        <v>0</v>
      </c>
      <c r="W807" s="2" t="s">
        <v>35</v>
      </c>
      <c r="X807" s="2" t="s">
        <v>35</v>
      </c>
      <c r="Y807" s="2" t="s">
        <v>35</v>
      </c>
      <c r="Z807" s="2" t="s">
        <v>35</v>
      </c>
    </row>
    <row r="808" spans="1:26" x14ac:dyDescent="0.2">
      <c r="A808" s="2" t="s">
        <v>1865</v>
      </c>
      <c r="B808" s="2" t="b">
        <v>0</v>
      </c>
      <c r="C808" s="2" t="b">
        <v>0</v>
      </c>
      <c r="D808" s="2" t="b">
        <v>0</v>
      </c>
      <c r="E808" s="2" t="b">
        <v>0</v>
      </c>
      <c r="F808" s="2" t="s">
        <v>31</v>
      </c>
      <c r="G808" s="2" t="s">
        <v>149</v>
      </c>
      <c r="H808" s="2" t="s">
        <v>1866</v>
      </c>
      <c r="I808" s="2" t="s">
        <v>35</v>
      </c>
      <c r="J808" s="2" t="s">
        <v>35</v>
      </c>
      <c r="K808" s="2" t="s">
        <v>35</v>
      </c>
      <c r="L808" s="2">
        <v>40</v>
      </c>
      <c r="M808" s="2">
        <v>16</v>
      </c>
      <c r="N808" s="3">
        <v>44748.650737060183</v>
      </c>
      <c r="O808" s="3">
        <v>44748.651270972223</v>
      </c>
      <c r="P808" s="2">
        <v>0</v>
      </c>
      <c r="Q808" s="2" t="s">
        <v>54</v>
      </c>
      <c r="R808" s="2" t="s">
        <v>38</v>
      </c>
      <c r="S808" s="2" t="s">
        <v>35</v>
      </c>
      <c r="T808" s="2" t="s">
        <v>35</v>
      </c>
      <c r="U808" s="2" t="s">
        <v>35</v>
      </c>
      <c r="V808" s="2" t="b">
        <v>0</v>
      </c>
      <c r="W808" s="2" t="s">
        <v>35</v>
      </c>
      <c r="X808" s="2" t="s">
        <v>35</v>
      </c>
      <c r="Y808" s="2" t="s">
        <v>35</v>
      </c>
      <c r="Z808" s="2" t="s">
        <v>35</v>
      </c>
    </row>
    <row r="809" spans="1:26" x14ac:dyDescent="0.2">
      <c r="A809" s="2" t="s">
        <v>1867</v>
      </c>
      <c r="B809" s="2" t="b">
        <v>0</v>
      </c>
      <c r="C809" s="2" t="b">
        <v>0</v>
      </c>
      <c r="D809" s="2" t="b">
        <v>0</v>
      </c>
      <c r="E809" s="2" t="b">
        <v>0</v>
      </c>
      <c r="F809" s="2" t="s">
        <v>31</v>
      </c>
      <c r="G809" s="2" t="s">
        <v>1868</v>
      </c>
      <c r="H809" s="2" t="s">
        <v>1869</v>
      </c>
      <c r="I809" s="2" t="s">
        <v>940</v>
      </c>
      <c r="J809" s="2" t="s">
        <v>35</v>
      </c>
      <c r="K809" s="2" t="s">
        <v>35</v>
      </c>
      <c r="L809" s="2" t="s">
        <v>35</v>
      </c>
      <c r="M809" s="2" t="s">
        <v>35</v>
      </c>
      <c r="N809" s="3">
        <v>44748.652139687503</v>
      </c>
      <c r="O809" s="3">
        <v>44748.652556053239</v>
      </c>
      <c r="P809" s="2">
        <v>0</v>
      </c>
      <c r="Q809" s="2" t="s">
        <v>124</v>
      </c>
      <c r="R809" s="2" t="s">
        <v>38</v>
      </c>
      <c r="S809" s="2" t="s">
        <v>35</v>
      </c>
      <c r="T809" s="2" t="s">
        <v>35</v>
      </c>
      <c r="U809" s="2" t="s">
        <v>35</v>
      </c>
      <c r="V809" s="2" t="b">
        <v>0</v>
      </c>
      <c r="W809" s="2" t="s">
        <v>35</v>
      </c>
      <c r="X809" s="2">
        <v>4</v>
      </c>
      <c r="Y809" s="2" t="s">
        <v>35</v>
      </c>
      <c r="Z809" s="2" t="s">
        <v>35</v>
      </c>
    </row>
    <row r="810" spans="1:26" x14ac:dyDescent="0.2">
      <c r="A810" s="2" t="s">
        <v>1870</v>
      </c>
      <c r="B810" s="2" t="b">
        <v>0</v>
      </c>
      <c r="C810" s="2" t="b">
        <v>0</v>
      </c>
      <c r="D810" s="2" t="b">
        <v>0</v>
      </c>
      <c r="E810" s="2" t="b">
        <v>0</v>
      </c>
      <c r="F810" s="2" t="s">
        <v>31</v>
      </c>
      <c r="G810" s="2" t="s">
        <v>1871</v>
      </c>
      <c r="H810" s="2" t="s">
        <v>1872</v>
      </c>
      <c r="I810" s="2" t="s">
        <v>940</v>
      </c>
      <c r="J810" s="2" t="s">
        <v>35</v>
      </c>
      <c r="K810" s="2" t="s">
        <v>35</v>
      </c>
      <c r="L810" s="2" t="s">
        <v>35</v>
      </c>
      <c r="M810" s="2" t="s">
        <v>35</v>
      </c>
      <c r="N810" s="3">
        <v>44748.652601203707</v>
      </c>
      <c r="O810" s="3">
        <v>44748.652787800929</v>
      </c>
      <c r="P810" s="2">
        <v>0</v>
      </c>
      <c r="Q810" s="2" t="s">
        <v>124</v>
      </c>
      <c r="R810" s="2" t="s">
        <v>38</v>
      </c>
      <c r="S810" s="2" t="s">
        <v>35</v>
      </c>
      <c r="T810" s="2" t="s">
        <v>35</v>
      </c>
      <c r="U810" s="2" t="s">
        <v>35</v>
      </c>
      <c r="V810" s="2" t="b">
        <v>0</v>
      </c>
      <c r="W810" s="2" t="s">
        <v>35</v>
      </c>
      <c r="X810" s="2">
        <v>4</v>
      </c>
      <c r="Y810" s="2" t="s">
        <v>35</v>
      </c>
      <c r="Z810" s="2" t="s">
        <v>35</v>
      </c>
    </row>
    <row r="811" spans="1:26" x14ac:dyDescent="0.2">
      <c r="A811" s="2" t="s">
        <v>1873</v>
      </c>
      <c r="B811" s="2" t="b">
        <v>0</v>
      </c>
      <c r="C811" s="2" t="b">
        <v>0</v>
      </c>
      <c r="D811" s="2" t="b">
        <v>0</v>
      </c>
      <c r="E811" s="2" t="b">
        <v>0</v>
      </c>
      <c r="F811" s="2" t="s">
        <v>31</v>
      </c>
      <c r="G811" s="2" t="s">
        <v>1874</v>
      </c>
      <c r="H811" s="2" t="s">
        <v>1875</v>
      </c>
      <c r="I811" s="2" t="s">
        <v>35</v>
      </c>
      <c r="J811" s="2" t="s">
        <v>35</v>
      </c>
      <c r="K811" s="2" t="s">
        <v>35</v>
      </c>
      <c r="L811" s="2" t="s">
        <v>35</v>
      </c>
      <c r="M811" s="2" t="s">
        <v>35</v>
      </c>
      <c r="N811" s="3">
        <v>44748.653324733794</v>
      </c>
      <c r="O811" s="3">
        <v>44748.653696875001</v>
      </c>
      <c r="P811" s="2">
        <v>0</v>
      </c>
      <c r="Q811" s="2" t="s">
        <v>36</v>
      </c>
      <c r="R811" s="2" t="s">
        <v>38</v>
      </c>
      <c r="S811" s="2" t="s">
        <v>35</v>
      </c>
      <c r="T811" s="2" t="s">
        <v>35</v>
      </c>
      <c r="U811" s="2" t="s">
        <v>35</v>
      </c>
      <c r="V811" s="2" t="b">
        <v>0</v>
      </c>
      <c r="W811" s="2" t="s">
        <v>35</v>
      </c>
      <c r="X811" s="2" t="s">
        <v>35</v>
      </c>
      <c r="Y811" s="2" t="s">
        <v>35</v>
      </c>
      <c r="Z811" s="2">
        <v>3</v>
      </c>
    </row>
    <row r="812" spans="1:26" x14ac:dyDescent="0.2">
      <c r="A812" s="2" t="s">
        <v>1876</v>
      </c>
      <c r="B812" s="2" t="b">
        <v>0</v>
      </c>
      <c r="C812" s="2" t="b">
        <v>0</v>
      </c>
      <c r="D812" s="2" t="b">
        <v>0</v>
      </c>
      <c r="E812" s="2" t="b">
        <v>0</v>
      </c>
      <c r="F812" s="2" t="s">
        <v>31</v>
      </c>
      <c r="G812" s="2" t="s">
        <v>1877</v>
      </c>
      <c r="H812" s="2" t="s">
        <v>1878</v>
      </c>
      <c r="I812" s="2" t="s">
        <v>119</v>
      </c>
      <c r="J812" s="2" t="s">
        <v>35</v>
      </c>
      <c r="K812" s="2" t="s">
        <v>35</v>
      </c>
      <c r="L812" s="2" t="s">
        <v>35</v>
      </c>
      <c r="M812" s="2" t="s">
        <v>35</v>
      </c>
      <c r="N812" s="3">
        <v>44748.655982418983</v>
      </c>
      <c r="O812" s="3">
        <v>44748.656331412036</v>
      </c>
      <c r="P812" s="2">
        <v>0</v>
      </c>
      <c r="Q812" s="2" t="s">
        <v>416</v>
      </c>
      <c r="R812" s="2" t="s">
        <v>38</v>
      </c>
      <c r="S812" s="2" t="s">
        <v>35</v>
      </c>
      <c r="T812" s="2">
        <v>0</v>
      </c>
      <c r="U812" s="2" t="s">
        <v>1823</v>
      </c>
      <c r="V812" s="2" t="b">
        <v>0</v>
      </c>
      <c r="W812" s="2" t="s">
        <v>35</v>
      </c>
      <c r="X812" s="2" t="s">
        <v>35</v>
      </c>
      <c r="Y812" s="2" t="s">
        <v>35</v>
      </c>
      <c r="Z812" s="2" t="s">
        <v>35</v>
      </c>
    </row>
    <row r="813" spans="1:26" x14ac:dyDescent="0.2">
      <c r="A813" s="2" t="s">
        <v>1879</v>
      </c>
      <c r="B813" s="2" t="b">
        <v>0</v>
      </c>
      <c r="C813" s="2" t="b">
        <v>0</v>
      </c>
      <c r="D813" s="2" t="b">
        <v>0</v>
      </c>
      <c r="E813" s="2" t="b">
        <v>0</v>
      </c>
      <c r="F813" s="2" t="s">
        <v>31</v>
      </c>
      <c r="G813" s="2" t="s">
        <v>1880</v>
      </c>
      <c r="H813" s="2" t="s">
        <v>1881</v>
      </c>
      <c r="I813" s="2" t="s">
        <v>35</v>
      </c>
      <c r="J813" s="2" t="s">
        <v>35</v>
      </c>
      <c r="K813" s="2" t="s">
        <v>35</v>
      </c>
      <c r="L813" s="2">
        <v>40</v>
      </c>
      <c r="M813" s="2">
        <v>16</v>
      </c>
      <c r="N813" s="3">
        <v>44748.657814178237</v>
      </c>
      <c r="O813" s="3">
        <v>44748.658155821759</v>
      </c>
      <c r="P813" s="2">
        <v>0</v>
      </c>
      <c r="Q813" s="2" t="s">
        <v>54</v>
      </c>
      <c r="R813" s="2" t="s">
        <v>38</v>
      </c>
      <c r="S813" s="2" t="s">
        <v>35</v>
      </c>
      <c r="T813" s="2" t="s">
        <v>35</v>
      </c>
      <c r="U813" s="2" t="s">
        <v>35</v>
      </c>
      <c r="V813" s="2" t="b">
        <v>0</v>
      </c>
      <c r="W813" s="2" t="s">
        <v>35</v>
      </c>
      <c r="X813" s="2" t="s">
        <v>35</v>
      </c>
      <c r="Y813" s="2" t="s">
        <v>35</v>
      </c>
      <c r="Z813" s="2" t="s">
        <v>35</v>
      </c>
    </row>
    <row r="814" spans="1:26" x14ac:dyDescent="0.2">
      <c r="A814" s="2" t="s">
        <v>1882</v>
      </c>
      <c r="B814" s="2" t="b">
        <v>0</v>
      </c>
      <c r="C814" s="2" t="b">
        <v>0</v>
      </c>
      <c r="D814" s="2" t="b">
        <v>0</v>
      </c>
      <c r="E814" s="2" t="b">
        <v>0</v>
      </c>
      <c r="F814" s="2" t="s">
        <v>31</v>
      </c>
      <c r="G814" s="2" t="s">
        <v>1883</v>
      </c>
      <c r="H814" s="2" t="s">
        <v>1884</v>
      </c>
      <c r="I814" s="2" t="s">
        <v>35</v>
      </c>
      <c r="J814" s="2" t="s">
        <v>35</v>
      </c>
      <c r="K814" s="2" t="s">
        <v>35</v>
      </c>
      <c r="L814" s="2">
        <v>33</v>
      </c>
      <c r="M814" s="2">
        <v>16</v>
      </c>
      <c r="N814" s="3">
        <v>44748.658300138886</v>
      </c>
      <c r="O814" s="3">
        <v>44748.658715879632</v>
      </c>
      <c r="P814" s="2">
        <v>0</v>
      </c>
      <c r="Q814" s="2" t="s">
        <v>54</v>
      </c>
      <c r="R814" s="2" t="s">
        <v>38</v>
      </c>
      <c r="S814" s="2" t="s">
        <v>35</v>
      </c>
      <c r="T814" s="2" t="s">
        <v>35</v>
      </c>
      <c r="U814" s="2" t="s">
        <v>35</v>
      </c>
      <c r="V814" s="2" t="b">
        <v>0</v>
      </c>
      <c r="W814" s="2" t="s">
        <v>35</v>
      </c>
      <c r="X814" s="2" t="s">
        <v>35</v>
      </c>
      <c r="Y814" s="2" t="s">
        <v>35</v>
      </c>
      <c r="Z814" s="2" t="s">
        <v>35</v>
      </c>
    </row>
    <row r="815" spans="1:26" x14ac:dyDescent="0.2">
      <c r="A815" s="2" t="s">
        <v>1885</v>
      </c>
      <c r="B815" s="2" t="b">
        <v>0</v>
      </c>
      <c r="C815" s="2" t="b">
        <v>0</v>
      </c>
      <c r="D815" s="2" t="b">
        <v>0</v>
      </c>
      <c r="E815" s="2" t="b">
        <v>0</v>
      </c>
      <c r="F815" s="2" t="s">
        <v>31</v>
      </c>
      <c r="G815" s="2" t="s">
        <v>1886</v>
      </c>
      <c r="H815" s="2" t="s">
        <v>1887</v>
      </c>
      <c r="I815" s="2" t="s">
        <v>35</v>
      </c>
      <c r="J815" s="2" t="s">
        <v>35</v>
      </c>
      <c r="K815" s="2" t="s">
        <v>35</v>
      </c>
      <c r="L815" s="2">
        <v>29</v>
      </c>
      <c r="M815" s="2">
        <v>16</v>
      </c>
      <c r="N815" s="3">
        <v>44748.659699444448</v>
      </c>
      <c r="O815" s="3">
        <v>44748.659857222221</v>
      </c>
      <c r="P815" s="2">
        <v>0</v>
      </c>
      <c r="Q815" s="2" t="s">
        <v>54</v>
      </c>
      <c r="R815" s="2" t="s">
        <v>38</v>
      </c>
      <c r="S815" s="2" t="s">
        <v>35</v>
      </c>
      <c r="T815" s="2" t="s">
        <v>35</v>
      </c>
      <c r="U815" s="2" t="s">
        <v>35</v>
      </c>
      <c r="V815" s="2" t="b">
        <v>0</v>
      </c>
      <c r="W815" s="2" t="s">
        <v>35</v>
      </c>
      <c r="X815" s="2" t="s">
        <v>35</v>
      </c>
      <c r="Y815" s="2" t="s">
        <v>35</v>
      </c>
      <c r="Z815" s="2" t="s">
        <v>35</v>
      </c>
    </row>
    <row r="816" spans="1:26" x14ac:dyDescent="0.2">
      <c r="A816" s="2" t="s">
        <v>1888</v>
      </c>
      <c r="B816" s="2" t="b">
        <v>0</v>
      </c>
      <c r="C816" s="2" t="b">
        <v>0</v>
      </c>
      <c r="D816" s="2" t="b">
        <v>0</v>
      </c>
      <c r="E816" s="2" t="b">
        <v>0</v>
      </c>
      <c r="F816" s="2" t="s">
        <v>31</v>
      </c>
      <c r="G816" s="2" t="s">
        <v>1889</v>
      </c>
      <c r="H816" s="2" t="s">
        <v>1890</v>
      </c>
      <c r="I816" s="2" t="s">
        <v>35</v>
      </c>
      <c r="J816" s="2" t="s">
        <v>35</v>
      </c>
      <c r="K816" s="2" t="s">
        <v>35</v>
      </c>
      <c r="L816" s="2" t="s">
        <v>35</v>
      </c>
      <c r="M816" s="2" t="s">
        <v>35</v>
      </c>
      <c r="N816" s="3">
        <v>44748.665382303239</v>
      </c>
      <c r="O816" s="3">
        <v>44748.665591319441</v>
      </c>
      <c r="P816" s="2">
        <v>0</v>
      </c>
      <c r="Q816" s="2" t="s">
        <v>36</v>
      </c>
      <c r="R816" s="2" t="s">
        <v>38</v>
      </c>
      <c r="S816" s="2" t="s">
        <v>35</v>
      </c>
      <c r="T816" s="2" t="s">
        <v>35</v>
      </c>
      <c r="U816" s="2" t="s">
        <v>35</v>
      </c>
      <c r="V816" s="2" t="b">
        <v>0</v>
      </c>
      <c r="W816" s="2" t="s">
        <v>1891</v>
      </c>
      <c r="X816" s="2" t="s">
        <v>35</v>
      </c>
      <c r="Y816" s="2" t="s">
        <v>35</v>
      </c>
      <c r="Z816" s="2" t="s">
        <v>35</v>
      </c>
    </row>
    <row r="817" spans="1:26" x14ac:dyDescent="0.2">
      <c r="A817" s="2" t="s">
        <v>1892</v>
      </c>
      <c r="B817" s="2" t="b">
        <v>0</v>
      </c>
      <c r="C817" s="2" t="b">
        <v>0</v>
      </c>
      <c r="D817" s="2" t="b">
        <v>0</v>
      </c>
      <c r="E817" s="2" t="b">
        <v>0</v>
      </c>
      <c r="F817" s="2" t="s">
        <v>31</v>
      </c>
      <c r="G817" s="2" t="s">
        <v>1893</v>
      </c>
      <c r="H817" s="2" t="s">
        <v>1894</v>
      </c>
      <c r="I817" s="2" t="s">
        <v>35</v>
      </c>
      <c r="J817" s="2" t="s">
        <v>35</v>
      </c>
      <c r="K817" s="2" t="s">
        <v>35</v>
      </c>
      <c r="L817" s="2">
        <v>11</v>
      </c>
      <c r="M817" s="2">
        <v>25</v>
      </c>
      <c r="N817" s="3">
        <v>44748.666451828707</v>
      </c>
      <c r="O817" s="3">
        <v>44748.667457222225</v>
      </c>
      <c r="P817" s="2">
        <v>0</v>
      </c>
      <c r="Q817" s="2" t="s">
        <v>54</v>
      </c>
      <c r="R817" s="2" t="s">
        <v>38</v>
      </c>
      <c r="S817" s="2" t="s">
        <v>35</v>
      </c>
      <c r="T817" s="2" t="s">
        <v>35</v>
      </c>
      <c r="U817" s="2" t="s">
        <v>35</v>
      </c>
      <c r="V817" s="2" t="b">
        <v>0</v>
      </c>
      <c r="W817" s="2" t="s">
        <v>35</v>
      </c>
      <c r="X817" s="2" t="s">
        <v>35</v>
      </c>
      <c r="Y817" s="2" t="s">
        <v>35</v>
      </c>
      <c r="Z817" s="2" t="s">
        <v>35</v>
      </c>
    </row>
    <row r="818" spans="1:26" x14ac:dyDescent="0.2">
      <c r="A818" s="2" t="s">
        <v>1895</v>
      </c>
      <c r="B818" s="2" t="b">
        <v>0</v>
      </c>
      <c r="C818" s="2" t="b">
        <v>0</v>
      </c>
      <c r="D818" s="2" t="b">
        <v>0</v>
      </c>
      <c r="E818" s="2" t="b">
        <v>0</v>
      </c>
      <c r="F818" s="2" t="s">
        <v>31</v>
      </c>
      <c r="G818" s="2" t="s">
        <v>1896</v>
      </c>
      <c r="H818" s="2" t="s">
        <v>1897</v>
      </c>
      <c r="I818" s="2" t="s">
        <v>940</v>
      </c>
      <c r="J818" s="2" t="s">
        <v>35</v>
      </c>
      <c r="K818" s="2" t="s">
        <v>35</v>
      </c>
      <c r="L818" s="2" t="s">
        <v>35</v>
      </c>
      <c r="M818" s="2" t="s">
        <v>35</v>
      </c>
      <c r="N818" s="3">
        <v>44748.667972303243</v>
      </c>
      <c r="O818" s="3">
        <v>44748.668392210646</v>
      </c>
      <c r="P818" s="2">
        <v>0</v>
      </c>
      <c r="Q818" s="2" t="s">
        <v>124</v>
      </c>
      <c r="R818" s="2" t="s">
        <v>38</v>
      </c>
      <c r="S818" s="2" t="s">
        <v>35</v>
      </c>
      <c r="T818" s="2" t="s">
        <v>35</v>
      </c>
      <c r="U818" s="2" t="s">
        <v>35</v>
      </c>
      <c r="V818" s="2" t="b">
        <v>0</v>
      </c>
      <c r="W818" s="2" t="s">
        <v>35</v>
      </c>
      <c r="X818" s="2">
        <v>4</v>
      </c>
      <c r="Y818" s="2" t="s">
        <v>35</v>
      </c>
      <c r="Z818" s="2" t="s">
        <v>35</v>
      </c>
    </row>
    <row r="819" spans="1:26" x14ac:dyDescent="0.2">
      <c r="A819" s="2" t="s">
        <v>1898</v>
      </c>
      <c r="B819" s="2" t="b">
        <v>0</v>
      </c>
      <c r="C819" s="2" t="b">
        <v>0</v>
      </c>
      <c r="D819" s="2" t="b">
        <v>0</v>
      </c>
      <c r="E819" s="2" t="b">
        <v>0</v>
      </c>
      <c r="F819" s="2" t="s">
        <v>31</v>
      </c>
      <c r="G819" s="2" t="s">
        <v>149</v>
      </c>
      <c r="H819" s="2" t="s">
        <v>1899</v>
      </c>
      <c r="I819" s="2" t="s">
        <v>35</v>
      </c>
      <c r="J819" s="2" t="s">
        <v>35</v>
      </c>
      <c r="K819" s="2" t="s">
        <v>35</v>
      </c>
      <c r="L819" s="2">
        <v>6</v>
      </c>
      <c r="M819" s="2">
        <v>17</v>
      </c>
      <c r="N819" s="3">
        <v>44748.668539479164</v>
      </c>
      <c r="O819" s="3">
        <v>44748.668733020837</v>
      </c>
      <c r="P819" s="2">
        <v>0</v>
      </c>
      <c r="Q819" s="2" t="s">
        <v>54</v>
      </c>
      <c r="R819" s="2" t="s">
        <v>38</v>
      </c>
      <c r="S819" s="2" t="s">
        <v>35</v>
      </c>
      <c r="T819" s="2" t="s">
        <v>35</v>
      </c>
      <c r="U819" s="2" t="s">
        <v>35</v>
      </c>
      <c r="V819" s="2" t="b">
        <v>0</v>
      </c>
      <c r="W819" s="2" t="s">
        <v>35</v>
      </c>
      <c r="X819" s="2" t="s">
        <v>35</v>
      </c>
      <c r="Y819" s="2" t="s">
        <v>35</v>
      </c>
      <c r="Z819" s="2" t="s">
        <v>35</v>
      </c>
    </row>
    <row r="820" spans="1:26" x14ac:dyDescent="0.2">
      <c r="A820" s="2" t="s">
        <v>1900</v>
      </c>
      <c r="B820" s="2" t="b">
        <v>0</v>
      </c>
      <c r="C820" s="2" t="b">
        <v>0</v>
      </c>
      <c r="D820" s="2" t="b">
        <v>0</v>
      </c>
      <c r="E820" s="2" t="b">
        <v>0</v>
      </c>
      <c r="F820" s="2" t="s">
        <v>31</v>
      </c>
      <c r="G820" s="2" t="s">
        <v>149</v>
      </c>
      <c r="H820" s="2" t="s">
        <v>1901</v>
      </c>
      <c r="I820" s="2" t="s">
        <v>35</v>
      </c>
      <c r="J820" s="2" t="s">
        <v>35</v>
      </c>
      <c r="K820" s="2" t="s">
        <v>35</v>
      </c>
      <c r="L820" s="2" t="s">
        <v>35</v>
      </c>
      <c r="M820" s="2" t="s">
        <v>35</v>
      </c>
      <c r="N820" s="3">
        <v>44748.668928067127</v>
      </c>
      <c r="O820" s="3">
        <v>44748.669076666665</v>
      </c>
      <c r="P820" s="2">
        <v>0</v>
      </c>
      <c r="Q820" s="2" t="s">
        <v>36</v>
      </c>
      <c r="R820" s="2" t="s">
        <v>38</v>
      </c>
      <c r="S820" s="2" t="s">
        <v>35</v>
      </c>
      <c r="T820" s="2" t="s">
        <v>35</v>
      </c>
      <c r="U820" s="2" t="s">
        <v>35</v>
      </c>
      <c r="V820" s="2" t="b">
        <v>0</v>
      </c>
      <c r="W820" s="2" t="s">
        <v>1891</v>
      </c>
      <c r="X820" s="2" t="s">
        <v>35</v>
      </c>
      <c r="Y820" s="2" t="s">
        <v>35</v>
      </c>
      <c r="Z820" s="2" t="s">
        <v>35</v>
      </c>
    </row>
    <row r="821" spans="1:26" x14ac:dyDescent="0.2">
      <c r="A821" s="2" t="s">
        <v>1902</v>
      </c>
      <c r="B821" s="2" t="b">
        <v>0</v>
      </c>
      <c r="C821" s="2" t="b">
        <v>0</v>
      </c>
      <c r="D821" s="2" t="b">
        <v>0</v>
      </c>
      <c r="E821" s="2" t="b">
        <v>0</v>
      </c>
      <c r="F821" s="2" t="s">
        <v>31</v>
      </c>
      <c r="G821" s="2" t="s">
        <v>1903</v>
      </c>
      <c r="H821" s="2" t="s">
        <v>1904</v>
      </c>
      <c r="I821" s="2" t="s">
        <v>940</v>
      </c>
      <c r="J821" s="2" t="s">
        <v>35</v>
      </c>
      <c r="K821" s="2" t="s">
        <v>35</v>
      </c>
      <c r="L821" s="2" t="s">
        <v>35</v>
      </c>
      <c r="M821" s="2" t="s">
        <v>35</v>
      </c>
      <c r="N821" s="3">
        <v>44748.669739849538</v>
      </c>
      <c r="O821" s="3">
        <v>44748.670265624998</v>
      </c>
      <c r="P821" s="2">
        <v>0</v>
      </c>
      <c r="Q821" s="2" t="s">
        <v>124</v>
      </c>
      <c r="R821" s="2" t="s">
        <v>38</v>
      </c>
      <c r="S821" s="2" t="s">
        <v>35</v>
      </c>
      <c r="T821" s="2" t="s">
        <v>35</v>
      </c>
      <c r="U821" s="2" t="s">
        <v>35</v>
      </c>
      <c r="V821" s="2" t="b">
        <v>0</v>
      </c>
      <c r="W821" s="2" t="s">
        <v>35</v>
      </c>
      <c r="X821" s="2">
        <v>4</v>
      </c>
      <c r="Y821" s="2" t="s">
        <v>35</v>
      </c>
      <c r="Z821" s="2" t="s">
        <v>35</v>
      </c>
    </row>
    <row r="822" spans="1:26" x14ac:dyDescent="0.2">
      <c r="A822" s="2" t="s">
        <v>1905</v>
      </c>
      <c r="B822" s="2" t="b">
        <v>0</v>
      </c>
      <c r="C822" s="2" t="b">
        <v>0</v>
      </c>
      <c r="D822" s="2" t="b">
        <v>0</v>
      </c>
      <c r="E822" s="2" t="b">
        <v>0</v>
      </c>
      <c r="F822" s="2" t="s">
        <v>31</v>
      </c>
      <c r="G822" s="2" t="s">
        <v>1906</v>
      </c>
      <c r="H822" s="2" t="s">
        <v>1907</v>
      </c>
      <c r="I822" s="2" t="s">
        <v>35</v>
      </c>
      <c r="J822" s="2" t="s">
        <v>35</v>
      </c>
      <c r="K822" s="2" t="s">
        <v>35</v>
      </c>
      <c r="L822" s="2" t="s">
        <v>35</v>
      </c>
      <c r="M822" s="2" t="s">
        <v>35</v>
      </c>
      <c r="N822" s="3">
        <v>44748.671551898151</v>
      </c>
      <c r="O822" s="3">
        <v>44748.671674062498</v>
      </c>
      <c r="P822" s="2">
        <v>0</v>
      </c>
      <c r="Q822" s="2" t="s">
        <v>36</v>
      </c>
      <c r="R822" s="2" t="s">
        <v>38</v>
      </c>
      <c r="S822" s="2" t="s">
        <v>35</v>
      </c>
      <c r="T822" s="2" t="s">
        <v>35</v>
      </c>
      <c r="U822" s="2" t="s">
        <v>35</v>
      </c>
      <c r="V822" s="2" t="b">
        <v>0</v>
      </c>
      <c r="W822" s="2" t="s">
        <v>35</v>
      </c>
      <c r="X822" s="2" t="s">
        <v>35</v>
      </c>
      <c r="Y822" s="2" t="s">
        <v>35</v>
      </c>
      <c r="Z822" s="2">
        <v>2</v>
      </c>
    </row>
    <row r="823" spans="1:26" x14ac:dyDescent="0.2">
      <c r="A823" s="2" t="s">
        <v>1908</v>
      </c>
      <c r="B823" s="2" t="b">
        <v>0</v>
      </c>
      <c r="C823" s="2" t="b">
        <v>0</v>
      </c>
      <c r="D823" s="2" t="b">
        <v>0</v>
      </c>
      <c r="E823" s="2" t="b">
        <v>0</v>
      </c>
      <c r="F823" s="2" t="s">
        <v>31</v>
      </c>
      <c r="G823" s="2" t="s">
        <v>1909</v>
      </c>
      <c r="H823" s="2" t="s">
        <v>1910</v>
      </c>
      <c r="I823" s="2" t="s">
        <v>35</v>
      </c>
      <c r="J823" s="2" t="s">
        <v>35</v>
      </c>
      <c r="K823" s="2" t="s">
        <v>35</v>
      </c>
      <c r="L823" s="2">
        <v>24</v>
      </c>
      <c r="M823" s="2">
        <v>20</v>
      </c>
      <c r="N823" s="3">
        <v>44748.674163009258</v>
      </c>
      <c r="O823" s="3">
        <v>44748.674437650465</v>
      </c>
      <c r="P823" s="2">
        <v>0</v>
      </c>
      <c r="Q823" s="2" t="s">
        <v>54</v>
      </c>
      <c r="R823" s="2" t="s">
        <v>38</v>
      </c>
      <c r="S823" s="2" t="s">
        <v>35</v>
      </c>
      <c r="T823" s="2" t="s">
        <v>35</v>
      </c>
      <c r="U823" s="2" t="s">
        <v>35</v>
      </c>
      <c r="V823" s="2" t="b">
        <v>0</v>
      </c>
      <c r="W823" s="2" t="s">
        <v>35</v>
      </c>
      <c r="X823" s="2" t="s">
        <v>35</v>
      </c>
      <c r="Y823" s="2" t="s">
        <v>35</v>
      </c>
      <c r="Z823" s="2" t="s">
        <v>35</v>
      </c>
    </row>
    <row r="824" spans="1:26" x14ac:dyDescent="0.2">
      <c r="A824" s="2" t="s">
        <v>1911</v>
      </c>
      <c r="B824" s="2" t="b">
        <v>0</v>
      </c>
      <c r="C824" s="2" t="b">
        <v>0</v>
      </c>
      <c r="D824" s="2" t="b">
        <v>0</v>
      </c>
      <c r="E824" s="2" t="b">
        <v>0</v>
      </c>
      <c r="F824" s="2" t="s">
        <v>31</v>
      </c>
      <c r="G824" s="2" t="s">
        <v>1912</v>
      </c>
      <c r="H824" s="2" t="s">
        <v>1913</v>
      </c>
      <c r="I824" s="2" t="s">
        <v>35</v>
      </c>
      <c r="J824" s="2" t="s">
        <v>35</v>
      </c>
      <c r="K824" s="2" t="s">
        <v>35</v>
      </c>
      <c r="L824" s="2" t="s">
        <v>35</v>
      </c>
      <c r="M824" s="2" t="s">
        <v>35</v>
      </c>
      <c r="N824" s="3">
        <v>44748.675166747686</v>
      </c>
      <c r="O824" s="3">
        <v>44748.675366145835</v>
      </c>
      <c r="P824" s="2">
        <v>0</v>
      </c>
      <c r="Q824" s="2" t="s">
        <v>36</v>
      </c>
      <c r="R824" s="2" t="s">
        <v>38</v>
      </c>
      <c r="S824" s="2" t="s">
        <v>35</v>
      </c>
      <c r="T824" s="2" t="s">
        <v>35</v>
      </c>
      <c r="U824" s="2" t="s">
        <v>35</v>
      </c>
      <c r="V824" s="2" t="b">
        <v>0</v>
      </c>
      <c r="W824" s="2" t="s">
        <v>1891</v>
      </c>
      <c r="X824" s="2" t="s">
        <v>35</v>
      </c>
      <c r="Y824" s="2" t="s">
        <v>35</v>
      </c>
      <c r="Z824" s="2" t="s">
        <v>35</v>
      </c>
    </row>
    <row r="825" spans="1:26" x14ac:dyDescent="0.2">
      <c r="A825" s="2" t="s">
        <v>1914</v>
      </c>
      <c r="B825" s="2" t="b">
        <v>0</v>
      </c>
      <c r="C825" s="2" t="b">
        <v>0</v>
      </c>
      <c r="D825" s="2" t="b">
        <v>0</v>
      </c>
      <c r="E825" s="2" t="b">
        <v>0</v>
      </c>
      <c r="F825" s="2" t="s">
        <v>31</v>
      </c>
      <c r="G825" s="2" t="s">
        <v>1915</v>
      </c>
      <c r="H825" s="2" t="s">
        <v>1916</v>
      </c>
      <c r="I825" s="2" t="s">
        <v>35</v>
      </c>
      <c r="J825" s="2" t="s">
        <v>35</v>
      </c>
      <c r="K825" s="2" t="s">
        <v>35</v>
      </c>
      <c r="L825" s="2">
        <v>6</v>
      </c>
      <c r="M825" s="2">
        <v>16</v>
      </c>
      <c r="N825" s="3">
        <v>44748.676246574076</v>
      </c>
      <c r="O825" s="3">
        <v>44748.676490011574</v>
      </c>
      <c r="P825" s="2">
        <v>0</v>
      </c>
      <c r="Q825" s="2" t="s">
        <v>54</v>
      </c>
      <c r="R825" s="2" t="s">
        <v>38</v>
      </c>
      <c r="S825" s="2" t="s">
        <v>35</v>
      </c>
      <c r="T825" s="2" t="s">
        <v>35</v>
      </c>
      <c r="U825" s="2" t="s">
        <v>35</v>
      </c>
      <c r="V825" s="2" t="b">
        <v>0</v>
      </c>
      <c r="W825" s="2" t="s">
        <v>35</v>
      </c>
      <c r="X825" s="2" t="s">
        <v>35</v>
      </c>
      <c r="Y825" s="2" t="s">
        <v>35</v>
      </c>
      <c r="Z825" s="2" t="s">
        <v>35</v>
      </c>
    </row>
    <row r="826" spans="1:26" x14ac:dyDescent="0.2">
      <c r="A826" s="2" t="s">
        <v>1917</v>
      </c>
      <c r="B826" s="2" t="b">
        <v>0</v>
      </c>
      <c r="C826" s="2" t="b">
        <v>0</v>
      </c>
      <c r="D826" s="2" t="b">
        <v>0</v>
      </c>
      <c r="E826" s="2" t="b">
        <v>0</v>
      </c>
      <c r="F826" s="2" t="s">
        <v>31</v>
      </c>
      <c r="G826" s="2" t="s">
        <v>1918</v>
      </c>
      <c r="H826" s="2" t="s">
        <v>1919</v>
      </c>
      <c r="I826" s="2" t="s">
        <v>35</v>
      </c>
      <c r="J826" s="2" t="s">
        <v>35</v>
      </c>
      <c r="K826" s="2" t="s">
        <v>35</v>
      </c>
      <c r="L826" s="2" t="s">
        <v>35</v>
      </c>
      <c r="M826" s="2" t="s">
        <v>35</v>
      </c>
      <c r="N826" s="3">
        <v>44748.676592754629</v>
      </c>
      <c r="O826" s="3">
        <v>44748.676858217594</v>
      </c>
      <c r="P826" s="2">
        <v>0</v>
      </c>
      <c r="Q826" s="2" t="s">
        <v>36</v>
      </c>
      <c r="R826" s="2" t="s">
        <v>38</v>
      </c>
      <c r="S826" s="2" t="s">
        <v>35</v>
      </c>
      <c r="T826" s="2" t="s">
        <v>35</v>
      </c>
      <c r="U826" s="2" t="s">
        <v>35</v>
      </c>
      <c r="V826" s="2" t="b">
        <v>0</v>
      </c>
      <c r="W826" s="2" t="s">
        <v>1920</v>
      </c>
      <c r="X826" s="2" t="s">
        <v>35</v>
      </c>
      <c r="Y826" s="2" t="s">
        <v>35</v>
      </c>
      <c r="Z826" s="2" t="s">
        <v>35</v>
      </c>
    </row>
    <row r="827" spans="1:26" x14ac:dyDescent="0.2">
      <c r="A827" s="2" t="s">
        <v>1921</v>
      </c>
      <c r="B827" s="2" t="b">
        <v>0</v>
      </c>
      <c r="C827" s="2" t="b">
        <v>0</v>
      </c>
      <c r="D827" s="2" t="b">
        <v>0</v>
      </c>
      <c r="E827" s="2" t="b">
        <v>0</v>
      </c>
      <c r="F827" s="2" t="s">
        <v>31</v>
      </c>
      <c r="G827" s="2" t="s">
        <v>1922</v>
      </c>
      <c r="H827" s="2" t="s">
        <v>1923</v>
      </c>
      <c r="I827" s="2" t="s">
        <v>35</v>
      </c>
      <c r="J827" s="2" t="s">
        <v>35</v>
      </c>
      <c r="K827" s="2">
        <v>13</v>
      </c>
      <c r="L827" s="2" t="s">
        <v>35</v>
      </c>
      <c r="M827" s="2" t="s">
        <v>35</v>
      </c>
      <c r="N827" s="3">
        <v>44748.677755856479</v>
      </c>
      <c r="O827" s="3">
        <v>44748.677963078706</v>
      </c>
      <c r="P827" s="2">
        <v>0</v>
      </c>
      <c r="Q827" s="2" t="s">
        <v>265</v>
      </c>
      <c r="R827" s="2" t="s">
        <v>38</v>
      </c>
      <c r="S827" s="2" t="s">
        <v>35</v>
      </c>
      <c r="T827" s="2" t="s">
        <v>35</v>
      </c>
      <c r="U827" s="2" t="s">
        <v>35</v>
      </c>
      <c r="V827" s="2" t="b">
        <v>0</v>
      </c>
      <c r="W827" s="2" t="s">
        <v>35</v>
      </c>
      <c r="X827" s="2" t="s">
        <v>35</v>
      </c>
      <c r="Y827" s="2" t="s">
        <v>35</v>
      </c>
      <c r="Z827" s="2" t="s">
        <v>35</v>
      </c>
    </row>
    <row r="828" spans="1:26" x14ac:dyDescent="0.2">
      <c r="A828" s="2" t="s">
        <v>1924</v>
      </c>
      <c r="B828" s="2" t="b">
        <v>0</v>
      </c>
      <c r="C828" s="2" t="b">
        <v>0</v>
      </c>
      <c r="D828" s="2" t="b">
        <v>0</v>
      </c>
      <c r="E828" s="2" t="b">
        <v>0</v>
      </c>
      <c r="F828" s="2" t="s">
        <v>31</v>
      </c>
      <c r="G828" s="2" t="s">
        <v>1925</v>
      </c>
      <c r="H828" s="2" t="s">
        <v>1926</v>
      </c>
      <c r="I828" s="2" t="s">
        <v>35</v>
      </c>
      <c r="J828" s="2" t="s">
        <v>35</v>
      </c>
      <c r="K828" s="2" t="s">
        <v>35</v>
      </c>
      <c r="L828" s="2">
        <v>20</v>
      </c>
      <c r="M828" s="2">
        <v>16</v>
      </c>
      <c r="N828" s="3">
        <v>44748.678900775463</v>
      </c>
      <c r="O828" s="3">
        <v>44748.679243599538</v>
      </c>
      <c r="P828" s="2">
        <v>0</v>
      </c>
      <c r="Q828" s="2" t="s">
        <v>54</v>
      </c>
      <c r="R828" s="2" t="s">
        <v>38</v>
      </c>
      <c r="S828" s="2" t="s">
        <v>35</v>
      </c>
      <c r="T828" s="2" t="s">
        <v>35</v>
      </c>
      <c r="U828" s="2" t="s">
        <v>35</v>
      </c>
      <c r="V828" s="2" t="b">
        <v>0</v>
      </c>
      <c r="W828" s="2" t="s">
        <v>35</v>
      </c>
      <c r="X828" s="2" t="s">
        <v>35</v>
      </c>
      <c r="Y828" s="2" t="s">
        <v>35</v>
      </c>
      <c r="Z828" s="2" t="s">
        <v>35</v>
      </c>
    </row>
    <row r="829" spans="1:26" x14ac:dyDescent="0.2">
      <c r="A829" s="2" t="s">
        <v>1927</v>
      </c>
      <c r="B829" s="2" t="b">
        <v>0</v>
      </c>
      <c r="C829" s="2" t="b">
        <v>0</v>
      </c>
      <c r="D829" s="2" t="b">
        <v>0</v>
      </c>
      <c r="E829" s="2" t="b">
        <v>0</v>
      </c>
      <c r="F829" s="2" t="s">
        <v>31</v>
      </c>
      <c r="G829" s="2" t="s">
        <v>1928</v>
      </c>
      <c r="H829" s="2" t="s">
        <v>1929</v>
      </c>
      <c r="I829" s="2" t="s">
        <v>35</v>
      </c>
      <c r="J829" s="2" t="s">
        <v>35</v>
      </c>
      <c r="K829" s="2" t="s">
        <v>35</v>
      </c>
      <c r="L829" s="2">
        <v>20</v>
      </c>
      <c r="M829" s="2">
        <v>16</v>
      </c>
      <c r="N829" s="3">
        <v>44748.681016493058</v>
      </c>
      <c r="O829" s="3">
        <v>44748.681335254631</v>
      </c>
      <c r="P829" s="2">
        <v>0</v>
      </c>
      <c r="Q829" s="2" t="s">
        <v>54</v>
      </c>
      <c r="R829" s="2" t="s">
        <v>38</v>
      </c>
      <c r="S829" s="2" t="s">
        <v>35</v>
      </c>
      <c r="T829" s="2" t="s">
        <v>35</v>
      </c>
      <c r="U829" s="2" t="s">
        <v>35</v>
      </c>
      <c r="V829" s="2" t="b">
        <v>0</v>
      </c>
      <c r="W829" s="2" t="s">
        <v>35</v>
      </c>
      <c r="X829" s="2" t="s">
        <v>35</v>
      </c>
      <c r="Y829" s="2" t="s">
        <v>35</v>
      </c>
      <c r="Z829" s="2" t="s">
        <v>35</v>
      </c>
    </row>
    <row r="830" spans="1:26" x14ac:dyDescent="0.2">
      <c r="A830" s="2" t="s">
        <v>1930</v>
      </c>
      <c r="B830" s="2" t="b">
        <v>0</v>
      </c>
      <c r="C830" s="2" t="b">
        <v>0</v>
      </c>
      <c r="D830" s="2" t="b">
        <v>0</v>
      </c>
      <c r="E830" s="2" t="b">
        <v>0</v>
      </c>
      <c r="F830" s="2" t="s">
        <v>31</v>
      </c>
      <c r="G830" s="2" t="s">
        <v>1931</v>
      </c>
      <c r="H830" s="2" t="s">
        <v>1932</v>
      </c>
      <c r="I830" s="2" t="s">
        <v>35</v>
      </c>
      <c r="J830" s="2" t="s">
        <v>35</v>
      </c>
      <c r="K830" s="2" t="s">
        <v>35</v>
      </c>
      <c r="L830" s="2">
        <v>13</v>
      </c>
      <c r="M830" s="2">
        <v>16</v>
      </c>
      <c r="N830" s="3">
        <v>44748.681432523146</v>
      </c>
      <c r="O830" s="3">
        <v>44748.681655798609</v>
      </c>
      <c r="P830" s="2">
        <v>0</v>
      </c>
      <c r="Q830" s="2" t="s">
        <v>54</v>
      </c>
      <c r="R830" s="2" t="s">
        <v>38</v>
      </c>
      <c r="S830" s="2" t="s">
        <v>35</v>
      </c>
      <c r="T830" s="2" t="s">
        <v>35</v>
      </c>
      <c r="U830" s="2" t="s">
        <v>35</v>
      </c>
      <c r="V830" s="2" t="b">
        <v>0</v>
      </c>
      <c r="W830" s="2" t="s">
        <v>35</v>
      </c>
      <c r="X830" s="2" t="s">
        <v>35</v>
      </c>
      <c r="Y830" s="2" t="s">
        <v>35</v>
      </c>
      <c r="Z830" s="2" t="s">
        <v>35</v>
      </c>
    </row>
    <row r="831" spans="1:26" x14ac:dyDescent="0.2">
      <c r="A831" s="2" t="s">
        <v>1933</v>
      </c>
      <c r="B831" s="2" t="b">
        <v>0</v>
      </c>
      <c r="C831" s="2" t="b">
        <v>0</v>
      </c>
      <c r="D831" s="2" t="b">
        <v>0</v>
      </c>
      <c r="E831" s="2" t="b">
        <v>0</v>
      </c>
      <c r="F831" s="2" t="s">
        <v>31</v>
      </c>
      <c r="G831" s="2" t="s">
        <v>1934</v>
      </c>
      <c r="H831" s="2" t="s">
        <v>1935</v>
      </c>
      <c r="I831" s="2" t="s">
        <v>35</v>
      </c>
      <c r="J831" s="2" t="s">
        <v>35</v>
      </c>
      <c r="K831" s="2" t="s">
        <v>35</v>
      </c>
      <c r="L831" s="2">
        <v>1</v>
      </c>
      <c r="M831" s="2">
        <v>16</v>
      </c>
      <c r="N831" s="3">
        <v>44748.681817245371</v>
      </c>
      <c r="O831" s="3">
        <v>44748.68198872685</v>
      </c>
      <c r="P831" s="2">
        <v>0</v>
      </c>
      <c r="Q831" s="2" t="s">
        <v>54</v>
      </c>
      <c r="R831" s="2" t="s">
        <v>38</v>
      </c>
      <c r="S831" s="2" t="s">
        <v>35</v>
      </c>
      <c r="T831" s="2" t="s">
        <v>35</v>
      </c>
      <c r="U831" s="2" t="s">
        <v>35</v>
      </c>
      <c r="V831" s="2" t="b">
        <v>0</v>
      </c>
      <c r="W831" s="2" t="s">
        <v>35</v>
      </c>
      <c r="X831" s="2" t="s">
        <v>35</v>
      </c>
      <c r="Y831" s="2" t="s">
        <v>35</v>
      </c>
      <c r="Z831" s="2" t="s">
        <v>35</v>
      </c>
    </row>
    <row r="832" spans="1:26" x14ac:dyDescent="0.2">
      <c r="A832" s="2" t="s">
        <v>1936</v>
      </c>
      <c r="B832" s="2" t="b">
        <v>0</v>
      </c>
      <c r="C832" s="2" t="b">
        <v>0</v>
      </c>
      <c r="D832" s="2" t="b">
        <v>0</v>
      </c>
      <c r="E832" s="2" t="b">
        <v>0</v>
      </c>
      <c r="F832" s="2" t="s">
        <v>31</v>
      </c>
      <c r="G832" s="2" t="s">
        <v>1937</v>
      </c>
      <c r="H832" s="2" t="s">
        <v>1938</v>
      </c>
      <c r="I832" s="2" t="s">
        <v>35</v>
      </c>
      <c r="J832" s="2" t="s">
        <v>35</v>
      </c>
      <c r="K832" s="2" t="s">
        <v>35</v>
      </c>
      <c r="L832" s="2">
        <v>1</v>
      </c>
      <c r="M832" s="2">
        <v>16</v>
      </c>
      <c r="N832" s="3">
        <v>44748.682116053242</v>
      </c>
      <c r="O832" s="3">
        <v>44748.682243958334</v>
      </c>
      <c r="P832" s="2">
        <v>0</v>
      </c>
      <c r="Q832" s="2" t="s">
        <v>54</v>
      </c>
      <c r="R832" s="2" t="s">
        <v>38</v>
      </c>
      <c r="S832" s="2" t="s">
        <v>35</v>
      </c>
      <c r="T832" s="2" t="s">
        <v>35</v>
      </c>
      <c r="U832" s="2" t="s">
        <v>35</v>
      </c>
      <c r="V832" s="2" t="b">
        <v>0</v>
      </c>
      <c r="W832" s="2" t="s">
        <v>35</v>
      </c>
      <c r="X832" s="2" t="s">
        <v>35</v>
      </c>
      <c r="Y832" s="2" t="s">
        <v>35</v>
      </c>
      <c r="Z832" s="2" t="s">
        <v>35</v>
      </c>
    </row>
    <row r="833" spans="1:26" x14ac:dyDescent="0.2">
      <c r="A833" s="2" t="s">
        <v>1939</v>
      </c>
      <c r="B833" s="2" t="b">
        <v>0</v>
      </c>
      <c r="C833" s="2" t="b">
        <v>0</v>
      </c>
      <c r="D833" s="2" t="b">
        <v>0</v>
      </c>
      <c r="E833" s="2" t="b">
        <v>0</v>
      </c>
      <c r="F833" s="2" t="s">
        <v>31</v>
      </c>
      <c r="G833" s="2" t="s">
        <v>1940</v>
      </c>
      <c r="H833" s="2" t="s">
        <v>1941</v>
      </c>
      <c r="I833" s="2" t="s">
        <v>35</v>
      </c>
      <c r="J833" s="2" t="s">
        <v>35</v>
      </c>
      <c r="K833" s="2" t="s">
        <v>35</v>
      </c>
      <c r="L833" s="2">
        <v>16</v>
      </c>
      <c r="M833" s="2">
        <v>16</v>
      </c>
      <c r="N833" s="3">
        <v>44748.682379328704</v>
      </c>
      <c r="O833" s="3">
        <v>44748.682717372685</v>
      </c>
      <c r="P833" s="2">
        <v>0</v>
      </c>
      <c r="Q833" s="2" t="s">
        <v>54</v>
      </c>
      <c r="R833" s="2" t="s">
        <v>38</v>
      </c>
      <c r="S833" s="2" t="s">
        <v>35</v>
      </c>
      <c r="T833" s="2" t="s">
        <v>35</v>
      </c>
      <c r="U833" s="2" t="s">
        <v>35</v>
      </c>
      <c r="V833" s="2" t="b">
        <v>0</v>
      </c>
      <c r="W833" s="2" t="s">
        <v>35</v>
      </c>
      <c r="X833" s="2" t="s">
        <v>35</v>
      </c>
      <c r="Y833" s="2" t="s">
        <v>35</v>
      </c>
      <c r="Z833" s="2" t="s">
        <v>35</v>
      </c>
    </row>
    <row r="834" spans="1:26" x14ac:dyDescent="0.2">
      <c r="A834" s="2" t="s">
        <v>1942</v>
      </c>
      <c r="B834" s="2" t="b">
        <v>0</v>
      </c>
      <c r="C834" s="2" t="b">
        <v>0</v>
      </c>
      <c r="D834" s="2" t="b">
        <v>0</v>
      </c>
      <c r="E834" s="2" t="b">
        <v>0</v>
      </c>
      <c r="F834" s="2" t="s">
        <v>31</v>
      </c>
      <c r="G834" s="2" t="s">
        <v>149</v>
      </c>
      <c r="H834" s="2" t="s">
        <v>1943</v>
      </c>
      <c r="I834" s="2" t="s">
        <v>1944</v>
      </c>
      <c r="J834" s="2" t="s">
        <v>35</v>
      </c>
      <c r="K834" s="2" t="s">
        <v>35</v>
      </c>
      <c r="L834" s="2" t="s">
        <v>35</v>
      </c>
      <c r="M834" s="2" t="s">
        <v>35</v>
      </c>
      <c r="N834" s="3">
        <v>44748.697846840281</v>
      </c>
      <c r="O834" s="3">
        <v>44748.698133032405</v>
      </c>
      <c r="P834" s="2">
        <v>0</v>
      </c>
      <c r="Q834" s="2" t="s">
        <v>36</v>
      </c>
      <c r="R834" s="2" t="s">
        <v>38</v>
      </c>
      <c r="S834" s="2" t="s">
        <v>35</v>
      </c>
      <c r="T834" s="2" t="s">
        <v>35</v>
      </c>
      <c r="U834" s="2" t="s">
        <v>35</v>
      </c>
      <c r="V834" s="2" t="b">
        <v>0</v>
      </c>
      <c r="W834" s="2" t="s">
        <v>35</v>
      </c>
      <c r="X834" s="2" t="s">
        <v>35</v>
      </c>
      <c r="Y834" s="2">
        <v>4</v>
      </c>
      <c r="Z834" s="2" t="s">
        <v>35</v>
      </c>
    </row>
    <row r="835" spans="1:26" x14ac:dyDescent="0.2">
      <c r="A835" s="2" t="s">
        <v>1946</v>
      </c>
      <c r="B835" s="2" t="b">
        <v>0</v>
      </c>
      <c r="C835" s="2" t="b">
        <v>0</v>
      </c>
      <c r="D835" s="2" t="b">
        <v>0</v>
      </c>
      <c r="E835" s="2" t="b">
        <v>0</v>
      </c>
      <c r="F835" s="2" t="s">
        <v>31</v>
      </c>
      <c r="G835" s="2" t="s">
        <v>1947</v>
      </c>
      <c r="H835" s="2" t="s">
        <v>1948</v>
      </c>
      <c r="I835" s="2" t="s">
        <v>35</v>
      </c>
      <c r="J835" s="2" t="s">
        <v>35</v>
      </c>
      <c r="K835" s="2" t="s">
        <v>35</v>
      </c>
      <c r="L835" s="2" t="s">
        <v>35</v>
      </c>
      <c r="M835" s="2" t="s">
        <v>35</v>
      </c>
      <c r="N835" s="3">
        <v>44748.698957141205</v>
      </c>
      <c r="O835" s="3">
        <v>44748.699073657408</v>
      </c>
      <c r="P835" s="2">
        <v>0</v>
      </c>
      <c r="Q835" s="2" t="s">
        <v>36</v>
      </c>
      <c r="R835" s="2" t="s">
        <v>38</v>
      </c>
      <c r="S835" s="2" t="s">
        <v>35</v>
      </c>
      <c r="T835" s="2" t="s">
        <v>35</v>
      </c>
      <c r="U835" s="2" t="s">
        <v>35</v>
      </c>
      <c r="V835" s="2" t="b">
        <v>0</v>
      </c>
      <c r="W835" s="2" t="s">
        <v>35</v>
      </c>
      <c r="X835" s="2" t="s">
        <v>35</v>
      </c>
      <c r="Y835" s="2" t="s">
        <v>35</v>
      </c>
      <c r="Z835" s="2">
        <v>3</v>
      </c>
    </row>
    <row r="836" spans="1:26" x14ac:dyDescent="0.2">
      <c r="A836" s="2" t="s">
        <v>1949</v>
      </c>
      <c r="B836" s="2" t="b">
        <v>0</v>
      </c>
      <c r="C836" s="2" t="b">
        <v>0</v>
      </c>
      <c r="D836" s="2" t="b">
        <v>0</v>
      </c>
      <c r="E836" s="2" t="b">
        <v>0</v>
      </c>
      <c r="F836" s="2" t="s">
        <v>31</v>
      </c>
      <c r="G836" s="2" t="s">
        <v>1950</v>
      </c>
      <c r="H836" s="2" t="s">
        <v>1951</v>
      </c>
      <c r="I836" s="2" t="s">
        <v>35</v>
      </c>
      <c r="J836" s="2" t="s">
        <v>35</v>
      </c>
      <c r="K836" s="2" t="s">
        <v>35</v>
      </c>
      <c r="L836" s="2" t="s">
        <v>35</v>
      </c>
      <c r="M836" s="2" t="s">
        <v>35</v>
      </c>
      <c r="N836" s="3">
        <v>44748.699630023148</v>
      </c>
      <c r="O836" s="3">
        <v>44748.699753530091</v>
      </c>
      <c r="P836" s="2">
        <v>0</v>
      </c>
      <c r="Q836" s="2" t="s">
        <v>36</v>
      </c>
      <c r="R836" s="2" t="s">
        <v>38</v>
      </c>
      <c r="S836" s="2" t="s">
        <v>35</v>
      </c>
      <c r="T836" s="2" t="s">
        <v>35</v>
      </c>
      <c r="U836" s="2" t="s">
        <v>35</v>
      </c>
      <c r="V836" s="2" t="b">
        <v>0</v>
      </c>
      <c r="W836" s="2" t="s">
        <v>165</v>
      </c>
      <c r="X836" s="2" t="s">
        <v>35</v>
      </c>
      <c r="Y836" s="2" t="s">
        <v>35</v>
      </c>
      <c r="Z836" s="2" t="s">
        <v>35</v>
      </c>
    </row>
    <row r="837" spans="1:26" x14ac:dyDescent="0.2">
      <c r="A837" s="2" t="s">
        <v>1952</v>
      </c>
      <c r="B837" s="2" t="b">
        <v>0</v>
      </c>
      <c r="C837" s="2" t="b">
        <v>0</v>
      </c>
      <c r="D837" s="2" t="b">
        <v>0</v>
      </c>
      <c r="E837" s="2" t="b">
        <v>0</v>
      </c>
      <c r="F837" s="2" t="s">
        <v>31</v>
      </c>
      <c r="G837" s="2" t="s">
        <v>149</v>
      </c>
      <c r="H837" s="2" t="s">
        <v>1953</v>
      </c>
      <c r="I837" s="2" t="s">
        <v>35</v>
      </c>
      <c r="J837" s="2" t="s">
        <v>35</v>
      </c>
      <c r="K837" s="2" t="s">
        <v>35</v>
      </c>
      <c r="L837" s="2">
        <v>3</v>
      </c>
      <c r="M837" s="2">
        <v>13</v>
      </c>
      <c r="N837" s="3">
        <v>44748.699954374999</v>
      </c>
      <c r="O837" s="3">
        <v>44748.700206805559</v>
      </c>
      <c r="P837" s="2">
        <v>0</v>
      </c>
      <c r="Q837" s="2" t="s">
        <v>54</v>
      </c>
      <c r="R837" s="2" t="s">
        <v>38</v>
      </c>
      <c r="S837" s="2" t="s">
        <v>35</v>
      </c>
      <c r="T837" s="2" t="s">
        <v>35</v>
      </c>
      <c r="U837" s="2" t="s">
        <v>35</v>
      </c>
      <c r="V837" s="2" t="b">
        <v>0</v>
      </c>
      <c r="W837" s="2" t="s">
        <v>35</v>
      </c>
      <c r="X837" s="2" t="s">
        <v>35</v>
      </c>
      <c r="Y837" s="2" t="s">
        <v>35</v>
      </c>
      <c r="Z837" s="2" t="s">
        <v>35</v>
      </c>
    </row>
    <row r="838" spans="1:26" x14ac:dyDescent="0.2">
      <c r="A838" s="2" t="s">
        <v>1954</v>
      </c>
      <c r="B838" s="2" t="b">
        <v>0</v>
      </c>
      <c r="C838" s="2" t="b">
        <v>0</v>
      </c>
      <c r="D838" s="2" t="b">
        <v>0</v>
      </c>
      <c r="E838" s="2" t="b">
        <v>0</v>
      </c>
      <c r="F838" s="2" t="s">
        <v>31</v>
      </c>
      <c r="G838" s="2" t="s">
        <v>149</v>
      </c>
      <c r="H838" s="2" t="s">
        <v>1955</v>
      </c>
      <c r="I838" s="2" t="s">
        <v>35</v>
      </c>
      <c r="J838" s="2" t="s">
        <v>35</v>
      </c>
      <c r="K838" s="2" t="s">
        <v>35</v>
      </c>
      <c r="L838" s="2" t="s">
        <v>35</v>
      </c>
      <c r="M838" s="2" t="s">
        <v>35</v>
      </c>
      <c r="N838" s="3">
        <v>44748.700371851854</v>
      </c>
      <c r="O838" s="3">
        <v>44748.700529502312</v>
      </c>
      <c r="P838" s="2">
        <v>0</v>
      </c>
      <c r="Q838" s="2" t="s">
        <v>36</v>
      </c>
      <c r="R838" s="2" t="s">
        <v>38</v>
      </c>
      <c r="S838" s="2" t="s">
        <v>35</v>
      </c>
      <c r="T838" s="2" t="s">
        <v>35</v>
      </c>
      <c r="U838" s="2" t="s">
        <v>35</v>
      </c>
      <c r="V838" s="2" t="b">
        <v>0</v>
      </c>
      <c r="W838" s="2" t="s">
        <v>165</v>
      </c>
      <c r="X838" s="2" t="s">
        <v>35</v>
      </c>
      <c r="Y838" s="2" t="s">
        <v>35</v>
      </c>
      <c r="Z838" s="2" t="s">
        <v>35</v>
      </c>
    </row>
    <row r="839" spans="1:26" x14ac:dyDescent="0.2">
      <c r="A839" s="2" t="s">
        <v>1956</v>
      </c>
      <c r="B839" s="2" t="b">
        <v>0</v>
      </c>
      <c r="C839" s="2" t="b">
        <v>0</v>
      </c>
      <c r="D839" s="2" t="b">
        <v>0</v>
      </c>
      <c r="E839" s="2" t="b">
        <v>0</v>
      </c>
      <c r="F839" s="2" t="s">
        <v>31</v>
      </c>
      <c r="G839" s="2" t="s">
        <v>149</v>
      </c>
      <c r="H839" s="2" t="s">
        <v>1957</v>
      </c>
      <c r="I839" s="2" t="s">
        <v>35</v>
      </c>
      <c r="J839" s="2" t="s">
        <v>35</v>
      </c>
      <c r="K839" s="2" t="s">
        <v>35</v>
      </c>
      <c r="L839" s="2" t="s">
        <v>35</v>
      </c>
      <c r="M839" s="2" t="s">
        <v>35</v>
      </c>
      <c r="N839" s="3">
        <v>44748.700623657409</v>
      </c>
      <c r="O839" s="3">
        <v>44748.700762939814</v>
      </c>
      <c r="P839" s="2">
        <v>0</v>
      </c>
      <c r="Q839" s="2" t="s">
        <v>36</v>
      </c>
      <c r="R839" s="2" t="s">
        <v>38</v>
      </c>
      <c r="S839" s="2" t="s">
        <v>35</v>
      </c>
      <c r="T839" s="2" t="s">
        <v>35</v>
      </c>
      <c r="U839" s="2" t="s">
        <v>35</v>
      </c>
      <c r="V839" s="2" t="b">
        <v>0</v>
      </c>
      <c r="W839" s="2" t="s">
        <v>165</v>
      </c>
      <c r="X839" s="2" t="s">
        <v>35</v>
      </c>
      <c r="Y839" s="2" t="s">
        <v>35</v>
      </c>
      <c r="Z839" s="2" t="s">
        <v>35</v>
      </c>
    </row>
    <row r="840" spans="1:26" x14ac:dyDescent="0.2">
      <c r="A840" s="2" t="s">
        <v>1958</v>
      </c>
      <c r="B840" s="2" t="b">
        <v>0</v>
      </c>
      <c r="C840" s="2" t="b">
        <v>0</v>
      </c>
      <c r="D840" s="2" t="b">
        <v>0</v>
      </c>
      <c r="E840" s="2" t="b">
        <v>0</v>
      </c>
      <c r="F840" s="2" t="s">
        <v>31</v>
      </c>
      <c r="G840" s="2" t="s">
        <v>149</v>
      </c>
      <c r="H840" s="2" t="s">
        <v>1959</v>
      </c>
      <c r="I840" s="2" t="s">
        <v>35</v>
      </c>
      <c r="J840" s="2" t="s">
        <v>35</v>
      </c>
      <c r="K840" s="2" t="s">
        <v>35</v>
      </c>
      <c r="L840" s="2" t="s">
        <v>35</v>
      </c>
      <c r="M840" s="2" t="s">
        <v>35</v>
      </c>
      <c r="N840" s="3">
        <v>44748.701251562503</v>
      </c>
      <c r="O840" s="3">
        <v>44748.701364942128</v>
      </c>
      <c r="P840" s="2">
        <v>0</v>
      </c>
      <c r="Q840" s="2" t="s">
        <v>36</v>
      </c>
      <c r="R840" s="2" t="s">
        <v>38</v>
      </c>
      <c r="S840" s="2" t="s">
        <v>35</v>
      </c>
      <c r="T840" s="2" t="s">
        <v>35</v>
      </c>
      <c r="U840" s="2" t="s">
        <v>35</v>
      </c>
      <c r="V840" s="2" t="b">
        <v>0</v>
      </c>
      <c r="W840" s="2" t="s">
        <v>35</v>
      </c>
      <c r="X840" s="2" t="s">
        <v>35</v>
      </c>
      <c r="Y840" s="2" t="s">
        <v>35</v>
      </c>
      <c r="Z840" s="2">
        <v>2</v>
      </c>
    </row>
    <row r="841" spans="1:26" x14ac:dyDescent="0.2">
      <c r="A841" s="2" t="s">
        <v>1960</v>
      </c>
      <c r="B841" s="2" t="b">
        <v>0</v>
      </c>
      <c r="C841" s="2" t="b">
        <v>0</v>
      </c>
      <c r="D841" s="2" t="b">
        <v>0</v>
      </c>
      <c r="E841" s="2" t="b">
        <v>0</v>
      </c>
      <c r="F841" s="2" t="s">
        <v>31</v>
      </c>
      <c r="G841" s="2" t="s">
        <v>1961</v>
      </c>
      <c r="H841" s="2" t="s">
        <v>1962</v>
      </c>
      <c r="I841" s="2" t="s">
        <v>35</v>
      </c>
      <c r="J841" s="2" t="s">
        <v>35</v>
      </c>
      <c r="K841" s="2">
        <v>10</v>
      </c>
      <c r="L841" s="2" t="s">
        <v>35</v>
      </c>
      <c r="M841" s="2" t="s">
        <v>35</v>
      </c>
      <c r="N841" s="3">
        <v>44748.702035856484</v>
      </c>
      <c r="O841" s="3">
        <v>44748.702286134256</v>
      </c>
      <c r="P841" s="2">
        <v>0</v>
      </c>
      <c r="Q841" s="2" t="s">
        <v>265</v>
      </c>
      <c r="R841" s="2" t="s">
        <v>38</v>
      </c>
      <c r="S841" s="2" t="s">
        <v>35</v>
      </c>
      <c r="T841" s="2" t="s">
        <v>35</v>
      </c>
      <c r="U841" s="2" t="s">
        <v>35</v>
      </c>
      <c r="V841" s="2" t="b">
        <v>0</v>
      </c>
      <c r="W841" s="2" t="s">
        <v>35</v>
      </c>
      <c r="X841" s="2" t="s">
        <v>35</v>
      </c>
      <c r="Y841" s="2" t="s">
        <v>35</v>
      </c>
      <c r="Z841" s="2" t="s">
        <v>35</v>
      </c>
    </row>
    <row r="842" spans="1:26" x14ac:dyDescent="0.2">
      <c r="A842" s="2" t="s">
        <v>1963</v>
      </c>
      <c r="B842" s="2" t="b">
        <v>0</v>
      </c>
      <c r="C842" s="2" t="b">
        <v>0</v>
      </c>
      <c r="D842" s="2" t="b">
        <v>0</v>
      </c>
      <c r="E842" s="2" t="b">
        <v>0</v>
      </c>
      <c r="F842" s="2" t="s">
        <v>31</v>
      </c>
      <c r="G842" s="2" t="s">
        <v>149</v>
      </c>
      <c r="H842" s="2" t="s">
        <v>1964</v>
      </c>
      <c r="I842" s="2" t="s">
        <v>35</v>
      </c>
      <c r="J842" s="2" t="s">
        <v>35</v>
      </c>
      <c r="K842" s="2" t="s">
        <v>35</v>
      </c>
      <c r="L842" s="2">
        <v>5</v>
      </c>
      <c r="M842" s="2">
        <v>15</v>
      </c>
      <c r="N842" s="3">
        <v>44748.702354120367</v>
      </c>
      <c r="O842" s="3">
        <v>44748.702575740739</v>
      </c>
      <c r="P842" s="2">
        <v>0</v>
      </c>
      <c r="Q842" s="2" t="s">
        <v>54</v>
      </c>
      <c r="R842" s="2" t="s">
        <v>38</v>
      </c>
      <c r="S842" s="2" t="s">
        <v>35</v>
      </c>
      <c r="T842" s="2" t="s">
        <v>35</v>
      </c>
      <c r="U842" s="2" t="s">
        <v>35</v>
      </c>
      <c r="V842" s="2" t="b">
        <v>0</v>
      </c>
      <c r="W842" s="2" t="s">
        <v>35</v>
      </c>
      <c r="X842" s="2" t="s">
        <v>35</v>
      </c>
      <c r="Y842" s="2" t="s">
        <v>35</v>
      </c>
      <c r="Z842" s="2" t="s">
        <v>35</v>
      </c>
    </row>
    <row r="843" spans="1:26" x14ac:dyDescent="0.2">
      <c r="A843" s="2" t="s">
        <v>1965</v>
      </c>
      <c r="B843" s="2" t="b">
        <v>0</v>
      </c>
      <c r="C843" s="2" t="b">
        <v>0</v>
      </c>
      <c r="D843" s="2" t="b">
        <v>0</v>
      </c>
      <c r="E843" s="2" t="b">
        <v>0</v>
      </c>
      <c r="F843" s="2" t="s">
        <v>31</v>
      </c>
      <c r="G843" s="2" t="s">
        <v>1966</v>
      </c>
      <c r="H843" s="2" t="s">
        <v>1967</v>
      </c>
      <c r="I843" s="2" t="s">
        <v>35</v>
      </c>
      <c r="J843" s="2" t="s">
        <v>35</v>
      </c>
      <c r="K843" s="2">
        <v>5</v>
      </c>
      <c r="L843" s="2" t="s">
        <v>35</v>
      </c>
      <c r="M843" s="2" t="s">
        <v>35</v>
      </c>
      <c r="N843" s="3">
        <v>44748.70306201389</v>
      </c>
      <c r="O843" s="3">
        <v>44748.703284363422</v>
      </c>
      <c r="P843" s="2">
        <v>0</v>
      </c>
      <c r="Q843" s="2" t="s">
        <v>265</v>
      </c>
      <c r="R843" s="2" t="s">
        <v>38</v>
      </c>
      <c r="S843" s="2" t="s">
        <v>35</v>
      </c>
      <c r="T843" s="2" t="s">
        <v>35</v>
      </c>
      <c r="U843" s="2" t="s">
        <v>35</v>
      </c>
      <c r="V843" s="2" t="b">
        <v>0</v>
      </c>
      <c r="W843" s="2" t="s">
        <v>35</v>
      </c>
      <c r="X843" s="2" t="s">
        <v>35</v>
      </c>
      <c r="Y843" s="2" t="s">
        <v>35</v>
      </c>
      <c r="Z843" s="2" t="s">
        <v>35</v>
      </c>
    </row>
    <row r="844" spans="1:26" x14ac:dyDescent="0.2">
      <c r="A844" s="2" t="s">
        <v>1968</v>
      </c>
      <c r="B844" s="2" t="b">
        <v>0</v>
      </c>
      <c r="C844" s="2" t="b">
        <v>0</v>
      </c>
      <c r="D844" s="2" t="b">
        <v>0</v>
      </c>
      <c r="E844" s="2" t="b">
        <v>0</v>
      </c>
      <c r="F844" s="2" t="s">
        <v>31</v>
      </c>
      <c r="G844" s="2" t="s">
        <v>149</v>
      </c>
      <c r="H844" s="2" t="s">
        <v>1969</v>
      </c>
      <c r="I844" s="2" t="s">
        <v>35</v>
      </c>
      <c r="J844" s="2" t="s">
        <v>35</v>
      </c>
      <c r="K844" s="2">
        <v>6</v>
      </c>
      <c r="L844" s="2" t="s">
        <v>35</v>
      </c>
      <c r="M844" s="2" t="s">
        <v>35</v>
      </c>
      <c r="N844" s="3">
        <v>44748.703539131944</v>
      </c>
      <c r="O844" s="3">
        <v>44748.703709699075</v>
      </c>
      <c r="P844" s="2">
        <v>0</v>
      </c>
      <c r="Q844" s="2" t="s">
        <v>265</v>
      </c>
      <c r="R844" s="2" t="s">
        <v>38</v>
      </c>
      <c r="S844" s="2" t="s">
        <v>35</v>
      </c>
      <c r="T844" s="2" t="s">
        <v>35</v>
      </c>
      <c r="U844" s="2" t="s">
        <v>35</v>
      </c>
      <c r="V844" s="2" t="b">
        <v>0</v>
      </c>
      <c r="W844" s="2" t="s">
        <v>35</v>
      </c>
      <c r="X844" s="2" t="s">
        <v>35</v>
      </c>
      <c r="Y844" s="2" t="s">
        <v>35</v>
      </c>
      <c r="Z844" s="2" t="s">
        <v>35</v>
      </c>
    </row>
    <row r="845" spans="1:26" x14ac:dyDescent="0.2">
      <c r="A845" s="2" t="s">
        <v>1970</v>
      </c>
      <c r="B845" s="2" t="b">
        <v>0</v>
      </c>
      <c r="C845" s="2" t="b">
        <v>0</v>
      </c>
      <c r="D845" s="2" t="b">
        <v>0</v>
      </c>
      <c r="E845" s="2" t="b">
        <v>0</v>
      </c>
      <c r="F845" s="2" t="s">
        <v>31</v>
      </c>
      <c r="G845" s="2" t="s">
        <v>1971</v>
      </c>
      <c r="H845" s="2" t="s">
        <v>1972</v>
      </c>
      <c r="I845" s="2" t="s">
        <v>35</v>
      </c>
      <c r="J845" s="2" t="s">
        <v>35</v>
      </c>
      <c r="K845" s="2" t="s">
        <v>35</v>
      </c>
      <c r="L845" s="2">
        <v>5</v>
      </c>
      <c r="M845" s="2">
        <v>15</v>
      </c>
      <c r="N845" s="3">
        <v>44748.703879479166</v>
      </c>
      <c r="O845" s="3">
        <v>44748.704072106484</v>
      </c>
      <c r="P845" s="2">
        <v>0</v>
      </c>
      <c r="Q845" s="2" t="s">
        <v>54</v>
      </c>
      <c r="R845" s="2" t="s">
        <v>38</v>
      </c>
      <c r="S845" s="2" t="s">
        <v>35</v>
      </c>
      <c r="T845" s="2" t="s">
        <v>35</v>
      </c>
      <c r="U845" s="2" t="s">
        <v>35</v>
      </c>
      <c r="V845" s="2" t="b">
        <v>0</v>
      </c>
      <c r="W845" s="2" t="s">
        <v>35</v>
      </c>
      <c r="X845" s="2" t="s">
        <v>35</v>
      </c>
      <c r="Y845" s="2" t="s">
        <v>35</v>
      </c>
      <c r="Z845" s="2" t="s">
        <v>35</v>
      </c>
    </row>
    <row r="846" spans="1:26" x14ac:dyDescent="0.2">
      <c r="A846" s="2" t="s">
        <v>1973</v>
      </c>
      <c r="B846" s="2" t="b">
        <v>0</v>
      </c>
      <c r="C846" s="2" t="b">
        <v>0</v>
      </c>
      <c r="D846" s="2" t="b">
        <v>0</v>
      </c>
      <c r="E846" s="2" t="b">
        <v>0</v>
      </c>
      <c r="F846" s="2" t="s">
        <v>31</v>
      </c>
      <c r="G846" s="2" t="s">
        <v>1974</v>
      </c>
      <c r="H846" s="2" t="s">
        <v>1975</v>
      </c>
      <c r="I846" s="2" t="s">
        <v>35</v>
      </c>
      <c r="J846" s="2" t="s">
        <v>35</v>
      </c>
      <c r="K846" s="2" t="s">
        <v>35</v>
      </c>
      <c r="L846" s="2">
        <v>3</v>
      </c>
      <c r="M846" s="2">
        <v>15</v>
      </c>
      <c r="N846" s="3">
        <v>44748.704209618052</v>
      </c>
      <c r="O846" s="3">
        <v>44748.704386168982</v>
      </c>
      <c r="P846" s="2">
        <v>0</v>
      </c>
      <c r="Q846" s="2" t="s">
        <v>54</v>
      </c>
      <c r="R846" s="2" t="s">
        <v>38</v>
      </c>
      <c r="S846" s="2" t="s">
        <v>35</v>
      </c>
      <c r="T846" s="2" t="s">
        <v>35</v>
      </c>
      <c r="U846" s="2" t="s">
        <v>35</v>
      </c>
      <c r="V846" s="2" t="b">
        <v>0</v>
      </c>
      <c r="W846" s="2" t="s">
        <v>35</v>
      </c>
      <c r="X846" s="2" t="s">
        <v>35</v>
      </c>
      <c r="Y846" s="2" t="s">
        <v>35</v>
      </c>
      <c r="Z846" s="2" t="s">
        <v>35</v>
      </c>
    </row>
    <row r="847" spans="1:26" x14ac:dyDescent="0.2">
      <c r="A847" s="2" t="s">
        <v>1976</v>
      </c>
      <c r="B847" s="2" t="b">
        <v>0</v>
      </c>
      <c r="C847" s="2" t="b">
        <v>0</v>
      </c>
      <c r="D847" s="2" t="b">
        <v>0</v>
      </c>
      <c r="E847" s="2" t="b">
        <v>0</v>
      </c>
      <c r="F847" s="2" t="s">
        <v>31</v>
      </c>
      <c r="G847" s="2" t="s">
        <v>1977</v>
      </c>
      <c r="H847" s="2" t="s">
        <v>1978</v>
      </c>
      <c r="I847" s="2" t="s">
        <v>35</v>
      </c>
      <c r="J847" s="2" t="s">
        <v>35</v>
      </c>
      <c r="K847" s="2" t="s">
        <v>35</v>
      </c>
      <c r="L847" s="2">
        <v>4</v>
      </c>
      <c r="M847" s="2">
        <v>13</v>
      </c>
      <c r="N847" s="3">
        <v>44748.704751377314</v>
      </c>
      <c r="O847" s="3">
        <v>44748.704945879632</v>
      </c>
      <c r="P847" s="2">
        <v>0</v>
      </c>
      <c r="Q847" s="2" t="s">
        <v>54</v>
      </c>
      <c r="R847" s="2" t="s">
        <v>38</v>
      </c>
      <c r="S847" s="2" t="s">
        <v>35</v>
      </c>
      <c r="T847" s="2" t="s">
        <v>35</v>
      </c>
      <c r="U847" s="2" t="s">
        <v>35</v>
      </c>
      <c r="V847" s="2" t="b">
        <v>0</v>
      </c>
      <c r="W847" s="2" t="s">
        <v>35</v>
      </c>
      <c r="X847" s="2" t="s">
        <v>35</v>
      </c>
      <c r="Y847" s="2" t="s">
        <v>35</v>
      </c>
      <c r="Z847" s="2" t="s">
        <v>35</v>
      </c>
    </row>
    <row r="848" spans="1:26" x14ac:dyDescent="0.2">
      <c r="A848" s="2" t="s">
        <v>1979</v>
      </c>
      <c r="B848" s="2" t="b">
        <v>0</v>
      </c>
      <c r="C848" s="2" t="b">
        <v>0</v>
      </c>
      <c r="D848" s="2" t="b">
        <v>0</v>
      </c>
      <c r="E848" s="2" t="b">
        <v>0</v>
      </c>
      <c r="F848" s="2" t="s">
        <v>31</v>
      </c>
      <c r="G848" s="2" t="s">
        <v>149</v>
      </c>
      <c r="H848" s="2" t="s">
        <v>1980</v>
      </c>
      <c r="I848" s="2" t="s">
        <v>35</v>
      </c>
      <c r="J848" s="2" t="s">
        <v>35</v>
      </c>
      <c r="K848" s="2" t="s">
        <v>35</v>
      </c>
      <c r="L848" s="2" t="s">
        <v>35</v>
      </c>
      <c r="M848" s="2" t="s">
        <v>35</v>
      </c>
      <c r="N848" s="3">
        <v>44748.705563379626</v>
      </c>
      <c r="O848" s="3">
        <v>44748.705780833334</v>
      </c>
      <c r="P848" s="2">
        <v>0</v>
      </c>
      <c r="Q848" s="2" t="s">
        <v>36</v>
      </c>
      <c r="R848" s="2" t="s">
        <v>38</v>
      </c>
      <c r="S848" s="2" t="s">
        <v>35</v>
      </c>
      <c r="T848" s="2" t="s">
        <v>35</v>
      </c>
      <c r="U848" s="2" t="s">
        <v>35</v>
      </c>
      <c r="V848" s="2" t="b">
        <v>0</v>
      </c>
      <c r="W848" s="2" t="s">
        <v>165</v>
      </c>
      <c r="X848" s="2" t="s">
        <v>35</v>
      </c>
      <c r="Y848" s="2" t="s">
        <v>35</v>
      </c>
      <c r="Z848" s="2" t="s">
        <v>35</v>
      </c>
    </row>
    <row r="849" spans="1:26" x14ac:dyDescent="0.2">
      <c r="A849" s="2" t="s">
        <v>1981</v>
      </c>
      <c r="B849" s="2" t="b">
        <v>0</v>
      </c>
      <c r="C849" s="2" t="b">
        <v>0</v>
      </c>
      <c r="D849" s="2" t="b">
        <v>0</v>
      </c>
      <c r="E849" s="2" t="b">
        <v>0</v>
      </c>
      <c r="F849" s="2" t="s">
        <v>31</v>
      </c>
      <c r="G849" s="2" t="s">
        <v>149</v>
      </c>
      <c r="H849" s="2" t="s">
        <v>1982</v>
      </c>
      <c r="I849" s="2" t="s">
        <v>1983</v>
      </c>
      <c r="J849" s="2" t="s">
        <v>35</v>
      </c>
      <c r="K849" s="2" t="s">
        <v>35</v>
      </c>
      <c r="L849" s="2" t="s">
        <v>35</v>
      </c>
      <c r="M849" s="2" t="s">
        <v>35</v>
      </c>
      <c r="N849" s="3">
        <v>44748.705875509258</v>
      </c>
      <c r="O849" s="3">
        <v>44748.706419409726</v>
      </c>
      <c r="P849" s="2">
        <v>0</v>
      </c>
      <c r="Q849" s="2" t="s">
        <v>36</v>
      </c>
      <c r="R849" s="2" t="s">
        <v>38</v>
      </c>
      <c r="S849" s="2" t="s">
        <v>35</v>
      </c>
      <c r="T849" s="2" t="s">
        <v>35</v>
      </c>
      <c r="U849" s="2" t="s">
        <v>35</v>
      </c>
      <c r="V849" s="2" t="b">
        <v>0</v>
      </c>
      <c r="W849" s="2" t="s">
        <v>35</v>
      </c>
      <c r="X849" s="2" t="s">
        <v>35</v>
      </c>
      <c r="Y849" s="2">
        <v>9</v>
      </c>
      <c r="Z849" s="2" t="s">
        <v>35</v>
      </c>
    </row>
    <row r="850" spans="1:26" x14ac:dyDescent="0.2">
      <c r="A850" s="2" t="s">
        <v>1984</v>
      </c>
      <c r="B850" s="2" t="b">
        <v>0</v>
      </c>
      <c r="C850" s="2" t="b">
        <v>0</v>
      </c>
      <c r="D850" s="2" t="b">
        <v>0</v>
      </c>
      <c r="E850" s="2" t="b">
        <v>0</v>
      </c>
      <c r="F850" s="2" t="s">
        <v>31</v>
      </c>
      <c r="G850" s="2" t="s">
        <v>1985</v>
      </c>
      <c r="H850" s="2" t="s">
        <v>1986</v>
      </c>
      <c r="I850" s="2" t="s">
        <v>35</v>
      </c>
      <c r="J850" s="2" t="s">
        <v>35</v>
      </c>
      <c r="K850" s="2" t="s">
        <v>35</v>
      </c>
      <c r="L850" s="2" t="s">
        <v>35</v>
      </c>
      <c r="M850" s="2" t="s">
        <v>35</v>
      </c>
      <c r="N850" s="3">
        <v>44748.706626192128</v>
      </c>
      <c r="O850" s="3">
        <v>44748.706768263888</v>
      </c>
      <c r="P850" s="2">
        <v>0</v>
      </c>
      <c r="Q850" s="2" t="s">
        <v>36</v>
      </c>
      <c r="R850" s="2" t="s">
        <v>38</v>
      </c>
      <c r="S850" s="2" t="s">
        <v>35</v>
      </c>
      <c r="T850" s="2" t="s">
        <v>35</v>
      </c>
      <c r="U850" s="2" t="s">
        <v>35</v>
      </c>
      <c r="V850" s="2" t="b">
        <v>0</v>
      </c>
      <c r="W850" s="2" t="s">
        <v>165</v>
      </c>
      <c r="X850" s="2" t="s">
        <v>35</v>
      </c>
      <c r="Y850" s="2" t="s">
        <v>35</v>
      </c>
      <c r="Z850" s="2" t="s">
        <v>35</v>
      </c>
    </row>
    <row r="851" spans="1:26" x14ac:dyDescent="0.2">
      <c r="A851" s="2" t="s">
        <v>1987</v>
      </c>
      <c r="B851" s="2" t="b">
        <v>0</v>
      </c>
      <c r="C851" s="2" t="b">
        <v>0</v>
      </c>
      <c r="D851" s="2" t="b">
        <v>0</v>
      </c>
      <c r="E851" s="2" t="b">
        <v>0</v>
      </c>
      <c r="F851" s="2" t="s">
        <v>31</v>
      </c>
      <c r="G851" s="2" t="s">
        <v>149</v>
      </c>
      <c r="H851" s="2" t="s">
        <v>1988</v>
      </c>
      <c r="I851" s="2" t="s">
        <v>35</v>
      </c>
      <c r="J851" s="2" t="s">
        <v>35</v>
      </c>
      <c r="K851" s="2">
        <v>4</v>
      </c>
      <c r="L851" s="2" t="s">
        <v>35</v>
      </c>
      <c r="M851" s="2" t="s">
        <v>35</v>
      </c>
      <c r="N851" s="3">
        <v>44748.707020578702</v>
      </c>
      <c r="O851" s="3">
        <v>44748.707210775465</v>
      </c>
      <c r="P851" s="2">
        <v>0</v>
      </c>
      <c r="Q851" s="2" t="s">
        <v>265</v>
      </c>
      <c r="R851" s="2" t="s">
        <v>38</v>
      </c>
      <c r="S851" s="2" t="s">
        <v>35</v>
      </c>
      <c r="T851" s="2" t="s">
        <v>35</v>
      </c>
      <c r="U851" s="2" t="s">
        <v>35</v>
      </c>
      <c r="V851" s="2" t="b">
        <v>0</v>
      </c>
      <c r="W851" s="2" t="s">
        <v>35</v>
      </c>
      <c r="X851" s="2" t="s">
        <v>35</v>
      </c>
      <c r="Y851" s="2" t="s">
        <v>35</v>
      </c>
      <c r="Z851" s="2" t="s">
        <v>35</v>
      </c>
    </row>
    <row r="852" spans="1:26" x14ac:dyDescent="0.2">
      <c r="A852" s="2" t="s">
        <v>1989</v>
      </c>
      <c r="B852" s="2" t="b">
        <v>0</v>
      </c>
      <c r="C852" s="2" t="b">
        <v>0</v>
      </c>
      <c r="D852" s="2" t="b">
        <v>0</v>
      </c>
      <c r="E852" s="2" t="b">
        <v>0</v>
      </c>
      <c r="F852" s="2" t="s">
        <v>31</v>
      </c>
      <c r="G852" s="2" t="s">
        <v>1990</v>
      </c>
      <c r="H852" s="2" t="s">
        <v>1991</v>
      </c>
      <c r="I852" s="2" t="s">
        <v>1992</v>
      </c>
      <c r="J852" s="2" t="s">
        <v>35</v>
      </c>
      <c r="K852" s="2" t="s">
        <v>35</v>
      </c>
      <c r="L852" s="2" t="s">
        <v>35</v>
      </c>
      <c r="M852" s="2" t="s">
        <v>35</v>
      </c>
      <c r="N852" s="3">
        <v>44748.709801469908</v>
      </c>
      <c r="O852" s="3">
        <v>44748.71021730324</v>
      </c>
      <c r="P852" s="2">
        <v>0</v>
      </c>
      <c r="Q852" s="2" t="s">
        <v>36</v>
      </c>
      <c r="R852" s="2" t="s">
        <v>38</v>
      </c>
      <c r="S852" s="2" t="s">
        <v>35</v>
      </c>
      <c r="T852" s="2" t="s">
        <v>35</v>
      </c>
      <c r="U852" s="2" t="s">
        <v>35</v>
      </c>
      <c r="V852" s="2" t="b">
        <v>0</v>
      </c>
      <c r="W852" s="2" t="s">
        <v>165</v>
      </c>
      <c r="X852" s="2" t="s">
        <v>35</v>
      </c>
      <c r="Y852" s="2">
        <v>4</v>
      </c>
      <c r="Z852" s="2" t="s">
        <v>35</v>
      </c>
    </row>
    <row r="853" spans="1:26" x14ac:dyDescent="0.2">
      <c r="A853" s="2" t="s">
        <v>1993</v>
      </c>
      <c r="B853" s="2" t="b">
        <v>0</v>
      </c>
      <c r="C853" s="2" t="b">
        <v>0</v>
      </c>
      <c r="D853" s="2" t="b">
        <v>0</v>
      </c>
      <c r="E853" s="2" t="b">
        <v>0</v>
      </c>
      <c r="F853" s="2" t="s">
        <v>31</v>
      </c>
      <c r="G853" s="2" t="s">
        <v>149</v>
      </c>
      <c r="H853" s="2" t="s">
        <v>1994</v>
      </c>
      <c r="I853" s="2" t="s">
        <v>35</v>
      </c>
      <c r="J853" s="2" t="s">
        <v>35</v>
      </c>
      <c r="K853" s="2" t="s">
        <v>35</v>
      </c>
      <c r="L853" s="2">
        <v>8</v>
      </c>
      <c r="M853" s="2">
        <v>14</v>
      </c>
      <c r="N853" s="3">
        <v>44748.710762615738</v>
      </c>
      <c r="O853" s="3">
        <v>44748.71092258102</v>
      </c>
      <c r="P853" s="2">
        <v>0</v>
      </c>
      <c r="Q853" s="2" t="s">
        <v>54</v>
      </c>
      <c r="R853" s="2" t="s">
        <v>38</v>
      </c>
      <c r="S853" s="2" t="s">
        <v>35</v>
      </c>
      <c r="T853" s="2" t="s">
        <v>35</v>
      </c>
      <c r="U853" s="2" t="s">
        <v>35</v>
      </c>
      <c r="V853" s="2" t="b">
        <v>0</v>
      </c>
      <c r="W853" s="2" t="s">
        <v>35</v>
      </c>
      <c r="X853" s="2" t="s">
        <v>35</v>
      </c>
      <c r="Y853" s="2" t="s">
        <v>35</v>
      </c>
      <c r="Z853" s="2" t="s">
        <v>35</v>
      </c>
    </row>
    <row r="854" spans="1:26" x14ac:dyDescent="0.2">
      <c r="A854" s="2" t="s">
        <v>1995</v>
      </c>
      <c r="B854" s="2" t="b">
        <v>0</v>
      </c>
      <c r="C854" s="2" t="b">
        <v>0</v>
      </c>
      <c r="D854" s="2" t="b">
        <v>0</v>
      </c>
      <c r="E854" s="2" t="b">
        <v>0</v>
      </c>
      <c r="F854" s="2" t="s">
        <v>31</v>
      </c>
      <c r="G854" s="2" t="s">
        <v>149</v>
      </c>
      <c r="H854" s="2" t="s">
        <v>1996</v>
      </c>
      <c r="I854" s="2" t="s">
        <v>1997</v>
      </c>
      <c r="J854" s="2" t="s">
        <v>35</v>
      </c>
      <c r="K854" s="2" t="s">
        <v>35</v>
      </c>
      <c r="L854" s="2" t="s">
        <v>35</v>
      </c>
      <c r="M854" s="2" t="s">
        <v>35</v>
      </c>
      <c r="N854" s="3">
        <v>44748.712266562499</v>
      </c>
      <c r="O854" s="3">
        <v>44748.712810173609</v>
      </c>
      <c r="P854" s="2">
        <v>0</v>
      </c>
      <c r="Q854" s="2" t="s">
        <v>416</v>
      </c>
      <c r="R854" s="2" t="s">
        <v>38</v>
      </c>
      <c r="S854" s="2" t="s">
        <v>35</v>
      </c>
      <c r="T854" s="2">
        <v>0</v>
      </c>
      <c r="U854" s="2" t="s">
        <v>1823</v>
      </c>
      <c r="V854" s="2" t="b">
        <v>0</v>
      </c>
      <c r="W854" s="2" t="s">
        <v>35</v>
      </c>
      <c r="X854" s="2" t="s">
        <v>35</v>
      </c>
      <c r="Y854" s="2" t="s">
        <v>35</v>
      </c>
      <c r="Z854" s="2" t="s">
        <v>35</v>
      </c>
    </row>
    <row r="855" spans="1:26" x14ac:dyDescent="0.2">
      <c r="A855" s="2" t="s">
        <v>1998</v>
      </c>
      <c r="B855" s="2" t="b">
        <v>0</v>
      </c>
      <c r="C855" s="2" t="b">
        <v>0</v>
      </c>
      <c r="D855" s="2" t="b">
        <v>0</v>
      </c>
      <c r="E855" s="2" t="b">
        <v>0</v>
      </c>
      <c r="F855" s="2" t="s">
        <v>31</v>
      </c>
      <c r="G855" s="2" t="s">
        <v>1999</v>
      </c>
      <c r="H855" s="2" t="s">
        <v>2000</v>
      </c>
      <c r="I855" s="2" t="s">
        <v>35</v>
      </c>
      <c r="J855" s="2" t="s">
        <v>35</v>
      </c>
      <c r="K855" s="2" t="s">
        <v>35</v>
      </c>
      <c r="L855" s="2" t="s">
        <v>35</v>
      </c>
      <c r="M855" s="2" t="s">
        <v>35</v>
      </c>
      <c r="N855" s="3">
        <v>44748.715182928237</v>
      </c>
      <c r="O855" s="3">
        <v>44748.715327256941</v>
      </c>
      <c r="P855" s="2">
        <v>0</v>
      </c>
      <c r="Q855" s="2" t="s">
        <v>36</v>
      </c>
      <c r="R855" s="2" t="s">
        <v>38</v>
      </c>
      <c r="S855" s="2" t="s">
        <v>35</v>
      </c>
      <c r="T855" s="2" t="s">
        <v>35</v>
      </c>
      <c r="U855" s="2" t="s">
        <v>35</v>
      </c>
      <c r="V855" s="2" t="b">
        <v>0</v>
      </c>
      <c r="W855" s="2" t="s">
        <v>165</v>
      </c>
      <c r="X855" s="2" t="s">
        <v>35</v>
      </c>
      <c r="Y855" s="2" t="s">
        <v>35</v>
      </c>
      <c r="Z855" s="2" t="s">
        <v>35</v>
      </c>
    </row>
    <row r="856" spans="1:26" x14ac:dyDescent="0.2">
      <c r="A856" s="2" t="s">
        <v>2001</v>
      </c>
      <c r="B856" s="2" t="b">
        <v>0</v>
      </c>
      <c r="C856" s="2" t="b">
        <v>0</v>
      </c>
      <c r="D856" s="2" t="b">
        <v>0</v>
      </c>
      <c r="E856" s="2" t="b">
        <v>0</v>
      </c>
      <c r="F856" s="2" t="s">
        <v>31</v>
      </c>
      <c r="G856" s="2" t="s">
        <v>2002</v>
      </c>
      <c r="H856" s="2" t="s">
        <v>2003</v>
      </c>
      <c r="I856" s="2" t="s">
        <v>2004</v>
      </c>
      <c r="J856" s="2" t="s">
        <v>35</v>
      </c>
      <c r="K856" s="2" t="s">
        <v>35</v>
      </c>
      <c r="L856" s="2" t="s">
        <v>35</v>
      </c>
      <c r="M856" s="2" t="s">
        <v>35</v>
      </c>
      <c r="N856" s="3">
        <v>44748.716172060187</v>
      </c>
      <c r="O856" s="3">
        <v>44748.717095081018</v>
      </c>
      <c r="P856" s="2">
        <v>0</v>
      </c>
      <c r="Q856" s="2" t="s">
        <v>2005</v>
      </c>
      <c r="R856" s="2" t="s">
        <v>38</v>
      </c>
      <c r="S856" s="2" t="s">
        <v>35</v>
      </c>
      <c r="T856" s="2">
        <v>20</v>
      </c>
      <c r="U856" s="2" t="s">
        <v>35</v>
      </c>
      <c r="V856" s="2" t="b">
        <v>0</v>
      </c>
      <c r="W856" s="2" t="s">
        <v>35</v>
      </c>
      <c r="X856" s="2" t="s">
        <v>35</v>
      </c>
      <c r="Y856" s="2" t="s">
        <v>35</v>
      </c>
      <c r="Z856" s="2" t="s">
        <v>35</v>
      </c>
    </row>
    <row r="857" spans="1:26" x14ac:dyDescent="0.2">
      <c r="A857" s="2" t="s">
        <v>2007</v>
      </c>
      <c r="B857" s="2" t="b">
        <v>0</v>
      </c>
      <c r="C857" s="2" t="b">
        <v>0</v>
      </c>
      <c r="D857" s="2" t="b">
        <v>0</v>
      </c>
      <c r="E857" s="2" t="b">
        <v>0</v>
      </c>
      <c r="F857" s="2" t="s">
        <v>31</v>
      </c>
      <c r="G857" s="2" t="s">
        <v>2008</v>
      </c>
      <c r="H857" s="2" t="s">
        <v>2009</v>
      </c>
      <c r="I857" s="2" t="s">
        <v>2010</v>
      </c>
      <c r="J857" s="2" t="s">
        <v>35</v>
      </c>
      <c r="K857" s="2" t="s">
        <v>35</v>
      </c>
      <c r="L857" s="2" t="s">
        <v>35</v>
      </c>
      <c r="M857" s="2" t="s">
        <v>35</v>
      </c>
      <c r="N857" s="3">
        <v>44748.717122141206</v>
      </c>
      <c r="O857" s="3">
        <v>44748.7180528588</v>
      </c>
      <c r="P857" s="2">
        <v>0</v>
      </c>
      <c r="Q857" s="2" t="s">
        <v>2005</v>
      </c>
      <c r="R857" s="2" t="s">
        <v>38</v>
      </c>
      <c r="S857" s="2" t="s">
        <v>35</v>
      </c>
      <c r="T857" s="2">
        <v>120</v>
      </c>
      <c r="U857" s="2" t="s">
        <v>35</v>
      </c>
      <c r="V857" s="2" t="b">
        <v>0</v>
      </c>
      <c r="W857" s="2" t="s">
        <v>35</v>
      </c>
      <c r="X857" s="2" t="s">
        <v>35</v>
      </c>
      <c r="Y857" s="2" t="s">
        <v>35</v>
      </c>
      <c r="Z857" s="2" t="s">
        <v>35</v>
      </c>
    </row>
    <row r="858" spans="1:26" x14ac:dyDescent="0.2">
      <c r="A858" s="2" t="s">
        <v>2011</v>
      </c>
      <c r="B858" s="2" t="b">
        <v>0</v>
      </c>
      <c r="C858" s="2" t="b">
        <v>0</v>
      </c>
      <c r="D858" s="2" t="b">
        <v>0</v>
      </c>
      <c r="E858" s="2" t="b">
        <v>0</v>
      </c>
      <c r="F858" s="2" t="s">
        <v>31</v>
      </c>
      <c r="G858" s="2" t="s">
        <v>2012</v>
      </c>
      <c r="H858" s="2" t="s">
        <v>2013</v>
      </c>
      <c r="I858" s="2" t="s">
        <v>2014</v>
      </c>
      <c r="J858" s="2" t="s">
        <v>35</v>
      </c>
      <c r="K858" s="2" t="s">
        <v>35</v>
      </c>
      <c r="L858" s="2" t="s">
        <v>35</v>
      </c>
      <c r="M858" s="2" t="s">
        <v>35</v>
      </c>
      <c r="N858" s="3">
        <v>44748.719184583337</v>
      </c>
      <c r="O858" s="3">
        <v>44748.719449363423</v>
      </c>
      <c r="P858" s="2">
        <v>0</v>
      </c>
      <c r="Q858" s="2" t="s">
        <v>36</v>
      </c>
      <c r="R858" s="2" t="s">
        <v>38</v>
      </c>
      <c r="S858" s="2" t="s">
        <v>35</v>
      </c>
      <c r="T858" s="2" t="s">
        <v>35</v>
      </c>
      <c r="U858" s="2" t="s">
        <v>35</v>
      </c>
      <c r="V858" s="2" t="b">
        <v>0</v>
      </c>
      <c r="W858" s="2" t="s">
        <v>35</v>
      </c>
      <c r="X858" s="2" t="s">
        <v>35</v>
      </c>
      <c r="Y858" s="2">
        <v>4</v>
      </c>
      <c r="Z858" s="2" t="s">
        <v>35</v>
      </c>
    </row>
    <row r="859" spans="1:26" x14ac:dyDescent="0.2">
      <c r="A859" s="2" t="s">
        <v>2015</v>
      </c>
      <c r="B859" s="2" t="b">
        <v>0</v>
      </c>
      <c r="C859" s="2" t="b">
        <v>0</v>
      </c>
      <c r="D859" s="2" t="b">
        <v>0</v>
      </c>
      <c r="E859" s="2" t="b">
        <v>0</v>
      </c>
      <c r="F859" s="2" t="s">
        <v>31</v>
      </c>
      <c r="G859" s="2" t="s">
        <v>2016</v>
      </c>
      <c r="H859" s="2" t="s">
        <v>2017</v>
      </c>
      <c r="I859" s="2" t="s">
        <v>35</v>
      </c>
      <c r="J859" s="2" t="s">
        <v>35</v>
      </c>
      <c r="K859" s="2" t="s">
        <v>35</v>
      </c>
      <c r="L859" s="2" t="s">
        <v>35</v>
      </c>
      <c r="M859" s="2" t="s">
        <v>35</v>
      </c>
      <c r="N859" s="3">
        <v>44748.719938680559</v>
      </c>
      <c r="O859" s="3">
        <v>44748.720048136573</v>
      </c>
      <c r="P859" s="2">
        <v>0</v>
      </c>
      <c r="Q859" s="2" t="s">
        <v>36</v>
      </c>
      <c r="R859" s="2" t="s">
        <v>38</v>
      </c>
      <c r="S859" s="2" t="s">
        <v>35</v>
      </c>
      <c r="T859" s="2" t="s">
        <v>35</v>
      </c>
      <c r="U859" s="2" t="s">
        <v>35</v>
      </c>
      <c r="V859" s="2" t="b">
        <v>0</v>
      </c>
      <c r="W859" s="2" t="s">
        <v>35</v>
      </c>
      <c r="X859" s="2" t="s">
        <v>35</v>
      </c>
      <c r="Y859" s="2" t="s">
        <v>35</v>
      </c>
      <c r="Z859" s="2">
        <v>3</v>
      </c>
    </row>
    <row r="860" spans="1:26" x14ac:dyDescent="0.2">
      <c r="A860" s="2" t="s">
        <v>2018</v>
      </c>
      <c r="B860" s="2" t="b">
        <v>0</v>
      </c>
      <c r="C860" s="2" t="b">
        <v>0</v>
      </c>
      <c r="D860" s="2" t="b">
        <v>0</v>
      </c>
      <c r="E860" s="2" t="b">
        <v>0</v>
      </c>
      <c r="F860" s="2" t="s">
        <v>31</v>
      </c>
      <c r="G860" s="2" t="s">
        <v>149</v>
      </c>
      <c r="H860" s="2" t="s">
        <v>2019</v>
      </c>
      <c r="I860" s="2" t="s">
        <v>2020</v>
      </c>
      <c r="J860" s="2" t="s">
        <v>35</v>
      </c>
      <c r="K860" s="2" t="s">
        <v>35</v>
      </c>
      <c r="L860" s="2" t="s">
        <v>35</v>
      </c>
      <c r="M860" s="2" t="s">
        <v>35</v>
      </c>
      <c r="N860" s="3">
        <v>44748.720611099539</v>
      </c>
      <c r="O860" s="3">
        <v>44748.720874629631</v>
      </c>
      <c r="P860" s="2">
        <v>0</v>
      </c>
      <c r="Q860" s="2" t="s">
        <v>36</v>
      </c>
      <c r="R860" s="2" t="s">
        <v>38</v>
      </c>
      <c r="S860" s="2" t="s">
        <v>35</v>
      </c>
      <c r="T860" s="2" t="s">
        <v>35</v>
      </c>
      <c r="U860" s="2" t="s">
        <v>35</v>
      </c>
      <c r="V860" s="2" t="b">
        <v>0</v>
      </c>
      <c r="W860" s="2" t="s">
        <v>35</v>
      </c>
      <c r="X860" s="2" t="s">
        <v>35</v>
      </c>
      <c r="Y860" s="2">
        <v>5</v>
      </c>
      <c r="Z860" s="2" t="s">
        <v>35</v>
      </c>
    </row>
    <row r="861" spans="1:26" x14ac:dyDescent="0.2">
      <c r="A861" s="2" t="s">
        <v>2021</v>
      </c>
      <c r="B861" s="2" t="b">
        <v>0</v>
      </c>
      <c r="C861" s="2" t="b">
        <v>0</v>
      </c>
      <c r="D861" s="2" t="b">
        <v>0</v>
      </c>
      <c r="E861" s="2" t="b">
        <v>0</v>
      </c>
      <c r="F861" s="2" t="s">
        <v>31</v>
      </c>
      <c r="G861" s="2" t="s">
        <v>2022</v>
      </c>
      <c r="H861" s="2" t="s">
        <v>2023</v>
      </c>
      <c r="I861" s="2" t="s">
        <v>2024</v>
      </c>
      <c r="J861" s="2" t="s">
        <v>35</v>
      </c>
      <c r="K861" s="2" t="s">
        <v>35</v>
      </c>
      <c r="L861" s="2" t="s">
        <v>35</v>
      </c>
      <c r="M861" s="2" t="s">
        <v>35</v>
      </c>
      <c r="N861" s="3">
        <v>44749.405929386572</v>
      </c>
      <c r="O861" s="3">
        <v>44749.406160613427</v>
      </c>
      <c r="P861" s="2">
        <v>0</v>
      </c>
      <c r="Q861" s="2" t="s">
        <v>36</v>
      </c>
      <c r="R861" s="2" t="s">
        <v>38</v>
      </c>
      <c r="S861" s="2" t="s">
        <v>35</v>
      </c>
      <c r="T861" s="2" t="s">
        <v>35</v>
      </c>
      <c r="U861" s="2" t="s">
        <v>35</v>
      </c>
      <c r="V861" s="2" t="b">
        <v>0</v>
      </c>
      <c r="W861" s="2" t="s">
        <v>35</v>
      </c>
      <c r="X861" s="2" t="s">
        <v>35</v>
      </c>
      <c r="Y861" s="2">
        <v>6</v>
      </c>
      <c r="Z861" s="2" t="s">
        <v>35</v>
      </c>
    </row>
    <row r="862" spans="1:26" x14ac:dyDescent="0.2">
      <c r="A862" s="2" t="s">
        <v>2026</v>
      </c>
      <c r="B862" s="2" t="b">
        <v>0</v>
      </c>
      <c r="C862" s="2" t="b">
        <v>0</v>
      </c>
      <c r="D862" s="2" t="b">
        <v>0</v>
      </c>
      <c r="E862" s="2" t="b">
        <v>0</v>
      </c>
      <c r="F862" s="2" t="s">
        <v>31</v>
      </c>
      <c r="G862" s="2" t="s">
        <v>2027</v>
      </c>
      <c r="H862" s="2" t="s">
        <v>2028</v>
      </c>
      <c r="I862" s="2" t="s">
        <v>35</v>
      </c>
      <c r="J862" s="2" t="s">
        <v>35</v>
      </c>
      <c r="K862" s="2" t="s">
        <v>35</v>
      </c>
      <c r="L862" s="2" t="s">
        <v>35</v>
      </c>
      <c r="M862" s="2" t="s">
        <v>35</v>
      </c>
      <c r="N862" s="3">
        <v>44749.407840555556</v>
      </c>
      <c r="O862" s="3">
        <v>44749.408214756942</v>
      </c>
      <c r="P862" s="2">
        <v>0</v>
      </c>
      <c r="Q862" s="2" t="s">
        <v>36</v>
      </c>
      <c r="R862" s="2" t="s">
        <v>38</v>
      </c>
      <c r="S862" s="2" t="s">
        <v>35</v>
      </c>
      <c r="T862" s="2" t="s">
        <v>35</v>
      </c>
      <c r="U862" s="2" t="s">
        <v>35</v>
      </c>
      <c r="V862" s="2" t="b">
        <v>0</v>
      </c>
      <c r="W862" s="2" t="s">
        <v>35</v>
      </c>
      <c r="X862" s="2" t="s">
        <v>35</v>
      </c>
      <c r="Y862" s="2" t="s">
        <v>35</v>
      </c>
      <c r="Z862" s="2">
        <v>2</v>
      </c>
    </row>
    <row r="863" spans="1:26" x14ac:dyDescent="0.2">
      <c r="A863" s="2" t="s">
        <v>2029</v>
      </c>
      <c r="B863" s="2" t="b">
        <v>0</v>
      </c>
      <c r="C863" s="2" t="b">
        <v>0</v>
      </c>
      <c r="D863" s="2" t="b">
        <v>0</v>
      </c>
      <c r="E863" s="2" t="b">
        <v>0</v>
      </c>
      <c r="F863" s="2" t="s">
        <v>31</v>
      </c>
      <c r="G863" s="2" t="s">
        <v>2030</v>
      </c>
      <c r="H863" s="2" t="s">
        <v>2031</v>
      </c>
      <c r="I863" s="2" t="s">
        <v>35</v>
      </c>
      <c r="J863" s="2" t="s">
        <v>35</v>
      </c>
      <c r="K863" s="2" t="s">
        <v>35</v>
      </c>
      <c r="L863" s="2" t="s">
        <v>35</v>
      </c>
      <c r="M863" s="2" t="s">
        <v>35</v>
      </c>
      <c r="N863" s="3">
        <v>44749.409700277778</v>
      </c>
      <c r="O863" s="3">
        <v>44749.409827905096</v>
      </c>
      <c r="P863" s="2">
        <v>0</v>
      </c>
      <c r="Q863" s="2" t="s">
        <v>36</v>
      </c>
      <c r="R863" s="2" t="s">
        <v>38</v>
      </c>
      <c r="S863" s="2" t="s">
        <v>35</v>
      </c>
      <c r="T863" s="2" t="s">
        <v>35</v>
      </c>
      <c r="U863" s="2" t="s">
        <v>35</v>
      </c>
      <c r="V863" s="2" t="b">
        <v>0</v>
      </c>
      <c r="W863" s="2" t="s">
        <v>35</v>
      </c>
      <c r="X863" s="2" t="s">
        <v>35</v>
      </c>
      <c r="Y863" s="2" t="s">
        <v>35</v>
      </c>
      <c r="Z863" s="2">
        <v>2</v>
      </c>
    </row>
    <row r="864" spans="1:26" x14ac:dyDescent="0.2">
      <c r="A864" s="2" t="s">
        <v>2032</v>
      </c>
      <c r="B864" s="2" t="b">
        <v>0</v>
      </c>
      <c r="C864" s="2" t="b">
        <v>0</v>
      </c>
      <c r="D864" s="2" t="b">
        <v>0</v>
      </c>
      <c r="E864" s="2" t="b">
        <v>0</v>
      </c>
      <c r="F864" s="2" t="s">
        <v>31</v>
      </c>
      <c r="G864" s="2" t="s">
        <v>2033</v>
      </c>
      <c r="H864" s="2" t="s">
        <v>2034</v>
      </c>
      <c r="I864" s="2" t="s">
        <v>2035</v>
      </c>
      <c r="J864" s="2" t="s">
        <v>35</v>
      </c>
      <c r="K864" s="2">
        <v>8</v>
      </c>
      <c r="L864" s="2" t="s">
        <v>35</v>
      </c>
      <c r="M864" s="2" t="s">
        <v>35</v>
      </c>
      <c r="N864" s="3">
        <v>44749.410464039349</v>
      </c>
      <c r="O864" s="3">
        <v>44749.410875833331</v>
      </c>
      <c r="P864" s="2">
        <v>0</v>
      </c>
      <c r="Q864" s="2" t="s">
        <v>265</v>
      </c>
      <c r="R864" s="2" t="s">
        <v>38</v>
      </c>
      <c r="S864" s="2" t="s">
        <v>35</v>
      </c>
      <c r="T864" s="2" t="s">
        <v>35</v>
      </c>
      <c r="U864" s="2" t="s">
        <v>35</v>
      </c>
      <c r="V864" s="2" t="b">
        <v>0</v>
      </c>
      <c r="W864" s="2" t="s">
        <v>35</v>
      </c>
      <c r="X864" s="2" t="s">
        <v>35</v>
      </c>
      <c r="Y864" s="2" t="s">
        <v>35</v>
      </c>
      <c r="Z864" s="2" t="s">
        <v>35</v>
      </c>
    </row>
    <row r="865" spans="1:26" x14ac:dyDescent="0.2">
      <c r="A865" s="2" t="s">
        <v>2036</v>
      </c>
      <c r="B865" s="2" t="b">
        <v>0</v>
      </c>
      <c r="C865" s="2" t="b">
        <v>0</v>
      </c>
      <c r="D865" s="2" t="b">
        <v>0</v>
      </c>
      <c r="E865" s="2" t="b">
        <v>0</v>
      </c>
      <c r="F865" s="2" t="s">
        <v>31</v>
      </c>
      <c r="G865" s="2" t="s">
        <v>2037</v>
      </c>
      <c r="H865" s="2" t="s">
        <v>2038</v>
      </c>
      <c r="I865" s="2" t="s">
        <v>2039</v>
      </c>
      <c r="J865" s="2" t="s">
        <v>35</v>
      </c>
      <c r="K865" s="2" t="s">
        <v>35</v>
      </c>
      <c r="L865" s="2" t="s">
        <v>35</v>
      </c>
      <c r="M865" s="2" t="s">
        <v>35</v>
      </c>
      <c r="N865" s="3">
        <v>44749.411366215281</v>
      </c>
      <c r="O865" s="3">
        <v>44749.411732824075</v>
      </c>
      <c r="P865" s="2">
        <v>0</v>
      </c>
      <c r="Q865" s="2" t="s">
        <v>36</v>
      </c>
      <c r="R865" s="2" t="s">
        <v>38</v>
      </c>
      <c r="S865" s="2" t="s">
        <v>35</v>
      </c>
      <c r="T865" s="2" t="s">
        <v>35</v>
      </c>
      <c r="U865" s="2" t="s">
        <v>35</v>
      </c>
      <c r="V865" s="2" t="b">
        <v>0</v>
      </c>
      <c r="W865" s="2" t="s">
        <v>2040</v>
      </c>
      <c r="X865" s="2" t="s">
        <v>35</v>
      </c>
      <c r="Y865" s="2" t="s">
        <v>35</v>
      </c>
      <c r="Z865" s="2" t="s">
        <v>35</v>
      </c>
    </row>
    <row r="866" spans="1:26" x14ac:dyDescent="0.2">
      <c r="A866" s="2" t="s">
        <v>2041</v>
      </c>
      <c r="B866" s="2" t="b">
        <v>0</v>
      </c>
      <c r="C866" s="2" t="b">
        <v>0</v>
      </c>
      <c r="D866" s="2" t="b">
        <v>0</v>
      </c>
      <c r="E866" s="2" t="b">
        <v>0</v>
      </c>
      <c r="F866" s="2" t="s">
        <v>31</v>
      </c>
      <c r="G866" s="2" t="s">
        <v>2042</v>
      </c>
      <c r="H866" s="2" t="s">
        <v>2043</v>
      </c>
      <c r="I866" s="2" t="s">
        <v>2044</v>
      </c>
      <c r="J866" s="2" t="s">
        <v>35</v>
      </c>
      <c r="K866" s="2" t="s">
        <v>35</v>
      </c>
      <c r="L866" s="2" t="s">
        <v>35</v>
      </c>
      <c r="M866" s="2" t="s">
        <v>35</v>
      </c>
      <c r="N866" s="3">
        <v>44749.413448310188</v>
      </c>
      <c r="O866" s="3">
        <v>44749.413751284723</v>
      </c>
      <c r="P866" s="2">
        <v>0</v>
      </c>
      <c r="Q866" s="2" t="s">
        <v>36</v>
      </c>
      <c r="R866" s="2" t="s">
        <v>38</v>
      </c>
      <c r="S866" s="2" t="s">
        <v>35</v>
      </c>
      <c r="T866" s="2" t="s">
        <v>35</v>
      </c>
      <c r="U866" s="2" t="s">
        <v>35</v>
      </c>
      <c r="V866" s="2" t="b">
        <v>0</v>
      </c>
      <c r="W866" s="2" t="s">
        <v>35</v>
      </c>
      <c r="X866" s="2" t="s">
        <v>35</v>
      </c>
      <c r="Y866" s="2">
        <v>4</v>
      </c>
      <c r="Z866" s="2" t="s">
        <v>35</v>
      </c>
    </row>
    <row r="867" spans="1:26" x14ac:dyDescent="0.2">
      <c r="A867" s="2" t="s">
        <v>2045</v>
      </c>
      <c r="B867" s="2" t="b">
        <v>0</v>
      </c>
      <c r="C867" s="2" t="b">
        <v>0</v>
      </c>
      <c r="D867" s="2" t="b">
        <v>0</v>
      </c>
      <c r="E867" s="2" t="b">
        <v>0</v>
      </c>
      <c r="F867" s="2" t="s">
        <v>31</v>
      </c>
      <c r="G867" s="2" t="s">
        <v>2046</v>
      </c>
      <c r="H867" s="2" t="s">
        <v>2047</v>
      </c>
      <c r="I867" s="2" t="s">
        <v>2048</v>
      </c>
      <c r="J867" s="2" t="s">
        <v>35</v>
      </c>
      <c r="K867" s="2" t="s">
        <v>35</v>
      </c>
      <c r="L867" s="2" t="s">
        <v>35</v>
      </c>
      <c r="M867" s="2" t="s">
        <v>35</v>
      </c>
      <c r="N867" s="3">
        <v>44749.413982685182</v>
      </c>
      <c r="O867" s="3">
        <v>44749.414211990741</v>
      </c>
      <c r="P867" s="2">
        <v>0</v>
      </c>
      <c r="Q867" s="2" t="s">
        <v>36</v>
      </c>
      <c r="R867" s="2" t="s">
        <v>38</v>
      </c>
      <c r="S867" s="2" t="s">
        <v>35</v>
      </c>
      <c r="T867" s="2" t="s">
        <v>35</v>
      </c>
      <c r="U867" s="2" t="s">
        <v>35</v>
      </c>
      <c r="V867" s="2" t="b">
        <v>0</v>
      </c>
      <c r="W867" s="2" t="s">
        <v>35</v>
      </c>
      <c r="X867" s="2" t="s">
        <v>35</v>
      </c>
      <c r="Y867" s="2">
        <v>6</v>
      </c>
      <c r="Z867" s="2" t="s">
        <v>35</v>
      </c>
    </row>
    <row r="868" spans="1:26" x14ac:dyDescent="0.2">
      <c r="A868" s="2" t="s">
        <v>2049</v>
      </c>
      <c r="B868" s="2" t="b">
        <v>0</v>
      </c>
      <c r="C868" s="2" t="b">
        <v>0</v>
      </c>
      <c r="D868" s="2" t="b">
        <v>0</v>
      </c>
      <c r="E868" s="2" t="b">
        <v>0</v>
      </c>
      <c r="F868" s="2" t="s">
        <v>31</v>
      </c>
      <c r="G868" s="2" t="s">
        <v>2050</v>
      </c>
      <c r="H868" s="2" t="s">
        <v>2051</v>
      </c>
      <c r="I868" s="2" t="s">
        <v>35</v>
      </c>
      <c r="J868" s="2" t="s">
        <v>35</v>
      </c>
      <c r="K868" s="2" t="s">
        <v>35</v>
      </c>
      <c r="L868" s="2" t="s">
        <v>35</v>
      </c>
      <c r="M868" s="2" t="s">
        <v>35</v>
      </c>
      <c r="N868" s="3">
        <v>44749.414829780093</v>
      </c>
      <c r="O868" s="3">
        <v>44749.415005567127</v>
      </c>
      <c r="P868" s="2">
        <v>0</v>
      </c>
      <c r="Q868" s="2" t="s">
        <v>36</v>
      </c>
      <c r="R868" s="2" t="s">
        <v>38</v>
      </c>
      <c r="S868" s="2" t="s">
        <v>35</v>
      </c>
      <c r="T868" s="2" t="s">
        <v>35</v>
      </c>
      <c r="U868" s="2" t="s">
        <v>35</v>
      </c>
      <c r="V868" s="2" t="b">
        <v>0</v>
      </c>
      <c r="W868" s="2" t="s">
        <v>35</v>
      </c>
      <c r="X868" s="2" t="s">
        <v>35</v>
      </c>
      <c r="Y868" s="2" t="s">
        <v>35</v>
      </c>
      <c r="Z868" s="2">
        <v>2</v>
      </c>
    </row>
    <row r="869" spans="1:26" x14ac:dyDescent="0.2">
      <c r="A869" s="2" t="s">
        <v>2052</v>
      </c>
      <c r="B869" s="2" t="b">
        <v>0</v>
      </c>
      <c r="C869" s="2" t="b">
        <v>0</v>
      </c>
      <c r="D869" s="2" t="b">
        <v>0</v>
      </c>
      <c r="E869" s="2" t="b">
        <v>0</v>
      </c>
      <c r="F869" s="2" t="s">
        <v>31</v>
      </c>
      <c r="G869" s="2" t="s">
        <v>2053</v>
      </c>
      <c r="H869" s="2" t="s">
        <v>2054</v>
      </c>
      <c r="I869" s="2" t="s">
        <v>2055</v>
      </c>
      <c r="J869" s="2" t="s">
        <v>35</v>
      </c>
      <c r="K869" s="2" t="s">
        <v>35</v>
      </c>
      <c r="L869" s="2" t="s">
        <v>35</v>
      </c>
      <c r="M869" s="2" t="s">
        <v>35</v>
      </c>
      <c r="N869" s="3">
        <v>44749.416787685186</v>
      </c>
      <c r="O869" s="3">
        <v>44749.417250671293</v>
      </c>
      <c r="P869" s="2">
        <v>0</v>
      </c>
      <c r="Q869" s="2" t="s">
        <v>36</v>
      </c>
      <c r="R869" s="2" t="s">
        <v>38</v>
      </c>
      <c r="S869" s="2" t="s">
        <v>35</v>
      </c>
      <c r="T869" s="2" t="s">
        <v>35</v>
      </c>
      <c r="U869" s="2" t="s">
        <v>35</v>
      </c>
      <c r="V869" s="2" t="b">
        <v>0</v>
      </c>
      <c r="W869" s="2" t="s">
        <v>35</v>
      </c>
      <c r="X869" s="2" t="s">
        <v>35</v>
      </c>
      <c r="Y869" s="2">
        <v>5</v>
      </c>
      <c r="Z869" s="2">
        <v>2</v>
      </c>
    </row>
    <row r="870" spans="1:26" x14ac:dyDescent="0.2">
      <c r="A870" s="2" t="s">
        <v>2056</v>
      </c>
      <c r="B870" s="2" t="b">
        <v>0</v>
      </c>
      <c r="C870" s="2" t="b">
        <v>0</v>
      </c>
      <c r="D870" s="2" t="b">
        <v>0</v>
      </c>
      <c r="E870" s="2" t="b">
        <v>0</v>
      </c>
      <c r="F870" s="2" t="s">
        <v>31</v>
      </c>
      <c r="G870" s="2" t="s">
        <v>2057</v>
      </c>
      <c r="H870" s="2" t="s">
        <v>2058</v>
      </c>
      <c r="I870" s="2" t="s">
        <v>2059</v>
      </c>
      <c r="J870" s="2" t="s">
        <v>35</v>
      </c>
      <c r="K870" s="2" t="s">
        <v>35</v>
      </c>
      <c r="L870" s="2" t="s">
        <v>35</v>
      </c>
      <c r="M870" s="2" t="s">
        <v>35</v>
      </c>
      <c r="N870" s="3">
        <v>44749.41926372685</v>
      </c>
      <c r="O870" s="3">
        <v>44749.419538101851</v>
      </c>
      <c r="P870" s="2">
        <v>0</v>
      </c>
      <c r="Q870" s="2" t="s">
        <v>36</v>
      </c>
      <c r="R870" s="2" t="s">
        <v>38</v>
      </c>
      <c r="S870" s="2" t="s">
        <v>35</v>
      </c>
      <c r="T870" s="2" t="s">
        <v>35</v>
      </c>
      <c r="U870" s="2" t="s">
        <v>35</v>
      </c>
      <c r="V870" s="2" t="b">
        <v>0</v>
      </c>
      <c r="W870" s="2" t="s">
        <v>35</v>
      </c>
      <c r="X870" s="2" t="s">
        <v>35</v>
      </c>
      <c r="Y870" s="2">
        <v>5</v>
      </c>
      <c r="Z870" s="2" t="s">
        <v>35</v>
      </c>
    </row>
    <row r="871" spans="1:26" x14ac:dyDescent="0.2">
      <c r="A871" s="2" t="s">
        <v>2060</v>
      </c>
      <c r="B871" s="2" t="b">
        <v>0</v>
      </c>
      <c r="C871" s="2" t="b">
        <v>0</v>
      </c>
      <c r="D871" s="2" t="b">
        <v>0</v>
      </c>
      <c r="E871" s="2" t="b">
        <v>0</v>
      </c>
      <c r="F871" s="2" t="s">
        <v>31</v>
      </c>
      <c r="G871" s="2" t="s">
        <v>2061</v>
      </c>
      <c r="H871" s="2" t="s">
        <v>2062</v>
      </c>
      <c r="I871" s="2" t="s">
        <v>2063</v>
      </c>
      <c r="J871" s="2" t="s">
        <v>35</v>
      </c>
      <c r="K871" s="2" t="s">
        <v>35</v>
      </c>
      <c r="L871" s="2" t="s">
        <v>35</v>
      </c>
      <c r="M871" s="2" t="s">
        <v>35</v>
      </c>
      <c r="N871" s="3">
        <v>44749.419999560188</v>
      </c>
      <c r="O871" s="3">
        <v>44749.420329074077</v>
      </c>
      <c r="P871" s="2">
        <v>0</v>
      </c>
      <c r="Q871" s="2" t="s">
        <v>36</v>
      </c>
      <c r="R871" s="2" t="s">
        <v>38</v>
      </c>
      <c r="S871" s="2" t="s">
        <v>35</v>
      </c>
      <c r="T871" s="2" t="s">
        <v>35</v>
      </c>
      <c r="U871" s="2" t="s">
        <v>35</v>
      </c>
      <c r="V871" s="2" t="b">
        <v>0</v>
      </c>
      <c r="W871" s="2" t="s">
        <v>35</v>
      </c>
      <c r="X871" s="2" t="s">
        <v>35</v>
      </c>
      <c r="Y871" s="2">
        <v>7</v>
      </c>
      <c r="Z871" s="2" t="s">
        <v>35</v>
      </c>
    </row>
    <row r="872" spans="1:26" x14ac:dyDescent="0.2">
      <c r="A872" s="2" t="s">
        <v>2064</v>
      </c>
      <c r="B872" s="2" t="b">
        <v>0</v>
      </c>
      <c r="C872" s="2" t="b">
        <v>0</v>
      </c>
      <c r="D872" s="2" t="b">
        <v>0</v>
      </c>
      <c r="E872" s="2" t="b">
        <v>0</v>
      </c>
      <c r="F872" s="2" t="s">
        <v>31</v>
      </c>
      <c r="G872" s="2" t="s">
        <v>2065</v>
      </c>
      <c r="H872" s="2" t="s">
        <v>2066</v>
      </c>
      <c r="I872" s="2" t="s">
        <v>35</v>
      </c>
      <c r="J872" s="2" t="s">
        <v>35</v>
      </c>
      <c r="K872" s="2" t="s">
        <v>35</v>
      </c>
      <c r="L872" s="2" t="s">
        <v>35</v>
      </c>
      <c r="M872" s="2" t="s">
        <v>35</v>
      </c>
      <c r="N872" s="3">
        <v>44749.421700590276</v>
      </c>
      <c r="O872" s="3">
        <v>44749.421811527776</v>
      </c>
      <c r="P872" s="2">
        <v>0</v>
      </c>
      <c r="Q872" s="2" t="s">
        <v>36</v>
      </c>
      <c r="R872" s="2" t="s">
        <v>38</v>
      </c>
      <c r="S872" s="2" t="s">
        <v>35</v>
      </c>
      <c r="T872" s="2" t="s">
        <v>35</v>
      </c>
      <c r="U872" s="2" t="s">
        <v>35</v>
      </c>
      <c r="V872" s="2" t="b">
        <v>0</v>
      </c>
      <c r="W872" s="2" t="s">
        <v>35</v>
      </c>
      <c r="X872" s="2" t="s">
        <v>35</v>
      </c>
      <c r="Y872" s="2" t="s">
        <v>35</v>
      </c>
      <c r="Z872" s="2">
        <v>3</v>
      </c>
    </row>
    <row r="873" spans="1:26" x14ac:dyDescent="0.2">
      <c r="A873" s="2" t="s">
        <v>2067</v>
      </c>
      <c r="B873" s="2" t="b">
        <v>0</v>
      </c>
      <c r="C873" s="2" t="b">
        <v>0</v>
      </c>
      <c r="D873" s="2" t="b">
        <v>0</v>
      </c>
      <c r="E873" s="2" t="b">
        <v>0</v>
      </c>
      <c r="F873" s="2" t="s">
        <v>31</v>
      </c>
      <c r="G873" s="2" t="s">
        <v>2068</v>
      </c>
      <c r="H873" s="2" t="s">
        <v>2069</v>
      </c>
      <c r="I873" s="2" t="s">
        <v>2070</v>
      </c>
      <c r="J873" s="2" t="s">
        <v>35</v>
      </c>
      <c r="K873" s="2" t="s">
        <v>35</v>
      </c>
      <c r="L873" s="2" t="s">
        <v>35</v>
      </c>
      <c r="M873" s="2" t="s">
        <v>35</v>
      </c>
      <c r="N873" s="3">
        <v>44749.423096469909</v>
      </c>
      <c r="O873" s="3">
        <v>44749.423421608793</v>
      </c>
      <c r="P873" s="2">
        <v>0</v>
      </c>
      <c r="Q873" s="2" t="s">
        <v>36</v>
      </c>
      <c r="R873" s="2" t="s">
        <v>38</v>
      </c>
      <c r="S873" s="2" t="s">
        <v>35</v>
      </c>
      <c r="T873" s="2" t="s">
        <v>35</v>
      </c>
      <c r="U873" s="2" t="s">
        <v>35</v>
      </c>
      <c r="V873" s="2" t="b">
        <v>0</v>
      </c>
      <c r="W873" s="2" t="s">
        <v>35</v>
      </c>
      <c r="X873" s="2" t="s">
        <v>35</v>
      </c>
      <c r="Y873" s="2">
        <v>4</v>
      </c>
      <c r="Z873" s="2" t="s">
        <v>35</v>
      </c>
    </row>
    <row r="874" spans="1:26" x14ac:dyDescent="0.2">
      <c r="A874" s="2" t="s">
        <v>2071</v>
      </c>
      <c r="B874" s="2" t="b">
        <v>0</v>
      </c>
      <c r="C874" s="2" t="b">
        <v>0</v>
      </c>
      <c r="D874" s="2" t="b">
        <v>0</v>
      </c>
      <c r="E874" s="2" t="b">
        <v>0</v>
      </c>
      <c r="F874" s="2" t="s">
        <v>31</v>
      </c>
      <c r="G874" s="2" t="s">
        <v>2072</v>
      </c>
      <c r="H874" s="2" t="s">
        <v>2073</v>
      </c>
      <c r="I874" s="2" t="s">
        <v>35</v>
      </c>
      <c r="J874" s="2" t="s">
        <v>35</v>
      </c>
      <c r="K874" s="2" t="s">
        <v>35</v>
      </c>
      <c r="L874" s="2" t="s">
        <v>35</v>
      </c>
      <c r="M874" s="2" t="s">
        <v>35</v>
      </c>
      <c r="N874" s="3">
        <v>44749.424100185184</v>
      </c>
      <c r="O874" s="3">
        <v>44749.424230960649</v>
      </c>
      <c r="P874" s="2">
        <v>0</v>
      </c>
      <c r="Q874" s="2" t="s">
        <v>36</v>
      </c>
      <c r="R874" s="2" t="s">
        <v>38</v>
      </c>
      <c r="S874" s="2" t="s">
        <v>35</v>
      </c>
      <c r="T874" s="2" t="s">
        <v>35</v>
      </c>
      <c r="U874" s="2" t="s">
        <v>35</v>
      </c>
      <c r="V874" s="2" t="b">
        <v>0</v>
      </c>
      <c r="W874" s="2" t="s">
        <v>35</v>
      </c>
      <c r="X874" s="2" t="s">
        <v>35</v>
      </c>
      <c r="Y874" s="2" t="s">
        <v>35</v>
      </c>
      <c r="Z874" s="2">
        <v>2</v>
      </c>
    </row>
    <row r="875" spans="1:26" x14ac:dyDescent="0.2">
      <c r="A875" s="2" t="s">
        <v>2074</v>
      </c>
      <c r="B875" s="2" t="b">
        <v>0</v>
      </c>
      <c r="C875" s="2" t="b">
        <v>0</v>
      </c>
      <c r="D875" s="2" t="b">
        <v>0</v>
      </c>
      <c r="E875" s="2" t="b">
        <v>0</v>
      </c>
      <c r="F875" s="2" t="s">
        <v>31</v>
      </c>
      <c r="G875" s="2" t="s">
        <v>2075</v>
      </c>
      <c r="H875" s="2" t="s">
        <v>2076</v>
      </c>
      <c r="I875" s="2" t="s">
        <v>35</v>
      </c>
      <c r="J875" s="2" t="s">
        <v>35</v>
      </c>
      <c r="K875" s="2" t="s">
        <v>35</v>
      </c>
      <c r="L875" s="2" t="s">
        <v>35</v>
      </c>
      <c r="M875" s="2" t="s">
        <v>35</v>
      </c>
      <c r="N875" s="3">
        <v>44749.424786134259</v>
      </c>
      <c r="O875" s="3">
        <v>44749.424928645836</v>
      </c>
      <c r="P875" s="2">
        <v>0</v>
      </c>
      <c r="Q875" s="2" t="s">
        <v>36</v>
      </c>
      <c r="R875" s="2" t="s">
        <v>38</v>
      </c>
      <c r="S875" s="2" t="s">
        <v>35</v>
      </c>
      <c r="T875" s="2" t="s">
        <v>35</v>
      </c>
      <c r="U875" s="2" t="s">
        <v>35</v>
      </c>
      <c r="V875" s="2" t="b">
        <v>0</v>
      </c>
      <c r="W875" s="2" t="s">
        <v>35</v>
      </c>
      <c r="X875" s="2" t="s">
        <v>35</v>
      </c>
      <c r="Y875" s="2" t="s">
        <v>35</v>
      </c>
      <c r="Z875" s="2">
        <v>3</v>
      </c>
    </row>
    <row r="876" spans="1:26" x14ac:dyDescent="0.2">
      <c r="A876" s="2" t="s">
        <v>2077</v>
      </c>
      <c r="B876" s="2" t="b">
        <v>0</v>
      </c>
      <c r="C876" s="2" t="b">
        <v>0</v>
      </c>
      <c r="D876" s="2" t="b">
        <v>0</v>
      </c>
      <c r="E876" s="2" t="b">
        <v>0</v>
      </c>
      <c r="F876" s="2" t="s">
        <v>31</v>
      </c>
      <c r="G876" s="2" t="s">
        <v>2078</v>
      </c>
      <c r="H876" s="2" t="s">
        <v>2079</v>
      </c>
      <c r="I876" s="2" t="s">
        <v>35</v>
      </c>
      <c r="J876" s="2" t="s">
        <v>35</v>
      </c>
      <c r="K876" s="2" t="s">
        <v>35</v>
      </c>
      <c r="L876" s="2" t="s">
        <v>35</v>
      </c>
      <c r="M876" s="2" t="s">
        <v>35</v>
      </c>
      <c r="N876" s="3">
        <v>44749.425454525466</v>
      </c>
      <c r="O876" s="3">
        <v>44749.425793680559</v>
      </c>
      <c r="P876" s="2">
        <v>0</v>
      </c>
      <c r="Q876" s="2" t="s">
        <v>36</v>
      </c>
      <c r="R876" s="2" t="s">
        <v>38</v>
      </c>
      <c r="S876" s="2" t="s">
        <v>35</v>
      </c>
      <c r="T876" s="2" t="s">
        <v>35</v>
      </c>
      <c r="U876" s="2" t="s">
        <v>35</v>
      </c>
      <c r="V876" s="2" t="b">
        <v>0</v>
      </c>
      <c r="W876" s="2" t="s">
        <v>35</v>
      </c>
      <c r="X876" s="2" t="s">
        <v>35</v>
      </c>
      <c r="Y876" s="2" t="s">
        <v>35</v>
      </c>
      <c r="Z876" s="2">
        <v>2</v>
      </c>
    </row>
    <row r="877" spans="1:26" x14ac:dyDescent="0.2">
      <c r="A877" s="2" t="s">
        <v>2080</v>
      </c>
      <c r="B877" s="2" t="b">
        <v>0</v>
      </c>
      <c r="C877" s="2" t="b">
        <v>0</v>
      </c>
      <c r="D877" s="2" t="b">
        <v>0</v>
      </c>
      <c r="E877" s="2" t="b">
        <v>0</v>
      </c>
      <c r="F877" s="2" t="s">
        <v>31</v>
      </c>
      <c r="G877" s="2" t="s">
        <v>2081</v>
      </c>
      <c r="H877" s="2" t="s">
        <v>2082</v>
      </c>
      <c r="I877" s="2" t="s">
        <v>35</v>
      </c>
      <c r="J877" s="2" t="s">
        <v>35</v>
      </c>
      <c r="K877" s="2" t="s">
        <v>35</v>
      </c>
      <c r="L877" s="2" t="s">
        <v>35</v>
      </c>
      <c r="M877" s="2" t="s">
        <v>35</v>
      </c>
      <c r="N877" s="3">
        <v>44749.426058275465</v>
      </c>
      <c r="O877" s="3">
        <v>44749.426178171299</v>
      </c>
      <c r="P877" s="2">
        <v>0</v>
      </c>
      <c r="Q877" s="2" t="s">
        <v>36</v>
      </c>
      <c r="R877" s="2" t="s">
        <v>38</v>
      </c>
      <c r="S877" s="2" t="s">
        <v>35</v>
      </c>
      <c r="T877" s="2" t="s">
        <v>35</v>
      </c>
      <c r="U877" s="2" t="s">
        <v>35</v>
      </c>
      <c r="V877" s="2" t="b">
        <v>0</v>
      </c>
      <c r="W877" s="2" t="s">
        <v>35</v>
      </c>
      <c r="X877" s="2" t="s">
        <v>35</v>
      </c>
      <c r="Y877" s="2" t="s">
        <v>35</v>
      </c>
      <c r="Z877" s="2">
        <v>3</v>
      </c>
    </row>
    <row r="878" spans="1:26" x14ac:dyDescent="0.2">
      <c r="A878" s="2" t="s">
        <v>2083</v>
      </c>
      <c r="B878" s="2" t="b">
        <v>0</v>
      </c>
      <c r="C878" s="2" t="b">
        <v>0</v>
      </c>
      <c r="D878" s="2" t="b">
        <v>0</v>
      </c>
      <c r="E878" s="2" t="b">
        <v>0</v>
      </c>
      <c r="F878" s="2" t="s">
        <v>31</v>
      </c>
      <c r="G878" s="2" t="s">
        <v>2084</v>
      </c>
      <c r="H878" s="2" t="s">
        <v>2085</v>
      </c>
      <c r="I878" s="2" t="s">
        <v>35</v>
      </c>
      <c r="J878" s="2" t="s">
        <v>35</v>
      </c>
      <c r="K878" s="2" t="s">
        <v>35</v>
      </c>
      <c r="L878" s="2" t="s">
        <v>35</v>
      </c>
      <c r="M878" s="2" t="s">
        <v>35</v>
      </c>
      <c r="N878" s="3">
        <v>44749.426745925928</v>
      </c>
      <c r="O878" s="3">
        <v>44749.427075868058</v>
      </c>
      <c r="P878" s="2">
        <v>0</v>
      </c>
      <c r="Q878" s="2" t="s">
        <v>36</v>
      </c>
      <c r="R878" s="2" t="s">
        <v>38</v>
      </c>
      <c r="S878" s="2" t="s">
        <v>35</v>
      </c>
      <c r="T878" s="2" t="s">
        <v>35</v>
      </c>
      <c r="U878" s="2" t="s">
        <v>35</v>
      </c>
      <c r="V878" s="2" t="b">
        <v>0</v>
      </c>
      <c r="W878" s="2" t="s">
        <v>35</v>
      </c>
      <c r="X878" s="2" t="s">
        <v>35</v>
      </c>
      <c r="Y878" s="2" t="s">
        <v>35</v>
      </c>
      <c r="Z878" s="2">
        <v>3</v>
      </c>
    </row>
    <row r="879" spans="1:26" x14ac:dyDescent="0.2">
      <c r="A879" s="2" t="s">
        <v>9289</v>
      </c>
      <c r="B879" s="2" t="b">
        <v>0</v>
      </c>
      <c r="C879" s="2" t="b">
        <v>0</v>
      </c>
      <c r="D879" s="2" t="b">
        <v>0</v>
      </c>
      <c r="E879" s="2" t="b">
        <v>0</v>
      </c>
      <c r="F879" s="2" t="s">
        <v>121</v>
      </c>
      <c r="G879" s="2" t="s">
        <v>149</v>
      </c>
      <c r="H879" s="2" t="s">
        <v>9290</v>
      </c>
      <c r="I879" s="2" t="s">
        <v>35</v>
      </c>
      <c r="J879" s="2" t="s">
        <v>35</v>
      </c>
      <c r="K879" s="2" t="s">
        <v>35</v>
      </c>
      <c r="L879" s="2" t="s">
        <v>35</v>
      </c>
      <c r="M879" s="2" t="s">
        <v>35</v>
      </c>
      <c r="N879" s="3">
        <v>44749.431402303242</v>
      </c>
      <c r="O879" s="3">
        <v>44749.431440219909</v>
      </c>
      <c r="P879" s="2">
        <v>0</v>
      </c>
      <c r="Q879" s="2" t="s">
        <v>35</v>
      </c>
      <c r="R879" s="2" t="s">
        <v>38</v>
      </c>
      <c r="S879" s="2" t="s">
        <v>35</v>
      </c>
      <c r="T879" s="2" t="s">
        <v>35</v>
      </c>
      <c r="U879" s="2" t="s">
        <v>35</v>
      </c>
      <c r="V879" s="2" t="b">
        <v>0</v>
      </c>
      <c r="W879" s="2" t="s">
        <v>35</v>
      </c>
      <c r="X879" s="2" t="s">
        <v>35</v>
      </c>
      <c r="Y879" s="2" t="s">
        <v>35</v>
      </c>
      <c r="Z879" s="2" t="s">
        <v>35</v>
      </c>
    </row>
    <row r="880" spans="1:26" x14ac:dyDescent="0.2">
      <c r="A880" s="2" t="s">
        <v>9291</v>
      </c>
      <c r="B880" s="2" t="b">
        <v>0</v>
      </c>
      <c r="C880" s="2" t="b">
        <v>0</v>
      </c>
      <c r="D880" s="2" t="b">
        <v>0</v>
      </c>
      <c r="E880" s="2" t="b">
        <v>0</v>
      </c>
      <c r="F880" s="2" t="s">
        <v>121</v>
      </c>
      <c r="G880" s="2" t="s">
        <v>149</v>
      </c>
      <c r="H880" s="2" t="s">
        <v>9290</v>
      </c>
      <c r="I880" s="2" t="s">
        <v>35</v>
      </c>
      <c r="J880" s="2" t="s">
        <v>35</v>
      </c>
      <c r="K880" s="2" t="s">
        <v>35</v>
      </c>
      <c r="L880" s="2" t="s">
        <v>35</v>
      </c>
      <c r="M880" s="2" t="s">
        <v>35</v>
      </c>
      <c r="N880" s="3">
        <v>44749.431402685186</v>
      </c>
      <c r="O880" s="3">
        <v>44749.431440277775</v>
      </c>
      <c r="P880" s="2">
        <v>0</v>
      </c>
      <c r="Q880" s="2" t="s">
        <v>35</v>
      </c>
      <c r="R880" s="2" t="s">
        <v>38</v>
      </c>
      <c r="S880" s="2" t="s">
        <v>35</v>
      </c>
      <c r="T880" s="2" t="s">
        <v>35</v>
      </c>
      <c r="U880" s="2" t="s">
        <v>35</v>
      </c>
      <c r="V880" s="2" t="b">
        <v>0</v>
      </c>
      <c r="W880" s="2" t="s">
        <v>35</v>
      </c>
      <c r="X880" s="2" t="s">
        <v>35</v>
      </c>
      <c r="Y880" s="2" t="s">
        <v>35</v>
      </c>
      <c r="Z880" s="2" t="s">
        <v>35</v>
      </c>
    </row>
    <row r="881" spans="1:26" x14ac:dyDescent="0.2">
      <c r="A881" s="2" t="s">
        <v>9292</v>
      </c>
      <c r="B881" s="2" t="b">
        <v>0</v>
      </c>
      <c r="C881" s="2" t="b">
        <v>0</v>
      </c>
      <c r="D881" s="2" t="b">
        <v>0</v>
      </c>
      <c r="E881" s="2" t="b">
        <v>0</v>
      </c>
      <c r="F881" s="2" t="s">
        <v>121</v>
      </c>
      <c r="G881" s="2" t="s">
        <v>149</v>
      </c>
      <c r="H881" s="2" t="s">
        <v>2087</v>
      </c>
      <c r="I881" s="2" t="s">
        <v>35</v>
      </c>
      <c r="J881" s="2" t="s">
        <v>35</v>
      </c>
      <c r="K881" s="2" t="s">
        <v>35</v>
      </c>
      <c r="L881" s="2" t="s">
        <v>35</v>
      </c>
      <c r="M881" s="2" t="s">
        <v>35</v>
      </c>
      <c r="N881" s="3">
        <v>44749.431402754628</v>
      </c>
      <c r="O881" s="3">
        <v>44749.431440347224</v>
      </c>
      <c r="P881" s="2">
        <v>0</v>
      </c>
      <c r="Q881" s="2" t="s">
        <v>35</v>
      </c>
      <c r="R881" s="2" t="s">
        <v>38</v>
      </c>
      <c r="S881" s="2" t="s">
        <v>35</v>
      </c>
      <c r="T881" s="2" t="s">
        <v>35</v>
      </c>
      <c r="U881" s="2" t="s">
        <v>35</v>
      </c>
      <c r="V881" s="2" t="b">
        <v>0</v>
      </c>
      <c r="W881" s="2" t="s">
        <v>35</v>
      </c>
      <c r="X881" s="2" t="s">
        <v>35</v>
      </c>
      <c r="Y881" s="2" t="s">
        <v>35</v>
      </c>
      <c r="Z881" s="2" t="s">
        <v>35</v>
      </c>
    </row>
    <row r="882" spans="1:26" x14ac:dyDescent="0.2">
      <c r="A882" s="2" t="s">
        <v>9293</v>
      </c>
      <c r="B882" s="2" t="b">
        <v>0</v>
      </c>
      <c r="C882" s="2" t="b">
        <v>0</v>
      </c>
      <c r="D882" s="2" t="b">
        <v>0</v>
      </c>
      <c r="E882" s="2" t="b">
        <v>0</v>
      </c>
      <c r="F882" s="2" t="s">
        <v>121</v>
      </c>
      <c r="G882" s="2" t="s">
        <v>149</v>
      </c>
      <c r="H882" s="2" t="s">
        <v>2087</v>
      </c>
      <c r="I882" s="2" t="s">
        <v>35</v>
      </c>
      <c r="J882" s="2" t="s">
        <v>35</v>
      </c>
      <c r="K882" s="2" t="s">
        <v>35</v>
      </c>
      <c r="L882" s="2" t="s">
        <v>35</v>
      </c>
      <c r="M882" s="2" t="s">
        <v>35</v>
      </c>
      <c r="N882" s="3">
        <v>44749.431404907409</v>
      </c>
      <c r="O882" s="3">
        <v>44749.4314403588</v>
      </c>
      <c r="P882" s="2">
        <v>0</v>
      </c>
      <c r="Q882" s="2" t="s">
        <v>36</v>
      </c>
      <c r="R882" s="2" t="s">
        <v>38</v>
      </c>
      <c r="S882" s="2" t="s">
        <v>35</v>
      </c>
      <c r="T882" s="2" t="s">
        <v>35</v>
      </c>
      <c r="U882" s="2" t="s">
        <v>35</v>
      </c>
      <c r="V882" s="2" t="b">
        <v>0</v>
      </c>
      <c r="W882" s="2" t="s">
        <v>35</v>
      </c>
      <c r="X882" s="2" t="s">
        <v>35</v>
      </c>
      <c r="Y882" s="2" t="s">
        <v>35</v>
      </c>
      <c r="Z882" s="2" t="s">
        <v>35</v>
      </c>
    </row>
    <row r="883" spans="1:26" x14ac:dyDescent="0.2">
      <c r="A883" s="2" t="s">
        <v>9294</v>
      </c>
      <c r="B883" s="2" t="b">
        <v>0</v>
      </c>
      <c r="C883" s="2" t="b">
        <v>0</v>
      </c>
      <c r="D883" s="2" t="b">
        <v>0</v>
      </c>
      <c r="E883" s="2" t="b">
        <v>0</v>
      </c>
      <c r="F883" s="2" t="s">
        <v>121</v>
      </c>
      <c r="G883" s="2" t="s">
        <v>149</v>
      </c>
      <c r="H883" s="2" t="s">
        <v>2087</v>
      </c>
      <c r="I883" s="2" t="s">
        <v>35</v>
      </c>
      <c r="J883" s="2" t="s">
        <v>35</v>
      </c>
      <c r="K883" s="2" t="s">
        <v>35</v>
      </c>
      <c r="L883" s="2" t="s">
        <v>35</v>
      </c>
      <c r="M883" s="2" t="s">
        <v>35</v>
      </c>
      <c r="N883" s="3">
        <v>44749.43140494213</v>
      </c>
      <c r="O883" s="3">
        <v>44749.4314403588</v>
      </c>
      <c r="P883" s="2">
        <v>0</v>
      </c>
      <c r="Q883" s="2" t="s">
        <v>36</v>
      </c>
      <c r="R883" s="2" t="s">
        <v>38</v>
      </c>
      <c r="S883" s="2" t="s">
        <v>35</v>
      </c>
      <c r="T883" s="2" t="s">
        <v>35</v>
      </c>
      <c r="U883" s="2" t="s">
        <v>35</v>
      </c>
      <c r="V883" s="2" t="b">
        <v>0</v>
      </c>
      <c r="W883" s="2" t="s">
        <v>35</v>
      </c>
      <c r="X883" s="2" t="s">
        <v>35</v>
      </c>
      <c r="Y883" s="2" t="s">
        <v>35</v>
      </c>
      <c r="Z883" s="2" t="s">
        <v>35</v>
      </c>
    </row>
    <row r="884" spans="1:26" x14ac:dyDescent="0.2">
      <c r="A884" s="2" t="s">
        <v>9295</v>
      </c>
      <c r="B884" s="2" t="b">
        <v>0</v>
      </c>
      <c r="C884" s="2" t="b">
        <v>0</v>
      </c>
      <c r="D884" s="2" t="b">
        <v>0</v>
      </c>
      <c r="E884" s="2" t="b">
        <v>0</v>
      </c>
      <c r="F884" s="2" t="s">
        <v>121</v>
      </c>
      <c r="G884" s="2" t="s">
        <v>149</v>
      </c>
      <c r="H884" s="2" t="s">
        <v>2087</v>
      </c>
      <c r="I884" s="2" t="s">
        <v>2088</v>
      </c>
      <c r="J884" s="2" t="s">
        <v>35</v>
      </c>
      <c r="K884" s="2" t="s">
        <v>35</v>
      </c>
      <c r="L884" s="2" t="s">
        <v>35</v>
      </c>
      <c r="M884" s="2" t="s">
        <v>35</v>
      </c>
      <c r="N884" s="3">
        <v>44749.431405856485</v>
      </c>
      <c r="O884" s="3">
        <v>44749.431440370368</v>
      </c>
      <c r="P884" s="2">
        <v>0</v>
      </c>
      <c r="Q884" s="2" t="s">
        <v>36</v>
      </c>
      <c r="R884" s="2" t="s">
        <v>38</v>
      </c>
      <c r="S884" s="2" t="s">
        <v>35</v>
      </c>
      <c r="T884" s="2" t="s">
        <v>35</v>
      </c>
      <c r="U884" s="2" t="s">
        <v>35</v>
      </c>
      <c r="V884" s="2" t="b">
        <v>0</v>
      </c>
      <c r="W884" s="2" t="s">
        <v>35</v>
      </c>
      <c r="X884" s="2" t="s">
        <v>35</v>
      </c>
      <c r="Y884" s="2">
        <v>5</v>
      </c>
      <c r="Z884" s="2" t="s">
        <v>35</v>
      </c>
    </row>
    <row r="885" spans="1:26" x14ac:dyDescent="0.2">
      <c r="A885" s="2" t="s">
        <v>2086</v>
      </c>
      <c r="B885" s="2" t="b">
        <v>0</v>
      </c>
      <c r="C885" s="2" t="b">
        <v>0</v>
      </c>
      <c r="D885" s="2" t="b">
        <v>0</v>
      </c>
      <c r="E885" s="2" t="b">
        <v>0</v>
      </c>
      <c r="F885" s="2" t="s">
        <v>31</v>
      </c>
      <c r="G885" s="2" t="s">
        <v>149</v>
      </c>
      <c r="H885" s="2" t="s">
        <v>2087</v>
      </c>
      <c r="I885" s="2" t="s">
        <v>2088</v>
      </c>
      <c r="J885" s="2" t="s">
        <v>35</v>
      </c>
      <c r="K885" s="2" t="s">
        <v>35</v>
      </c>
      <c r="L885" s="2" t="s">
        <v>35</v>
      </c>
      <c r="M885" s="2" t="s">
        <v>35</v>
      </c>
      <c r="N885" s="3">
        <v>44749.431405902775</v>
      </c>
      <c r="O885" s="3">
        <v>44749.431440370368</v>
      </c>
      <c r="P885" s="2">
        <v>0</v>
      </c>
      <c r="Q885" s="2" t="s">
        <v>36</v>
      </c>
      <c r="R885" s="2" t="s">
        <v>38</v>
      </c>
      <c r="S885" s="2" t="s">
        <v>35</v>
      </c>
      <c r="T885" s="2" t="s">
        <v>35</v>
      </c>
      <c r="U885" s="2" t="s">
        <v>35</v>
      </c>
      <c r="V885" s="2" t="b">
        <v>0</v>
      </c>
      <c r="W885" s="2" t="s">
        <v>35</v>
      </c>
      <c r="X885" s="2" t="s">
        <v>35</v>
      </c>
      <c r="Y885" s="2">
        <v>5</v>
      </c>
      <c r="Z885" s="2" t="s">
        <v>35</v>
      </c>
    </row>
    <row r="886" spans="1:26" x14ac:dyDescent="0.2">
      <c r="A886" s="2" t="s">
        <v>2089</v>
      </c>
      <c r="B886" s="2" t="b">
        <v>0</v>
      </c>
      <c r="C886" s="2" t="b">
        <v>0</v>
      </c>
      <c r="D886" s="2" t="b">
        <v>0</v>
      </c>
      <c r="E886" s="2" t="b">
        <v>0</v>
      </c>
      <c r="F886" s="2" t="s">
        <v>31</v>
      </c>
      <c r="G886" s="2" t="s">
        <v>2090</v>
      </c>
      <c r="H886" s="2" t="s">
        <v>2091</v>
      </c>
      <c r="I886" s="2" t="s">
        <v>35</v>
      </c>
      <c r="J886" s="2" t="s">
        <v>35</v>
      </c>
      <c r="K886" s="2" t="s">
        <v>35</v>
      </c>
      <c r="L886" s="2">
        <v>52</v>
      </c>
      <c r="M886" s="2">
        <v>16</v>
      </c>
      <c r="N886" s="3">
        <v>44749.431440972221</v>
      </c>
      <c r="O886" s="3">
        <v>44749.432354976852</v>
      </c>
      <c r="P886" s="2">
        <v>0</v>
      </c>
      <c r="Q886" s="2" t="s">
        <v>54</v>
      </c>
      <c r="R886" s="2" t="s">
        <v>38</v>
      </c>
      <c r="S886" s="2" t="s">
        <v>35</v>
      </c>
      <c r="T886" s="2" t="s">
        <v>35</v>
      </c>
      <c r="U886" s="2" t="s">
        <v>35</v>
      </c>
      <c r="V886" s="2" t="b">
        <v>0</v>
      </c>
      <c r="W886" s="2" t="s">
        <v>35</v>
      </c>
      <c r="X886" s="2" t="s">
        <v>35</v>
      </c>
      <c r="Y886" s="2" t="s">
        <v>35</v>
      </c>
      <c r="Z886" s="2" t="s">
        <v>35</v>
      </c>
    </row>
    <row r="887" spans="1:26" x14ac:dyDescent="0.2">
      <c r="A887" s="2" t="s">
        <v>2092</v>
      </c>
      <c r="B887" s="2" t="b">
        <v>0</v>
      </c>
      <c r="C887" s="2" t="b">
        <v>0</v>
      </c>
      <c r="D887" s="2" t="b">
        <v>0</v>
      </c>
      <c r="E887" s="2" t="b">
        <v>0</v>
      </c>
      <c r="F887" s="2" t="s">
        <v>31</v>
      </c>
      <c r="G887" s="2" t="s">
        <v>2093</v>
      </c>
      <c r="H887" s="2" t="s">
        <v>2094</v>
      </c>
      <c r="I887" s="2" t="s">
        <v>2095</v>
      </c>
      <c r="J887" s="2" t="s">
        <v>35</v>
      </c>
      <c r="K887" s="2" t="s">
        <v>35</v>
      </c>
      <c r="L887" s="2" t="s">
        <v>35</v>
      </c>
      <c r="M887" s="2" t="s">
        <v>35</v>
      </c>
      <c r="N887" s="3">
        <v>44749.433332361114</v>
      </c>
      <c r="O887" s="3">
        <v>44749.433675289351</v>
      </c>
      <c r="P887" s="2">
        <v>0</v>
      </c>
      <c r="Q887" s="2" t="s">
        <v>36</v>
      </c>
      <c r="R887" s="2" t="s">
        <v>38</v>
      </c>
      <c r="S887" s="2" t="s">
        <v>35</v>
      </c>
      <c r="T887" s="2" t="s">
        <v>35</v>
      </c>
      <c r="U887" s="2" t="s">
        <v>35</v>
      </c>
      <c r="V887" s="2" t="b">
        <v>0</v>
      </c>
      <c r="W887" s="2" t="s">
        <v>35</v>
      </c>
      <c r="X887" s="2" t="s">
        <v>35</v>
      </c>
      <c r="Y887" s="2">
        <v>5</v>
      </c>
      <c r="Z887" s="2" t="s">
        <v>35</v>
      </c>
    </row>
    <row r="888" spans="1:26" x14ac:dyDescent="0.2">
      <c r="A888" s="2" t="s">
        <v>2096</v>
      </c>
      <c r="B888" s="2" t="b">
        <v>0</v>
      </c>
      <c r="C888" s="2" t="b">
        <v>0</v>
      </c>
      <c r="D888" s="2" t="b">
        <v>0</v>
      </c>
      <c r="E888" s="2" t="b">
        <v>0</v>
      </c>
      <c r="F888" s="2" t="s">
        <v>31</v>
      </c>
      <c r="G888" s="2" t="s">
        <v>2097</v>
      </c>
      <c r="H888" s="2" t="s">
        <v>2098</v>
      </c>
      <c r="I888" s="2" t="s">
        <v>35</v>
      </c>
      <c r="J888" s="2" t="s">
        <v>35</v>
      </c>
      <c r="K888" s="2" t="s">
        <v>35</v>
      </c>
      <c r="L888" s="2">
        <v>38</v>
      </c>
      <c r="M888" s="2">
        <v>16</v>
      </c>
      <c r="N888" s="3">
        <v>44749.433746134258</v>
      </c>
      <c r="O888" s="3">
        <v>44749.434269282407</v>
      </c>
      <c r="P888" s="2">
        <v>0</v>
      </c>
      <c r="Q888" s="2" t="s">
        <v>54</v>
      </c>
      <c r="R888" s="2" t="s">
        <v>38</v>
      </c>
      <c r="S888" s="2" t="s">
        <v>35</v>
      </c>
      <c r="T888" s="2" t="s">
        <v>35</v>
      </c>
      <c r="U888" s="2" t="s">
        <v>35</v>
      </c>
      <c r="V888" s="2" t="b">
        <v>0</v>
      </c>
      <c r="W888" s="2" t="s">
        <v>35</v>
      </c>
      <c r="X888" s="2" t="s">
        <v>35</v>
      </c>
      <c r="Y888" s="2" t="s">
        <v>35</v>
      </c>
      <c r="Z888" s="2" t="s">
        <v>35</v>
      </c>
    </row>
    <row r="889" spans="1:26" x14ac:dyDescent="0.2">
      <c r="A889" s="2" t="s">
        <v>2099</v>
      </c>
      <c r="B889" s="2" t="b">
        <v>0</v>
      </c>
      <c r="C889" s="2" t="b">
        <v>0</v>
      </c>
      <c r="D889" s="2" t="b">
        <v>0</v>
      </c>
      <c r="E889" s="2" t="b">
        <v>0</v>
      </c>
      <c r="F889" s="2" t="s">
        <v>31</v>
      </c>
      <c r="G889" s="2" t="s">
        <v>2100</v>
      </c>
      <c r="H889" s="2" t="s">
        <v>2101</v>
      </c>
      <c r="I889" s="2" t="s">
        <v>2102</v>
      </c>
      <c r="J889" s="2" t="s">
        <v>35</v>
      </c>
      <c r="K889" s="2" t="s">
        <v>35</v>
      </c>
      <c r="L889" s="2" t="s">
        <v>35</v>
      </c>
      <c r="M889" s="2" t="s">
        <v>35</v>
      </c>
      <c r="N889" s="3">
        <v>44749.434899490741</v>
      </c>
      <c r="O889" s="3">
        <v>44749.435476736115</v>
      </c>
      <c r="P889" s="2">
        <v>0</v>
      </c>
      <c r="Q889" s="2" t="s">
        <v>36</v>
      </c>
      <c r="R889" s="2" t="s">
        <v>38</v>
      </c>
      <c r="S889" s="2" t="s">
        <v>35</v>
      </c>
      <c r="T889" s="2" t="s">
        <v>35</v>
      </c>
      <c r="U889" s="2" t="s">
        <v>35</v>
      </c>
      <c r="V889" s="2" t="b">
        <v>0</v>
      </c>
      <c r="W889" s="2" t="s">
        <v>35</v>
      </c>
      <c r="X889" s="2" t="s">
        <v>35</v>
      </c>
      <c r="Y889" s="2">
        <v>8</v>
      </c>
      <c r="Z889" s="2" t="s">
        <v>35</v>
      </c>
    </row>
    <row r="890" spans="1:26" x14ac:dyDescent="0.2">
      <c r="A890" s="2" t="s">
        <v>9296</v>
      </c>
      <c r="B890" s="2" t="b">
        <v>0</v>
      </c>
      <c r="C890" s="2" t="b">
        <v>0</v>
      </c>
      <c r="D890" s="2" t="b">
        <v>0</v>
      </c>
      <c r="E890" s="2" t="b">
        <v>0</v>
      </c>
      <c r="F890" s="2" t="s">
        <v>121</v>
      </c>
      <c r="G890" s="2" t="s">
        <v>149</v>
      </c>
      <c r="H890" s="2" t="s">
        <v>9297</v>
      </c>
      <c r="I890" s="2" t="s">
        <v>35</v>
      </c>
      <c r="J890" s="2" t="s">
        <v>35</v>
      </c>
      <c r="K890" s="2" t="s">
        <v>35</v>
      </c>
      <c r="L890" s="2" t="s">
        <v>35</v>
      </c>
      <c r="M890" s="2" t="s">
        <v>35</v>
      </c>
      <c r="N890" s="3">
        <v>44749.436200138887</v>
      </c>
      <c r="O890" s="3">
        <v>44749.436202245372</v>
      </c>
      <c r="P890" s="2">
        <v>0</v>
      </c>
      <c r="Q890" s="2" t="s">
        <v>35</v>
      </c>
      <c r="R890" s="2" t="s">
        <v>38</v>
      </c>
      <c r="S890" s="2" t="s">
        <v>35</v>
      </c>
      <c r="T890" s="2" t="s">
        <v>35</v>
      </c>
      <c r="U890" s="2" t="s">
        <v>35</v>
      </c>
      <c r="V890" s="2" t="b">
        <v>0</v>
      </c>
      <c r="W890" s="2" t="s">
        <v>35</v>
      </c>
      <c r="X890" s="2" t="s">
        <v>35</v>
      </c>
      <c r="Y890" s="2" t="s">
        <v>35</v>
      </c>
      <c r="Z890" s="2" t="s">
        <v>35</v>
      </c>
    </row>
    <row r="891" spans="1:26" x14ac:dyDescent="0.2">
      <c r="A891" s="2" t="s">
        <v>2103</v>
      </c>
      <c r="B891" s="2" t="b">
        <v>0</v>
      </c>
      <c r="C891" s="2" t="b">
        <v>0</v>
      </c>
      <c r="D891" s="2" t="b">
        <v>0</v>
      </c>
      <c r="E891" s="2" t="b">
        <v>0</v>
      </c>
      <c r="F891" s="2" t="s">
        <v>31</v>
      </c>
      <c r="G891" s="2" t="s">
        <v>2104</v>
      </c>
      <c r="H891" s="2" t="s">
        <v>2105</v>
      </c>
      <c r="I891" s="2" t="s">
        <v>35</v>
      </c>
      <c r="J891" s="2" t="s">
        <v>35</v>
      </c>
      <c r="K891" s="2" t="s">
        <v>35</v>
      </c>
      <c r="L891" s="2">
        <v>16</v>
      </c>
      <c r="M891" s="2">
        <v>15</v>
      </c>
      <c r="N891" s="3">
        <v>44749.436202523146</v>
      </c>
      <c r="O891" s="3">
        <v>44749.436585277777</v>
      </c>
      <c r="P891" s="2">
        <v>0</v>
      </c>
      <c r="Q891" s="2" t="s">
        <v>54</v>
      </c>
      <c r="R891" s="2" t="s">
        <v>38</v>
      </c>
      <c r="S891" s="2" t="s">
        <v>35</v>
      </c>
      <c r="T891" s="2" t="s">
        <v>35</v>
      </c>
      <c r="U891" s="2" t="s">
        <v>35</v>
      </c>
      <c r="V891" s="2" t="b">
        <v>0</v>
      </c>
      <c r="W891" s="2" t="s">
        <v>35</v>
      </c>
      <c r="X891" s="2" t="s">
        <v>35</v>
      </c>
      <c r="Y891" s="2" t="s">
        <v>35</v>
      </c>
      <c r="Z891" s="2" t="s">
        <v>35</v>
      </c>
    </row>
    <row r="892" spans="1:26" x14ac:dyDescent="0.2">
      <c r="A892" s="2" t="s">
        <v>2106</v>
      </c>
      <c r="B892" s="2" t="b">
        <v>0</v>
      </c>
      <c r="C892" s="2" t="b">
        <v>0</v>
      </c>
      <c r="D892" s="2" t="b">
        <v>0</v>
      </c>
      <c r="E892" s="2" t="b">
        <v>0</v>
      </c>
      <c r="F892" s="2" t="s">
        <v>31</v>
      </c>
      <c r="G892" s="2" t="s">
        <v>2107</v>
      </c>
      <c r="H892" s="2" t="s">
        <v>2108</v>
      </c>
      <c r="I892" s="2" t="s">
        <v>1406</v>
      </c>
      <c r="J892" s="2" t="s">
        <v>35</v>
      </c>
      <c r="K892" s="2" t="s">
        <v>35</v>
      </c>
      <c r="L892" s="2" t="s">
        <v>35</v>
      </c>
      <c r="M892" s="2" t="s">
        <v>35</v>
      </c>
      <c r="N892" s="3">
        <v>44749.436703888889</v>
      </c>
      <c r="O892" s="3">
        <v>44749.437038738426</v>
      </c>
      <c r="P892" s="2">
        <v>0</v>
      </c>
      <c r="Q892" s="2" t="s">
        <v>36</v>
      </c>
      <c r="R892" s="2" t="s">
        <v>38</v>
      </c>
      <c r="S892" s="2" t="s">
        <v>35</v>
      </c>
      <c r="T892" s="2" t="s">
        <v>35</v>
      </c>
      <c r="U892" s="2" t="s">
        <v>35</v>
      </c>
      <c r="V892" s="2" t="b">
        <v>0</v>
      </c>
      <c r="W892" s="2" t="s">
        <v>35</v>
      </c>
      <c r="X892" s="2" t="s">
        <v>35</v>
      </c>
      <c r="Y892" s="2">
        <v>5</v>
      </c>
      <c r="Z892" s="2" t="s">
        <v>35</v>
      </c>
    </row>
    <row r="893" spans="1:26" x14ac:dyDescent="0.2">
      <c r="A893" s="2" t="s">
        <v>2109</v>
      </c>
      <c r="B893" s="2" t="b">
        <v>0</v>
      </c>
      <c r="C893" s="2" t="b">
        <v>0</v>
      </c>
      <c r="D893" s="2" t="b">
        <v>0</v>
      </c>
      <c r="E893" s="2" t="b">
        <v>0</v>
      </c>
      <c r="F893" s="2" t="s">
        <v>31</v>
      </c>
      <c r="G893" s="2" t="s">
        <v>2110</v>
      </c>
      <c r="H893" s="2" t="s">
        <v>2111</v>
      </c>
      <c r="I893" s="2" t="s">
        <v>35</v>
      </c>
      <c r="J893" s="2" t="s">
        <v>35</v>
      </c>
      <c r="K893" s="2" t="s">
        <v>35</v>
      </c>
      <c r="L893" s="2">
        <v>3</v>
      </c>
      <c r="M893" s="2">
        <v>15</v>
      </c>
      <c r="N893" s="3">
        <v>44749.43708822917</v>
      </c>
      <c r="O893" s="3">
        <v>44749.437202511574</v>
      </c>
      <c r="P893" s="2">
        <v>0</v>
      </c>
      <c r="Q893" s="2" t="s">
        <v>54</v>
      </c>
      <c r="R893" s="2" t="s">
        <v>38</v>
      </c>
      <c r="S893" s="2" t="s">
        <v>35</v>
      </c>
      <c r="T893" s="2" t="s">
        <v>35</v>
      </c>
      <c r="U893" s="2" t="s">
        <v>35</v>
      </c>
      <c r="V893" s="2" t="b">
        <v>0</v>
      </c>
      <c r="W893" s="2" t="s">
        <v>35</v>
      </c>
      <c r="X893" s="2" t="s">
        <v>35</v>
      </c>
      <c r="Y893" s="2" t="s">
        <v>35</v>
      </c>
      <c r="Z893" s="2" t="s">
        <v>35</v>
      </c>
    </row>
    <row r="894" spans="1:26" x14ac:dyDescent="0.2">
      <c r="A894" s="2" t="s">
        <v>2112</v>
      </c>
      <c r="B894" s="2" t="b">
        <v>0</v>
      </c>
      <c r="C894" s="2" t="b">
        <v>0</v>
      </c>
      <c r="D894" s="2" t="b">
        <v>0</v>
      </c>
      <c r="E894" s="2" t="b">
        <v>0</v>
      </c>
      <c r="F894" s="2" t="s">
        <v>31</v>
      </c>
      <c r="G894" s="2" t="s">
        <v>2113</v>
      </c>
      <c r="H894" s="2" t="s">
        <v>2114</v>
      </c>
      <c r="I894" s="2" t="s">
        <v>35</v>
      </c>
      <c r="J894" s="2" t="s">
        <v>35</v>
      </c>
      <c r="K894" s="2" t="s">
        <v>35</v>
      </c>
      <c r="L894" s="2" t="s">
        <v>35</v>
      </c>
      <c r="M894" s="2" t="s">
        <v>35</v>
      </c>
      <c r="N894" s="3">
        <v>44749.439541388892</v>
      </c>
      <c r="O894" s="3">
        <v>44749.439937754629</v>
      </c>
      <c r="P894" s="2">
        <v>0</v>
      </c>
      <c r="Q894" s="2" t="s">
        <v>36</v>
      </c>
      <c r="R894" s="2" t="s">
        <v>38</v>
      </c>
      <c r="S894" s="2" t="s">
        <v>35</v>
      </c>
      <c r="T894" s="2" t="s">
        <v>35</v>
      </c>
      <c r="U894" s="2" t="s">
        <v>35</v>
      </c>
      <c r="V894" s="2" t="b">
        <v>0</v>
      </c>
      <c r="W894" s="2" t="s">
        <v>35</v>
      </c>
      <c r="X894" s="2" t="s">
        <v>35</v>
      </c>
      <c r="Y894" s="2" t="s">
        <v>35</v>
      </c>
      <c r="Z894" s="2">
        <v>2</v>
      </c>
    </row>
    <row r="895" spans="1:26" x14ac:dyDescent="0.2">
      <c r="A895" s="2" t="s">
        <v>2115</v>
      </c>
      <c r="B895" s="2" t="b">
        <v>0</v>
      </c>
      <c r="C895" s="2" t="b">
        <v>0</v>
      </c>
      <c r="D895" s="2" t="b">
        <v>0</v>
      </c>
      <c r="E895" s="2" t="b">
        <v>0</v>
      </c>
      <c r="F895" s="2" t="s">
        <v>31</v>
      </c>
      <c r="G895" s="2" t="s">
        <v>2116</v>
      </c>
      <c r="H895" s="2" t="s">
        <v>2117</v>
      </c>
      <c r="I895" s="2" t="s">
        <v>2035</v>
      </c>
      <c r="J895" s="2" t="s">
        <v>35</v>
      </c>
      <c r="K895" s="2">
        <v>15</v>
      </c>
      <c r="L895" s="2" t="s">
        <v>35</v>
      </c>
      <c r="M895" s="2" t="s">
        <v>35</v>
      </c>
      <c r="N895" s="3">
        <v>44749.43996427083</v>
      </c>
      <c r="O895" s="3">
        <v>44749.440303819443</v>
      </c>
      <c r="P895" s="2">
        <v>0</v>
      </c>
      <c r="Q895" s="2" t="s">
        <v>265</v>
      </c>
      <c r="R895" s="2" t="s">
        <v>38</v>
      </c>
      <c r="S895" s="2" t="s">
        <v>35</v>
      </c>
      <c r="T895" s="2" t="s">
        <v>35</v>
      </c>
      <c r="U895" s="2" t="s">
        <v>35</v>
      </c>
      <c r="V895" s="2" t="b">
        <v>0</v>
      </c>
      <c r="W895" s="2" t="s">
        <v>35</v>
      </c>
      <c r="X895" s="2" t="s">
        <v>35</v>
      </c>
      <c r="Y895" s="2" t="s">
        <v>35</v>
      </c>
      <c r="Z895" s="2" t="s">
        <v>35</v>
      </c>
    </row>
    <row r="896" spans="1:26" x14ac:dyDescent="0.2">
      <c r="A896" s="2" t="s">
        <v>2118</v>
      </c>
      <c r="B896" s="2" t="b">
        <v>0</v>
      </c>
      <c r="C896" s="2" t="b">
        <v>0</v>
      </c>
      <c r="D896" s="2" t="b">
        <v>0</v>
      </c>
      <c r="E896" s="2" t="b">
        <v>0</v>
      </c>
      <c r="F896" s="2" t="s">
        <v>31</v>
      </c>
      <c r="G896" s="2" t="s">
        <v>2119</v>
      </c>
      <c r="H896" s="2" t="s">
        <v>2120</v>
      </c>
      <c r="I896" s="2" t="s">
        <v>35</v>
      </c>
      <c r="J896" s="2" t="s">
        <v>35</v>
      </c>
      <c r="K896" s="2" t="s">
        <v>35</v>
      </c>
      <c r="L896" s="2" t="s">
        <v>35</v>
      </c>
      <c r="M896" s="2" t="s">
        <v>35</v>
      </c>
      <c r="N896" s="3">
        <v>44749.441358784723</v>
      </c>
      <c r="O896" s="3">
        <v>44749.441964027777</v>
      </c>
      <c r="P896" s="2">
        <v>0</v>
      </c>
      <c r="Q896" s="2" t="s">
        <v>36</v>
      </c>
      <c r="R896" s="2" t="s">
        <v>38</v>
      </c>
      <c r="S896" s="2" t="s">
        <v>35</v>
      </c>
      <c r="T896" s="2" t="s">
        <v>35</v>
      </c>
      <c r="U896" s="2" t="s">
        <v>35</v>
      </c>
      <c r="V896" s="2" t="b">
        <v>0</v>
      </c>
      <c r="W896" s="2" t="s">
        <v>2121</v>
      </c>
      <c r="X896" s="2" t="s">
        <v>35</v>
      </c>
      <c r="Y896" s="2" t="s">
        <v>35</v>
      </c>
      <c r="Z896" s="2" t="s">
        <v>35</v>
      </c>
    </row>
    <row r="897" spans="1:26" x14ac:dyDescent="0.2">
      <c r="A897" s="2" t="s">
        <v>2122</v>
      </c>
      <c r="B897" s="2" t="b">
        <v>0</v>
      </c>
      <c r="C897" s="2" t="b">
        <v>0</v>
      </c>
      <c r="D897" s="2" t="b">
        <v>0</v>
      </c>
      <c r="E897" s="2" t="b">
        <v>0</v>
      </c>
      <c r="F897" s="2" t="s">
        <v>31</v>
      </c>
      <c r="G897" s="2" t="s">
        <v>2123</v>
      </c>
      <c r="H897" s="2" t="s">
        <v>2124</v>
      </c>
      <c r="I897" s="2" t="s">
        <v>35</v>
      </c>
      <c r="J897" s="2" t="s">
        <v>35</v>
      </c>
      <c r="K897" s="2" t="s">
        <v>35</v>
      </c>
      <c r="L897" s="2">
        <v>42</v>
      </c>
      <c r="M897" s="2">
        <v>16</v>
      </c>
      <c r="N897" s="3">
        <v>44749.442169421294</v>
      </c>
      <c r="O897" s="3">
        <v>44749.442965358794</v>
      </c>
      <c r="P897" s="2">
        <v>0</v>
      </c>
      <c r="Q897" s="2" t="s">
        <v>54</v>
      </c>
      <c r="R897" s="2" t="s">
        <v>38</v>
      </c>
      <c r="S897" s="2" t="s">
        <v>35</v>
      </c>
      <c r="T897" s="2" t="s">
        <v>35</v>
      </c>
      <c r="U897" s="2" t="s">
        <v>35</v>
      </c>
      <c r="V897" s="2" t="b">
        <v>0</v>
      </c>
      <c r="W897" s="2" t="s">
        <v>35</v>
      </c>
      <c r="X897" s="2" t="s">
        <v>35</v>
      </c>
      <c r="Y897" s="2" t="s">
        <v>35</v>
      </c>
      <c r="Z897" s="2" t="s">
        <v>35</v>
      </c>
    </row>
    <row r="898" spans="1:26" x14ac:dyDescent="0.2">
      <c r="A898" s="2" t="s">
        <v>2125</v>
      </c>
      <c r="B898" s="2" t="b">
        <v>0</v>
      </c>
      <c r="C898" s="2" t="b">
        <v>0</v>
      </c>
      <c r="D898" s="2" t="b">
        <v>0</v>
      </c>
      <c r="E898" s="2" t="b">
        <v>0</v>
      </c>
      <c r="F898" s="2" t="s">
        <v>31</v>
      </c>
      <c r="G898" s="2" t="s">
        <v>2126</v>
      </c>
      <c r="H898" s="2" t="s">
        <v>2127</v>
      </c>
      <c r="I898" s="2" t="s">
        <v>2102</v>
      </c>
      <c r="J898" s="2" t="s">
        <v>35</v>
      </c>
      <c r="K898" s="2" t="s">
        <v>35</v>
      </c>
      <c r="L898" s="2" t="s">
        <v>35</v>
      </c>
      <c r="M898" s="2" t="s">
        <v>35</v>
      </c>
      <c r="N898" s="3">
        <v>44749.443497905093</v>
      </c>
      <c r="O898" s="3">
        <v>44749.443887592592</v>
      </c>
      <c r="P898" s="2">
        <v>0</v>
      </c>
      <c r="Q898" s="2" t="s">
        <v>36</v>
      </c>
      <c r="R898" s="2" t="s">
        <v>38</v>
      </c>
      <c r="S898" s="2" t="s">
        <v>35</v>
      </c>
      <c r="T898" s="2" t="s">
        <v>35</v>
      </c>
      <c r="U898" s="2" t="s">
        <v>35</v>
      </c>
      <c r="V898" s="2" t="b">
        <v>0</v>
      </c>
      <c r="W898" s="2" t="s">
        <v>35</v>
      </c>
      <c r="X898" s="2" t="s">
        <v>35</v>
      </c>
      <c r="Y898" s="2">
        <v>8</v>
      </c>
      <c r="Z898" s="2" t="s">
        <v>35</v>
      </c>
    </row>
    <row r="899" spans="1:26" x14ac:dyDescent="0.2">
      <c r="A899" s="2" t="s">
        <v>2128</v>
      </c>
      <c r="B899" s="2" t="b">
        <v>0</v>
      </c>
      <c r="C899" s="2" t="b">
        <v>0</v>
      </c>
      <c r="D899" s="2" t="b">
        <v>0</v>
      </c>
      <c r="E899" s="2" t="b">
        <v>0</v>
      </c>
      <c r="F899" s="2" t="s">
        <v>31</v>
      </c>
      <c r="G899" s="2" t="s">
        <v>2129</v>
      </c>
      <c r="H899" s="2" t="s">
        <v>2130</v>
      </c>
      <c r="I899" s="2" t="s">
        <v>35</v>
      </c>
      <c r="J899" s="2" t="s">
        <v>35</v>
      </c>
      <c r="K899" s="2" t="s">
        <v>35</v>
      </c>
      <c r="L899" s="2">
        <v>17</v>
      </c>
      <c r="M899" s="2">
        <v>15</v>
      </c>
      <c r="N899" s="3">
        <v>44749.44468346065</v>
      </c>
      <c r="O899" s="3">
        <v>44749.445185358796</v>
      </c>
      <c r="P899" s="2">
        <v>0</v>
      </c>
      <c r="Q899" s="2" t="s">
        <v>54</v>
      </c>
      <c r="R899" s="2" t="s">
        <v>38</v>
      </c>
      <c r="S899" s="2" t="s">
        <v>35</v>
      </c>
      <c r="T899" s="2" t="s">
        <v>35</v>
      </c>
      <c r="U899" s="2" t="s">
        <v>35</v>
      </c>
      <c r="V899" s="2" t="b">
        <v>0</v>
      </c>
      <c r="W899" s="2" t="s">
        <v>35</v>
      </c>
      <c r="X899" s="2" t="s">
        <v>35</v>
      </c>
      <c r="Y899" s="2" t="s">
        <v>35</v>
      </c>
      <c r="Z899" s="2" t="s">
        <v>35</v>
      </c>
    </row>
    <row r="900" spans="1:26" x14ac:dyDescent="0.2">
      <c r="A900" s="2" t="s">
        <v>2131</v>
      </c>
      <c r="B900" s="2" t="b">
        <v>0</v>
      </c>
      <c r="C900" s="2" t="b">
        <v>0</v>
      </c>
      <c r="D900" s="2" t="b">
        <v>0</v>
      </c>
      <c r="E900" s="2" t="b">
        <v>0</v>
      </c>
      <c r="F900" s="2" t="s">
        <v>31</v>
      </c>
      <c r="G900" s="2" t="s">
        <v>2132</v>
      </c>
      <c r="H900" s="2" t="s">
        <v>2133</v>
      </c>
      <c r="I900" s="2" t="s">
        <v>2134</v>
      </c>
      <c r="J900" s="2" t="s">
        <v>35</v>
      </c>
      <c r="K900" s="2" t="s">
        <v>35</v>
      </c>
      <c r="L900" s="2" t="s">
        <v>35</v>
      </c>
      <c r="M900" s="2" t="s">
        <v>35</v>
      </c>
      <c r="N900" s="3">
        <v>44749.44560752315</v>
      </c>
      <c r="O900" s="3">
        <v>44749.445881238425</v>
      </c>
      <c r="P900" s="2">
        <v>0</v>
      </c>
      <c r="Q900" s="2" t="s">
        <v>36</v>
      </c>
      <c r="R900" s="2" t="s">
        <v>38</v>
      </c>
      <c r="S900" s="2" t="s">
        <v>35</v>
      </c>
      <c r="T900" s="2" t="s">
        <v>35</v>
      </c>
      <c r="U900" s="2" t="s">
        <v>35</v>
      </c>
      <c r="V900" s="2" t="b">
        <v>0</v>
      </c>
      <c r="W900" s="2" t="s">
        <v>35</v>
      </c>
      <c r="X900" s="2" t="s">
        <v>35</v>
      </c>
      <c r="Y900" s="2">
        <v>4</v>
      </c>
      <c r="Z900" s="2" t="s">
        <v>35</v>
      </c>
    </row>
    <row r="901" spans="1:26" x14ac:dyDescent="0.2">
      <c r="A901" s="2" t="s">
        <v>2135</v>
      </c>
      <c r="B901" s="2" t="b">
        <v>0</v>
      </c>
      <c r="C901" s="2" t="b">
        <v>0</v>
      </c>
      <c r="D901" s="2" t="b">
        <v>0</v>
      </c>
      <c r="E901" s="2" t="b">
        <v>0</v>
      </c>
      <c r="F901" s="2" t="s">
        <v>31</v>
      </c>
      <c r="G901" s="2" t="s">
        <v>2136</v>
      </c>
      <c r="H901" s="2" t="s">
        <v>2137</v>
      </c>
      <c r="I901" s="2" t="s">
        <v>35</v>
      </c>
      <c r="J901" s="2" t="s">
        <v>35</v>
      </c>
      <c r="K901" s="2" t="s">
        <v>35</v>
      </c>
      <c r="L901" s="2">
        <v>15</v>
      </c>
      <c r="M901" s="2">
        <v>15</v>
      </c>
      <c r="N901" s="3">
        <v>44749.445967858795</v>
      </c>
      <c r="O901" s="3">
        <v>44749.446345243057</v>
      </c>
      <c r="P901" s="2">
        <v>0</v>
      </c>
      <c r="Q901" s="2" t="s">
        <v>54</v>
      </c>
      <c r="R901" s="2" t="s">
        <v>38</v>
      </c>
      <c r="S901" s="2" t="s">
        <v>35</v>
      </c>
      <c r="T901" s="2" t="s">
        <v>35</v>
      </c>
      <c r="U901" s="2" t="s">
        <v>35</v>
      </c>
      <c r="V901" s="2" t="b">
        <v>0</v>
      </c>
      <c r="W901" s="2" t="s">
        <v>35</v>
      </c>
      <c r="X901" s="2" t="s">
        <v>35</v>
      </c>
      <c r="Y901" s="2" t="s">
        <v>35</v>
      </c>
      <c r="Z901" s="2" t="s">
        <v>35</v>
      </c>
    </row>
    <row r="902" spans="1:26" x14ac:dyDescent="0.2">
      <c r="A902" s="2" t="s">
        <v>2138</v>
      </c>
      <c r="B902" s="2" t="b">
        <v>0</v>
      </c>
      <c r="C902" s="2" t="b">
        <v>0</v>
      </c>
      <c r="D902" s="2" t="b">
        <v>0</v>
      </c>
      <c r="E902" s="2" t="b">
        <v>0</v>
      </c>
      <c r="F902" s="2" t="s">
        <v>31</v>
      </c>
      <c r="G902" s="2" t="s">
        <v>2139</v>
      </c>
      <c r="H902" s="2" t="s">
        <v>2140</v>
      </c>
      <c r="I902" s="2" t="s">
        <v>2063</v>
      </c>
      <c r="J902" s="2" t="s">
        <v>35</v>
      </c>
      <c r="K902" s="2" t="s">
        <v>35</v>
      </c>
      <c r="L902" s="2" t="s">
        <v>35</v>
      </c>
      <c r="M902" s="2" t="s">
        <v>35</v>
      </c>
      <c r="N902" s="3">
        <v>44749.449197106478</v>
      </c>
      <c r="O902" s="3">
        <v>44749.449795925924</v>
      </c>
      <c r="P902" s="2">
        <v>0</v>
      </c>
      <c r="Q902" s="2" t="s">
        <v>36</v>
      </c>
      <c r="R902" s="2" t="s">
        <v>38</v>
      </c>
      <c r="S902" s="2" t="s">
        <v>35</v>
      </c>
      <c r="T902" s="2" t="s">
        <v>35</v>
      </c>
      <c r="U902" s="2" t="s">
        <v>35</v>
      </c>
      <c r="V902" s="2" t="b">
        <v>0</v>
      </c>
      <c r="W902" s="2" t="s">
        <v>35</v>
      </c>
      <c r="X902" s="2" t="s">
        <v>35</v>
      </c>
      <c r="Y902" s="2">
        <v>4</v>
      </c>
      <c r="Z902" s="2">
        <v>2</v>
      </c>
    </row>
    <row r="903" spans="1:26" x14ac:dyDescent="0.2">
      <c r="A903" s="2" t="s">
        <v>2141</v>
      </c>
      <c r="B903" s="2" t="b">
        <v>0</v>
      </c>
      <c r="C903" s="2" t="b">
        <v>0</v>
      </c>
      <c r="D903" s="2" t="b">
        <v>0</v>
      </c>
      <c r="E903" s="2" t="b">
        <v>0</v>
      </c>
      <c r="F903" s="2" t="s">
        <v>31</v>
      </c>
      <c r="G903" s="2" t="s">
        <v>2142</v>
      </c>
      <c r="H903" s="2" t="s">
        <v>2143</v>
      </c>
      <c r="I903" s="2" t="s">
        <v>35</v>
      </c>
      <c r="J903" s="2" t="s">
        <v>35</v>
      </c>
      <c r="K903" s="2" t="s">
        <v>35</v>
      </c>
      <c r="L903" s="2">
        <v>22</v>
      </c>
      <c r="M903" s="2">
        <v>17</v>
      </c>
      <c r="N903" s="3">
        <v>44749.449996631942</v>
      </c>
      <c r="O903" s="3">
        <v>44749.450584259263</v>
      </c>
      <c r="P903" s="2">
        <v>0</v>
      </c>
      <c r="Q903" s="2" t="s">
        <v>54</v>
      </c>
      <c r="R903" s="2" t="s">
        <v>38</v>
      </c>
      <c r="S903" s="2" t="s">
        <v>35</v>
      </c>
      <c r="T903" s="2" t="s">
        <v>35</v>
      </c>
      <c r="U903" s="2" t="s">
        <v>35</v>
      </c>
      <c r="V903" s="2" t="b">
        <v>0</v>
      </c>
      <c r="W903" s="2" t="s">
        <v>35</v>
      </c>
      <c r="X903" s="2" t="s">
        <v>35</v>
      </c>
      <c r="Y903" s="2" t="s">
        <v>35</v>
      </c>
      <c r="Z903" s="2" t="s">
        <v>35</v>
      </c>
    </row>
    <row r="904" spans="1:26" x14ac:dyDescent="0.2">
      <c r="A904" s="2" t="s">
        <v>2144</v>
      </c>
      <c r="B904" s="2" t="b">
        <v>0</v>
      </c>
      <c r="C904" s="2" t="b">
        <v>0</v>
      </c>
      <c r="D904" s="2" t="b">
        <v>0</v>
      </c>
      <c r="E904" s="2" t="b">
        <v>0</v>
      </c>
      <c r="F904" s="2" t="s">
        <v>31</v>
      </c>
      <c r="G904" s="2" t="s">
        <v>2145</v>
      </c>
      <c r="H904" s="2" t="s">
        <v>2146</v>
      </c>
      <c r="I904" s="2" t="s">
        <v>2063</v>
      </c>
      <c r="J904" s="2" t="s">
        <v>35</v>
      </c>
      <c r="K904" s="2" t="s">
        <v>35</v>
      </c>
      <c r="L904" s="2" t="s">
        <v>35</v>
      </c>
      <c r="M904" s="2" t="s">
        <v>35</v>
      </c>
      <c r="N904" s="3">
        <v>44749.450705567127</v>
      </c>
      <c r="O904" s="3">
        <v>44749.451107499997</v>
      </c>
      <c r="P904" s="2">
        <v>0</v>
      </c>
      <c r="Q904" s="2" t="s">
        <v>36</v>
      </c>
      <c r="R904" s="2" t="s">
        <v>38</v>
      </c>
      <c r="S904" s="2" t="s">
        <v>35</v>
      </c>
      <c r="T904" s="2" t="s">
        <v>35</v>
      </c>
      <c r="U904" s="2" t="s">
        <v>35</v>
      </c>
      <c r="V904" s="2" t="b">
        <v>0</v>
      </c>
      <c r="W904" s="2" t="s">
        <v>35</v>
      </c>
      <c r="X904" s="2" t="s">
        <v>35</v>
      </c>
      <c r="Y904" s="2">
        <v>6</v>
      </c>
      <c r="Z904" s="2">
        <v>3</v>
      </c>
    </row>
    <row r="905" spans="1:26" x14ac:dyDescent="0.2">
      <c r="A905" s="2" t="s">
        <v>2147</v>
      </c>
      <c r="B905" s="2" t="b">
        <v>0</v>
      </c>
      <c r="C905" s="2" t="b">
        <v>0</v>
      </c>
      <c r="D905" s="2" t="b">
        <v>0</v>
      </c>
      <c r="E905" s="2" t="b">
        <v>0</v>
      </c>
      <c r="F905" s="2" t="s">
        <v>31</v>
      </c>
      <c r="G905" s="2" t="s">
        <v>2148</v>
      </c>
      <c r="H905" s="2" t="s">
        <v>2149</v>
      </c>
      <c r="I905" s="2" t="s">
        <v>2150</v>
      </c>
      <c r="J905" s="2" t="s">
        <v>35</v>
      </c>
      <c r="K905" s="2" t="s">
        <v>35</v>
      </c>
      <c r="L905" s="2" t="s">
        <v>35</v>
      </c>
      <c r="M905" s="2" t="s">
        <v>35</v>
      </c>
      <c r="N905" s="3">
        <v>44749.451569999997</v>
      </c>
      <c r="O905" s="3">
        <v>44749.452151840276</v>
      </c>
      <c r="P905" s="2">
        <v>0</v>
      </c>
      <c r="Q905" s="2" t="s">
        <v>36</v>
      </c>
      <c r="R905" s="2" t="s">
        <v>38</v>
      </c>
      <c r="S905" s="2" t="s">
        <v>35</v>
      </c>
      <c r="T905" s="2" t="s">
        <v>35</v>
      </c>
      <c r="U905" s="2" t="s">
        <v>35</v>
      </c>
      <c r="V905" s="2" t="b">
        <v>0</v>
      </c>
      <c r="W905" s="2" t="s">
        <v>35</v>
      </c>
      <c r="X905" s="2" t="s">
        <v>35</v>
      </c>
      <c r="Y905" s="2">
        <v>4</v>
      </c>
      <c r="Z905" s="2" t="s">
        <v>35</v>
      </c>
    </row>
    <row r="906" spans="1:26" x14ac:dyDescent="0.2">
      <c r="A906" s="2" t="s">
        <v>2151</v>
      </c>
      <c r="B906" s="2" t="b">
        <v>0</v>
      </c>
      <c r="C906" s="2" t="b">
        <v>0</v>
      </c>
      <c r="D906" s="2" t="b">
        <v>0</v>
      </c>
      <c r="E906" s="2" t="b">
        <v>0</v>
      </c>
      <c r="F906" s="2" t="s">
        <v>31</v>
      </c>
      <c r="G906" s="2" t="s">
        <v>2152</v>
      </c>
      <c r="H906" s="2" t="s">
        <v>2153</v>
      </c>
      <c r="I906" s="2" t="s">
        <v>2150</v>
      </c>
      <c r="J906" s="2" t="s">
        <v>35</v>
      </c>
      <c r="K906" s="2" t="s">
        <v>35</v>
      </c>
      <c r="L906" s="2" t="s">
        <v>35</v>
      </c>
      <c r="M906" s="2" t="s">
        <v>35</v>
      </c>
      <c r="N906" s="3">
        <v>44749.452392025465</v>
      </c>
      <c r="O906" s="3">
        <v>44749.452682002317</v>
      </c>
      <c r="P906" s="2">
        <v>0</v>
      </c>
      <c r="Q906" s="2" t="s">
        <v>36</v>
      </c>
      <c r="R906" s="2" t="s">
        <v>38</v>
      </c>
      <c r="S906" s="2" t="s">
        <v>35</v>
      </c>
      <c r="T906" s="2" t="s">
        <v>35</v>
      </c>
      <c r="U906" s="2" t="s">
        <v>35</v>
      </c>
      <c r="V906" s="2" t="b">
        <v>0</v>
      </c>
      <c r="W906" s="2" t="s">
        <v>35</v>
      </c>
      <c r="X906" s="2" t="s">
        <v>35</v>
      </c>
      <c r="Y906" s="2">
        <v>6</v>
      </c>
      <c r="Z906" s="2" t="s">
        <v>35</v>
      </c>
    </row>
    <row r="907" spans="1:26" x14ac:dyDescent="0.2">
      <c r="A907" s="2" t="s">
        <v>9298</v>
      </c>
      <c r="B907" s="2" t="b">
        <v>0</v>
      </c>
      <c r="C907" s="2" t="b">
        <v>0</v>
      </c>
      <c r="D907" s="2" t="b">
        <v>0</v>
      </c>
      <c r="E907" s="2" t="b">
        <v>0</v>
      </c>
      <c r="F907" s="2" t="s">
        <v>121</v>
      </c>
      <c r="G907" s="2" t="s">
        <v>149</v>
      </c>
      <c r="H907" s="2" t="s">
        <v>2156</v>
      </c>
      <c r="I907" s="2" t="s">
        <v>35</v>
      </c>
      <c r="J907" s="2" t="s">
        <v>35</v>
      </c>
      <c r="K907" s="2" t="s">
        <v>35</v>
      </c>
      <c r="L907" s="2" t="s">
        <v>35</v>
      </c>
      <c r="M907" s="2" t="s">
        <v>35</v>
      </c>
      <c r="N907" s="3">
        <v>44749.452777928243</v>
      </c>
      <c r="O907" s="3">
        <v>44749.452778217594</v>
      </c>
      <c r="P907" s="2">
        <v>0</v>
      </c>
      <c r="Q907" s="2" t="s">
        <v>35</v>
      </c>
      <c r="R907" s="2" t="s">
        <v>38</v>
      </c>
      <c r="S907" s="2" t="s">
        <v>35</v>
      </c>
      <c r="T907" s="2" t="s">
        <v>35</v>
      </c>
      <c r="U907" s="2" t="s">
        <v>35</v>
      </c>
      <c r="V907" s="2" t="b">
        <v>0</v>
      </c>
      <c r="W907" s="2" t="s">
        <v>35</v>
      </c>
      <c r="X907" s="2" t="s">
        <v>35</v>
      </c>
      <c r="Y907" s="2" t="s">
        <v>35</v>
      </c>
      <c r="Z907" s="2" t="s">
        <v>35</v>
      </c>
    </row>
    <row r="908" spans="1:26" x14ac:dyDescent="0.2">
      <c r="A908" s="2" t="s">
        <v>2154</v>
      </c>
      <c r="B908" s="2" t="b">
        <v>0</v>
      </c>
      <c r="C908" s="2" t="b">
        <v>0</v>
      </c>
      <c r="D908" s="2" t="b">
        <v>0</v>
      </c>
      <c r="E908" s="2" t="b">
        <v>0</v>
      </c>
      <c r="F908" s="2" t="s">
        <v>31</v>
      </c>
      <c r="G908" s="2" t="s">
        <v>2155</v>
      </c>
      <c r="H908" s="2" t="s">
        <v>2156</v>
      </c>
      <c r="I908" s="2" t="s">
        <v>35</v>
      </c>
      <c r="J908" s="2" t="s">
        <v>35</v>
      </c>
      <c r="K908" s="2" t="s">
        <v>35</v>
      </c>
      <c r="L908" s="2">
        <v>16</v>
      </c>
      <c r="M908" s="2">
        <v>16</v>
      </c>
      <c r="N908" s="3">
        <v>44749.4528091088</v>
      </c>
      <c r="O908" s="3">
        <v>44749.45328037037</v>
      </c>
      <c r="P908" s="2">
        <v>0</v>
      </c>
      <c r="Q908" s="2" t="s">
        <v>54</v>
      </c>
      <c r="R908" s="2" t="s">
        <v>38</v>
      </c>
      <c r="S908" s="2" t="s">
        <v>35</v>
      </c>
      <c r="T908" s="2" t="s">
        <v>35</v>
      </c>
      <c r="U908" s="2" t="s">
        <v>35</v>
      </c>
      <c r="V908" s="2" t="b">
        <v>0</v>
      </c>
      <c r="W908" s="2" t="s">
        <v>35</v>
      </c>
      <c r="X908" s="2" t="s">
        <v>35</v>
      </c>
      <c r="Y908" s="2" t="s">
        <v>35</v>
      </c>
      <c r="Z908" s="2" t="s">
        <v>35</v>
      </c>
    </row>
    <row r="909" spans="1:26" x14ac:dyDescent="0.2">
      <c r="A909" s="2" t="s">
        <v>2157</v>
      </c>
      <c r="B909" s="2" t="b">
        <v>0</v>
      </c>
      <c r="C909" s="2" t="b">
        <v>0</v>
      </c>
      <c r="D909" s="2" t="b">
        <v>0</v>
      </c>
      <c r="E909" s="2" t="b">
        <v>0</v>
      </c>
      <c r="F909" s="2" t="s">
        <v>31</v>
      </c>
      <c r="G909" s="2" t="s">
        <v>2158</v>
      </c>
      <c r="H909" s="2" t="s">
        <v>2159</v>
      </c>
      <c r="I909" s="2" t="s">
        <v>2160</v>
      </c>
      <c r="J909" s="2" t="s">
        <v>35</v>
      </c>
      <c r="K909" s="2" t="s">
        <v>35</v>
      </c>
      <c r="L909" s="2" t="s">
        <v>35</v>
      </c>
      <c r="M909" s="2" t="s">
        <v>35</v>
      </c>
      <c r="N909" s="3">
        <v>44749.45405083333</v>
      </c>
      <c r="O909" s="3">
        <v>44749.454663055556</v>
      </c>
      <c r="P909" s="2">
        <v>0</v>
      </c>
      <c r="Q909" s="2" t="s">
        <v>36</v>
      </c>
      <c r="R909" s="2" t="s">
        <v>38</v>
      </c>
      <c r="S909" s="2" t="s">
        <v>35</v>
      </c>
      <c r="T909" s="2" t="s">
        <v>35</v>
      </c>
      <c r="U909" s="2" t="s">
        <v>35</v>
      </c>
      <c r="V909" s="2" t="b">
        <v>0</v>
      </c>
      <c r="W909" s="2" t="s">
        <v>35</v>
      </c>
      <c r="X909" s="2" t="s">
        <v>35</v>
      </c>
      <c r="Y909" s="2">
        <v>4</v>
      </c>
      <c r="Z909" s="2">
        <v>2</v>
      </c>
    </row>
    <row r="910" spans="1:26" x14ac:dyDescent="0.2">
      <c r="A910" s="2" t="s">
        <v>2161</v>
      </c>
      <c r="B910" s="2" t="b">
        <v>0</v>
      </c>
      <c r="C910" s="2" t="b">
        <v>0</v>
      </c>
      <c r="D910" s="2" t="b">
        <v>0</v>
      </c>
      <c r="E910" s="2" t="b">
        <v>0</v>
      </c>
      <c r="F910" s="2" t="s">
        <v>31</v>
      </c>
      <c r="G910" s="2" t="s">
        <v>2162</v>
      </c>
      <c r="H910" s="2" t="s">
        <v>2163</v>
      </c>
      <c r="I910" s="2" t="s">
        <v>1658</v>
      </c>
      <c r="J910" s="2" t="s">
        <v>35</v>
      </c>
      <c r="K910" s="2" t="s">
        <v>35</v>
      </c>
      <c r="L910" s="2">
        <v>7</v>
      </c>
      <c r="M910" s="2">
        <v>6</v>
      </c>
      <c r="N910" s="3">
        <v>44749.454844409724</v>
      </c>
      <c r="O910" s="3">
        <v>44749.455204456019</v>
      </c>
      <c r="P910" s="2">
        <v>0</v>
      </c>
      <c r="Q910" s="2" t="s">
        <v>54</v>
      </c>
      <c r="R910" s="2" t="s">
        <v>38</v>
      </c>
      <c r="S910" s="2" t="s">
        <v>35</v>
      </c>
      <c r="T910" s="2" t="s">
        <v>35</v>
      </c>
      <c r="U910" s="2" t="s">
        <v>35</v>
      </c>
      <c r="V910" s="2" t="b">
        <v>1</v>
      </c>
      <c r="W910" s="2" t="s">
        <v>35</v>
      </c>
      <c r="X910" s="2" t="s">
        <v>35</v>
      </c>
      <c r="Y910" s="2" t="s">
        <v>35</v>
      </c>
      <c r="Z910" s="2" t="s">
        <v>35</v>
      </c>
    </row>
    <row r="911" spans="1:26" x14ac:dyDescent="0.2">
      <c r="A911" s="2" t="s">
        <v>2164</v>
      </c>
      <c r="B911" s="2" t="b">
        <v>0</v>
      </c>
      <c r="C911" s="2" t="b">
        <v>0</v>
      </c>
      <c r="D911" s="2" t="b">
        <v>0</v>
      </c>
      <c r="E911" s="2" t="b">
        <v>0</v>
      </c>
      <c r="F911" s="2" t="s">
        <v>31</v>
      </c>
      <c r="G911" s="2" t="s">
        <v>149</v>
      </c>
      <c r="H911" s="2" t="s">
        <v>2165</v>
      </c>
      <c r="I911" s="2" t="s">
        <v>2166</v>
      </c>
      <c r="J911" s="2" t="s">
        <v>35</v>
      </c>
      <c r="K911" s="2" t="s">
        <v>35</v>
      </c>
      <c r="L911" s="2" t="s">
        <v>35</v>
      </c>
      <c r="M911" s="2" t="s">
        <v>35</v>
      </c>
      <c r="N911" s="3">
        <v>44749.455473715279</v>
      </c>
      <c r="O911" s="3">
        <v>44749.455840659721</v>
      </c>
      <c r="P911" s="2">
        <v>0</v>
      </c>
      <c r="Q911" s="2" t="s">
        <v>36</v>
      </c>
      <c r="R911" s="2" t="s">
        <v>38</v>
      </c>
      <c r="S911" s="2" t="s">
        <v>35</v>
      </c>
      <c r="T911" s="2" t="s">
        <v>35</v>
      </c>
      <c r="U911" s="2" t="s">
        <v>35</v>
      </c>
      <c r="V911" s="2" t="b">
        <v>0</v>
      </c>
      <c r="W911" s="2" t="s">
        <v>35</v>
      </c>
      <c r="X911" s="2" t="s">
        <v>35</v>
      </c>
      <c r="Y911" s="2">
        <v>5</v>
      </c>
      <c r="Z911" s="2" t="s">
        <v>35</v>
      </c>
    </row>
    <row r="912" spans="1:26" x14ac:dyDescent="0.2">
      <c r="A912" s="2" t="s">
        <v>2167</v>
      </c>
      <c r="B912" s="2" t="b">
        <v>0</v>
      </c>
      <c r="C912" s="2" t="b">
        <v>0</v>
      </c>
      <c r="D912" s="2" t="b">
        <v>0</v>
      </c>
      <c r="E912" s="2" t="b">
        <v>0</v>
      </c>
      <c r="F912" s="2" t="s">
        <v>31</v>
      </c>
      <c r="G912" s="2" t="s">
        <v>2168</v>
      </c>
      <c r="H912" s="2" t="s">
        <v>2169</v>
      </c>
      <c r="I912" s="2" t="s">
        <v>2170</v>
      </c>
      <c r="J912" s="2" t="s">
        <v>35</v>
      </c>
      <c r="K912" s="2" t="s">
        <v>35</v>
      </c>
      <c r="L912" s="2" t="s">
        <v>35</v>
      </c>
      <c r="M912" s="2" t="s">
        <v>35</v>
      </c>
      <c r="N912" s="3">
        <v>44749.456673182867</v>
      </c>
      <c r="O912" s="3">
        <v>44749.456997337962</v>
      </c>
      <c r="P912" s="2">
        <v>0</v>
      </c>
      <c r="Q912" s="2" t="s">
        <v>36</v>
      </c>
      <c r="R912" s="2" t="s">
        <v>38</v>
      </c>
      <c r="S912" s="2" t="s">
        <v>35</v>
      </c>
      <c r="T912" s="2" t="s">
        <v>35</v>
      </c>
      <c r="U912" s="2" t="s">
        <v>35</v>
      </c>
      <c r="V912" s="2" t="b">
        <v>0</v>
      </c>
      <c r="W912" s="2" t="s">
        <v>35</v>
      </c>
      <c r="X912" s="2" t="s">
        <v>35</v>
      </c>
      <c r="Y912" s="2">
        <v>7</v>
      </c>
      <c r="Z912" s="2" t="s">
        <v>35</v>
      </c>
    </row>
    <row r="913" spans="1:26" x14ac:dyDescent="0.2">
      <c r="A913" s="2" t="s">
        <v>2171</v>
      </c>
      <c r="B913" s="2" t="b">
        <v>0</v>
      </c>
      <c r="C913" s="2" t="b">
        <v>0</v>
      </c>
      <c r="D913" s="2" t="b">
        <v>0</v>
      </c>
      <c r="E913" s="2" t="b">
        <v>0</v>
      </c>
      <c r="F913" s="2" t="s">
        <v>31</v>
      </c>
      <c r="G913" s="2" t="s">
        <v>2172</v>
      </c>
      <c r="H913" s="2" t="s">
        <v>2173</v>
      </c>
      <c r="I913" s="2" t="s">
        <v>2174</v>
      </c>
      <c r="J913" s="2" t="s">
        <v>35</v>
      </c>
      <c r="K913" s="2" t="s">
        <v>35</v>
      </c>
      <c r="L913" s="2" t="s">
        <v>35</v>
      </c>
      <c r="M913" s="2" t="s">
        <v>35</v>
      </c>
      <c r="N913" s="3">
        <v>44749.457491076391</v>
      </c>
      <c r="O913" s="3">
        <v>44749.457986099536</v>
      </c>
      <c r="P913" s="2">
        <v>0</v>
      </c>
      <c r="Q913" s="2" t="s">
        <v>36</v>
      </c>
      <c r="R913" s="2" t="s">
        <v>38</v>
      </c>
      <c r="S913" s="2" t="s">
        <v>35</v>
      </c>
      <c r="T913" s="2" t="s">
        <v>35</v>
      </c>
      <c r="U913" s="2" t="s">
        <v>35</v>
      </c>
      <c r="V913" s="2" t="b">
        <v>0</v>
      </c>
      <c r="W913" s="2" t="s">
        <v>35</v>
      </c>
      <c r="X913" s="2" t="s">
        <v>35</v>
      </c>
      <c r="Y913" s="2">
        <v>4</v>
      </c>
      <c r="Z913" s="2" t="s">
        <v>35</v>
      </c>
    </row>
    <row r="914" spans="1:26" x14ac:dyDescent="0.2">
      <c r="A914" s="2" t="s">
        <v>2175</v>
      </c>
      <c r="B914" s="2" t="b">
        <v>0</v>
      </c>
      <c r="C914" s="2" t="b">
        <v>0</v>
      </c>
      <c r="D914" s="2" t="b">
        <v>0</v>
      </c>
      <c r="E914" s="2" t="b">
        <v>0</v>
      </c>
      <c r="F914" s="2" t="s">
        <v>31</v>
      </c>
      <c r="G914" s="2" t="s">
        <v>2176</v>
      </c>
      <c r="H914" s="2" t="s">
        <v>2177</v>
      </c>
      <c r="I914" s="2" t="s">
        <v>35</v>
      </c>
      <c r="J914" s="2" t="s">
        <v>35</v>
      </c>
      <c r="K914" s="2" t="s">
        <v>35</v>
      </c>
      <c r="L914" s="2">
        <v>7</v>
      </c>
      <c r="M914" s="2">
        <v>17</v>
      </c>
      <c r="N914" s="3">
        <v>44749.458083113423</v>
      </c>
      <c r="O914" s="3">
        <v>44749.458440358794</v>
      </c>
      <c r="P914" s="2">
        <v>0</v>
      </c>
      <c r="Q914" s="2" t="s">
        <v>54</v>
      </c>
      <c r="R914" s="2" t="s">
        <v>38</v>
      </c>
      <c r="S914" s="2" t="s">
        <v>35</v>
      </c>
      <c r="T914" s="2" t="s">
        <v>35</v>
      </c>
      <c r="U914" s="2" t="s">
        <v>35</v>
      </c>
      <c r="V914" s="2" t="b">
        <v>0</v>
      </c>
      <c r="W914" s="2" t="s">
        <v>35</v>
      </c>
      <c r="X914" s="2" t="s">
        <v>35</v>
      </c>
      <c r="Y914" s="2" t="s">
        <v>35</v>
      </c>
      <c r="Z914" s="2" t="s">
        <v>35</v>
      </c>
    </row>
    <row r="915" spans="1:26" x14ac:dyDescent="0.2">
      <c r="A915" s="2" t="s">
        <v>2178</v>
      </c>
      <c r="B915" s="2" t="b">
        <v>0</v>
      </c>
      <c r="C915" s="2" t="b">
        <v>0</v>
      </c>
      <c r="D915" s="2" t="b">
        <v>0</v>
      </c>
      <c r="E915" s="2" t="b">
        <v>0</v>
      </c>
      <c r="F915" s="2" t="s">
        <v>121</v>
      </c>
      <c r="G915" s="2" t="s">
        <v>2179</v>
      </c>
      <c r="H915" s="2" t="s">
        <v>2180</v>
      </c>
      <c r="I915" s="2" t="s">
        <v>35</v>
      </c>
      <c r="J915" s="2" t="s">
        <v>35</v>
      </c>
      <c r="K915" s="2" t="s">
        <v>35</v>
      </c>
      <c r="L915" s="2" t="s">
        <v>35</v>
      </c>
      <c r="M915" s="2" t="s">
        <v>35</v>
      </c>
      <c r="N915" s="3">
        <v>44749.458896828706</v>
      </c>
      <c r="O915" s="3">
        <v>44749.458961921293</v>
      </c>
      <c r="P915" s="2">
        <v>0</v>
      </c>
      <c r="Q915" s="2" t="s">
        <v>265</v>
      </c>
      <c r="R915" s="2" t="s">
        <v>38</v>
      </c>
      <c r="S915" s="2" t="s">
        <v>35</v>
      </c>
      <c r="T915" s="2" t="s">
        <v>35</v>
      </c>
      <c r="U915" s="2" t="s">
        <v>35</v>
      </c>
      <c r="V915" s="2" t="b">
        <v>0</v>
      </c>
      <c r="W915" s="2" t="s">
        <v>35</v>
      </c>
      <c r="X915" s="2" t="s">
        <v>35</v>
      </c>
      <c r="Y915" s="2" t="s">
        <v>35</v>
      </c>
      <c r="Z915" s="2" t="s">
        <v>35</v>
      </c>
    </row>
    <row r="916" spans="1:26" x14ac:dyDescent="0.2">
      <c r="A916" s="2" t="s">
        <v>2181</v>
      </c>
      <c r="B916" s="2" t="b">
        <v>0</v>
      </c>
      <c r="C916" s="2" t="b">
        <v>0</v>
      </c>
      <c r="D916" s="2" t="b">
        <v>0</v>
      </c>
      <c r="E916" s="2" t="b">
        <v>0</v>
      </c>
      <c r="F916" s="2" t="s">
        <v>31</v>
      </c>
      <c r="G916" s="2" t="s">
        <v>2182</v>
      </c>
      <c r="H916" s="2" t="s">
        <v>2183</v>
      </c>
      <c r="I916" s="2" t="s">
        <v>2035</v>
      </c>
      <c r="J916" s="2" t="s">
        <v>35</v>
      </c>
      <c r="K916" s="2">
        <v>13</v>
      </c>
      <c r="L916" s="2" t="s">
        <v>35</v>
      </c>
      <c r="M916" s="2" t="s">
        <v>35</v>
      </c>
      <c r="N916" s="3">
        <v>44749.459373912039</v>
      </c>
      <c r="O916" s="3">
        <v>44749.459601678238</v>
      </c>
      <c r="P916" s="2">
        <v>0</v>
      </c>
      <c r="Q916" s="2" t="s">
        <v>265</v>
      </c>
      <c r="R916" s="2" t="s">
        <v>38</v>
      </c>
      <c r="S916" s="2" t="s">
        <v>35</v>
      </c>
      <c r="T916" s="2" t="s">
        <v>35</v>
      </c>
      <c r="U916" s="2" t="s">
        <v>35</v>
      </c>
      <c r="V916" s="2" t="b">
        <v>0</v>
      </c>
      <c r="W916" s="2" t="s">
        <v>35</v>
      </c>
      <c r="X916" s="2" t="s">
        <v>35</v>
      </c>
      <c r="Y916" s="2" t="s">
        <v>35</v>
      </c>
      <c r="Z916" s="2" t="s">
        <v>35</v>
      </c>
    </row>
    <row r="917" spans="1:26" x14ac:dyDescent="0.2">
      <c r="A917" s="2" t="s">
        <v>2184</v>
      </c>
      <c r="B917" s="2" t="b">
        <v>0</v>
      </c>
      <c r="C917" s="2" t="b">
        <v>0</v>
      </c>
      <c r="D917" s="2" t="b">
        <v>0</v>
      </c>
      <c r="E917" s="2" t="b">
        <v>0</v>
      </c>
      <c r="F917" s="2" t="s">
        <v>31</v>
      </c>
      <c r="G917" s="2" t="s">
        <v>149</v>
      </c>
      <c r="H917" s="2" t="s">
        <v>2185</v>
      </c>
      <c r="I917" s="2" t="s">
        <v>2186</v>
      </c>
      <c r="J917" s="2" t="s">
        <v>35</v>
      </c>
      <c r="K917" s="2" t="s">
        <v>35</v>
      </c>
      <c r="L917" s="2" t="s">
        <v>35</v>
      </c>
      <c r="M917" s="2" t="s">
        <v>35</v>
      </c>
      <c r="N917" s="3">
        <v>44749.459982997687</v>
      </c>
      <c r="O917" s="3">
        <v>44749.460413171299</v>
      </c>
      <c r="P917" s="2">
        <v>0</v>
      </c>
      <c r="Q917" s="2" t="s">
        <v>36</v>
      </c>
      <c r="R917" s="2" t="s">
        <v>38</v>
      </c>
      <c r="S917" s="2" t="s">
        <v>35</v>
      </c>
      <c r="T917" s="2" t="s">
        <v>35</v>
      </c>
      <c r="U917" s="2" t="s">
        <v>35</v>
      </c>
      <c r="V917" s="2" t="b">
        <v>0</v>
      </c>
      <c r="W917" s="2" t="s">
        <v>35</v>
      </c>
      <c r="X917" s="2" t="s">
        <v>35</v>
      </c>
      <c r="Y917" s="2">
        <v>5</v>
      </c>
      <c r="Z917" s="2" t="s">
        <v>35</v>
      </c>
    </row>
    <row r="918" spans="1:26" x14ac:dyDescent="0.2">
      <c r="A918" s="2" t="s">
        <v>2187</v>
      </c>
      <c r="B918" s="2" t="b">
        <v>0</v>
      </c>
      <c r="C918" s="2" t="b">
        <v>0</v>
      </c>
      <c r="D918" s="2" t="b">
        <v>0</v>
      </c>
      <c r="E918" s="2" t="b">
        <v>0</v>
      </c>
      <c r="F918" s="2" t="s">
        <v>31</v>
      </c>
      <c r="G918" s="2" t="s">
        <v>2188</v>
      </c>
      <c r="H918" s="2" t="s">
        <v>2189</v>
      </c>
      <c r="I918" s="2" t="s">
        <v>35</v>
      </c>
      <c r="J918" s="2" t="s">
        <v>35</v>
      </c>
      <c r="K918" s="2" t="s">
        <v>35</v>
      </c>
      <c r="L918" s="2" t="s">
        <v>35</v>
      </c>
      <c r="M918" s="2" t="s">
        <v>35</v>
      </c>
      <c r="N918" s="3">
        <v>44749.460616435186</v>
      </c>
      <c r="O918" s="3">
        <v>44749.461063437499</v>
      </c>
      <c r="P918" s="2">
        <v>0</v>
      </c>
      <c r="Q918" s="2" t="s">
        <v>36</v>
      </c>
      <c r="R918" s="2" t="s">
        <v>38</v>
      </c>
      <c r="S918" s="2" t="s">
        <v>35</v>
      </c>
      <c r="T918" s="2" t="s">
        <v>35</v>
      </c>
      <c r="U918" s="2" t="s">
        <v>35</v>
      </c>
      <c r="V918" s="2" t="b">
        <v>0</v>
      </c>
      <c r="W918" s="2" t="s">
        <v>35</v>
      </c>
      <c r="X918" s="2" t="s">
        <v>35</v>
      </c>
      <c r="Y918" s="2" t="s">
        <v>35</v>
      </c>
      <c r="Z918" s="2">
        <v>4</v>
      </c>
    </row>
    <row r="919" spans="1:26" x14ac:dyDescent="0.2">
      <c r="A919" s="2" t="s">
        <v>2190</v>
      </c>
      <c r="B919" s="2" t="b">
        <v>0</v>
      </c>
      <c r="C919" s="2" t="b">
        <v>0</v>
      </c>
      <c r="D919" s="2" t="b">
        <v>0</v>
      </c>
      <c r="E919" s="2" t="b">
        <v>0</v>
      </c>
      <c r="F919" s="2" t="s">
        <v>31</v>
      </c>
      <c r="G919" s="2" t="s">
        <v>2191</v>
      </c>
      <c r="H919" s="2" t="s">
        <v>2192</v>
      </c>
      <c r="I919" s="2" t="s">
        <v>35</v>
      </c>
      <c r="J919" s="2" t="s">
        <v>35</v>
      </c>
      <c r="K919" s="2" t="s">
        <v>35</v>
      </c>
      <c r="L919" s="2">
        <v>11</v>
      </c>
      <c r="M919" s="2">
        <v>15</v>
      </c>
      <c r="N919" s="3">
        <v>44749.461103182868</v>
      </c>
      <c r="O919" s="3">
        <v>44749.461617118053</v>
      </c>
      <c r="P919" s="2">
        <v>0</v>
      </c>
      <c r="Q919" s="2" t="s">
        <v>54</v>
      </c>
      <c r="R919" s="2" t="s">
        <v>38</v>
      </c>
      <c r="S919" s="2" t="s">
        <v>35</v>
      </c>
      <c r="T919" s="2" t="s">
        <v>35</v>
      </c>
      <c r="U919" s="2" t="s">
        <v>35</v>
      </c>
      <c r="V919" s="2" t="b">
        <v>0</v>
      </c>
      <c r="W919" s="2" t="s">
        <v>35</v>
      </c>
      <c r="X919" s="2" t="s">
        <v>35</v>
      </c>
      <c r="Y919" s="2" t="s">
        <v>35</v>
      </c>
      <c r="Z919" s="2" t="s">
        <v>35</v>
      </c>
    </row>
    <row r="920" spans="1:26" x14ac:dyDescent="0.2">
      <c r="A920" s="2" t="s">
        <v>2193</v>
      </c>
      <c r="B920" s="2" t="b">
        <v>0</v>
      </c>
      <c r="C920" s="2" t="b">
        <v>0</v>
      </c>
      <c r="D920" s="2" t="b">
        <v>0</v>
      </c>
      <c r="E920" s="2" t="b">
        <v>0</v>
      </c>
      <c r="F920" s="2" t="s">
        <v>31</v>
      </c>
      <c r="G920" s="2" t="s">
        <v>2194</v>
      </c>
      <c r="H920" s="2" t="s">
        <v>2195</v>
      </c>
      <c r="I920" s="2" t="s">
        <v>2186</v>
      </c>
      <c r="J920" s="2" t="s">
        <v>35</v>
      </c>
      <c r="K920" s="2" t="s">
        <v>35</v>
      </c>
      <c r="L920" s="2" t="s">
        <v>35</v>
      </c>
      <c r="M920" s="2" t="s">
        <v>35</v>
      </c>
      <c r="N920" s="3">
        <v>44749.461686261573</v>
      </c>
      <c r="O920" s="3">
        <v>44749.462343692132</v>
      </c>
      <c r="P920" s="2">
        <v>0</v>
      </c>
      <c r="Q920" s="2" t="s">
        <v>36</v>
      </c>
      <c r="R920" s="2" t="s">
        <v>38</v>
      </c>
      <c r="S920" s="2" t="s">
        <v>35</v>
      </c>
      <c r="T920" s="2" t="s">
        <v>35</v>
      </c>
      <c r="U920" s="2" t="s">
        <v>35</v>
      </c>
      <c r="V920" s="2" t="b">
        <v>0</v>
      </c>
      <c r="W920" s="2" t="s">
        <v>35</v>
      </c>
      <c r="X920" s="2" t="s">
        <v>35</v>
      </c>
      <c r="Y920" s="2">
        <v>7</v>
      </c>
      <c r="Z920" s="2" t="s">
        <v>35</v>
      </c>
    </row>
    <row r="921" spans="1:26" x14ac:dyDescent="0.2">
      <c r="A921" s="2" t="s">
        <v>2196</v>
      </c>
      <c r="B921" s="2" t="b">
        <v>0</v>
      </c>
      <c r="C921" s="2" t="b">
        <v>0</v>
      </c>
      <c r="D921" s="2" t="b">
        <v>0</v>
      </c>
      <c r="E921" s="2" t="b">
        <v>0</v>
      </c>
      <c r="F921" s="2" t="s">
        <v>121</v>
      </c>
      <c r="G921" s="2" t="s">
        <v>149</v>
      </c>
      <c r="H921" s="2" t="s">
        <v>2197</v>
      </c>
      <c r="I921" s="2" t="s">
        <v>2150</v>
      </c>
      <c r="J921" s="2" t="s">
        <v>35</v>
      </c>
      <c r="K921" s="2" t="s">
        <v>35</v>
      </c>
      <c r="L921" s="2" t="s">
        <v>35</v>
      </c>
      <c r="M921" s="2" t="s">
        <v>35</v>
      </c>
      <c r="N921" s="3">
        <v>44749.463344699077</v>
      </c>
      <c r="O921" s="3">
        <v>44749.463345625001</v>
      </c>
      <c r="P921" s="2">
        <v>0</v>
      </c>
      <c r="Q921" s="2" t="s">
        <v>36</v>
      </c>
      <c r="R921" s="2" t="s">
        <v>38</v>
      </c>
      <c r="S921" s="2" t="s">
        <v>35</v>
      </c>
      <c r="T921" s="2" t="s">
        <v>35</v>
      </c>
      <c r="U921" s="2" t="s">
        <v>35</v>
      </c>
      <c r="V921" s="2" t="b">
        <v>0</v>
      </c>
      <c r="W921" s="2" t="s">
        <v>35</v>
      </c>
      <c r="X921" s="2" t="s">
        <v>35</v>
      </c>
      <c r="Y921" s="2">
        <v>7</v>
      </c>
      <c r="Z921" s="2" t="s">
        <v>35</v>
      </c>
    </row>
    <row r="922" spans="1:26" x14ac:dyDescent="0.2">
      <c r="A922" s="2" t="s">
        <v>2198</v>
      </c>
      <c r="B922" s="2" t="b">
        <v>0</v>
      </c>
      <c r="C922" s="2" t="b">
        <v>0</v>
      </c>
      <c r="D922" s="2" t="b">
        <v>0</v>
      </c>
      <c r="E922" s="2" t="b">
        <v>0</v>
      </c>
      <c r="F922" s="2" t="s">
        <v>31</v>
      </c>
      <c r="G922" s="2" t="s">
        <v>2199</v>
      </c>
      <c r="H922" s="2" t="s">
        <v>2200</v>
      </c>
      <c r="I922" s="2" t="s">
        <v>2048</v>
      </c>
      <c r="J922" s="2" t="s">
        <v>35</v>
      </c>
      <c r="K922" s="2" t="s">
        <v>35</v>
      </c>
      <c r="L922" s="2" t="s">
        <v>35</v>
      </c>
      <c r="M922" s="2" t="s">
        <v>35</v>
      </c>
      <c r="N922" s="3">
        <v>44749.463344768519</v>
      </c>
      <c r="O922" s="3">
        <v>44749.463944641204</v>
      </c>
      <c r="P922" s="2">
        <v>0</v>
      </c>
      <c r="Q922" s="2" t="s">
        <v>36</v>
      </c>
      <c r="R922" s="2" t="s">
        <v>38</v>
      </c>
      <c r="S922" s="2" t="s">
        <v>35</v>
      </c>
      <c r="T922" s="2" t="s">
        <v>35</v>
      </c>
      <c r="U922" s="2" t="s">
        <v>35</v>
      </c>
      <c r="V922" s="2" t="b">
        <v>0</v>
      </c>
      <c r="W922" s="2" t="s">
        <v>35</v>
      </c>
      <c r="X922" s="2" t="s">
        <v>35</v>
      </c>
      <c r="Y922" s="2">
        <v>5</v>
      </c>
      <c r="Z922" s="2" t="s">
        <v>35</v>
      </c>
    </row>
    <row r="923" spans="1:26" x14ac:dyDescent="0.2">
      <c r="A923" s="2" t="s">
        <v>2201</v>
      </c>
      <c r="B923" s="2" t="b">
        <v>0</v>
      </c>
      <c r="C923" s="2" t="b">
        <v>0</v>
      </c>
      <c r="D923" s="2" t="b">
        <v>0</v>
      </c>
      <c r="E923" s="2" t="b">
        <v>0</v>
      </c>
      <c r="F923" s="2" t="s">
        <v>31</v>
      </c>
      <c r="G923" s="2" t="s">
        <v>2202</v>
      </c>
      <c r="H923" s="2" t="s">
        <v>2203</v>
      </c>
      <c r="I923" s="2" t="s">
        <v>2150</v>
      </c>
      <c r="J923" s="2" t="s">
        <v>35</v>
      </c>
      <c r="K923" s="2" t="s">
        <v>35</v>
      </c>
      <c r="L923" s="2" t="s">
        <v>35</v>
      </c>
      <c r="M923" s="2" t="s">
        <v>35</v>
      </c>
      <c r="N923" s="3">
        <v>44749.464160034724</v>
      </c>
      <c r="O923" s="3">
        <v>44749.464430624997</v>
      </c>
      <c r="P923" s="2">
        <v>0</v>
      </c>
      <c r="Q923" s="2" t="s">
        <v>36</v>
      </c>
      <c r="R923" s="2" t="s">
        <v>38</v>
      </c>
      <c r="S923" s="2" t="s">
        <v>35</v>
      </c>
      <c r="T923" s="2" t="s">
        <v>35</v>
      </c>
      <c r="U923" s="2" t="s">
        <v>35</v>
      </c>
      <c r="V923" s="2" t="b">
        <v>0</v>
      </c>
      <c r="W923" s="2" t="s">
        <v>35</v>
      </c>
      <c r="X923" s="2" t="s">
        <v>35</v>
      </c>
      <c r="Y923" s="2">
        <v>8</v>
      </c>
      <c r="Z923" s="2" t="s">
        <v>35</v>
      </c>
    </row>
    <row r="924" spans="1:26" x14ac:dyDescent="0.2">
      <c r="A924" s="2" t="s">
        <v>2204</v>
      </c>
      <c r="B924" s="2" t="b">
        <v>0</v>
      </c>
      <c r="C924" s="2" t="b">
        <v>0</v>
      </c>
      <c r="D924" s="2" t="b">
        <v>0</v>
      </c>
      <c r="E924" s="2" t="b">
        <v>0</v>
      </c>
      <c r="F924" s="2" t="s">
        <v>31</v>
      </c>
      <c r="G924" s="2" t="s">
        <v>2205</v>
      </c>
      <c r="H924" s="2" t="s">
        <v>2206</v>
      </c>
      <c r="I924" s="2" t="s">
        <v>2207</v>
      </c>
      <c r="J924" s="2" t="s">
        <v>35</v>
      </c>
      <c r="K924" s="2" t="s">
        <v>35</v>
      </c>
      <c r="L924" s="2" t="s">
        <v>35</v>
      </c>
      <c r="M924" s="2" t="s">
        <v>35</v>
      </c>
      <c r="N924" s="3">
        <v>44749.465451655095</v>
      </c>
      <c r="O924" s="3">
        <v>44749.465807037035</v>
      </c>
      <c r="P924" s="2">
        <v>0</v>
      </c>
      <c r="Q924" s="2" t="s">
        <v>36</v>
      </c>
      <c r="R924" s="2" t="s">
        <v>38</v>
      </c>
      <c r="S924" s="2" t="s">
        <v>35</v>
      </c>
      <c r="T924" s="2" t="s">
        <v>35</v>
      </c>
      <c r="U924" s="2" t="s">
        <v>35</v>
      </c>
      <c r="V924" s="2" t="b">
        <v>0</v>
      </c>
      <c r="W924" s="2" t="s">
        <v>35</v>
      </c>
      <c r="X924" s="2" t="s">
        <v>35</v>
      </c>
      <c r="Y924" s="2">
        <v>4</v>
      </c>
      <c r="Z924" s="2" t="s">
        <v>35</v>
      </c>
    </row>
    <row r="925" spans="1:26" x14ac:dyDescent="0.2">
      <c r="A925" s="2" t="s">
        <v>2208</v>
      </c>
      <c r="B925" s="2" t="b">
        <v>0</v>
      </c>
      <c r="C925" s="2" t="b">
        <v>0</v>
      </c>
      <c r="D925" s="2" t="b">
        <v>0</v>
      </c>
      <c r="E925" s="2" t="b">
        <v>0</v>
      </c>
      <c r="F925" s="2" t="s">
        <v>31</v>
      </c>
      <c r="G925" s="2" t="s">
        <v>2209</v>
      </c>
      <c r="H925" s="2" t="s">
        <v>2210</v>
      </c>
      <c r="I925" s="2" t="s">
        <v>35</v>
      </c>
      <c r="J925" s="2" t="s">
        <v>35</v>
      </c>
      <c r="K925" s="2" t="s">
        <v>35</v>
      </c>
      <c r="L925" s="2" t="s">
        <v>35</v>
      </c>
      <c r="M925" s="2" t="s">
        <v>35</v>
      </c>
      <c r="N925" s="3">
        <v>44749.466160613425</v>
      </c>
      <c r="O925" s="3">
        <v>44749.466295844904</v>
      </c>
      <c r="P925" s="2">
        <v>0</v>
      </c>
      <c r="Q925" s="2" t="s">
        <v>109</v>
      </c>
      <c r="R925" s="2" t="s">
        <v>38</v>
      </c>
      <c r="S925" s="2" t="s">
        <v>35</v>
      </c>
      <c r="T925" s="2">
        <v>110</v>
      </c>
      <c r="U925" s="2" t="s">
        <v>35</v>
      </c>
      <c r="V925" s="2" t="b">
        <v>0</v>
      </c>
      <c r="W925" s="2" t="s">
        <v>35</v>
      </c>
      <c r="X925" s="2" t="s">
        <v>35</v>
      </c>
      <c r="Y925" s="2" t="s">
        <v>35</v>
      </c>
      <c r="Z925" s="2" t="s">
        <v>35</v>
      </c>
    </row>
    <row r="926" spans="1:26" x14ac:dyDescent="0.2">
      <c r="A926" s="2" t="s">
        <v>2211</v>
      </c>
      <c r="B926" s="2" t="b">
        <v>0</v>
      </c>
      <c r="C926" s="2" t="b">
        <v>0</v>
      </c>
      <c r="D926" s="2" t="b">
        <v>0</v>
      </c>
      <c r="E926" s="2" t="b">
        <v>0</v>
      </c>
      <c r="F926" s="2" t="s">
        <v>31</v>
      </c>
      <c r="G926" s="2" t="s">
        <v>2212</v>
      </c>
      <c r="H926" s="2" t="s">
        <v>2213</v>
      </c>
      <c r="I926" s="2" t="s">
        <v>2214</v>
      </c>
      <c r="J926" s="2" t="s">
        <v>35</v>
      </c>
      <c r="K926" s="2" t="s">
        <v>35</v>
      </c>
      <c r="L926" s="2" t="s">
        <v>35</v>
      </c>
      <c r="M926" s="2" t="s">
        <v>35</v>
      </c>
      <c r="N926" s="3">
        <v>44749.466428981483</v>
      </c>
      <c r="O926" s="3">
        <v>44749.46670971065</v>
      </c>
      <c r="P926" s="2">
        <v>0</v>
      </c>
      <c r="Q926" s="2" t="s">
        <v>36</v>
      </c>
      <c r="R926" s="2" t="s">
        <v>38</v>
      </c>
      <c r="S926" s="2" t="s">
        <v>35</v>
      </c>
      <c r="T926" s="2" t="s">
        <v>35</v>
      </c>
      <c r="U926" s="2" t="s">
        <v>35</v>
      </c>
      <c r="V926" s="2" t="b">
        <v>0</v>
      </c>
      <c r="W926" s="2" t="s">
        <v>35</v>
      </c>
      <c r="X926" s="2" t="s">
        <v>35</v>
      </c>
      <c r="Y926" s="2">
        <v>5</v>
      </c>
      <c r="Z926" s="2" t="s">
        <v>35</v>
      </c>
    </row>
    <row r="927" spans="1:26" x14ac:dyDescent="0.2">
      <c r="A927" s="2" t="s">
        <v>2215</v>
      </c>
      <c r="B927" s="2" t="b">
        <v>0</v>
      </c>
      <c r="C927" s="2" t="b">
        <v>0</v>
      </c>
      <c r="D927" s="2" t="b">
        <v>0</v>
      </c>
      <c r="E927" s="2" t="b">
        <v>0</v>
      </c>
      <c r="F927" s="2" t="s">
        <v>31</v>
      </c>
      <c r="G927" s="2" t="s">
        <v>2216</v>
      </c>
      <c r="H927" s="2" t="s">
        <v>2217</v>
      </c>
      <c r="I927" s="2" t="s">
        <v>2214</v>
      </c>
      <c r="J927" s="2" t="s">
        <v>35</v>
      </c>
      <c r="K927" s="2" t="s">
        <v>35</v>
      </c>
      <c r="L927" s="2" t="s">
        <v>35</v>
      </c>
      <c r="M927" s="2" t="s">
        <v>35</v>
      </c>
      <c r="N927" s="3">
        <v>44749.467285810184</v>
      </c>
      <c r="O927" s="3">
        <v>44749.467579456017</v>
      </c>
      <c r="P927" s="2">
        <v>0</v>
      </c>
      <c r="Q927" s="2" t="s">
        <v>36</v>
      </c>
      <c r="R927" s="2" t="s">
        <v>38</v>
      </c>
      <c r="S927" s="2" t="s">
        <v>35</v>
      </c>
      <c r="T927" s="2" t="s">
        <v>35</v>
      </c>
      <c r="U927" s="2" t="s">
        <v>35</v>
      </c>
      <c r="V927" s="2" t="b">
        <v>0</v>
      </c>
      <c r="W927" s="2" t="s">
        <v>35</v>
      </c>
      <c r="X927" s="2" t="s">
        <v>35</v>
      </c>
      <c r="Y927" s="2">
        <v>13</v>
      </c>
      <c r="Z927" s="2" t="s">
        <v>35</v>
      </c>
    </row>
    <row r="928" spans="1:26" x14ac:dyDescent="0.2">
      <c r="A928" s="2" t="s">
        <v>2218</v>
      </c>
      <c r="B928" s="2" t="b">
        <v>0</v>
      </c>
      <c r="C928" s="2" t="b">
        <v>0</v>
      </c>
      <c r="D928" s="2" t="b">
        <v>0</v>
      </c>
      <c r="E928" s="2" t="b">
        <v>0</v>
      </c>
      <c r="F928" s="2" t="s">
        <v>31</v>
      </c>
      <c r="G928" s="2" t="s">
        <v>2219</v>
      </c>
      <c r="H928" s="2" t="s">
        <v>2220</v>
      </c>
      <c r="I928" s="2" t="s">
        <v>35</v>
      </c>
      <c r="J928" s="2" t="s">
        <v>35</v>
      </c>
      <c r="K928" s="2" t="s">
        <v>35</v>
      </c>
      <c r="L928" s="2">
        <v>10</v>
      </c>
      <c r="M928" s="2">
        <v>19</v>
      </c>
      <c r="N928" s="3">
        <v>44749.467897893519</v>
      </c>
      <c r="O928" s="3">
        <v>44749.46863048611</v>
      </c>
      <c r="P928" s="2">
        <v>0</v>
      </c>
      <c r="Q928" s="2" t="s">
        <v>54</v>
      </c>
      <c r="R928" s="2" t="s">
        <v>38</v>
      </c>
      <c r="S928" s="2" t="s">
        <v>35</v>
      </c>
      <c r="T928" s="2" t="s">
        <v>35</v>
      </c>
      <c r="U928" s="2" t="s">
        <v>35</v>
      </c>
      <c r="V928" s="2" t="b">
        <v>0</v>
      </c>
      <c r="W928" s="2" t="s">
        <v>35</v>
      </c>
      <c r="X928" s="2" t="s">
        <v>35</v>
      </c>
      <c r="Y928" s="2" t="s">
        <v>35</v>
      </c>
      <c r="Z928" s="2" t="s">
        <v>35</v>
      </c>
    </row>
    <row r="929" spans="1:26" x14ac:dyDescent="0.2">
      <c r="A929" s="2" t="s">
        <v>2221</v>
      </c>
      <c r="B929" s="2" t="b">
        <v>0</v>
      </c>
      <c r="C929" s="2" t="b">
        <v>0</v>
      </c>
      <c r="D929" s="2" t="b">
        <v>0</v>
      </c>
      <c r="E929" s="2" t="b">
        <v>0</v>
      </c>
      <c r="F929" s="2" t="s">
        <v>31</v>
      </c>
      <c r="G929" s="2" t="s">
        <v>2222</v>
      </c>
      <c r="H929" s="2" t="s">
        <v>2223</v>
      </c>
      <c r="I929" s="2" t="s">
        <v>35</v>
      </c>
      <c r="J929" s="2" t="s">
        <v>35</v>
      </c>
      <c r="K929" s="2" t="s">
        <v>35</v>
      </c>
      <c r="L929" s="2">
        <v>18</v>
      </c>
      <c r="M929" s="2">
        <v>16</v>
      </c>
      <c r="N929" s="3">
        <v>44749.468681284721</v>
      </c>
      <c r="O929" s="3">
        <v>44749.468975844909</v>
      </c>
      <c r="P929" s="2">
        <v>0</v>
      </c>
      <c r="Q929" s="2" t="s">
        <v>54</v>
      </c>
      <c r="R929" s="2" t="s">
        <v>38</v>
      </c>
      <c r="S929" s="2" t="s">
        <v>35</v>
      </c>
      <c r="T929" s="2" t="s">
        <v>35</v>
      </c>
      <c r="U929" s="2" t="s">
        <v>35</v>
      </c>
      <c r="V929" s="2" t="b">
        <v>0</v>
      </c>
      <c r="W929" s="2" t="s">
        <v>35</v>
      </c>
      <c r="X929" s="2" t="s">
        <v>35</v>
      </c>
      <c r="Y929" s="2" t="s">
        <v>35</v>
      </c>
      <c r="Z929" s="2" t="s">
        <v>35</v>
      </c>
    </row>
    <row r="930" spans="1:26" x14ac:dyDescent="0.2">
      <c r="A930" s="2" t="s">
        <v>2224</v>
      </c>
      <c r="B930" s="2" t="b">
        <v>0</v>
      </c>
      <c r="C930" s="2" t="b">
        <v>0</v>
      </c>
      <c r="D930" s="2" t="b">
        <v>0</v>
      </c>
      <c r="E930" s="2" t="b">
        <v>0</v>
      </c>
      <c r="F930" s="2" t="s">
        <v>31</v>
      </c>
      <c r="G930" s="2" t="s">
        <v>2225</v>
      </c>
      <c r="H930" s="2" t="s">
        <v>2226</v>
      </c>
      <c r="I930" s="2" t="s">
        <v>2214</v>
      </c>
      <c r="J930" s="2" t="s">
        <v>35</v>
      </c>
      <c r="K930" s="2" t="s">
        <v>35</v>
      </c>
      <c r="L930" s="2" t="s">
        <v>35</v>
      </c>
      <c r="M930" s="2" t="s">
        <v>35</v>
      </c>
      <c r="N930" s="3">
        <v>44749.469154305552</v>
      </c>
      <c r="O930" s="3">
        <v>44749.469408460645</v>
      </c>
      <c r="P930" s="2">
        <v>0</v>
      </c>
      <c r="Q930" s="2" t="s">
        <v>36</v>
      </c>
      <c r="R930" s="2" t="s">
        <v>38</v>
      </c>
      <c r="S930" s="2" t="s">
        <v>35</v>
      </c>
      <c r="T930" s="2" t="s">
        <v>35</v>
      </c>
      <c r="U930" s="2" t="s">
        <v>35</v>
      </c>
      <c r="V930" s="2" t="b">
        <v>0</v>
      </c>
      <c r="W930" s="2" t="s">
        <v>35</v>
      </c>
      <c r="X930" s="2" t="s">
        <v>35</v>
      </c>
      <c r="Y930" s="2">
        <v>4</v>
      </c>
      <c r="Z930" s="2">
        <v>3</v>
      </c>
    </row>
    <row r="931" spans="1:26" x14ac:dyDescent="0.2">
      <c r="A931" s="2" t="s">
        <v>2227</v>
      </c>
      <c r="B931" s="2" t="b">
        <v>0</v>
      </c>
      <c r="C931" s="2" t="b">
        <v>0</v>
      </c>
      <c r="D931" s="2" t="b">
        <v>0</v>
      </c>
      <c r="E931" s="2" t="b">
        <v>0</v>
      </c>
      <c r="F931" s="2" t="s">
        <v>31</v>
      </c>
      <c r="G931" s="2" t="s">
        <v>2228</v>
      </c>
      <c r="H931" s="2" t="s">
        <v>2229</v>
      </c>
      <c r="I931" s="2" t="s">
        <v>35</v>
      </c>
      <c r="J931" s="2" t="s">
        <v>35</v>
      </c>
      <c r="K931" s="2" t="s">
        <v>35</v>
      </c>
      <c r="L931" s="2" t="s">
        <v>35</v>
      </c>
      <c r="M931" s="2" t="s">
        <v>35</v>
      </c>
      <c r="N931" s="3">
        <v>44749.47212982639</v>
      </c>
      <c r="O931" s="3">
        <v>44749.472342939815</v>
      </c>
      <c r="P931" s="2">
        <v>0</v>
      </c>
      <c r="Q931" s="2" t="s">
        <v>109</v>
      </c>
      <c r="R931" s="2" t="s">
        <v>38</v>
      </c>
      <c r="S931" s="2" t="s">
        <v>35</v>
      </c>
      <c r="T931" s="2">
        <v>105</v>
      </c>
      <c r="U931" s="2" t="s">
        <v>35</v>
      </c>
      <c r="V931" s="2" t="b">
        <v>0</v>
      </c>
      <c r="W931" s="2" t="s">
        <v>35</v>
      </c>
      <c r="X931" s="2" t="s">
        <v>35</v>
      </c>
      <c r="Y931" s="2" t="s">
        <v>35</v>
      </c>
      <c r="Z931" s="2" t="s">
        <v>35</v>
      </c>
    </row>
    <row r="932" spans="1:26" x14ac:dyDescent="0.2">
      <c r="A932" s="2" t="s">
        <v>2230</v>
      </c>
      <c r="B932" s="2" t="b">
        <v>0</v>
      </c>
      <c r="C932" s="2" t="b">
        <v>0</v>
      </c>
      <c r="D932" s="2" t="b">
        <v>0</v>
      </c>
      <c r="E932" s="2" t="b">
        <v>0</v>
      </c>
      <c r="F932" s="2" t="s">
        <v>31</v>
      </c>
      <c r="G932" s="2" t="s">
        <v>2231</v>
      </c>
      <c r="H932" s="2" t="s">
        <v>2232</v>
      </c>
      <c r="I932" s="2" t="s">
        <v>2233</v>
      </c>
      <c r="J932" s="2" t="s">
        <v>35</v>
      </c>
      <c r="K932" s="2" t="s">
        <v>35</v>
      </c>
      <c r="L932" s="2" t="s">
        <v>35</v>
      </c>
      <c r="M932" s="2" t="s">
        <v>35</v>
      </c>
      <c r="N932" s="3">
        <v>44749.472674675926</v>
      </c>
      <c r="O932" s="3">
        <v>44749.473871527778</v>
      </c>
      <c r="P932" s="2">
        <v>0</v>
      </c>
      <c r="Q932" s="2" t="s">
        <v>36</v>
      </c>
      <c r="R932" s="2" t="s">
        <v>38</v>
      </c>
      <c r="S932" s="2" t="s">
        <v>35</v>
      </c>
      <c r="T932" s="2" t="s">
        <v>35</v>
      </c>
      <c r="U932" s="2" t="s">
        <v>35</v>
      </c>
      <c r="V932" s="2" t="b">
        <v>0</v>
      </c>
      <c r="W932" s="2" t="s">
        <v>35</v>
      </c>
      <c r="X932" s="2" t="s">
        <v>35</v>
      </c>
      <c r="Y932" s="2">
        <v>4</v>
      </c>
      <c r="Z932" s="2">
        <v>2</v>
      </c>
    </row>
    <row r="933" spans="1:26" x14ac:dyDescent="0.2">
      <c r="A933" s="2" t="s">
        <v>2234</v>
      </c>
      <c r="B933" s="2" t="b">
        <v>0</v>
      </c>
      <c r="C933" s="2" t="b">
        <v>0</v>
      </c>
      <c r="D933" s="2" t="b">
        <v>0</v>
      </c>
      <c r="E933" s="2" t="b">
        <v>0</v>
      </c>
      <c r="F933" s="2" t="s">
        <v>31</v>
      </c>
      <c r="G933" s="2" t="s">
        <v>2235</v>
      </c>
      <c r="H933" s="2" t="s">
        <v>2236</v>
      </c>
      <c r="I933" s="2" t="s">
        <v>35</v>
      </c>
      <c r="J933" s="2" t="s">
        <v>35</v>
      </c>
      <c r="K933" s="2" t="s">
        <v>35</v>
      </c>
      <c r="L933" s="2">
        <v>12</v>
      </c>
      <c r="M933" s="2">
        <v>20</v>
      </c>
      <c r="N933" s="3">
        <v>44749.474029456018</v>
      </c>
      <c r="O933" s="3">
        <v>44749.474587013887</v>
      </c>
      <c r="P933" s="2">
        <v>0</v>
      </c>
      <c r="Q933" s="2" t="s">
        <v>54</v>
      </c>
      <c r="R933" s="2" t="s">
        <v>38</v>
      </c>
      <c r="S933" s="2" t="s">
        <v>35</v>
      </c>
      <c r="T933" s="2" t="s">
        <v>35</v>
      </c>
      <c r="U933" s="2" t="s">
        <v>35</v>
      </c>
      <c r="V933" s="2" t="b">
        <v>0</v>
      </c>
      <c r="W933" s="2" t="s">
        <v>35</v>
      </c>
      <c r="X933" s="2" t="s">
        <v>35</v>
      </c>
      <c r="Y933" s="2" t="s">
        <v>35</v>
      </c>
      <c r="Z933" s="2" t="s">
        <v>35</v>
      </c>
    </row>
    <row r="934" spans="1:26" x14ac:dyDescent="0.2">
      <c r="A934" s="2" t="s">
        <v>2237</v>
      </c>
      <c r="B934" s="2" t="b">
        <v>0</v>
      </c>
      <c r="C934" s="2" t="b">
        <v>0</v>
      </c>
      <c r="D934" s="2" t="b">
        <v>0</v>
      </c>
      <c r="E934" s="2" t="b">
        <v>0</v>
      </c>
      <c r="F934" s="2" t="s">
        <v>31</v>
      </c>
      <c r="G934" s="2" t="s">
        <v>2238</v>
      </c>
      <c r="H934" s="2" t="s">
        <v>2239</v>
      </c>
      <c r="I934" s="2" t="s">
        <v>35</v>
      </c>
      <c r="J934" s="2" t="s">
        <v>35</v>
      </c>
      <c r="K934" s="2" t="s">
        <v>35</v>
      </c>
      <c r="L934" s="2">
        <v>19</v>
      </c>
      <c r="M934" s="2">
        <v>14</v>
      </c>
      <c r="N934" s="3">
        <v>44749.474626539355</v>
      </c>
      <c r="O934" s="3">
        <v>44749.475161099537</v>
      </c>
      <c r="P934" s="2">
        <v>0</v>
      </c>
      <c r="Q934" s="2" t="s">
        <v>54</v>
      </c>
      <c r="R934" s="2" t="s">
        <v>38</v>
      </c>
      <c r="S934" s="2" t="s">
        <v>35</v>
      </c>
      <c r="T934" s="2" t="s">
        <v>35</v>
      </c>
      <c r="U934" s="2" t="s">
        <v>35</v>
      </c>
      <c r="V934" s="2" t="b">
        <v>0</v>
      </c>
      <c r="W934" s="2" t="s">
        <v>35</v>
      </c>
      <c r="X934" s="2" t="s">
        <v>35</v>
      </c>
      <c r="Y934" s="2" t="s">
        <v>35</v>
      </c>
      <c r="Z934" s="2" t="s">
        <v>35</v>
      </c>
    </row>
    <row r="935" spans="1:26" x14ac:dyDescent="0.2">
      <c r="A935" s="2" t="s">
        <v>2240</v>
      </c>
      <c r="B935" s="2" t="b">
        <v>0</v>
      </c>
      <c r="C935" s="2" t="b">
        <v>0</v>
      </c>
      <c r="D935" s="2" t="b">
        <v>0</v>
      </c>
      <c r="E935" s="2" t="b">
        <v>0</v>
      </c>
      <c r="F935" s="2" t="s">
        <v>31</v>
      </c>
      <c r="G935" s="2" t="s">
        <v>2241</v>
      </c>
      <c r="H935" s="2" t="s">
        <v>2242</v>
      </c>
      <c r="I935" s="2" t="s">
        <v>35</v>
      </c>
      <c r="J935" s="2" t="s">
        <v>35</v>
      </c>
      <c r="K935" s="2">
        <v>5</v>
      </c>
      <c r="L935" s="2" t="s">
        <v>35</v>
      </c>
      <c r="M935" s="2" t="s">
        <v>35</v>
      </c>
      <c r="N935" s="3">
        <v>44749.475365625003</v>
      </c>
      <c r="O935" s="3">
        <v>44749.475480937501</v>
      </c>
      <c r="P935" s="2">
        <v>0</v>
      </c>
      <c r="Q935" s="2" t="s">
        <v>265</v>
      </c>
      <c r="R935" s="2" t="s">
        <v>38</v>
      </c>
      <c r="S935" s="2" t="s">
        <v>35</v>
      </c>
      <c r="T935" s="2" t="s">
        <v>35</v>
      </c>
      <c r="U935" s="2" t="s">
        <v>35</v>
      </c>
      <c r="V935" s="2" t="b">
        <v>0</v>
      </c>
      <c r="W935" s="2" t="s">
        <v>35</v>
      </c>
      <c r="X935" s="2" t="s">
        <v>35</v>
      </c>
      <c r="Y935" s="2" t="s">
        <v>35</v>
      </c>
      <c r="Z935" s="2" t="s">
        <v>35</v>
      </c>
    </row>
    <row r="936" spans="1:26" x14ac:dyDescent="0.2">
      <c r="A936" s="2" t="s">
        <v>2243</v>
      </c>
      <c r="B936" s="2" t="b">
        <v>0</v>
      </c>
      <c r="C936" s="2" t="b">
        <v>0</v>
      </c>
      <c r="D936" s="2" t="b">
        <v>0</v>
      </c>
      <c r="E936" s="2" t="b">
        <v>0</v>
      </c>
      <c r="F936" s="2" t="s">
        <v>31</v>
      </c>
      <c r="G936" s="2" t="s">
        <v>2244</v>
      </c>
      <c r="H936" s="2" t="s">
        <v>2245</v>
      </c>
      <c r="I936" s="2" t="s">
        <v>2246</v>
      </c>
      <c r="J936" s="2" t="s">
        <v>35</v>
      </c>
      <c r="K936" s="2" t="s">
        <v>35</v>
      </c>
      <c r="L936" s="2" t="s">
        <v>35</v>
      </c>
      <c r="M936" s="2" t="s">
        <v>35</v>
      </c>
      <c r="N936" s="3">
        <v>44749.47556579861</v>
      </c>
      <c r="O936" s="3">
        <v>44749.476238530093</v>
      </c>
      <c r="P936" s="2">
        <v>0</v>
      </c>
      <c r="Q936" s="2" t="s">
        <v>36</v>
      </c>
      <c r="R936" s="2" t="s">
        <v>38</v>
      </c>
      <c r="S936" s="2" t="s">
        <v>35</v>
      </c>
      <c r="T936" s="2" t="s">
        <v>35</v>
      </c>
      <c r="U936" s="2" t="s">
        <v>35</v>
      </c>
      <c r="V936" s="2" t="b">
        <v>0</v>
      </c>
      <c r="W936" s="2" t="s">
        <v>35</v>
      </c>
      <c r="X936" s="2" t="s">
        <v>35</v>
      </c>
      <c r="Y936" s="2">
        <v>6</v>
      </c>
      <c r="Z936" s="2" t="s">
        <v>35</v>
      </c>
    </row>
    <row r="937" spans="1:26" x14ac:dyDescent="0.2">
      <c r="A937" s="2" t="s">
        <v>2247</v>
      </c>
      <c r="B937" s="2" t="b">
        <v>0</v>
      </c>
      <c r="C937" s="2" t="b">
        <v>0</v>
      </c>
      <c r="D937" s="2" t="b">
        <v>0</v>
      </c>
      <c r="E937" s="2" t="b">
        <v>0</v>
      </c>
      <c r="F937" s="2" t="s">
        <v>31</v>
      </c>
      <c r="G937" s="2" t="s">
        <v>2248</v>
      </c>
      <c r="H937" s="2" t="s">
        <v>2249</v>
      </c>
      <c r="I937" s="2" t="s">
        <v>35</v>
      </c>
      <c r="J937" s="2" t="s">
        <v>35</v>
      </c>
      <c r="K937" s="2" t="s">
        <v>35</v>
      </c>
      <c r="L937" s="2">
        <v>17</v>
      </c>
      <c r="M937" s="2">
        <v>15</v>
      </c>
      <c r="N937" s="3">
        <v>44749.476710694442</v>
      </c>
      <c r="O937" s="3">
        <v>44749.477030972223</v>
      </c>
      <c r="P937" s="2">
        <v>0</v>
      </c>
      <c r="Q937" s="2" t="s">
        <v>54</v>
      </c>
      <c r="R937" s="2" t="s">
        <v>38</v>
      </c>
      <c r="S937" s="2" t="s">
        <v>35</v>
      </c>
      <c r="T937" s="2" t="s">
        <v>35</v>
      </c>
      <c r="U937" s="2" t="s">
        <v>35</v>
      </c>
      <c r="V937" s="2" t="b">
        <v>0</v>
      </c>
      <c r="W937" s="2" t="s">
        <v>35</v>
      </c>
      <c r="X937" s="2" t="s">
        <v>35</v>
      </c>
      <c r="Y937" s="2" t="s">
        <v>35</v>
      </c>
      <c r="Z937" s="2" t="s">
        <v>35</v>
      </c>
    </row>
    <row r="938" spans="1:26" x14ac:dyDescent="0.2">
      <c r="A938" s="2" t="s">
        <v>2250</v>
      </c>
      <c r="B938" s="2" t="b">
        <v>0</v>
      </c>
      <c r="C938" s="2" t="b">
        <v>0</v>
      </c>
      <c r="D938" s="2" t="b">
        <v>0</v>
      </c>
      <c r="E938" s="2" t="b">
        <v>0</v>
      </c>
      <c r="F938" s="2" t="s">
        <v>31</v>
      </c>
      <c r="G938" s="2" t="s">
        <v>2251</v>
      </c>
      <c r="H938" s="2" t="s">
        <v>2252</v>
      </c>
      <c r="I938" s="2" t="s">
        <v>35</v>
      </c>
      <c r="J938" s="2" t="s">
        <v>35</v>
      </c>
      <c r="K938" s="2">
        <v>5</v>
      </c>
      <c r="L938" s="2" t="s">
        <v>35</v>
      </c>
      <c r="M938" s="2" t="s">
        <v>35</v>
      </c>
      <c r="N938" s="3">
        <v>44749.477673136571</v>
      </c>
      <c r="O938" s="3">
        <v>44749.47783358796</v>
      </c>
      <c r="P938" s="2">
        <v>0</v>
      </c>
      <c r="Q938" s="2" t="s">
        <v>265</v>
      </c>
      <c r="R938" s="2" t="s">
        <v>38</v>
      </c>
      <c r="S938" s="2" t="s">
        <v>35</v>
      </c>
      <c r="T938" s="2" t="s">
        <v>35</v>
      </c>
      <c r="U938" s="2" t="s">
        <v>35</v>
      </c>
      <c r="V938" s="2" t="b">
        <v>0</v>
      </c>
      <c r="W938" s="2" t="s">
        <v>35</v>
      </c>
      <c r="X938" s="2" t="s">
        <v>35</v>
      </c>
      <c r="Y938" s="2" t="s">
        <v>35</v>
      </c>
      <c r="Z938" s="2" t="s">
        <v>35</v>
      </c>
    </row>
    <row r="939" spans="1:26" x14ac:dyDescent="0.2">
      <c r="A939" s="2" t="s">
        <v>2253</v>
      </c>
      <c r="B939" s="2" t="b">
        <v>0</v>
      </c>
      <c r="C939" s="2" t="b">
        <v>0</v>
      </c>
      <c r="D939" s="2" t="b">
        <v>0</v>
      </c>
      <c r="E939" s="2" t="b">
        <v>0</v>
      </c>
      <c r="F939" s="2" t="s">
        <v>31</v>
      </c>
      <c r="G939" s="2" t="s">
        <v>2254</v>
      </c>
      <c r="H939" s="2" t="s">
        <v>2255</v>
      </c>
      <c r="I939" s="2" t="s">
        <v>2256</v>
      </c>
      <c r="J939" s="2" t="s">
        <v>35</v>
      </c>
      <c r="K939" s="2" t="s">
        <v>35</v>
      </c>
      <c r="L939" s="2">
        <v>4</v>
      </c>
      <c r="M939" s="2">
        <v>10</v>
      </c>
      <c r="N939" s="3">
        <v>44749.477911631948</v>
      </c>
      <c r="O939" s="3">
        <v>44749.478878437498</v>
      </c>
      <c r="P939" s="2">
        <v>0</v>
      </c>
      <c r="Q939" s="2" t="s">
        <v>54</v>
      </c>
      <c r="R939" s="2" t="s">
        <v>38</v>
      </c>
      <c r="S939" s="2" t="s">
        <v>35</v>
      </c>
      <c r="T939" s="2" t="s">
        <v>35</v>
      </c>
      <c r="U939" s="2" t="s">
        <v>35</v>
      </c>
      <c r="V939" s="2" t="b">
        <v>1</v>
      </c>
      <c r="W939" s="2" t="s">
        <v>35</v>
      </c>
      <c r="X939" s="2" t="s">
        <v>35</v>
      </c>
      <c r="Y939" s="2" t="s">
        <v>35</v>
      </c>
      <c r="Z939" s="2" t="s">
        <v>35</v>
      </c>
    </row>
    <row r="940" spans="1:26" x14ac:dyDescent="0.2">
      <c r="A940" s="2" t="s">
        <v>2257</v>
      </c>
      <c r="B940" s="2" t="b">
        <v>0</v>
      </c>
      <c r="C940" s="2" t="b">
        <v>0</v>
      </c>
      <c r="D940" s="2" t="b">
        <v>0</v>
      </c>
      <c r="E940" s="2" t="b">
        <v>0</v>
      </c>
      <c r="F940" s="2" t="s">
        <v>31</v>
      </c>
      <c r="G940" s="2" t="s">
        <v>2258</v>
      </c>
      <c r="H940" s="2" t="s">
        <v>2259</v>
      </c>
      <c r="I940" s="2" t="s">
        <v>2260</v>
      </c>
      <c r="J940" s="2" t="s">
        <v>35</v>
      </c>
      <c r="K940" s="2" t="s">
        <v>35</v>
      </c>
      <c r="L940" s="2">
        <v>5</v>
      </c>
      <c r="M940" s="2">
        <v>6</v>
      </c>
      <c r="N940" s="3">
        <v>44749.479988055558</v>
      </c>
      <c r="O940" s="3">
        <v>44749.480438344908</v>
      </c>
      <c r="P940" s="2">
        <v>0</v>
      </c>
      <c r="Q940" s="2" t="s">
        <v>54</v>
      </c>
      <c r="R940" s="2" t="s">
        <v>38</v>
      </c>
      <c r="S940" s="2" t="s">
        <v>35</v>
      </c>
      <c r="T940" s="2" t="s">
        <v>35</v>
      </c>
      <c r="U940" s="2" t="s">
        <v>35</v>
      </c>
      <c r="V940" s="2" t="b">
        <v>1</v>
      </c>
      <c r="W940" s="2" t="s">
        <v>35</v>
      </c>
      <c r="X940" s="2" t="s">
        <v>35</v>
      </c>
      <c r="Y940" s="2" t="s">
        <v>35</v>
      </c>
      <c r="Z940" s="2" t="s">
        <v>35</v>
      </c>
    </row>
    <row r="941" spans="1:26" x14ac:dyDescent="0.2">
      <c r="A941" s="2" t="s">
        <v>2261</v>
      </c>
      <c r="B941" s="2" t="b">
        <v>0</v>
      </c>
      <c r="C941" s="2" t="b">
        <v>0</v>
      </c>
      <c r="D941" s="2" t="b">
        <v>0</v>
      </c>
      <c r="E941" s="2" t="b">
        <v>0</v>
      </c>
      <c r="F941" s="2" t="s">
        <v>31</v>
      </c>
      <c r="G941" s="2" t="s">
        <v>2262</v>
      </c>
      <c r="H941" s="2" t="s">
        <v>2263</v>
      </c>
      <c r="I941" s="2" t="s">
        <v>2150</v>
      </c>
      <c r="J941" s="2" t="s">
        <v>35</v>
      </c>
      <c r="K941" s="2" t="s">
        <v>35</v>
      </c>
      <c r="L941" s="2" t="s">
        <v>35</v>
      </c>
      <c r="M941" s="2" t="s">
        <v>35</v>
      </c>
      <c r="N941" s="3">
        <v>44749.48054423611</v>
      </c>
      <c r="O941" s="3">
        <v>44749.480783703701</v>
      </c>
      <c r="P941" s="2">
        <v>0</v>
      </c>
      <c r="Q941" s="2" t="s">
        <v>36</v>
      </c>
      <c r="R941" s="2" t="s">
        <v>38</v>
      </c>
      <c r="S941" s="2" t="s">
        <v>35</v>
      </c>
      <c r="T941" s="2" t="s">
        <v>35</v>
      </c>
      <c r="U941" s="2" t="s">
        <v>35</v>
      </c>
      <c r="V941" s="2" t="b">
        <v>0</v>
      </c>
      <c r="W941" s="2" t="s">
        <v>35</v>
      </c>
      <c r="X941" s="2" t="s">
        <v>35</v>
      </c>
      <c r="Y941" s="2">
        <v>5</v>
      </c>
      <c r="Z941" s="2" t="s">
        <v>35</v>
      </c>
    </row>
    <row r="942" spans="1:26" x14ac:dyDescent="0.2">
      <c r="A942" s="2" t="s">
        <v>2264</v>
      </c>
      <c r="B942" s="2" t="b">
        <v>0</v>
      </c>
      <c r="C942" s="2" t="b">
        <v>0</v>
      </c>
      <c r="D942" s="2" t="b">
        <v>0</v>
      </c>
      <c r="E942" s="2" t="b">
        <v>0</v>
      </c>
      <c r="F942" s="2" t="s">
        <v>31</v>
      </c>
      <c r="G942" s="2" t="s">
        <v>2265</v>
      </c>
      <c r="H942" s="2" t="s">
        <v>2266</v>
      </c>
      <c r="I942" s="2" t="s">
        <v>2267</v>
      </c>
      <c r="J942" s="2" t="s">
        <v>35</v>
      </c>
      <c r="K942" s="2" t="s">
        <v>35</v>
      </c>
      <c r="L942" s="2">
        <v>2</v>
      </c>
      <c r="M942" s="2">
        <v>8</v>
      </c>
      <c r="N942" s="3">
        <v>44749.480958298613</v>
      </c>
      <c r="O942" s="3">
        <v>44749.481255949075</v>
      </c>
      <c r="P942" s="2">
        <v>0</v>
      </c>
      <c r="Q942" s="2" t="s">
        <v>54</v>
      </c>
      <c r="R942" s="2" t="s">
        <v>38</v>
      </c>
      <c r="S942" s="2" t="s">
        <v>35</v>
      </c>
      <c r="T942" s="2" t="s">
        <v>35</v>
      </c>
      <c r="U942" s="2" t="s">
        <v>35</v>
      </c>
      <c r="V942" s="2" t="b">
        <v>1</v>
      </c>
      <c r="W942" s="2" t="s">
        <v>35</v>
      </c>
      <c r="X942" s="2" t="s">
        <v>35</v>
      </c>
      <c r="Y942" s="2" t="s">
        <v>35</v>
      </c>
      <c r="Z942" s="2" t="s">
        <v>35</v>
      </c>
    </row>
    <row r="943" spans="1:26" x14ac:dyDescent="0.2">
      <c r="A943" s="2" t="s">
        <v>9299</v>
      </c>
      <c r="B943" s="2" t="b">
        <v>0</v>
      </c>
      <c r="C943" s="2" t="b">
        <v>0</v>
      </c>
      <c r="D943" s="2" t="b">
        <v>0</v>
      </c>
      <c r="E943" s="2" t="b">
        <v>0</v>
      </c>
      <c r="F943" s="2" t="s">
        <v>121</v>
      </c>
      <c r="G943" s="2" t="s">
        <v>149</v>
      </c>
      <c r="H943" s="2" t="s">
        <v>2270</v>
      </c>
      <c r="I943" s="2" t="s">
        <v>35</v>
      </c>
      <c r="J943" s="2" t="s">
        <v>35</v>
      </c>
      <c r="K943" s="2" t="s">
        <v>35</v>
      </c>
      <c r="L943" s="2" t="s">
        <v>35</v>
      </c>
      <c r="M943" s="2" t="s">
        <v>35</v>
      </c>
      <c r="N943" s="3">
        <v>44749.481550868055</v>
      </c>
      <c r="O943" s="3">
        <v>44749.481551006946</v>
      </c>
      <c r="P943" s="2">
        <v>0</v>
      </c>
      <c r="Q943" s="2" t="s">
        <v>35</v>
      </c>
      <c r="R943" s="2" t="s">
        <v>38</v>
      </c>
      <c r="S943" s="2" t="s">
        <v>35</v>
      </c>
      <c r="T943" s="2" t="s">
        <v>35</v>
      </c>
      <c r="U943" s="2" t="s">
        <v>35</v>
      </c>
      <c r="V943" s="2" t="b">
        <v>0</v>
      </c>
      <c r="W943" s="2" t="s">
        <v>35</v>
      </c>
      <c r="X943" s="2" t="s">
        <v>35</v>
      </c>
      <c r="Y943" s="2" t="s">
        <v>35</v>
      </c>
      <c r="Z943" s="2" t="s">
        <v>35</v>
      </c>
    </row>
    <row r="944" spans="1:26" x14ac:dyDescent="0.2">
      <c r="A944" s="2" t="s">
        <v>2268</v>
      </c>
      <c r="B944" s="2" t="b">
        <v>0</v>
      </c>
      <c r="C944" s="2" t="b">
        <v>0</v>
      </c>
      <c r="D944" s="2" t="b">
        <v>0</v>
      </c>
      <c r="E944" s="2" t="b">
        <v>0</v>
      </c>
      <c r="F944" s="2" t="s">
        <v>31</v>
      </c>
      <c r="G944" s="2" t="s">
        <v>2269</v>
      </c>
      <c r="H944" s="2" t="s">
        <v>2270</v>
      </c>
      <c r="I944" s="2" t="s">
        <v>35</v>
      </c>
      <c r="J944" s="2" t="s">
        <v>35</v>
      </c>
      <c r="K944" s="2" t="s">
        <v>35</v>
      </c>
      <c r="L944" s="2" t="s">
        <v>35</v>
      </c>
      <c r="M944" s="2" t="s">
        <v>35</v>
      </c>
      <c r="N944" s="3">
        <v>44749.481553773148</v>
      </c>
      <c r="O944" s="3">
        <v>44749.481661863429</v>
      </c>
      <c r="P944" s="2">
        <v>0</v>
      </c>
      <c r="Q944" s="2" t="s">
        <v>36</v>
      </c>
      <c r="R944" s="2" t="s">
        <v>38</v>
      </c>
      <c r="S944" s="2" t="s">
        <v>35</v>
      </c>
      <c r="T944" s="2" t="s">
        <v>35</v>
      </c>
      <c r="U944" s="2" t="s">
        <v>35</v>
      </c>
      <c r="V944" s="2" t="b">
        <v>0</v>
      </c>
      <c r="W944" s="2" t="s">
        <v>35</v>
      </c>
      <c r="X944" s="2" t="s">
        <v>35</v>
      </c>
      <c r="Y944" s="2" t="s">
        <v>35</v>
      </c>
      <c r="Z944" s="2">
        <v>2</v>
      </c>
    </row>
    <row r="945" spans="1:26" x14ac:dyDescent="0.2">
      <c r="A945" s="2" t="s">
        <v>2271</v>
      </c>
      <c r="B945" s="2" t="b">
        <v>0</v>
      </c>
      <c r="C945" s="2" t="b">
        <v>0</v>
      </c>
      <c r="D945" s="2" t="b">
        <v>0</v>
      </c>
      <c r="E945" s="2" t="b">
        <v>0</v>
      </c>
      <c r="F945" s="2" t="s">
        <v>31</v>
      </c>
      <c r="G945" s="2" t="s">
        <v>2272</v>
      </c>
      <c r="H945" s="2" t="s">
        <v>2273</v>
      </c>
      <c r="I945" s="2" t="s">
        <v>2274</v>
      </c>
      <c r="J945" s="2" t="s">
        <v>35</v>
      </c>
      <c r="K945" s="2" t="s">
        <v>35</v>
      </c>
      <c r="L945" s="2" t="s">
        <v>35</v>
      </c>
      <c r="M945" s="2" t="s">
        <v>35</v>
      </c>
      <c r="N945" s="3">
        <v>44749.481837453706</v>
      </c>
      <c r="O945" s="3">
        <v>44749.482354826388</v>
      </c>
      <c r="P945" s="2">
        <v>0</v>
      </c>
      <c r="Q945" s="2" t="s">
        <v>36</v>
      </c>
      <c r="R945" s="2" t="s">
        <v>38</v>
      </c>
      <c r="S945" s="2" t="s">
        <v>35</v>
      </c>
      <c r="T945" s="2" t="s">
        <v>35</v>
      </c>
      <c r="U945" s="2" t="s">
        <v>35</v>
      </c>
      <c r="V945" s="2" t="b">
        <v>0</v>
      </c>
      <c r="W945" s="2" t="s">
        <v>35</v>
      </c>
      <c r="X945" s="2" t="s">
        <v>35</v>
      </c>
      <c r="Y945" s="2">
        <v>9</v>
      </c>
      <c r="Z945" s="2" t="s">
        <v>35</v>
      </c>
    </row>
    <row r="946" spans="1:26" x14ac:dyDescent="0.2">
      <c r="A946" s="2" t="s">
        <v>2275</v>
      </c>
      <c r="B946" s="2" t="b">
        <v>0</v>
      </c>
      <c r="C946" s="2" t="b">
        <v>0</v>
      </c>
      <c r="D946" s="2" t="b">
        <v>0</v>
      </c>
      <c r="E946" s="2" t="b">
        <v>0</v>
      </c>
      <c r="F946" s="2" t="s">
        <v>31</v>
      </c>
      <c r="G946" s="2" t="s">
        <v>2276</v>
      </c>
      <c r="H946" s="2" t="s">
        <v>2277</v>
      </c>
      <c r="I946" s="2" t="s">
        <v>2267</v>
      </c>
      <c r="J946" s="2" t="s">
        <v>35</v>
      </c>
      <c r="K946" s="2" t="s">
        <v>35</v>
      </c>
      <c r="L946" s="2">
        <v>87</v>
      </c>
      <c r="M946" s="2">
        <v>9</v>
      </c>
      <c r="N946" s="3">
        <v>44749.482408750002</v>
      </c>
      <c r="O946" s="3">
        <v>44749.48383459491</v>
      </c>
      <c r="P946" s="2">
        <v>0</v>
      </c>
      <c r="Q946" s="2" t="s">
        <v>54</v>
      </c>
      <c r="R946" s="2" t="s">
        <v>38</v>
      </c>
      <c r="S946" s="2" t="s">
        <v>35</v>
      </c>
      <c r="T946" s="2" t="s">
        <v>35</v>
      </c>
      <c r="U946" s="2" t="s">
        <v>35</v>
      </c>
      <c r="V946" s="2" t="b">
        <v>1</v>
      </c>
      <c r="W946" s="2" t="s">
        <v>35</v>
      </c>
      <c r="X946" s="2" t="s">
        <v>35</v>
      </c>
      <c r="Y946" s="2" t="s">
        <v>35</v>
      </c>
      <c r="Z946" s="2" t="s">
        <v>35</v>
      </c>
    </row>
    <row r="947" spans="1:26" x14ac:dyDescent="0.2">
      <c r="A947" s="2" t="s">
        <v>2278</v>
      </c>
      <c r="B947" s="2" t="b">
        <v>0</v>
      </c>
      <c r="C947" s="2" t="b">
        <v>0</v>
      </c>
      <c r="D947" s="2" t="b">
        <v>0</v>
      </c>
      <c r="E947" s="2" t="b">
        <v>0</v>
      </c>
      <c r="F947" s="2" t="s">
        <v>31</v>
      </c>
      <c r="G947" s="2" t="s">
        <v>2279</v>
      </c>
      <c r="H947" s="2" t="s">
        <v>2280</v>
      </c>
      <c r="I947" s="2" t="s">
        <v>35</v>
      </c>
      <c r="J947" s="2" t="s">
        <v>35</v>
      </c>
      <c r="K947" s="2" t="s">
        <v>35</v>
      </c>
      <c r="L947" s="2">
        <v>12</v>
      </c>
      <c r="M947" s="2">
        <v>16</v>
      </c>
      <c r="N947" s="3">
        <v>44749.483908923612</v>
      </c>
      <c r="O947" s="3">
        <v>44749.484340555558</v>
      </c>
      <c r="P947" s="2">
        <v>0</v>
      </c>
      <c r="Q947" s="2" t="s">
        <v>54</v>
      </c>
      <c r="R947" s="2" t="s">
        <v>38</v>
      </c>
      <c r="S947" s="2" t="s">
        <v>35</v>
      </c>
      <c r="T947" s="2" t="s">
        <v>35</v>
      </c>
      <c r="U947" s="2" t="s">
        <v>35</v>
      </c>
      <c r="V947" s="2" t="b">
        <v>0</v>
      </c>
      <c r="W947" s="2" t="s">
        <v>35</v>
      </c>
      <c r="X947" s="2" t="s">
        <v>35</v>
      </c>
      <c r="Y947" s="2" t="s">
        <v>35</v>
      </c>
      <c r="Z947" s="2" t="s">
        <v>35</v>
      </c>
    </row>
    <row r="948" spans="1:26" x14ac:dyDescent="0.2">
      <c r="A948" s="2" t="s">
        <v>2281</v>
      </c>
      <c r="B948" s="2" t="b">
        <v>0</v>
      </c>
      <c r="C948" s="2" t="b">
        <v>0</v>
      </c>
      <c r="D948" s="2" t="b">
        <v>0</v>
      </c>
      <c r="E948" s="2" t="b">
        <v>0</v>
      </c>
      <c r="F948" s="2" t="s">
        <v>31</v>
      </c>
      <c r="G948" s="2" t="s">
        <v>2282</v>
      </c>
      <c r="H948" s="2" t="s">
        <v>2283</v>
      </c>
      <c r="I948" s="2" t="s">
        <v>35</v>
      </c>
      <c r="J948" s="2" t="s">
        <v>35</v>
      </c>
      <c r="K948" s="2" t="s">
        <v>35</v>
      </c>
      <c r="L948" s="2" t="s">
        <v>35</v>
      </c>
      <c r="M948" s="2" t="s">
        <v>35</v>
      </c>
      <c r="N948" s="3">
        <v>44749.484466099537</v>
      </c>
      <c r="O948" s="3">
        <v>44749.484648217593</v>
      </c>
      <c r="P948" s="2">
        <v>0</v>
      </c>
      <c r="Q948" s="2" t="s">
        <v>36</v>
      </c>
      <c r="R948" s="2" t="s">
        <v>38</v>
      </c>
      <c r="S948" s="2" t="s">
        <v>35</v>
      </c>
      <c r="T948" s="2" t="s">
        <v>35</v>
      </c>
      <c r="U948" s="2" t="s">
        <v>35</v>
      </c>
      <c r="V948" s="2" t="b">
        <v>0</v>
      </c>
      <c r="W948" s="2" t="s">
        <v>2284</v>
      </c>
      <c r="X948" s="2" t="s">
        <v>35</v>
      </c>
      <c r="Y948" s="2" t="s">
        <v>35</v>
      </c>
      <c r="Z948" s="2" t="s">
        <v>35</v>
      </c>
    </row>
    <row r="949" spans="1:26" x14ac:dyDescent="0.2">
      <c r="A949" s="2" t="s">
        <v>2285</v>
      </c>
      <c r="B949" s="2" t="b">
        <v>0</v>
      </c>
      <c r="C949" s="2" t="b">
        <v>0</v>
      </c>
      <c r="D949" s="2" t="b">
        <v>0</v>
      </c>
      <c r="E949" s="2" t="b">
        <v>0</v>
      </c>
      <c r="F949" s="2" t="s">
        <v>31</v>
      </c>
      <c r="G949" s="2" t="s">
        <v>2286</v>
      </c>
      <c r="H949" s="2" t="s">
        <v>2287</v>
      </c>
      <c r="I949" s="2" t="s">
        <v>35</v>
      </c>
      <c r="J949" s="2" t="s">
        <v>35</v>
      </c>
      <c r="K949" s="2" t="s">
        <v>35</v>
      </c>
      <c r="L949" s="2" t="s">
        <v>35</v>
      </c>
      <c r="M949" s="2" t="s">
        <v>35</v>
      </c>
      <c r="N949" s="3">
        <v>44749.484999895831</v>
      </c>
      <c r="O949" s="3">
        <v>44749.48523337963</v>
      </c>
      <c r="P949" s="2">
        <v>0</v>
      </c>
      <c r="Q949" s="2" t="s">
        <v>36</v>
      </c>
      <c r="R949" s="2" t="s">
        <v>38</v>
      </c>
      <c r="S949" s="2" t="s">
        <v>35</v>
      </c>
      <c r="T949" s="2" t="s">
        <v>35</v>
      </c>
      <c r="U949" s="2" t="s">
        <v>35</v>
      </c>
      <c r="V949" s="2" t="b">
        <v>0</v>
      </c>
      <c r="W949" s="2" t="s">
        <v>35</v>
      </c>
      <c r="X949" s="2" t="s">
        <v>35</v>
      </c>
      <c r="Y949" s="2" t="s">
        <v>35</v>
      </c>
      <c r="Z949" s="2">
        <v>5</v>
      </c>
    </row>
    <row r="950" spans="1:26" x14ac:dyDescent="0.2">
      <c r="A950" s="2" t="s">
        <v>2288</v>
      </c>
      <c r="B950" s="2" t="b">
        <v>0</v>
      </c>
      <c r="C950" s="2" t="b">
        <v>0</v>
      </c>
      <c r="D950" s="2" t="b">
        <v>0</v>
      </c>
      <c r="E950" s="2" t="b">
        <v>0</v>
      </c>
      <c r="F950" s="2" t="s">
        <v>31</v>
      </c>
      <c r="G950" s="2" t="s">
        <v>2289</v>
      </c>
      <c r="H950" s="2" t="s">
        <v>2290</v>
      </c>
      <c r="I950" s="2" t="s">
        <v>2035</v>
      </c>
      <c r="J950" s="2" t="s">
        <v>35</v>
      </c>
      <c r="K950" s="2">
        <v>7</v>
      </c>
      <c r="L950" s="2" t="s">
        <v>35</v>
      </c>
      <c r="M950" s="2" t="s">
        <v>35</v>
      </c>
      <c r="N950" s="3">
        <v>44749.485531643521</v>
      </c>
      <c r="O950" s="3">
        <v>44749.485698298609</v>
      </c>
      <c r="P950" s="2">
        <v>0</v>
      </c>
      <c r="Q950" s="2" t="s">
        <v>265</v>
      </c>
      <c r="R950" s="2" t="s">
        <v>38</v>
      </c>
      <c r="S950" s="2" t="s">
        <v>35</v>
      </c>
      <c r="T950" s="2" t="s">
        <v>35</v>
      </c>
      <c r="U950" s="2" t="s">
        <v>35</v>
      </c>
      <c r="V950" s="2" t="b">
        <v>0</v>
      </c>
      <c r="W950" s="2" t="s">
        <v>35</v>
      </c>
      <c r="X950" s="2" t="s">
        <v>35</v>
      </c>
      <c r="Y950" s="2" t="s">
        <v>35</v>
      </c>
      <c r="Z950" s="2" t="s">
        <v>35</v>
      </c>
    </row>
    <row r="951" spans="1:26" x14ac:dyDescent="0.2">
      <c r="A951" s="2" t="s">
        <v>2291</v>
      </c>
      <c r="B951" s="2" t="b">
        <v>0</v>
      </c>
      <c r="C951" s="2" t="b">
        <v>0</v>
      </c>
      <c r="D951" s="2" t="b">
        <v>0</v>
      </c>
      <c r="E951" s="2" t="b">
        <v>0</v>
      </c>
      <c r="F951" s="2" t="s">
        <v>31</v>
      </c>
      <c r="G951" s="2" t="s">
        <v>2292</v>
      </c>
      <c r="H951" s="2" t="s">
        <v>2293</v>
      </c>
      <c r="I951" s="2" t="s">
        <v>35</v>
      </c>
      <c r="J951" s="2" t="s">
        <v>35</v>
      </c>
      <c r="K951" s="2" t="s">
        <v>35</v>
      </c>
      <c r="L951" s="2" t="s">
        <v>35</v>
      </c>
      <c r="M951" s="2" t="s">
        <v>35</v>
      </c>
      <c r="N951" s="3">
        <v>44749.486316296294</v>
      </c>
      <c r="O951" s="3">
        <v>44749.486444571761</v>
      </c>
      <c r="P951" s="2">
        <v>0</v>
      </c>
      <c r="Q951" s="2" t="s">
        <v>36</v>
      </c>
      <c r="R951" s="2" t="s">
        <v>38</v>
      </c>
      <c r="S951" s="2" t="s">
        <v>35</v>
      </c>
      <c r="T951" s="2" t="s">
        <v>35</v>
      </c>
      <c r="U951" s="2" t="s">
        <v>35</v>
      </c>
      <c r="V951" s="2" t="b">
        <v>0</v>
      </c>
      <c r="W951" s="2" t="s">
        <v>2284</v>
      </c>
      <c r="X951" s="2" t="s">
        <v>35</v>
      </c>
      <c r="Y951" s="2" t="s">
        <v>35</v>
      </c>
      <c r="Z951" s="2" t="s">
        <v>35</v>
      </c>
    </row>
    <row r="952" spans="1:26" x14ac:dyDescent="0.2">
      <c r="A952" s="2" t="s">
        <v>9300</v>
      </c>
      <c r="B952" s="2" t="b">
        <v>0</v>
      </c>
      <c r="C952" s="2" t="b">
        <v>0</v>
      </c>
      <c r="D952" s="2" t="b">
        <v>0</v>
      </c>
      <c r="E952" s="2" t="b">
        <v>0</v>
      </c>
      <c r="F952" s="2" t="s">
        <v>121</v>
      </c>
      <c r="G952" s="2" t="s">
        <v>149</v>
      </c>
      <c r="H952" s="2" t="s">
        <v>2296</v>
      </c>
      <c r="I952" s="2" t="s">
        <v>35</v>
      </c>
      <c r="J952" s="2" t="s">
        <v>35</v>
      </c>
      <c r="K952" s="2" t="s">
        <v>35</v>
      </c>
      <c r="L952" s="2" t="s">
        <v>35</v>
      </c>
      <c r="M952" s="2" t="s">
        <v>35</v>
      </c>
      <c r="N952" s="3">
        <v>44749.486464710651</v>
      </c>
      <c r="O952" s="3">
        <v>44749.486464768517</v>
      </c>
      <c r="P952" s="2">
        <v>0</v>
      </c>
      <c r="Q952" s="2" t="s">
        <v>35</v>
      </c>
      <c r="R952" s="2" t="s">
        <v>38</v>
      </c>
      <c r="S952" s="2" t="s">
        <v>35</v>
      </c>
      <c r="T952" s="2" t="s">
        <v>35</v>
      </c>
      <c r="U952" s="2" t="s">
        <v>35</v>
      </c>
      <c r="V952" s="2" t="b">
        <v>0</v>
      </c>
      <c r="W952" s="2" t="s">
        <v>35</v>
      </c>
      <c r="X952" s="2" t="s">
        <v>35</v>
      </c>
      <c r="Y952" s="2" t="s">
        <v>35</v>
      </c>
      <c r="Z952" s="2" t="s">
        <v>35</v>
      </c>
    </row>
    <row r="953" spans="1:26" x14ac:dyDescent="0.2">
      <c r="A953" s="2" t="s">
        <v>2294</v>
      </c>
      <c r="B953" s="2" t="b">
        <v>0</v>
      </c>
      <c r="C953" s="2" t="b">
        <v>0</v>
      </c>
      <c r="D953" s="2" t="b">
        <v>0</v>
      </c>
      <c r="E953" s="2" t="b">
        <v>0</v>
      </c>
      <c r="F953" s="2" t="s">
        <v>31</v>
      </c>
      <c r="G953" s="2" t="s">
        <v>2295</v>
      </c>
      <c r="H953" s="2" t="s">
        <v>2296</v>
      </c>
      <c r="I953" s="2" t="s">
        <v>35</v>
      </c>
      <c r="J953" s="2" t="s">
        <v>35</v>
      </c>
      <c r="K953" s="2" t="s">
        <v>35</v>
      </c>
      <c r="L953" s="2" t="s">
        <v>35</v>
      </c>
      <c r="M953" s="2" t="s">
        <v>35</v>
      </c>
      <c r="N953" s="3">
        <v>44749.486485601854</v>
      </c>
      <c r="O953" s="3">
        <v>44749.486677731482</v>
      </c>
      <c r="P953" s="2">
        <v>0</v>
      </c>
      <c r="Q953" s="2" t="s">
        <v>36</v>
      </c>
      <c r="R953" s="2" t="s">
        <v>38</v>
      </c>
      <c r="S953" s="2" t="s">
        <v>35</v>
      </c>
      <c r="T953" s="2" t="s">
        <v>35</v>
      </c>
      <c r="U953" s="2" t="s">
        <v>35</v>
      </c>
      <c r="V953" s="2" t="b">
        <v>0</v>
      </c>
      <c r="W953" s="2" t="s">
        <v>2284</v>
      </c>
      <c r="X953" s="2" t="s">
        <v>35</v>
      </c>
      <c r="Y953" s="2" t="s">
        <v>35</v>
      </c>
      <c r="Z953" s="2" t="s">
        <v>35</v>
      </c>
    </row>
    <row r="954" spans="1:26" x14ac:dyDescent="0.2">
      <c r="A954" s="2" t="s">
        <v>2297</v>
      </c>
      <c r="B954" s="2" t="b">
        <v>0</v>
      </c>
      <c r="C954" s="2" t="b">
        <v>0</v>
      </c>
      <c r="D954" s="2" t="b">
        <v>0</v>
      </c>
      <c r="E954" s="2" t="b">
        <v>0</v>
      </c>
      <c r="F954" s="2" t="s">
        <v>31</v>
      </c>
      <c r="G954" s="2" t="s">
        <v>2298</v>
      </c>
      <c r="H954" s="2" t="s">
        <v>2299</v>
      </c>
      <c r="I954" s="2" t="s">
        <v>35</v>
      </c>
      <c r="J954" s="2" t="s">
        <v>35</v>
      </c>
      <c r="K954" s="2" t="s">
        <v>35</v>
      </c>
      <c r="L954" s="2">
        <v>22</v>
      </c>
      <c r="M954" s="2">
        <v>12</v>
      </c>
      <c r="N954" s="3">
        <v>44749.487124525462</v>
      </c>
      <c r="O954" s="3">
        <v>44749.487895289349</v>
      </c>
      <c r="P954" s="2">
        <v>0</v>
      </c>
      <c r="Q954" s="2" t="s">
        <v>54</v>
      </c>
      <c r="R954" s="2" t="s">
        <v>38</v>
      </c>
      <c r="S954" s="2" t="s">
        <v>35</v>
      </c>
      <c r="T954" s="2" t="s">
        <v>35</v>
      </c>
      <c r="U954" s="2" t="s">
        <v>35</v>
      </c>
      <c r="V954" s="2" t="b">
        <v>0</v>
      </c>
      <c r="W954" s="2" t="s">
        <v>35</v>
      </c>
      <c r="X954" s="2" t="s">
        <v>35</v>
      </c>
      <c r="Y954" s="2" t="s">
        <v>35</v>
      </c>
      <c r="Z954" s="2" t="s">
        <v>35</v>
      </c>
    </row>
    <row r="955" spans="1:26" x14ac:dyDescent="0.2">
      <c r="A955" s="2" t="s">
        <v>2300</v>
      </c>
      <c r="B955" s="2" t="b">
        <v>0</v>
      </c>
      <c r="C955" s="2" t="b">
        <v>0</v>
      </c>
      <c r="D955" s="2" t="b">
        <v>0</v>
      </c>
      <c r="E955" s="2" t="b">
        <v>0</v>
      </c>
      <c r="F955" s="2" t="s">
        <v>31</v>
      </c>
      <c r="G955" s="2" t="s">
        <v>2301</v>
      </c>
      <c r="H955" s="2" t="s">
        <v>2302</v>
      </c>
      <c r="I955" s="2" t="s">
        <v>35</v>
      </c>
      <c r="J955" s="2" t="s">
        <v>35</v>
      </c>
      <c r="K955" s="2" t="s">
        <v>35</v>
      </c>
      <c r="L955" s="2">
        <v>43</v>
      </c>
      <c r="M955" s="2">
        <v>11</v>
      </c>
      <c r="N955" s="3">
        <v>44749.487983969906</v>
      </c>
      <c r="O955" s="3">
        <v>44749.488812129632</v>
      </c>
      <c r="P955" s="2">
        <v>0</v>
      </c>
      <c r="Q955" s="2" t="s">
        <v>54</v>
      </c>
      <c r="R955" s="2" t="s">
        <v>38</v>
      </c>
      <c r="S955" s="2" t="s">
        <v>35</v>
      </c>
      <c r="T955" s="2" t="s">
        <v>35</v>
      </c>
      <c r="U955" s="2" t="s">
        <v>35</v>
      </c>
      <c r="V955" s="2" t="b">
        <v>0</v>
      </c>
      <c r="W955" s="2" t="s">
        <v>35</v>
      </c>
      <c r="X955" s="2" t="s">
        <v>35</v>
      </c>
      <c r="Y955" s="2" t="s">
        <v>35</v>
      </c>
      <c r="Z955" s="2" t="s">
        <v>35</v>
      </c>
    </row>
    <row r="956" spans="1:26" x14ac:dyDescent="0.2">
      <c r="A956" s="2" t="s">
        <v>2303</v>
      </c>
      <c r="B956" s="2" t="b">
        <v>0</v>
      </c>
      <c r="C956" s="2" t="b">
        <v>0</v>
      </c>
      <c r="D956" s="2" t="b">
        <v>0</v>
      </c>
      <c r="E956" s="2" t="b">
        <v>0</v>
      </c>
      <c r="F956" s="2" t="s">
        <v>31</v>
      </c>
      <c r="G956" s="2" t="s">
        <v>2304</v>
      </c>
      <c r="H956" s="2" t="s">
        <v>2305</v>
      </c>
      <c r="I956" s="2" t="s">
        <v>2306</v>
      </c>
      <c r="J956" s="2" t="s">
        <v>35</v>
      </c>
      <c r="K956" s="2" t="s">
        <v>35</v>
      </c>
      <c r="L956" s="2" t="s">
        <v>35</v>
      </c>
      <c r="M956" s="2" t="s">
        <v>35</v>
      </c>
      <c r="N956" s="3">
        <v>44749.49033818287</v>
      </c>
      <c r="O956" s="3">
        <v>44749.490896377312</v>
      </c>
      <c r="P956" s="2">
        <v>0</v>
      </c>
      <c r="Q956" s="2" t="s">
        <v>36</v>
      </c>
      <c r="R956" s="2" t="s">
        <v>38</v>
      </c>
      <c r="S956" s="2" t="s">
        <v>35</v>
      </c>
      <c r="T956" s="2" t="s">
        <v>35</v>
      </c>
      <c r="U956" s="2" t="s">
        <v>35</v>
      </c>
      <c r="V956" s="2" t="b">
        <v>0</v>
      </c>
      <c r="W956" s="2" t="s">
        <v>35</v>
      </c>
      <c r="X956" s="2" t="s">
        <v>35</v>
      </c>
      <c r="Y956" s="2">
        <v>6</v>
      </c>
      <c r="Z956" s="2" t="s">
        <v>35</v>
      </c>
    </row>
    <row r="957" spans="1:26" x14ac:dyDescent="0.2">
      <c r="A957" s="2" t="s">
        <v>2307</v>
      </c>
      <c r="B957" s="2" t="b">
        <v>0</v>
      </c>
      <c r="C957" s="2" t="b">
        <v>0</v>
      </c>
      <c r="D957" s="2" t="b">
        <v>0</v>
      </c>
      <c r="E957" s="2" t="b">
        <v>0</v>
      </c>
      <c r="F957" s="2" t="s">
        <v>31</v>
      </c>
      <c r="G957" s="2" t="s">
        <v>2308</v>
      </c>
      <c r="H957" s="2" t="s">
        <v>2309</v>
      </c>
      <c r="I957" s="2" t="s">
        <v>35</v>
      </c>
      <c r="J957" s="2" t="s">
        <v>35</v>
      </c>
      <c r="K957" s="2" t="s">
        <v>35</v>
      </c>
      <c r="L957" s="2">
        <v>26</v>
      </c>
      <c r="M957" s="2">
        <v>20</v>
      </c>
      <c r="N957" s="3">
        <v>44749.49193827546</v>
      </c>
      <c r="O957" s="3">
        <v>44749.492443923613</v>
      </c>
      <c r="P957" s="2">
        <v>0</v>
      </c>
      <c r="Q957" s="2" t="s">
        <v>54</v>
      </c>
      <c r="R957" s="2" t="s">
        <v>38</v>
      </c>
      <c r="S957" s="2" t="s">
        <v>35</v>
      </c>
      <c r="T957" s="2" t="s">
        <v>35</v>
      </c>
      <c r="U957" s="2" t="s">
        <v>35</v>
      </c>
      <c r="V957" s="2" t="b">
        <v>0</v>
      </c>
      <c r="W957" s="2" t="s">
        <v>35</v>
      </c>
      <c r="X957" s="2" t="s">
        <v>35</v>
      </c>
      <c r="Y957" s="2" t="s">
        <v>35</v>
      </c>
      <c r="Z957" s="2" t="s">
        <v>35</v>
      </c>
    </row>
    <row r="958" spans="1:26" x14ac:dyDescent="0.2">
      <c r="A958" s="2" t="s">
        <v>2310</v>
      </c>
      <c r="B958" s="2" t="b">
        <v>0</v>
      </c>
      <c r="C958" s="2" t="b">
        <v>0</v>
      </c>
      <c r="D958" s="2" t="b">
        <v>0</v>
      </c>
      <c r="E958" s="2" t="b">
        <v>0</v>
      </c>
      <c r="F958" s="2" t="s">
        <v>31</v>
      </c>
      <c r="G958" s="2" t="s">
        <v>2311</v>
      </c>
      <c r="H958" s="2" t="s">
        <v>2312</v>
      </c>
      <c r="I958" s="2" t="s">
        <v>2274</v>
      </c>
      <c r="J958" s="2" t="s">
        <v>35</v>
      </c>
      <c r="K958" s="2" t="s">
        <v>35</v>
      </c>
      <c r="L958" s="2" t="s">
        <v>35</v>
      </c>
      <c r="M958" s="2" t="s">
        <v>35</v>
      </c>
      <c r="N958" s="3">
        <v>44749.49252240741</v>
      </c>
      <c r="O958" s="3">
        <v>44749.492810451389</v>
      </c>
      <c r="P958" s="2">
        <v>0</v>
      </c>
      <c r="Q958" s="2" t="s">
        <v>36</v>
      </c>
      <c r="R958" s="2" t="s">
        <v>38</v>
      </c>
      <c r="S958" s="2" t="s">
        <v>35</v>
      </c>
      <c r="T958" s="2" t="s">
        <v>35</v>
      </c>
      <c r="U958" s="2" t="s">
        <v>35</v>
      </c>
      <c r="V958" s="2" t="b">
        <v>0</v>
      </c>
      <c r="W958" s="2" t="s">
        <v>35</v>
      </c>
      <c r="X958" s="2" t="s">
        <v>35</v>
      </c>
      <c r="Y958" s="2">
        <v>6</v>
      </c>
      <c r="Z958" s="2" t="s">
        <v>35</v>
      </c>
    </row>
    <row r="959" spans="1:26" x14ac:dyDescent="0.2">
      <c r="A959" s="2" t="s">
        <v>2313</v>
      </c>
      <c r="B959" s="2" t="b">
        <v>0</v>
      </c>
      <c r="C959" s="2" t="b">
        <v>0</v>
      </c>
      <c r="D959" s="2" t="b">
        <v>0</v>
      </c>
      <c r="E959" s="2" t="b">
        <v>0</v>
      </c>
      <c r="F959" s="2" t="s">
        <v>31</v>
      </c>
      <c r="G959" s="2" t="s">
        <v>2314</v>
      </c>
      <c r="H959" s="2" t="s">
        <v>2315</v>
      </c>
      <c r="I959" s="2" t="s">
        <v>35</v>
      </c>
      <c r="J959" s="2" t="s">
        <v>35</v>
      </c>
      <c r="K959" s="2" t="s">
        <v>35</v>
      </c>
      <c r="L959" s="2">
        <v>14</v>
      </c>
      <c r="M959" s="2">
        <v>17</v>
      </c>
      <c r="N959" s="3">
        <v>44749.492855590281</v>
      </c>
      <c r="O959" s="3">
        <v>44749.493155416669</v>
      </c>
      <c r="P959" s="2">
        <v>0</v>
      </c>
      <c r="Q959" s="2" t="s">
        <v>54</v>
      </c>
      <c r="R959" s="2" t="s">
        <v>38</v>
      </c>
      <c r="S959" s="2" t="s">
        <v>35</v>
      </c>
      <c r="T959" s="2" t="s">
        <v>35</v>
      </c>
      <c r="U959" s="2" t="s">
        <v>35</v>
      </c>
      <c r="V959" s="2" t="b">
        <v>0</v>
      </c>
      <c r="W959" s="2" t="s">
        <v>35</v>
      </c>
      <c r="X959" s="2" t="s">
        <v>35</v>
      </c>
      <c r="Y959" s="2" t="s">
        <v>35</v>
      </c>
      <c r="Z959" s="2" t="s">
        <v>35</v>
      </c>
    </row>
    <row r="960" spans="1:26" x14ac:dyDescent="0.2">
      <c r="A960" s="2" t="s">
        <v>2316</v>
      </c>
      <c r="B960" s="2" t="b">
        <v>0</v>
      </c>
      <c r="C960" s="2" t="b">
        <v>0</v>
      </c>
      <c r="D960" s="2" t="b">
        <v>0</v>
      </c>
      <c r="E960" s="2" t="b">
        <v>0</v>
      </c>
      <c r="F960" s="2" t="s">
        <v>31</v>
      </c>
      <c r="G960" s="2" t="s">
        <v>2317</v>
      </c>
      <c r="H960" s="2" t="s">
        <v>2318</v>
      </c>
      <c r="I960" s="2" t="s">
        <v>2319</v>
      </c>
      <c r="J960" s="2" t="s">
        <v>35</v>
      </c>
      <c r="K960" s="2" t="s">
        <v>35</v>
      </c>
      <c r="L960" s="2" t="s">
        <v>35</v>
      </c>
      <c r="M960" s="2" t="s">
        <v>35</v>
      </c>
      <c r="N960" s="3">
        <v>44749.493664189817</v>
      </c>
      <c r="O960" s="3">
        <v>44749.494077974538</v>
      </c>
      <c r="P960" s="2">
        <v>0</v>
      </c>
      <c r="Q960" s="2" t="s">
        <v>36</v>
      </c>
      <c r="R960" s="2" t="s">
        <v>38</v>
      </c>
      <c r="S960" s="2" t="s">
        <v>35</v>
      </c>
      <c r="T960" s="2" t="s">
        <v>35</v>
      </c>
      <c r="U960" s="2" t="s">
        <v>35</v>
      </c>
      <c r="V960" s="2" t="b">
        <v>0</v>
      </c>
      <c r="W960" s="2" t="s">
        <v>35</v>
      </c>
      <c r="X960" s="2" t="s">
        <v>35</v>
      </c>
      <c r="Y960" s="2">
        <v>9</v>
      </c>
      <c r="Z960" s="2" t="s">
        <v>35</v>
      </c>
    </row>
    <row r="961" spans="1:26" x14ac:dyDescent="0.2">
      <c r="A961" s="2" t="s">
        <v>2320</v>
      </c>
      <c r="B961" s="2" t="b">
        <v>0</v>
      </c>
      <c r="C961" s="2" t="b">
        <v>0</v>
      </c>
      <c r="D961" s="2" t="b">
        <v>0</v>
      </c>
      <c r="E961" s="2" t="b">
        <v>0</v>
      </c>
      <c r="F961" s="2" t="s">
        <v>31</v>
      </c>
      <c r="G961" s="2" t="s">
        <v>2321</v>
      </c>
      <c r="H961" s="2" t="s">
        <v>2322</v>
      </c>
      <c r="I961" s="2" t="s">
        <v>35</v>
      </c>
      <c r="J961" s="2" t="s">
        <v>35</v>
      </c>
      <c r="K961" s="2" t="s">
        <v>35</v>
      </c>
      <c r="L961" s="2">
        <v>6</v>
      </c>
      <c r="M961" s="2">
        <v>13</v>
      </c>
      <c r="N961" s="3">
        <v>44749.494133275461</v>
      </c>
      <c r="O961" s="3">
        <v>44749.494403599536</v>
      </c>
      <c r="P961" s="2">
        <v>0</v>
      </c>
      <c r="Q961" s="2" t="s">
        <v>54</v>
      </c>
      <c r="R961" s="2" t="s">
        <v>38</v>
      </c>
      <c r="S961" s="2" t="s">
        <v>35</v>
      </c>
      <c r="T961" s="2" t="s">
        <v>35</v>
      </c>
      <c r="U961" s="2" t="s">
        <v>35</v>
      </c>
      <c r="V961" s="2" t="b">
        <v>0</v>
      </c>
      <c r="W961" s="2" t="s">
        <v>35</v>
      </c>
      <c r="X961" s="2" t="s">
        <v>35</v>
      </c>
      <c r="Y961" s="2" t="s">
        <v>35</v>
      </c>
      <c r="Z961" s="2" t="s">
        <v>35</v>
      </c>
    </row>
    <row r="962" spans="1:26" x14ac:dyDescent="0.2">
      <c r="A962" s="2" t="s">
        <v>2323</v>
      </c>
      <c r="B962" s="2" t="b">
        <v>0</v>
      </c>
      <c r="C962" s="2" t="b">
        <v>0</v>
      </c>
      <c r="D962" s="2" t="b">
        <v>0</v>
      </c>
      <c r="E962" s="2" t="b">
        <v>0</v>
      </c>
      <c r="F962" s="2" t="s">
        <v>31</v>
      </c>
      <c r="G962" s="2" t="s">
        <v>2324</v>
      </c>
      <c r="H962" s="2" t="s">
        <v>2325</v>
      </c>
      <c r="I962" s="2" t="s">
        <v>2326</v>
      </c>
      <c r="J962" s="2" t="s">
        <v>35</v>
      </c>
      <c r="K962" s="2" t="s">
        <v>35</v>
      </c>
      <c r="L962" s="2" t="s">
        <v>35</v>
      </c>
      <c r="M962" s="2" t="s">
        <v>35</v>
      </c>
      <c r="N962" s="3">
        <v>44749.49478108796</v>
      </c>
      <c r="O962" s="3">
        <v>44749.49503111111</v>
      </c>
      <c r="P962" s="2">
        <v>0</v>
      </c>
      <c r="Q962" s="2" t="s">
        <v>36</v>
      </c>
      <c r="R962" s="2" t="s">
        <v>38</v>
      </c>
      <c r="S962" s="2" t="s">
        <v>35</v>
      </c>
      <c r="T962" s="2" t="s">
        <v>35</v>
      </c>
      <c r="U962" s="2" t="s">
        <v>35</v>
      </c>
      <c r="V962" s="2" t="b">
        <v>0</v>
      </c>
      <c r="W962" s="2" t="s">
        <v>35</v>
      </c>
      <c r="X962" s="2" t="s">
        <v>35</v>
      </c>
      <c r="Y962" s="2">
        <v>7</v>
      </c>
      <c r="Z962" s="2" t="s">
        <v>35</v>
      </c>
    </row>
    <row r="963" spans="1:26" x14ac:dyDescent="0.2">
      <c r="A963" s="2" t="s">
        <v>2327</v>
      </c>
      <c r="B963" s="2" t="b">
        <v>0</v>
      </c>
      <c r="C963" s="2" t="b">
        <v>0</v>
      </c>
      <c r="D963" s="2" t="b">
        <v>0</v>
      </c>
      <c r="E963" s="2" t="b">
        <v>0</v>
      </c>
      <c r="F963" s="2" t="s">
        <v>31</v>
      </c>
      <c r="G963" s="2" t="s">
        <v>2328</v>
      </c>
      <c r="H963" s="2" t="s">
        <v>2329</v>
      </c>
      <c r="I963" s="2" t="s">
        <v>35</v>
      </c>
      <c r="J963" s="2" t="s">
        <v>35</v>
      </c>
      <c r="K963" s="2" t="s">
        <v>35</v>
      </c>
      <c r="L963" s="2" t="s">
        <v>35</v>
      </c>
      <c r="M963" s="2" t="s">
        <v>35</v>
      </c>
      <c r="N963" s="3">
        <v>44749.495586226854</v>
      </c>
      <c r="O963" s="3">
        <v>44749.495715358797</v>
      </c>
      <c r="P963" s="2">
        <v>0</v>
      </c>
      <c r="Q963" s="2" t="s">
        <v>36</v>
      </c>
      <c r="R963" s="2" t="s">
        <v>38</v>
      </c>
      <c r="S963" s="2" t="s">
        <v>35</v>
      </c>
      <c r="T963" s="2" t="s">
        <v>35</v>
      </c>
      <c r="U963" s="2" t="s">
        <v>35</v>
      </c>
      <c r="V963" s="2" t="b">
        <v>0</v>
      </c>
      <c r="W963" s="2" t="s">
        <v>35</v>
      </c>
      <c r="X963" s="2" t="s">
        <v>35</v>
      </c>
      <c r="Y963" s="2" t="s">
        <v>35</v>
      </c>
      <c r="Z963" s="2">
        <v>5</v>
      </c>
    </row>
    <row r="964" spans="1:26" x14ac:dyDescent="0.2">
      <c r="A964" s="2" t="s">
        <v>2330</v>
      </c>
      <c r="B964" s="2" t="b">
        <v>0</v>
      </c>
      <c r="C964" s="2" t="b">
        <v>0</v>
      </c>
      <c r="D964" s="2" t="b">
        <v>0</v>
      </c>
      <c r="E964" s="2" t="b">
        <v>0</v>
      </c>
      <c r="F964" s="2" t="s">
        <v>31</v>
      </c>
      <c r="G964" s="2" t="s">
        <v>2331</v>
      </c>
      <c r="H964" s="2" t="s">
        <v>2332</v>
      </c>
      <c r="I964" s="2" t="s">
        <v>2333</v>
      </c>
      <c r="J964" s="2" t="s">
        <v>35</v>
      </c>
      <c r="K964" s="2" t="s">
        <v>35</v>
      </c>
      <c r="L964" s="2" t="s">
        <v>35</v>
      </c>
      <c r="M964" s="2" t="s">
        <v>35</v>
      </c>
      <c r="N964" s="3">
        <v>44749.49820804398</v>
      </c>
      <c r="O964" s="3">
        <v>44749.498760439812</v>
      </c>
      <c r="P964" s="2">
        <v>0</v>
      </c>
      <c r="Q964" s="2" t="s">
        <v>36</v>
      </c>
      <c r="R964" s="2" t="s">
        <v>38</v>
      </c>
      <c r="S964" s="2" t="s">
        <v>35</v>
      </c>
      <c r="T964" s="2" t="s">
        <v>35</v>
      </c>
      <c r="U964" s="2" t="s">
        <v>35</v>
      </c>
      <c r="V964" s="2" t="b">
        <v>0</v>
      </c>
      <c r="W964" s="2" t="s">
        <v>35</v>
      </c>
      <c r="X964" s="2" t="s">
        <v>35</v>
      </c>
      <c r="Y964" s="2">
        <v>8</v>
      </c>
      <c r="Z964" s="2" t="s">
        <v>35</v>
      </c>
    </row>
    <row r="965" spans="1:26" x14ac:dyDescent="0.2">
      <c r="A965" s="2" t="s">
        <v>2334</v>
      </c>
      <c r="B965" s="2" t="b">
        <v>0</v>
      </c>
      <c r="C965" s="2" t="b">
        <v>0</v>
      </c>
      <c r="D965" s="2" t="b">
        <v>0</v>
      </c>
      <c r="E965" s="2" t="b">
        <v>0</v>
      </c>
      <c r="F965" s="2" t="s">
        <v>31</v>
      </c>
      <c r="G965" s="2" t="s">
        <v>2335</v>
      </c>
      <c r="H965" s="2" t="s">
        <v>2336</v>
      </c>
      <c r="I965" s="2" t="s">
        <v>35</v>
      </c>
      <c r="J965" s="2" t="s">
        <v>35</v>
      </c>
      <c r="K965" s="2" t="s">
        <v>35</v>
      </c>
      <c r="L965" s="2">
        <v>45</v>
      </c>
      <c r="M965" s="2">
        <v>18</v>
      </c>
      <c r="N965" s="3">
        <v>44749.499211388887</v>
      </c>
      <c r="O965" s="3">
        <v>44749.500528703706</v>
      </c>
      <c r="P965" s="2">
        <v>0</v>
      </c>
      <c r="Q965" s="2" t="s">
        <v>54</v>
      </c>
      <c r="R965" s="2" t="s">
        <v>38</v>
      </c>
      <c r="S965" s="2" t="s">
        <v>35</v>
      </c>
      <c r="T965" s="2" t="s">
        <v>35</v>
      </c>
      <c r="U965" s="2" t="s">
        <v>35</v>
      </c>
      <c r="V965" s="2" t="b">
        <v>0</v>
      </c>
      <c r="W965" s="2" t="s">
        <v>35</v>
      </c>
      <c r="X965" s="2" t="s">
        <v>35</v>
      </c>
      <c r="Y965" s="2" t="s">
        <v>35</v>
      </c>
      <c r="Z965" s="2" t="s">
        <v>35</v>
      </c>
    </row>
    <row r="966" spans="1:26" x14ac:dyDescent="0.2">
      <c r="A966" s="2" t="s">
        <v>2337</v>
      </c>
      <c r="B966" s="2" t="b">
        <v>0</v>
      </c>
      <c r="C966" s="2" t="b">
        <v>0</v>
      </c>
      <c r="D966" s="2" t="b">
        <v>0</v>
      </c>
      <c r="E966" s="2" t="b">
        <v>0</v>
      </c>
      <c r="F966" s="2" t="s">
        <v>31</v>
      </c>
      <c r="G966" s="2" t="s">
        <v>2338</v>
      </c>
      <c r="H966" s="2" t="s">
        <v>2339</v>
      </c>
      <c r="I966" s="2" t="s">
        <v>2333</v>
      </c>
      <c r="J966" s="2" t="s">
        <v>35</v>
      </c>
      <c r="K966" s="2" t="s">
        <v>35</v>
      </c>
      <c r="L966" s="2" t="s">
        <v>35</v>
      </c>
      <c r="M966" s="2" t="s">
        <v>35</v>
      </c>
      <c r="N966" s="3">
        <v>44749.500526979165</v>
      </c>
      <c r="O966" s="3">
        <v>44749.500876273145</v>
      </c>
      <c r="P966" s="2">
        <v>0</v>
      </c>
      <c r="Q966" s="2" t="s">
        <v>36</v>
      </c>
      <c r="R966" s="2" t="s">
        <v>38</v>
      </c>
      <c r="S966" s="2" t="s">
        <v>35</v>
      </c>
      <c r="T966" s="2" t="s">
        <v>35</v>
      </c>
      <c r="U966" s="2" t="s">
        <v>35</v>
      </c>
      <c r="V966" s="2" t="b">
        <v>0</v>
      </c>
      <c r="W966" s="2" t="s">
        <v>35</v>
      </c>
      <c r="X966" s="2" t="s">
        <v>35</v>
      </c>
      <c r="Y966" s="2">
        <v>15</v>
      </c>
      <c r="Z966" s="2">
        <v>2</v>
      </c>
    </row>
    <row r="967" spans="1:26" x14ac:dyDescent="0.2">
      <c r="A967" s="2" t="s">
        <v>9301</v>
      </c>
      <c r="B967" s="2" t="b">
        <v>0</v>
      </c>
      <c r="C967" s="2" t="b">
        <v>0</v>
      </c>
      <c r="D967" s="2" t="b">
        <v>0</v>
      </c>
      <c r="E967" s="2" t="b">
        <v>0</v>
      </c>
      <c r="F967" s="2" t="s">
        <v>121</v>
      </c>
      <c r="G967" s="2" t="s">
        <v>149</v>
      </c>
      <c r="H967" s="2" t="s">
        <v>2339</v>
      </c>
      <c r="I967" s="2" t="s">
        <v>35</v>
      </c>
      <c r="J967" s="2" t="s">
        <v>35</v>
      </c>
      <c r="K967" s="2" t="s">
        <v>35</v>
      </c>
      <c r="L967" s="2" t="s">
        <v>35</v>
      </c>
      <c r="M967" s="2" t="s">
        <v>35</v>
      </c>
      <c r="N967" s="3">
        <v>44749.500527094904</v>
      </c>
      <c r="O967" s="3">
        <v>44749.500528055556</v>
      </c>
      <c r="P967" s="2">
        <v>0</v>
      </c>
      <c r="Q967" s="2" t="s">
        <v>36</v>
      </c>
      <c r="R967" s="2" t="s">
        <v>38</v>
      </c>
      <c r="S967" s="2" t="s">
        <v>35</v>
      </c>
      <c r="T967" s="2" t="s">
        <v>35</v>
      </c>
      <c r="U967" s="2" t="s">
        <v>35</v>
      </c>
      <c r="V967" s="2" t="b">
        <v>0</v>
      </c>
      <c r="W967" s="2" t="s">
        <v>35</v>
      </c>
      <c r="X967" s="2" t="s">
        <v>35</v>
      </c>
      <c r="Y967" s="2" t="s">
        <v>35</v>
      </c>
      <c r="Z967" s="2" t="s">
        <v>35</v>
      </c>
    </row>
    <row r="968" spans="1:26" x14ac:dyDescent="0.2">
      <c r="A968" s="2" t="s">
        <v>2340</v>
      </c>
      <c r="B968" s="2" t="b">
        <v>0</v>
      </c>
      <c r="C968" s="2" t="b">
        <v>0</v>
      </c>
      <c r="D968" s="2" t="b">
        <v>0</v>
      </c>
      <c r="E968" s="2" t="b">
        <v>0</v>
      </c>
      <c r="F968" s="2" t="s">
        <v>31</v>
      </c>
      <c r="G968" s="2" t="s">
        <v>2341</v>
      </c>
      <c r="H968" s="2" t="s">
        <v>2342</v>
      </c>
      <c r="I968" s="2" t="s">
        <v>2267</v>
      </c>
      <c r="J968" s="2" t="s">
        <v>35</v>
      </c>
      <c r="K968" s="2" t="s">
        <v>35</v>
      </c>
      <c r="L968" s="2">
        <v>38</v>
      </c>
      <c r="M968" s="2">
        <v>13</v>
      </c>
      <c r="N968" s="3">
        <v>44749.500921481478</v>
      </c>
      <c r="O968" s="3">
        <v>44749.501724953705</v>
      </c>
      <c r="P968" s="2">
        <v>0</v>
      </c>
      <c r="Q968" s="2" t="s">
        <v>54</v>
      </c>
      <c r="R968" s="2" t="s">
        <v>38</v>
      </c>
      <c r="S968" s="2" t="s">
        <v>35</v>
      </c>
      <c r="T968" s="2" t="s">
        <v>35</v>
      </c>
      <c r="U968" s="2" t="s">
        <v>35</v>
      </c>
      <c r="V968" s="2" t="b">
        <v>1</v>
      </c>
      <c r="W968" s="2" t="s">
        <v>35</v>
      </c>
      <c r="X968" s="2" t="s">
        <v>35</v>
      </c>
      <c r="Y968" s="2" t="s">
        <v>35</v>
      </c>
      <c r="Z968" s="2" t="s">
        <v>35</v>
      </c>
    </row>
    <row r="969" spans="1:26" x14ac:dyDescent="0.2">
      <c r="A969" s="2" t="s">
        <v>2343</v>
      </c>
      <c r="B969" s="2" t="b">
        <v>0</v>
      </c>
      <c r="C969" s="2" t="b">
        <v>0</v>
      </c>
      <c r="D969" s="2" t="b">
        <v>0</v>
      </c>
      <c r="E969" s="2" t="b">
        <v>0</v>
      </c>
      <c r="F969" s="2" t="s">
        <v>31</v>
      </c>
      <c r="G969" s="2" t="s">
        <v>2344</v>
      </c>
      <c r="H969" s="2" t="s">
        <v>2345</v>
      </c>
      <c r="I969" s="2" t="s">
        <v>2246</v>
      </c>
      <c r="J969" s="2" t="s">
        <v>35</v>
      </c>
      <c r="K969" s="2" t="s">
        <v>35</v>
      </c>
      <c r="L969" s="2" t="s">
        <v>35</v>
      </c>
      <c r="M969" s="2" t="s">
        <v>35</v>
      </c>
      <c r="N969" s="3">
        <v>44749.501805324071</v>
      </c>
      <c r="O969" s="3">
        <v>44749.50236888889</v>
      </c>
      <c r="P969" s="2">
        <v>0</v>
      </c>
      <c r="Q969" s="2" t="s">
        <v>36</v>
      </c>
      <c r="R969" s="2" t="s">
        <v>38</v>
      </c>
      <c r="S969" s="2" t="s">
        <v>35</v>
      </c>
      <c r="T969" s="2" t="s">
        <v>35</v>
      </c>
      <c r="U969" s="2" t="s">
        <v>35</v>
      </c>
      <c r="V969" s="2" t="b">
        <v>0</v>
      </c>
      <c r="W969" s="2" t="s">
        <v>35</v>
      </c>
      <c r="X969" s="2" t="s">
        <v>35</v>
      </c>
      <c r="Y969" s="2">
        <v>7</v>
      </c>
      <c r="Z969" s="2" t="s">
        <v>35</v>
      </c>
    </row>
    <row r="970" spans="1:26" x14ac:dyDescent="0.2">
      <c r="A970" s="2" t="s">
        <v>2346</v>
      </c>
      <c r="B970" s="2" t="b">
        <v>0</v>
      </c>
      <c r="C970" s="2" t="b">
        <v>0</v>
      </c>
      <c r="D970" s="2" t="b">
        <v>0</v>
      </c>
      <c r="E970" s="2" t="b">
        <v>0</v>
      </c>
      <c r="F970" s="2" t="s">
        <v>31</v>
      </c>
      <c r="G970" s="2" t="s">
        <v>149</v>
      </c>
      <c r="H970" s="2" t="s">
        <v>2347</v>
      </c>
      <c r="I970" s="2" t="s">
        <v>35</v>
      </c>
      <c r="J970" s="2" t="s">
        <v>35</v>
      </c>
      <c r="K970" s="2" t="s">
        <v>35</v>
      </c>
      <c r="L970" s="2" t="s">
        <v>35</v>
      </c>
      <c r="M970" s="2" t="s">
        <v>35</v>
      </c>
      <c r="N970" s="3">
        <v>44749.503088101854</v>
      </c>
      <c r="O970" s="3">
        <v>44749.503206793983</v>
      </c>
      <c r="P970" s="2">
        <v>0</v>
      </c>
      <c r="Q970" s="2" t="s">
        <v>36</v>
      </c>
      <c r="R970" s="2" t="s">
        <v>38</v>
      </c>
      <c r="S970" s="2" t="s">
        <v>35</v>
      </c>
      <c r="T970" s="2" t="s">
        <v>35</v>
      </c>
      <c r="U970" s="2" t="s">
        <v>35</v>
      </c>
      <c r="V970" s="2" t="b">
        <v>0</v>
      </c>
      <c r="W970" s="2" t="s">
        <v>35</v>
      </c>
      <c r="X970" s="2" t="s">
        <v>35</v>
      </c>
      <c r="Y970" s="2" t="s">
        <v>35</v>
      </c>
      <c r="Z970" s="2">
        <v>2</v>
      </c>
    </row>
    <row r="971" spans="1:26" x14ac:dyDescent="0.2">
      <c r="A971" s="2" t="s">
        <v>2348</v>
      </c>
      <c r="B971" s="2" t="b">
        <v>0</v>
      </c>
      <c r="C971" s="2" t="b">
        <v>0</v>
      </c>
      <c r="D971" s="2" t="b">
        <v>0</v>
      </c>
      <c r="E971" s="2" t="b">
        <v>0</v>
      </c>
      <c r="F971" s="2" t="s">
        <v>31</v>
      </c>
      <c r="G971" s="2" t="s">
        <v>2349</v>
      </c>
      <c r="H971" s="2" t="s">
        <v>2350</v>
      </c>
      <c r="I971" s="2" t="s">
        <v>35</v>
      </c>
      <c r="J971" s="2" t="s">
        <v>35</v>
      </c>
      <c r="K971" s="2" t="s">
        <v>35</v>
      </c>
      <c r="L971" s="2" t="s">
        <v>35</v>
      </c>
      <c r="M971" s="2" t="s">
        <v>35</v>
      </c>
      <c r="N971" s="3">
        <v>44749.503806157409</v>
      </c>
      <c r="O971" s="3">
        <v>44749.503949733793</v>
      </c>
      <c r="P971" s="2">
        <v>0</v>
      </c>
      <c r="Q971" s="2" t="s">
        <v>36</v>
      </c>
      <c r="R971" s="2" t="s">
        <v>38</v>
      </c>
      <c r="S971" s="2" t="s">
        <v>35</v>
      </c>
      <c r="T971" s="2" t="s">
        <v>35</v>
      </c>
      <c r="U971" s="2" t="s">
        <v>35</v>
      </c>
      <c r="V971" s="2" t="b">
        <v>0</v>
      </c>
      <c r="W971" s="2" t="s">
        <v>35</v>
      </c>
      <c r="X971" s="2" t="s">
        <v>35</v>
      </c>
      <c r="Y971" s="2" t="s">
        <v>35</v>
      </c>
      <c r="Z971" s="2">
        <v>3</v>
      </c>
    </row>
    <row r="972" spans="1:26" x14ac:dyDescent="0.2">
      <c r="A972" s="2" t="s">
        <v>2351</v>
      </c>
      <c r="B972" s="2" t="b">
        <v>0</v>
      </c>
      <c r="C972" s="2" t="b">
        <v>0</v>
      </c>
      <c r="D972" s="2" t="b">
        <v>0</v>
      </c>
      <c r="E972" s="2" t="b">
        <v>0</v>
      </c>
      <c r="F972" s="2" t="s">
        <v>31</v>
      </c>
      <c r="G972" s="2" t="s">
        <v>2352</v>
      </c>
      <c r="H972" s="2" t="s">
        <v>2353</v>
      </c>
      <c r="I972" s="2" t="s">
        <v>2354</v>
      </c>
      <c r="J972" s="2" t="s">
        <v>35</v>
      </c>
      <c r="K972" s="2" t="s">
        <v>35</v>
      </c>
      <c r="L972" s="2" t="s">
        <v>35</v>
      </c>
      <c r="M972" s="2" t="s">
        <v>35</v>
      </c>
      <c r="N972" s="3">
        <v>44749.504560451387</v>
      </c>
      <c r="O972" s="3">
        <v>44749.505169131946</v>
      </c>
      <c r="P972" s="2">
        <v>0</v>
      </c>
      <c r="Q972" s="2" t="s">
        <v>36</v>
      </c>
      <c r="R972" s="2" t="s">
        <v>38</v>
      </c>
      <c r="S972" s="2" t="s">
        <v>35</v>
      </c>
      <c r="T972" s="2" t="s">
        <v>35</v>
      </c>
      <c r="U972" s="2" t="s">
        <v>35</v>
      </c>
      <c r="V972" s="2" t="b">
        <v>0</v>
      </c>
      <c r="W972" s="2" t="s">
        <v>35</v>
      </c>
      <c r="X972" s="2" t="s">
        <v>35</v>
      </c>
      <c r="Y972" s="2">
        <v>9</v>
      </c>
      <c r="Z972" s="2" t="s">
        <v>35</v>
      </c>
    </row>
    <row r="973" spans="1:26" x14ac:dyDescent="0.2">
      <c r="A973" s="2" t="s">
        <v>9302</v>
      </c>
      <c r="B973" s="2" t="b">
        <v>0</v>
      </c>
      <c r="C973" s="2" t="b">
        <v>0</v>
      </c>
      <c r="D973" s="2" t="b">
        <v>0</v>
      </c>
      <c r="E973" s="2" t="b">
        <v>0</v>
      </c>
      <c r="F973" s="2" t="s">
        <v>121</v>
      </c>
      <c r="G973" s="2" t="s">
        <v>149</v>
      </c>
      <c r="H973" s="2" t="s">
        <v>2356</v>
      </c>
      <c r="I973" s="2" t="s">
        <v>35</v>
      </c>
      <c r="J973" s="2" t="s">
        <v>35</v>
      </c>
      <c r="K973" s="2" t="s">
        <v>35</v>
      </c>
      <c r="L973" s="2" t="s">
        <v>35</v>
      </c>
      <c r="M973" s="2" t="s">
        <v>35</v>
      </c>
      <c r="N973" s="3">
        <v>44749.505494016201</v>
      </c>
      <c r="O973" s="3">
        <v>44749.505494120371</v>
      </c>
      <c r="P973" s="2">
        <v>0</v>
      </c>
      <c r="Q973" s="2" t="s">
        <v>35</v>
      </c>
      <c r="R973" s="2" t="s">
        <v>38</v>
      </c>
      <c r="S973" s="2" t="s">
        <v>35</v>
      </c>
      <c r="T973" s="2" t="s">
        <v>35</v>
      </c>
      <c r="U973" s="2" t="s">
        <v>35</v>
      </c>
      <c r="V973" s="2" t="b">
        <v>0</v>
      </c>
      <c r="W973" s="2" t="s">
        <v>35</v>
      </c>
      <c r="X973" s="2" t="s">
        <v>35</v>
      </c>
      <c r="Y973" s="2" t="s">
        <v>35</v>
      </c>
      <c r="Z973" s="2" t="s">
        <v>35</v>
      </c>
    </row>
    <row r="974" spans="1:26" x14ac:dyDescent="0.2">
      <c r="A974" s="2" t="s">
        <v>2355</v>
      </c>
      <c r="B974" s="2" t="b">
        <v>0</v>
      </c>
      <c r="C974" s="2" t="b">
        <v>0</v>
      </c>
      <c r="D974" s="2" t="b">
        <v>0</v>
      </c>
      <c r="E974" s="2" t="b">
        <v>0</v>
      </c>
      <c r="F974" s="2" t="s">
        <v>31</v>
      </c>
      <c r="G974" s="2" t="s">
        <v>149</v>
      </c>
      <c r="H974" s="2" t="s">
        <v>2356</v>
      </c>
      <c r="I974" s="2" t="s">
        <v>662</v>
      </c>
      <c r="J974" s="2" t="s">
        <v>35</v>
      </c>
      <c r="K974" s="2" t="s">
        <v>35</v>
      </c>
      <c r="L974" s="2" t="s">
        <v>35</v>
      </c>
      <c r="M974" s="2" t="s">
        <v>35</v>
      </c>
      <c r="N974" s="3">
        <v>44749.505536215278</v>
      </c>
      <c r="O974" s="3">
        <v>44749.505833483796</v>
      </c>
      <c r="P974" s="2">
        <v>0</v>
      </c>
      <c r="Q974" s="2" t="s">
        <v>36</v>
      </c>
      <c r="R974" s="2" t="s">
        <v>38</v>
      </c>
      <c r="S974" s="2" t="s">
        <v>35</v>
      </c>
      <c r="T974" s="2" t="s">
        <v>35</v>
      </c>
      <c r="U974" s="2" t="s">
        <v>35</v>
      </c>
      <c r="V974" s="2" t="b">
        <v>0</v>
      </c>
      <c r="W974" s="2" t="s">
        <v>35</v>
      </c>
      <c r="X974" s="2" t="s">
        <v>35</v>
      </c>
      <c r="Y974" s="2">
        <v>5</v>
      </c>
      <c r="Z974" s="2" t="s">
        <v>35</v>
      </c>
    </row>
    <row r="975" spans="1:26" x14ac:dyDescent="0.2">
      <c r="A975" s="2" t="s">
        <v>9303</v>
      </c>
      <c r="B975" s="2" t="b">
        <v>0</v>
      </c>
      <c r="C975" s="2" t="b">
        <v>0</v>
      </c>
      <c r="D975" s="2" t="b">
        <v>0</v>
      </c>
      <c r="E975" s="2" t="b">
        <v>0</v>
      </c>
      <c r="F975" s="2" t="s">
        <v>121</v>
      </c>
      <c r="G975" s="2" t="s">
        <v>149</v>
      </c>
      <c r="H975" s="2" t="s">
        <v>2358</v>
      </c>
      <c r="I975" s="2" t="s">
        <v>35</v>
      </c>
      <c r="J975" s="2" t="s">
        <v>35</v>
      </c>
      <c r="K975" s="2" t="s">
        <v>35</v>
      </c>
      <c r="L975" s="2" t="s">
        <v>35</v>
      </c>
      <c r="M975" s="2" t="s">
        <v>35</v>
      </c>
      <c r="N975" s="3">
        <v>44749.507722939816</v>
      </c>
      <c r="O975" s="3">
        <v>44749.50772306713</v>
      </c>
      <c r="P975" s="2">
        <v>0</v>
      </c>
      <c r="Q975" s="2" t="s">
        <v>35</v>
      </c>
      <c r="R975" s="2" t="s">
        <v>38</v>
      </c>
      <c r="S975" s="2" t="s">
        <v>35</v>
      </c>
      <c r="T975" s="2" t="s">
        <v>35</v>
      </c>
      <c r="U975" s="2" t="s">
        <v>35</v>
      </c>
      <c r="V975" s="2" t="b">
        <v>0</v>
      </c>
      <c r="W975" s="2" t="s">
        <v>35</v>
      </c>
      <c r="X975" s="2" t="s">
        <v>35</v>
      </c>
      <c r="Y975" s="2" t="s">
        <v>35</v>
      </c>
      <c r="Z975" s="2" t="s">
        <v>35</v>
      </c>
    </row>
    <row r="976" spans="1:26" x14ac:dyDescent="0.2">
      <c r="A976" s="2" t="s">
        <v>9304</v>
      </c>
      <c r="B976" s="2" t="b">
        <v>0</v>
      </c>
      <c r="C976" s="2" t="b">
        <v>0</v>
      </c>
      <c r="D976" s="2" t="b">
        <v>0</v>
      </c>
      <c r="E976" s="2" t="b">
        <v>0</v>
      </c>
      <c r="F976" s="2" t="s">
        <v>121</v>
      </c>
      <c r="G976" s="2" t="s">
        <v>149</v>
      </c>
      <c r="H976" s="2" t="s">
        <v>2358</v>
      </c>
      <c r="I976" s="2" t="s">
        <v>35</v>
      </c>
      <c r="J976" s="2" t="s">
        <v>35</v>
      </c>
      <c r="K976" s="2" t="s">
        <v>35</v>
      </c>
      <c r="L976" s="2" t="s">
        <v>35</v>
      </c>
      <c r="M976" s="2" t="s">
        <v>35</v>
      </c>
      <c r="N976" s="3">
        <v>44749.507737118052</v>
      </c>
      <c r="O976" s="3">
        <v>44749.50773715278</v>
      </c>
      <c r="P976" s="2">
        <v>0</v>
      </c>
      <c r="Q976" s="2" t="s">
        <v>54</v>
      </c>
      <c r="R976" s="2" t="s">
        <v>38</v>
      </c>
      <c r="S976" s="2" t="s">
        <v>35</v>
      </c>
      <c r="T976" s="2" t="s">
        <v>35</v>
      </c>
      <c r="U976" s="2" t="s">
        <v>35</v>
      </c>
      <c r="V976" s="2" t="b">
        <v>0</v>
      </c>
      <c r="W976" s="2" t="s">
        <v>35</v>
      </c>
      <c r="X976" s="2" t="s">
        <v>35</v>
      </c>
      <c r="Y976" s="2" t="s">
        <v>35</v>
      </c>
      <c r="Z976" s="2" t="s">
        <v>35</v>
      </c>
    </row>
    <row r="977" spans="1:26" x14ac:dyDescent="0.2">
      <c r="A977" s="2" t="s">
        <v>2357</v>
      </c>
      <c r="B977" s="2" t="b">
        <v>0</v>
      </c>
      <c r="C977" s="2" t="b">
        <v>0</v>
      </c>
      <c r="D977" s="2" t="b">
        <v>0</v>
      </c>
      <c r="E977" s="2" t="b">
        <v>0</v>
      </c>
      <c r="F977" s="2" t="s">
        <v>31</v>
      </c>
      <c r="G977" s="2" t="s">
        <v>149</v>
      </c>
      <c r="H977" s="2" t="s">
        <v>2358</v>
      </c>
      <c r="I977" s="2" t="s">
        <v>35</v>
      </c>
      <c r="J977" s="2" t="s">
        <v>35</v>
      </c>
      <c r="K977" s="2" t="s">
        <v>35</v>
      </c>
      <c r="L977" s="2">
        <v>12</v>
      </c>
      <c r="M977" s="2">
        <v>16</v>
      </c>
      <c r="N977" s="3">
        <v>44749.507838136575</v>
      </c>
      <c r="O977" s="3">
        <v>44749.507980706017</v>
      </c>
      <c r="P977" s="2">
        <v>0</v>
      </c>
      <c r="Q977" s="2" t="s">
        <v>54</v>
      </c>
      <c r="R977" s="2" t="s">
        <v>38</v>
      </c>
      <c r="S977" s="2" t="s">
        <v>35</v>
      </c>
      <c r="T977" s="2" t="s">
        <v>35</v>
      </c>
      <c r="U977" s="2" t="s">
        <v>35</v>
      </c>
      <c r="V977" s="2" t="b">
        <v>0</v>
      </c>
      <c r="W977" s="2" t="s">
        <v>35</v>
      </c>
      <c r="X977" s="2" t="s">
        <v>35</v>
      </c>
      <c r="Y977" s="2" t="s">
        <v>35</v>
      </c>
      <c r="Z977" s="2" t="s">
        <v>35</v>
      </c>
    </row>
    <row r="978" spans="1:26" x14ac:dyDescent="0.2">
      <c r="A978" s="2" t="s">
        <v>2359</v>
      </c>
      <c r="B978" s="2" t="b">
        <v>0</v>
      </c>
      <c r="C978" s="2" t="b">
        <v>0</v>
      </c>
      <c r="D978" s="2" t="b">
        <v>0</v>
      </c>
      <c r="E978" s="2" t="b">
        <v>0</v>
      </c>
      <c r="F978" s="2" t="s">
        <v>31</v>
      </c>
      <c r="G978" s="2" t="s">
        <v>2360</v>
      </c>
      <c r="H978" s="2" t="s">
        <v>2361</v>
      </c>
      <c r="I978" s="2" t="s">
        <v>35</v>
      </c>
      <c r="J978" s="2" t="s">
        <v>35</v>
      </c>
      <c r="K978" s="2" t="s">
        <v>35</v>
      </c>
      <c r="L978" s="2" t="s">
        <v>35</v>
      </c>
      <c r="M978" s="2" t="s">
        <v>35</v>
      </c>
      <c r="N978" s="3">
        <v>44749.508286597222</v>
      </c>
      <c r="O978" s="3">
        <v>44749.508409594906</v>
      </c>
      <c r="P978" s="2">
        <v>0</v>
      </c>
      <c r="Q978" s="2" t="s">
        <v>36</v>
      </c>
      <c r="R978" s="2" t="s">
        <v>38</v>
      </c>
      <c r="S978" s="2" t="s">
        <v>35</v>
      </c>
      <c r="T978" s="2" t="s">
        <v>35</v>
      </c>
      <c r="U978" s="2" t="s">
        <v>35</v>
      </c>
      <c r="V978" s="2" t="b">
        <v>0</v>
      </c>
      <c r="W978" s="2" t="s">
        <v>35</v>
      </c>
      <c r="X978" s="2" t="s">
        <v>35</v>
      </c>
      <c r="Y978" s="2" t="s">
        <v>35</v>
      </c>
      <c r="Z978" s="2">
        <v>2</v>
      </c>
    </row>
    <row r="979" spans="1:26" x14ac:dyDescent="0.2">
      <c r="A979" s="2" t="s">
        <v>2362</v>
      </c>
      <c r="B979" s="2" t="b">
        <v>0</v>
      </c>
      <c r="C979" s="2" t="b">
        <v>0</v>
      </c>
      <c r="D979" s="2" t="b">
        <v>0</v>
      </c>
      <c r="E979" s="2" t="b">
        <v>0</v>
      </c>
      <c r="F979" s="2" t="s">
        <v>31</v>
      </c>
      <c r="G979" s="2" t="s">
        <v>2363</v>
      </c>
      <c r="H979" s="2" t="s">
        <v>2364</v>
      </c>
      <c r="I979" s="2" t="s">
        <v>2354</v>
      </c>
      <c r="J979" s="2" t="s">
        <v>35</v>
      </c>
      <c r="K979" s="2" t="s">
        <v>35</v>
      </c>
      <c r="L979" s="2" t="s">
        <v>35</v>
      </c>
      <c r="M979" s="2" t="s">
        <v>35</v>
      </c>
      <c r="N979" s="3">
        <v>44749.508897453707</v>
      </c>
      <c r="O979" s="3">
        <v>44749.509457662039</v>
      </c>
      <c r="P979" s="2">
        <v>0</v>
      </c>
      <c r="Q979" s="2" t="s">
        <v>36</v>
      </c>
      <c r="R979" s="2" t="s">
        <v>38</v>
      </c>
      <c r="S979" s="2" t="s">
        <v>35</v>
      </c>
      <c r="T979" s="2" t="s">
        <v>35</v>
      </c>
      <c r="U979" s="2" t="s">
        <v>35</v>
      </c>
      <c r="V979" s="2" t="b">
        <v>0</v>
      </c>
      <c r="W979" s="2" t="s">
        <v>35</v>
      </c>
      <c r="X979" s="2" t="s">
        <v>35</v>
      </c>
      <c r="Y979" s="2">
        <v>7</v>
      </c>
      <c r="Z979" s="2" t="s">
        <v>35</v>
      </c>
    </row>
    <row r="980" spans="1:26" x14ac:dyDescent="0.2">
      <c r="A980" s="2" t="s">
        <v>2365</v>
      </c>
      <c r="B980" s="2" t="b">
        <v>0</v>
      </c>
      <c r="C980" s="2" t="b">
        <v>0</v>
      </c>
      <c r="D980" s="2" t="b">
        <v>0</v>
      </c>
      <c r="E980" s="2" t="b">
        <v>0</v>
      </c>
      <c r="F980" s="2" t="s">
        <v>31</v>
      </c>
      <c r="G980" s="2" t="s">
        <v>2366</v>
      </c>
      <c r="H980" s="2" t="s">
        <v>2367</v>
      </c>
      <c r="I980" s="2" t="s">
        <v>35</v>
      </c>
      <c r="J980" s="2" t="s">
        <v>35</v>
      </c>
      <c r="K980" s="2" t="s">
        <v>35</v>
      </c>
      <c r="L980" s="2" t="s">
        <v>35</v>
      </c>
      <c r="M980" s="2" t="s">
        <v>35</v>
      </c>
      <c r="N980" s="3">
        <v>44749.510166018517</v>
      </c>
      <c r="O980" s="3">
        <v>44749.510419687504</v>
      </c>
      <c r="P980" s="2">
        <v>0</v>
      </c>
      <c r="Q980" s="2" t="s">
        <v>36</v>
      </c>
      <c r="R980" s="2" t="s">
        <v>38</v>
      </c>
      <c r="S980" s="2" t="s">
        <v>35</v>
      </c>
      <c r="T980" s="2" t="s">
        <v>35</v>
      </c>
      <c r="U980" s="2" t="s">
        <v>35</v>
      </c>
      <c r="V980" s="2" t="b">
        <v>0</v>
      </c>
      <c r="W980" s="2" t="s">
        <v>35</v>
      </c>
      <c r="X980" s="2" t="s">
        <v>35</v>
      </c>
      <c r="Y980" s="2" t="s">
        <v>35</v>
      </c>
      <c r="Z980" s="2">
        <v>7</v>
      </c>
    </row>
    <row r="981" spans="1:26" x14ac:dyDescent="0.2">
      <c r="A981" s="2" t="s">
        <v>2368</v>
      </c>
      <c r="B981" s="2" t="b">
        <v>0</v>
      </c>
      <c r="C981" s="2" t="b">
        <v>0</v>
      </c>
      <c r="D981" s="2" t="b">
        <v>0</v>
      </c>
      <c r="E981" s="2" t="b">
        <v>0</v>
      </c>
      <c r="F981" s="2" t="s">
        <v>31</v>
      </c>
      <c r="G981" s="2" t="s">
        <v>2369</v>
      </c>
      <c r="H981" s="2" t="s">
        <v>2370</v>
      </c>
      <c r="I981" s="2" t="s">
        <v>2166</v>
      </c>
      <c r="J981" s="2" t="s">
        <v>35</v>
      </c>
      <c r="K981" s="2" t="s">
        <v>35</v>
      </c>
      <c r="L981" s="2" t="s">
        <v>35</v>
      </c>
      <c r="M981" s="2" t="s">
        <v>35</v>
      </c>
      <c r="N981" s="3">
        <v>44749.510639178239</v>
      </c>
      <c r="O981" s="3">
        <v>44749.511018043981</v>
      </c>
      <c r="P981" s="2">
        <v>0</v>
      </c>
      <c r="Q981" s="2" t="s">
        <v>36</v>
      </c>
      <c r="R981" s="2" t="s">
        <v>38</v>
      </c>
      <c r="S981" s="2" t="s">
        <v>35</v>
      </c>
      <c r="T981" s="2" t="s">
        <v>35</v>
      </c>
      <c r="U981" s="2" t="s">
        <v>35</v>
      </c>
      <c r="V981" s="2" t="b">
        <v>0</v>
      </c>
      <c r="W981" s="2" t="s">
        <v>35</v>
      </c>
      <c r="X981" s="2" t="s">
        <v>35</v>
      </c>
      <c r="Y981" s="2">
        <v>10</v>
      </c>
      <c r="Z981" s="2" t="s">
        <v>35</v>
      </c>
    </row>
    <row r="982" spans="1:26" x14ac:dyDescent="0.2">
      <c r="A982" s="2" t="s">
        <v>9305</v>
      </c>
      <c r="B982" s="2" t="b">
        <v>0</v>
      </c>
      <c r="C982" s="2" t="b">
        <v>0</v>
      </c>
      <c r="D982" s="2" t="b">
        <v>0</v>
      </c>
      <c r="E982" s="2" t="b">
        <v>0</v>
      </c>
      <c r="F982" s="2" t="s">
        <v>121</v>
      </c>
      <c r="G982" s="2" t="s">
        <v>149</v>
      </c>
      <c r="H982" s="2" t="s">
        <v>9306</v>
      </c>
      <c r="I982" s="2" t="s">
        <v>35</v>
      </c>
      <c r="J982" s="2" t="s">
        <v>35</v>
      </c>
      <c r="K982" s="2" t="s">
        <v>35</v>
      </c>
      <c r="L982" s="2" t="s">
        <v>35</v>
      </c>
      <c r="M982" s="2" t="s">
        <v>35</v>
      </c>
      <c r="N982" s="3">
        <v>44749.512873553242</v>
      </c>
      <c r="O982" s="3">
        <v>44749.512873657404</v>
      </c>
      <c r="P982" s="2">
        <v>0</v>
      </c>
      <c r="Q982" s="2" t="s">
        <v>35</v>
      </c>
      <c r="R982" s="2" t="s">
        <v>38</v>
      </c>
      <c r="S982" s="2" t="s">
        <v>35</v>
      </c>
      <c r="T982" s="2" t="s">
        <v>35</v>
      </c>
      <c r="U982" s="2" t="s">
        <v>35</v>
      </c>
      <c r="V982" s="2" t="b">
        <v>0</v>
      </c>
      <c r="W982" s="2" t="s">
        <v>35</v>
      </c>
      <c r="X982" s="2" t="s">
        <v>35</v>
      </c>
      <c r="Y982" s="2" t="s">
        <v>35</v>
      </c>
      <c r="Z982" s="2" t="s">
        <v>35</v>
      </c>
    </row>
    <row r="983" spans="1:26" x14ac:dyDescent="0.2">
      <c r="A983" s="2" t="s">
        <v>9307</v>
      </c>
      <c r="B983" s="2" t="b">
        <v>0</v>
      </c>
      <c r="C983" s="2" t="b">
        <v>0</v>
      </c>
      <c r="D983" s="2" t="b">
        <v>0</v>
      </c>
      <c r="E983" s="2" t="b">
        <v>0</v>
      </c>
      <c r="F983" s="2" t="s">
        <v>121</v>
      </c>
      <c r="G983" s="2" t="s">
        <v>149</v>
      </c>
      <c r="H983" s="2" t="s">
        <v>9306</v>
      </c>
      <c r="I983" s="2" t="s">
        <v>35</v>
      </c>
      <c r="J983" s="2" t="s">
        <v>35</v>
      </c>
      <c r="K983" s="2" t="s">
        <v>35</v>
      </c>
      <c r="L983" s="2" t="s">
        <v>35</v>
      </c>
      <c r="M983" s="2" t="s">
        <v>35</v>
      </c>
      <c r="N983" s="3">
        <v>44749.512896956017</v>
      </c>
      <c r="O983" s="3">
        <v>44749.512897060187</v>
      </c>
      <c r="P983" s="2">
        <v>0</v>
      </c>
      <c r="Q983" s="2" t="s">
        <v>36</v>
      </c>
      <c r="R983" s="2" t="s">
        <v>38</v>
      </c>
      <c r="S983" s="2" t="s">
        <v>35</v>
      </c>
      <c r="T983" s="2" t="s">
        <v>35</v>
      </c>
      <c r="U983" s="2" t="s">
        <v>35</v>
      </c>
      <c r="V983" s="2" t="b">
        <v>0</v>
      </c>
      <c r="W983" s="2" t="s">
        <v>35</v>
      </c>
      <c r="X983" s="2" t="s">
        <v>35</v>
      </c>
      <c r="Y983" s="2" t="s">
        <v>35</v>
      </c>
      <c r="Z983" s="2" t="s">
        <v>35</v>
      </c>
    </row>
    <row r="984" spans="1:26" x14ac:dyDescent="0.2">
      <c r="A984" s="2" t="s">
        <v>9308</v>
      </c>
      <c r="B984" s="2" t="b">
        <v>0</v>
      </c>
      <c r="C984" s="2" t="b">
        <v>0</v>
      </c>
      <c r="D984" s="2" t="b">
        <v>0</v>
      </c>
      <c r="E984" s="2" t="b">
        <v>0</v>
      </c>
      <c r="F984" s="2" t="s">
        <v>121</v>
      </c>
      <c r="G984" s="2" t="s">
        <v>149</v>
      </c>
      <c r="H984" s="2" t="s">
        <v>9306</v>
      </c>
      <c r="I984" s="2" t="s">
        <v>35</v>
      </c>
      <c r="J984" s="2" t="s">
        <v>35</v>
      </c>
      <c r="K984" s="2" t="s">
        <v>35</v>
      </c>
      <c r="L984" s="2" t="s">
        <v>35</v>
      </c>
      <c r="M984" s="2" t="s">
        <v>35</v>
      </c>
      <c r="N984" s="3">
        <v>44749.513004074077</v>
      </c>
      <c r="O984" s="3">
        <v>44749.513004722219</v>
      </c>
      <c r="P984" s="2">
        <v>0</v>
      </c>
      <c r="Q984" s="2" t="s">
        <v>36</v>
      </c>
      <c r="R984" s="2" t="s">
        <v>38</v>
      </c>
      <c r="S984" s="2" t="s">
        <v>35</v>
      </c>
      <c r="T984" s="2" t="s">
        <v>35</v>
      </c>
      <c r="U984" s="2" t="s">
        <v>35</v>
      </c>
      <c r="V984" s="2" t="b">
        <v>0</v>
      </c>
      <c r="W984" s="2" t="s">
        <v>35</v>
      </c>
      <c r="X984" s="2" t="s">
        <v>35</v>
      </c>
      <c r="Y984" s="2" t="s">
        <v>35</v>
      </c>
      <c r="Z984" s="2" t="s">
        <v>35</v>
      </c>
    </row>
    <row r="985" spans="1:26" x14ac:dyDescent="0.2">
      <c r="A985" s="2" t="s">
        <v>2371</v>
      </c>
      <c r="B985" s="2" t="b">
        <v>0</v>
      </c>
      <c r="C985" s="2" t="b">
        <v>0</v>
      </c>
      <c r="D985" s="2" t="b">
        <v>0</v>
      </c>
      <c r="E985" s="2" t="b">
        <v>0</v>
      </c>
      <c r="F985" s="2" t="s">
        <v>31</v>
      </c>
      <c r="G985" s="2" t="s">
        <v>2372</v>
      </c>
      <c r="H985" s="2" t="s">
        <v>2373</v>
      </c>
      <c r="I985" s="2" t="s">
        <v>35</v>
      </c>
      <c r="J985" s="2" t="s">
        <v>35</v>
      </c>
      <c r="K985" s="2" t="s">
        <v>35</v>
      </c>
      <c r="L985" s="2" t="s">
        <v>35</v>
      </c>
      <c r="M985" s="2" t="s">
        <v>35</v>
      </c>
      <c r="N985" s="3">
        <v>44749.513881446757</v>
      </c>
      <c r="O985" s="3">
        <v>44749.514226145831</v>
      </c>
      <c r="P985" s="2">
        <v>0</v>
      </c>
      <c r="Q985" s="2" t="s">
        <v>36</v>
      </c>
      <c r="R985" s="2" t="s">
        <v>38</v>
      </c>
      <c r="S985" s="2" t="s">
        <v>35</v>
      </c>
      <c r="T985" s="2" t="s">
        <v>35</v>
      </c>
      <c r="U985" s="2" t="s">
        <v>35</v>
      </c>
      <c r="V985" s="2" t="b">
        <v>0</v>
      </c>
      <c r="W985" s="2" t="s">
        <v>35</v>
      </c>
      <c r="X985" s="2" t="s">
        <v>35</v>
      </c>
      <c r="Y985" s="2" t="s">
        <v>35</v>
      </c>
      <c r="Z985" s="2">
        <v>6</v>
      </c>
    </row>
    <row r="986" spans="1:26" x14ac:dyDescent="0.2">
      <c r="A986" s="2" t="s">
        <v>2374</v>
      </c>
      <c r="B986" s="2" t="b">
        <v>0</v>
      </c>
      <c r="C986" s="2" t="b">
        <v>0</v>
      </c>
      <c r="D986" s="2" t="b">
        <v>0</v>
      </c>
      <c r="E986" s="2" t="b">
        <v>0</v>
      </c>
      <c r="F986" s="2" t="s">
        <v>31</v>
      </c>
      <c r="G986" s="2" t="s">
        <v>2375</v>
      </c>
      <c r="H986" s="2" t="s">
        <v>2376</v>
      </c>
      <c r="I986" s="2" t="s">
        <v>35</v>
      </c>
      <c r="J986" s="2" t="s">
        <v>35</v>
      </c>
      <c r="K986" s="2">
        <v>10</v>
      </c>
      <c r="L986" s="2" t="s">
        <v>35</v>
      </c>
      <c r="M986" s="2" t="s">
        <v>35</v>
      </c>
      <c r="N986" s="3">
        <v>44749.514479467594</v>
      </c>
      <c r="O986" s="3">
        <v>44749.51550652778</v>
      </c>
      <c r="P986" s="2">
        <v>0</v>
      </c>
      <c r="Q986" s="2" t="s">
        <v>265</v>
      </c>
      <c r="R986" s="2" t="s">
        <v>38</v>
      </c>
      <c r="S986" s="2" t="s">
        <v>35</v>
      </c>
      <c r="T986" s="2" t="s">
        <v>35</v>
      </c>
      <c r="U986" s="2" t="s">
        <v>35</v>
      </c>
      <c r="V986" s="2" t="b">
        <v>0</v>
      </c>
      <c r="W986" s="2" t="s">
        <v>35</v>
      </c>
      <c r="X986" s="2" t="s">
        <v>35</v>
      </c>
      <c r="Y986" s="2" t="s">
        <v>35</v>
      </c>
      <c r="Z986" s="2" t="s">
        <v>35</v>
      </c>
    </row>
    <row r="987" spans="1:26" x14ac:dyDescent="0.2">
      <c r="A987" s="2" t="s">
        <v>2377</v>
      </c>
      <c r="B987" s="2" t="b">
        <v>0</v>
      </c>
      <c r="C987" s="2" t="b">
        <v>0</v>
      </c>
      <c r="D987" s="2" t="b">
        <v>0</v>
      </c>
      <c r="E987" s="2" t="b">
        <v>0</v>
      </c>
      <c r="F987" s="2" t="s">
        <v>31</v>
      </c>
      <c r="G987" s="2" t="s">
        <v>2378</v>
      </c>
      <c r="H987" s="2" t="s">
        <v>2376</v>
      </c>
      <c r="I987" s="2" t="s">
        <v>2379</v>
      </c>
      <c r="J987" s="2" t="s">
        <v>35</v>
      </c>
      <c r="K987" s="2" t="s">
        <v>35</v>
      </c>
      <c r="L987" s="2" t="s">
        <v>35</v>
      </c>
      <c r="M987" s="2" t="s">
        <v>35</v>
      </c>
      <c r="N987" s="3">
        <v>44749.515555416663</v>
      </c>
      <c r="O987" s="3">
        <v>44749.516041215276</v>
      </c>
      <c r="P987" s="2">
        <v>0</v>
      </c>
      <c r="Q987" s="2" t="s">
        <v>2380</v>
      </c>
      <c r="R987" s="2" t="s">
        <v>38</v>
      </c>
      <c r="S987" s="2" t="s">
        <v>35</v>
      </c>
      <c r="T987" s="2" t="s">
        <v>35</v>
      </c>
      <c r="U987" s="2" t="s">
        <v>35</v>
      </c>
      <c r="V987" s="2" t="b">
        <v>0</v>
      </c>
      <c r="W987" s="2" t="s">
        <v>35</v>
      </c>
      <c r="X987" s="2" t="s">
        <v>35</v>
      </c>
      <c r="Y987" s="2" t="s">
        <v>35</v>
      </c>
      <c r="Z987" s="2" t="s">
        <v>35</v>
      </c>
    </row>
    <row r="988" spans="1:26" x14ac:dyDescent="0.2">
      <c r="A988" s="2" t="s">
        <v>2382</v>
      </c>
      <c r="B988" s="2" t="b">
        <v>0</v>
      </c>
      <c r="C988" s="2" t="b">
        <v>0</v>
      </c>
      <c r="D988" s="2" t="b">
        <v>0</v>
      </c>
      <c r="E988" s="2" t="b">
        <v>0</v>
      </c>
      <c r="F988" s="2" t="s">
        <v>31</v>
      </c>
      <c r="G988" s="2" t="s">
        <v>2383</v>
      </c>
      <c r="H988" s="2" t="s">
        <v>2384</v>
      </c>
      <c r="I988" s="2" t="s">
        <v>2385</v>
      </c>
      <c r="J988" s="2" t="s">
        <v>35</v>
      </c>
      <c r="K988" s="2" t="s">
        <v>35</v>
      </c>
      <c r="L988" s="2" t="s">
        <v>35</v>
      </c>
      <c r="M988" s="2" t="s">
        <v>35</v>
      </c>
      <c r="N988" s="3">
        <v>44749.517808773147</v>
      </c>
      <c r="O988" s="3">
        <v>44749.518043240743</v>
      </c>
      <c r="P988" s="2">
        <v>0</v>
      </c>
      <c r="Q988" s="2" t="s">
        <v>2380</v>
      </c>
      <c r="R988" s="2" t="s">
        <v>38</v>
      </c>
      <c r="S988" s="2" t="s">
        <v>35</v>
      </c>
      <c r="T988" s="2" t="s">
        <v>35</v>
      </c>
      <c r="U988" s="2" t="s">
        <v>35</v>
      </c>
      <c r="V988" s="2" t="b">
        <v>0</v>
      </c>
      <c r="W988" s="2" t="s">
        <v>35</v>
      </c>
      <c r="X988" s="2" t="s">
        <v>35</v>
      </c>
      <c r="Y988" s="2" t="s">
        <v>35</v>
      </c>
      <c r="Z988" s="2" t="s">
        <v>35</v>
      </c>
    </row>
    <row r="989" spans="1:26" x14ac:dyDescent="0.2">
      <c r="A989" s="2" t="s">
        <v>2386</v>
      </c>
      <c r="B989" s="2" t="b">
        <v>0</v>
      </c>
      <c r="C989" s="2" t="b">
        <v>0</v>
      </c>
      <c r="D989" s="2" t="b">
        <v>0</v>
      </c>
      <c r="E989" s="2" t="b">
        <v>0</v>
      </c>
      <c r="F989" s="2" t="s">
        <v>31</v>
      </c>
      <c r="G989" s="2" t="s">
        <v>2387</v>
      </c>
      <c r="H989" s="2" t="s">
        <v>2388</v>
      </c>
      <c r="I989" s="2" t="s">
        <v>35</v>
      </c>
      <c r="J989" s="2" t="s">
        <v>35</v>
      </c>
      <c r="K989" s="2" t="s">
        <v>35</v>
      </c>
      <c r="L989" s="2" t="s">
        <v>35</v>
      </c>
      <c r="M989" s="2" t="s">
        <v>35</v>
      </c>
      <c r="N989" s="3">
        <v>44749.518699444445</v>
      </c>
      <c r="O989" s="3">
        <v>44749.518898680559</v>
      </c>
      <c r="P989" s="2">
        <v>0</v>
      </c>
      <c r="Q989" s="2" t="s">
        <v>36</v>
      </c>
      <c r="R989" s="2" t="s">
        <v>38</v>
      </c>
      <c r="S989" s="2" t="s">
        <v>35</v>
      </c>
      <c r="T989" s="2" t="s">
        <v>35</v>
      </c>
      <c r="U989" s="2" t="s">
        <v>35</v>
      </c>
      <c r="V989" s="2" t="b">
        <v>0</v>
      </c>
      <c r="W989" s="2" t="s">
        <v>35</v>
      </c>
      <c r="X989" s="2" t="s">
        <v>35</v>
      </c>
      <c r="Y989" s="2" t="s">
        <v>35</v>
      </c>
      <c r="Z989" s="2">
        <v>4</v>
      </c>
    </row>
    <row r="990" spans="1:26" x14ac:dyDescent="0.2">
      <c r="A990" s="2" t="s">
        <v>2389</v>
      </c>
      <c r="B990" s="2" t="b">
        <v>0</v>
      </c>
      <c r="C990" s="2" t="b">
        <v>0</v>
      </c>
      <c r="D990" s="2" t="b">
        <v>0</v>
      </c>
      <c r="E990" s="2" t="b">
        <v>0</v>
      </c>
      <c r="F990" s="2" t="s">
        <v>31</v>
      </c>
      <c r="G990" s="2" t="s">
        <v>2390</v>
      </c>
      <c r="H990" s="2" t="s">
        <v>2391</v>
      </c>
      <c r="I990" s="2" t="s">
        <v>35</v>
      </c>
      <c r="J990" s="2" t="s">
        <v>35</v>
      </c>
      <c r="K990" s="2" t="s">
        <v>35</v>
      </c>
      <c r="L990" s="2">
        <v>16</v>
      </c>
      <c r="M990" s="2">
        <v>19</v>
      </c>
      <c r="N990" s="3">
        <v>44749.518986898147</v>
      </c>
      <c r="O990" s="3">
        <v>44749.519332442127</v>
      </c>
      <c r="P990" s="2">
        <v>0</v>
      </c>
      <c r="Q990" s="2" t="s">
        <v>54</v>
      </c>
      <c r="R990" s="2" t="s">
        <v>38</v>
      </c>
      <c r="S990" s="2" t="s">
        <v>35</v>
      </c>
      <c r="T990" s="2" t="s">
        <v>35</v>
      </c>
      <c r="U990" s="2" t="s">
        <v>35</v>
      </c>
      <c r="V990" s="2" t="b">
        <v>0</v>
      </c>
      <c r="W990" s="2" t="s">
        <v>35</v>
      </c>
      <c r="X990" s="2" t="s">
        <v>35</v>
      </c>
      <c r="Y990" s="2" t="s">
        <v>35</v>
      </c>
      <c r="Z990" s="2" t="s">
        <v>35</v>
      </c>
    </row>
    <row r="991" spans="1:26" x14ac:dyDescent="0.2">
      <c r="A991" s="2" t="s">
        <v>2392</v>
      </c>
      <c r="B991" s="2" t="b">
        <v>0</v>
      </c>
      <c r="C991" s="2" t="b">
        <v>0</v>
      </c>
      <c r="D991" s="2" t="b">
        <v>0</v>
      </c>
      <c r="E991" s="2" t="b">
        <v>0</v>
      </c>
      <c r="F991" s="2" t="s">
        <v>31</v>
      </c>
      <c r="G991" s="2" t="s">
        <v>2393</v>
      </c>
      <c r="H991" s="2" t="s">
        <v>2394</v>
      </c>
      <c r="I991" s="2" t="s">
        <v>2395</v>
      </c>
      <c r="J991" s="2" t="s">
        <v>35</v>
      </c>
      <c r="K991" s="2" t="s">
        <v>35</v>
      </c>
      <c r="L991" s="2" t="s">
        <v>35</v>
      </c>
      <c r="M991" s="2" t="s">
        <v>35</v>
      </c>
      <c r="N991" s="3">
        <v>44749.521181597222</v>
      </c>
      <c r="O991" s="3">
        <v>44749.521561886577</v>
      </c>
      <c r="P991" s="2">
        <v>0</v>
      </c>
      <c r="Q991" s="2" t="s">
        <v>109</v>
      </c>
      <c r="R991" s="2" t="s">
        <v>38</v>
      </c>
      <c r="S991" s="2" t="s">
        <v>35</v>
      </c>
      <c r="T991" s="2">
        <v>104</v>
      </c>
      <c r="U991" s="2" t="s">
        <v>35</v>
      </c>
      <c r="V991" s="2" t="b">
        <v>0</v>
      </c>
      <c r="W991" s="2" t="s">
        <v>35</v>
      </c>
      <c r="X991" s="2" t="s">
        <v>35</v>
      </c>
      <c r="Y991" s="2" t="s">
        <v>35</v>
      </c>
      <c r="Z991" s="2" t="s">
        <v>35</v>
      </c>
    </row>
    <row r="992" spans="1:26" x14ac:dyDescent="0.2">
      <c r="A992" s="2" t="s">
        <v>2396</v>
      </c>
      <c r="B992" s="2" t="b">
        <v>0</v>
      </c>
      <c r="C992" s="2" t="b">
        <v>0</v>
      </c>
      <c r="D992" s="2" t="b">
        <v>0</v>
      </c>
      <c r="E992" s="2" t="b">
        <v>0</v>
      </c>
      <c r="F992" s="2" t="s">
        <v>31</v>
      </c>
      <c r="G992" s="2" t="s">
        <v>2397</v>
      </c>
      <c r="H992" s="2" t="s">
        <v>2398</v>
      </c>
      <c r="I992" s="2" t="s">
        <v>2024</v>
      </c>
      <c r="J992" s="2" t="s">
        <v>35</v>
      </c>
      <c r="K992" s="2" t="s">
        <v>35</v>
      </c>
      <c r="L992" s="2" t="s">
        <v>35</v>
      </c>
      <c r="M992" s="2" t="s">
        <v>35</v>
      </c>
      <c r="N992" s="3">
        <v>44749.521837638888</v>
      </c>
      <c r="O992" s="3">
        <v>44749.522127303244</v>
      </c>
      <c r="P992" s="2">
        <v>0</v>
      </c>
      <c r="Q992" s="2" t="s">
        <v>36</v>
      </c>
      <c r="R992" s="2" t="s">
        <v>38</v>
      </c>
      <c r="S992" s="2" t="s">
        <v>35</v>
      </c>
      <c r="T992" s="2" t="s">
        <v>35</v>
      </c>
      <c r="U992" s="2" t="s">
        <v>35</v>
      </c>
      <c r="V992" s="2" t="b">
        <v>0</v>
      </c>
      <c r="W992" s="2" t="s">
        <v>35</v>
      </c>
      <c r="X992" s="2" t="s">
        <v>35</v>
      </c>
      <c r="Y992" s="2">
        <v>4</v>
      </c>
      <c r="Z992" s="2">
        <v>3</v>
      </c>
    </row>
    <row r="993" spans="1:26" x14ac:dyDescent="0.2">
      <c r="A993" s="2" t="s">
        <v>9309</v>
      </c>
      <c r="B993" s="2" t="b">
        <v>0</v>
      </c>
      <c r="C993" s="2" t="b">
        <v>0</v>
      </c>
      <c r="D993" s="2" t="b">
        <v>0</v>
      </c>
      <c r="E993" s="2" t="b">
        <v>0</v>
      </c>
      <c r="F993" s="2" t="s">
        <v>121</v>
      </c>
      <c r="G993" s="2" t="s">
        <v>149</v>
      </c>
      <c r="H993" s="2" t="s">
        <v>9310</v>
      </c>
      <c r="I993" s="2" t="s">
        <v>35</v>
      </c>
      <c r="J993" s="2" t="s">
        <v>35</v>
      </c>
      <c r="K993" s="2" t="s">
        <v>35</v>
      </c>
      <c r="L993" s="2" t="s">
        <v>35</v>
      </c>
      <c r="M993" s="2" t="s">
        <v>35</v>
      </c>
      <c r="N993" s="3">
        <v>44749.578450231478</v>
      </c>
      <c r="O993" s="3">
        <v>44749.578491550928</v>
      </c>
      <c r="P993" s="2">
        <v>0</v>
      </c>
      <c r="Q993" s="2" t="s">
        <v>54</v>
      </c>
      <c r="R993" s="2" t="s">
        <v>2402</v>
      </c>
      <c r="S993" s="2" t="s">
        <v>35</v>
      </c>
      <c r="T993" s="2" t="s">
        <v>35</v>
      </c>
      <c r="U993" s="2" t="s">
        <v>35</v>
      </c>
      <c r="V993" s="2" t="b">
        <v>0</v>
      </c>
      <c r="W993" s="2" t="s">
        <v>35</v>
      </c>
      <c r="X993" s="2" t="s">
        <v>35</v>
      </c>
      <c r="Y993" s="2" t="s">
        <v>35</v>
      </c>
      <c r="Z993" s="2" t="s">
        <v>35</v>
      </c>
    </row>
    <row r="994" spans="1:26" x14ac:dyDescent="0.2">
      <c r="A994" s="2" t="s">
        <v>9311</v>
      </c>
      <c r="B994" s="2" t="b">
        <v>0</v>
      </c>
      <c r="C994" s="2" t="b">
        <v>0</v>
      </c>
      <c r="D994" s="2" t="b">
        <v>0</v>
      </c>
      <c r="E994" s="2" t="b">
        <v>0</v>
      </c>
      <c r="F994" s="2" t="s">
        <v>121</v>
      </c>
      <c r="G994" s="2" t="s">
        <v>149</v>
      </c>
      <c r="H994" s="2" t="s">
        <v>2277</v>
      </c>
      <c r="I994" s="2" t="s">
        <v>35</v>
      </c>
      <c r="J994" s="2" t="s">
        <v>35</v>
      </c>
      <c r="K994" s="2" t="s">
        <v>35</v>
      </c>
      <c r="L994" s="2" t="s">
        <v>35</v>
      </c>
      <c r="M994" s="2" t="s">
        <v>35</v>
      </c>
      <c r="N994" s="3">
        <v>44749.579271655093</v>
      </c>
      <c r="O994" s="3">
        <v>44749.579289467591</v>
      </c>
      <c r="P994" s="2">
        <v>0</v>
      </c>
      <c r="Q994" s="2" t="s">
        <v>54</v>
      </c>
      <c r="R994" s="2" t="s">
        <v>2402</v>
      </c>
      <c r="S994" s="2" t="s">
        <v>35</v>
      </c>
      <c r="T994" s="2" t="s">
        <v>35</v>
      </c>
      <c r="U994" s="2" t="s">
        <v>35</v>
      </c>
      <c r="V994" s="2" t="b">
        <v>0</v>
      </c>
      <c r="W994" s="2" t="s">
        <v>35</v>
      </c>
      <c r="X994" s="2" t="s">
        <v>35</v>
      </c>
      <c r="Y994" s="2" t="s">
        <v>35</v>
      </c>
      <c r="Z994" s="2" t="s">
        <v>35</v>
      </c>
    </row>
    <row r="995" spans="1:26" x14ac:dyDescent="0.2">
      <c r="A995" s="2" t="s">
        <v>2399</v>
      </c>
      <c r="B995" s="2" t="b">
        <v>0</v>
      </c>
      <c r="C995" s="2" t="b">
        <v>0</v>
      </c>
      <c r="D995" s="2" t="b">
        <v>0</v>
      </c>
      <c r="E995" s="2" t="b">
        <v>0</v>
      </c>
      <c r="F995" s="2" t="s">
        <v>31</v>
      </c>
      <c r="G995" s="2" t="s">
        <v>149</v>
      </c>
      <c r="H995" s="2" t="s">
        <v>2400</v>
      </c>
      <c r="I995" s="2" t="s">
        <v>2401</v>
      </c>
      <c r="J995" s="2" t="s">
        <v>35</v>
      </c>
      <c r="K995" s="2" t="s">
        <v>35</v>
      </c>
      <c r="L995" s="2">
        <v>87</v>
      </c>
      <c r="M995" s="2">
        <v>8</v>
      </c>
      <c r="N995" s="3">
        <v>44749.579947534723</v>
      </c>
      <c r="O995" s="3">
        <v>44749.580316736108</v>
      </c>
      <c r="P995" s="2">
        <v>0</v>
      </c>
      <c r="Q995" s="2" t="s">
        <v>54</v>
      </c>
      <c r="R995" s="2" t="s">
        <v>2402</v>
      </c>
      <c r="S995" s="2" t="s">
        <v>35</v>
      </c>
      <c r="T995" s="2" t="s">
        <v>35</v>
      </c>
      <c r="U995" s="2" t="s">
        <v>35</v>
      </c>
      <c r="V995" s="2" t="b">
        <v>0</v>
      </c>
      <c r="W995" s="2" t="s">
        <v>35</v>
      </c>
      <c r="X995" s="2" t="s">
        <v>35</v>
      </c>
      <c r="Y995" s="2" t="s">
        <v>35</v>
      </c>
      <c r="Z995" s="2" t="s">
        <v>35</v>
      </c>
    </row>
    <row r="996" spans="1:26" x14ac:dyDescent="0.2">
      <c r="A996" s="2" t="s">
        <v>9312</v>
      </c>
      <c r="B996" s="2" t="b">
        <v>0</v>
      </c>
      <c r="C996" s="2" t="b">
        <v>0</v>
      </c>
      <c r="D996" s="2" t="b">
        <v>0</v>
      </c>
      <c r="E996" s="2" t="b">
        <v>0</v>
      </c>
      <c r="F996" s="2" t="s">
        <v>121</v>
      </c>
      <c r="G996" s="2" t="s">
        <v>149</v>
      </c>
      <c r="H996" s="2" t="s">
        <v>9313</v>
      </c>
      <c r="I996" s="2" t="s">
        <v>35</v>
      </c>
      <c r="J996" s="2" t="s">
        <v>35</v>
      </c>
      <c r="K996" s="2" t="s">
        <v>35</v>
      </c>
      <c r="L996" s="2" t="s">
        <v>35</v>
      </c>
      <c r="M996" s="2" t="s">
        <v>35</v>
      </c>
      <c r="N996" s="3">
        <v>44749.721476018516</v>
      </c>
      <c r="O996" s="3">
        <v>44749.727914467592</v>
      </c>
      <c r="P996" s="2">
        <v>0</v>
      </c>
      <c r="Q996" s="2" t="s">
        <v>36</v>
      </c>
      <c r="R996" s="2" t="s">
        <v>38</v>
      </c>
      <c r="S996" s="2" t="s">
        <v>35</v>
      </c>
      <c r="T996" s="2" t="s">
        <v>35</v>
      </c>
      <c r="U996" s="2" t="s">
        <v>35</v>
      </c>
      <c r="V996" s="2" t="b">
        <v>0</v>
      </c>
      <c r="W996" s="2" t="s">
        <v>35</v>
      </c>
      <c r="X996" s="2" t="s">
        <v>35</v>
      </c>
      <c r="Y996" s="2" t="s">
        <v>35</v>
      </c>
      <c r="Z996" s="2" t="s">
        <v>35</v>
      </c>
    </row>
    <row r="997" spans="1:26" x14ac:dyDescent="0.2">
      <c r="A997" s="2" t="s">
        <v>2403</v>
      </c>
      <c r="B997" s="2" t="b">
        <v>0</v>
      </c>
      <c r="C997" s="2" t="b">
        <v>0</v>
      </c>
      <c r="D997" s="2" t="b">
        <v>0</v>
      </c>
      <c r="E997" s="2" t="b">
        <v>0</v>
      </c>
      <c r="F997" s="2" t="s">
        <v>31</v>
      </c>
      <c r="G997" s="2" t="s">
        <v>2404</v>
      </c>
      <c r="H997" s="2" t="s">
        <v>2405</v>
      </c>
      <c r="I997" s="2" t="s">
        <v>1738</v>
      </c>
      <c r="J997" s="2" t="s">
        <v>35</v>
      </c>
      <c r="K997" s="2" t="s">
        <v>35</v>
      </c>
      <c r="L997" s="2" t="s">
        <v>35</v>
      </c>
      <c r="M997" s="2" t="s">
        <v>35</v>
      </c>
      <c r="N997" s="3">
        <v>44753.410902118056</v>
      </c>
      <c r="O997" s="3">
        <v>44753.411292534722</v>
      </c>
      <c r="P997" s="2">
        <v>0</v>
      </c>
      <c r="Q997" s="2" t="s">
        <v>36</v>
      </c>
      <c r="R997" s="2" t="s">
        <v>38</v>
      </c>
      <c r="S997" s="2" t="s">
        <v>35</v>
      </c>
      <c r="T997" s="2" t="s">
        <v>35</v>
      </c>
      <c r="U997" s="2" t="s">
        <v>35</v>
      </c>
      <c r="V997" s="2" t="b">
        <v>0</v>
      </c>
      <c r="W997" s="2" t="s">
        <v>35</v>
      </c>
      <c r="X997" s="2" t="s">
        <v>35</v>
      </c>
      <c r="Y997" s="2">
        <v>12</v>
      </c>
      <c r="Z997" s="2">
        <v>5</v>
      </c>
    </row>
    <row r="998" spans="1:26" x14ac:dyDescent="0.2">
      <c r="A998" s="2" t="s">
        <v>2407</v>
      </c>
      <c r="B998" s="2" t="b">
        <v>0</v>
      </c>
      <c r="C998" s="2" t="b">
        <v>0</v>
      </c>
      <c r="D998" s="2" t="b">
        <v>0</v>
      </c>
      <c r="E998" s="2" t="b">
        <v>0</v>
      </c>
      <c r="F998" s="2" t="s">
        <v>31</v>
      </c>
      <c r="G998" s="2" t="s">
        <v>2408</v>
      </c>
      <c r="H998" s="2" t="s">
        <v>2409</v>
      </c>
      <c r="I998" s="2" t="s">
        <v>35</v>
      </c>
      <c r="J998" s="2" t="s">
        <v>35</v>
      </c>
      <c r="K998" s="2">
        <v>4</v>
      </c>
      <c r="L998" s="2" t="s">
        <v>35</v>
      </c>
      <c r="M998" s="2" t="s">
        <v>35</v>
      </c>
      <c r="N998" s="3">
        <v>44753.412162546294</v>
      </c>
      <c r="O998" s="3">
        <v>44753.412435266204</v>
      </c>
      <c r="P998" s="2">
        <v>0</v>
      </c>
      <c r="Q998" s="2" t="s">
        <v>265</v>
      </c>
      <c r="R998" s="2" t="s">
        <v>38</v>
      </c>
      <c r="S998" s="2" t="s">
        <v>35</v>
      </c>
      <c r="T998" s="2" t="s">
        <v>35</v>
      </c>
      <c r="U998" s="2" t="s">
        <v>35</v>
      </c>
      <c r="V998" s="2" t="b">
        <v>0</v>
      </c>
      <c r="W998" s="2" t="s">
        <v>35</v>
      </c>
      <c r="X998" s="2" t="s">
        <v>35</v>
      </c>
      <c r="Y998" s="2" t="s">
        <v>35</v>
      </c>
      <c r="Z998" s="2" t="s">
        <v>35</v>
      </c>
    </row>
    <row r="999" spans="1:26" x14ac:dyDescent="0.2">
      <c r="A999" s="2" t="s">
        <v>2410</v>
      </c>
      <c r="B999" s="2" t="b">
        <v>0</v>
      </c>
      <c r="C999" s="2" t="b">
        <v>0</v>
      </c>
      <c r="D999" s="2" t="b">
        <v>0</v>
      </c>
      <c r="E999" s="2" t="b">
        <v>0</v>
      </c>
      <c r="F999" s="2" t="s">
        <v>31</v>
      </c>
      <c r="G999" s="2" t="s">
        <v>2411</v>
      </c>
      <c r="H999" s="2" t="s">
        <v>2412</v>
      </c>
      <c r="I999" s="2" t="s">
        <v>35</v>
      </c>
      <c r="J999" s="2" t="s">
        <v>35</v>
      </c>
      <c r="K999" s="2">
        <v>4</v>
      </c>
      <c r="L999" s="2" t="s">
        <v>35</v>
      </c>
      <c r="M999" s="2" t="s">
        <v>35</v>
      </c>
      <c r="N999" s="3">
        <v>44753.412827939814</v>
      </c>
      <c r="O999" s="3">
        <v>44753.413004108799</v>
      </c>
      <c r="P999" s="2">
        <v>0</v>
      </c>
      <c r="Q999" s="2" t="s">
        <v>265</v>
      </c>
      <c r="R999" s="2" t="s">
        <v>38</v>
      </c>
      <c r="S999" s="2" t="s">
        <v>35</v>
      </c>
      <c r="T999" s="2" t="s">
        <v>35</v>
      </c>
      <c r="U999" s="2" t="s">
        <v>35</v>
      </c>
      <c r="V999" s="2" t="b">
        <v>0</v>
      </c>
      <c r="W999" s="2" t="s">
        <v>35</v>
      </c>
      <c r="X999" s="2" t="s">
        <v>35</v>
      </c>
      <c r="Y999" s="2" t="s">
        <v>35</v>
      </c>
      <c r="Z999" s="2" t="s">
        <v>35</v>
      </c>
    </row>
    <row r="1000" spans="1:26" x14ac:dyDescent="0.2">
      <c r="A1000" s="2" t="s">
        <v>2413</v>
      </c>
      <c r="B1000" s="2" t="b">
        <v>0</v>
      </c>
      <c r="C1000" s="2" t="b">
        <v>0</v>
      </c>
      <c r="D1000" s="2" t="b">
        <v>0</v>
      </c>
      <c r="E1000" s="2" t="b">
        <v>0</v>
      </c>
      <c r="F1000" s="2" t="s">
        <v>31</v>
      </c>
      <c r="G1000" s="2" t="s">
        <v>2414</v>
      </c>
      <c r="H1000" s="2" t="s">
        <v>2415</v>
      </c>
      <c r="I1000" s="2" t="s">
        <v>35</v>
      </c>
      <c r="J1000" s="2" t="s">
        <v>35</v>
      </c>
      <c r="K1000" s="2" t="s">
        <v>35</v>
      </c>
      <c r="L1000" s="2" t="s">
        <v>35</v>
      </c>
      <c r="M1000" s="2" t="s">
        <v>35</v>
      </c>
      <c r="N1000" s="3">
        <v>44753.413970983798</v>
      </c>
      <c r="O1000" s="3">
        <v>44753.418486504626</v>
      </c>
      <c r="P1000" s="2">
        <v>0</v>
      </c>
      <c r="Q1000" s="2" t="s">
        <v>36</v>
      </c>
      <c r="R1000" s="2" t="s">
        <v>38</v>
      </c>
      <c r="S1000" s="2" t="s">
        <v>35</v>
      </c>
      <c r="T1000" s="2" t="s">
        <v>35</v>
      </c>
      <c r="U1000" s="2" t="s">
        <v>35</v>
      </c>
      <c r="V1000" s="2" t="b">
        <v>0</v>
      </c>
      <c r="W1000" s="2" t="s">
        <v>35</v>
      </c>
      <c r="X1000" s="2" t="s">
        <v>35</v>
      </c>
      <c r="Y1000" s="2" t="s">
        <v>35</v>
      </c>
      <c r="Z1000" s="2">
        <v>5</v>
      </c>
    </row>
    <row r="1001" spans="1:26" x14ac:dyDescent="0.2">
      <c r="A1001" s="2" t="s">
        <v>2416</v>
      </c>
      <c r="B1001" s="2" t="b">
        <v>0</v>
      </c>
      <c r="C1001" s="2" t="b">
        <v>0</v>
      </c>
      <c r="D1001" s="2" t="b">
        <v>0</v>
      </c>
      <c r="E1001" s="2" t="b">
        <v>0</v>
      </c>
      <c r="F1001" s="2" t="s">
        <v>31</v>
      </c>
      <c r="G1001" s="2" t="s">
        <v>2417</v>
      </c>
      <c r="H1001" s="2" t="s">
        <v>2418</v>
      </c>
      <c r="I1001" s="2" t="s">
        <v>2419</v>
      </c>
      <c r="J1001" s="2" t="s">
        <v>35</v>
      </c>
      <c r="K1001" s="2" t="s">
        <v>35</v>
      </c>
      <c r="L1001" s="2" t="s">
        <v>35</v>
      </c>
      <c r="M1001" s="2" t="s">
        <v>35</v>
      </c>
      <c r="N1001" s="3">
        <v>44753.418807210648</v>
      </c>
      <c r="O1001" s="3">
        <v>44753.419225810183</v>
      </c>
      <c r="P1001" s="2">
        <v>0</v>
      </c>
      <c r="Q1001" s="2" t="s">
        <v>36</v>
      </c>
      <c r="R1001" s="2" t="s">
        <v>38</v>
      </c>
      <c r="S1001" s="2" t="s">
        <v>35</v>
      </c>
      <c r="T1001" s="2" t="s">
        <v>35</v>
      </c>
      <c r="U1001" s="2" t="s">
        <v>35</v>
      </c>
      <c r="V1001" s="2" t="b">
        <v>0</v>
      </c>
      <c r="W1001" s="2" t="s">
        <v>35</v>
      </c>
      <c r="X1001" s="2" t="s">
        <v>35</v>
      </c>
      <c r="Y1001" s="2">
        <v>5</v>
      </c>
      <c r="Z1001" s="2" t="s">
        <v>35</v>
      </c>
    </row>
    <row r="1002" spans="1:26" x14ac:dyDescent="0.2">
      <c r="A1002" s="2" t="s">
        <v>2420</v>
      </c>
      <c r="B1002" s="2" t="b">
        <v>0</v>
      </c>
      <c r="C1002" s="2" t="b">
        <v>0</v>
      </c>
      <c r="D1002" s="2" t="b">
        <v>0</v>
      </c>
      <c r="E1002" s="2" t="b">
        <v>0</v>
      </c>
      <c r="F1002" s="2" t="s">
        <v>31</v>
      </c>
      <c r="G1002" s="2" t="s">
        <v>2421</v>
      </c>
      <c r="H1002" s="2" t="s">
        <v>2422</v>
      </c>
      <c r="I1002" s="2" t="s">
        <v>2423</v>
      </c>
      <c r="J1002" s="2" t="s">
        <v>35</v>
      </c>
      <c r="K1002" s="2" t="s">
        <v>35</v>
      </c>
      <c r="L1002" s="2">
        <v>5</v>
      </c>
      <c r="M1002" s="2">
        <v>14</v>
      </c>
      <c r="N1002" s="3">
        <v>44753.419725706015</v>
      </c>
      <c r="O1002" s="3">
        <v>44753.420253483797</v>
      </c>
      <c r="P1002" s="2">
        <v>0</v>
      </c>
      <c r="Q1002" s="2" t="s">
        <v>54</v>
      </c>
      <c r="R1002" s="2" t="s">
        <v>38</v>
      </c>
      <c r="S1002" s="2" t="s">
        <v>35</v>
      </c>
      <c r="T1002" s="2" t="s">
        <v>35</v>
      </c>
      <c r="U1002" s="2" t="s">
        <v>35</v>
      </c>
      <c r="V1002" s="2" t="b">
        <v>1</v>
      </c>
      <c r="W1002" s="2" t="s">
        <v>35</v>
      </c>
      <c r="X1002" s="2" t="s">
        <v>35</v>
      </c>
      <c r="Y1002" s="2" t="s">
        <v>35</v>
      </c>
      <c r="Z1002" s="2" t="s">
        <v>35</v>
      </c>
    </row>
    <row r="1003" spans="1:26" x14ac:dyDescent="0.2">
      <c r="A1003" s="2" t="s">
        <v>2424</v>
      </c>
      <c r="B1003" s="2" t="b">
        <v>0</v>
      </c>
      <c r="C1003" s="2" t="b">
        <v>0</v>
      </c>
      <c r="D1003" s="2" t="b">
        <v>0</v>
      </c>
      <c r="E1003" s="2" t="b">
        <v>0</v>
      </c>
      <c r="F1003" s="2" t="s">
        <v>31</v>
      </c>
      <c r="G1003" s="2" t="s">
        <v>2425</v>
      </c>
      <c r="H1003" s="2" t="s">
        <v>2426</v>
      </c>
      <c r="I1003" s="2" t="s">
        <v>35</v>
      </c>
      <c r="J1003" s="2" t="s">
        <v>35</v>
      </c>
      <c r="K1003" s="2" t="s">
        <v>35</v>
      </c>
      <c r="L1003" s="2" t="s">
        <v>35</v>
      </c>
      <c r="M1003" s="2" t="s">
        <v>35</v>
      </c>
      <c r="N1003" s="3">
        <v>44753.420917060183</v>
      </c>
      <c r="O1003" s="3">
        <v>44753.421082175926</v>
      </c>
      <c r="P1003" s="2">
        <v>0</v>
      </c>
      <c r="Q1003" s="2" t="s">
        <v>36</v>
      </c>
      <c r="R1003" s="2" t="s">
        <v>38</v>
      </c>
      <c r="S1003" s="2" t="s">
        <v>35</v>
      </c>
      <c r="T1003" s="2" t="s">
        <v>35</v>
      </c>
      <c r="U1003" s="2" t="s">
        <v>35</v>
      </c>
      <c r="V1003" s="2" t="b">
        <v>0</v>
      </c>
      <c r="W1003" s="2" t="s">
        <v>35</v>
      </c>
      <c r="X1003" s="2" t="s">
        <v>35</v>
      </c>
      <c r="Y1003" s="2" t="s">
        <v>35</v>
      </c>
      <c r="Z1003" s="2">
        <v>2</v>
      </c>
    </row>
    <row r="1004" spans="1:26" x14ac:dyDescent="0.2">
      <c r="A1004" s="2" t="s">
        <v>2427</v>
      </c>
      <c r="B1004" s="2" t="b">
        <v>0</v>
      </c>
      <c r="C1004" s="2" t="b">
        <v>0</v>
      </c>
      <c r="D1004" s="2" t="b">
        <v>0</v>
      </c>
      <c r="E1004" s="2" t="b">
        <v>0</v>
      </c>
      <c r="F1004" s="2" t="s">
        <v>31</v>
      </c>
      <c r="G1004" s="2" t="s">
        <v>2428</v>
      </c>
      <c r="H1004" s="2" t="s">
        <v>2429</v>
      </c>
      <c r="I1004" s="2" t="s">
        <v>35</v>
      </c>
      <c r="J1004" s="2" t="s">
        <v>35</v>
      </c>
      <c r="K1004" s="2" t="s">
        <v>35</v>
      </c>
      <c r="L1004" s="2" t="s">
        <v>35</v>
      </c>
      <c r="M1004" s="2" t="s">
        <v>35</v>
      </c>
      <c r="N1004" s="3">
        <v>44753.423413819444</v>
      </c>
      <c r="O1004" s="3">
        <v>44753.423986747686</v>
      </c>
      <c r="P1004" s="2">
        <v>0</v>
      </c>
      <c r="Q1004" s="2" t="s">
        <v>36</v>
      </c>
      <c r="R1004" s="2" t="s">
        <v>38</v>
      </c>
      <c r="S1004" s="2" t="s">
        <v>35</v>
      </c>
      <c r="T1004" s="2" t="s">
        <v>35</v>
      </c>
      <c r="U1004" s="2" t="s">
        <v>35</v>
      </c>
      <c r="V1004" s="2" t="b">
        <v>0</v>
      </c>
      <c r="W1004" s="2" t="s">
        <v>35</v>
      </c>
      <c r="X1004" s="2" t="s">
        <v>35</v>
      </c>
      <c r="Y1004" s="2" t="s">
        <v>35</v>
      </c>
      <c r="Z1004" s="2">
        <v>3</v>
      </c>
    </row>
    <row r="1005" spans="1:26" x14ac:dyDescent="0.2">
      <c r="A1005" s="2" t="s">
        <v>2430</v>
      </c>
      <c r="B1005" s="2" t="b">
        <v>0</v>
      </c>
      <c r="C1005" s="2" t="b">
        <v>0</v>
      </c>
      <c r="D1005" s="2" t="b">
        <v>0</v>
      </c>
      <c r="E1005" s="2" t="b">
        <v>0</v>
      </c>
      <c r="F1005" s="2" t="s">
        <v>31</v>
      </c>
      <c r="G1005" s="2" t="s">
        <v>2431</v>
      </c>
      <c r="H1005" s="2" t="s">
        <v>2432</v>
      </c>
      <c r="I1005" s="2" t="s">
        <v>35</v>
      </c>
      <c r="J1005" s="2" t="s">
        <v>35</v>
      </c>
      <c r="K1005" s="2" t="s">
        <v>35</v>
      </c>
      <c r="L1005" s="2" t="s">
        <v>35</v>
      </c>
      <c r="M1005" s="2" t="s">
        <v>35</v>
      </c>
      <c r="N1005" s="3">
        <v>44753.42450724537</v>
      </c>
      <c r="O1005" s="3">
        <v>44753.424681828707</v>
      </c>
      <c r="P1005" s="2">
        <v>0</v>
      </c>
      <c r="Q1005" s="2" t="s">
        <v>36</v>
      </c>
      <c r="R1005" s="2" t="s">
        <v>38</v>
      </c>
      <c r="S1005" s="2" t="s">
        <v>35</v>
      </c>
      <c r="T1005" s="2" t="s">
        <v>35</v>
      </c>
      <c r="U1005" s="2" t="s">
        <v>35</v>
      </c>
      <c r="V1005" s="2" t="b">
        <v>0</v>
      </c>
      <c r="W1005" s="2" t="s">
        <v>35</v>
      </c>
      <c r="X1005" s="2" t="s">
        <v>35</v>
      </c>
      <c r="Y1005" s="2" t="s">
        <v>35</v>
      </c>
      <c r="Z1005" s="2">
        <v>4</v>
      </c>
    </row>
    <row r="1006" spans="1:26" x14ac:dyDescent="0.2">
      <c r="A1006" s="2" t="s">
        <v>2433</v>
      </c>
      <c r="B1006" s="2" t="b">
        <v>0</v>
      </c>
      <c r="C1006" s="2" t="b">
        <v>0</v>
      </c>
      <c r="D1006" s="2" t="b">
        <v>0</v>
      </c>
      <c r="E1006" s="2" t="b">
        <v>0</v>
      </c>
      <c r="F1006" s="2" t="s">
        <v>31</v>
      </c>
      <c r="G1006" s="2" t="s">
        <v>2434</v>
      </c>
      <c r="H1006" s="2" t="s">
        <v>2435</v>
      </c>
      <c r="I1006" s="2" t="s">
        <v>35</v>
      </c>
      <c r="J1006" s="2" t="s">
        <v>35</v>
      </c>
      <c r="K1006" s="2" t="s">
        <v>35</v>
      </c>
      <c r="L1006" s="2" t="s">
        <v>35</v>
      </c>
      <c r="M1006" s="2" t="s">
        <v>35</v>
      </c>
      <c r="N1006" s="3">
        <v>44753.426873715274</v>
      </c>
      <c r="O1006" s="3">
        <v>44753.427114664351</v>
      </c>
      <c r="P1006" s="2">
        <v>0</v>
      </c>
      <c r="Q1006" s="2" t="s">
        <v>36</v>
      </c>
      <c r="R1006" s="2" t="s">
        <v>38</v>
      </c>
      <c r="S1006" s="2" t="s">
        <v>35</v>
      </c>
      <c r="T1006" s="2" t="s">
        <v>35</v>
      </c>
      <c r="U1006" s="2" t="s">
        <v>35</v>
      </c>
      <c r="V1006" s="2" t="b">
        <v>0</v>
      </c>
      <c r="W1006" s="2" t="s">
        <v>35</v>
      </c>
      <c r="X1006" s="2" t="s">
        <v>35</v>
      </c>
      <c r="Y1006" s="2" t="s">
        <v>35</v>
      </c>
      <c r="Z1006" s="2">
        <v>5</v>
      </c>
    </row>
    <row r="1007" spans="1:26" x14ac:dyDescent="0.2">
      <c r="A1007" s="2" t="s">
        <v>2436</v>
      </c>
      <c r="B1007" s="2" t="b">
        <v>0</v>
      </c>
      <c r="C1007" s="2" t="b">
        <v>0</v>
      </c>
      <c r="D1007" s="2" t="b">
        <v>0</v>
      </c>
      <c r="E1007" s="2" t="b">
        <v>0</v>
      </c>
      <c r="F1007" s="2" t="s">
        <v>31</v>
      </c>
      <c r="G1007" s="2" t="s">
        <v>2437</v>
      </c>
      <c r="H1007" s="2" t="s">
        <v>2438</v>
      </c>
      <c r="I1007" s="2" t="s">
        <v>1594</v>
      </c>
      <c r="J1007" s="2" t="s">
        <v>35</v>
      </c>
      <c r="K1007" s="2" t="s">
        <v>35</v>
      </c>
      <c r="L1007" s="2" t="s">
        <v>35</v>
      </c>
      <c r="M1007" s="2" t="s">
        <v>35</v>
      </c>
      <c r="N1007" s="3">
        <v>44753.427796064818</v>
      </c>
      <c r="O1007" s="3">
        <v>44753.428029641203</v>
      </c>
      <c r="P1007" s="2">
        <v>0</v>
      </c>
      <c r="Q1007" s="2" t="s">
        <v>36</v>
      </c>
      <c r="R1007" s="2" t="s">
        <v>38</v>
      </c>
      <c r="S1007" s="2" t="s">
        <v>35</v>
      </c>
      <c r="T1007" s="2" t="s">
        <v>35</v>
      </c>
      <c r="U1007" s="2" t="s">
        <v>35</v>
      </c>
      <c r="V1007" s="2" t="b">
        <v>0</v>
      </c>
      <c r="W1007" s="2" t="s">
        <v>35</v>
      </c>
      <c r="X1007" s="2" t="s">
        <v>35</v>
      </c>
      <c r="Y1007" s="2">
        <v>6</v>
      </c>
      <c r="Z1007" s="2" t="s">
        <v>35</v>
      </c>
    </row>
    <row r="1008" spans="1:26" x14ac:dyDescent="0.2">
      <c r="A1008" s="2" t="s">
        <v>2439</v>
      </c>
      <c r="B1008" s="2" t="b">
        <v>0</v>
      </c>
      <c r="C1008" s="2" t="b">
        <v>0</v>
      </c>
      <c r="D1008" s="2" t="b">
        <v>0</v>
      </c>
      <c r="E1008" s="2" t="b">
        <v>0</v>
      </c>
      <c r="F1008" s="2" t="s">
        <v>31</v>
      </c>
      <c r="G1008" s="2" t="s">
        <v>2440</v>
      </c>
      <c r="H1008" s="2" t="s">
        <v>2441</v>
      </c>
      <c r="I1008" s="2" t="s">
        <v>1594</v>
      </c>
      <c r="J1008" s="2" t="s">
        <v>35</v>
      </c>
      <c r="K1008" s="2" t="s">
        <v>35</v>
      </c>
      <c r="L1008" s="2" t="s">
        <v>35</v>
      </c>
      <c r="M1008" s="2" t="s">
        <v>35</v>
      </c>
      <c r="N1008" s="3">
        <v>44753.428577986109</v>
      </c>
      <c r="O1008" s="3">
        <v>44753.428968657405</v>
      </c>
      <c r="P1008" s="2">
        <v>0</v>
      </c>
      <c r="Q1008" s="2" t="s">
        <v>36</v>
      </c>
      <c r="R1008" s="2" t="s">
        <v>38</v>
      </c>
      <c r="S1008" s="2" t="s">
        <v>35</v>
      </c>
      <c r="T1008" s="2" t="s">
        <v>35</v>
      </c>
      <c r="U1008" s="2" t="s">
        <v>35</v>
      </c>
      <c r="V1008" s="2" t="b">
        <v>0</v>
      </c>
      <c r="W1008" s="2" t="s">
        <v>35</v>
      </c>
      <c r="X1008" s="2" t="s">
        <v>35</v>
      </c>
      <c r="Y1008" s="2">
        <v>7</v>
      </c>
      <c r="Z1008" s="2">
        <v>2</v>
      </c>
    </row>
    <row r="1009" spans="1:26" x14ac:dyDescent="0.2">
      <c r="A1009" s="2" t="s">
        <v>2442</v>
      </c>
      <c r="B1009" s="2" t="b">
        <v>0</v>
      </c>
      <c r="C1009" s="2" t="b">
        <v>0</v>
      </c>
      <c r="D1009" s="2" t="b">
        <v>0</v>
      </c>
      <c r="E1009" s="2" t="b">
        <v>0</v>
      </c>
      <c r="F1009" s="2" t="s">
        <v>31</v>
      </c>
      <c r="G1009" s="2" t="s">
        <v>2443</v>
      </c>
      <c r="H1009" s="2" t="s">
        <v>2444</v>
      </c>
      <c r="I1009" s="2" t="s">
        <v>1701</v>
      </c>
      <c r="J1009" s="2" t="s">
        <v>35</v>
      </c>
      <c r="K1009" s="2" t="s">
        <v>35</v>
      </c>
      <c r="L1009" s="2" t="s">
        <v>35</v>
      </c>
      <c r="M1009" s="2" t="s">
        <v>35</v>
      </c>
      <c r="N1009" s="3">
        <v>44753.429131759258</v>
      </c>
      <c r="O1009" s="3">
        <v>44753.429391550926</v>
      </c>
      <c r="P1009" s="2">
        <v>0</v>
      </c>
      <c r="Q1009" s="2" t="s">
        <v>54</v>
      </c>
      <c r="R1009" s="2" t="s">
        <v>38</v>
      </c>
      <c r="S1009" s="2" t="s">
        <v>35</v>
      </c>
      <c r="T1009" s="2" t="s">
        <v>35</v>
      </c>
      <c r="U1009" s="2" t="s">
        <v>35</v>
      </c>
      <c r="V1009" s="2" t="b">
        <v>0</v>
      </c>
      <c r="W1009" s="2" t="s">
        <v>35</v>
      </c>
      <c r="X1009" s="2" t="s">
        <v>35</v>
      </c>
      <c r="Y1009" s="2" t="s">
        <v>35</v>
      </c>
      <c r="Z1009" s="2" t="s">
        <v>35</v>
      </c>
    </row>
    <row r="1010" spans="1:26" x14ac:dyDescent="0.2">
      <c r="A1010" s="2" t="s">
        <v>2445</v>
      </c>
      <c r="B1010" s="2" t="b">
        <v>0</v>
      </c>
      <c r="C1010" s="2" t="b">
        <v>0</v>
      </c>
      <c r="D1010" s="2" t="b">
        <v>0</v>
      </c>
      <c r="E1010" s="2" t="b">
        <v>0</v>
      </c>
      <c r="F1010" s="2" t="s">
        <v>31</v>
      </c>
      <c r="G1010" s="2" t="s">
        <v>2446</v>
      </c>
      <c r="H1010" s="2" t="s">
        <v>2447</v>
      </c>
      <c r="I1010" s="2" t="s">
        <v>2448</v>
      </c>
      <c r="J1010" s="2" t="s">
        <v>35</v>
      </c>
      <c r="K1010" s="2" t="s">
        <v>35</v>
      </c>
      <c r="L1010" s="2">
        <v>5</v>
      </c>
      <c r="M1010" s="2">
        <v>15</v>
      </c>
      <c r="N1010" s="3">
        <v>44753.430289502314</v>
      </c>
      <c r="O1010" s="3">
        <v>44753.431036608796</v>
      </c>
      <c r="P1010" s="2">
        <v>0</v>
      </c>
      <c r="Q1010" s="2" t="s">
        <v>54</v>
      </c>
      <c r="R1010" s="2" t="s">
        <v>38</v>
      </c>
      <c r="S1010" s="2" t="s">
        <v>35</v>
      </c>
      <c r="T1010" s="2" t="s">
        <v>35</v>
      </c>
      <c r="U1010" s="2" t="s">
        <v>35</v>
      </c>
      <c r="V1010" s="2" t="b">
        <v>1</v>
      </c>
      <c r="W1010" s="2" t="s">
        <v>35</v>
      </c>
      <c r="X1010" s="2" t="s">
        <v>35</v>
      </c>
      <c r="Y1010" s="2" t="s">
        <v>35</v>
      </c>
      <c r="Z1010" s="2" t="s">
        <v>35</v>
      </c>
    </row>
    <row r="1011" spans="1:26" x14ac:dyDescent="0.2">
      <c r="A1011" s="2" t="s">
        <v>2449</v>
      </c>
      <c r="B1011" s="2" t="b">
        <v>0</v>
      </c>
      <c r="C1011" s="2" t="b">
        <v>0</v>
      </c>
      <c r="D1011" s="2" t="b">
        <v>0</v>
      </c>
      <c r="E1011" s="2" t="b">
        <v>0</v>
      </c>
      <c r="F1011" s="2" t="s">
        <v>31</v>
      </c>
      <c r="G1011" s="2" t="s">
        <v>2450</v>
      </c>
      <c r="H1011" s="2" t="s">
        <v>2451</v>
      </c>
      <c r="I1011" s="2" t="s">
        <v>35</v>
      </c>
      <c r="J1011" s="2" t="s">
        <v>35</v>
      </c>
      <c r="K1011" s="2" t="s">
        <v>35</v>
      </c>
      <c r="L1011" s="2" t="s">
        <v>35</v>
      </c>
      <c r="M1011" s="2" t="s">
        <v>35</v>
      </c>
      <c r="N1011" s="3">
        <v>44753.432420150464</v>
      </c>
      <c r="O1011" s="3">
        <v>44753.432606076392</v>
      </c>
      <c r="P1011" s="2">
        <v>0</v>
      </c>
      <c r="Q1011" s="2" t="s">
        <v>36</v>
      </c>
      <c r="R1011" s="2" t="s">
        <v>38</v>
      </c>
      <c r="S1011" s="2" t="s">
        <v>35</v>
      </c>
      <c r="T1011" s="2" t="s">
        <v>35</v>
      </c>
      <c r="U1011" s="2" t="s">
        <v>35</v>
      </c>
      <c r="V1011" s="2" t="b">
        <v>0</v>
      </c>
      <c r="W1011" s="2" t="s">
        <v>35</v>
      </c>
      <c r="X1011" s="2" t="s">
        <v>35</v>
      </c>
      <c r="Y1011" s="2" t="s">
        <v>35</v>
      </c>
      <c r="Z1011" s="2">
        <v>3</v>
      </c>
    </row>
    <row r="1012" spans="1:26" x14ac:dyDescent="0.2">
      <c r="A1012" s="2" t="s">
        <v>2452</v>
      </c>
      <c r="B1012" s="2" t="b">
        <v>0</v>
      </c>
      <c r="C1012" s="2" t="b">
        <v>0</v>
      </c>
      <c r="D1012" s="2" t="b">
        <v>0</v>
      </c>
      <c r="E1012" s="2" t="b">
        <v>0</v>
      </c>
      <c r="F1012" s="2" t="s">
        <v>31</v>
      </c>
      <c r="G1012" s="2" t="s">
        <v>2453</v>
      </c>
      <c r="H1012" s="2" t="s">
        <v>2454</v>
      </c>
      <c r="I1012" s="2" t="s">
        <v>2455</v>
      </c>
      <c r="J1012" s="2" t="s">
        <v>35</v>
      </c>
      <c r="K1012" s="2" t="s">
        <v>35</v>
      </c>
      <c r="L1012" s="2" t="s">
        <v>35</v>
      </c>
      <c r="M1012" s="2" t="s">
        <v>35</v>
      </c>
      <c r="N1012" s="3">
        <v>44753.432864699076</v>
      </c>
      <c r="O1012" s="3">
        <v>44753.433653194443</v>
      </c>
      <c r="P1012" s="2">
        <v>0</v>
      </c>
      <c r="Q1012" s="2" t="s">
        <v>109</v>
      </c>
      <c r="R1012" s="2" t="s">
        <v>38</v>
      </c>
      <c r="S1012" s="2" t="s">
        <v>35</v>
      </c>
      <c r="T1012" s="2">
        <v>0</v>
      </c>
      <c r="U1012" s="2" t="s">
        <v>2456</v>
      </c>
      <c r="V1012" s="2" t="b">
        <v>0</v>
      </c>
      <c r="W1012" s="2" t="s">
        <v>35</v>
      </c>
      <c r="X1012" s="2" t="s">
        <v>35</v>
      </c>
      <c r="Y1012" s="2" t="s">
        <v>35</v>
      </c>
      <c r="Z1012" s="2" t="s">
        <v>35</v>
      </c>
    </row>
    <row r="1013" spans="1:26" x14ac:dyDescent="0.2">
      <c r="A1013" s="2" t="s">
        <v>2457</v>
      </c>
      <c r="B1013" s="2" t="b">
        <v>0</v>
      </c>
      <c r="C1013" s="2" t="b">
        <v>0</v>
      </c>
      <c r="D1013" s="2" t="b">
        <v>0</v>
      </c>
      <c r="E1013" s="2" t="b">
        <v>0</v>
      </c>
      <c r="F1013" s="2" t="s">
        <v>31</v>
      </c>
      <c r="G1013" s="2" t="s">
        <v>149</v>
      </c>
      <c r="H1013" s="2" t="s">
        <v>2458</v>
      </c>
      <c r="I1013" s="2" t="s">
        <v>675</v>
      </c>
      <c r="J1013" s="2" t="s">
        <v>35</v>
      </c>
      <c r="K1013" s="2" t="s">
        <v>35</v>
      </c>
      <c r="L1013" s="2" t="s">
        <v>35</v>
      </c>
      <c r="M1013" s="2" t="s">
        <v>35</v>
      </c>
      <c r="N1013" s="3">
        <v>44753.434061550928</v>
      </c>
      <c r="O1013" s="3">
        <v>44753.434260335649</v>
      </c>
      <c r="P1013" s="2">
        <v>0</v>
      </c>
      <c r="Q1013" s="2" t="s">
        <v>124</v>
      </c>
      <c r="R1013" s="2" t="s">
        <v>38</v>
      </c>
      <c r="S1013" s="2" t="s">
        <v>35</v>
      </c>
      <c r="T1013" s="2" t="s">
        <v>35</v>
      </c>
      <c r="U1013" s="2" t="s">
        <v>35</v>
      </c>
      <c r="V1013" s="2" t="b">
        <v>0</v>
      </c>
      <c r="W1013" s="2" t="s">
        <v>35</v>
      </c>
      <c r="X1013" s="2">
        <v>4</v>
      </c>
      <c r="Y1013" s="2" t="s">
        <v>35</v>
      </c>
      <c r="Z1013" s="2" t="s">
        <v>35</v>
      </c>
    </row>
    <row r="1014" spans="1:26" x14ac:dyDescent="0.2">
      <c r="A1014" s="2" t="s">
        <v>2459</v>
      </c>
      <c r="B1014" s="2" t="b">
        <v>0</v>
      </c>
      <c r="C1014" s="2" t="b">
        <v>0</v>
      </c>
      <c r="D1014" s="2" t="b">
        <v>0</v>
      </c>
      <c r="E1014" s="2" t="b">
        <v>0</v>
      </c>
      <c r="F1014" s="2" t="s">
        <v>31</v>
      </c>
      <c r="G1014" s="2" t="s">
        <v>2460</v>
      </c>
      <c r="H1014" s="2" t="s">
        <v>2461</v>
      </c>
      <c r="I1014" s="2" t="s">
        <v>675</v>
      </c>
      <c r="J1014" s="2" t="s">
        <v>35</v>
      </c>
      <c r="K1014" s="2" t="s">
        <v>35</v>
      </c>
      <c r="L1014" s="2" t="s">
        <v>35</v>
      </c>
      <c r="M1014" s="2" t="s">
        <v>35</v>
      </c>
      <c r="N1014" s="3">
        <v>44753.437176319443</v>
      </c>
      <c r="O1014" s="3">
        <v>44753.437353993053</v>
      </c>
      <c r="P1014" s="2">
        <v>0</v>
      </c>
      <c r="Q1014" s="2" t="s">
        <v>124</v>
      </c>
      <c r="R1014" s="2" t="s">
        <v>38</v>
      </c>
      <c r="S1014" s="2" t="s">
        <v>35</v>
      </c>
      <c r="T1014" s="2" t="s">
        <v>35</v>
      </c>
      <c r="U1014" s="2" t="s">
        <v>35</v>
      </c>
      <c r="V1014" s="2" t="b">
        <v>0</v>
      </c>
      <c r="W1014" s="2" t="s">
        <v>35</v>
      </c>
      <c r="X1014" s="2">
        <v>4</v>
      </c>
      <c r="Y1014" s="2" t="s">
        <v>35</v>
      </c>
      <c r="Z1014" s="2" t="s">
        <v>35</v>
      </c>
    </row>
    <row r="1015" spans="1:26" x14ac:dyDescent="0.2">
      <c r="A1015" s="2" t="s">
        <v>2462</v>
      </c>
      <c r="B1015" s="2" t="b">
        <v>0</v>
      </c>
      <c r="C1015" s="2" t="b">
        <v>0</v>
      </c>
      <c r="D1015" s="2" t="b">
        <v>0</v>
      </c>
      <c r="E1015" s="2" t="b">
        <v>0</v>
      </c>
      <c r="F1015" s="2" t="s">
        <v>31</v>
      </c>
      <c r="G1015" s="2" t="s">
        <v>2463</v>
      </c>
      <c r="H1015" s="2" t="s">
        <v>2464</v>
      </c>
      <c r="I1015" s="2" t="s">
        <v>675</v>
      </c>
      <c r="J1015" s="2" t="s">
        <v>35</v>
      </c>
      <c r="K1015" s="2" t="s">
        <v>35</v>
      </c>
      <c r="L1015" s="2" t="s">
        <v>35</v>
      </c>
      <c r="M1015" s="2" t="s">
        <v>35</v>
      </c>
      <c r="N1015" s="3">
        <v>44753.438078634259</v>
      </c>
      <c r="O1015" s="3">
        <v>44753.438282754629</v>
      </c>
      <c r="P1015" s="2">
        <v>0</v>
      </c>
      <c r="Q1015" s="2" t="s">
        <v>124</v>
      </c>
      <c r="R1015" s="2" t="s">
        <v>38</v>
      </c>
      <c r="S1015" s="2" t="s">
        <v>35</v>
      </c>
      <c r="T1015" s="2" t="s">
        <v>35</v>
      </c>
      <c r="U1015" s="2" t="s">
        <v>35</v>
      </c>
      <c r="V1015" s="2" t="b">
        <v>0</v>
      </c>
      <c r="W1015" s="2" t="s">
        <v>35</v>
      </c>
      <c r="X1015" s="2">
        <v>4</v>
      </c>
      <c r="Y1015" s="2" t="s">
        <v>35</v>
      </c>
      <c r="Z1015" s="2" t="s">
        <v>35</v>
      </c>
    </row>
    <row r="1016" spans="1:26" x14ac:dyDescent="0.2">
      <c r="A1016" s="2" t="s">
        <v>2465</v>
      </c>
      <c r="B1016" s="2" t="b">
        <v>0</v>
      </c>
      <c r="C1016" s="2" t="b">
        <v>0</v>
      </c>
      <c r="D1016" s="2" t="b">
        <v>0</v>
      </c>
      <c r="E1016" s="2" t="b">
        <v>0</v>
      </c>
      <c r="F1016" s="2" t="s">
        <v>31</v>
      </c>
      <c r="G1016" s="2" t="s">
        <v>2466</v>
      </c>
      <c r="H1016" s="2" t="s">
        <v>2467</v>
      </c>
      <c r="I1016" s="2" t="s">
        <v>675</v>
      </c>
      <c r="J1016" s="2" t="s">
        <v>35</v>
      </c>
      <c r="K1016" s="2" t="s">
        <v>35</v>
      </c>
      <c r="L1016" s="2" t="s">
        <v>35</v>
      </c>
      <c r="M1016" s="2" t="s">
        <v>35</v>
      </c>
      <c r="N1016" s="3">
        <v>44753.438426122688</v>
      </c>
      <c r="O1016" s="3">
        <v>44753.43866540509</v>
      </c>
      <c r="P1016" s="2">
        <v>0</v>
      </c>
      <c r="Q1016" s="2" t="s">
        <v>124</v>
      </c>
      <c r="R1016" s="2" t="s">
        <v>38</v>
      </c>
      <c r="S1016" s="2" t="s">
        <v>35</v>
      </c>
      <c r="T1016" s="2" t="s">
        <v>35</v>
      </c>
      <c r="U1016" s="2" t="s">
        <v>35</v>
      </c>
      <c r="V1016" s="2" t="b">
        <v>0</v>
      </c>
      <c r="W1016" s="2" t="s">
        <v>35</v>
      </c>
      <c r="X1016" s="2">
        <v>4</v>
      </c>
      <c r="Y1016" s="2" t="s">
        <v>35</v>
      </c>
      <c r="Z1016" s="2" t="s">
        <v>35</v>
      </c>
    </row>
    <row r="1017" spans="1:26" x14ac:dyDescent="0.2">
      <c r="A1017" s="2" t="s">
        <v>2468</v>
      </c>
      <c r="B1017" s="2" t="b">
        <v>0</v>
      </c>
      <c r="C1017" s="2" t="b">
        <v>0</v>
      </c>
      <c r="D1017" s="2" t="b">
        <v>0</v>
      </c>
      <c r="E1017" s="2" t="b">
        <v>0</v>
      </c>
      <c r="F1017" s="2" t="s">
        <v>31</v>
      </c>
      <c r="G1017" s="2" t="s">
        <v>2469</v>
      </c>
      <c r="H1017" s="2" t="s">
        <v>2470</v>
      </c>
      <c r="I1017" s="2" t="s">
        <v>675</v>
      </c>
      <c r="J1017" s="2" t="s">
        <v>35</v>
      </c>
      <c r="K1017" s="2" t="s">
        <v>35</v>
      </c>
      <c r="L1017" s="2" t="s">
        <v>35</v>
      </c>
      <c r="M1017" s="2" t="s">
        <v>35</v>
      </c>
      <c r="N1017" s="3">
        <v>44753.439603784725</v>
      </c>
      <c r="O1017" s="3">
        <v>44753.439764409719</v>
      </c>
      <c r="P1017" s="2">
        <v>0</v>
      </c>
      <c r="Q1017" s="2" t="s">
        <v>124</v>
      </c>
      <c r="R1017" s="2" t="s">
        <v>38</v>
      </c>
      <c r="S1017" s="2" t="s">
        <v>35</v>
      </c>
      <c r="T1017" s="2" t="s">
        <v>35</v>
      </c>
      <c r="U1017" s="2" t="s">
        <v>35</v>
      </c>
      <c r="V1017" s="2" t="b">
        <v>0</v>
      </c>
      <c r="W1017" s="2" t="s">
        <v>35</v>
      </c>
      <c r="X1017" s="2">
        <v>4</v>
      </c>
      <c r="Y1017" s="2" t="s">
        <v>35</v>
      </c>
      <c r="Z1017" s="2" t="s">
        <v>35</v>
      </c>
    </row>
    <row r="1018" spans="1:26" x14ac:dyDescent="0.2">
      <c r="A1018" s="2" t="s">
        <v>2471</v>
      </c>
      <c r="B1018" s="2" t="b">
        <v>0</v>
      </c>
      <c r="C1018" s="2" t="b">
        <v>0</v>
      </c>
      <c r="D1018" s="2" t="b">
        <v>0</v>
      </c>
      <c r="E1018" s="2" t="b">
        <v>0</v>
      </c>
      <c r="F1018" s="2" t="s">
        <v>31</v>
      </c>
      <c r="G1018" s="2" t="s">
        <v>2472</v>
      </c>
      <c r="H1018" s="2" t="s">
        <v>2473</v>
      </c>
      <c r="I1018" s="2" t="s">
        <v>35</v>
      </c>
      <c r="J1018" s="2" t="s">
        <v>35</v>
      </c>
      <c r="K1018" s="2">
        <v>9</v>
      </c>
      <c r="L1018" s="2" t="s">
        <v>35</v>
      </c>
      <c r="M1018" s="2" t="s">
        <v>35</v>
      </c>
      <c r="N1018" s="3">
        <v>44753.440089629628</v>
      </c>
      <c r="O1018" s="3">
        <v>44753.440329398145</v>
      </c>
      <c r="P1018" s="2">
        <v>0</v>
      </c>
      <c r="Q1018" s="2" t="s">
        <v>265</v>
      </c>
      <c r="R1018" s="2" t="s">
        <v>38</v>
      </c>
      <c r="S1018" s="2" t="s">
        <v>35</v>
      </c>
      <c r="T1018" s="2" t="s">
        <v>35</v>
      </c>
      <c r="U1018" s="2" t="s">
        <v>35</v>
      </c>
      <c r="V1018" s="2" t="b">
        <v>0</v>
      </c>
      <c r="W1018" s="2" t="s">
        <v>35</v>
      </c>
      <c r="X1018" s="2" t="s">
        <v>35</v>
      </c>
      <c r="Y1018" s="2" t="s">
        <v>35</v>
      </c>
      <c r="Z1018" s="2" t="s">
        <v>35</v>
      </c>
    </row>
    <row r="1019" spans="1:26" x14ac:dyDescent="0.2">
      <c r="A1019" s="2" t="s">
        <v>2474</v>
      </c>
      <c r="B1019" s="2" t="b">
        <v>0</v>
      </c>
      <c r="C1019" s="2" t="b">
        <v>0</v>
      </c>
      <c r="D1019" s="2" t="b">
        <v>0</v>
      </c>
      <c r="E1019" s="2" t="b">
        <v>0</v>
      </c>
      <c r="F1019" s="2" t="s">
        <v>31</v>
      </c>
      <c r="G1019" s="2" t="s">
        <v>2475</v>
      </c>
      <c r="H1019" s="2" t="s">
        <v>2476</v>
      </c>
      <c r="I1019" s="2" t="s">
        <v>35</v>
      </c>
      <c r="J1019" s="2" t="s">
        <v>35</v>
      </c>
      <c r="K1019" s="2">
        <v>5</v>
      </c>
      <c r="L1019" s="2" t="s">
        <v>35</v>
      </c>
      <c r="M1019" s="2" t="s">
        <v>35</v>
      </c>
      <c r="N1019" s="3">
        <v>44753.440454328702</v>
      </c>
      <c r="O1019" s="3">
        <v>44753.440632418984</v>
      </c>
      <c r="P1019" s="2">
        <v>0</v>
      </c>
      <c r="Q1019" s="2" t="s">
        <v>265</v>
      </c>
      <c r="R1019" s="2" t="s">
        <v>38</v>
      </c>
      <c r="S1019" s="2" t="s">
        <v>35</v>
      </c>
      <c r="T1019" s="2" t="s">
        <v>35</v>
      </c>
      <c r="U1019" s="2" t="s">
        <v>35</v>
      </c>
      <c r="V1019" s="2" t="b">
        <v>0</v>
      </c>
      <c r="W1019" s="2" t="s">
        <v>35</v>
      </c>
      <c r="X1019" s="2" t="s">
        <v>35</v>
      </c>
      <c r="Y1019" s="2" t="s">
        <v>35</v>
      </c>
      <c r="Z1019" s="2" t="s">
        <v>35</v>
      </c>
    </row>
    <row r="1020" spans="1:26" x14ac:dyDescent="0.2">
      <c r="A1020" s="2" t="s">
        <v>2477</v>
      </c>
      <c r="B1020" s="2" t="b">
        <v>0</v>
      </c>
      <c r="C1020" s="2" t="b">
        <v>0</v>
      </c>
      <c r="D1020" s="2" t="b">
        <v>0</v>
      </c>
      <c r="E1020" s="2" t="b">
        <v>0</v>
      </c>
      <c r="F1020" s="2" t="s">
        <v>31</v>
      </c>
      <c r="G1020" s="2" t="s">
        <v>2478</v>
      </c>
      <c r="H1020" s="2" t="s">
        <v>2479</v>
      </c>
      <c r="I1020" s="2" t="s">
        <v>35</v>
      </c>
      <c r="J1020" s="2" t="s">
        <v>35</v>
      </c>
      <c r="K1020" s="2" t="s">
        <v>35</v>
      </c>
      <c r="L1020" s="2" t="s">
        <v>35</v>
      </c>
      <c r="M1020" s="2" t="s">
        <v>35</v>
      </c>
      <c r="N1020" s="3">
        <v>44753.440681631946</v>
      </c>
      <c r="O1020" s="3">
        <v>44753.440861724535</v>
      </c>
      <c r="P1020" s="2">
        <v>0</v>
      </c>
      <c r="Q1020" s="2" t="s">
        <v>36</v>
      </c>
      <c r="R1020" s="2" t="s">
        <v>38</v>
      </c>
      <c r="S1020" s="2" t="s">
        <v>35</v>
      </c>
      <c r="T1020" s="2" t="s">
        <v>35</v>
      </c>
      <c r="U1020" s="2" t="s">
        <v>35</v>
      </c>
      <c r="V1020" s="2" t="b">
        <v>0</v>
      </c>
      <c r="W1020" s="2" t="s">
        <v>2284</v>
      </c>
      <c r="X1020" s="2" t="s">
        <v>35</v>
      </c>
      <c r="Y1020" s="2" t="s">
        <v>35</v>
      </c>
      <c r="Z1020" s="2" t="s">
        <v>35</v>
      </c>
    </row>
    <row r="1021" spans="1:26" x14ac:dyDescent="0.2">
      <c r="A1021" s="2" t="s">
        <v>2480</v>
      </c>
      <c r="B1021" s="2" t="b">
        <v>0</v>
      </c>
      <c r="C1021" s="2" t="b">
        <v>0</v>
      </c>
      <c r="D1021" s="2" t="b">
        <v>0</v>
      </c>
      <c r="E1021" s="2" t="b">
        <v>0</v>
      </c>
      <c r="F1021" s="2" t="s">
        <v>31</v>
      </c>
      <c r="G1021" s="2" t="s">
        <v>149</v>
      </c>
      <c r="H1021" s="2" t="s">
        <v>2481</v>
      </c>
      <c r="I1021" s="2" t="s">
        <v>675</v>
      </c>
      <c r="J1021" s="2" t="s">
        <v>35</v>
      </c>
      <c r="K1021" s="2" t="s">
        <v>35</v>
      </c>
      <c r="L1021" s="2" t="s">
        <v>35</v>
      </c>
      <c r="M1021" s="2" t="s">
        <v>35</v>
      </c>
      <c r="N1021" s="3">
        <v>44753.450270949077</v>
      </c>
      <c r="O1021" s="3">
        <v>44753.450399456022</v>
      </c>
      <c r="P1021" s="2">
        <v>0</v>
      </c>
      <c r="Q1021" s="2" t="s">
        <v>124</v>
      </c>
      <c r="R1021" s="2" t="s">
        <v>38</v>
      </c>
      <c r="S1021" s="2" t="s">
        <v>35</v>
      </c>
      <c r="T1021" s="2" t="s">
        <v>35</v>
      </c>
      <c r="U1021" s="2" t="s">
        <v>35</v>
      </c>
      <c r="V1021" s="2" t="b">
        <v>0</v>
      </c>
      <c r="W1021" s="2" t="s">
        <v>35</v>
      </c>
      <c r="X1021" s="2">
        <v>4</v>
      </c>
      <c r="Y1021" s="2" t="s">
        <v>35</v>
      </c>
      <c r="Z1021" s="2" t="s">
        <v>35</v>
      </c>
    </row>
    <row r="1022" spans="1:26" x14ac:dyDescent="0.2">
      <c r="A1022" s="2" t="s">
        <v>2482</v>
      </c>
      <c r="B1022" s="2" t="b">
        <v>0</v>
      </c>
      <c r="C1022" s="2" t="b">
        <v>0</v>
      </c>
      <c r="D1022" s="2" t="b">
        <v>0</v>
      </c>
      <c r="E1022" s="2" t="b">
        <v>0</v>
      </c>
      <c r="F1022" s="2" t="s">
        <v>31</v>
      </c>
      <c r="G1022" s="2" t="s">
        <v>2483</v>
      </c>
      <c r="H1022" s="2" t="s">
        <v>2484</v>
      </c>
      <c r="I1022" s="2" t="s">
        <v>35</v>
      </c>
      <c r="J1022" s="2" t="s">
        <v>35</v>
      </c>
      <c r="K1022" s="2">
        <v>9</v>
      </c>
      <c r="L1022" s="2" t="s">
        <v>35</v>
      </c>
      <c r="M1022" s="2" t="s">
        <v>35</v>
      </c>
      <c r="N1022" s="3">
        <v>44753.450437650463</v>
      </c>
      <c r="O1022" s="3">
        <v>44753.450802604166</v>
      </c>
      <c r="P1022" s="2">
        <v>0</v>
      </c>
      <c r="Q1022" s="2" t="s">
        <v>265</v>
      </c>
      <c r="R1022" s="2" t="s">
        <v>38</v>
      </c>
      <c r="S1022" s="2" t="s">
        <v>35</v>
      </c>
      <c r="T1022" s="2" t="s">
        <v>35</v>
      </c>
      <c r="U1022" s="2" t="s">
        <v>35</v>
      </c>
      <c r="V1022" s="2" t="b">
        <v>0</v>
      </c>
      <c r="W1022" s="2" t="s">
        <v>35</v>
      </c>
      <c r="X1022" s="2" t="s">
        <v>35</v>
      </c>
      <c r="Y1022" s="2" t="s">
        <v>35</v>
      </c>
      <c r="Z1022" s="2" t="s">
        <v>35</v>
      </c>
    </row>
    <row r="1023" spans="1:26" x14ac:dyDescent="0.2">
      <c r="A1023" s="2" t="s">
        <v>2485</v>
      </c>
      <c r="B1023" s="2" t="b">
        <v>0</v>
      </c>
      <c r="C1023" s="2" t="b">
        <v>0</v>
      </c>
      <c r="D1023" s="2" t="b">
        <v>0</v>
      </c>
      <c r="E1023" s="2" t="b">
        <v>0</v>
      </c>
      <c r="F1023" s="2" t="s">
        <v>31</v>
      </c>
      <c r="G1023" s="2" t="s">
        <v>2486</v>
      </c>
      <c r="H1023" s="2" t="s">
        <v>2487</v>
      </c>
      <c r="I1023" s="2" t="s">
        <v>35</v>
      </c>
      <c r="J1023" s="2" t="s">
        <v>35</v>
      </c>
      <c r="K1023" s="2">
        <v>9</v>
      </c>
      <c r="L1023" s="2" t="s">
        <v>35</v>
      </c>
      <c r="M1023" s="2" t="s">
        <v>35</v>
      </c>
      <c r="N1023" s="3">
        <v>44753.450864687497</v>
      </c>
      <c r="O1023" s="3">
        <v>44753.451260405091</v>
      </c>
      <c r="P1023" s="2">
        <v>0</v>
      </c>
      <c r="Q1023" s="2" t="s">
        <v>265</v>
      </c>
      <c r="R1023" s="2" t="s">
        <v>38</v>
      </c>
      <c r="S1023" s="2" t="s">
        <v>35</v>
      </c>
      <c r="T1023" s="2" t="s">
        <v>35</v>
      </c>
      <c r="U1023" s="2" t="s">
        <v>35</v>
      </c>
      <c r="V1023" s="2" t="b">
        <v>0</v>
      </c>
      <c r="W1023" s="2" t="s">
        <v>35</v>
      </c>
      <c r="X1023" s="2" t="s">
        <v>35</v>
      </c>
      <c r="Y1023" s="2" t="s">
        <v>35</v>
      </c>
      <c r="Z1023" s="2" t="s">
        <v>35</v>
      </c>
    </row>
    <row r="1024" spans="1:26" x14ac:dyDescent="0.2">
      <c r="A1024" s="2" t="s">
        <v>2488</v>
      </c>
      <c r="B1024" s="2" t="b">
        <v>0</v>
      </c>
      <c r="C1024" s="2" t="b">
        <v>0</v>
      </c>
      <c r="D1024" s="2" t="b">
        <v>0</v>
      </c>
      <c r="E1024" s="2" t="b">
        <v>0</v>
      </c>
      <c r="F1024" s="2" t="s">
        <v>31</v>
      </c>
      <c r="G1024" s="2" t="s">
        <v>2489</v>
      </c>
      <c r="H1024" s="2" t="s">
        <v>2490</v>
      </c>
      <c r="I1024" s="2" t="s">
        <v>675</v>
      </c>
      <c r="J1024" s="2" t="s">
        <v>35</v>
      </c>
      <c r="K1024" s="2" t="s">
        <v>35</v>
      </c>
      <c r="L1024" s="2" t="s">
        <v>35</v>
      </c>
      <c r="M1024" s="2" t="s">
        <v>35</v>
      </c>
      <c r="N1024" s="3">
        <v>44753.451982592589</v>
      </c>
      <c r="O1024" s="3">
        <v>44753.452129062498</v>
      </c>
      <c r="P1024" s="2">
        <v>0</v>
      </c>
      <c r="Q1024" s="2" t="s">
        <v>124</v>
      </c>
      <c r="R1024" s="2" t="s">
        <v>38</v>
      </c>
      <c r="S1024" s="2" t="s">
        <v>35</v>
      </c>
      <c r="T1024" s="2" t="s">
        <v>35</v>
      </c>
      <c r="U1024" s="2" t="s">
        <v>35</v>
      </c>
      <c r="V1024" s="2" t="b">
        <v>0</v>
      </c>
      <c r="W1024" s="2" t="s">
        <v>35</v>
      </c>
      <c r="X1024" s="2">
        <v>4</v>
      </c>
      <c r="Y1024" s="2" t="s">
        <v>35</v>
      </c>
      <c r="Z1024" s="2" t="s">
        <v>35</v>
      </c>
    </row>
    <row r="1025" spans="1:26" x14ac:dyDescent="0.2">
      <c r="A1025" s="2" t="s">
        <v>2491</v>
      </c>
      <c r="B1025" s="2" t="b">
        <v>0</v>
      </c>
      <c r="C1025" s="2" t="b">
        <v>0</v>
      </c>
      <c r="D1025" s="2" t="b">
        <v>0</v>
      </c>
      <c r="E1025" s="2" t="b">
        <v>0</v>
      </c>
      <c r="F1025" s="2" t="s">
        <v>31</v>
      </c>
      <c r="G1025" s="2" t="s">
        <v>2492</v>
      </c>
      <c r="H1025" s="2" t="s">
        <v>2493</v>
      </c>
      <c r="I1025" s="2" t="s">
        <v>1647</v>
      </c>
      <c r="J1025" s="2" t="s">
        <v>35</v>
      </c>
      <c r="K1025" s="2" t="s">
        <v>35</v>
      </c>
      <c r="L1025" s="2" t="s">
        <v>35</v>
      </c>
      <c r="M1025" s="2" t="s">
        <v>35</v>
      </c>
      <c r="N1025" s="3">
        <v>44753.453767326391</v>
      </c>
      <c r="O1025" s="3">
        <v>44753.454161643516</v>
      </c>
      <c r="P1025" s="2">
        <v>0</v>
      </c>
      <c r="Q1025" s="2" t="s">
        <v>36</v>
      </c>
      <c r="R1025" s="2" t="s">
        <v>38</v>
      </c>
      <c r="S1025" s="2" t="s">
        <v>35</v>
      </c>
      <c r="T1025" s="2" t="s">
        <v>35</v>
      </c>
      <c r="U1025" s="2" t="s">
        <v>35</v>
      </c>
      <c r="V1025" s="2" t="b">
        <v>0</v>
      </c>
      <c r="W1025" s="2" t="s">
        <v>35</v>
      </c>
      <c r="X1025" s="2" t="s">
        <v>35</v>
      </c>
      <c r="Y1025" s="2">
        <v>4</v>
      </c>
      <c r="Z1025" s="2" t="s">
        <v>35</v>
      </c>
    </row>
    <row r="1026" spans="1:26" x14ac:dyDescent="0.2">
      <c r="A1026" s="2" t="s">
        <v>2494</v>
      </c>
      <c r="B1026" s="2" t="b">
        <v>0</v>
      </c>
      <c r="C1026" s="2" t="b">
        <v>0</v>
      </c>
      <c r="D1026" s="2" t="b">
        <v>0</v>
      </c>
      <c r="E1026" s="2" t="b">
        <v>0</v>
      </c>
      <c r="F1026" s="2" t="s">
        <v>31</v>
      </c>
      <c r="G1026" s="2" t="s">
        <v>2495</v>
      </c>
      <c r="H1026" s="2" t="s">
        <v>2496</v>
      </c>
      <c r="I1026" s="2" t="s">
        <v>2497</v>
      </c>
      <c r="J1026" s="2" t="s">
        <v>35</v>
      </c>
      <c r="K1026" s="2" t="s">
        <v>35</v>
      </c>
      <c r="L1026" s="2" t="s">
        <v>35</v>
      </c>
      <c r="M1026" s="2" t="s">
        <v>35</v>
      </c>
      <c r="N1026" s="3">
        <v>44753.455829016202</v>
      </c>
      <c r="O1026" s="3">
        <v>44753.456030787034</v>
      </c>
      <c r="P1026" s="2">
        <v>0</v>
      </c>
      <c r="Q1026" s="2" t="s">
        <v>36</v>
      </c>
      <c r="R1026" s="2" t="s">
        <v>38</v>
      </c>
      <c r="S1026" s="2" t="s">
        <v>35</v>
      </c>
      <c r="T1026" s="2" t="s">
        <v>35</v>
      </c>
      <c r="U1026" s="2" t="s">
        <v>35</v>
      </c>
      <c r="V1026" s="2" t="b">
        <v>0</v>
      </c>
      <c r="W1026" s="2" t="s">
        <v>35</v>
      </c>
      <c r="X1026" s="2" t="s">
        <v>35</v>
      </c>
      <c r="Y1026" s="2" t="s">
        <v>35</v>
      </c>
      <c r="Z1026" s="2" t="s">
        <v>35</v>
      </c>
    </row>
    <row r="1027" spans="1:26" x14ac:dyDescent="0.2">
      <c r="A1027" s="2" t="s">
        <v>2498</v>
      </c>
      <c r="B1027" s="2" t="b">
        <v>0</v>
      </c>
      <c r="C1027" s="2" t="b">
        <v>0</v>
      </c>
      <c r="D1027" s="2" t="b">
        <v>0</v>
      </c>
      <c r="E1027" s="2" t="b">
        <v>0</v>
      </c>
      <c r="F1027" s="2" t="s">
        <v>31</v>
      </c>
      <c r="G1027" s="2" t="s">
        <v>2499</v>
      </c>
      <c r="H1027" s="2" t="s">
        <v>2500</v>
      </c>
      <c r="I1027" s="2" t="s">
        <v>35</v>
      </c>
      <c r="J1027" s="2" t="s">
        <v>35</v>
      </c>
      <c r="K1027" s="2" t="s">
        <v>35</v>
      </c>
      <c r="L1027" s="2" t="s">
        <v>35</v>
      </c>
      <c r="M1027" s="2" t="s">
        <v>35</v>
      </c>
      <c r="N1027" s="3">
        <v>44753.458490960649</v>
      </c>
      <c r="O1027" s="3">
        <v>44753.458685810183</v>
      </c>
      <c r="P1027" s="2">
        <v>0</v>
      </c>
      <c r="Q1027" s="2" t="s">
        <v>36</v>
      </c>
      <c r="R1027" s="2" t="s">
        <v>38</v>
      </c>
      <c r="S1027" s="2" t="s">
        <v>35</v>
      </c>
      <c r="T1027" s="2" t="s">
        <v>35</v>
      </c>
      <c r="U1027" s="2" t="s">
        <v>35</v>
      </c>
      <c r="V1027" s="2" t="b">
        <v>0</v>
      </c>
      <c r="W1027" s="2" t="s">
        <v>35</v>
      </c>
      <c r="X1027" s="2" t="s">
        <v>35</v>
      </c>
      <c r="Y1027" s="2" t="s">
        <v>35</v>
      </c>
      <c r="Z1027" s="2">
        <v>2</v>
      </c>
    </row>
    <row r="1028" spans="1:26" x14ac:dyDescent="0.2">
      <c r="A1028" s="2" t="s">
        <v>2501</v>
      </c>
      <c r="B1028" s="2" t="b">
        <v>0</v>
      </c>
      <c r="C1028" s="2" t="b">
        <v>0</v>
      </c>
      <c r="D1028" s="2" t="b">
        <v>0</v>
      </c>
      <c r="E1028" s="2" t="b">
        <v>0</v>
      </c>
      <c r="F1028" s="2" t="s">
        <v>31</v>
      </c>
      <c r="G1028" s="2" t="s">
        <v>2502</v>
      </c>
      <c r="H1028" s="2" t="s">
        <v>2503</v>
      </c>
      <c r="I1028" s="2" t="s">
        <v>1647</v>
      </c>
      <c r="J1028" s="2" t="s">
        <v>35</v>
      </c>
      <c r="K1028" s="2" t="s">
        <v>35</v>
      </c>
      <c r="L1028" s="2" t="s">
        <v>35</v>
      </c>
      <c r="M1028" s="2" t="s">
        <v>35</v>
      </c>
      <c r="N1028" s="3">
        <v>44753.459483923609</v>
      </c>
      <c r="O1028" s="3">
        <v>44753.459821631943</v>
      </c>
      <c r="P1028" s="2">
        <v>0</v>
      </c>
      <c r="Q1028" s="2" t="s">
        <v>36</v>
      </c>
      <c r="R1028" s="2" t="s">
        <v>38</v>
      </c>
      <c r="S1028" s="2" t="s">
        <v>35</v>
      </c>
      <c r="T1028" s="2" t="s">
        <v>35</v>
      </c>
      <c r="U1028" s="2" t="s">
        <v>35</v>
      </c>
      <c r="V1028" s="2" t="b">
        <v>0</v>
      </c>
      <c r="W1028" s="2" t="s">
        <v>35</v>
      </c>
      <c r="X1028" s="2" t="s">
        <v>35</v>
      </c>
      <c r="Y1028" s="2">
        <v>4</v>
      </c>
      <c r="Z1028" s="2" t="s">
        <v>35</v>
      </c>
    </row>
    <row r="1029" spans="1:26" x14ac:dyDescent="0.2">
      <c r="A1029" s="2" t="s">
        <v>2504</v>
      </c>
      <c r="B1029" s="2" t="b">
        <v>0</v>
      </c>
      <c r="C1029" s="2" t="b">
        <v>0</v>
      </c>
      <c r="D1029" s="2" t="b">
        <v>0</v>
      </c>
      <c r="E1029" s="2" t="b">
        <v>0</v>
      </c>
      <c r="F1029" s="2" t="s">
        <v>31</v>
      </c>
      <c r="G1029" s="2" t="s">
        <v>2505</v>
      </c>
      <c r="H1029" s="2" t="s">
        <v>2506</v>
      </c>
      <c r="I1029" s="2" t="s">
        <v>35</v>
      </c>
      <c r="J1029" s="2" t="s">
        <v>35</v>
      </c>
      <c r="K1029" s="2" t="s">
        <v>35</v>
      </c>
      <c r="L1029" s="2" t="s">
        <v>35</v>
      </c>
      <c r="M1029" s="2" t="s">
        <v>35</v>
      </c>
      <c r="N1029" s="3">
        <v>44753.461329224534</v>
      </c>
      <c r="O1029" s="3">
        <v>44753.461434687502</v>
      </c>
      <c r="P1029" s="2">
        <v>0</v>
      </c>
      <c r="Q1029" s="2" t="s">
        <v>36</v>
      </c>
      <c r="R1029" s="2" t="s">
        <v>38</v>
      </c>
      <c r="S1029" s="2" t="s">
        <v>35</v>
      </c>
      <c r="T1029" s="2" t="s">
        <v>35</v>
      </c>
      <c r="U1029" s="2" t="s">
        <v>35</v>
      </c>
      <c r="V1029" s="2" t="b">
        <v>0</v>
      </c>
      <c r="W1029" s="2" t="s">
        <v>35</v>
      </c>
      <c r="X1029" s="2" t="s">
        <v>35</v>
      </c>
      <c r="Y1029" s="2" t="s">
        <v>35</v>
      </c>
      <c r="Z1029" s="2">
        <v>2</v>
      </c>
    </row>
    <row r="1030" spans="1:26" x14ac:dyDescent="0.2">
      <c r="A1030" s="2" t="s">
        <v>2507</v>
      </c>
      <c r="B1030" s="2" t="b">
        <v>0</v>
      </c>
      <c r="C1030" s="2" t="b">
        <v>0</v>
      </c>
      <c r="D1030" s="2" t="b">
        <v>0</v>
      </c>
      <c r="E1030" s="2" t="b">
        <v>0</v>
      </c>
      <c r="F1030" s="2" t="s">
        <v>31</v>
      </c>
      <c r="G1030" s="2" t="s">
        <v>2508</v>
      </c>
      <c r="H1030" s="2" t="s">
        <v>2509</v>
      </c>
      <c r="I1030" s="2" t="s">
        <v>35</v>
      </c>
      <c r="J1030" s="2" t="s">
        <v>35</v>
      </c>
      <c r="K1030" s="2" t="s">
        <v>35</v>
      </c>
      <c r="L1030" s="2" t="s">
        <v>35</v>
      </c>
      <c r="M1030" s="2" t="s">
        <v>35</v>
      </c>
      <c r="N1030" s="3">
        <v>44753.464535208332</v>
      </c>
      <c r="O1030" s="3">
        <v>44753.464778113426</v>
      </c>
      <c r="P1030" s="2">
        <v>0</v>
      </c>
      <c r="Q1030" s="2" t="s">
        <v>36</v>
      </c>
      <c r="R1030" s="2" t="s">
        <v>38</v>
      </c>
      <c r="S1030" s="2" t="s">
        <v>35</v>
      </c>
      <c r="T1030" s="2" t="s">
        <v>35</v>
      </c>
      <c r="U1030" s="2" t="s">
        <v>35</v>
      </c>
      <c r="V1030" s="2" t="b">
        <v>0</v>
      </c>
      <c r="W1030" s="2" t="s">
        <v>35</v>
      </c>
      <c r="X1030" s="2" t="s">
        <v>35</v>
      </c>
      <c r="Y1030" s="2" t="s">
        <v>35</v>
      </c>
      <c r="Z1030" s="2">
        <v>3</v>
      </c>
    </row>
    <row r="1031" spans="1:26" x14ac:dyDescent="0.2">
      <c r="A1031" s="2" t="s">
        <v>2510</v>
      </c>
      <c r="B1031" s="2" t="b">
        <v>0</v>
      </c>
      <c r="C1031" s="2" t="b">
        <v>0</v>
      </c>
      <c r="D1031" s="2" t="b">
        <v>0</v>
      </c>
      <c r="E1031" s="2" t="b">
        <v>0</v>
      </c>
      <c r="F1031" s="2" t="s">
        <v>31</v>
      </c>
      <c r="G1031" s="2" t="s">
        <v>2511</v>
      </c>
      <c r="H1031" s="2" t="s">
        <v>2512</v>
      </c>
      <c r="I1031" s="2" t="s">
        <v>35</v>
      </c>
      <c r="J1031" s="2" t="s">
        <v>35</v>
      </c>
      <c r="K1031" s="2" t="s">
        <v>35</v>
      </c>
      <c r="L1031" s="2" t="s">
        <v>35</v>
      </c>
      <c r="M1031" s="2" t="s">
        <v>35</v>
      </c>
      <c r="N1031" s="3">
        <v>44753.468514444445</v>
      </c>
      <c r="O1031" s="3">
        <v>44753.469404583331</v>
      </c>
      <c r="P1031" s="2">
        <v>0</v>
      </c>
      <c r="Q1031" s="2" t="s">
        <v>36</v>
      </c>
      <c r="R1031" s="2" t="s">
        <v>38</v>
      </c>
      <c r="S1031" s="2" t="s">
        <v>35</v>
      </c>
      <c r="T1031" s="2" t="s">
        <v>35</v>
      </c>
      <c r="U1031" s="2" t="s">
        <v>35</v>
      </c>
      <c r="V1031" s="2" t="b">
        <v>0</v>
      </c>
      <c r="W1031" s="2" t="s">
        <v>35</v>
      </c>
      <c r="X1031" s="2" t="s">
        <v>35</v>
      </c>
      <c r="Y1031" s="2" t="s">
        <v>35</v>
      </c>
      <c r="Z1031" s="2">
        <v>2</v>
      </c>
    </row>
    <row r="1032" spans="1:26" x14ac:dyDescent="0.2">
      <c r="A1032" s="2" t="s">
        <v>2513</v>
      </c>
      <c r="B1032" s="2" t="b">
        <v>0</v>
      </c>
      <c r="C1032" s="2" t="b">
        <v>0</v>
      </c>
      <c r="D1032" s="2" t="b">
        <v>0</v>
      </c>
      <c r="E1032" s="2" t="b">
        <v>0</v>
      </c>
      <c r="F1032" s="2" t="s">
        <v>31</v>
      </c>
      <c r="G1032" s="2" t="s">
        <v>2514</v>
      </c>
      <c r="H1032" s="2" t="s">
        <v>2515</v>
      </c>
      <c r="I1032" s="2" t="s">
        <v>35</v>
      </c>
      <c r="J1032" s="2" t="s">
        <v>35</v>
      </c>
      <c r="K1032" s="2" t="s">
        <v>35</v>
      </c>
      <c r="L1032" s="2" t="s">
        <v>35</v>
      </c>
      <c r="M1032" s="2" t="s">
        <v>35</v>
      </c>
      <c r="N1032" s="3">
        <v>44753.470408611109</v>
      </c>
      <c r="O1032" s="3">
        <v>44753.470503680554</v>
      </c>
      <c r="P1032" s="2">
        <v>0</v>
      </c>
      <c r="Q1032" s="2" t="s">
        <v>36</v>
      </c>
      <c r="R1032" s="2" t="s">
        <v>38</v>
      </c>
      <c r="S1032" s="2" t="s">
        <v>35</v>
      </c>
      <c r="T1032" s="2" t="s">
        <v>35</v>
      </c>
      <c r="U1032" s="2" t="s">
        <v>35</v>
      </c>
      <c r="V1032" s="2" t="b">
        <v>0</v>
      </c>
      <c r="W1032" s="2" t="s">
        <v>35</v>
      </c>
      <c r="X1032" s="2" t="s">
        <v>35</v>
      </c>
      <c r="Y1032" s="2" t="s">
        <v>35</v>
      </c>
      <c r="Z1032" s="2">
        <v>4</v>
      </c>
    </row>
    <row r="1033" spans="1:26" x14ac:dyDescent="0.2">
      <c r="A1033" s="2" t="s">
        <v>2516</v>
      </c>
      <c r="B1033" s="2" t="b">
        <v>0</v>
      </c>
      <c r="C1033" s="2" t="b">
        <v>0</v>
      </c>
      <c r="D1033" s="2" t="b">
        <v>0</v>
      </c>
      <c r="E1033" s="2" t="b">
        <v>0</v>
      </c>
      <c r="F1033" s="2" t="s">
        <v>31</v>
      </c>
      <c r="G1033" s="2" t="s">
        <v>2517</v>
      </c>
      <c r="H1033" s="2" t="s">
        <v>2518</v>
      </c>
      <c r="I1033" s="2" t="s">
        <v>35</v>
      </c>
      <c r="J1033" s="2" t="s">
        <v>35</v>
      </c>
      <c r="K1033" s="2" t="s">
        <v>35</v>
      </c>
      <c r="L1033" s="2" t="s">
        <v>35</v>
      </c>
      <c r="M1033" s="2" t="s">
        <v>35</v>
      </c>
      <c r="N1033" s="3">
        <v>44753.471518506944</v>
      </c>
      <c r="O1033" s="3">
        <v>44753.471624594909</v>
      </c>
      <c r="P1033" s="2">
        <v>0</v>
      </c>
      <c r="Q1033" s="2" t="s">
        <v>36</v>
      </c>
      <c r="R1033" s="2" t="s">
        <v>38</v>
      </c>
      <c r="S1033" s="2" t="s">
        <v>35</v>
      </c>
      <c r="T1033" s="2" t="s">
        <v>35</v>
      </c>
      <c r="U1033" s="2" t="s">
        <v>35</v>
      </c>
      <c r="V1033" s="2" t="b">
        <v>0</v>
      </c>
      <c r="W1033" s="2" t="s">
        <v>35</v>
      </c>
      <c r="X1033" s="2" t="s">
        <v>35</v>
      </c>
      <c r="Y1033" s="2" t="s">
        <v>35</v>
      </c>
      <c r="Z1033" s="2">
        <v>3</v>
      </c>
    </row>
    <row r="1034" spans="1:26" x14ac:dyDescent="0.2">
      <c r="A1034" s="2" t="s">
        <v>2519</v>
      </c>
      <c r="B1034" s="2" t="b">
        <v>0</v>
      </c>
      <c r="C1034" s="2" t="b">
        <v>0</v>
      </c>
      <c r="D1034" s="2" t="b">
        <v>0</v>
      </c>
      <c r="E1034" s="2" t="b">
        <v>0</v>
      </c>
      <c r="F1034" s="2" t="s">
        <v>31</v>
      </c>
      <c r="G1034" s="2" t="s">
        <v>2520</v>
      </c>
      <c r="H1034" s="2" t="s">
        <v>2521</v>
      </c>
      <c r="I1034" s="2" t="s">
        <v>35</v>
      </c>
      <c r="J1034" s="2" t="s">
        <v>35</v>
      </c>
      <c r="K1034" s="2" t="s">
        <v>35</v>
      </c>
      <c r="L1034" s="2">
        <v>6</v>
      </c>
      <c r="M1034" s="2">
        <v>14</v>
      </c>
      <c r="N1034" s="3">
        <v>44753.473779687498</v>
      </c>
      <c r="O1034" s="3">
        <v>44753.474067407406</v>
      </c>
      <c r="P1034" s="2">
        <v>0</v>
      </c>
      <c r="Q1034" s="2" t="s">
        <v>54</v>
      </c>
      <c r="R1034" s="2" t="s">
        <v>38</v>
      </c>
      <c r="S1034" s="2" t="s">
        <v>35</v>
      </c>
      <c r="T1034" s="2" t="s">
        <v>35</v>
      </c>
      <c r="U1034" s="2" t="s">
        <v>35</v>
      </c>
      <c r="V1034" s="2" t="b">
        <v>0</v>
      </c>
      <c r="W1034" s="2" t="s">
        <v>35</v>
      </c>
      <c r="X1034" s="2" t="s">
        <v>35</v>
      </c>
      <c r="Y1034" s="2" t="s">
        <v>35</v>
      </c>
      <c r="Z1034" s="2" t="s">
        <v>35</v>
      </c>
    </row>
    <row r="1035" spans="1:26" x14ac:dyDescent="0.2">
      <c r="A1035" s="2" t="s">
        <v>2522</v>
      </c>
      <c r="B1035" s="2" t="b">
        <v>0</v>
      </c>
      <c r="C1035" s="2" t="b">
        <v>0</v>
      </c>
      <c r="D1035" s="2" t="b">
        <v>0</v>
      </c>
      <c r="E1035" s="2" t="b">
        <v>0</v>
      </c>
      <c r="F1035" s="2" t="s">
        <v>31</v>
      </c>
      <c r="G1035" s="2" t="s">
        <v>2523</v>
      </c>
      <c r="H1035" s="2" t="s">
        <v>2524</v>
      </c>
      <c r="I1035" s="2" t="s">
        <v>35</v>
      </c>
      <c r="J1035" s="2" t="s">
        <v>35</v>
      </c>
      <c r="K1035" s="2" t="s">
        <v>35</v>
      </c>
      <c r="L1035" s="2" t="s">
        <v>35</v>
      </c>
      <c r="M1035" s="2" t="s">
        <v>35</v>
      </c>
      <c r="N1035" s="3">
        <v>44753.474259155089</v>
      </c>
      <c r="O1035" s="3">
        <v>44753.475287013891</v>
      </c>
      <c r="P1035" s="2">
        <v>0</v>
      </c>
      <c r="Q1035" s="2" t="s">
        <v>36</v>
      </c>
      <c r="R1035" s="2" t="s">
        <v>38</v>
      </c>
      <c r="S1035" s="2" t="s">
        <v>35</v>
      </c>
      <c r="T1035" s="2" t="s">
        <v>35</v>
      </c>
      <c r="U1035" s="2" t="s">
        <v>35</v>
      </c>
      <c r="V1035" s="2" t="b">
        <v>0</v>
      </c>
      <c r="W1035" s="2" t="s">
        <v>2525</v>
      </c>
      <c r="X1035" s="2" t="s">
        <v>35</v>
      </c>
      <c r="Y1035" s="2" t="s">
        <v>35</v>
      </c>
      <c r="Z1035" s="2" t="s">
        <v>35</v>
      </c>
    </row>
    <row r="1036" spans="1:26" x14ac:dyDescent="0.2">
      <c r="A1036" s="2" t="s">
        <v>2526</v>
      </c>
      <c r="B1036" s="2" t="b">
        <v>0</v>
      </c>
      <c r="C1036" s="2" t="b">
        <v>0</v>
      </c>
      <c r="D1036" s="2" t="b">
        <v>0</v>
      </c>
      <c r="E1036" s="2" t="b">
        <v>0</v>
      </c>
      <c r="F1036" s="2" t="s">
        <v>31</v>
      </c>
      <c r="G1036" s="2" t="s">
        <v>2527</v>
      </c>
      <c r="H1036" s="2" t="s">
        <v>2528</v>
      </c>
      <c r="I1036" s="2" t="s">
        <v>35</v>
      </c>
      <c r="J1036" s="2" t="s">
        <v>35</v>
      </c>
      <c r="K1036" s="2" t="s">
        <v>35</v>
      </c>
      <c r="L1036" s="2">
        <v>6</v>
      </c>
      <c r="M1036" s="2">
        <v>14</v>
      </c>
      <c r="N1036" s="3">
        <v>44753.476617002314</v>
      </c>
      <c r="O1036" s="3">
        <v>44753.476777627315</v>
      </c>
      <c r="P1036" s="2">
        <v>0</v>
      </c>
      <c r="Q1036" s="2" t="s">
        <v>54</v>
      </c>
      <c r="R1036" s="2" t="s">
        <v>38</v>
      </c>
      <c r="S1036" s="2" t="s">
        <v>35</v>
      </c>
      <c r="T1036" s="2" t="s">
        <v>35</v>
      </c>
      <c r="U1036" s="2" t="s">
        <v>35</v>
      </c>
      <c r="V1036" s="2" t="b">
        <v>0</v>
      </c>
      <c r="W1036" s="2" t="s">
        <v>35</v>
      </c>
      <c r="X1036" s="2" t="s">
        <v>35</v>
      </c>
      <c r="Y1036" s="2" t="s">
        <v>35</v>
      </c>
      <c r="Z1036" s="2" t="s">
        <v>35</v>
      </c>
    </row>
    <row r="1037" spans="1:26" x14ac:dyDescent="0.2">
      <c r="A1037" s="2" t="s">
        <v>2529</v>
      </c>
      <c r="B1037" s="2" t="b">
        <v>0</v>
      </c>
      <c r="C1037" s="2" t="b">
        <v>0</v>
      </c>
      <c r="D1037" s="2" t="b">
        <v>0</v>
      </c>
      <c r="E1037" s="2" t="b">
        <v>0</v>
      </c>
      <c r="F1037" s="2" t="s">
        <v>31</v>
      </c>
      <c r="G1037" s="2" t="s">
        <v>2530</v>
      </c>
      <c r="H1037" s="2" t="s">
        <v>2531</v>
      </c>
      <c r="I1037" s="2" t="s">
        <v>35</v>
      </c>
      <c r="J1037" s="2" t="s">
        <v>35</v>
      </c>
      <c r="K1037" s="2" t="s">
        <v>35</v>
      </c>
      <c r="L1037" s="2">
        <v>6</v>
      </c>
      <c r="M1037" s="2">
        <v>14</v>
      </c>
      <c r="N1037" s="3">
        <v>44753.477094004629</v>
      </c>
      <c r="O1037" s="3">
        <v>44753.477235324077</v>
      </c>
      <c r="P1037" s="2">
        <v>0</v>
      </c>
      <c r="Q1037" s="2" t="s">
        <v>54</v>
      </c>
      <c r="R1037" s="2" t="s">
        <v>38</v>
      </c>
      <c r="S1037" s="2" t="s">
        <v>35</v>
      </c>
      <c r="T1037" s="2" t="s">
        <v>35</v>
      </c>
      <c r="U1037" s="2" t="s">
        <v>35</v>
      </c>
      <c r="V1037" s="2" t="b">
        <v>0</v>
      </c>
      <c r="W1037" s="2" t="s">
        <v>35</v>
      </c>
      <c r="X1037" s="2" t="s">
        <v>35</v>
      </c>
      <c r="Y1037" s="2" t="s">
        <v>35</v>
      </c>
      <c r="Z1037" s="2" t="s">
        <v>35</v>
      </c>
    </row>
    <row r="1038" spans="1:26" x14ac:dyDescent="0.2">
      <c r="A1038" s="2" t="s">
        <v>2532</v>
      </c>
      <c r="B1038" s="2" t="b">
        <v>0</v>
      </c>
      <c r="C1038" s="2" t="b">
        <v>0</v>
      </c>
      <c r="D1038" s="2" t="b">
        <v>0</v>
      </c>
      <c r="E1038" s="2" t="b">
        <v>0</v>
      </c>
      <c r="F1038" s="2" t="s">
        <v>31</v>
      </c>
      <c r="G1038" s="2" t="s">
        <v>2533</v>
      </c>
      <c r="H1038" s="2" t="s">
        <v>2534</v>
      </c>
      <c r="I1038" s="2" t="s">
        <v>35</v>
      </c>
      <c r="J1038" s="2" t="s">
        <v>35</v>
      </c>
      <c r="K1038" s="2" t="s">
        <v>35</v>
      </c>
      <c r="L1038" s="2" t="s">
        <v>35</v>
      </c>
      <c r="M1038" s="2" t="s">
        <v>35</v>
      </c>
      <c r="N1038" s="3">
        <v>44753.477337824072</v>
      </c>
      <c r="O1038" s="3">
        <v>44753.477637673612</v>
      </c>
      <c r="P1038" s="2">
        <v>0</v>
      </c>
      <c r="Q1038" s="2" t="s">
        <v>36</v>
      </c>
      <c r="R1038" s="2" t="s">
        <v>38</v>
      </c>
      <c r="S1038" s="2" t="s">
        <v>35</v>
      </c>
      <c r="T1038" s="2" t="s">
        <v>35</v>
      </c>
      <c r="U1038" s="2" t="s">
        <v>35</v>
      </c>
      <c r="V1038" s="2" t="b">
        <v>0</v>
      </c>
      <c r="W1038" s="2" t="s">
        <v>2535</v>
      </c>
      <c r="X1038" s="2" t="s">
        <v>35</v>
      </c>
      <c r="Y1038" s="2" t="s">
        <v>35</v>
      </c>
      <c r="Z1038" s="2" t="s">
        <v>35</v>
      </c>
    </row>
    <row r="1039" spans="1:26" x14ac:dyDescent="0.2">
      <c r="A1039" s="2" t="s">
        <v>2536</v>
      </c>
      <c r="B1039" s="2" t="b">
        <v>0</v>
      </c>
      <c r="C1039" s="2" t="b">
        <v>0</v>
      </c>
      <c r="D1039" s="2" t="b">
        <v>0</v>
      </c>
      <c r="E1039" s="2" t="b">
        <v>0</v>
      </c>
      <c r="F1039" s="2" t="s">
        <v>31</v>
      </c>
      <c r="G1039" s="2" t="s">
        <v>2537</v>
      </c>
      <c r="H1039" s="2" t="s">
        <v>2538</v>
      </c>
      <c r="I1039" s="2" t="s">
        <v>35</v>
      </c>
      <c r="J1039" s="2" t="s">
        <v>35</v>
      </c>
      <c r="K1039" s="2" t="s">
        <v>35</v>
      </c>
      <c r="L1039" s="2">
        <v>6</v>
      </c>
      <c r="M1039" s="2">
        <v>14</v>
      </c>
      <c r="N1039" s="3">
        <v>44753.477733564818</v>
      </c>
      <c r="O1039" s="3">
        <v>44753.477910173613</v>
      </c>
      <c r="P1039" s="2">
        <v>0</v>
      </c>
      <c r="Q1039" s="2" t="s">
        <v>54</v>
      </c>
      <c r="R1039" s="2" t="s">
        <v>38</v>
      </c>
      <c r="S1039" s="2" t="s">
        <v>35</v>
      </c>
      <c r="T1039" s="2" t="s">
        <v>35</v>
      </c>
      <c r="U1039" s="2" t="s">
        <v>35</v>
      </c>
      <c r="V1039" s="2" t="b">
        <v>0</v>
      </c>
      <c r="W1039" s="2" t="s">
        <v>35</v>
      </c>
      <c r="X1039" s="2" t="s">
        <v>35</v>
      </c>
      <c r="Y1039" s="2" t="s">
        <v>35</v>
      </c>
      <c r="Z1039" s="2" t="s">
        <v>35</v>
      </c>
    </row>
    <row r="1040" spans="1:26" x14ac:dyDescent="0.2">
      <c r="A1040" s="2" t="s">
        <v>2539</v>
      </c>
      <c r="B1040" s="2" t="b">
        <v>0</v>
      </c>
      <c r="C1040" s="2" t="b">
        <v>0</v>
      </c>
      <c r="D1040" s="2" t="b">
        <v>0</v>
      </c>
      <c r="E1040" s="2" t="b">
        <v>0</v>
      </c>
      <c r="F1040" s="2" t="s">
        <v>31</v>
      </c>
      <c r="G1040" s="2" t="s">
        <v>149</v>
      </c>
      <c r="H1040" s="2" t="s">
        <v>2540</v>
      </c>
      <c r="I1040" s="2" t="s">
        <v>35</v>
      </c>
      <c r="J1040" s="2" t="s">
        <v>35</v>
      </c>
      <c r="K1040" s="2" t="s">
        <v>35</v>
      </c>
      <c r="L1040" s="2" t="s">
        <v>35</v>
      </c>
      <c r="M1040" s="2" t="s">
        <v>35</v>
      </c>
      <c r="N1040" s="3">
        <v>44753.478037650464</v>
      </c>
      <c r="O1040" s="3">
        <v>44753.478309409722</v>
      </c>
      <c r="P1040" s="2">
        <v>0</v>
      </c>
      <c r="Q1040" s="2" t="s">
        <v>36</v>
      </c>
      <c r="R1040" s="2" t="s">
        <v>38</v>
      </c>
      <c r="S1040" s="2" t="s">
        <v>35</v>
      </c>
      <c r="T1040" s="2" t="s">
        <v>35</v>
      </c>
      <c r="U1040" s="2" t="s">
        <v>35</v>
      </c>
      <c r="V1040" s="2" t="b">
        <v>0</v>
      </c>
      <c r="W1040" s="2" t="s">
        <v>2541</v>
      </c>
      <c r="X1040" s="2" t="s">
        <v>35</v>
      </c>
      <c r="Y1040" s="2" t="s">
        <v>35</v>
      </c>
      <c r="Z1040" s="2" t="s">
        <v>35</v>
      </c>
    </row>
    <row r="1041" spans="1:26" x14ac:dyDescent="0.2">
      <c r="A1041" s="2" t="s">
        <v>2542</v>
      </c>
      <c r="B1041" s="2" t="b">
        <v>0</v>
      </c>
      <c r="C1041" s="2" t="b">
        <v>0</v>
      </c>
      <c r="D1041" s="2" t="b">
        <v>0</v>
      </c>
      <c r="E1041" s="2" t="b">
        <v>0</v>
      </c>
      <c r="F1041" s="2" t="s">
        <v>31</v>
      </c>
      <c r="G1041" s="2" t="s">
        <v>2543</v>
      </c>
      <c r="H1041" s="2" t="s">
        <v>2544</v>
      </c>
      <c r="I1041" s="2" t="s">
        <v>2545</v>
      </c>
      <c r="J1041" s="2" t="s">
        <v>35</v>
      </c>
      <c r="K1041" s="2" t="s">
        <v>35</v>
      </c>
      <c r="L1041" s="2" t="s">
        <v>35</v>
      </c>
      <c r="M1041" s="2" t="s">
        <v>35</v>
      </c>
      <c r="N1041" s="3">
        <v>44753.478768472225</v>
      </c>
      <c r="O1041" s="3">
        <v>44753.478985937501</v>
      </c>
      <c r="P1041" s="2">
        <v>0</v>
      </c>
      <c r="Q1041" s="2" t="s">
        <v>36</v>
      </c>
      <c r="R1041" s="2" t="s">
        <v>38</v>
      </c>
      <c r="S1041" s="2" t="s">
        <v>35</v>
      </c>
      <c r="T1041" s="2" t="s">
        <v>35</v>
      </c>
      <c r="U1041" s="2" t="s">
        <v>35</v>
      </c>
      <c r="V1041" s="2" t="b">
        <v>0</v>
      </c>
      <c r="W1041" s="2" t="s">
        <v>35</v>
      </c>
      <c r="X1041" s="2" t="s">
        <v>35</v>
      </c>
      <c r="Y1041" s="2">
        <v>4</v>
      </c>
      <c r="Z1041" s="2" t="s">
        <v>35</v>
      </c>
    </row>
    <row r="1042" spans="1:26" x14ac:dyDescent="0.2">
      <c r="A1042" s="2" t="s">
        <v>2546</v>
      </c>
      <c r="B1042" s="2" t="b">
        <v>0</v>
      </c>
      <c r="C1042" s="2" t="b">
        <v>0</v>
      </c>
      <c r="D1042" s="2" t="b">
        <v>0</v>
      </c>
      <c r="E1042" s="2" t="b">
        <v>0</v>
      </c>
      <c r="F1042" s="2" t="s">
        <v>31</v>
      </c>
      <c r="G1042" s="2" t="s">
        <v>2547</v>
      </c>
      <c r="H1042" s="2" t="s">
        <v>2548</v>
      </c>
      <c r="I1042" s="2" t="s">
        <v>35</v>
      </c>
      <c r="J1042" s="2" t="s">
        <v>35</v>
      </c>
      <c r="K1042" s="2" t="s">
        <v>35</v>
      </c>
      <c r="L1042" s="2">
        <v>7</v>
      </c>
      <c r="M1042" s="2">
        <v>15</v>
      </c>
      <c r="N1042" s="3">
        <v>44753.479567997689</v>
      </c>
      <c r="O1042" s="3">
        <v>44753.479842025466</v>
      </c>
      <c r="P1042" s="2">
        <v>0</v>
      </c>
      <c r="Q1042" s="2" t="s">
        <v>54</v>
      </c>
      <c r="R1042" s="2" t="s">
        <v>38</v>
      </c>
      <c r="S1042" s="2" t="s">
        <v>35</v>
      </c>
      <c r="T1042" s="2" t="s">
        <v>35</v>
      </c>
      <c r="U1042" s="2" t="s">
        <v>35</v>
      </c>
      <c r="V1042" s="2" t="b">
        <v>0</v>
      </c>
      <c r="W1042" s="2" t="s">
        <v>35</v>
      </c>
      <c r="X1042" s="2" t="s">
        <v>35</v>
      </c>
      <c r="Y1042" s="2" t="s">
        <v>35</v>
      </c>
      <c r="Z1042" s="2" t="s">
        <v>35</v>
      </c>
    </row>
    <row r="1043" spans="1:26" x14ac:dyDescent="0.2">
      <c r="A1043" s="2" t="s">
        <v>2549</v>
      </c>
      <c r="B1043" s="2" t="b">
        <v>0</v>
      </c>
      <c r="C1043" s="2" t="b">
        <v>0</v>
      </c>
      <c r="D1043" s="2" t="b">
        <v>0</v>
      </c>
      <c r="E1043" s="2" t="b">
        <v>0</v>
      </c>
      <c r="F1043" s="2" t="s">
        <v>31</v>
      </c>
      <c r="G1043" s="2" t="s">
        <v>2550</v>
      </c>
      <c r="H1043" s="2" t="s">
        <v>2551</v>
      </c>
      <c r="I1043" s="2" t="s">
        <v>35</v>
      </c>
      <c r="J1043" s="2" t="s">
        <v>35</v>
      </c>
      <c r="K1043" s="2" t="s">
        <v>35</v>
      </c>
      <c r="L1043" s="2">
        <v>7</v>
      </c>
      <c r="M1043" s="2">
        <v>14</v>
      </c>
      <c r="N1043" s="3">
        <v>44753.479894606484</v>
      </c>
      <c r="O1043" s="3">
        <v>44753.480094236111</v>
      </c>
      <c r="P1043" s="2">
        <v>0</v>
      </c>
      <c r="Q1043" s="2" t="s">
        <v>54</v>
      </c>
      <c r="R1043" s="2" t="s">
        <v>38</v>
      </c>
      <c r="S1043" s="2" t="s">
        <v>35</v>
      </c>
      <c r="T1043" s="2" t="s">
        <v>35</v>
      </c>
      <c r="U1043" s="2" t="s">
        <v>35</v>
      </c>
      <c r="V1043" s="2" t="b">
        <v>0</v>
      </c>
      <c r="W1043" s="2" t="s">
        <v>35</v>
      </c>
      <c r="X1043" s="2" t="s">
        <v>35</v>
      </c>
      <c r="Y1043" s="2" t="s">
        <v>35</v>
      </c>
      <c r="Z1043" s="2" t="s">
        <v>35</v>
      </c>
    </row>
    <row r="1044" spans="1:26" x14ac:dyDescent="0.2">
      <c r="A1044" s="2" t="s">
        <v>2552</v>
      </c>
      <c r="B1044" s="2" t="b">
        <v>0</v>
      </c>
      <c r="C1044" s="2" t="b">
        <v>0</v>
      </c>
      <c r="D1044" s="2" t="b">
        <v>0</v>
      </c>
      <c r="E1044" s="2" t="b">
        <v>0</v>
      </c>
      <c r="F1044" s="2" t="s">
        <v>31</v>
      </c>
      <c r="G1044" s="2" t="s">
        <v>2553</v>
      </c>
      <c r="H1044" s="2" t="s">
        <v>2554</v>
      </c>
      <c r="I1044" s="2" t="s">
        <v>35</v>
      </c>
      <c r="J1044" s="2" t="s">
        <v>35</v>
      </c>
      <c r="K1044" s="2" t="s">
        <v>35</v>
      </c>
      <c r="L1044" s="2">
        <v>7</v>
      </c>
      <c r="M1044" s="2">
        <v>14</v>
      </c>
      <c r="N1044" s="3">
        <v>44753.480512615744</v>
      </c>
      <c r="O1044" s="3">
        <v>44753.480623321761</v>
      </c>
      <c r="P1044" s="2">
        <v>0</v>
      </c>
      <c r="Q1044" s="2" t="s">
        <v>54</v>
      </c>
      <c r="R1044" s="2" t="s">
        <v>38</v>
      </c>
      <c r="S1044" s="2" t="s">
        <v>35</v>
      </c>
      <c r="T1044" s="2" t="s">
        <v>35</v>
      </c>
      <c r="U1044" s="2" t="s">
        <v>35</v>
      </c>
      <c r="V1044" s="2" t="b">
        <v>0</v>
      </c>
      <c r="W1044" s="2" t="s">
        <v>35</v>
      </c>
      <c r="X1044" s="2" t="s">
        <v>35</v>
      </c>
      <c r="Y1044" s="2" t="s">
        <v>35</v>
      </c>
      <c r="Z1044" s="2" t="s">
        <v>35</v>
      </c>
    </row>
    <row r="1045" spans="1:26" x14ac:dyDescent="0.2">
      <c r="A1045" s="2" t="s">
        <v>2555</v>
      </c>
      <c r="B1045" s="2" t="b">
        <v>0</v>
      </c>
      <c r="C1045" s="2" t="b">
        <v>0</v>
      </c>
      <c r="D1045" s="2" t="b">
        <v>0</v>
      </c>
      <c r="E1045" s="2" t="b">
        <v>0</v>
      </c>
      <c r="F1045" s="2" t="s">
        <v>31</v>
      </c>
      <c r="G1045" s="2" t="s">
        <v>2556</v>
      </c>
      <c r="H1045" s="2" t="s">
        <v>2557</v>
      </c>
      <c r="I1045" s="2" t="s">
        <v>35</v>
      </c>
      <c r="J1045" s="2" t="s">
        <v>35</v>
      </c>
      <c r="K1045" s="2" t="s">
        <v>35</v>
      </c>
      <c r="L1045" s="2">
        <v>7</v>
      </c>
      <c r="M1045" s="2">
        <v>14</v>
      </c>
      <c r="N1045" s="3">
        <v>44753.480659108798</v>
      </c>
      <c r="O1045" s="3">
        <v>44753.480802303238</v>
      </c>
      <c r="P1045" s="2">
        <v>0</v>
      </c>
      <c r="Q1045" s="2" t="s">
        <v>54</v>
      </c>
      <c r="R1045" s="2" t="s">
        <v>38</v>
      </c>
      <c r="S1045" s="2" t="s">
        <v>35</v>
      </c>
      <c r="T1045" s="2" t="s">
        <v>35</v>
      </c>
      <c r="U1045" s="2" t="s">
        <v>35</v>
      </c>
      <c r="V1045" s="2" t="b">
        <v>0</v>
      </c>
      <c r="W1045" s="2" t="s">
        <v>35</v>
      </c>
      <c r="X1045" s="2" t="s">
        <v>35</v>
      </c>
      <c r="Y1045" s="2" t="s">
        <v>35</v>
      </c>
      <c r="Z1045" s="2" t="s">
        <v>35</v>
      </c>
    </row>
    <row r="1046" spans="1:26" x14ac:dyDescent="0.2">
      <c r="A1046" s="2" t="s">
        <v>2558</v>
      </c>
      <c r="B1046" s="2" t="b">
        <v>0</v>
      </c>
      <c r="C1046" s="2" t="b">
        <v>0</v>
      </c>
      <c r="D1046" s="2" t="b">
        <v>0</v>
      </c>
      <c r="E1046" s="2" t="b">
        <v>0</v>
      </c>
      <c r="F1046" s="2" t="s">
        <v>31</v>
      </c>
      <c r="G1046" s="2" t="s">
        <v>2559</v>
      </c>
      <c r="H1046" s="2" t="s">
        <v>2560</v>
      </c>
      <c r="I1046" s="2" t="s">
        <v>35</v>
      </c>
      <c r="J1046" s="2" t="s">
        <v>35</v>
      </c>
      <c r="K1046" s="2" t="s">
        <v>35</v>
      </c>
      <c r="L1046" s="2">
        <v>6</v>
      </c>
      <c r="M1046" s="2">
        <v>13</v>
      </c>
      <c r="N1046" s="3">
        <v>44753.480853321758</v>
      </c>
      <c r="O1046" s="3">
        <v>44753.481138750001</v>
      </c>
      <c r="P1046" s="2">
        <v>0</v>
      </c>
      <c r="Q1046" s="2" t="s">
        <v>54</v>
      </c>
      <c r="R1046" s="2" t="s">
        <v>38</v>
      </c>
      <c r="S1046" s="2" t="s">
        <v>35</v>
      </c>
      <c r="T1046" s="2" t="s">
        <v>35</v>
      </c>
      <c r="U1046" s="2" t="s">
        <v>35</v>
      </c>
      <c r="V1046" s="2" t="b">
        <v>0</v>
      </c>
      <c r="W1046" s="2" t="s">
        <v>35</v>
      </c>
      <c r="X1046" s="2" t="s">
        <v>35</v>
      </c>
      <c r="Y1046" s="2" t="s">
        <v>35</v>
      </c>
      <c r="Z1046" s="2" t="s">
        <v>35</v>
      </c>
    </row>
    <row r="1047" spans="1:26" x14ac:dyDescent="0.2">
      <c r="A1047" s="2" t="s">
        <v>2561</v>
      </c>
      <c r="B1047" s="2" t="b">
        <v>0</v>
      </c>
      <c r="C1047" s="2" t="b">
        <v>0</v>
      </c>
      <c r="D1047" s="2" t="b">
        <v>0</v>
      </c>
      <c r="E1047" s="2" t="b">
        <v>0</v>
      </c>
      <c r="F1047" s="2" t="s">
        <v>31</v>
      </c>
      <c r="G1047" s="2" t="s">
        <v>2562</v>
      </c>
      <c r="H1047" s="2" t="s">
        <v>2563</v>
      </c>
      <c r="I1047" s="2" t="s">
        <v>2564</v>
      </c>
      <c r="J1047" s="2" t="s">
        <v>35</v>
      </c>
      <c r="K1047" s="2" t="s">
        <v>35</v>
      </c>
      <c r="L1047" s="2">
        <v>3</v>
      </c>
      <c r="M1047" s="2">
        <v>13</v>
      </c>
      <c r="N1047" s="3">
        <v>44753.48119622685</v>
      </c>
      <c r="O1047" s="3">
        <v>44753.481500231479</v>
      </c>
      <c r="P1047" s="2">
        <v>0</v>
      </c>
      <c r="Q1047" s="2" t="s">
        <v>54</v>
      </c>
      <c r="R1047" s="2" t="s">
        <v>38</v>
      </c>
      <c r="S1047" s="2" t="s">
        <v>35</v>
      </c>
      <c r="T1047" s="2" t="s">
        <v>35</v>
      </c>
      <c r="U1047" s="2" t="s">
        <v>35</v>
      </c>
      <c r="V1047" s="2" t="b">
        <v>1</v>
      </c>
      <c r="W1047" s="2" t="s">
        <v>35</v>
      </c>
      <c r="X1047" s="2" t="s">
        <v>35</v>
      </c>
      <c r="Y1047" s="2" t="s">
        <v>35</v>
      </c>
      <c r="Z1047" s="2" t="s">
        <v>35</v>
      </c>
    </row>
    <row r="1048" spans="1:26" x14ac:dyDescent="0.2">
      <c r="A1048" s="2" t="s">
        <v>2565</v>
      </c>
      <c r="B1048" s="2" t="b">
        <v>0</v>
      </c>
      <c r="C1048" s="2" t="b">
        <v>0</v>
      </c>
      <c r="D1048" s="2" t="b">
        <v>0</v>
      </c>
      <c r="E1048" s="2" t="b">
        <v>0</v>
      </c>
      <c r="F1048" s="2" t="s">
        <v>31</v>
      </c>
      <c r="G1048" s="2" t="s">
        <v>2566</v>
      </c>
      <c r="H1048" s="2" t="s">
        <v>2567</v>
      </c>
      <c r="I1048" s="2" t="s">
        <v>35</v>
      </c>
      <c r="J1048" s="2" t="s">
        <v>35</v>
      </c>
      <c r="K1048" s="2" t="s">
        <v>35</v>
      </c>
      <c r="L1048" s="2">
        <v>14</v>
      </c>
      <c r="M1048" s="2">
        <v>15</v>
      </c>
      <c r="N1048" s="3">
        <v>44753.482499571757</v>
      </c>
      <c r="O1048" s="3">
        <v>44753.482958321758</v>
      </c>
      <c r="P1048" s="2">
        <v>0</v>
      </c>
      <c r="Q1048" s="2" t="s">
        <v>54</v>
      </c>
      <c r="R1048" s="2" t="s">
        <v>38</v>
      </c>
      <c r="S1048" s="2" t="s">
        <v>35</v>
      </c>
      <c r="T1048" s="2" t="s">
        <v>35</v>
      </c>
      <c r="U1048" s="2" t="s">
        <v>35</v>
      </c>
      <c r="V1048" s="2" t="b">
        <v>0</v>
      </c>
      <c r="W1048" s="2" t="s">
        <v>35</v>
      </c>
      <c r="X1048" s="2" t="s">
        <v>35</v>
      </c>
      <c r="Y1048" s="2" t="s">
        <v>35</v>
      </c>
      <c r="Z1048" s="2" t="s">
        <v>35</v>
      </c>
    </row>
    <row r="1049" spans="1:26" x14ac:dyDescent="0.2">
      <c r="A1049" s="2" t="s">
        <v>2568</v>
      </c>
      <c r="B1049" s="2" t="b">
        <v>0</v>
      </c>
      <c r="C1049" s="2" t="b">
        <v>0</v>
      </c>
      <c r="D1049" s="2" t="b">
        <v>0</v>
      </c>
      <c r="E1049" s="2" t="b">
        <v>0</v>
      </c>
      <c r="F1049" s="2" t="s">
        <v>31</v>
      </c>
      <c r="G1049" s="2" t="s">
        <v>2569</v>
      </c>
      <c r="H1049" s="2" t="s">
        <v>2570</v>
      </c>
      <c r="I1049" s="2" t="s">
        <v>2571</v>
      </c>
      <c r="J1049" s="2" t="s">
        <v>35</v>
      </c>
      <c r="K1049" s="2" t="s">
        <v>35</v>
      </c>
      <c r="L1049" s="2" t="s">
        <v>35</v>
      </c>
      <c r="M1049" s="2" t="s">
        <v>35</v>
      </c>
      <c r="N1049" s="3">
        <v>44753.48356872685</v>
      </c>
      <c r="O1049" s="3">
        <v>44753.484092870371</v>
      </c>
      <c r="P1049" s="2">
        <v>0</v>
      </c>
      <c r="Q1049" s="2" t="s">
        <v>36</v>
      </c>
      <c r="R1049" s="2" t="s">
        <v>38</v>
      </c>
      <c r="S1049" s="2" t="s">
        <v>35</v>
      </c>
      <c r="T1049" s="2" t="s">
        <v>35</v>
      </c>
      <c r="U1049" s="2" t="s">
        <v>35</v>
      </c>
      <c r="V1049" s="2" t="b">
        <v>0</v>
      </c>
      <c r="W1049" s="2" t="s">
        <v>35</v>
      </c>
      <c r="X1049" s="2" t="s">
        <v>35</v>
      </c>
      <c r="Y1049" s="2">
        <v>5</v>
      </c>
      <c r="Z1049" s="2" t="s">
        <v>35</v>
      </c>
    </row>
    <row r="1050" spans="1:26" x14ac:dyDescent="0.2">
      <c r="A1050" s="2" t="s">
        <v>2572</v>
      </c>
      <c r="B1050" s="2" t="b">
        <v>0</v>
      </c>
      <c r="C1050" s="2" t="b">
        <v>0</v>
      </c>
      <c r="D1050" s="2" t="b">
        <v>0</v>
      </c>
      <c r="E1050" s="2" t="b">
        <v>0</v>
      </c>
      <c r="F1050" s="2" t="s">
        <v>31</v>
      </c>
      <c r="G1050" s="2" t="s">
        <v>2573</v>
      </c>
      <c r="H1050" s="2" t="s">
        <v>2574</v>
      </c>
      <c r="I1050" s="2" t="s">
        <v>675</v>
      </c>
      <c r="J1050" s="2" t="s">
        <v>35</v>
      </c>
      <c r="K1050" s="2" t="s">
        <v>35</v>
      </c>
      <c r="L1050" s="2" t="s">
        <v>35</v>
      </c>
      <c r="M1050" s="2" t="s">
        <v>35</v>
      </c>
      <c r="N1050" s="3">
        <v>44753.484712627316</v>
      </c>
      <c r="O1050" s="3">
        <v>44753.48566337963</v>
      </c>
      <c r="P1050" s="2">
        <v>0</v>
      </c>
      <c r="Q1050" s="2" t="s">
        <v>124</v>
      </c>
      <c r="R1050" s="2" t="s">
        <v>38</v>
      </c>
      <c r="S1050" s="2" t="s">
        <v>35</v>
      </c>
      <c r="T1050" s="2" t="s">
        <v>35</v>
      </c>
      <c r="U1050" s="2" t="s">
        <v>35</v>
      </c>
      <c r="V1050" s="2" t="b">
        <v>0</v>
      </c>
      <c r="W1050" s="2" t="s">
        <v>35</v>
      </c>
      <c r="X1050" s="2">
        <v>4</v>
      </c>
      <c r="Y1050" s="2" t="s">
        <v>35</v>
      </c>
      <c r="Z1050" s="2" t="s">
        <v>35</v>
      </c>
    </row>
    <row r="1051" spans="1:26" x14ac:dyDescent="0.2">
      <c r="A1051" s="2" t="s">
        <v>2575</v>
      </c>
      <c r="B1051" s="2" t="b">
        <v>0</v>
      </c>
      <c r="C1051" s="2" t="b">
        <v>0</v>
      </c>
      <c r="D1051" s="2" t="b">
        <v>0</v>
      </c>
      <c r="E1051" s="2" t="b">
        <v>0</v>
      </c>
      <c r="F1051" s="2" t="s">
        <v>31</v>
      </c>
      <c r="G1051" s="2" t="s">
        <v>2576</v>
      </c>
      <c r="H1051" s="2" t="s">
        <v>2577</v>
      </c>
      <c r="I1051" s="2" t="s">
        <v>35</v>
      </c>
      <c r="J1051" s="2" t="s">
        <v>35</v>
      </c>
      <c r="K1051" s="2" t="s">
        <v>35</v>
      </c>
      <c r="L1051" s="2" t="s">
        <v>35</v>
      </c>
      <c r="M1051" s="2" t="s">
        <v>35</v>
      </c>
      <c r="N1051" s="3">
        <v>44753.486021064811</v>
      </c>
      <c r="O1051" s="3">
        <v>44753.486604571757</v>
      </c>
      <c r="P1051" s="2">
        <v>0</v>
      </c>
      <c r="Q1051" s="2" t="s">
        <v>36</v>
      </c>
      <c r="R1051" s="2" t="s">
        <v>38</v>
      </c>
      <c r="S1051" s="2" t="s">
        <v>35</v>
      </c>
      <c r="T1051" s="2" t="s">
        <v>35</v>
      </c>
      <c r="U1051" s="2" t="s">
        <v>35</v>
      </c>
      <c r="V1051" s="2" t="b">
        <v>0</v>
      </c>
      <c r="W1051" s="2" t="s">
        <v>35</v>
      </c>
      <c r="X1051" s="2" t="s">
        <v>35</v>
      </c>
      <c r="Y1051" s="2" t="s">
        <v>35</v>
      </c>
      <c r="Z1051" s="2">
        <v>2</v>
      </c>
    </row>
    <row r="1052" spans="1:26" x14ac:dyDescent="0.2">
      <c r="A1052" s="2" t="s">
        <v>2578</v>
      </c>
      <c r="B1052" s="2" t="b">
        <v>0</v>
      </c>
      <c r="C1052" s="2" t="b">
        <v>0</v>
      </c>
      <c r="D1052" s="2" t="b">
        <v>0</v>
      </c>
      <c r="E1052" s="2" t="b">
        <v>0</v>
      </c>
      <c r="F1052" s="2" t="s">
        <v>31</v>
      </c>
      <c r="G1052" s="2" t="s">
        <v>2579</v>
      </c>
      <c r="H1052" s="2" t="s">
        <v>2580</v>
      </c>
      <c r="I1052" s="2" t="s">
        <v>35</v>
      </c>
      <c r="J1052" s="2" t="s">
        <v>35</v>
      </c>
      <c r="K1052" s="2" t="s">
        <v>35</v>
      </c>
      <c r="L1052" s="2" t="s">
        <v>35</v>
      </c>
      <c r="M1052" s="2" t="s">
        <v>35</v>
      </c>
      <c r="N1052" s="3">
        <v>44753.487937349535</v>
      </c>
      <c r="O1052" s="3">
        <v>44753.488110590275</v>
      </c>
      <c r="P1052" s="2">
        <v>0</v>
      </c>
      <c r="Q1052" s="2" t="s">
        <v>36</v>
      </c>
      <c r="R1052" s="2" t="s">
        <v>38</v>
      </c>
      <c r="S1052" s="2" t="s">
        <v>35</v>
      </c>
      <c r="T1052" s="2" t="s">
        <v>35</v>
      </c>
      <c r="U1052" s="2" t="s">
        <v>35</v>
      </c>
      <c r="V1052" s="2" t="b">
        <v>0</v>
      </c>
      <c r="W1052" s="2" t="s">
        <v>35</v>
      </c>
      <c r="X1052" s="2" t="s">
        <v>35</v>
      </c>
      <c r="Y1052" s="2" t="s">
        <v>35</v>
      </c>
      <c r="Z1052" s="2">
        <v>2</v>
      </c>
    </row>
    <row r="1053" spans="1:26" x14ac:dyDescent="0.2">
      <c r="A1053" s="2" t="s">
        <v>2581</v>
      </c>
      <c r="B1053" s="2" t="b">
        <v>0</v>
      </c>
      <c r="C1053" s="2" t="b">
        <v>0</v>
      </c>
      <c r="D1053" s="2" t="b">
        <v>0</v>
      </c>
      <c r="E1053" s="2" t="b">
        <v>0</v>
      </c>
      <c r="F1053" s="2" t="s">
        <v>31</v>
      </c>
      <c r="G1053" s="2" t="s">
        <v>2582</v>
      </c>
      <c r="H1053" s="2" t="s">
        <v>2583</v>
      </c>
      <c r="I1053" s="2" t="s">
        <v>35</v>
      </c>
      <c r="J1053" s="2" t="s">
        <v>35</v>
      </c>
      <c r="K1053" s="2" t="s">
        <v>35</v>
      </c>
      <c r="L1053" s="2" t="s">
        <v>35</v>
      </c>
      <c r="M1053" s="2" t="s">
        <v>35</v>
      </c>
      <c r="N1053" s="3">
        <v>44753.489563356481</v>
      </c>
      <c r="O1053" s="3">
        <v>44753.489736620373</v>
      </c>
      <c r="P1053" s="2">
        <v>0</v>
      </c>
      <c r="Q1053" s="2" t="s">
        <v>36</v>
      </c>
      <c r="R1053" s="2" t="s">
        <v>38</v>
      </c>
      <c r="S1053" s="2" t="s">
        <v>35</v>
      </c>
      <c r="T1053" s="2" t="s">
        <v>35</v>
      </c>
      <c r="U1053" s="2" t="s">
        <v>35</v>
      </c>
      <c r="V1053" s="2" t="b">
        <v>0</v>
      </c>
      <c r="W1053" s="2" t="s">
        <v>35</v>
      </c>
      <c r="X1053" s="2" t="s">
        <v>35</v>
      </c>
      <c r="Y1053" s="2" t="s">
        <v>35</v>
      </c>
      <c r="Z1053" s="2">
        <v>4</v>
      </c>
    </row>
    <row r="1054" spans="1:26" x14ac:dyDescent="0.2">
      <c r="A1054" s="2" t="s">
        <v>2584</v>
      </c>
      <c r="B1054" s="2" t="b">
        <v>0</v>
      </c>
      <c r="C1054" s="2" t="b">
        <v>0</v>
      </c>
      <c r="D1054" s="2" t="b">
        <v>0</v>
      </c>
      <c r="E1054" s="2" t="b">
        <v>0</v>
      </c>
      <c r="F1054" s="2" t="s">
        <v>31</v>
      </c>
      <c r="G1054" s="2" t="s">
        <v>2585</v>
      </c>
      <c r="H1054" s="2" t="s">
        <v>2586</v>
      </c>
      <c r="I1054" s="2" t="s">
        <v>35</v>
      </c>
      <c r="J1054" s="2" t="s">
        <v>35</v>
      </c>
      <c r="K1054" s="2" t="s">
        <v>35</v>
      </c>
      <c r="L1054" s="2" t="s">
        <v>35</v>
      </c>
      <c r="M1054" s="2" t="s">
        <v>35</v>
      </c>
      <c r="N1054" s="3">
        <v>44753.495011851854</v>
      </c>
      <c r="O1054" s="3">
        <v>44753.495194710646</v>
      </c>
      <c r="P1054" s="2">
        <v>0</v>
      </c>
      <c r="Q1054" s="2" t="s">
        <v>36</v>
      </c>
      <c r="R1054" s="2" t="s">
        <v>38</v>
      </c>
      <c r="S1054" s="2" t="s">
        <v>35</v>
      </c>
      <c r="T1054" s="2" t="s">
        <v>35</v>
      </c>
      <c r="U1054" s="2" t="s">
        <v>35</v>
      </c>
      <c r="V1054" s="2" t="b">
        <v>0</v>
      </c>
      <c r="W1054" s="2" t="s">
        <v>35</v>
      </c>
      <c r="X1054" s="2" t="s">
        <v>35</v>
      </c>
      <c r="Y1054" s="2" t="s">
        <v>35</v>
      </c>
      <c r="Z1054" s="2">
        <v>4</v>
      </c>
    </row>
    <row r="1055" spans="1:26" x14ac:dyDescent="0.2">
      <c r="A1055" s="2" t="s">
        <v>2587</v>
      </c>
      <c r="B1055" s="2" t="b">
        <v>0</v>
      </c>
      <c r="C1055" s="2" t="b">
        <v>0</v>
      </c>
      <c r="D1055" s="2" t="b">
        <v>0</v>
      </c>
      <c r="E1055" s="2" t="b">
        <v>0</v>
      </c>
      <c r="F1055" s="2" t="s">
        <v>31</v>
      </c>
      <c r="G1055" s="2" t="s">
        <v>2588</v>
      </c>
      <c r="H1055" s="2" t="s">
        <v>2589</v>
      </c>
      <c r="I1055" s="2" t="s">
        <v>35</v>
      </c>
      <c r="J1055" s="2" t="s">
        <v>35</v>
      </c>
      <c r="K1055" s="2" t="s">
        <v>35</v>
      </c>
      <c r="L1055" s="2" t="s">
        <v>35</v>
      </c>
      <c r="M1055" s="2" t="s">
        <v>35</v>
      </c>
      <c r="N1055" s="3">
        <v>44753.49653178241</v>
      </c>
      <c r="O1055" s="3">
        <v>44753.496631030095</v>
      </c>
      <c r="P1055" s="2">
        <v>0</v>
      </c>
      <c r="Q1055" s="2" t="s">
        <v>36</v>
      </c>
      <c r="R1055" s="2" t="s">
        <v>38</v>
      </c>
      <c r="S1055" s="2" t="s">
        <v>35</v>
      </c>
      <c r="T1055" s="2" t="s">
        <v>35</v>
      </c>
      <c r="U1055" s="2" t="s">
        <v>35</v>
      </c>
      <c r="V1055" s="2" t="b">
        <v>0</v>
      </c>
      <c r="W1055" s="2" t="s">
        <v>35</v>
      </c>
      <c r="X1055" s="2" t="s">
        <v>35</v>
      </c>
      <c r="Y1055" s="2" t="s">
        <v>35</v>
      </c>
      <c r="Z1055" s="2">
        <v>2</v>
      </c>
    </row>
    <row r="1056" spans="1:26" x14ac:dyDescent="0.2">
      <c r="A1056" s="2" t="s">
        <v>2590</v>
      </c>
      <c r="B1056" s="2" t="b">
        <v>0</v>
      </c>
      <c r="C1056" s="2" t="b">
        <v>0</v>
      </c>
      <c r="D1056" s="2" t="b">
        <v>0</v>
      </c>
      <c r="E1056" s="2" t="b">
        <v>0</v>
      </c>
      <c r="F1056" s="2" t="s">
        <v>31</v>
      </c>
      <c r="G1056" s="2" t="s">
        <v>2591</v>
      </c>
      <c r="H1056" s="2" t="s">
        <v>2592</v>
      </c>
      <c r="I1056" s="2" t="s">
        <v>35</v>
      </c>
      <c r="J1056" s="2" t="s">
        <v>35</v>
      </c>
      <c r="K1056" s="2" t="s">
        <v>35</v>
      </c>
      <c r="L1056" s="2" t="s">
        <v>35</v>
      </c>
      <c r="M1056" s="2" t="s">
        <v>35</v>
      </c>
      <c r="N1056" s="3">
        <v>44753.498843842593</v>
      </c>
      <c r="O1056" s="3">
        <v>44753.499113194448</v>
      </c>
      <c r="P1056" s="2">
        <v>0</v>
      </c>
      <c r="Q1056" s="2" t="s">
        <v>36</v>
      </c>
      <c r="R1056" s="2" t="s">
        <v>38</v>
      </c>
      <c r="S1056" s="2" t="s">
        <v>35</v>
      </c>
      <c r="T1056" s="2" t="s">
        <v>35</v>
      </c>
      <c r="U1056" s="2" t="s">
        <v>35</v>
      </c>
      <c r="V1056" s="2" t="b">
        <v>0</v>
      </c>
      <c r="W1056" s="2" t="s">
        <v>35</v>
      </c>
      <c r="X1056" s="2" t="s">
        <v>35</v>
      </c>
      <c r="Y1056" s="2" t="s">
        <v>35</v>
      </c>
      <c r="Z1056" s="2">
        <v>2</v>
      </c>
    </row>
    <row r="1057" spans="1:26" x14ac:dyDescent="0.2">
      <c r="A1057" s="2" t="s">
        <v>2593</v>
      </c>
      <c r="B1057" s="2" t="b">
        <v>0</v>
      </c>
      <c r="C1057" s="2" t="b">
        <v>0</v>
      </c>
      <c r="D1057" s="2" t="b">
        <v>0</v>
      </c>
      <c r="E1057" s="2" t="b">
        <v>0</v>
      </c>
      <c r="F1057" s="2" t="s">
        <v>31</v>
      </c>
      <c r="G1057" s="2" t="s">
        <v>2594</v>
      </c>
      <c r="H1057" s="2" t="s">
        <v>2595</v>
      </c>
      <c r="I1057" s="2" t="s">
        <v>35</v>
      </c>
      <c r="J1057" s="2" t="s">
        <v>35</v>
      </c>
      <c r="K1057" s="2" t="s">
        <v>35</v>
      </c>
      <c r="L1057" s="2">
        <v>5</v>
      </c>
      <c r="M1057" s="2">
        <v>16</v>
      </c>
      <c r="N1057" s="3">
        <v>44753.499867395833</v>
      </c>
      <c r="O1057" s="3">
        <v>44753.500138750001</v>
      </c>
      <c r="P1057" s="2">
        <v>0</v>
      </c>
      <c r="Q1057" s="2" t="s">
        <v>54</v>
      </c>
      <c r="R1057" s="2" t="s">
        <v>38</v>
      </c>
      <c r="S1057" s="2" t="s">
        <v>35</v>
      </c>
      <c r="T1057" s="2" t="s">
        <v>35</v>
      </c>
      <c r="U1057" s="2" t="s">
        <v>35</v>
      </c>
      <c r="V1057" s="2" t="b">
        <v>0</v>
      </c>
      <c r="W1057" s="2" t="s">
        <v>35</v>
      </c>
      <c r="X1057" s="2" t="s">
        <v>35</v>
      </c>
      <c r="Y1057" s="2" t="s">
        <v>35</v>
      </c>
      <c r="Z1057" s="2" t="s">
        <v>35</v>
      </c>
    </row>
    <row r="1058" spans="1:26" x14ac:dyDescent="0.2">
      <c r="A1058" s="2" t="s">
        <v>2596</v>
      </c>
      <c r="B1058" s="2" t="b">
        <v>0</v>
      </c>
      <c r="C1058" s="2" t="b">
        <v>0</v>
      </c>
      <c r="D1058" s="2" t="b">
        <v>0</v>
      </c>
      <c r="E1058" s="2" t="b">
        <v>0</v>
      </c>
      <c r="F1058" s="2" t="s">
        <v>31</v>
      </c>
      <c r="G1058" s="2" t="s">
        <v>2597</v>
      </c>
      <c r="H1058" s="2" t="s">
        <v>2598</v>
      </c>
      <c r="I1058" s="2" t="s">
        <v>35</v>
      </c>
      <c r="J1058" s="2" t="s">
        <v>35</v>
      </c>
      <c r="K1058" s="2" t="s">
        <v>35</v>
      </c>
      <c r="L1058" s="2">
        <v>9</v>
      </c>
      <c r="M1058" s="2">
        <v>15</v>
      </c>
      <c r="N1058" s="3">
        <v>44753.501161979169</v>
      </c>
      <c r="O1058" s="3">
        <v>44753.501462534725</v>
      </c>
      <c r="P1058" s="2">
        <v>0</v>
      </c>
      <c r="Q1058" s="2" t="s">
        <v>54</v>
      </c>
      <c r="R1058" s="2" t="s">
        <v>38</v>
      </c>
      <c r="S1058" s="2" t="s">
        <v>35</v>
      </c>
      <c r="T1058" s="2" t="s">
        <v>35</v>
      </c>
      <c r="U1058" s="2" t="s">
        <v>35</v>
      </c>
      <c r="V1058" s="2" t="b">
        <v>0</v>
      </c>
      <c r="W1058" s="2" t="s">
        <v>35</v>
      </c>
      <c r="X1058" s="2" t="s">
        <v>35</v>
      </c>
      <c r="Y1058" s="2" t="s">
        <v>35</v>
      </c>
      <c r="Z1058" s="2" t="s">
        <v>35</v>
      </c>
    </row>
    <row r="1059" spans="1:26" x14ac:dyDescent="0.2">
      <c r="A1059" s="2" t="s">
        <v>2599</v>
      </c>
      <c r="B1059" s="2" t="b">
        <v>0</v>
      </c>
      <c r="C1059" s="2" t="b">
        <v>0</v>
      </c>
      <c r="D1059" s="2" t="b">
        <v>0</v>
      </c>
      <c r="E1059" s="2" t="b">
        <v>0</v>
      </c>
      <c r="F1059" s="2" t="s">
        <v>31</v>
      </c>
      <c r="G1059" s="2" t="s">
        <v>2600</v>
      </c>
      <c r="H1059" s="2" t="s">
        <v>2601</v>
      </c>
      <c r="I1059" s="2" t="s">
        <v>35</v>
      </c>
      <c r="J1059" s="2" t="s">
        <v>35</v>
      </c>
      <c r="K1059" s="2" t="s">
        <v>35</v>
      </c>
      <c r="L1059" s="2">
        <v>12</v>
      </c>
      <c r="M1059" s="2">
        <v>15</v>
      </c>
      <c r="N1059" s="3">
        <v>44753.501949201389</v>
      </c>
      <c r="O1059" s="3">
        <v>44753.502292569443</v>
      </c>
      <c r="P1059" s="2">
        <v>0</v>
      </c>
      <c r="Q1059" s="2" t="s">
        <v>54</v>
      </c>
      <c r="R1059" s="2" t="s">
        <v>38</v>
      </c>
      <c r="S1059" s="2" t="s">
        <v>35</v>
      </c>
      <c r="T1059" s="2" t="s">
        <v>35</v>
      </c>
      <c r="U1059" s="2" t="s">
        <v>35</v>
      </c>
      <c r="V1059" s="2" t="b">
        <v>0</v>
      </c>
      <c r="W1059" s="2" t="s">
        <v>35</v>
      </c>
      <c r="X1059" s="2" t="s">
        <v>35</v>
      </c>
      <c r="Y1059" s="2" t="s">
        <v>35</v>
      </c>
      <c r="Z1059" s="2" t="s">
        <v>35</v>
      </c>
    </row>
    <row r="1060" spans="1:26" x14ac:dyDescent="0.2">
      <c r="A1060" s="2" t="s">
        <v>2602</v>
      </c>
      <c r="B1060" s="2" t="b">
        <v>0</v>
      </c>
      <c r="C1060" s="2" t="b">
        <v>0</v>
      </c>
      <c r="D1060" s="2" t="b">
        <v>0</v>
      </c>
      <c r="E1060" s="2" t="b">
        <v>0</v>
      </c>
      <c r="F1060" s="2" t="s">
        <v>31</v>
      </c>
      <c r="G1060" s="2" t="s">
        <v>2603</v>
      </c>
      <c r="H1060" s="2" t="s">
        <v>2604</v>
      </c>
      <c r="I1060" s="2" t="s">
        <v>35</v>
      </c>
      <c r="J1060" s="2" t="s">
        <v>35</v>
      </c>
      <c r="K1060" s="2" t="s">
        <v>35</v>
      </c>
      <c r="L1060" s="2" t="s">
        <v>35</v>
      </c>
      <c r="M1060" s="2" t="s">
        <v>35</v>
      </c>
      <c r="N1060" s="3">
        <v>44753.503136331019</v>
      </c>
      <c r="O1060" s="3">
        <v>44753.503293368056</v>
      </c>
      <c r="P1060" s="2">
        <v>0</v>
      </c>
      <c r="Q1060" s="2" t="s">
        <v>36</v>
      </c>
      <c r="R1060" s="2" t="s">
        <v>38</v>
      </c>
      <c r="S1060" s="2" t="s">
        <v>35</v>
      </c>
      <c r="T1060" s="2" t="s">
        <v>35</v>
      </c>
      <c r="U1060" s="2" t="s">
        <v>35</v>
      </c>
      <c r="V1060" s="2" t="b">
        <v>0</v>
      </c>
      <c r="W1060" s="2" t="s">
        <v>35</v>
      </c>
      <c r="X1060" s="2" t="s">
        <v>35</v>
      </c>
      <c r="Y1060" s="2" t="s">
        <v>35</v>
      </c>
      <c r="Z1060" s="2">
        <v>3</v>
      </c>
    </row>
    <row r="1061" spans="1:26" x14ac:dyDescent="0.2">
      <c r="A1061" s="2" t="s">
        <v>2605</v>
      </c>
      <c r="B1061" s="2" t="b">
        <v>0</v>
      </c>
      <c r="C1061" s="2" t="b">
        <v>0</v>
      </c>
      <c r="D1061" s="2" t="b">
        <v>0</v>
      </c>
      <c r="E1061" s="2" t="b">
        <v>0</v>
      </c>
      <c r="F1061" s="2" t="s">
        <v>31</v>
      </c>
      <c r="G1061" s="2" t="s">
        <v>2606</v>
      </c>
      <c r="H1061" s="2" t="s">
        <v>2607</v>
      </c>
      <c r="I1061" s="2" t="s">
        <v>35</v>
      </c>
      <c r="J1061" s="2" t="s">
        <v>35</v>
      </c>
      <c r="K1061" s="2" t="s">
        <v>35</v>
      </c>
      <c r="L1061" s="2" t="s">
        <v>35</v>
      </c>
      <c r="M1061" s="2" t="s">
        <v>35</v>
      </c>
      <c r="N1061" s="3">
        <v>44753.504998773147</v>
      </c>
      <c r="O1061" s="3">
        <v>44753.50531792824</v>
      </c>
      <c r="P1061" s="2">
        <v>0</v>
      </c>
      <c r="Q1061" s="2" t="s">
        <v>36</v>
      </c>
      <c r="R1061" s="2" t="s">
        <v>38</v>
      </c>
      <c r="S1061" s="2" t="s">
        <v>35</v>
      </c>
      <c r="T1061" s="2" t="s">
        <v>35</v>
      </c>
      <c r="U1061" s="2" t="s">
        <v>35</v>
      </c>
      <c r="V1061" s="2" t="b">
        <v>0</v>
      </c>
      <c r="W1061" s="2" t="s">
        <v>35</v>
      </c>
      <c r="X1061" s="2" t="s">
        <v>35</v>
      </c>
      <c r="Y1061" s="2" t="s">
        <v>35</v>
      </c>
      <c r="Z1061" s="2">
        <v>5</v>
      </c>
    </row>
    <row r="1062" spans="1:26" x14ac:dyDescent="0.2">
      <c r="A1062" s="2" t="s">
        <v>2608</v>
      </c>
      <c r="B1062" s="2" t="b">
        <v>0</v>
      </c>
      <c r="C1062" s="2" t="b">
        <v>0</v>
      </c>
      <c r="D1062" s="2" t="b">
        <v>0</v>
      </c>
      <c r="E1062" s="2" t="b">
        <v>0</v>
      </c>
      <c r="F1062" s="2" t="s">
        <v>31</v>
      </c>
      <c r="G1062" s="2" t="s">
        <v>2609</v>
      </c>
      <c r="H1062" s="2" t="s">
        <v>2610</v>
      </c>
      <c r="I1062" s="2" t="s">
        <v>675</v>
      </c>
      <c r="J1062" s="2" t="s">
        <v>35</v>
      </c>
      <c r="K1062" s="2" t="s">
        <v>35</v>
      </c>
      <c r="L1062" s="2" t="s">
        <v>35</v>
      </c>
      <c r="M1062" s="2" t="s">
        <v>35</v>
      </c>
      <c r="N1062" s="3">
        <v>44753.506539895832</v>
      </c>
      <c r="O1062" s="3">
        <v>44753.506754826391</v>
      </c>
      <c r="P1062" s="2">
        <v>0</v>
      </c>
      <c r="Q1062" s="2" t="s">
        <v>124</v>
      </c>
      <c r="R1062" s="2" t="s">
        <v>38</v>
      </c>
      <c r="S1062" s="2" t="s">
        <v>35</v>
      </c>
      <c r="T1062" s="2" t="s">
        <v>35</v>
      </c>
      <c r="U1062" s="2" t="s">
        <v>35</v>
      </c>
      <c r="V1062" s="2" t="b">
        <v>0</v>
      </c>
      <c r="W1062" s="2" t="s">
        <v>35</v>
      </c>
      <c r="X1062" s="2">
        <v>4</v>
      </c>
      <c r="Y1062" s="2" t="s">
        <v>35</v>
      </c>
      <c r="Z1062" s="2" t="s">
        <v>35</v>
      </c>
    </row>
    <row r="1063" spans="1:26" x14ac:dyDescent="0.2">
      <c r="A1063" s="2" t="s">
        <v>2611</v>
      </c>
      <c r="B1063" s="2" t="b">
        <v>0</v>
      </c>
      <c r="C1063" s="2" t="b">
        <v>0</v>
      </c>
      <c r="D1063" s="2" t="b">
        <v>0</v>
      </c>
      <c r="E1063" s="2" t="b">
        <v>0</v>
      </c>
      <c r="F1063" s="2" t="s">
        <v>31</v>
      </c>
      <c r="G1063" s="2" t="s">
        <v>2612</v>
      </c>
      <c r="H1063" s="2" t="s">
        <v>2613</v>
      </c>
      <c r="I1063" s="2" t="s">
        <v>675</v>
      </c>
      <c r="J1063" s="2" t="s">
        <v>35</v>
      </c>
      <c r="K1063" s="2" t="s">
        <v>35</v>
      </c>
      <c r="L1063" s="2" t="s">
        <v>35</v>
      </c>
      <c r="M1063" s="2" t="s">
        <v>35</v>
      </c>
      <c r="N1063" s="3">
        <v>44753.508019421293</v>
      </c>
      <c r="O1063" s="3">
        <v>44753.508245104167</v>
      </c>
      <c r="P1063" s="2">
        <v>0</v>
      </c>
      <c r="Q1063" s="2" t="s">
        <v>124</v>
      </c>
      <c r="R1063" s="2" t="s">
        <v>38</v>
      </c>
      <c r="S1063" s="2" t="s">
        <v>35</v>
      </c>
      <c r="T1063" s="2" t="s">
        <v>35</v>
      </c>
      <c r="U1063" s="2" t="s">
        <v>35</v>
      </c>
      <c r="V1063" s="2" t="b">
        <v>0</v>
      </c>
      <c r="W1063" s="2" t="s">
        <v>35</v>
      </c>
      <c r="X1063" s="2">
        <v>4</v>
      </c>
      <c r="Y1063" s="2" t="s">
        <v>35</v>
      </c>
      <c r="Z1063" s="2" t="s">
        <v>35</v>
      </c>
    </row>
    <row r="1064" spans="1:26" x14ac:dyDescent="0.2">
      <c r="A1064" s="2" t="s">
        <v>2614</v>
      </c>
      <c r="B1064" s="2" t="b">
        <v>0</v>
      </c>
      <c r="C1064" s="2" t="b">
        <v>0</v>
      </c>
      <c r="D1064" s="2" t="b">
        <v>0</v>
      </c>
      <c r="E1064" s="2" t="b">
        <v>0</v>
      </c>
      <c r="F1064" s="2" t="s">
        <v>31</v>
      </c>
      <c r="G1064" s="2" t="s">
        <v>2615</v>
      </c>
      <c r="H1064" s="2" t="s">
        <v>2616</v>
      </c>
      <c r="I1064" s="2" t="s">
        <v>675</v>
      </c>
      <c r="J1064" s="2" t="s">
        <v>35</v>
      </c>
      <c r="K1064" s="2" t="s">
        <v>35</v>
      </c>
      <c r="L1064" s="2" t="s">
        <v>35</v>
      </c>
      <c r="M1064" s="2" t="s">
        <v>35</v>
      </c>
      <c r="N1064" s="3">
        <v>44753.509149097219</v>
      </c>
      <c r="O1064" s="3">
        <v>44753.509339953707</v>
      </c>
      <c r="P1064" s="2">
        <v>0</v>
      </c>
      <c r="Q1064" s="2" t="s">
        <v>124</v>
      </c>
      <c r="R1064" s="2" t="s">
        <v>38</v>
      </c>
      <c r="S1064" s="2" t="s">
        <v>35</v>
      </c>
      <c r="T1064" s="2" t="s">
        <v>35</v>
      </c>
      <c r="U1064" s="2" t="s">
        <v>35</v>
      </c>
      <c r="V1064" s="2" t="b">
        <v>0</v>
      </c>
      <c r="W1064" s="2" t="s">
        <v>35</v>
      </c>
      <c r="X1064" s="2">
        <v>4</v>
      </c>
      <c r="Y1064" s="2" t="s">
        <v>35</v>
      </c>
      <c r="Z1064" s="2" t="s">
        <v>35</v>
      </c>
    </row>
    <row r="1065" spans="1:26" x14ac:dyDescent="0.2">
      <c r="A1065" s="2" t="s">
        <v>2617</v>
      </c>
      <c r="B1065" s="2" t="b">
        <v>0</v>
      </c>
      <c r="C1065" s="2" t="b">
        <v>0</v>
      </c>
      <c r="D1065" s="2" t="b">
        <v>0</v>
      </c>
      <c r="E1065" s="2" t="b">
        <v>0</v>
      </c>
      <c r="F1065" s="2" t="s">
        <v>31</v>
      </c>
      <c r="G1065" s="2" t="s">
        <v>2618</v>
      </c>
      <c r="H1065" s="2" t="s">
        <v>2619</v>
      </c>
      <c r="I1065" s="2" t="s">
        <v>675</v>
      </c>
      <c r="J1065" s="2" t="s">
        <v>35</v>
      </c>
      <c r="K1065" s="2" t="s">
        <v>35</v>
      </c>
      <c r="L1065" s="2" t="s">
        <v>35</v>
      </c>
      <c r="M1065" s="2" t="s">
        <v>35</v>
      </c>
      <c r="N1065" s="3">
        <v>44753.509904444443</v>
      </c>
      <c r="O1065" s="3">
        <v>44753.510201296296</v>
      </c>
      <c r="P1065" s="2">
        <v>0</v>
      </c>
      <c r="Q1065" s="2" t="s">
        <v>124</v>
      </c>
      <c r="R1065" s="2" t="s">
        <v>38</v>
      </c>
      <c r="S1065" s="2" t="s">
        <v>35</v>
      </c>
      <c r="T1065" s="2" t="s">
        <v>35</v>
      </c>
      <c r="U1065" s="2" t="s">
        <v>35</v>
      </c>
      <c r="V1065" s="2" t="b">
        <v>0</v>
      </c>
      <c r="W1065" s="2" t="s">
        <v>35</v>
      </c>
      <c r="X1065" s="2">
        <v>4</v>
      </c>
      <c r="Y1065" s="2" t="s">
        <v>35</v>
      </c>
      <c r="Z1065" s="2" t="s">
        <v>35</v>
      </c>
    </row>
    <row r="1066" spans="1:26" x14ac:dyDescent="0.2">
      <c r="A1066" s="2" t="s">
        <v>2620</v>
      </c>
      <c r="B1066" s="2" t="b">
        <v>0</v>
      </c>
      <c r="C1066" s="2" t="b">
        <v>0</v>
      </c>
      <c r="D1066" s="2" t="b">
        <v>0</v>
      </c>
      <c r="E1066" s="2" t="b">
        <v>0</v>
      </c>
      <c r="F1066" s="2" t="s">
        <v>31</v>
      </c>
      <c r="G1066" s="2" t="s">
        <v>2621</v>
      </c>
      <c r="H1066" s="2" t="s">
        <v>2622</v>
      </c>
      <c r="I1066" s="2" t="s">
        <v>675</v>
      </c>
      <c r="J1066" s="2" t="s">
        <v>35</v>
      </c>
      <c r="K1066" s="2" t="s">
        <v>35</v>
      </c>
      <c r="L1066" s="2" t="s">
        <v>35</v>
      </c>
      <c r="M1066" s="2" t="s">
        <v>35</v>
      </c>
      <c r="N1066" s="3">
        <v>44753.510268726852</v>
      </c>
      <c r="O1066" s="3">
        <v>44753.510569999999</v>
      </c>
      <c r="P1066" s="2">
        <v>0</v>
      </c>
      <c r="Q1066" s="2" t="s">
        <v>124</v>
      </c>
      <c r="R1066" s="2" t="s">
        <v>38</v>
      </c>
      <c r="S1066" s="2" t="s">
        <v>35</v>
      </c>
      <c r="T1066" s="2" t="s">
        <v>35</v>
      </c>
      <c r="U1066" s="2" t="s">
        <v>35</v>
      </c>
      <c r="V1066" s="2" t="b">
        <v>0</v>
      </c>
      <c r="W1066" s="2" t="s">
        <v>35</v>
      </c>
      <c r="X1066" s="2">
        <v>4</v>
      </c>
      <c r="Y1066" s="2" t="s">
        <v>35</v>
      </c>
      <c r="Z1066" s="2" t="s">
        <v>35</v>
      </c>
    </row>
    <row r="1067" spans="1:26" x14ac:dyDescent="0.2">
      <c r="A1067" s="2" t="s">
        <v>2623</v>
      </c>
      <c r="B1067" s="2" t="b">
        <v>0</v>
      </c>
      <c r="C1067" s="2" t="b">
        <v>0</v>
      </c>
      <c r="D1067" s="2" t="b">
        <v>0</v>
      </c>
      <c r="E1067" s="2" t="b">
        <v>0</v>
      </c>
      <c r="F1067" s="2" t="s">
        <v>31</v>
      </c>
      <c r="G1067" s="2" t="s">
        <v>2624</v>
      </c>
      <c r="H1067" s="2" t="s">
        <v>2625</v>
      </c>
      <c r="I1067" s="2" t="s">
        <v>675</v>
      </c>
      <c r="J1067" s="2" t="s">
        <v>35</v>
      </c>
      <c r="K1067" s="2" t="s">
        <v>35</v>
      </c>
      <c r="L1067" s="2" t="s">
        <v>35</v>
      </c>
      <c r="M1067" s="2" t="s">
        <v>35</v>
      </c>
      <c r="N1067" s="3">
        <v>44753.510754305556</v>
      </c>
      <c r="O1067" s="3">
        <v>44753.510954930556</v>
      </c>
      <c r="P1067" s="2">
        <v>0</v>
      </c>
      <c r="Q1067" s="2" t="s">
        <v>124</v>
      </c>
      <c r="R1067" s="2" t="s">
        <v>38</v>
      </c>
      <c r="S1067" s="2" t="s">
        <v>35</v>
      </c>
      <c r="T1067" s="2" t="s">
        <v>35</v>
      </c>
      <c r="U1067" s="2" t="s">
        <v>35</v>
      </c>
      <c r="V1067" s="2" t="b">
        <v>0</v>
      </c>
      <c r="W1067" s="2" t="s">
        <v>35</v>
      </c>
      <c r="X1067" s="2">
        <v>4</v>
      </c>
      <c r="Y1067" s="2" t="s">
        <v>35</v>
      </c>
      <c r="Z1067" s="2" t="s">
        <v>35</v>
      </c>
    </row>
    <row r="1068" spans="1:26" x14ac:dyDescent="0.2">
      <c r="A1068" s="2" t="s">
        <v>2626</v>
      </c>
      <c r="B1068" s="2" t="b">
        <v>0</v>
      </c>
      <c r="C1068" s="2" t="b">
        <v>0</v>
      </c>
      <c r="D1068" s="2" t="b">
        <v>0</v>
      </c>
      <c r="E1068" s="2" t="b">
        <v>0</v>
      </c>
      <c r="F1068" s="2" t="s">
        <v>31</v>
      </c>
      <c r="G1068" s="2" t="s">
        <v>2627</v>
      </c>
      <c r="H1068" s="2" t="s">
        <v>2628</v>
      </c>
      <c r="I1068" s="2" t="s">
        <v>35</v>
      </c>
      <c r="J1068" s="2" t="s">
        <v>35</v>
      </c>
      <c r="K1068" s="2" t="s">
        <v>35</v>
      </c>
      <c r="L1068" s="2" t="s">
        <v>35</v>
      </c>
      <c r="M1068" s="2" t="s">
        <v>35</v>
      </c>
      <c r="N1068" s="3">
        <v>44753.511767731485</v>
      </c>
      <c r="O1068" s="3">
        <v>44753.511902013888</v>
      </c>
      <c r="P1068" s="2">
        <v>0</v>
      </c>
      <c r="Q1068" s="2" t="s">
        <v>36</v>
      </c>
      <c r="R1068" s="2" t="s">
        <v>38</v>
      </c>
      <c r="S1068" s="2" t="s">
        <v>35</v>
      </c>
      <c r="T1068" s="2" t="s">
        <v>35</v>
      </c>
      <c r="U1068" s="2" t="s">
        <v>35</v>
      </c>
      <c r="V1068" s="2" t="b">
        <v>0</v>
      </c>
      <c r="W1068" s="2" t="s">
        <v>35</v>
      </c>
      <c r="X1068" s="2" t="s">
        <v>35</v>
      </c>
      <c r="Y1068" s="2" t="s">
        <v>35</v>
      </c>
      <c r="Z1068" s="2">
        <v>2</v>
      </c>
    </row>
    <row r="1069" spans="1:26" x14ac:dyDescent="0.2">
      <c r="A1069" s="2" t="s">
        <v>2629</v>
      </c>
      <c r="B1069" s="2" t="b">
        <v>0</v>
      </c>
      <c r="C1069" s="2" t="b">
        <v>0</v>
      </c>
      <c r="D1069" s="2" t="b">
        <v>0</v>
      </c>
      <c r="E1069" s="2" t="b">
        <v>0</v>
      </c>
      <c r="F1069" s="2" t="s">
        <v>31</v>
      </c>
      <c r="G1069" s="2" t="s">
        <v>2630</v>
      </c>
      <c r="H1069" s="2" t="s">
        <v>2631</v>
      </c>
      <c r="I1069" s="2" t="s">
        <v>675</v>
      </c>
      <c r="J1069" s="2" t="s">
        <v>35</v>
      </c>
      <c r="K1069" s="2" t="s">
        <v>35</v>
      </c>
      <c r="L1069" s="2" t="s">
        <v>35</v>
      </c>
      <c r="M1069" s="2" t="s">
        <v>35</v>
      </c>
      <c r="N1069" s="3">
        <v>44753.512634965278</v>
      </c>
      <c r="O1069" s="3">
        <v>44753.51289824074</v>
      </c>
      <c r="P1069" s="2">
        <v>0</v>
      </c>
      <c r="Q1069" s="2" t="s">
        <v>124</v>
      </c>
      <c r="R1069" s="2" t="s">
        <v>38</v>
      </c>
      <c r="S1069" s="2" t="s">
        <v>35</v>
      </c>
      <c r="T1069" s="2" t="s">
        <v>35</v>
      </c>
      <c r="U1069" s="2" t="s">
        <v>35</v>
      </c>
      <c r="V1069" s="2" t="b">
        <v>0</v>
      </c>
      <c r="W1069" s="2" t="s">
        <v>35</v>
      </c>
      <c r="X1069" s="2">
        <v>4</v>
      </c>
      <c r="Y1069" s="2" t="s">
        <v>35</v>
      </c>
      <c r="Z1069" s="2" t="s">
        <v>35</v>
      </c>
    </row>
    <row r="1070" spans="1:26" x14ac:dyDescent="0.2">
      <c r="A1070" s="2" t="s">
        <v>2632</v>
      </c>
      <c r="B1070" s="2" t="b">
        <v>0</v>
      </c>
      <c r="C1070" s="2" t="b">
        <v>0</v>
      </c>
      <c r="D1070" s="2" t="b">
        <v>0</v>
      </c>
      <c r="E1070" s="2" t="b">
        <v>0</v>
      </c>
      <c r="F1070" s="2" t="s">
        <v>31</v>
      </c>
      <c r="G1070" s="2" t="s">
        <v>2633</v>
      </c>
      <c r="H1070" s="2" t="s">
        <v>2634</v>
      </c>
      <c r="I1070" s="2" t="s">
        <v>675</v>
      </c>
      <c r="J1070" s="2" t="s">
        <v>35</v>
      </c>
      <c r="K1070" s="2" t="s">
        <v>35</v>
      </c>
      <c r="L1070" s="2" t="s">
        <v>35</v>
      </c>
      <c r="M1070" s="2" t="s">
        <v>35</v>
      </c>
      <c r="N1070" s="3">
        <v>44753.513595069446</v>
      </c>
      <c r="O1070" s="3">
        <v>44753.513811319448</v>
      </c>
      <c r="P1070" s="2">
        <v>0</v>
      </c>
      <c r="Q1070" s="2" t="s">
        <v>124</v>
      </c>
      <c r="R1070" s="2" t="s">
        <v>38</v>
      </c>
      <c r="S1070" s="2" t="s">
        <v>35</v>
      </c>
      <c r="T1070" s="2" t="s">
        <v>35</v>
      </c>
      <c r="U1070" s="2" t="s">
        <v>35</v>
      </c>
      <c r="V1070" s="2" t="b">
        <v>0</v>
      </c>
      <c r="W1070" s="2" t="s">
        <v>35</v>
      </c>
      <c r="X1070" s="2">
        <v>4</v>
      </c>
      <c r="Y1070" s="2" t="s">
        <v>35</v>
      </c>
      <c r="Z1070" s="2" t="s">
        <v>35</v>
      </c>
    </row>
    <row r="1071" spans="1:26" x14ac:dyDescent="0.2">
      <c r="A1071" s="2" t="s">
        <v>2635</v>
      </c>
      <c r="B1071" s="2" t="b">
        <v>0</v>
      </c>
      <c r="C1071" s="2" t="b">
        <v>0</v>
      </c>
      <c r="D1071" s="2" t="b">
        <v>0</v>
      </c>
      <c r="E1071" s="2" t="b">
        <v>0</v>
      </c>
      <c r="F1071" s="2" t="s">
        <v>31</v>
      </c>
      <c r="G1071" s="2" t="s">
        <v>2636</v>
      </c>
      <c r="H1071" s="2" t="s">
        <v>2637</v>
      </c>
      <c r="I1071" s="2" t="s">
        <v>675</v>
      </c>
      <c r="J1071" s="2" t="s">
        <v>35</v>
      </c>
      <c r="K1071" s="2" t="s">
        <v>35</v>
      </c>
      <c r="L1071" s="2" t="s">
        <v>35</v>
      </c>
      <c r="M1071" s="2" t="s">
        <v>35</v>
      </c>
      <c r="N1071" s="3">
        <v>44753.514623877316</v>
      </c>
      <c r="O1071" s="3">
        <v>44753.514790381945</v>
      </c>
      <c r="P1071" s="2">
        <v>0</v>
      </c>
      <c r="Q1071" s="2" t="s">
        <v>124</v>
      </c>
      <c r="R1071" s="2" t="s">
        <v>38</v>
      </c>
      <c r="S1071" s="2" t="s">
        <v>35</v>
      </c>
      <c r="T1071" s="2" t="s">
        <v>35</v>
      </c>
      <c r="U1071" s="2" t="s">
        <v>35</v>
      </c>
      <c r="V1071" s="2" t="b">
        <v>0</v>
      </c>
      <c r="W1071" s="2" t="s">
        <v>35</v>
      </c>
      <c r="X1071" s="2">
        <v>4</v>
      </c>
      <c r="Y1071" s="2" t="s">
        <v>35</v>
      </c>
      <c r="Z1071" s="2" t="s">
        <v>35</v>
      </c>
    </row>
    <row r="1072" spans="1:26" x14ac:dyDescent="0.2">
      <c r="A1072" s="2" t="s">
        <v>2638</v>
      </c>
      <c r="B1072" s="2" t="b">
        <v>0</v>
      </c>
      <c r="C1072" s="2" t="b">
        <v>0</v>
      </c>
      <c r="D1072" s="2" t="b">
        <v>0</v>
      </c>
      <c r="E1072" s="2" t="b">
        <v>0</v>
      </c>
      <c r="F1072" s="2" t="s">
        <v>31</v>
      </c>
      <c r="G1072" s="2" t="s">
        <v>2639</v>
      </c>
      <c r="H1072" s="2" t="s">
        <v>2640</v>
      </c>
      <c r="I1072" s="2" t="s">
        <v>675</v>
      </c>
      <c r="J1072" s="2" t="s">
        <v>35</v>
      </c>
      <c r="K1072" s="2" t="s">
        <v>35</v>
      </c>
      <c r="L1072" s="2" t="s">
        <v>35</v>
      </c>
      <c r="M1072" s="2" t="s">
        <v>35</v>
      </c>
      <c r="N1072" s="3">
        <v>44753.515315775461</v>
      </c>
      <c r="O1072" s="3">
        <v>44753.515590937503</v>
      </c>
      <c r="P1072" s="2">
        <v>0</v>
      </c>
      <c r="Q1072" s="2" t="s">
        <v>124</v>
      </c>
      <c r="R1072" s="2" t="s">
        <v>38</v>
      </c>
      <c r="S1072" s="2" t="s">
        <v>35</v>
      </c>
      <c r="T1072" s="2" t="s">
        <v>35</v>
      </c>
      <c r="U1072" s="2" t="s">
        <v>35</v>
      </c>
      <c r="V1072" s="2" t="b">
        <v>0</v>
      </c>
      <c r="W1072" s="2" t="s">
        <v>35</v>
      </c>
      <c r="X1072" s="2">
        <v>4</v>
      </c>
      <c r="Y1072" s="2" t="s">
        <v>35</v>
      </c>
      <c r="Z1072" s="2" t="s">
        <v>35</v>
      </c>
    </row>
    <row r="1073" spans="1:26" x14ac:dyDescent="0.2">
      <c r="A1073" s="2" t="s">
        <v>2641</v>
      </c>
      <c r="B1073" s="2" t="b">
        <v>0</v>
      </c>
      <c r="C1073" s="2" t="b">
        <v>0</v>
      </c>
      <c r="D1073" s="2" t="b">
        <v>0</v>
      </c>
      <c r="E1073" s="2" t="b">
        <v>0</v>
      </c>
      <c r="F1073" s="2" t="s">
        <v>31</v>
      </c>
      <c r="G1073" s="2" t="s">
        <v>2642</v>
      </c>
      <c r="H1073" s="2" t="s">
        <v>2643</v>
      </c>
      <c r="I1073" s="2" t="s">
        <v>675</v>
      </c>
      <c r="J1073" s="2" t="s">
        <v>35</v>
      </c>
      <c r="K1073" s="2" t="s">
        <v>35</v>
      </c>
      <c r="L1073" s="2" t="s">
        <v>35</v>
      </c>
      <c r="M1073" s="2" t="s">
        <v>35</v>
      </c>
      <c r="N1073" s="3">
        <v>44753.515709039355</v>
      </c>
      <c r="O1073" s="3">
        <v>44753.51592740741</v>
      </c>
      <c r="P1073" s="2">
        <v>0</v>
      </c>
      <c r="Q1073" s="2" t="s">
        <v>124</v>
      </c>
      <c r="R1073" s="2" t="s">
        <v>38</v>
      </c>
      <c r="S1073" s="2" t="s">
        <v>35</v>
      </c>
      <c r="T1073" s="2" t="s">
        <v>35</v>
      </c>
      <c r="U1073" s="2" t="s">
        <v>35</v>
      </c>
      <c r="V1073" s="2" t="b">
        <v>0</v>
      </c>
      <c r="W1073" s="2" t="s">
        <v>35</v>
      </c>
      <c r="X1073" s="2">
        <v>4</v>
      </c>
      <c r="Y1073" s="2" t="s">
        <v>35</v>
      </c>
      <c r="Z1073" s="2" t="s">
        <v>35</v>
      </c>
    </row>
    <row r="1074" spans="1:26" x14ac:dyDescent="0.2">
      <c r="A1074" s="2" t="s">
        <v>2644</v>
      </c>
      <c r="B1074" s="2" t="b">
        <v>0</v>
      </c>
      <c r="C1074" s="2" t="b">
        <v>0</v>
      </c>
      <c r="D1074" s="2" t="b">
        <v>0</v>
      </c>
      <c r="E1074" s="2" t="b">
        <v>0</v>
      </c>
      <c r="F1074" s="2" t="s">
        <v>31</v>
      </c>
      <c r="G1074" s="2" t="s">
        <v>2645</v>
      </c>
      <c r="H1074" s="2" t="s">
        <v>2646</v>
      </c>
      <c r="I1074" s="2" t="s">
        <v>675</v>
      </c>
      <c r="J1074" s="2" t="s">
        <v>35</v>
      </c>
      <c r="K1074" s="2" t="s">
        <v>35</v>
      </c>
      <c r="L1074" s="2" t="s">
        <v>35</v>
      </c>
      <c r="M1074" s="2" t="s">
        <v>35</v>
      </c>
      <c r="N1074" s="3">
        <v>44753.516129953707</v>
      </c>
      <c r="O1074" s="3">
        <v>44753.516320671297</v>
      </c>
      <c r="P1074" s="2">
        <v>0</v>
      </c>
      <c r="Q1074" s="2" t="s">
        <v>124</v>
      </c>
      <c r="R1074" s="2" t="s">
        <v>38</v>
      </c>
      <c r="S1074" s="2" t="s">
        <v>35</v>
      </c>
      <c r="T1074" s="2" t="s">
        <v>35</v>
      </c>
      <c r="U1074" s="2" t="s">
        <v>35</v>
      </c>
      <c r="V1074" s="2" t="b">
        <v>0</v>
      </c>
      <c r="W1074" s="2" t="s">
        <v>35</v>
      </c>
      <c r="X1074" s="2">
        <v>4</v>
      </c>
      <c r="Y1074" s="2" t="s">
        <v>35</v>
      </c>
      <c r="Z1074" s="2" t="s">
        <v>35</v>
      </c>
    </row>
    <row r="1075" spans="1:26" x14ac:dyDescent="0.2">
      <c r="A1075" s="2" t="s">
        <v>2647</v>
      </c>
      <c r="B1075" s="2" t="b">
        <v>0</v>
      </c>
      <c r="C1075" s="2" t="b">
        <v>0</v>
      </c>
      <c r="D1075" s="2" t="b">
        <v>0</v>
      </c>
      <c r="E1075" s="2" t="b">
        <v>0</v>
      </c>
      <c r="F1075" s="2" t="s">
        <v>31</v>
      </c>
      <c r="G1075" s="2" t="s">
        <v>2648</v>
      </c>
      <c r="H1075" s="2" t="s">
        <v>2649</v>
      </c>
      <c r="I1075" s="2" t="s">
        <v>35</v>
      </c>
      <c r="J1075" s="2" t="s">
        <v>35</v>
      </c>
      <c r="K1075" s="2" t="s">
        <v>35</v>
      </c>
      <c r="L1075" s="2" t="s">
        <v>35</v>
      </c>
      <c r="M1075" s="2" t="s">
        <v>35</v>
      </c>
      <c r="N1075" s="3">
        <v>44755.387852800923</v>
      </c>
      <c r="O1075" s="3">
        <v>44755.387983182867</v>
      </c>
      <c r="P1075" s="2">
        <v>0</v>
      </c>
      <c r="Q1075" s="2" t="s">
        <v>36</v>
      </c>
      <c r="R1075" s="2" t="s">
        <v>38</v>
      </c>
      <c r="S1075" s="2" t="s">
        <v>35</v>
      </c>
      <c r="T1075" s="2" t="s">
        <v>35</v>
      </c>
      <c r="U1075" s="2" t="s">
        <v>35</v>
      </c>
      <c r="V1075" s="2" t="b">
        <v>0</v>
      </c>
      <c r="W1075" s="2" t="s">
        <v>35</v>
      </c>
      <c r="X1075" s="2" t="s">
        <v>35</v>
      </c>
      <c r="Y1075" s="2" t="s">
        <v>35</v>
      </c>
      <c r="Z1075" s="2">
        <v>2</v>
      </c>
    </row>
    <row r="1076" spans="1:26" x14ac:dyDescent="0.2">
      <c r="A1076" s="2" t="s">
        <v>2651</v>
      </c>
      <c r="B1076" s="2" t="b">
        <v>0</v>
      </c>
      <c r="C1076" s="2" t="b">
        <v>0</v>
      </c>
      <c r="D1076" s="2" t="b">
        <v>0</v>
      </c>
      <c r="E1076" s="2" t="b">
        <v>0</v>
      </c>
      <c r="F1076" s="2" t="s">
        <v>31</v>
      </c>
      <c r="G1076" s="2" t="s">
        <v>2652</v>
      </c>
      <c r="H1076" s="2" t="s">
        <v>2653</v>
      </c>
      <c r="I1076" s="2" t="s">
        <v>2654</v>
      </c>
      <c r="J1076" s="2" t="s">
        <v>35</v>
      </c>
      <c r="K1076" s="2" t="s">
        <v>35</v>
      </c>
      <c r="L1076" s="2">
        <v>28</v>
      </c>
      <c r="M1076" s="2">
        <v>15</v>
      </c>
      <c r="N1076" s="3">
        <v>44755.388897569443</v>
      </c>
      <c r="O1076" s="3">
        <v>44755.389350914353</v>
      </c>
      <c r="P1076" s="2">
        <v>0</v>
      </c>
      <c r="Q1076" s="2" t="s">
        <v>54</v>
      </c>
      <c r="R1076" s="2" t="s">
        <v>38</v>
      </c>
      <c r="S1076" s="2" t="s">
        <v>35</v>
      </c>
      <c r="T1076" s="2" t="s">
        <v>35</v>
      </c>
      <c r="U1076" s="2" t="s">
        <v>35</v>
      </c>
      <c r="V1076" s="2" t="b">
        <v>0</v>
      </c>
      <c r="W1076" s="2" t="s">
        <v>35</v>
      </c>
      <c r="X1076" s="2" t="s">
        <v>35</v>
      </c>
      <c r="Y1076" s="2" t="s">
        <v>35</v>
      </c>
      <c r="Z1076" s="2" t="s">
        <v>35</v>
      </c>
    </row>
    <row r="1077" spans="1:26" x14ac:dyDescent="0.2">
      <c r="A1077" s="2" t="s">
        <v>2655</v>
      </c>
      <c r="B1077" s="2" t="b">
        <v>0</v>
      </c>
      <c r="C1077" s="2" t="b">
        <v>0</v>
      </c>
      <c r="D1077" s="2" t="b">
        <v>0</v>
      </c>
      <c r="E1077" s="2" t="b">
        <v>0</v>
      </c>
      <c r="F1077" s="2" t="s">
        <v>31</v>
      </c>
      <c r="G1077" s="2" t="s">
        <v>2656</v>
      </c>
      <c r="H1077" s="2" t="s">
        <v>2657</v>
      </c>
      <c r="I1077" s="2" t="s">
        <v>2658</v>
      </c>
      <c r="J1077" s="2" t="s">
        <v>35</v>
      </c>
      <c r="K1077" s="2" t="s">
        <v>35</v>
      </c>
      <c r="L1077" s="2" t="s">
        <v>35</v>
      </c>
      <c r="M1077" s="2" t="s">
        <v>35</v>
      </c>
      <c r="N1077" s="3">
        <v>44755.390615428238</v>
      </c>
      <c r="O1077" s="3">
        <v>44755.39117884259</v>
      </c>
      <c r="P1077" s="2">
        <v>0</v>
      </c>
      <c r="Q1077" s="2" t="s">
        <v>54</v>
      </c>
      <c r="R1077" s="2" t="s">
        <v>38</v>
      </c>
      <c r="S1077" s="2" t="s">
        <v>35</v>
      </c>
      <c r="T1077" s="2" t="s">
        <v>35</v>
      </c>
      <c r="U1077" s="2" t="s">
        <v>35</v>
      </c>
      <c r="V1077" s="2" t="b">
        <v>0</v>
      </c>
      <c r="W1077" s="2" t="s">
        <v>35</v>
      </c>
      <c r="X1077" s="2" t="s">
        <v>35</v>
      </c>
      <c r="Y1077" s="2" t="s">
        <v>35</v>
      </c>
      <c r="Z1077" s="2" t="s">
        <v>35</v>
      </c>
    </row>
    <row r="1078" spans="1:26" x14ac:dyDescent="0.2">
      <c r="A1078" s="2" t="s">
        <v>2659</v>
      </c>
      <c r="B1078" s="2" t="b">
        <v>0</v>
      </c>
      <c r="C1078" s="2" t="b">
        <v>0</v>
      </c>
      <c r="D1078" s="2" t="b">
        <v>0</v>
      </c>
      <c r="E1078" s="2" t="b">
        <v>0</v>
      </c>
      <c r="F1078" s="2" t="s">
        <v>31</v>
      </c>
      <c r="G1078" s="2" t="s">
        <v>2660</v>
      </c>
      <c r="H1078" s="2" t="s">
        <v>2661</v>
      </c>
      <c r="I1078" s="2" t="s">
        <v>2662</v>
      </c>
      <c r="J1078" s="2" t="s">
        <v>35</v>
      </c>
      <c r="K1078" s="2" t="s">
        <v>35</v>
      </c>
      <c r="L1078" s="2" t="s">
        <v>35</v>
      </c>
      <c r="M1078" s="2" t="s">
        <v>35</v>
      </c>
      <c r="N1078" s="3">
        <v>44755.391227870372</v>
      </c>
      <c r="O1078" s="3">
        <v>44755.391420983797</v>
      </c>
      <c r="P1078" s="2">
        <v>0</v>
      </c>
      <c r="Q1078" s="2" t="s">
        <v>54</v>
      </c>
      <c r="R1078" s="2" t="s">
        <v>38</v>
      </c>
      <c r="S1078" s="2" t="s">
        <v>35</v>
      </c>
      <c r="T1078" s="2" t="s">
        <v>35</v>
      </c>
      <c r="U1078" s="2" t="s">
        <v>35</v>
      </c>
      <c r="V1078" s="2" t="b">
        <v>0</v>
      </c>
      <c r="W1078" s="2" t="s">
        <v>35</v>
      </c>
      <c r="X1078" s="2" t="s">
        <v>35</v>
      </c>
      <c r="Y1078" s="2" t="s">
        <v>35</v>
      </c>
      <c r="Z1078" s="2" t="s">
        <v>35</v>
      </c>
    </row>
    <row r="1079" spans="1:26" x14ac:dyDescent="0.2">
      <c r="A1079" s="2" t="s">
        <v>2663</v>
      </c>
      <c r="B1079" s="2" t="b">
        <v>0</v>
      </c>
      <c r="C1079" s="2" t="b">
        <v>0</v>
      </c>
      <c r="D1079" s="2" t="b">
        <v>0</v>
      </c>
      <c r="E1079" s="2" t="b">
        <v>0</v>
      </c>
      <c r="F1079" s="2" t="s">
        <v>31</v>
      </c>
      <c r="G1079" s="2" t="s">
        <v>2664</v>
      </c>
      <c r="H1079" s="2" t="s">
        <v>2665</v>
      </c>
      <c r="I1079" s="2" t="s">
        <v>35</v>
      </c>
      <c r="J1079" s="2" t="s">
        <v>35</v>
      </c>
      <c r="K1079" s="2" t="s">
        <v>35</v>
      </c>
      <c r="L1079" s="2">
        <v>28</v>
      </c>
      <c r="M1079" s="2">
        <v>15</v>
      </c>
      <c r="N1079" s="3">
        <v>44755.391467118054</v>
      </c>
      <c r="O1079" s="3">
        <v>44755.391877372684</v>
      </c>
      <c r="P1079" s="2">
        <v>0</v>
      </c>
      <c r="Q1079" s="2" t="s">
        <v>54</v>
      </c>
      <c r="R1079" s="2" t="s">
        <v>38</v>
      </c>
      <c r="S1079" s="2" t="s">
        <v>35</v>
      </c>
      <c r="T1079" s="2" t="s">
        <v>35</v>
      </c>
      <c r="U1079" s="2" t="s">
        <v>35</v>
      </c>
      <c r="V1079" s="2" t="b">
        <v>0</v>
      </c>
      <c r="W1079" s="2" t="s">
        <v>35</v>
      </c>
      <c r="X1079" s="2" t="s">
        <v>35</v>
      </c>
      <c r="Y1079" s="2" t="s">
        <v>35</v>
      </c>
      <c r="Z1079" s="2" t="s">
        <v>35</v>
      </c>
    </row>
    <row r="1080" spans="1:26" x14ac:dyDescent="0.2">
      <c r="A1080" s="2" t="s">
        <v>2666</v>
      </c>
      <c r="B1080" s="2" t="b">
        <v>0</v>
      </c>
      <c r="C1080" s="2" t="b">
        <v>0</v>
      </c>
      <c r="D1080" s="2" t="b">
        <v>0</v>
      </c>
      <c r="E1080" s="2" t="b">
        <v>0</v>
      </c>
      <c r="F1080" s="2" t="s">
        <v>31</v>
      </c>
      <c r="G1080" s="2" t="s">
        <v>2667</v>
      </c>
      <c r="H1080" s="2" t="s">
        <v>2668</v>
      </c>
      <c r="I1080" s="2" t="s">
        <v>35</v>
      </c>
      <c r="J1080" s="2" t="s">
        <v>35</v>
      </c>
      <c r="K1080" s="2" t="s">
        <v>35</v>
      </c>
      <c r="L1080" s="2" t="s">
        <v>35</v>
      </c>
      <c r="M1080" s="2" t="s">
        <v>35</v>
      </c>
      <c r="N1080" s="3">
        <v>44755.392425416663</v>
      </c>
      <c r="O1080" s="3">
        <v>44755.392552187499</v>
      </c>
      <c r="P1080" s="2">
        <v>0</v>
      </c>
      <c r="Q1080" s="2" t="s">
        <v>36</v>
      </c>
      <c r="R1080" s="2" t="s">
        <v>38</v>
      </c>
      <c r="S1080" s="2" t="s">
        <v>35</v>
      </c>
      <c r="T1080" s="2" t="s">
        <v>35</v>
      </c>
      <c r="U1080" s="2" t="s">
        <v>35</v>
      </c>
      <c r="V1080" s="2" t="b">
        <v>0</v>
      </c>
      <c r="W1080" s="2" t="s">
        <v>35</v>
      </c>
      <c r="X1080" s="2" t="s">
        <v>35</v>
      </c>
      <c r="Y1080" s="2" t="s">
        <v>35</v>
      </c>
      <c r="Z1080" s="2">
        <v>3</v>
      </c>
    </row>
    <row r="1081" spans="1:26" x14ac:dyDescent="0.2">
      <c r="A1081" s="2" t="s">
        <v>2669</v>
      </c>
      <c r="B1081" s="2" t="b">
        <v>0</v>
      </c>
      <c r="C1081" s="2" t="b">
        <v>0</v>
      </c>
      <c r="D1081" s="2" t="b">
        <v>0</v>
      </c>
      <c r="E1081" s="2" t="b">
        <v>0</v>
      </c>
      <c r="F1081" s="2" t="s">
        <v>31</v>
      </c>
      <c r="G1081" s="2" t="s">
        <v>2670</v>
      </c>
      <c r="H1081" s="2" t="s">
        <v>2671</v>
      </c>
      <c r="I1081" s="2" t="s">
        <v>35</v>
      </c>
      <c r="J1081" s="2" t="s">
        <v>35</v>
      </c>
      <c r="K1081" s="2" t="s">
        <v>35</v>
      </c>
      <c r="L1081" s="2" t="s">
        <v>35</v>
      </c>
      <c r="M1081" s="2" t="s">
        <v>35</v>
      </c>
      <c r="N1081" s="3">
        <v>44755.395541608799</v>
      </c>
      <c r="O1081" s="3">
        <v>44755.395671828701</v>
      </c>
      <c r="P1081" s="2">
        <v>0</v>
      </c>
      <c r="Q1081" s="2" t="s">
        <v>36</v>
      </c>
      <c r="R1081" s="2" t="s">
        <v>38</v>
      </c>
      <c r="S1081" s="2" t="s">
        <v>35</v>
      </c>
      <c r="T1081" s="2" t="s">
        <v>35</v>
      </c>
      <c r="U1081" s="2" t="s">
        <v>35</v>
      </c>
      <c r="V1081" s="2" t="b">
        <v>0</v>
      </c>
      <c r="W1081" s="2" t="s">
        <v>35</v>
      </c>
      <c r="X1081" s="2" t="s">
        <v>35</v>
      </c>
      <c r="Y1081" s="2" t="s">
        <v>35</v>
      </c>
      <c r="Z1081" s="2">
        <v>3</v>
      </c>
    </row>
    <row r="1082" spans="1:26" x14ac:dyDescent="0.2">
      <c r="A1082" s="2" t="s">
        <v>2672</v>
      </c>
      <c r="B1082" s="2" t="b">
        <v>0</v>
      </c>
      <c r="C1082" s="2" t="b">
        <v>0</v>
      </c>
      <c r="D1082" s="2" t="b">
        <v>0</v>
      </c>
      <c r="E1082" s="2" t="b">
        <v>0</v>
      </c>
      <c r="F1082" s="2" t="s">
        <v>31</v>
      </c>
      <c r="G1082" s="2" t="s">
        <v>2673</v>
      </c>
      <c r="H1082" s="2" t="s">
        <v>2674</v>
      </c>
      <c r="I1082" s="2" t="s">
        <v>35</v>
      </c>
      <c r="J1082" s="2" t="s">
        <v>35</v>
      </c>
      <c r="K1082" s="2" t="s">
        <v>35</v>
      </c>
      <c r="L1082" s="2" t="s">
        <v>35</v>
      </c>
      <c r="M1082" s="2" t="s">
        <v>35</v>
      </c>
      <c r="N1082" s="3">
        <v>44755.397703888892</v>
      </c>
      <c r="O1082" s="3">
        <v>44755.397823854168</v>
      </c>
      <c r="P1082" s="2">
        <v>0</v>
      </c>
      <c r="Q1082" s="2" t="s">
        <v>36</v>
      </c>
      <c r="R1082" s="2" t="s">
        <v>38</v>
      </c>
      <c r="S1082" s="2" t="s">
        <v>35</v>
      </c>
      <c r="T1082" s="2" t="s">
        <v>35</v>
      </c>
      <c r="U1082" s="2" t="s">
        <v>35</v>
      </c>
      <c r="V1082" s="2" t="b">
        <v>0</v>
      </c>
      <c r="W1082" s="2" t="s">
        <v>35</v>
      </c>
      <c r="X1082" s="2" t="s">
        <v>35</v>
      </c>
      <c r="Y1082" s="2" t="s">
        <v>35</v>
      </c>
      <c r="Z1082" s="2">
        <v>3</v>
      </c>
    </row>
    <row r="1083" spans="1:26" x14ac:dyDescent="0.2">
      <c r="A1083" s="2" t="s">
        <v>2675</v>
      </c>
      <c r="B1083" s="2" t="b">
        <v>0</v>
      </c>
      <c r="C1083" s="2" t="b">
        <v>0</v>
      </c>
      <c r="D1083" s="2" t="b">
        <v>0</v>
      </c>
      <c r="E1083" s="2" t="b">
        <v>0</v>
      </c>
      <c r="F1083" s="2" t="s">
        <v>31</v>
      </c>
      <c r="G1083" s="2" t="s">
        <v>2676</v>
      </c>
      <c r="H1083" s="2" t="s">
        <v>2677</v>
      </c>
      <c r="I1083" s="2" t="s">
        <v>35</v>
      </c>
      <c r="J1083" s="2" t="s">
        <v>35</v>
      </c>
      <c r="K1083" s="2" t="s">
        <v>35</v>
      </c>
      <c r="L1083" s="2" t="s">
        <v>35</v>
      </c>
      <c r="M1083" s="2" t="s">
        <v>35</v>
      </c>
      <c r="N1083" s="3">
        <v>44755.399064849538</v>
      </c>
      <c r="O1083" s="3">
        <v>44755.399173148151</v>
      </c>
      <c r="P1083" s="2">
        <v>0</v>
      </c>
      <c r="Q1083" s="2" t="s">
        <v>36</v>
      </c>
      <c r="R1083" s="2" t="s">
        <v>38</v>
      </c>
      <c r="S1083" s="2" t="s">
        <v>35</v>
      </c>
      <c r="T1083" s="2" t="s">
        <v>35</v>
      </c>
      <c r="U1083" s="2" t="s">
        <v>35</v>
      </c>
      <c r="V1083" s="2" t="b">
        <v>0</v>
      </c>
      <c r="W1083" s="2" t="s">
        <v>35</v>
      </c>
      <c r="X1083" s="2" t="s">
        <v>35</v>
      </c>
      <c r="Y1083" s="2" t="s">
        <v>35</v>
      </c>
      <c r="Z1083" s="2">
        <v>4</v>
      </c>
    </row>
    <row r="1084" spans="1:26" x14ac:dyDescent="0.2">
      <c r="A1084" s="2" t="s">
        <v>2678</v>
      </c>
      <c r="B1084" s="2" t="b">
        <v>0</v>
      </c>
      <c r="C1084" s="2" t="b">
        <v>0</v>
      </c>
      <c r="D1084" s="2" t="b">
        <v>0</v>
      </c>
      <c r="E1084" s="2" t="b">
        <v>0</v>
      </c>
      <c r="F1084" s="2" t="s">
        <v>31</v>
      </c>
      <c r="G1084" s="2" t="s">
        <v>2679</v>
      </c>
      <c r="H1084" s="2" t="s">
        <v>2680</v>
      </c>
      <c r="I1084" s="2" t="s">
        <v>35</v>
      </c>
      <c r="J1084" s="2" t="s">
        <v>35</v>
      </c>
      <c r="K1084" s="2" t="s">
        <v>35</v>
      </c>
      <c r="L1084" s="2" t="s">
        <v>35</v>
      </c>
      <c r="M1084" s="2" t="s">
        <v>35</v>
      </c>
      <c r="N1084" s="3">
        <v>44755.400241620373</v>
      </c>
      <c r="O1084" s="3">
        <v>44755.400386921297</v>
      </c>
      <c r="P1084" s="2">
        <v>0</v>
      </c>
      <c r="Q1084" s="2" t="s">
        <v>36</v>
      </c>
      <c r="R1084" s="2" t="s">
        <v>38</v>
      </c>
      <c r="S1084" s="2" t="s">
        <v>35</v>
      </c>
      <c r="T1084" s="2" t="s">
        <v>35</v>
      </c>
      <c r="U1084" s="2" t="s">
        <v>35</v>
      </c>
      <c r="V1084" s="2" t="b">
        <v>0</v>
      </c>
      <c r="W1084" s="2" t="s">
        <v>35</v>
      </c>
      <c r="X1084" s="2" t="s">
        <v>35</v>
      </c>
      <c r="Y1084" s="2" t="s">
        <v>35</v>
      </c>
      <c r="Z1084" s="2">
        <v>2</v>
      </c>
    </row>
    <row r="1085" spans="1:26" x14ac:dyDescent="0.2">
      <c r="A1085" s="2" t="s">
        <v>2681</v>
      </c>
      <c r="B1085" s="2" t="b">
        <v>0</v>
      </c>
      <c r="C1085" s="2" t="b">
        <v>0</v>
      </c>
      <c r="D1085" s="2" t="b">
        <v>0</v>
      </c>
      <c r="E1085" s="2" t="b">
        <v>1</v>
      </c>
      <c r="F1085" s="2" t="s">
        <v>31</v>
      </c>
      <c r="G1085" s="2" t="s">
        <v>2682</v>
      </c>
      <c r="H1085" s="2" t="s">
        <v>2683</v>
      </c>
      <c r="I1085" s="2" t="s">
        <v>2684</v>
      </c>
      <c r="J1085" s="2" t="s">
        <v>35</v>
      </c>
      <c r="K1085" s="2">
        <v>4</v>
      </c>
      <c r="L1085" s="2" t="s">
        <v>35</v>
      </c>
      <c r="M1085" s="2" t="s">
        <v>35</v>
      </c>
      <c r="N1085" s="3">
        <v>44755.401713032406</v>
      </c>
      <c r="O1085" s="3">
        <v>44755.40224452546</v>
      </c>
      <c r="P1085" s="2">
        <v>0</v>
      </c>
      <c r="Q1085" s="2" t="s">
        <v>265</v>
      </c>
      <c r="R1085" s="2" t="s">
        <v>38</v>
      </c>
      <c r="S1085" s="2" t="s">
        <v>35</v>
      </c>
      <c r="T1085" s="2" t="s">
        <v>35</v>
      </c>
      <c r="U1085" s="2" t="s">
        <v>35</v>
      </c>
      <c r="V1085" s="2" t="b">
        <v>0</v>
      </c>
      <c r="W1085" s="2" t="s">
        <v>35</v>
      </c>
      <c r="X1085" s="2" t="s">
        <v>35</v>
      </c>
      <c r="Y1085" s="2" t="s">
        <v>35</v>
      </c>
      <c r="Z1085" s="2" t="s">
        <v>35</v>
      </c>
    </row>
    <row r="1086" spans="1:26" x14ac:dyDescent="0.2">
      <c r="A1086" s="2" t="s">
        <v>2685</v>
      </c>
      <c r="B1086" s="2" t="b">
        <v>0</v>
      </c>
      <c r="C1086" s="2" t="b">
        <v>0</v>
      </c>
      <c r="D1086" s="2" t="b">
        <v>0</v>
      </c>
      <c r="E1086" s="2" t="b">
        <v>0</v>
      </c>
      <c r="F1086" s="2" t="s">
        <v>31</v>
      </c>
      <c r="G1086" s="2" t="s">
        <v>2686</v>
      </c>
      <c r="H1086" s="2" t="s">
        <v>2687</v>
      </c>
      <c r="I1086" s="2" t="s">
        <v>35</v>
      </c>
      <c r="J1086" s="2" t="s">
        <v>35</v>
      </c>
      <c r="K1086" s="2" t="s">
        <v>35</v>
      </c>
      <c r="L1086" s="2" t="s">
        <v>35</v>
      </c>
      <c r="M1086" s="2" t="s">
        <v>35</v>
      </c>
      <c r="N1086" s="3">
        <v>44755.403110671294</v>
      </c>
      <c r="O1086" s="3">
        <v>44755.403249305557</v>
      </c>
      <c r="P1086" s="2">
        <v>0</v>
      </c>
      <c r="Q1086" s="2" t="s">
        <v>36</v>
      </c>
      <c r="R1086" s="2" t="s">
        <v>38</v>
      </c>
      <c r="S1086" s="2" t="s">
        <v>35</v>
      </c>
      <c r="T1086" s="2" t="s">
        <v>35</v>
      </c>
      <c r="U1086" s="2" t="s">
        <v>35</v>
      </c>
      <c r="V1086" s="2" t="b">
        <v>0</v>
      </c>
      <c r="W1086" s="2" t="s">
        <v>35</v>
      </c>
      <c r="X1086" s="2" t="s">
        <v>35</v>
      </c>
      <c r="Y1086" s="2" t="s">
        <v>35</v>
      </c>
      <c r="Z1086" s="2">
        <v>3</v>
      </c>
    </row>
    <row r="1087" spans="1:26" x14ac:dyDescent="0.2">
      <c r="A1087" s="2" t="s">
        <v>2688</v>
      </c>
      <c r="B1087" s="2" t="b">
        <v>0</v>
      </c>
      <c r="C1087" s="2" t="b">
        <v>0</v>
      </c>
      <c r="D1087" s="2" t="b">
        <v>0</v>
      </c>
      <c r="E1087" s="2" t="b">
        <v>0</v>
      </c>
      <c r="F1087" s="2" t="s">
        <v>31</v>
      </c>
      <c r="G1087" s="2" t="s">
        <v>2689</v>
      </c>
      <c r="H1087" s="2" t="s">
        <v>2690</v>
      </c>
      <c r="I1087" s="2" t="s">
        <v>35</v>
      </c>
      <c r="J1087" s="2" t="s">
        <v>35</v>
      </c>
      <c r="K1087" s="2" t="s">
        <v>35</v>
      </c>
      <c r="L1087" s="2" t="s">
        <v>35</v>
      </c>
      <c r="M1087" s="2" t="s">
        <v>35</v>
      </c>
      <c r="N1087" s="3">
        <v>44755.403754687497</v>
      </c>
      <c r="O1087" s="3">
        <v>44755.403884699073</v>
      </c>
      <c r="P1087" s="2">
        <v>0</v>
      </c>
      <c r="Q1087" s="2" t="s">
        <v>36</v>
      </c>
      <c r="R1087" s="2" t="s">
        <v>38</v>
      </c>
      <c r="S1087" s="2" t="s">
        <v>35</v>
      </c>
      <c r="T1087" s="2" t="s">
        <v>35</v>
      </c>
      <c r="U1087" s="2" t="s">
        <v>35</v>
      </c>
      <c r="V1087" s="2" t="b">
        <v>0</v>
      </c>
      <c r="W1087" s="2" t="s">
        <v>35</v>
      </c>
      <c r="X1087" s="2" t="s">
        <v>35</v>
      </c>
      <c r="Y1087" s="2" t="s">
        <v>35</v>
      </c>
      <c r="Z1087" s="2">
        <v>3</v>
      </c>
    </row>
    <row r="1088" spans="1:26" x14ac:dyDescent="0.2">
      <c r="A1088" s="2" t="s">
        <v>2691</v>
      </c>
      <c r="B1088" s="2" t="b">
        <v>0</v>
      </c>
      <c r="C1088" s="2" t="b">
        <v>0</v>
      </c>
      <c r="D1088" s="2" t="b">
        <v>0</v>
      </c>
      <c r="E1088" s="2" t="b">
        <v>0</v>
      </c>
      <c r="F1088" s="2" t="s">
        <v>31</v>
      </c>
      <c r="G1088" s="2" t="s">
        <v>2692</v>
      </c>
      <c r="H1088" s="2" t="s">
        <v>2693</v>
      </c>
      <c r="I1088" s="2" t="s">
        <v>35</v>
      </c>
      <c r="J1088" s="2" t="s">
        <v>35</v>
      </c>
      <c r="K1088" s="2" t="s">
        <v>35</v>
      </c>
      <c r="L1088" s="2" t="s">
        <v>35</v>
      </c>
      <c r="M1088" s="2" t="s">
        <v>35</v>
      </c>
      <c r="N1088" s="3">
        <v>44755.404645439812</v>
      </c>
      <c r="O1088" s="3">
        <v>44755.404744398147</v>
      </c>
      <c r="P1088" s="2">
        <v>0</v>
      </c>
      <c r="Q1088" s="2" t="s">
        <v>36</v>
      </c>
      <c r="R1088" s="2" t="s">
        <v>38</v>
      </c>
      <c r="S1088" s="2" t="s">
        <v>35</v>
      </c>
      <c r="T1088" s="2" t="s">
        <v>35</v>
      </c>
      <c r="U1088" s="2" t="s">
        <v>35</v>
      </c>
      <c r="V1088" s="2" t="b">
        <v>0</v>
      </c>
      <c r="W1088" s="2" t="s">
        <v>35</v>
      </c>
      <c r="X1088" s="2" t="s">
        <v>35</v>
      </c>
      <c r="Y1088" s="2" t="s">
        <v>35</v>
      </c>
      <c r="Z1088" s="2">
        <v>2</v>
      </c>
    </row>
    <row r="1089" spans="1:26" x14ac:dyDescent="0.2">
      <c r="A1089" s="2" t="s">
        <v>2694</v>
      </c>
      <c r="B1089" s="2" t="b">
        <v>0</v>
      </c>
      <c r="C1089" s="2" t="b">
        <v>0</v>
      </c>
      <c r="D1089" s="2" t="b">
        <v>0</v>
      </c>
      <c r="E1089" s="2" t="b">
        <v>0</v>
      </c>
      <c r="F1089" s="2" t="s">
        <v>31</v>
      </c>
      <c r="G1089" s="2" t="s">
        <v>2695</v>
      </c>
      <c r="H1089" s="2" t="s">
        <v>2696</v>
      </c>
      <c r="I1089" s="2" t="s">
        <v>35</v>
      </c>
      <c r="J1089" s="2" t="s">
        <v>35</v>
      </c>
      <c r="K1089" s="2" t="s">
        <v>35</v>
      </c>
      <c r="L1089" s="2" t="s">
        <v>35</v>
      </c>
      <c r="M1089" s="2" t="s">
        <v>35</v>
      </c>
      <c r="N1089" s="3">
        <v>44755.404959907406</v>
      </c>
      <c r="O1089" s="3">
        <v>44755.405214560182</v>
      </c>
      <c r="P1089" s="2">
        <v>0</v>
      </c>
      <c r="Q1089" s="2" t="s">
        <v>36</v>
      </c>
      <c r="R1089" s="2" t="s">
        <v>38</v>
      </c>
      <c r="S1089" s="2" t="s">
        <v>35</v>
      </c>
      <c r="T1089" s="2" t="s">
        <v>35</v>
      </c>
      <c r="U1089" s="2" t="s">
        <v>35</v>
      </c>
      <c r="V1089" s="2" t="b">
        <v>0</v>
      </c>
      <c r="W1089" s="2" t="s">
        <v>2697</v>
      </c>
      <c r="X1089" s="2" t="s">
        <v>35</v>
      </c>
      <c r="Y1089" s="2" t="s">
        <v>35</v>
      </c>
      <c r="Z1089" s="2" t="s">
        <v>35</v>
      </c>
    </row>
    <row r="1090" spans="1:26" x14ac:dyDescent="0.2">
      <c r="A1090" s="2" t="s">
        <v>2698</v>
      </c>
      <c r="B1090" s="2" t="b">
        <v>0</v>
      </c>
      <c r="C1090" s="2" t="b">
        <v>0</v>
      </c>
      <c r="D1090" s="2" t="b">
        <v>0</v>
      </c>
      <c r="E1090" s="2" t="b">
        <v>0</v>
      </c>
      <c r="F1090" s="2" t="s">
        <v>31</v>
      </c>
      <c r="G1090" s="2" t="s">
        <v>2699</v>
      </c>
      <c r="H1090" s="2" t="s">
        <v>2700</v>
      </c>
      <c r="I1090" s="2" t="s">
        <v>35</v>
      </c>
      <c r="J1090" s="2" t="s">
        <v>35</v>
      </c>
      <c r="K1090" s="2" t="s">
        <v>35</v>
      </c>
      <c r="L1090" s="2" t="s">
        <v>35</v>
      </c>
      <c r="M1090" s="2" t="s">
        <v>35</v>
      </c>
      <c r="N1090" s="3">
        <v>44755.407912939816</v>
      </c>
      <c r="O1090" s="3">
        <v>44755.408019756942</v>
      </c>
      <c r="P1090" s="2">
        <v>0</v>
      </c>
      <c r="Q1090" s="2" t="s">
        <v>36</v>
      </c>
      <c r="R1090" s="2" t="s">
        <v>38</v>
      </c>
      <c r="S1090" s="2" t="s">
        <v>35</v>
      </c>
      <c r="T1090" s="2" t="s">
        <v>35</v>
      </c>
      <c r="U1090" s="2" t="s">
        <v>35</v>
      </c>
      <c r="V1090" s="2" t="b">
        <v>0</v>
      </c>
      <c r="W1090" s="2" t="s">
        <v>35</v>
      </c>
      <c r="X1090" s="2" t="s">
        <v>35</v>
      </c>
      <c r="Y1090" s="2" t="s">
        <v>35</v>
      </c>
      <c r="Z1090" s="2">
        <v>2</v>
      </c>
    </row>
    <row r="1091" spans="1:26" x14ac:dyDescent="0.2">
      <c r="A1091" s="2" t="s">
        <v>2701</v>
      </c>
      <c r="B1091" s="2" t="b">
        <v>0</v>
      </c>
      <c r="C1091" s="2" t="b">
        <v>0</v>
      </c>
      <c r="D1091" s="2" t="b">
        <v>0</v>
      </c>
      <c r="E1091" s="2" t="b">
        <v>0</v>
      </c>
      <c r="F1091" s="2" t="s">
        <v>31</v>
      </c>
      <c r="G1091" s="2" t="s">
        <v>2702</v>
      </c>
      <c r="H1091" s="2" t="s">
        <v>2703</v>
      </c>
      <c r="I1091" s="2" t="s">
        <v>2704</v>
      </c>
      <c r="J1091" s="2" t="s">
        <v>35</v>
      </c>
      <c r="K1091" s="2" t="s">
        <v>35</v>
      </c>
      <c r="L1091" s="2" t="s">
        <v>35</v>
      </c>
      <c r="M1091" s="2" t="s">
        <v>35</v>
      </c>
      <c r="N1091" s="3">
        <v>44755.409920995371</v>
      </c>
      <c r="O1091" s="3">
        <v>44755.410915046297</v>
      </c>
      <c r="P1091" s="2">
        <v>0</v>
      </c>
      <c r="Q1091" s="2" t="s">
        <v>109</v>
      </c>
      <c r="R1091" s="2" t="s">
        <v>38</v>
      </c>
      <c r="S1091" s="2" t="s">
        <v>35</v>
      </c>
      <c r="T1091" s="2">
        <v>0</v>
      </c>
      <c r="U1091" s="2" t="s">
        <v>35</v>
      </c>
      <c r="V1091" s="2" t="b">
        <v>0</v>
      </c>
      <c r="W1091" s="2" t="s">
        <v>35</v>
      </c>
      <c r="X1091" s="2" t="s">
        <v>35</v>
      </c>
      <c r="Y1091" s="2" t="s">
        <v>35</v>
      </c>
      <c r="Z1091" s="2" t="s">
        <v>35</v>
      </c>
    </row>
    <row r="1092" spans="1:26" x14ac:dyDescent="0.2">
      <c r="A1092" s="2" t="s">
        <v>2705</v>
      </c>
      <c r="B1092" s="2" t="b">
        <v>0</v>
      </c>
      <c r="C1092" s="2" t="b">
        <v>0</v>
      </c>
      <c r="D1092" s="2" t="b">
        <v>0</v>
      </c>
      <c r="E1092" s="2" t="b">
        <v>0</v>
      </c>
      <c r="F1092" s="2" t="s">
        <v>31</v>
      </c>
      <c r="G1092" s="2" t="s">
        <v>2706</v>
      </c>
      <c r="H1092" s="2" t="s">
        <v>2707</v>
      </c>
      <c r="I1092" s="2" t="s">
        <v>35</v>
      </c>
      <c r="J1092" s="2" t="s">
        <v>35</v>
      </c>
      <c r="K1092" s="2" t="s">
        <v>35</v>
      </c>
      <c r="L1092" s="2" t="s">
        <v>35</v>
      </c>
      <c r="M1092" s="2" t="s">
        <v>35</v>
      </c>
      <c r="N1092" s="3">
        <v>44755.411267743053</v>
      </c>
      <c r="O1092" s="3">
        <v>44755.411387245367</v>
      </c>
      <c r="P1092" s="2">
        <v>0</v>
      </c>
      <c r="Q1092" s="2" t="s">
        <v>36</v>
      </c>
      <c r="R1092" s="2" t="s">
        <v>38</v>
      </c>
      <c r="S1092" s="2" t="s">
        <v>35</v>
      </c>
      <c r="T1092" s="2" t="s">
        <v>35</v>
      </c>
      <c r="U1092" s="2" t="s">
        <v>35</v>
      </c>
      <c r="V1092" s="2" t="b">
        <v>0</v>
      </c>
      <c r="W1092" s="2" t="s">
        <v>35</v>
      </c>
      <c r="X1092" s="2" t="s">
        <v>35</v>
      </c>
      <c r="Y1092" s="2" t="s">
        <v>35</v>
      </c>
      <c r="Z1092" s="2">
        <v>3</v>
      </c>
    </row>
    <row r="1093" spans="1:26" x14ac:dyDescent="0.2">
      <c r="A1093" s="2" t="s">
        <v>2708</v>
      </c>
      <c r="B1093" s="2" t="b">
        <v>0</v>
      </c>
      <c r="C1093" s="2" t="b">
        <v>0</v>
      </c>
      <c r="D1093" s="2" t="b">
        <v>0</v>
      </c>
      <c r="E1093" s="2" t="b">
        <v>0</v>
      </c>
      <c r="F1093" s="2" t="s">
        <v>31</v>
      </c>
      <c r="G1093" s="2" t="s">
        <v>2709</v>
      </c>
      <c r="H1093" s="2" t="s">
        <v>2710</v>
      </c>
      <c r="I1093" s="2" t="s">
        <v>35</v>
      </c>
      <c r="J1093" s="2" t="s">
        <v>35</v>
      </c>
      <c r="K1093" s="2" t="s">
        <v>35</v>
      </c>
      <c r="L1093" s="2" t="s">
        <v>35</v>
      </c>
      <c r="M1093" s="2" t="s">
        <v>35</v>
      </c>
      <c r="N1093" s="3">
        <v>44755.411922407409</v>
      </c>
      <c r="O1093" s="3">
        <v>44755.412060648145</v>
      </c>
      <c r="P1093" s="2">
        <v>0</v>
      </c>
      <c r="Q1093" s="2" t="s">
        <v>36</v>
      </c>
      <c r="R1093" s="2" t="s">
        <v>38</v>
      </c>
      <c r="S1093" s="2" t="s">
        <v>35</v>
      </c>
      <c r="T1093" s="2" t="s">
        <v>35</v>
      </c>
      <c r="U1093" s="2" t="s">
        <v>35</v>
      </c>
      <c r="V1093" s="2" t="b">
        <v>0</v>
      </c>
      <c r="W1093" s="2" t="s">
        <v>35</v>
      </c>
      <c r="X1093" s="2" t="s">
        <v>35</v>
      </c>
      <c r="Y1093" s="2" t="s">
        <v>35</v>
      </c>
      <c r="Z1093" s="2">
        <v>4</v>
      </c>
    </row>
    <row r="1094" spans="1:26" x14ac:dyDescent="0.2">
      <c r="A1094" s="2" t="s">
        <v>2711</v>
      </c>
      <c r="B1094" s="2" t="b">
        <v>0</v>
      </c>
      <c r="C1094" s="2" t="b">
        <v>0</v>
      </c>
      <c r="D1094" s="2" t="b">
        <v>0</v>
      </c>
      <c r="E1094" s="2" t="b">
        <v>0</v>
      </c>
      <c r="F1094" s="2" t="s">
        <v>31</v>
      </c>
      <c r="G1094" s="2" t="s">
        <v>2712</v>
      </c>
      <c r="H1094" s="2" t="s">
        <v>2713</v>
      </c>
      <c r="I1094" s="2" t="s">
        <v>35</v>
      </c>
      <c r="J1094" s="2" t="s">
        <v>35</v>
      </c>
      <c r="K1094" s="2" t="s">
        <v>35</v>
      </c>
      <c r="L1094" s="2" t="s">
        <v>35</v>
      </c>
      <c r="M1094" s="2" t="s">
        <v>35</v>
      </c>
      <c r="N1094" s="3">
        <v>44755.412116805557</v>
      </c>
      <c r="O1094" s="3">
        <v>44755.41235712963</v>
      </c>
      <c r="P1094" s="2">
        <v>0</v>
      </c>
      <c r="Q1094" s="2" t="s">
        <v>36</v>
      </c>
      <c r="R1094" s="2" t="s">
        <v>38</v>
      </c>
      <c r="S1094" s="2" t="s">
        <v>35</v>
      </c>
      <c r="T1094" s="2" t="s">
        <v>35</v>
      </c>
      <c r="U1094" s="2" t="s">
        <v>35</v>
      </c>
      <c r="V1094" s="2" t="b">
        <v>0</v>
      </c>
      <c r="W1094" s="2" t="s">
        <v>2714</v>
      </c>
      <c r="X1094" s="2" t="s">
        <v>35</v>
      </c>
      <c r="Y1094" s="2" t="s">
        <v>35</v>
      </c>
      <c r="Z1094" s="2" t="s">
        <v>35</v>
      </c>
    </row>
    <row r="1095" spans="1:26" x14ac:dyDescent="0.2">
      <c r="A1095" s="2" t="s">
        <v>2715</v>
      </c>
      <c r="B1095" s="2" t="b">
        <v>0</v>
      </c>
      <c r="C1095" s="2" t="b">
        <v>0</v>
      </c>
      <c r="D1095" s="2" t="b">
        <v>0</v>
      </c>
      <c r="E1095" s="2" t="b">
        <v>0</v>
      </c>
      <c r="F1095" s="2" t="s">
        <v>31</v>
      </c>
      <c r="G1095" s="2" t="s">
        <v>2716</v>
      </c>
      <c r="H1095" s="2" t="s">
        <v>2717</v>
      </c>
      <c r="I1095" s="2" t="s">
        <v>2718</v>
      </c>
      <c r="J1095" s="2" t="s">
        <v>35</v>
      </c>
      <c r="K1095" s="2" t="s">
        <v>35</v>
      </c>
      <c r="L1095" s="2" t="s">
        <v>35</v>
      </c>
      <c r="M1095" s="2" t="s">
        <v>35</v>
      </c>
      <c r="N1095" s="3">
        <v>44755.412470960648</v>
      </c>
      <c r="O1095" s="3">
        <v>44755.41301802083</v>
      </c>
      <c r="P1095" s="2">
        <v>0</v>
      </c>
      <c r="Q1095" s="2" t="s">
        <v>109</v>
      </c>
      <c r="R1095" s="2" t="s">
        <v>38</v>
      </c>
      <c r="S1095" s="2" t="s">
        <v>35</v>
      </c>
      <c r="T1095" s="2" t="s">
        <v>35</v>
      </c>
      <c r="U1095" s="2" t="s">
        <v>839</v>
      </c>
      <c r="V1095" s="2" t="b">
        <v>0</v>
      </c>
      <c r="W1095" s="2" t="s">
        <v>35</v>
      </c>
      <c r="X1095" s="2" t="s">
        <v>35</v>
      </c>
      <c r="Y1095" s="2" t="s">
        <v>35</v>
      </c>
      <c r="Z1095" s="2" t="s">
        <v>35</v>
      </c>
    </row>
    <row r="1096" spans="1:26" x14ac:dyDescent="0.2">
      <c r="A1096" s="2" t="s">
        <v>2719</v>
      </c>
      <c r="B1096" s="2" t="b">
        <v>0</v>
      </c>
      <c r="C1096" s="2" t="b">
        <v>0</v>
      </c>
      <c r="D1096" s="2" t="b">
        <v>0</v>
      </c>
      <c r="E1096" s="2" t="b">
        <v>0</v>
      </c>
      <c r="F1096" s="2" t="s">
        <v>31</v>
      </c>
      <c r="G1096" s="2" t="s">
        <v>2720</v>
      </c>
      <c r="H1096" s="2" t="s">
        <v>2721</v>
      </c>
      <c r="I1096" s="2" t="s">
        <v>35</v>
      </c>
      <c r="J1096" s="2" t="s">
        <v>35</v>
      </c>
      <c r="K1096" s="2" t="s">
        <v>35</v>
      </c>
      <c r="L1096" s="2" t="s">
        <v>35</v>
      </c>
      <c r="M1096" s="2" t="s">
        <v>35</v>
      </c>
      <c r="N1096" s="3">
        <v>44755.41442025463</v>
      </c>
      <c r="O1096" s="3">
        <v>44755.414587465275</v>
      </c>
      <c r="P1096" s="2">
        <v>0</v>
      </c>
      <c r="Q1096" s="2" t="s">
        <v>36</v>
      </c>
      <c r="R1096" s="2" t="s">
        <v>38</v>
      </c>
      <c r="S1096" s="2" t="s">
        <v>35</v>
      </c>
      <c r="T1096" s="2" t="s">
        <v>35</v>
      </c>
      <c r="U1096" s="2" t="s">
        <v>35</v>
      </c>
      <c r="V1096" s="2" t="b">
        <v>0</v>
      </c>
      <c r="W1096" s="2" t="s">
        <v>35</v>
      </c>
      <c r="X1096" s="2" t="s">
        <v>35</v>
      </c>
      <c r="Y1096" s="2" t="s">
        <v>35</v>
      </c>
      <c r="Z1096" s="2">
        <v>4</v>
      </c>
    </row>
    <row r="1097" spans="1:26" x14ac:dyDescent="0.2">
      <c r="A1097" s="2" t="s">
        <v>2722</v>
      </c>
      <c r="B1097" s="2" t="b">
        <v>0</v>
      </c>
      <c r="C1097" s="2" t="b">
        <v>0</v>
      </c>
      <c r="D1097" s="2" t="b">
        <v>0</v>
      </c>
      <c r="E1097" s="2" t="b">
        <v>0</v>
      </c>
      <c r="F1097" s="2" t="s">
        <v>31</v>
      </c>
      <c r="G1097" s="2" t="s">
        <v>2723</v>
      </c>
      <c r="H1097" s="2" t="s">
        <v>2724</v>
      </c>
      <c r="I1097" s="2" t="s">
        <v>35</v>
      </c>
      <c r="J1097" s="2" t="s">
        <v>35</v>
      </c>
      <c r="K1097" s="2" t="s">
        <v>35</v>
      </c>
      <c r="L1097" s="2" t="s">
        <v>35</v>
      </c>
      <c r="M1097" s="2" t="s">
        <v>35</v>
      </c>
      <c r="N1097" s="3">
        <v>44755.41558173611</v>
      </c>
      <c r="O1097" s="3">
        <v>44755.416014247683</v>
      </c>
      <c r="P1097" s="2">
        <v>0</v>
      </c>
      <c r="Q1097" s="2" t="s">
        <v>36</v>
      </c>
      <c r="R1097" s="2" t="s">
        <v>38</v>
      </c>
      <c r="S1097" s="2" t="s">
        <v>35</v>
      </c>
      <c r="T1097" s="2" t="s">
        <v>35</v>
      </c>
      <c r="U1097" s="2" t="s">
        <v>35</v>
      </c>
      <c r="V1097" s="2" t="b">
        <v>0</v>
      </c>
      <c r="W1097" s="2" t="s">
        <v>35</v>
      </c>
      <c r="X1097" s="2" t="s">
        <v>35</v>
      </c>
      <c r="Y1097" s="2" t="s">
        <v>35</v>
      </c>
      <c r="Z1097" s="2">
        <v>5</v>
      </c>
    </row>
    <row r="1098" spans="1:26" x14ac:dyDescent="0.2">
      <c r="A1098" s="2" t="s">
        <v>2725</v>
      </c>
      <c r="B1098" s="2" t="b">
        <v>0</v>
      </c>
      <c r="C1098" s="2" t="b">
        <v>0</v>
      </c>
      <c r="D1098" s="2" t="b">
        <v>0</v>
      </c>
      <c r="E1098" s="2" t="b">
        <v>0</v>
      </c>
      <c r="F1098" s="2" t="s">
        <v>31</v>
      </c>
      <c r="G1098" s="2" t="s">
        <v>2726</v>
      </c>
      <c r="H1098" s="2" t="s">
        <v>2727</v>
      </c>
      <c r="I1098" s="2" t="s">
        <v>35</v>
      </c>
      <c r="J1098" s="2" t="s">
        <v>35</v>
      </c>
      <c r="K1098" s="2" t="s">
        <v>35</v>
      </c>
      <c r="L1098" s="2">
        <v>7</v>
      </c>
      <c r="M1098" s="2">
        <v>15</v>
      </c>
      <c r="N1098" s="3">
        <v>44755.416144270836</v>
      </c>
      <c r="O1098" s="3">
        <v>44755.416528807873</v>
      </c>
      <c r="P1098" s="2">
        <v>0</v>
      </c>
      <c r="Q1098" s="2" t="s">
        <v>54</v>
      </c>
      <c r="R1098" s="2" t="s">
        <v>38</v>
      </c>
      <c r="S1098" s="2" t="s">
        <v>35</v>
      </c>
      <c r="T1098" s="2" t="s">
        <v>35</v>
      </c>
      <c r="U1098" s="2" t="s">
        <v>35</v>
      </c>
      <c r="V1098" s="2" t="b">
        <v>0</v>
      </c>
      <c r="W1098" s="2" t="s">
        <v>35</v>
      </c>
      <c r="X1098" s="2" t="s">
        <v>35</v>
      </c>
      <c r="Y1098" s="2" t="s">
        <v>35</v>
      </c>
      <c r="Z1098" s="2" t="s">
        <v>35</v>
      </c>
    </row>
    <row r="1099" spans="1:26" x14ac:dyDescent="0.2">
      <c r="A1099" s="2" t="s">
        <v>2728</v>
      </c>
      <c r="B1099" s="2" t="b">
        <v>0</v>
      </c>
      <c r="C1099" s="2" t="b">
        <v>0</v>
      </c>
      <c r="D1099" s="2" t="b">
        <v>0</v>
      </c>
      <c r="E1099" s="2" t="b">
        <v>0</v>
      </c>
      <c r="F1099" s="2" t="s">
        <v>31</v>
      </c>
      <c r="G1099" s="2" t="s">
        <v>2729</v>
      </c>
      <c r="H1099" s="2" t="s">
        <v>2730</v>
      </c>
      <c r="I1099" s="2" t="s">
        <v>2731</v>
      </c>
      <c r="J1099" s="2" t="s">
        <v>35</v>
      </c>
      <c r="K1099" s="2" t="s">
        <v>35</v>
      </c>
      <c r="L1099" s="2" t="s">
        <v>35</v>
      </c>
      <c r="M1099" s="2" t="s">
        <v>35</v>
      </c>
      <c r="N1099" s="3">
        <v>44755.416595937502</v>
      </c>
      <c r="O1099" s="3">
        <v>44755.417260231479</v>
      </c>
      <c r="P1099" s="2">
        <v>0</v>
      </c>
      <c r="Q1099" s="2" t="s">
        <v>416</v>
      </c>
      <c r="R1099" s="2" t="s">
        <v>38</v>
      </c>
      <c r="S1099" s="2" t="s">
        <v>35</v>
      </c>
      <c r="T1099" s="2">
        <v>0</v>
      </c>
      <c r="U1099" s="2" t="s">
        <v>35</v>
      </c>
      <c r="V1099" s="2" t="b">
        <v>0</v>
      </c>
      <c r="W1099" s="2" t="s">
        <v>35</v>
      </c>
      <c r="X1099" s="2" t="s">
        <v>35</v>
      </c>
      <c r="Y1099" s="2" t="s">
        <v>35</v>
      </c>
      <c r="Z1099" s="2" t="s">
        <v>35</v>
      </c>
    </row>
    <row r="1100" spans="1:26" x14ac:dyDescent="0.2">
      <c r="A1100" s="2" t="s">
        <v>2732</v>
      </c>
      <c r="B1100" s="2" t="b">
        <v>0</v>
      </c>
      <c r="C1100" s="2" t="b">
        <v>0</v>
      </c>
      <c r="D1100" s="2" t="b">
        <v>0</v>
      </c>
      <c r="E1100" s="2" t="b">
        <v>0</v>
      </c>
      <c r="F1100" s="2" t="s">
        <v>31</v>
      </c>
      <c r="G1100" s="2" t="s">
        <v>2733</v>
      </c>
      <c r="H1100" s="2" t="s">
        <v>2734</v>
      </c>
      <c r="I1100" s="2" t="s">
        <v>35</v>
      </c>
      <c r="J1100" s="2" t="s">
        <v>35</v>
      </c>
      <c r="K1100" s="2" t="s">
        <v>35</v>
      </c>
      <c r="L1100" s="2" t="s">
        <v>35</v>
      </c>
      <c r="M1100" s="2" t="s">
        <v>35</v>
      </c>
      <c r="N1100" s="3">
        <v>44755.417792523149</v>
      </c>
      <c r="O1100" s="3">
        <v>44755.417900902779</v>
      </c>
      <c r="P1100" s="2">
        <v>0</v>
      </c>
      <c r="Q1100" s="2" t="s">
        <v>36</v>
      </c>
      <c r="R1100" s="2" t="s">
        <v>38</v>
      </c>
      <c r="S1100" s="2" t="s">
        <v>35</v>
      </c>
      <c r="T1100" s="2" t="s">
        <v>35</v>
      </c>
      <c r="U1100" s="2" t="s">
        <v>35</v>
      </c>
      <c r="V1100" s="2" t="b">
        <v>0</v>
      </c>
      <c r="W1100" s="2" t="s">
        <v>35</v>
      </c>
      <c r="X1100" s="2" t="s">
        <v>35</v>
      </c>
      <c r="Y1100" s="2" t="s">
        <v>35</v>
      </c>
      <c r="Z1100" s="2">
        <v>3</v>
      </c>
    </row>
    <row r="1101" spans="1:26" x14ac:dyDescent="0.2">
      <c r="A1101" s="2" t="s">
        <v>2735</v>
      </c>
      <c r="B1101" s="2" t="b">
        <v>0</v>
      </c>
      <c r="C1101" s="2" t="b">
        <v>0</v>
      </c>
      <c r="D1101" s="2" t="b">
        <v>0</v>
      </c>
      <c r="E1101" s="2" t="b">
        <v>0</v>
      </c>
      <c r="F1101" s="2" t="s">
        <v>31</v>
      </c>
      <c r="G1101" s="2" t="s">
        <v>2736</v>
      </c>
      <c r="H1101" s="2" t="s">
        <v>2737</v>
      </c>
      <c r="I1101" s="2" t="s">
        <v>35</v>
      </c>
      <c r="J1101" s="2" t="s">
        <v>35</v>
      </c>
      <c r="K1101" s="2" t="s">
        <v>35</v>
      </c>
      <c r="L1101" s="2" t="s">
        <v>35</v>
      </c>
      <c r="M1101" s="2" t="s">
        <v>35</v>
      </c>
      <c r="N1101" s="3">
        <v>44755.418657662034</v>
      </c>
      <c r="O1101" s="3">
        <v>44755.418754826387</v>
      </c>
      <c r="P1101" s="2">
        <v>0</v>
      </c>
      <c r="Q1101" s="2" t="s">
        <v>36</v>
      </c>
      <c r="R1101" s="2" t="s">
        <v>38</v>
      </c>
      <c r="S1101" s="2" t="s">
        <v>35</v>
      </c>
      <c r="T1101" s="2" t="s">
        <v>35</v>
      </c>
      <c r="U1101" s="2" t="s">
        <v>35</v>
      </c>
      <c r="V1101" s="2" t="b">
        <v>0</v>
      </c>
      <c r="W1101" s="2" t="s">
        <v>35</v>
      </c>
      <c r="X1101" s="2" t="s">
        <v>35</v>
      </c>
      <c r="Y1101" s="2" t="s">
        <v>35</v>
      </c>
      <c r="Z1101" s="2">
        <v>3</v>
      </c>
    </row>
    <row r="1102" spans="1:26" x14ac:dyDescent="0.2">
      <c r="A1102" s="2" t="s">
        <v>2738</v>
      </c>
      <c r="B1102" s="2" t="b">
        <v>0</v>
      </c>
      <c r="C1102" s="2" t="b">
        <v>0</v>
      </c>
      <c r="D1102" s="2" t="b">
        <v>0</v>
      </c>
      <c r="E1102" s="2" t="b">
        <v>0</v>
      </c>
      <c r="F1102" s="2" t="s">
        <v>31</v>
      </c>
      <c r="G1102" s="2" t="s">
        <v>2739</v>
      </c>
      <c r="H1102" s="2" t="s">
        <v>2740</v>
      </c>
      <c r="I1102" s="2" t="s">
        <v>35</v>
      </c>
      <c r="J1102" s="2" t="s">
        <v>35</v>
      </c>
      <c r="K1102" s="2">
        <v>5</v>
      </c>
      <c r="L1102" s="2" t="s">
        <v>35</v>
      </c>
      <c r="M1102" s="2" t="s">
        <v>35</v>
      </c>
      <c r="N1102" s="3">
        <v>44755.418940648146</v>
      </c>
      <c r="O1102" s="3">
        <v>44755.419152754628</v>
      </c>
      <c r="P1102" s="2">
        <v>0</v>
      </c>
      <c r="Q1102" s="2" t="s">
        <v>265</v>
      </c>
      <c r="R1102" s="2" t="s">
        <v>38</v>
      </c>
      <c r="S1102" s="2" t="s">
        <v>35</v>
      </c>
      <c r="T1102" s="2" t="s">
        <v>35</v>
      </c>
      <c r="U1102" s="2" t="s">
        <v>35</v>
      </c>
      <c r="V1102" s="2" t="b">
        <v>0</v>
      </c>
      <c r="W1102" s="2" t="s">
        <v>35</v>
      </c>
      <c r="X1102" s="2" t="s">
        <v>35</v>
      </c>
      <c r="Y1102" s="2" t="s">
        <v>35</v>
      </c>
      <c r="Z1102" s="2" t="s">
        <v>35</v>
      </c>
    </row>
    <row r="1103" spans="1:26" x14ac:dyDescent="0.2">
      <c r="A1103" s="2" t="s">
        <v>2741</v>
      </c>
      <c r="B1103" s="2" t="b">
        <v>0</v>
      </c>
      <c r="C1103" s="2" t="b">
        <v>0</v>
      </c>
      <c r="D1103" s="2" t="b">
        <v>0</v>
      </c>
      <c r="E1103" s="2" t="b">
        <v>0</v>
      </c>
      <c r="F1103" s="2" t="s">
        <v>31</v>
      </c>
      <c r="G1103" s="2" t="s">
        <v>2742</v>
      </c>
      <c r="H1103" s="2" t="s">
        <v>2743</v>
      </c>
      <c r="I1103" s="2" t="s">
        <v>2744</v>
      </c>
      <c r="J1103" s="2" t="s">
        <v>35</v>
      </c>
      <c r="K1103" s="2" t="s">
        <v>35</v>
      </c>
      <c r="L1103" s="2">
        <v>42</v>
      </c>
      <c r="M1103" s="2">
        <v>15</v>
      </c>
      <c r="N1103" s="3">
        <v>44755.419190694447</v>
      </c>
      <c r="O1103" s="3">
        <v>44755.421055011575</v>
      </c>
      <c r="P1103" s="2">
        <v>0</v>
      </c>
      <c r="Q1103" s="2" t="s">
        <v>54</v>
      </c>
      <c r="R1103" s="2" t="s">
        <v>38</v>
      </c>
      <c r="S1103" s="2" t="s">
        <v>35</v>
      </c>
      <c r="T1103" s="2" t="s">
        <v>35</v>
      </c>
      <c r="U1103" s="2" t="s">
        <v>35</v>
      </c>
      <c r="V1103" s="2" t="b">
        <v>0</v>
      </c>
      <c r="W1103" s="2" t="s">
        <v>35</v>
      </c>
      <c r="X1103" s="2" t="s">
        <v>35</v>
      </c>
      <c r="Y1103" s="2" t="s">
        <v>35</v>
      </c>
      <c r="Z1103" s="2" t="s">
        <v>35</v>
      </c>
    </row>
    <row r="1104" spans="1:26" x14ac:dyDescent="0.2">
      <c r="A1104" s="2" t="s">
        <v>2745</v>
      </c>
      <c r="B1104" s="2" t="b">
        <v>0</v>
      </c>
      <c r="C1104" s="2" t="b">
        <v>0</v>
      </c>
      <c r="D1104" s="2" t="b">
        <v>0</v>
      </c>
      <c r="E1104" s="2" t="b">
        <v>0</v>
      </c>
      <c r="F1104" s="2" t="s">
        <v>31</v>
      </c>
      <c r="G1104" s="2" t="s">
        <v>2746</v>
      </c>
      <c r="H1104" s="2" t="s">
        <v>2747</v>
      </c>
      <c r="I1104" s="2" t="s">
        <v>2748</v>
      </c>
      <c r="J1104" s="2" t="s">
        <v>35</v>
      </c>
      <c r="K1104" s="2" t="s">
        <v>35</v>
      </c>
      <c r="L1104" s="2">
        <v>48</v>
      </c>
      <c r="M1104" s="2">
        <v>15</v>
      </c>
      <c r="N1104" s="3">
        <v>44755.421779328703</v>
      </c>
      <c r="O1104" s="3">
        <v>44755.422931157409</v>
      </c>
      <c r="P1104" s="2">
        <v>0</v>
      </c>
      <c r="Q1104" s="2" t="s">
        <v>54</v>
      </c>
      <c r="R1104" s="2" t="s">
        <v>38</v>
      </c>
      <c r="S1104" s="2" t="s">
        <v>35</v>
      </c>
      <c r="T1104" s="2" t="s">
        <v>35</v>
      </c>
      <c r="U1104" s="2" t="s">
        <v>35</v>
      </c>
      <c r="V1104" s="2" t="b">
        <v>0</v>
      </c>
      <c r="W1104" s="2" t="s">
        <v>35</v>
      </c>
      <c r="X1104" s="2" t="s">
        <v>35</v>
      </c>
      <c r="Y1104" s="2" t="s">
        <v>35</v>
      </c>
      <c r="Z1104" s="2" t="s">
        <v>35</v>
      </c>
    </row>
    <row r="1105" spans="1:26" x14ac:dyDescent="0.2">
      <c r="A1105" s="2" t="s">
        <v>2749</v>
      </c>
      <c r="B1105" s="2" t="b">
        <v>0</v>
      </c>
      <c r="C1105" s="2" t="b">
        <v>0</v>
      </c>
      <c r="D1105" s="2" t="b">
        <v>0</v>
      </c>
      <c r="E1105" s="2" t="b">
        <v>0</v>
      </c>
      <c r="F1105" s="2" t="s">
        <v>31</v>
      </c>
      <c r="G1105" s="2" t="s">
        <v>2750</v>
      </c>
      <c r="H1105" s="2" t="s">
        <v>2751</v>
      </c>
      <c r="I1105" s="2" t="s">
        <v>35</v>
      </c>
      <c r="J1105" s="2" t="s">
        <v>35</v>
      </c>
      <c r="K1105" s="2" t="s">
        <v>35</v>
      </c>
      <c r="L1105" s="2" t="s">
        <v>35</v>
      </c>
      <c r="M1105" s="2" t="s">
        <v>35</v>
      </c>
      <c r="N1105" s="3">
        <v>44755.425990983793</v>
      </c>
      <c r="O1105" s="3">
        <v>44755.426112245368</v>
      </c>
      <c r="P1105" s="2">
        <v>0</v>
      </c>
      <c r="Q1105" s="2" t="s">
        <v>36</v>
      </c>
      <c r="R1105" s="2" t="s">
        <v>38</v>
      </c>
      <c r="S1105" s="2" t="s">
        <v>35</v>
      </c>
      <c r="T1105" s="2" t="s">
        <v>35</v>
      </c>
      <c r="U1105" s="2" t="s">
        <v>35</v>
      </c>
      <c r="V1105" s="2" t="b">
        <v>0</v>
      </c>
      <c r="W1105" s="2" t="s">
        <v>35</v>
      </c>
      <c r="X1105" s="2" t="s">
        <v>35</v>
      </c>
      <c r="Y1105" s="2" t="s">
        <v>35</v>
      </c>
      <c r="Z1105" s="2">
        <v>2</v>
      </c>
    </row>
    <row r="1106" spans="1:26" x14ac:dyDescent="0.2">
      <c r="A1106" s="2" t="s">
        <v>2752</v>
      </c>
      <c r="B1106" s="2" t="b">
        <v>0</v>
      </c>
      <c r="C1106" s="2" t="b">
        <v>0</v>
      </c>
      <c r="D1106" s="2" t="b">
        <v>0</v>
      </c>
      <c r="E1106" s="2" t="b">
        <v>0</v>
      </c>
      <c r="F1106" s="2" t="s">
        <v>31</v>
      </c>
      <c r="G1106" s="2" t="s">
        <v>2753</v>
      </c>
      <c r="H1106" s="2" t="s">
        <v>2754</v>
      </c>
      <c r="I1106" s="2" t="s">
        <v>35</v>
      </c>
      <c r="J1106" s="2" t="s">
        <v>35</v>
      </c>
      <c r="K1106" s="2" t="s">
        <v>35</v>
      </c>
      <c r="L1106" s="2" t="s">
        <v>35</v>
      </c>
      <c r="M1106" s="2" t="s">
        <v>35</v>
      </c>
      <c r="N1106" s="3">
        <v>44755.427994722224</v>
      </c>
      <c r="O1106" s="3">
        <v>44755.428227303244</v>
      </c>
      <c r="P1106" s="2">
        <v>0</v>
      </c>
      <c r="Q1106" s="2" t="s">
        <v>36</v>
      </c>
      <c r="R1106" s="2" t="s">
        <v>38</v>
      </c>
      <c r="S1106" s="2" t="s">
        <v>35</v>
      </c>
      <c r="T1106" s="2" t="s">
        <v>35</v>
      </c>
      <c r="U1106" s="2" t="s">
        <v>35</v>
      </c>
      <c r="V1106" s="2" t="b">
        <v>0</v>
      </c>
      <c r="W1106" s="2" t="s">
        <v>35</v>
      </c>
      <c r="X1106" s="2" t="s">
        <v>35</v>
      </c>
      <c r="Y1106" s="2" t="s">
        <v>35</v>
      </c>
      <c r="Z1106" s="2">
        <v>4</v>
      </c>
    </row>
    <row r="1107" spans="1:26" x14ac:dyDescent="0.2">
      <c r="A1107" s="2" t="s">
        <v>2755</v>
      </c>
      <c r="B1107" s="2" t="b">
        <v>0</v>
      </c>
      <c r="C1107" s="2" t="b">
        <v>0</v>
      </c>
      <c r="D1107" s="2" t="b">
        <v>0</v>
      </c>
      <c r="E1107" s="2" t="b">
        <v>0</v>
      </c>
      <c r="F1107" s="2" t="s">
        <v>31</v>
      </c>
      <c r="G1107" s="2" t="s">
        <v>2756</v>
      </c>
      <c r="H1107" s="2" t="s">
        <v>2757</v>
      </c>
      <c r="I1107" s="2" t="s">
        <v>2048</v>
      </c>
      <c r="J1107" s="2" t="s">
        <v>35</v>
      </c>
      <c r="K1107" s="2" t="s">
        <v>35</v>
      </c>
      <c r="L1107" s="2" t="s">
        <v>35</v>
      </c>
      <c r="M1107" s="2" t="s">
        <v>35</v>
      </c>
      <c r="N1107" s="3">
        <v>44755.42884458333</v>
      </c>
      <c r="O1107" s="3">
        <v>44755.429195810182</v>
      </c>
      <c r="P1107" s="2">
        <v>0</v>
      </c>
      <c r="Q1107" s="2" t="s">
        <v>36</v>
      </c>
      <c r="R1107" s="2" t="s">
        <v>38</v>
      </c>
      <c r="S1107" s="2" t="s">
        <v>35</v>
      </c>
      <c r="T1107" s="2" t="s">
        <v>35</v>
      </c>
      <c r="U1107" s="2" t="s">
        <v>35</v>
      </c>
      <c r="V1107" s="2" t="b">
        <v>0</v>
      </c>
      <c r="W1107" s="2" t="s">
        <v>35</v>
      </c>
      <c r="X1107" s="2" t="s">
        <v>35</v>
      </c>
      <c r="Y1107" s="2">
        <v>4</v>
      </c>
      <c r="Z1107" s="2" t="s">
        <v>35</v>
      </c>
    </row>
    <row r="1108" spans="1:26" x14ac:dyDescent="0.2">
      <c r="A1108" s="2" t="s">
        <v>2758</v>
      </c>
      <c r="B1108" s="2" t="b">
        <v>0</v>
      </c>
      <c r="C1108" s="2" t="b">
        <v>0</v>
      </c>
      <c r="D1108" s="2" t="b">
        <v>0</v>
      </c>
      <c r="E1108" s="2" t="b">
        <v>0</v>
      </c>
      <c r="F1108" s="2" t="s">
        <v>31</v>
      </c>
      <c r="G1108" s="2" t="s">
        <v>2759</v>
      </c>
      <c r="H1108" s="2" t="s">
        <v>2760</v>
      </c>
      <c r="I1108" s="2" t="s">
        <v>2306</v>
      </c>
      <c r="J1108" s="2" t="s">
        <v>35</v>
      </c>
      <c r="K1108" s="2" t="s">
        <v>35</v>
      </c>
      <c r="L1108" s="2" t="s">
        <v>35</v>
      </c>
      <c r="M1108" s="2" t="s">
        <v>35</v>
      </c>
      <c r="N1108" s="3">
        <v>44755.429812187504</v>
      </c>
      <c r="O1108" s="3">
        <v>44755.430057361111</v>
      </c>
      <c r="P1108" s="2">
        <v>0</v>
      </c>
      <c r="Q1108" s="2" t="s">
        <v>36</v>
      </c>
      <c r="R1108" s="2" t="s">
        <v>38</v>
      </c>
      <c r="S1108" s="2" t="s">
        <v>35</v>
      </c>
      <c r="T1108" s="2" t="s">
        <v>35</v>
      </c>
      <c r="U1108" s="2" t="s">
        <v>35</v>
      </c>
      <c r="V1108" s="2" t="b">
        <v>0</v>
      </c>
      <c r="W1108" s="2" t="s">
        <v>35</v>
      </c>
      <c r="X1108" s="2" t="s">
        <v>35</v>
      </c>
      <c r="Y1108" s="2">
        <v>5</v>
      </c>
      <c r="Z1108" s="2" t="s">
        <v>35</v>
      </c>
    </row>
    <row r="1109" spans="1:26" x14ac:dyDescent="0.2">
      <c r="A1109" s="2" t="s">
        <v>2761</v>
      </c>
      <c r="B1109" s="2" t="b">
        <v>0</v>
      </c>
      <c r="C1109" s="2" t="b">
        <v>0</v>
      </c>
      <c r="D1109" s="2" t="b">
        <v>0</v>
      </c>
      <c r="E1109" s="2" t="b">
        <v>0</v>
      </c>
      <c r="F1109" s="2" t="s">
        <v>31</v>
      </c>
      <c r="G1109" s="2" t="s">
        <v>2762</v>
      </c>
      <c r="H1109" s="2" t="s">
        <v>2763</v>
      </c>
      <c r="I1109" s="2" t="s">
        <v>35</v>
      </c>
      <c r="J1109" s="2" t="s">
        <v>35</v>
      </c>
      <c r="K1109" s="2">
        <v>6</v>
      </c>
      <c r="L1109" s="2" t="s">
        <v>35</v>
      </c>
      <c r="M1109" s="2" t="s">
        <v>35</v>
      </c>
      <c r="N1109" s="3">
        <v>44755.430949641202</v>
      </c>
      <c r="O1109" s="3">
        <v>44755.431193495373</v>
      </c>
      <c r="P1109" s="2">
        <v>0</v>
      </c>
      <c r="Q1109" s="2" t="s">
        <v>265</v>
      </c>
      <c r="R1109" s="2" t="s">
        <v>38</v>
      </c>
      <c r="S1109" s="2" t="s">
        <v>35</v>
      </c>
      <c r="T1109" s="2" t="s">
        <v>35</v>
      </c>
      <c r="U1109" s="2" t="s">
        <v>35</v>
      </c>
      <c r="V1109" s="2" t="b">
        <v>0</v>
      </c>
      <c r="W1109" s="2" t="s">
        <v>35</v>
      </c>
      <c r="X1109" s="2" t="s">
        <v>35</v>
      </c>
      <c r="Y1109" s="2" t="s">
        <v>35</v>
      </c>
      <c r="Z1109" s="2" t="s">
        <v>35</v>
      </c>
    </row>
    <row r="1110" spans="1:26" x14ac:dyDescent="0.2">
      <c r="A1110" s="2" t="s">
        <v>2764</v>
      </c>
      <c r="B1110" s="2" t="b">
        <v>0</v>
      </c>
      <c r="C1110" s="2" t="b">
        <v>0</v>
      </c>
      <c r="D1110" s="2" t="b">
        <v>0</v>
      </c>
      <c r="E1110" s="2" t="b">
        <v>0</v>
      </c>
      <c r="F1110" s="2" t="s">
        <v>31</v>
      </c>
      <c r="G1110" s="2" t="s">
        <v>2765</v>
      </c>
      <c r="H1110" s="2" t="s">
        <v>2766</v>
      </c>
      <c r="I1110" s="2" t="s">
        <v>2767</v>
      </c>
      <c r="J1110" s="2" t="s">
        <v>35</v>
      </c>
      <c r="K1110" s="2">
        <v>7</v>
      </c>
      <c r="L1110" s="2" t="s">
        <v>35</v>
      </c>
      <c r="M1110" s="2" t="s">
        <v>35</v>
      </c>
      <c r="N1110" s="3">
        <v>44755.432382604165</v>
      </c>
      <c r="O1110" s="3">
        <v>44755.432831076389</v>
      </c>
      <c r="P1110" s="2">
        <v>0</v>
      </c>
      <c r="Q1110" s="2" t="s">
        <v>265</v>
      </c>
      <c r="R1110" s="2" t="s">
        <v>38</v>
      </c>
      <c r="S1110" s="2" t="s">
        <v>35</v>
      </c>
      <c r="T1110" s="2" t="s">
        <v>35</v>
      </c>
      <c r="U1110" s="2" t="s">
        <v>35</v>
      </c>
      <c r="V1110" s="2" t="b">
        <v>0</v>
      </c>
      <c r="W1110" s="2" t="s">
        <v>35</v>
      </c>
      <c r="X1110" s="2" t="s">
        <v>35</v>
      </c>
      <c r="Y1110" s="2" t="s">
        <v>35</v>
      </c>
      <c r="Z1110" s="2" t="s">
        <v>35</v>
      </c>
    </row>
    <row r="1111" spans="1:26" x14ac:dyDescent="0.2">
      <c r="A1111" s="2" t="s">
        <v>2768</v>
      </c>
      <c r="B1111" s="2" t="b">
        <v>0</v>
      </c>
      <c r="C1111" s="2" t="b">
        <v>0</v>
      </c>
      <c r="D1111" s="2" t="b">
        <v>0</v>
      </c>
      <c r="E1111" s="2" t="b">
        <v>0</v>
      </c>
      <c r="F1111" s="2" t="s">
        <v>31</v>
      </c>
      <c r="G1111" s="2" t="s">
        <v>2769</v>
      </c>
      <c r="H1111" s="2" t="s">
        <v>2770</v>
      </c>
      <c r="I1111" s="2" t="s">
        <v>2771</v>
      </c>
      <c r="J1111" s="2" t="s">
        <v>35</v>
      </c>
      <c r="K1111" s="2" t="s">
        <v>35</v>
      </c>
      <c r="L1111" s="2" t="s">
        <v>35</v>
      </c>
      <c r="M1111" s="2" t="s">
        <v>35</v>
      </c>
      <c r="N1111" s="3">
        <v>44755.433913055553</v>
      </c>
      <c r="O1111" s="3">
        <v>44755.434320810185</v>
      </c>
      <c r="P1111" s="2">
        <v>0</v>
      </c>
      <c r="Q1111" s="2" t="s">
        <v>36</v>
      </c>
      <c r="R1111" s="2" t="s">
        <v>38</v>
      </c>
      <c r="S1111" s="2" t="s">
        <v>35</v>
      </c>
      <c r="T1111" s="2" t="s">
        <v>35</v>
      </c>
      <c r="U1111" s="2" t="s">
        <v>35</v>
      </c>
      <c r="V1111" s="2" t="b">
        <v>0</v>
      </c>
      <c r="W1111" s="2" t="s">
        <v>35</v>
      </c>
      <c r="X1111" s="2" t="s">
        <v>35</v>
      </c>
      <c r="Y1111" s="2">
        <v>5</v>
      </c>
      <c r="Z1111" s="2" t="s">
        <v>35</v>
      </c>
    </row>
    <row r="1112" spans="1:26" x14ac:dyDescent="0.2">
      <c r="A1112" s="2" t="s">
        <v>2772</v>
      </c>
      <c r="B1112" s="2" t="b">
        <v>0</v>
      </c>
      <c r="C1112" s="2" t="b">
        <v>0</v>
      </c>
      <c r="D1112" s="2" t="b">
        <v>0</v>
      </c>
      <c r="E1112" s="2" t="b">
        <v>0</v>
      </c>
      <c r="F1112" s="2" t="s">
        <v>31</v>
      </c>
      <c r="G1112" s="2" t="s">
        <v>2773</v>
      </c>
      <c r="H1112" s="2" t="s">
        <v>2774</v>
      </c>
      <c r="I1112" s="2" t="s">
        <v>2306</v>
      </c>
      <c r="J1112" s="2" t="s">
        <v>35</v>
      </c>
      <c r="K1112" s="2" t="s">
        <v>35</v>
      </c>
      <c r="L1112" s="2" t="s">
        <v>35</v>
      </c>
      <c r="M1112" s="2" t="s">
        <v>35</v>
      </c>
      <c r="N1112" s="3">
        <v>44755.434932511576</v>
      </c>
      <c r="O1112" s="3">
        <v>44755.435171331017</v>
      </c>
      <c r="P1112" s="2">
        <v>0</v>
      </c>
      <c r="Q1112" s="2" t="s">
        <v>36</v>
      </c>
      <c r="R1112" s="2" t="s">
        <v>38</v>
      </c>
      <c r="S1112" s="2" t="s">
        <v>35</v>
      </c>
      <c r="T1112" s="2" t="s">
        <v>35</v>
      </c>
      <c r="U1112" s="2" t="s">
        <v>35</v>
      </c>
      <c r="V1112" s="2" t="b">
        <v>0</v>
      </c>
      <c r="W1112" s="2" t="s">
        <v>35</v>
      </c>
      <c r="X1112" s="2" t="s">
        <v>35</v>
      </c>
      <c r="Y1112" s="2">
        <v>5</v>
      </c>
      <c r="Z1112" s="2" t="s">
        <v>35</v>
      </c>
    </row>
    <row r="1113" spans="1:26" x14ac:dyDescent="0.2">
      <c r="A1113" s="2" t="s">
        <v>2775</v>
      </c>
      <c r="B1113" s="2" t="b">
        <v>0</v>
      </c>
      <c r="C1113" s="2" t="b">
        <v>0</v>
      </c>
      <c r="D1113" s="2" t="b">
        <v>0</v>
      </c>
      <c r="E1113" s="2" t="b">
        <v>0</v>
      </c>
      <c r="F1113" s="2" t="s">
        <v>31</v>
      </c>
      <c r="G1113" s="2" t="s">
        <v>2776</v>
      </c>
      <c r="H1113" s="2" t="s">
        <v>2777</v>
      </c>
      <c r="I1113" s="2" t="s">
        <v>35</v>
      </c>
      <c r="J1113" s="2" t="s">
        <v>35</v>
      </c>
      <c r="K1113" s="2" t="s">
        <v>35</v>
      </c>
      <c r="L1113" s="2" t="s">
        <v>35</v>
      </c>
      <c r="M1113" s="2" t="s">
        <v>35</v>
      </c>
      <c r="N1113" s="3">
        <v>44755.435566481479</v>
      </c>
      <c r="O1113" s="3">
        <v>44755.435798553241</v>
      </c>
      <c r="P1113" s="2">
        <v>0</v>
      </c>
      <c r="Q1113" s="2" t="s">
        <v>36</v>
      </c>
      <c r="R1113" s="2" t="s">
        <v>38</v>
      </c>
      <c r="S1113" s="2" t="s">
        <v>35</v>
      </c>
      <c r="T1113" s="2" t="s">
        <v>35</v>
      </c>
      <c r="U1113" s="2" t="s">
        <v>35</v>
      </c>
      <c r="V1113" s="2" t="b">
        <v>0</v>
      </c>
      <c r="W1113" s="2" t="s">
        <v>35</v>
      </c>
      <c r="X1113" s="2" t="s">
        <v>35</v>
      </c>
      <c r="Y1113" s="2" t="s">
        <v>35</v>
      </c>
      <c r="Z1113" s="2">
        <v>2</v>
      </c>
    </row>
    <row r="1114" spans="1:26" x14ac:dyDescent="0.2">
      <c r="A1114" s="2" t="s">
        <v>2778</v>
      </c>
      <c r="B1114" s="2" t="b">
        <v>0</v>
      </c>
      <c r="C1114" s="2" t="b">
        <v>0</v>
      </c>
      <c r="D1114" s="2" t="b">
        <v>0</v>
      </c>
      <c r="E1114" s="2" t="b">
        <v>0</v>
      </c>
      <c r="F1114" s="2" t="s">
        <v>31</v>
      </c>
      <c r="G1114" s="2" t="s">
        <v>2779</v>
      </c>
      <c r="H1114" s="2" t="s">
        <v>2780</v>
      </c>
      <c r="I1114" s="2" t="s">
        <v>35</v>
      </c>
      <c r="J1114" s="2" t="s">
        <v>35</v>
      </c>
      <c r="K1114" s="2">
        <v>5</v>
      </c>
      <c r="L1114" s="2" t="s">
        <v>35</v>
      </c>
      <c r="M1114" s="2" t="s">
        <v>35</v>
      </c>
      <c r="N1114" s="3">
        <v>44755.436243020835</v>
      </c>
      <c r="O1114" s="3">
        <v>44755.436537442132</v>
      </c>
      <c r="P1114" s="2">
        <v>0</v>
      </c>
      <c r="Q1114" s="2" t="s">
        <v>265</v>
      </c>
      <c r="R1114" s="2" t="s">
        <v>38</v>
      </c>
      <c r="S1114" s="2" t="s">
        <v>35</v>
      </c>
      <c r="T1114" s="2" t="s">
        <v>35</v>
      </c>
      <c r="U1114" s="2" t="s">
        <v>35</v>
      </c>
      <c r="V1114" s="2" t="b">
        <v>0</v>
      </c>
      <c r="W1114" s="2" t="s">
        <v>35</v>
      </c>
      <c r="X1114" s="2" t="s">
        <v>35</v>
      </c>
      <c r="Y1114" s="2" t="s">
        <v>35</v>
      </c>
      <c r="Z1114" s="2" t="s">
        <v>35</v>
      </c>
    </row>
    <row r="1115" spans="1:26" x14ac:dyDescent="0.2">
      <c r="A1115" s="2" t="s">
        <v>2781</v>
      </c>
      <c r="B1115" s="2" t="b">
        <v>0</v>
      </c>
      <c r="C1115" s="2" t="b">
        <v>0</v>
      </c>
      <c r="D1115" s="2" t="b">
        <v>0</v>
      </c>
      <c r="E1115" s="2" t="b">
        <v>0</v>
      </c>
      <c r="F1115" s="2" t="s">
        <v>31</v>
      </c>
      <c r="G1115" s="2" t="s">
        <v>2782</v>
      </c>
      <c r="H1115" s="2" t="s">
        <v>2783</v>
      </c>
      <c r="I1115" s="2" t="s">
        <v>35</v>
      </c>
      <c r="J1115" s="2" t="s">
        <v>35</v>
      </c>
      <c r="K1115" s="2" t="s">
        <v>35</v>
      </c>
      <c r="L1115" s="2" t="s">
        <v>35</v>
      </c>
      <c r="M1115" s="2" t="s">
        <v>35</v>
      </c>
      <c r="N1115" s="3">
        <v>44755.437532777774</v>
      </c>
      <c r="O1115" s="3">
        <v>44755.438223020836</v>
      </c>
      <c r="P1115" s="2">
        <v>0</v>
      </c>
      <c r="Q1115" s="2" t="s">
        <v>36</v>
      </c>
      <c r="R1115" s="2" t="s">
        <v>38</v>
      </c>
      <c r="S1115" s="2" t="s">
        <v>35</v>
      </c>
      <c r="T1115" s="2" t="s">
        <v>35</v>
      </c>
      <c r="U1115" s="2" t="s">
        <v>35</v>
      </c>
      <c r="V1115" s="2" t="b">
        <v>0</v>
      </c>
      <c r="W1115" s="2" t="s">
        <v>35</v>
      </c>
      <c r="X1115" s="2" t="s">
        <v>35</v>
      </c>
      <c r="Y1115" s="2" t="s">
        <v>35</v>
      </c>
      <c r="Z1115" s="2">
        <v>4</v>
      </c>
    </row>
    <row r="1116" spans="1:26" x14ac:dyDescent="0.2">
      <c r="A1116" s="2" t="s">
        <v>2784</v>
      </c>
      <c r="B1116" s="2" t="b">
        <v>0</v>
      </c>
      <c r="C1116" s="2" t="b">
        <v>0</v>
      </c>
      <c r="D1116" s="2" t="b">
        <v>0</v>
      </c>
      <c r="E1116" s="2" t="b">
        <v>0</v>
      </c>
      <c r="F1116" s="2" t="s">
        <v>31</v>
      </c>
      <c r="G1116" s="2" t="s">
        <v>2785</v>
      </c>
      <c r="H1116" s="2" t="s">
        <v>2786</v>
      </c>
      <c r="I1116" s="2" t="s">
        <v>2354</v>
      </c>
      <c r="J1116" s="2" t="s">
        <v>35</v>
      </c>
      <c r="K1116" s="2" t="s">
        <v>35</v>
      </c>
      <c r="L1116" s="2" t="s">
        <v>35</v>
      </c>
      <c r="M1116" s="2" t="s">
        <v>35</v>
      </c>
      <c r="N1116" s="3">
        <v>44755.438643900467</v>
      </c>
      <c r="O1116" s="3">
        <v>44755.438959872685</v>
      </c>
      <c r="P1116" s="2">
        <v>0</v>
      </c>
      <c r="Q1116" s="2" t="s">
        <v>36</v>
      </c>
      <c r="R1116" s="2" t="s">
        <v>38</v>
      </c>
      <c r="S1116" s="2" t="s">
        <v>35</v>
      </c>
      <c r="T1116" s="2" t="s">
        <v>35</v>
      </c>
      <c r="U1116" s="2" t="s">
        <v>35</v>
      </c>
      <c r="V1116" s="2" t="b">
        <v>0</v>
      </c>
      <c r="W1116" s="2" t="s">
        <v>35</v>
      </c>
      <c r="X1116" s="2" t="s">
        <v>35</v>
      </c>
      <c r="Y1116" s="2">
        <v>5</v>
      </c>
      <c r="Z1116" s="2">
        <v>2</v>
      </c>
    </row>
    <row r="1117" spans="1:26" x14ac:dyDescent="0.2">
      <c r="A1117" s="2" t="s">
        <v>2787</v>
      </c>
      <c r="B1117" s="2" t="b">
        <v>0</v>
      </c>
      <c r="C1117" s="2" t="b">
        <v>0</v>
      </c>
      <c r="D1117" s="2" t="b">
        <v>0</v>
      </c>
      <c r="E1117" s="2" t="b">
        <v>0</v>
      </c>
      <c r="F1117" s="2" t="s">
        <v>31</v>
      </c>
      <c r="G1117" s="2" t="s">
        <v>2788</v>
      </c>
      <c r="H1117" s="2" t="s">
        <v>2789</v>
      </c>
      <c r="I1117" s="2" t="s">
        <v>2354</v>
      </c>
      <c r="J1117" s="2" t="s">
        <v>35</v>
      </c>
      <c r="K1117" s="2" t="s">
        <v>35</v>
      </c>
      <c r="L1117" s="2" t="s">
        <v>35</v>
      </c>
      <c r="M1117" s="2" t="s">
        <v>35</v>
      </c>
      <c r="N1117" s="3">
        <v>44755.439575717595</v>
      </c>
      <c r="O1117" s="3">
        <v>44755.439779016204</v>
      </c>
      <c r="P1117" s="2">
        <v>0</v>
      </c>
      <c r="Q1117" s="2" t="s">
        <v>36</v>
      </c>
      <c r="R1117" s="2" t="s">
        <v>38</v>
      </c>
      <c r="S1117" s="2" t="s">
        <v>35</v>
      </c>
      <c r="T1117" s="2" t="s">
        <v>35</v>
      </c>
      <c r="U1117" s="2" t="s">
        <v>35</v>
      </c>
      <c r="V1117" s="2" t="b">
        <v>0</v>
      </c>
      <c r="W1117" s="2" t="s">
        <v>35</v>
      </c>
      <c r="X1117" s="2" t="s">
        <v>35</v>
      </c>
      <c r="Y1117" s="2">
        <v>5</v>
      </c>
      <c r="Z1117" s="2" t="s">
        <v>35</v>
      </c>
    </row>
    <row r="1118" spans="1:26" x14ac:dyDescent="0.2">
      <c r="A1118" s="2" t="s">
        <v>2790</v>
      </c>
      <c r="B1118" s="2" t="b">
        <v>0</v>
      </c>
      <c r="C1118" s="2" t="b">
        <v>0</v>
      </c>
      <c r="D1118" s="2" t="b">
        <v>0</v>
      </c>
      <c r="E1118" s="2" t="b">
        <v>0</v>
      </c>
      <c r="F1118" s="2" t="s">
        <v>31</v>
      </c>
      <c r="G1118" s="2" t="s">
        <v>2791</v>
      </c>
      <c r="H1118" s="2" t="s">
        <v>2792</v>
      </c>
      <c r="I1118" s="2" t="s">
        <v>35</v>
      </c>
      <c r="J1118" s="2" t="s">
        <v>35</v>
      </c>
      <c r="K1118" s="2" t="s">
        <v>35</v>
      </c>
      <c r="L1118" s="2">
        <v>37</v>
      </c>
      <c r="M1118" s="2">
        <v>18</v>
      </c>
      <c r="N1118" s="3">
        <v>44755.440609131947</v>
      </c>
      <c r="O1118" s="3">
        <v>44755.44212861111</v>
      </c>
      <c r="P1118" s="2">
        <v>0</v>
      </c>
      <c r="Q1118" s="2" t="s">
        <v>54</v>
      </c>
      <c r="R1118" s="2" t="s">
        <v>38</v>
      </c>
      <c r="S1118" s="2" t="s">
        <v>35</v>
      </c>
      <c r="T1118" s="2" t="s">
        <v>35</v>
      </c>
      <c r="U1118" s="2" t="s">
        <v>35</v>
      </c>
      <c r="V1118" s="2" t="b">
        <v>0</v>
      </c>
      <c r="W1118" s="2" t="s">
        <v>35</v>
      </c>
      <c r="X1118" s="2" t="s">
        <v>35</v>
      </c>
      <c r="Y1118" s="2" t="s">
        <v>35</v>
      </c>
      <c r="Z1118" s="2" t="s">
        <v>35</v>
      </c>
    </row>
    <row r="1119" spans="1:26" x14ac:dyDescent="0.2">
      <c r="A1119" s="2" t="s">
        <v>2793</v>
      </c>
      <c r="B1119" s="2" t="b">
        <v>0</v>
      </c>
      <c r="C1119" s="2" t="b">
        <v>0</v>
      </c>
      <c r="D1119" s="2" t="b">
        <v>0</v>
      </c>
      <c r="E1119" s="2" t="b">
        <v>0</v>
      </c>
      <c r="F1119" s="2" t="s">
        <v>31</v>
      </c>
      <c r="G1119" s="2" t="s">
        <v>2794</v>
      </c>
      <c r="H1119" s="2" t="s">
        <v>2795</v>
      </c>
      <c r="I1119" s="2" t="s">
        <v>2354</v>
      </c>
      <c r="J1119" s="2" t="s">
        <v>35</v>
      </c>
      <c r="K1119" s="2" t="s">
        <v>35</v>
      </c>
      <c r="L1119" s="2" t="s">
        <v>35</v>
      </c>
      <c r="M1119" s="2" t="s">
        <v>35</v>
      </c>
      <c r="N1119" s="3">
        <v>44755.442244537036</v>
      </c>
      <c r="O1119" s="3">
        <v>44755.443011805553</v>
      </c>
      <c r="P1119" s="2">
        <v>0</v>
      </c>
      <c r="Q1119" s="2" t="s">
        <v>36</v>
      </c>
      <c r="R1119" s="2" t="s">
        <v>38</v>
      </c>
      <c r="S1119" s="2" t="s">
        <v>35</v>
      </c>
      <c r="T1119" s="2" t="s">
        <v>35</v>
      </c>
      <c r="U1119" s="2" t="s">
        <v>35</v>
      </c>
      <c r="V1119" s="2" t="b">
        <v>0</v>
      </c>
      <c r="W1119" s="2" t="s">
        <v>35</v>
      </c>
      <c r="X1119" s="2" t="s">
        <v>35</v>
      </c>
      <c r="Y1119" s="2">
        <v>5</v>
      </c>
      <c r="Z1119" s="2">
        <v>3</v>
      </c>
    </row>
    <row r="1120" spans="1:26" x14ac:dyDescent="0.2">
      <c r="A1120" s="2" t="s">
        <v>2796</v>
      </c>
      <c r="B1120" s="2" t="b">
        <v>0</v>
      </c>
      <c r="C1120" s="2" t="b">
        <v>0</v>
      </c>
      <c r="D1120" s="2" t="b">
        <v>0</v>
      </c>
      <c r="E1120" s="2" t="b">
        <v>0</v>
      </c>
      <c r="F1120" s="2" t="s">
        <v>31</v>
      </c>
      <c r="G1120" s="2" t="s">
        <v>2797</v>
      </c>
      <c r="H1120" s="2" t="s">
        <v>2798</v>
      </c>
      <c r="I1120" s="2" t="s">
        <v>1574</v>
      </c>
      <c r="J1120" s="2" t="s">
        <v>35</v>
      </c>
      <c r="K1120" s="2" t="s">
        <v>35</v>
      </c>
      <c r="L1120" s="2">
        <v>7</v>
      </c>
      <c r="M1120" s="2">
        <v>11</v>
      </c>
      <c r="N1120" s="3">
        <v>44755.443054699077</v>
      </c>
      <c r="O1120" s="3">
        <v>44755.443518252316</v>
      </c>
      <c r="P1120" s="2">
        <v>0</v>
      </c>
      <c r="Q1120" s="2" t="s">
        <v>54</v>
      </c>
      <c r="R1120" s="2" t="s">
        <v>38</v>
      </c>
      <c r="S1120" s="2" t="s">
        <v>35</v>
      </c>
      <c r="T1120" s="2" t="s">
        <v>35</v>
      </c>
      <c r="U1120" s="2" t="s">
        <v>35</v>
      </c>
      <c r="V1120" s="2" t="b">
        <v>1</v>
      </c>
      <c r="W1120" s="2" t="s">
        <v>35</v>
      </c>
      <c r="X1120" s="2" t="s">
        <v>35</v>
      </c>
      <c r="Y1120" s="2" t="s">
        <v>35</v>
      </c>
      <c r="Z1120" s="2" t="s">
        <v>35</v>
      </c>
    </row>
    <row r="1121" spans="1:26" x14ac:dyDescent="0.2">
      <c r="A1121" s="2" t="s">
        <v>2799</v>
      </c>
      <c r="B1121" s="2" t="b">
        <v>0</v>
      </c>
      <c r="C1121" s="2" t="b">
        <v>0</v>
      </c>
      <c r="D1121" s="2" t="b">
        <v>0</v>
      </c>
      <c r="E1121" s="2" t="b">
        <v>0</v>
      </c>
      <c r="F1121" s="2" t="s">
        <v>31</v>
      </c>
      <c r="G1121" s="2" t="s">
        <v>2800</v>
      </c>
      <c r="H1121" s="2" t="s">
        <v>2801</v>
      </c>
      <c r="I1121" s="2" t="s">
        <v>35</v>
      </c>
      <c r="J1121" s="2" t="s">
        <v>35</v>
      </c>
      <c r="K1121" s="2" t="s">
        <v>35</v>
      </c>
      <c r="L1121" s="2" t="s">
        <v>35</v>
      </c>
      <c r="M1121" s="2" t="s">
        <v>35</v>
      </c>
      <c r="N1121" s="3">
        <v>44755.444081585651</v>
      </c>
      <c r="O1121" s="3">
        <v>44755.444185081018</v>
      </c>
      <c r="P1121" s="2">
        <v>0</v>
      </c>
      <c r="Q1121" s="2" t="s">
        <v>36</v>
      </c>
      <c r="R1121" s="2" t="s">
        <v>38</v>
      </c>
      <c r="S1121" s="2" t="s">
        <v>35</v>
      </c>
      <c r="T1121" s="2" t="s">
        <v>35</v>
      </c>
      <c r="U1121" s="2" t="s">
        <v>35</v>
      </c>
      <c r="V1121" s="2" t="b">
        <v>0</v>
      </c>
      <c r="W1121" s="2" t="s">
        <v>35</v>
      </c>
      <c r="X1121" s="2" t="s">
        <v>35</v>
      </c>
      <c r="Y1121" s="2" t="s">
        <v>35</v>
      </c>
      <c r="Z1121" s="2">
        <v>2</v>
      </c>
    </row>
    <row r="1122" spans="1:26" x14ac:dyDescent="0.2">
      <c r="A1122" s="2" t="s">
        <v>2802</v>
      </c>
      <c r="B1122" s="2" t="b">
        <v>0</v>
      </c>
      <c r="C1122" s="2" t="b">
        <v>0</v>
      </c>
      <c r="D1122" s="2" t="b">
        <v>0</v>
      </c>
      <c r="E1122" s="2" t="b">
        <v>0</v>
      </c>
      <c r="F1122" s="2" t="s">
        <v>31</v>
      </c>
      <c r="G1122" s="2" t="s">
        <v>149</v>
      </c>
      <c r="H1122" s="2" t="s">
        <v>2803</v>
      </c>
      <c r="I1122" s="2" t="s">
        <v>2354</v>
      </c>
      <c r="J1122" s="2" t="s">
        <v>35</v>
      </c>
      <c r="K1122" s="2" t="s">
        <v>35</v>
      </c>
      <c r="L1122" s="2" t="s">
        <v>35</v>
      </c>
      <c r="M1122" s="2" t="s">
        <v>35</v>
      </c>
      <c r="N1122" s="3">
        <v>44755.444699629632</v>
      </c>
      <c r="O1122" s="3">
        <v>44755.444972847225</v>
      </c>
      <c r="P1122" s="2">
        <v>0</v>
      </c>
      <c r="Q1122" s="2" t="s">
        <v>36</v>
      </c>
      <c r="R1122" s="2" t="s">
        <v>38</v>
      </c>
      <c r="S1122" s="2" t="s">
        <v>35</v>
      </c>
      <c r="T1122" s="2" t="s">
        <v>35</v>
      </c>
      <c r="U1122" s="2" t="s">
        <v>35</v>
      </c>
      <c r="V1122" s="2" t="b">
        <v>0</v>
      </c>
      <c r="W1122" s="2" t="s">
        <v>35</v>
      </c>
      <c r="X1122" s="2" t="s">
        <v>35</v>
      </c>
      <c r="Y1122" s="2">
        <v>4</v>
      </c>
      <c r="Z1122" s="2">
        <v>3</v>
      </c>
    </row>
    <row r="1123" spans="1:26" x14ac:dyDescent="0.2">
      <c r="A1123" s="2" t="s">
        <v>2804</v>
      </c>
      <c r="B1123" s="2" t="b">
        <v>0</v>
      </c>
      <c r="C1123" s="2" t="b">
        <v>0</v>
      </c>
      <c r="D1123" s="2" t="b">
        <v>0</v>
      </c>
      <c r="E1123" s="2" t="b">
        <v>0</v>
      </c>
      <c r="F1123" s="2" t="s">
        <v>31</v>
      </c>
      <c r="G1123" s="2" t="s">
        <v>2805</v>
      </c>
      <c r="H1123" s="2" t="s">
        <v>2806</v>
      </c>
      <c r="I1123" s="2" t="s">
        <v>2807</v>
      </c>
      <c r="J1123" s="2" t="s">
        <v>35</v>
      </c>
      <c r="K1123" s="2" t="s">
        <v>35</v>
      </c>
      <c r="L1123" s="2" t="s">
        <v>35</v>
      </c>
      <c r="M1123" s="2" t="s">
        <v>35</v>
      </c>
      <c r="N1123" s="3">
        <v>44755.445882997687</v>
      </c>
      <c r="O1123" s="3">
        <v>44755.446166076392</v>
      </c>
      <c r="P1123" s="2">
        <v>0</v>
      </c>
      <c r="Q1123" s="2" t="s">
        <v>36</v>
      </c>
      <c r="R1123" s="2" t="s">
        <v>38</v>
      </c>
      <c r="S1123" s="2" t="s">
        <v>35</v>
      </c>
      <c r="T1123" s="2" t="s">
        <v>35</v>
      </c>
      <c r="U1123" s="2" t="s">
        <v>35</v>
      </c>
      <c r="V1123" s="2" t="b">
        <v>0</v>
      </c>
      <c r="W1123" s="2" t="s">
        <v>35</v>
      </c>
      <c r="X1123" s="2" t="s">
        <v>35</v>
      </c>
      <c r="Y1123" s="2">
        <v>6</v>
      </c>
      <c r="Z1123" s="2" t="s">
        <v>35</v>
      </c>
    </row>
    <row r="1124" spans="1:26" x14ac:dyDescent="0.2">
      <c r="A1124" s="2" t="s">
        <v>2808</v>
      </c>
      <c r="B1124" s="2" t="b">
        <v>0</v>
      </c>
      <c r="C1124" s="2" t="b">
        <v>0</v>
      </c>
      <c r="D1124" s="2" t="b">
        <v>0</v>
      </c>
      <c r="E1124" s="2" t="b">
        <v>0</v>
      </c>
      <c r="F1124" s="2" t="s">
        <v>31</v>
      </c>
      <c r="G1124" s="2" t="s">
        <v>2809</v>
      </c>
      <c r="H1124" s="2" t="s">
        <v>2810</v>
      </c>
      <c r="I1124" s="2" t="s">
        <v>35</v>
      </c>
      <c r="J1124" s="2" t="s">
        <v>35</v>
      </c>
      <c r="K1124" s="2" t="s">
        <v>35</v>
      </c>
      <c r="L1124" s="2">
        <v>11</v>
      </c>
      <c r="M1124" s="2">
        <v>15</v>
      </c>
      <c r="N1124" s="3">
        <v>44755.446423576388</v>
      </c>
      <c r="O1124" s="3">
        <v>44755.446643715281</v>
      </c>
      <c r="P1124" s="2">
        <v>0</v>
      </c>
      <c r="Q1124" s="2" t="s">
        <v>54</v>
      </c>
      <c r="R1124" s="2" t="s">
        <v>38</v>
      </c>
      <c r="S1124" s="2" t="s">
        <v>35</v>
      </c>
      <c r="T1124" s="2" t="s">
        <v>35</v>
      </c>
      <c r="U1124" s="2" t="s">
        <v>35</v>
      </c>
      <c r="V1124" s="2" t="b">
        <v>0</v>
      </c>
      <c r="W1124" s="2" t="s">
        <v>35</v>
      </c>
      <c r="X1124" s="2" t="s">
        <v>35</v>
      </c>
      <c r="Y1124" s="2" t="s">
        <v>35</v>
      </c>
      <c r="Z1124" s="2" t="s">
        <v>35</v>
      </c>
    </row>
    <row r="1125" spans="1:26" x14ac:dyDescent="0.2">
      <c r="A1125" s="2" t="s">
        <v>2811</v>
      </c>
      <c r="B1125" s="2" t="b">
        <v>0</v>
      </c>
      <c r="C1125" s="2" t="b">
        <v>0</v>
      </c>
      <c r="D1125" s="2" t="b">
        <v>0</v>
      </c>
      <c r="E1125" s="2" t="b">
        <v>0</v>
      </c>
      <c r="F1125" s="2" t="s">
        <v>31</v>
      </c>
      <c r="G1125" s="2" t="s">
        <v>2812</v>
      </c>
      <c r="H1125" s="2" t="s">
        <v>2813</v>
      </c>
      <c r="I1125" s="2" t="s">
        <v>35</v>
      </c>
      <c r="J1125" s="2" t="s">
        <v>35</v>
      </c>
      <c r="K1125" s="2" t="s">
        <v>35</v>
      </c>
      <c r="L1125" s="2">
        <v>10</v>
      </c>
      <c r="M1125" s="2">
        <v>15</v>
      </c>
      <c r="N1125" s="3">
        <v>44755.449301666667</v>
      </c>
      <c r="O1125" s="3">
        <v>44755.44957203704</v>
      </c>
      <c r="P1125" s="2">
        <v>0</v>
      </c>
      <c r="Q1125" s="2" t="s">
        <v>54</v>
      </c>
      <c r="R1125" s="2" t="s">
        <v>38</v>
      </c>
      <c r="S1125" s="2" t="s">
        <v>35</v>
      </c>
      <c r="T1125" s="2" t="s">
        <v>35</v>
      </c>
      <c r="U1125" s="2" t="s">
        <v>35</v>
      </c>
      <c r="V1125" s="2" t="b">
        <v>0</v>
      </c>
      <c r="W1125" s="2" t="s">
        <v>35</v>
      </c>
      <c r="X1125" s="2" t="s">
        <v>35</v>
      </c>
      <c r="Y1125" s="2" t="s">
        <v>35</v>
      </c>
      <c r="Z1125" s="2" t="s">
        <v>35</v>
      </c>
    </row>
    <row r="1126" spans="1:26" x14ac:dyDescent="0.2">
      <c r="A1126" s="2" t="s">
        <v>2814</v>
      </c>
      <c r="B1126" s="2" t="b">
        <v>0</v>
      </c>
      <c r="C1126" s="2" t="b">
        <v>0</v>
      </c>
      <c r="D1126" s="2" t="b">
        <v>0</v>
      </c>
      <c r="E1126" s="2" t="b">
        <v>0</v>
      </c>
      <c r="F1126" s="2" t="s">
        <v>31</v>
      </c>
      <c r="G1126" s="2" t="s">
        <v>2815</v>
      </c>
      <c r="H1126" s="2" t="s">
        <v>2816</v>
      </c>
      <c r="I1126" s="2" t="s">
        <v>35</v>
      </c>
      <c r="J1126" s="2" t="s">
        <v>35</v>
      </c>
      <c r="K1126" s="2" t="s">
        <v>35</v>
      </c>
      <c r="L1126" s="2" t="s">
        <v>35</v>
      </c>
      <c r="M1126" s="2" t="s">
        <v>35</v>
      </c>
      <c r="N1126" s="3">
        <v>44755.449651111114</v>
      </c>
      <c r="O1126" s="3">
        <v>44755.449812638886</v>
      </c>
      <c r="P1126" s="2">
        <v>0</v>
      </c>
      <c r="Q1126" s="2" t="s">
        <v>36</v>
      </c>
      <c r="R1126" s="2" t="s">
        <v>38</v>
      </c>
      <c r="S1126" s="2" t="s">
        <v>35</v>
      </c>
      <c r="T1126" s="2" t="s">
        <v>35</v>
      </c>
      <c r="U1126" s="2" t="s">
        <v>35</v>
      </c>
      <c r="V1126" s="2" t="b">
        <v>0</v>
      </c>
      <c r="W1126" s="2" t="s">
        <v>2284</v>
      </c>
      <c r="X1126" s="2" t="s">
        <v>35</v>
      </c>
      <c r="Y1126" s="2" t="s">
        <v>35</v>
      </c>
      <c r="Z1126" s="2" t="s">
        <v>35</v>
      </c>
    </row>
    <row r="1127" spans="1:26" x14ac:dyDescent="0.2">
      <c r="A1127" s="2" t="s">
        <v>2817</v>
      </c>
      <c r="B1127" s="2" t="b">
        <v>0</v>
      </c>
      <c r="C1127" s="2" t="b">
        <v>0</v>
      </c>
      <c r="D1127" s="2" t="b">
        <v>0</v>
      </c>
      <c r="E1127" s="2" t="b">
        <v>0</v>
      </c>
      <c r="F1127" s="2" t="s">
        <v>31</v>
      </c>
      <c r="G1127" s="2" t="s">
        <v>2818</v>
      </c>
      <c r="H1127" s="2" t="s">
        <v>2819</v>
      </c>
      <c r="I1127" s="2" t="s">
        <v>35</v>
      </c>
      <c r="J1127" s="2" t="s">
        <v>35</v>
      </c>
      <c r="K1127" s="2">
        <v>7</v>
      </c>
      <c r="L1127" s="2" t="s">
        <v>35</v>
      </c>
      <c r="M1127" s="2" t="s">
        <v>35</v>
      </c>
      <c r="N1127" s="3">
        <v>44755.450192662036</v>
      </c>
      <c r="O1127" s="3">
        <v>44755.450399259258</v>
      </c>
      <c r="P1127" s="2">
        <v>0</v>
      </c>
      <c r="Q1127" s="2" t="s">
        <v>265</v>
      </c>
      <c r="R1127" s="2" t="s">
        <v>38</v>
      </c>
      <c r="S1127" s="2" t="s">
        <v>35</v>
      </c>
      <c r="T1127" s="2" t="s">
        <v>35</v>
      </c>
      <c r="U1127" s="2" t="s">
        <v>35</v>
      </c>
      <c r="V1127" s="2" t="b">
        <v>0</v>
      </c>
      <c r="W1127" s="2" t="s">
        <v>35</v>
      </c>
      <c r="X1127" s="2" t="s">
        <v>35</v>
      </c>
      <c r="Y1127" s="2" t="s">
        <v>35</v>
      </c>
      <c r="Z1127" s="2" t="s">
        <v>35</v>
      </c>
    </row>
    <row r="1128" spans="1:26" x14ac:dyDescent="0.2">
      <c r="A1128" s="2" t="s">
        <v>2820</v>
      </c>
      <c r="B1128" s="2" t="b">
        <v>0</v>
      </c>
      <c r="C1128" s="2" t="b">
        <v>0</v>
      </c>
      <c r="D1128" s="2" t="b">
        <v>0</v>
      </c>
      <c r="E1128" s="2" t="b">
        <v>0</v>
      </c>
      <c r="F1128" s="2" t="s">
        <v>31</v>
      </c>
      <c r="G1128" s="2" t="s">
        <v>2821</v>
      </c>
      <c r="H1128" s="2" t="s">
        <v>2822</v>
      </c>
      <c r="I1128" s="2" t="s">
        <v>2823</v>
      </c>
      <c r="J1128" s="2" t="s">
        <v>35</v>
      </c>
      <c r="K1128" s="2" t="s">
        <v>35</v>
      </c>
      <c r="L1128" s="2" t="s">
        <v>35</v>
      </c>
      <c r="M1128" s="2" t="s">
        <v>35</v>
      </c>
      <c r="N1128" s="3">
        <v>44755.450755775462</v>
      </c>
      <c r="O1128" s="3">
        <v>44755.451058692131</v>
      </c>
      <c r="P1128" s="2">
        <v>0</v>
      </c>
      <c r="Q1128" s="2" t="s">
        <v>36</v>
      </c>
      <c r="R1128" s="2" t="s">
        <v>38</v>
      </c>
      <c r="S1128" s="2" t="s">
        <v>35</v>
      </c>
      <c r="T1128" s="2" t="s">
        <v>35</v>
      </c>
      <c r="U1128" s="2" t="s">
        <v>35</v>
      </c>
      <c r="V1128" s="2" t="b">
        <v>0</v>
      </c>
      <c r="W1128" s="2" t="s">
        <v>35</v>
      </c>
      <c r="X1128" s="2" t="s">
        <v>35</v>
      </c>
      <c r="Y1128" s="2">
        <v>7</v>
      </c>
      <c r="Z1128" s="2" t="s">
        <v>35</v>
      </c>
    </row>
    <row r="1129" spans="1:26" x14ac:dyDescent="0.2">
      <c r="A1129" s="2" t="s">
        <v>2824</v>
      </c>
      <c r="B1129" s="2" t="b">
        <v>0</v>
      </c>
      <c r="C1129" s="2" t="b">
        <v>0</v>
      </c>
      <c r="D1129" s="2" t="b">
        <v>0</v>
      </c>
      <c r="E1129" s="2" t="b">
        <v>0</v>
      </c>
      <c r="F1129" s="2" t="s">
        <v>31</v>
      </c>
      <c r="G1129" s="2" t="s">
        <v>2825</v>
      </c>
      <c r="H1129" s="2" t="s">
        <v>2826</v>
      </c>
      <c r="I1129" s="2" t="s">
        <v>2827</v>
      </c>
      <c r="J1129" s="2" t="s">
        <v>35</v>
      </c>
      <c r="K1129" s="2" t="s">
        <v>35</v>
      </c>
      <c r="L1129" s="2" t="s">
        <v>35</v>
      </c>
      <c r="M1129" s="2" t="s">
        <v>35</v>
      </c>
      <c r="N1129" s="3">
        <v>44755.451495150461</v>
      </c>
      <c r="O1129" s="3">
        <v>44755.451693090276</v>
      </c>
      <c r="P1129" s="2">
        <v>0</v>
      </c>
      <c r="Q1129" s="2" t="s">
        <v>36</v>
      </c>
      <c r="R1129" s="2" t="s">
        <v>38</v>
      </c>
      <c r="S1129" s="2" t="s">
        <v>35</v>
      </c>
      <c r="T1129" s="2" t="s">
        <v>35</v>
      </c>
      <c r="U1129" s="2" t="s">
        <v>35</v>
      </c>
      <c r="V1129" s="2" t="b">
        <v>0</v>
      </c>
      <c r="W1129" s="2" t="s">
        <v>35</v>
      </c>
      <c r="X1129" s="2" t="s">
        <v>35</v>
      </c>
      <c r="Y1129" s="2">
        <v>4</v>
      </c>
      <c r="Z1129" s="2" t="s">
        <v>35</v>
      </c>
    </row>
    <row r="1130" spans="1:26" x14ac:dyDescent="0.2">
      <c r="A1130" s="2" t="s">
        <v>2828</v>
      </c>
      <c r="B1130" s="2" t="b">
        <v>0</v>
      </c>
      <c r="C1130" s="2" t="b">
        <v>0</v>
      </c>
      <c r="D1130" s="2" t="b">
        <v>0</v>
      </c>
      <c r="E1130" s="2" t="b">
        <v>0</v>
      </c>
      <c r="F1130" s="2" t="s">
        <v>31</v>
      </c>
      <c r="G1130" s="2" t="s">
        <v>2829</v>
      </c>
      <c r="H1130" s="2" t="s">
        <v>2830</v>
      </c>
      <c r="I1130" s="2" t="s">
        <v>35</v>
      </c>
      <c r="J1130" s="2" t="s">
        <v>35</v>
      </c>
      <c r="K1130" s="2" t="s">
        <v>35</v>
      </c>
      <c r="L1130" s="2" t="s">
        <v>35</v>
      </c>
      <c r="M1130" s="2" t="s">
        <v>35</v>
      </c>
      <c r="N1130" s="3">
        <v>44755.453830358798</v>
      </c>
      <c r="O1130" s="3">
        <v>44755.453923229165</v>
      </c>
      <c r="P1130" s="2">
        <v>0</v>
      </c>
      <c r="Q1130" s="2" t="s">
        <v>36</v>
      </c>
      <c r="R1130" s="2" t="s">
        <v>38</v>
      </c>
      <c r="S1130" s="2" t="s">
        <v>35</v>
      </c>
      <c r="T1130" s="2" t="s">
        <v>35</v>
      </c>
      <c r="U1130" s="2" t="s">
        <v>35</v>
      </c>
      <c r="V1130" s="2" t="b">
        <v>0</v>
      </c>
      <c r="W1130" s="2" t="s">
        <v>35</v>
      </c>
      <c r="X1130" s="2" t="s">
        <v>35</v>
      </c>
      <c r="Y1130" s="2" t="s">
        <v>35</v>
      </c>
      <c r="Z1130" s="2">
        <v>3</v>
      </c>
    </row>
    <row r="1131" spans="1:26" x14ac:dyDescent="0.2">
      <c r="A1131" s="2" t="s">
        <v>2831</v>
      </c>
      <c r="B1131" s="2" t="b">
        <v>0</v>
      </c>
      <c r="C1131" s="2" t="b">
        <v>0</v>
      </c>
      <c r="D1131" s="2" t="b">
        <v>0</v>
      </c>
      <c r="E1131" s="2" t="b">
        <v>0</v>
      </c>
      <c r="F1131" s="2" t="s">
        <v>31</v>
      </c>
      <c r="G1131" s="2" t="s">
        <v>2832</v>
      </c>
      <c r="H1131" s="2" t="s">
        <v>2833</v>
      </c>
      <c r="I1131" s="2" t="s">
        <v>35</v>
      </c>
      <c r="J1131" s="2" t="s">
        <v>35</v>
      </c>
      <c r="K1131" s="2" t="s">
        <v>35</v>
      </c>
      <c r="L1131" s="2" t="s">
        <v>35</v>
      </c>
      <c r="M1131" s="2" t="s">
        <v>35</v>
      </c>
      <c r="N1131" s="3">
        <v>44755.458083090278</v>
      </c>
      <c r="O1131" s="3">
        <v>44755.458172025465</v>
      </c>
      <c r="P1131" s="2">
        <v>0</v>
      </c>
      <c r="Q1131" s="2" t="s">
        <v>36</v>
      </c>
      <c r="R1131" s="2" t="s">
        <v>38</v>
      </c>
      <c r="S1131" s="2" t="s">
        <v>35</v>
      </c>
      <c r="T1131" s="2" t="s">
        <v>35</v>
      </c>
      <c r="U1131" s="2" t="s">
        <v>35</v>
      </c>
      <c r="V1131" s="2" t="b">
        <v>0</v>
      </c>
      <c r="W1131" s="2" t="s">
        <v>35</v>
      </c>
      <c r="X1131" s="2" t="s">
        <v>35</v>
      </c>
      <c r="Y1131" s="2" t="s">
        <v>35</v>
      </c>
      <c r="Z1131" s="2">
        <v>3</v>
      </c>
    </row>
    <row r="1132" spans="1:26" x14ac:dyDescent="0.2">
      <c r="A1132" s="2" t="s">
        <v>2834</v>
      </c>
      <c r="B1132" s="2" t="b">
        <v>0</v>
      </c>
      <c r="C1132" s="2" t="b">
        <v>0</v>
      </c>
      <c r="D1132" s="2" t="b">
        <v>0</v>
      </c>
      <c r="E1132" s="2" t="b">
        <v>0</v>
      </c>
      <c r="F1132" s="2" t="s">
        <v>31</v>
      </c>
      <c r="G1132" s="2" t="s">
        <v>2835</v>
      </c>
      <c r="H1132" s="2" t="s">
        <v>2836</v>
      </c>
      <c r="I1132" s="2" t="s">
        <v>35</v>
      </c>
      <c r="J1132" s="2" t="s">
        <v>35</v>
      </c>
      <c r="K1132" s="2" t="s">
        <v>35</v>
      </c>
      <c r="L1132" s="2">
        <v>12</v>
      </c>
      <c r="M1132" s="2">
        <v>13</v>
      </c>
      <c r="N1132" s="3">
        <v>44755.458208784723</v>
      </c>
      <c r="O1132" s="3">
        <v>44755.458530601849</v>
      </c>
      <c r="P1132" s="2">
        <v>0</v>
      </c>
      <c r="Q1132" s="2" t="s">
        <v>54</v>
      </c>
      <c r="R1132" s="2" t="s">
        <v>38</v>
      </c>
      <c r="S1132" s="2" t="s">
        <v>35</v>
      </c>
      <c r="T1132" s="2" t="s">
        <v>35</v>
      </c>
      <c r="U1132" s="2" t="s">
        <v>35</v>
      </c>
      <c r="V1132" s="2" t="b">
        <v>0</v>
      </c>
      <c r="W1132" s="2" t="s">
        <v>35</v>
      </c>
      <c r="X1132" s="2" t="s">
        <v>35</v>
      </c>
      <c r="Y1132" s="2" t="s">
        <v>35</v>
      </c>
      <c r="Z1132" s="2" t="s">
        <v>35</v>
      </c>
    </row>
    <row r="1133" spans="1:26" x14ac:dyDescent="0.2">
      <c r="A1133" s="2" t="s">
        <v>9314</v>
      </c>
      <c r="B1133" s="2" t="b">
        <v>0</v>
      </c>
      <c r="C1133" s="2" t="b">
        <v>0</v>
      </c>
      <c r="D1133" s="2" t="b">
        <v>0</v>
      </c>
      <c r="E1133" s="2" t="b">
        <v>0</v>
      </c>
      <c r="F1133" s="2" t="s">
        <v>31</v>
      </c>
      <c r="G1133" s="2" t="s">
        <v>9315</v>
      </c>
      <c r="H1133" s="2" t="s">
        <v>9316</v>
      </c>
      <c r="I1133" s="2" t="s">
        <v>35</v>
      </c>
      <c r="J1133" s="2" t="s">
        <v>35</v>
      </c>
      <c r="K1133" s="2" t="s">
        <v>35</v>
      </c>
      <c r="L1133" s="2" t="s">
        <v>35</v>
      </c>
      <c r="M1133" s="2" t="s">
        <v>35</v>
      </c>
      <c r="N1133" s="3">
        <v>44757.38105895833</v>
      </c>
      <c r="O1133" s="3">
        <v>44757.381406342596</v>
      </c>
      <c r="P1133" s="2">
        <v>0</v>
      </c>
      <c r="Q1133" s="2" t="s">
        <v>36</v>
      </c>
      <c r="R1133" s="2" t="s">
        <v>38</v>
      </c>
      <c r="S1133" s="2" t="s">
        <v>35</v>
      </c>
      <c r="T1133" s="2" t="s">
        <v>35</v>
      </c>
      <c r="U1133" s="2" t="s">
        <v>35</v>
      </c>
      <c r="V1133" s="2" t="b">
        <v>0</v>
      </c>
      <c r="W1133" s="2" t="s">
        <v>35</v>
      </c>
      <c r="X1133" s="2" t="s">
        <v>35</v>
      </c>
      <c r="Y1133" s="2" t="s">
        <v>35</v>
      </c>
      <c r="Z1133" s="2">
        <v>3</v>
      </c>
    </row>
    <row r="1134" spans="1:26" x14ac:dyDescent="0.2">
      <c r="A1134" s="2" t="s">
        <v>9317</v>
      </c>
      <c r="B1134" s="2" t="b">
        <v>0</v>
      </c>
      <c r="C1134" s="2" t="b">
        <v>0</v>
      </c>
      <c r="D1134" s="2" t="b">
        <v>0</v>
      </c>
      <c r="E1134" s="2" t="b">
        <v>0</v>
      </c>
      <c r="F1134" s="2" t="s">
        <v>31</v>
      </c>
      <c r="G1134" s="2" t="s">
        <v>9318</v>
      </c>
      <c r="H1134" s="2" t="s">
        <v>9316</v>
      </c>
      <c r="I1134" s="2" t="s">
        <v>35</v>
      </c>
      <c r="J1134" s="2" t="s">
        <v>35</v>
      </c>
      <c r="K1134" s="2" t="s">
        <v>35</v>
      </c>
      <c r="L1134" s="2" t="s">
        <v>35</v>
      </c>
      <c r="M1134" s="2" t="s">
        <v>35</v>
      </c>
      <c r="N1134" s="3">
        <v>44757.382965289355</v>
      </c>
      <c r="O1134" s="3">
        <v>44757.383298090281</v>
      </c>
      <c r="P1134" s="2">
        <v>0</v>
      </c>
      <c r="Q1134" s="2" t="s">
        <v>36</v>
      </c>
      <c r="R1134" s="2" t="s">
        <v>38</v>
      </c>
      <c r="S1134" s="2" t="s">
        <v>35</v>
      </c>
      <c r="T1134" s="2" t="s">
        <v>35</v>
      </c>
      <c r="U1134" s="2" t="s">
        <v>35</v>
      </c>
      <c r="V1134" s="2" t="b">
        <v>0</v>
      </c>
      <c r="W1134" s="2" t="s">
        <v>35</v>
      </c>
      <c r="X1134" s="2" t="s">
        <v>35</v>
      </c>
      <c r="Y1134" s="2" t="s">
        <v>35</v>
      </c>
      <c r="Z1134" s="2">
        <v>3</v>
      </c>
    </row>
    <row r="1135" spans="1:26" x14ac:dyDescent="0.2">
      <c r="A1135" s="2" t="s">
        <v>9319</v>
      </c>
      <c r="B1135" s="2" t="b">
        <v>0</v>
      </c>
      <c r="C1135" s="2" t="b">
        <v>0</v>
      </c>
      <c r="D1135" s="2" t="b">
        <v>0</v>
      </c>
      <c r="E1135" s="2" t="b">
        <v>0</v>
      </c>
      <c r="F1135" s="2" t="s">
        <v>31</v>
      </c>
      <c r="G1135" s="2" t="s">
        <v>149</v>
      </c>
      <c r="H1135" s="2" t="s">
        <v>9320</v>
      </c>
      <c r="I1135" s="2" t="s">
        <v>35</v>
      </c>
      <c r="J1135" s="2" t="s">
        <v>35</v>
      </c>
      <c r="K1135" s="2" t="s">
        <v>35</v>
      </c>
      <c r="L1135" s="2" t="s">
        <v>35</v>
      </c>
      <c r="M1135" s="2" t="s">
        <v>35</v>
      </c>
      <c r="N1135" s="3">
        <v>44757.383968692127</v>
      </c>
      <c r="O1135" s="3">
        <v>44757.384102546297</v>
      </c>
      <c r="P1135" s="2">
        <v>0</v>
      </c>
      <c r="Q1135" s="2" t="s">
        <v>36</v>
      </c>
      <c r="R1135" s="2" t="s">
        <v>38</v>
      </c>
      <c r="S1135" s="2" t="s">
        <v>35</v>
      </c>
      <c r="T1135" s="2" t="s">
        <v>35</v>
      </c>
      <c r="U1135" s="2" t="s">
        <v>35</v>
      </c>
      <c r="V1135" s="2" t="b">
        <v>0</v>
      </c>
      <c r="W1135" s="2" t="s">
        <v>35</v>
      </c>
      <c r="X1135" s="2" t="s">
        <v>35</v>
      </c>
      <c r="Y1135" s="2" t="s">
        <v>35</v>
      </c>
      <c r="Z1135" s="2">
        <v>3</v>
      </c>
    </row>
    <row r="1136" spans="1:26" x14ac:dyDescent="0.2">
      <c r="A1136" s="2" t="s">
        <v>9321</v>
      </c>
      <c r="B1136" s="2" t="b">
        <v>0</v>
      </c>
      <c r="C1136" s="2" t="b">
        <v>0</v>
      </c>
      <c r="D1136" s="2" t="b">
        <v>0</v>
      </c>
      <c r="E1136" s="2" t="b">
        <v>0</v>
      </c>
      <c r="F1136" s="2" t="s">
        <v>31</v>
      </c>
      <c r="G1136" s="2" t="s">
        <v>9322</v>
      </c>
      <c r="H1136" s="2" t="s">
        <v>9323</v>
      </c>
      <c r="I1136" s="2" t="s">
        <v>35</v>
      </c>
      <c r="J1136" s="2" t="s">
        <v>35</v>
      </c>
      <c r="K1136" s="2" t="s">
        <v>35</v>
      </c>
      <c r="L1136" s="2">
        <v>1</v>
      </c>
      <c r="M1136" s="2">
        <v>15</v>
      </c>
      <c r="N1136" s="3">
        <v>44757.386113171298</v>
      </c>
      <c r="O1136" s="3">
        <v>44757.38630431713</v>
      </c>
      <c r="P1136" s="2">
        <v>0</v>
      </c>
      <c r="Q1136" s="2" t="s">
        <v>54</v>
      </c>
      <c r="R1136" s="2" t="s">
        <v>38</v>
      </c>
      <c r="S1136" s="2" t="s">
        <v>35</v>
      </c>
      <c r="T1136" s="2" t="s">
        <v>35</v>
      </c>
      <c r="U1136" s="2" t="s">
        <v>35</v>
      </c>
      <c r="V1136" s="2" t="b">
        <v>0</v>
      </c>
      <c r="W1136" s="2" t="s">
        <v>35</v>
      </c>
      <c r="X1136" s="2" t="s">
        <v>35</v>
      </c>
      <c r="Y1136" s="2" t="s">
        <v>35</v>
      </c>
      <c r="Z1136" s="2" t="s">
        <v>35</v>
      </c>
    </row>
    <row r="1137" spans="1:26" x14ac:dyDescent="0.2">
      <c r="A1137" s="2" t="s">
        <v>9324</v>
      </c>
      <c r="B1137" s="2" t="b">
        <v>0</v>
      </c>
      <c r="C1137" s="2" t="b">
        <v>0</v>
      </c>
      <c r="D1137" s="2" t="b">
        <v>0</v>
      </c>
      <c r="E1137" s="2" t="b">
        <v>0</v>
      </c>
      <c r="F1137" s="2" t="s">
        <v>31</v>
      </c>
      <c r="G1137" s="2" t="s">
        <v>9325</v>
      </c>
      <c r="H1137" s="2" t="s">
        <v>9326</v>
      </c>
      <c r="I1137" s="2" t="s">
        <v>35</v>
      </c>
      <c r="J1137" s="2" t="s">
        <v>35</v>
      </c>
      <c r="K1137" s="2" t="s">
        <v>35</v>
      </c>
      <c r="L1137" s="2">
        <v>12</v>
      </c>
      <c r="M1137" s="2">
        <v>17</v>
      </c>
      <c r="N1137" s="3">
        <v>44757.386386747683</v>
      </c>
      <c r="O1137" s="3">
        <v>44757.386647777777</v>
      </c>
      <c r="P1137" s="2">
        <v>0</v>
      </c>
      <c r="Q1137" s="2" t="s">
        <v>54</v>
      </c>
      <c r="R1137" s="2" t="s">
        <v>38</v>
      </c>
      <c r="S1137" s="2" t="s">
        <v>35</v>
      </c>
      <c r="T1137" s="2" t="s">
        <v>35</v>
      </c>
      <c r="U1137" s="2" t="s">
        <v>35</v>
      </c>
      <c r="V1137" s="2" t="b">
        <v>0</v>
      </c>
      <c r="W1137" s="2" t="s">
        <v>35</v>
      </c>
      <c r="X1137" s="2" t="s">
        <v>35</v>
      </c>
      <c r="Y1137" s="2" t="s">
        <v>35</v>
      </c>
      <c r="Z1137" s="2" t="s">
        <v>35</v>
      </c>
    </row>
    <row r="1138" spans="1:26" x14ac:dyDescent="0.2">
      <c r="A1138" s="2" t="s">
        <v>9327</v>
      </c>
      <c r="B1138" s="2" t="b">
        <v>0</v>
      </c>
      <c r="C1138" s="2" t="b">
        <v>0</v>
      </c>
      <c r="D1138" s="2" t="b">
        <v>0</v>
      </c>
      <c r="E1138" s="2" t="b">
        <v>0</v>
      </c>
      <c r="F1138" s="2" t="s">
        <v>31</v>
      </c>
      <c r="G1138" s="2" t="s">
        <v>9328</v>
      </c>
      <c r="H1138" s="2" t="s">
        <v>2846</v>
      </c>
      <c r="I1138" s="2" t="s">
        <v>35</v>
      </c>
      <c r="J1138" s="2" t="s">
        <v>35</v>
      </c>
      <c r="K1138" s="2" t="s">
        <v>35</v>
      </c>
      <c r="L1138" s="2">
        <v>12</v>
      </c>
      <c r="M1138" s="2">
        <v>17</v>
      </c>
      <c r="N1138" s="3">
        <v>44757.386981527779</v>
      </c>
      <c r="O1138" s="3">
        <v>44757.387201111109</v>
      </c>
      <c r="P1138" s="2">
        <v>0</v>
      </c>
      <c r="Q1138" s="2" t="s">
        <v>54</v>
      </c>
      <c r="R1138" s="2" t="s">
        <v>38</v>
      </c>
      <c r="S1138" s="2" t="s">
        <v>35</v>
      </c>
      <c r="T1138" s="2" t="s">
        <v>35</v>
      </c>
      <c r="U1138" s="2" t="s">
        <v>35</v>
      </c>
      <c r="V1138" s="2" t="b">
        <v>0</v>
      </c>
      <c r="W1138" s="2" t="s">
        <v>35</v>
      </c>
      <c r="X1138" s="2" t="s">
        <v>35</v>
      </c>
      <c r="Y1138" s="2" t="s">
        <v>35</v>
      </c>
      <c r="Z1138" s="2" t="s">
        <v>35</v>
      </c>
    </row>
    <row r="1139" spans="1:26" x14ac:dyDescent="0.2">
      <c r="A1139" s="2" t="s">
        <v>9329</v>
      </c>
      <c r="B1139" s="2" t="b">
        <v>0</v>
      </c>
      <c r="C1139" s="2" t="b">
        <v>0</v>
      </c>
      <c r="D1139" s="2" t="b">
        <v>0</v>
      </c>
      <c r="E1139" s="2" t="b">
        <v>0</v>
      </c>
      <c r="F1139" s="2" t="s">
        <v>31</v>
      </c>
      <c r="G1139" s="2" t="s">
        <v>9330</v>
      </c>
      <c r="H1139" s="2" t="s">
        <v>9331</v>
      </c>
      <c r="I1139" s="2" t="s">
        <v>35</v>
      </c>
      <c r="J1139" s="2" t="s">
        <v>35</v>
      </c>
      <c r="K1139" s="2" t="s">
        <v>35</v>
      </c>
      <c r="L1139" s="2">
        <v>12</v>
      </c>
      <c r="M1139" s="2">
        <v>17</v>
      </c>
      <c r="N1139" s="3">
        <v>44757.38729111111</v>
      </c>
      <c r="O1139" s="3">
        <v>44757.387674756945</v>
      </c>
      <c r="P1139" s="2">
        <v>0</v>
      </c>
      <c r="Q1139" s="2" t="s">
        <v>54</v>
      </c>
      <c r="R1139" s="2" t="s">
        <v>38</v>
      </c>
      <c r="S1139" s="2" t="s">
        <v>35</v>
      </c>
      <c r="T1139" s="2" t="s">
        <v>35</v>
      </c>
      <c r="U1139" s="2" t="s">
        <v>35</v>
      </c>
      <c r="V1139" s="2" t="b">
        <v>0</v>
      </c>
      <c r="W1139" s="2" t="s">
        <v>35</v>
      </c>
      <c r="X1139" s="2" t="s">
        <v>35</v>
      </c>
      <c r="Y1139" s="2" t="s">
        <v>35</v>
      </c>
      <c r="Z1139" s="2" t="s">
        <v>35</v>
      </c>
    </row>
    <row r="1140" spans="1:26" x14ac:dyDescent="0.2">
      <c r="A1140" s="2" t="s">
        <v>9332</v>
      </c>
      <c r="B1140" s="2" t="b">
        <v>0</v>
      </c>
      <c r="C1140" s="2" t="b">
        <v>0</v>
      </c>
      <c r="D1140" s="2" t="b">
        <v>0</v>
      </c>
      <c r="E1140" s="2" t="b">
        <v>0</v>
      </c>
      <c r="F1140" s="2" t="s">
        <v>31</v>
      </c>
      <c r="G1140" s="2" t="s">
        <v>9333</v>
      </c>
      <c r="H1140" s="2" t="s">
        <v>9334</v>
      </c>
      <c r="I1140" s="2" t="s">
        <v>35</v>
      </c>
      <c r="J1140" s="2" t="s">
        <v>35</v>
      </c>
      <c r="K1140" s="2" t="s">
        <v>35</v>
      </c>
      <c r="L1140" s="2">
        <v>12</v>
      </c>
      <c r="M1140" s="2">
        <v>17</v>
      </c>
      <c r="N1140" s="3">
        <v>44757.388277650462</v>
      </c>
      <c r="O1140" s="3">
        <v>44757.388868182868</v>
      </c>
      <c r="P1140" s="2">
        <v>0</v>
      </c>
      <c r="Q1140" s="2" t="s">
        <v>54</v>
      </c>
      <c r="R1140" s="2" t="s">
        <v>38</v>
      </c>
      <c r="S1140" s="2" t="s">
        <v>35</v>
      </c>
      <c r="T1140" s="2" t="s">
        <v>35</v>
      </c>
      <c r="U1140" s="2" t="s">
        <v>35</v>
      </c>
      <c r="V1140" s="2" t="b">
        <v>0</v>
      </c>
      <c r="W1140" s="2" t="s">
        <v>35</v>
      </c>
      <c r="X1140" s="2" t="s">
        <v>35</v>
      </c>
      <c r="Y1140" s="2" t="s">
        <v>35</v>
      </c>
      <c r="Z1140" s="2" t="s">
        <v>35</v>
      </c>
    </row>
    <row r="1141" spans="1:26" x14ac:dyDescent="0.2">
      <c r="A1141" s="2" t="s">
        <v>9335</v>
      </c>
      <c r="B1141" s="2" t="b">
        <v>0</v>
      </c>
      <c r="C1141" s="2" t="b">
        <v>0</v>
      </c>
      <c r="D1141" s="2" t="b">
        <v>0</v>
      </c>
      <c r="E1141" s="2" t="b">
        <v>0</v>
      </c>
      <c r="F1141" s="2" t="s">
        <v>31</v>
      </c>
      <c r="G1141" s="2" t="s">
        <v>9336</v>
      </c>
      <c r="H1141" s="2" t="s">
        <v>2864</v>
      </c>
      <c r="I1141" s="2" t="s">
        <v>675</v>
      </c>
      <c r="J1141" s="2" t="s">
        <v>35</v>
      </c>
      <c r="K1141" s="2" t="s">
        <v>35</v>
      </c>
      <c r="L1141" s="2" t="s">
        <v>35</v>
      </c>
      <c r="M1141" s="2" t="s">
        <v>35</v>
      </c>
      <c r="N1141" s="3">
        <v>44757.389214050927</v>
      </c>
      <c r="O1141" s="3">
        <v>44757.39312872685</v>
      </c>
      <c r="P1141" s="2">
        <v>0</v>
      </c>
      <c r="Q1141" s="2" t="s">
        <v>124</v>
      </c>
      <c r="R1141" s="2" t="s">
        <v>38</v>
      </c>
      <c r="S1141" s="2" t="s">
        <v>35</v>
      </c>
      <c r="T1141" s="2" t="s">
        <v>35</v>
      </c>
      <c r="U1141" s="2" t="s">
        <v>35</v>
      </c>
      <c r="V1141" s="2" t="b">
        <v>0</v>
      </c>
      <c r="W1141" s="2" t="s">
        <v>35</v>
      </c>
      <c r="X1141" s="2">
        <v>4</v>
      </c>
      <c r="Y1141" s="2" t="s">
        <v>35</v>
      </c>
      <c r="Z1141" s="2" t="s">
        <v>35</v>
      </c>
    </row>
    <row r="1142" spans="1:26" x14ac:dyDescent="0.2">
      <c r="A1142" s="2" t="s">
        <v>9337</v>
      </c>
      <c r="B1142" s="2" t="b">
        <v>0</v>
      </c>
      <c r="C1142" s="2" t="b">
        <v>0</v>
      </c>
      <c r="D1142" s="2" t="b">
        <v>0</v>
      </c>
      <c r="E1142" s="2" t="b">
        <v>0</v>
      </c>
      <c r="F1142" s="2" t="s">
        <v>31</v>
      </c>
      <c r="G1142" s="2" t="s">
        <v>9338</v>
      </c>
      <c r="H1142" s="2" t="s">
        <v>9339</v>
      </c>
      <c r="I1142" s="2" t="s">
        <v>35</v>
      </c>
      <c r="J1142" s="2" t="s">
        <v>35</v>
      </c>
      <c r="K1142" s="2" t="s">
        <v>35</v>
      </c>
      <c r="L1142" s="2" t="s">
        <v>35</v>
      </c>
      <c r="M1142" s="2" t="s">
        <v>35</v>
      </c>
      <c r="N1142" s="3">
        <v>44757.393812986113</v>
      </c>
      <c r="O1142" s="3">
        <v>44757.394115810188</v>
      </c>
      <c r="P1142" s="2">
        <v>0</v>
      </c>
      <c r="Q1142" s="2" t="s">
        <v>36</v>
      </c>
      <c r="R1142" s="2" t="s">
        <v>38</v>
      </c>
      <c r="S1142" s="2" t="s">
        <v>35</v>
      </c>
      <c r="T1142" s="2" t="s">
        <v>35</v>
      </c>
      <c r="U1142" s="2" t="s">
        <v>35</v>
      </c>
      <c r="V1142" s="2" t="b">
        <v>0</v>
      </c>
      <c r="W1142" s="2" t="s">
        <v>35</v>
      </c>
      <c r="X1142" s="2" t="s">
        <v>35</v>
      </c>
      <c r="Y1142" s="2" t="s">
        <v>35</v>
      </c>
      <c r="Z1142" s="2">
        <v>2</v>
      </c>
    </row>
    <row r="1143" spans="1:26" x14ac:dyDescent="0.2">
      <c r="A1143" s="2" t="s">
        <v>9340</v>
      </c>
      <c r="B1143" s="2" t="b">
        <v>0</v>
      </c>
      <c r="C1143" s="2" t="b">
        <v>0</v>
      </c>
      <c r="D1143" s="2" t="b">
        <v>0</v>
      </c>
      <c r="E1143" s="2" t="b">
        <v>0</v>
      </c>
      <c r="F1143" s="2" t="s">
        <v>31</v>
      </c>
      <c r="G1143" s="2" t="s">
        <v>9341</v>
      </c>
      <c r="H1143" s="2" t="s">
        <v>2887</v>
      </c>
      <c r="I1143" s="2" t="s">
        <v>675</v>
      </c>
      <c r="J1143" s="2" t="s">
        <v>35</v>
      </c>
      <c r="K1143" s="2" t="s">
        <v>35</v>
      </c>
      <c r="L1143" s="2" t="s">
        <v>35</v>
      </c>
      <c r="M1143" s="2" t="s">
        <v>35</v>
      </c>
      <c r="N1143" s="3">
        <v>44757.394588043979</v>
      </c>
      <c r="O1143" s="3">
        <v>44757.394790798608</v>
      </c>
      <c r="P1143" s="2">
        <v>0</v>
      </c>
      <c r="Q1143" s="2" t="s">
        <v>124</v>
      </c>
      <c r="R1143" s="2" t="s">
        <v>38</v>
      </c>
      <c r="S1143" s="2" t="s">
        <v>35</v>
      </c>
      <c r="T1143" s="2" t="s">
        <v>35</v>
      </c>
      <c r="U1143" s="2" t="s">
        <v>35</v>
      </c>
      <c r="V1143" s="2" t="b">
        <v>0</v>
      </c>
      <c r="W1143" s="2" t="s">
        <v>35</v>
      </c>
      <c r="X1143" s="2">
        <v>4</v>
      </c>
      <c r="Y1143" s="2" t="s">
        <v>35</v>
      </c>
      <c r="Z1143" s="2" t="s">
        <v>35</v>
      </c>
    </row>
    <row r="1144" spans="1:26" x14ac:dyDescent="0.2">
      <c r="A1144" s="2" t="s">
        <v>9342</v>
      </c>
      <c r="B1144" s="2" t="b">
        <v>0</v>
      </c>
      <c r="C1144" s="2" t="b">
        <v>0</v>
      </c>
      <c r="D1144" s="2" t="b">
        <v>0</v>
      </c>
      <c r="E1144" s="2" t="b">
        <v>0</v>
      </c>
      <c r="F1144" s="2" t="s">
        <v>31</v>
      </c>
      <c r="G1144" s="2" t="s">
        <v>9343</v>
      </c>
      <c r="H1144" s="2" t="s">
        <v>2887</v>
      </c>
      <c r="I1144" s="2" t="s">
        <v>675</v>
      </c>
      <c r="J1144" s="2" t="s">
        <v>35</v>
      </c>
      <c r="K1144" s="2" t="s">
        <v>35</v>
      </c>
      <c r="L1144" s="2" t="s">
        <v>35</v>
      </c>
      <c r="M1144" s="2" t="s">
        <v>35</v>
      </c>
      <c r="N1144" s="3">
        <v>44757.396167569445</v>
      </c>
      <c r="O1144" s="3">
        <v>44757.396360243052</v>
      </c>
      <c r="P1144" s="2">
        <v>0</v>
      </c>
      <c r="Q1144" s="2" t="s">
        <v>124</v>
      </c>
      <c r="R1144" s="2" t="s">
        <v>38</v>
      </c>
      <c r="S1144" s="2" t="s">
        <v>35</v>
      </c>
      <c r="T1144" s="2" t="s">
        <v>35</v>
      </c>
      <c r="U1144" s="2" t="s">
        <v>35</v>
      </c>
      <c r="V1144" s="2" t="b">
        <v>0</v>
      </c>
      <c r="W1144" s="2" t="s">
        <v>35</v>
      </c>
      <c r="X1144" s="2">
        <v>4</v>
      </c>
      <c r="Y1144" s="2" t="s">
        <v>35</v>
      </c>
      <c r="Z1144" s="2" t="s">
        <v>35</v>
      </c>
    </row>
    <row r="1145" spans="1:26" x14ac:dyDescent="0.2">
      <c r="A1145" s="2" t="s">
        <v>9344</v>
      </c>
      <c r="B1145" s="2" t="b">
        <v>0</v>
      </c>
      <c r="C1145" s="2" t="b">
        <v>0</v>
      </c>
      <c r="D1145" s="2" t="b">
        <v>0</v>
      </c>
      <c r="E1145" s="2" t="b">
        <v>0</v>
      </c>
      <c r="F1145" s="2" t="s">
        <v>31</v>
      </c>
      <c r="G1145" s="2" t="s">
        <v>9345</v>
      </c>
      <c r="H1145" s="2" t="s">
        <v>2887</v>
      </c>
      <c r="I1145" s="2" t="s">
        <v>675</v>
      </c>
      <c r="J1145" s="2" t="s">
        <v>35</v>
      </c>
      <c r="K1145" s="2" t="s">
        <v>35</v>
      </c>
      <c r="L1145" s="2" t="s">
        <v>35</v>
      </c>
      <c r="M1145" s="2" t="s">
        <v>35</v>
      </c>
      <c r="N1145" s="3">
        <v>44757.396946516201</v>
      </c>
      <c r="O1145" s="3">
        <v>44757.397220520834</v>
      </c>
      <c r="P1145" s="2">
        <v>0</v>
      </c>
      <c r="Q1145" s="2" t="s">
        <v>124</v>
      </c>
      <c r="R1145" s="2" t="s">
        <v>38</v>
      </c>
      <c r="S1145" s="2" t="s">
        <v>35</v>
      </c>
      <c r="T1145" s="2" t="s">
        <v>35</v>
      </c>
      <c r="U1145" s="2" t="s">
        <v>35</v>
      </c>
      <c r="V1145" s="2" t="b">
        <v>0</v>
      </c>
      <c r="W1145" s="2" t="s">
        <v>35</v>
      </c>
      <c r="X1145" s="2">
        <v>4</v>
      </c>
      <c r="Y1145" s="2" t="s">
        <v>35</v>
      </c>
      <c r="Z1145" s="2" t="s">
        <v>35</v>
      </c>
    </row>
    <row r="1146" spans="1:26" x14ac:dyDescent="0.2">
      <c r="A1146" s="2" t="s">
        <v>9346</v>
      </c>
      <c r="B1146" s="2" t="b">
        <v>0</v>
      </c>
      <c r="C1146" s="2" t="b">
        <v>0</v>
      </c>
      <c r="D1146" s="2" t="b">
        <v>0</v>
      </c>
      <c r="E1146" s="2" t="b">
        <v>0</v>
      </c>
      <c r="F1146" s="2" t="s">
        <v>31</v>
      </c>
      <c r="G1146" s="2" t="s">
        <v>9347</v>
      </c>
      <c r="H1146" s="2" t="s">
        <v>3016</v>
      </c>
      <c r="I1146" s="2" t="s">
        <v>35</v>
      </c>
      <c r="J1146" s="2" t="s">
        <v>35</v>
      </c>
      <c r="K1146" s="2" t="s">
        <v>35</v>
      </c>
      <c r="L1146" s="2">
        <v>2</v>
      </c>
      <c r="M1146" s="2">
        <v>15</v>
      </c>
      <c r="N1146" s="3">
        <v>44757.39760798611</v>
      </c>
      <c r="O1146" s="3">
        <v>44757.397843182873</v>
      </c>
      <c r="P1146" s="2">
        <v>0</v>
      </c>
      <c r="Q1146" s="2" t="s">
        <v>54</v>
      </c>
      <c r="R1146" s="2" t="s">
        <v>38</v>
      </c>
      <c r="S1146" s="2" t="s">
        <v>35</v>
      </c>
      <c r="T1146" s="2" t="s">
        <v>35</v>
      </c>
      <c r="U1146" s="2" t="s">
        <v>35</v>
      </c>
      <c r="V1146" s="2" t="b">
        <v>0</v>
      </c>
      <c r="W1146" s="2" t="s">
        <v>35</v>
      </c>
      <c r="X1146" s="2" t="s">
        <v>35</v>
      </c>
      <c r="Y1146" s="2" t="s">
        <v>35</v>
      </c>
      <c r="Z1146" s="2" t="s">
        <v>35</v>
      </c>
    </row>
    <row r="1147" spans="1:26" x14ac:dyDescent="0.2">
      <c r="A1147" s="2" t="s">
        <v>9348</v>
      </c>
      <c r="B1147" s="2" t="b">
        <v>0</v>
      </c>
      <c r="C1147" s="2" t="b">
        <v>0</v>
      </c>
      <c r="D1147" s="2" t="b">
        <v>0</v>
      </c>
      <c r="E1147" s="2" t="b">
        <v>0</v>
      </c>
      <c r="F1147" s="2" t="s">
        <v>31</v>
      </c>
      <c r="G1147" s="2" t="s">
        <v>9349</v>
      </c>
      <c r="H1147" s="2" t="s">
        <v>9350</v>
      </c>
      <c r="I1147" s="2" t="s">
        <v>35</v>
      </c>
      <c r="J1147" s="2" t="s">
        <v>35</v>
      </c>
      <c r="K1147" s="2" t="s">
        <v>35</v>
      </c>
      <c r="L1147" s="2">
        <v>40</v>
      </c>
      <c r="M1147" s="2">
        <v>15</v>
      </c>
      <c r="N1147" s="3">
        <v>44757.397899953707</v>
      </c>
      <c r="O1147" s="3">
        <v>44757.39836003472</v>
      </c>
      <c r="P1147" s="2">
        <v>0</v>
      </c>
      <c r="Q1147" s="2" t="s">
        <v>54</v>
      </c>
      <c r="R1147" s="2" t="s">
        <v>38</v>
      </c>
      <c r="S1147" s="2" t="s">
        <v>35</v>
      </c>
      <c r="T1147" s="2" t="s">
        <v>35</v>
      </c>
      <c r="U1147" s="2" t="s">
        <v>35</v>
      </c>
      <c r="V1147" s="2" t="b">
        <v>0</v>
      </c>
      <c r="W1147" s="2" t="s">
        <v>35</v>
      </c>
      <c r="X1147" s="2" t="s">
        <v>35</v>
      </c>
      <c r="Y1147" s="2" t="s">
        <v>35</v>
      </c>
      <c r="Z1147" s="2" t="s">
        <v>35</v>
      </c>
    </row>
    <row r="1148" spans="1:26" x14ac:dyDescent="0.2">
      <c r="A1148" s="2" t="s">
        <v>9351</v>
      </c>
      <c r="B1148" s="2" t="b">
        <v>0</v>
      </c>
      <c r="C1148" s="2" t="b">
        <v>0</v>
      </c>
      <c r="D1148" s="2" t="b">
        <v>0</v>
      </c>
      <c r="E1148" s="2" t="b">
        <v>0</v>
      </c>
      <c r="F1148" s="2" t="s">
        <v>31</v>
      </c>
      <c r="G1148" s="2" t="s">
        <v>9352</v>
      </c>
      <c r="H1148" s="2" t="s">
        <v>9353</v>
      </c>
      <c r="I1148" s="2" t="s">
        <v>9354</v>
      </c>
      <c r="J1148" s="2" t="s">
        <v>35</v>
      </c>
      <c r="K1148" s="2" t="s">
        <v>35</v>
      </c>
      <c r="L1148" s="2" t="s">
        <v>35</v>
      </c>
      <c r="M1148" s="2" t="s">
        <v>35</v>
      </c>
      <c r="N1148" s="3">
        <v>44757.461940046298</v>
      </c>
      <c r="O1148" s="3">
        <v>44757.462937199074</v>
      </c>
      <c r="P1148" s="2">
        <v>0</v>
      </c>
      <c r="Q1148" s="2" t="s">
        <v>3157</v>
      </c>
      <c r="R1148" s="2" t="s">
        <v>38</v>
      </c>
      <c r="S1148" s="2" t="s">
        <v>35</v>
      </c>
      <c r="T1148" s="2">
        <v>85</v>
      </c>
      <c r="U1148" s="2" t="s">
        <v>35</v>
      </c>
      <c r="V1148" s="2" t="b">
        <v>0</v>
      </c>
      <c r="W1148" s="2" t="s">
        <v>35</v>
      </c>
      <c r="X1148" s="2" t="s">
        <v>35</v>
      </c>
      <c r="Y1148" s="2" t="s">
        <v>35</v>
      </c>
      <c r="Z1148" s="2" t="s">
        <v>35</v>
      </c>
    </row>
    <row r="1149" spans="1:26" x14ac:dyDescent="0.2">
      <c r="A1149" s="2" t="s">
        <v>9355</v>
      </c>
      <c r="B1149" s="2" t="b">
        <v>0</v>
      </c>
      <c r="C1149" s="2" t="b">
        <v>0</v>
      </c>
      <c r="D1149" s="2" t="b">
        <v>0</v>
      </c>
      <c r="E1149" s="2" t="b">
        <v>0</v>
      </c>
      <c r="F1149" s="2" t="s">
        <v>31</v>
      </c>
      <c r="G1149" s="2" t="s">
        <v>9356</v>
      </c>
      <c r="H1149" s="2" t="s">
        <v>9357</v>
      </c>
      <c r="I1149" s="2" t="s">
        <v>9358</v>
      </c>
      <c r="J1149" s="2" t="s">
        <v>35</v>
      </c>
      <c r="K1149" s="2" t="s">
        <v>35</v>
      </c>
      <c r="L1149" s="2" t="s">
        <v>35</v>
      </c>
      <c r="M1149" s="2" t="s">
        <v>35</v>
      </c>
      <c r="N1149" s="3">
        <v>44757.463004849538</v>
      </c>
      <c r="O1149" s="3">
        <v>44757.464153275461</v>
      </c>
      <c r="P1149" s="2">
        <v>0</v>
      </c>
      <c r="Q1149" s="2" t="s">
        <v>100</v>
      </c>
      <c r="R1149" s="2" t="s">
        <v>38</v>
      </c>
      <c r="S1149" s="2" t="s">
        <v>35</v>
      </c>
      <c r="T1149" s="2">
        <v>44</v>
      </c>
      <c r="U1149" s="2" t="s">
        <v>35</v>
      </c>
      <c r="V1149" s="2" t="b">
        <v>0</v>
      </c>
      <c r="W1149" s="2" t="s">
        <v>35</v>
      </c>
      <c r="X1149" s="2" t="s">
        <v>35</v>
      </c>
      <c r="Y1149" s="2" t="s">
        <v>35</v>
      </c>
      <c r="Z1149" s="2" t="s">
        <v>35</v>
      </c>
    </row>
    <row r="1150" spans="1:26" x14ac:dyDescent="0.2">
      <c r="A1150" s="2" t="s">
        <v>9359</v>
      </c>
      <c r="B1150" s="2" t="b">
        <v>0</v>
      </c>
      <c r="C1150" s="2" t="b">
        <v>0</v>
      </c>
      <c r="D1150" s="2" t="b">
        <v>0</v>
      </c>
      <c r="E1150" s="2" t="b">
        <v>0</v>
      </c>
      <c r="F1150" s="2" t="s">
        <v>31</v>
      </c>
      <c r="G1150" s="2" t="s">
        <v>9360</v>
      </c>
      <c r="H1150" s="2" t="s">
        <v>9361</v>
      </c>
      <c r="I1150" s="2" t="s">
        <v>35</v>
      </c>
      <c r="J1150" s="2" t="s">
        <v>35</v>
      </c>
      <c r="K1150" s="2" t="s">
        <v>35</v>
      </c>
      <c r="L1150" s="2" t="s">
        <v>35</v>
      </c>
      <c r="M1150" s="2" t="s">
        <v>35</v>
      </c>
      <c r="N1150" s="3">
        <v>44757.46433865741</v>
      </c>
      <c r="O1150" s="3">
        <v>44757.464686828702</v>
      </c>
      <c r="P1150" s="2">
        <v>0</v>
      </c>
      <c r="Q1150" s="2" t="s">
        <v>36</v>
      </c>
      <c r="R1150" s="2" t="s">
        <v>38</v>
      </c>
      <c r="S1150" s="2" t="s">
        <v>35</v>
      </c>
      <c r="T1150" s="2" t="s">
        <v>35</v>
      </c>
      <c r="U1150" s="2" t="s">
        <v>35</v>
      </c>
      <c r="V1150" s="2" t="b">
        <v>0</v>
      </c>
      <c r="W1150" s="2" t="s">
        <v>2933</v>
      </c>
      <c r="X1150" s="2" t="s">
        <v>35</v>
      </c>
      <c r="Y1150" s="2" t="s">
        <v>35</v>
      </c>
      <c r="Z1150" s="2" t="s">
        <v>35</v>
      </c>
    </row>
    <row r="1151" spans="1:26" x14ac:dyDescent="0.2">
      <c r="A1151" s="2" t="s">
        <v>9362</v>
      </c>
      <c r="B1151" s="2" t="b">
        <v>0</v>
      </c>
      <c r="C1151" s="2" t="b">
        <v>0</v>
      </c>
      <c r="D1151" s="2" t="b">
        <v>0</v>
      </c>
      <c r="E1151" s="2" t="b">
        <v>0</v>
      </c>
      <c r="F1151" s="2" t="s">
        <v>31</v>
      </c>
      <c r="G1151" s="2" t="s">
        <v>9363</v>
      </c>
      <c r="H1151" s="2" t="s">
        <v>9353</v>
      </c>
      <c r="I1151" s="2" t="s">
        <v>9354</v>
      </c>
      <c r="J1151" s="2" t="s">
        <v>35</v>
      </c>
      <c r="K1151" s="2" t="s">
        <v>35</v>
      </c>
      <c r="L1151" s="2" t="s">
        <v>35</v>
      </c>
      <c r="M1151" s="2" t="s">
        <v>35</v>
      </c>
      <c r="N1151" s="3">
        <v>44757.467868692132</v>
      </c>
      <c r="O1151" s="3">
        <v>44757.468535949076</v>
      </c>
      <c r="P1151" s="2">
        <v>0</v>
      </c>
      <c r="Q1151" s="2" t="s">
        <v>3157</v>
      </c>
      <c r="R1151" s="2" t="s">
        <v>38</v>
      </c>
      <c r="S1151" s="2" t="s">
        <v>35</v>
      </c>
      <c r="T1151" s="2">
        <v>86</v>
      </c>
      <c r="U1151" s="2" t="s">
        <v>35</v>
      </c>
      <c r="V1151" s="2" t="b">
        <v>0</v>
      </c>
      <c r="W1151" s="2" t="s">
        <v>35</v>
      </c>
      <c r="X1151" s="2" t="s">
        <v>35</v>
      </c>
      <c r="Y1151" s="2" t="s">
        <v>35</v>
      </c>
      <c r="Z1151" s="2" t="s">
        <v>35</v>
      </c>
    </row>
    <row r="1152" spans="1:26" x14ac:dyDescent="0.2">
      <c r="A1152" s="2" t="s">
        <v>9364</v>
      </c>
      <c r="B1152" s="2" t="b">
        <v>0</v>
      </c>
      <c r="C1152" s="2" t="b">
        <v>0</v>
      </c>
      <c r="D1152" s="2" t="b">
        <v>0</v>
      </c>
      <c r="E1152" s="2" t="b">
        <v>0</v>
      </c>
      <c r="F1152" s="2" t="s">
        <v>31</v>
      </c>
      <c r="G1152" s="2" t="s">
        <v>9365</v>
      </c>
      <c r="H1152" s="2" t="s">
        <v>9357</v>
      </c>
      <c r="I1152" s="2" t="s">
        <v>9358</v>
      </c>
      <c r="J1152" s="2" t="s">
        <v>35</v>
      </c>
      <c r="K1152" s="2" t="s">
        <v>35</v>
      </c>
      <c r="L1152" s="2" t="s">
        <v>35</v>
      </c>
      <c r="M1152" s="2" t="s">
        <v>35</v>
      </c>
      <c r="N1152" s="3">
        <v>44757.468699560188</v>
      </c>
      <c r="O1152" s="3">
        <v>44757.468905868052</v>
      </c>
      <c r="P1152" s="2">
        <v>0</v>
      </c>
      <c r="Q1152" s="2" t="s">
        <v>100</v>
      </c>
      <c r="R1152" s="2" t="s">
        <v>38</v>
      </c>
      <c r="S1152" s="2" t="s">
        <v>35</v>
      </c>
      <c r="T1152" s="2">
        <v>44</v>
      </c>
      <c r="U1152" s="2" t="s">
        <v>35</v>
      </c>
      <c r="V1152" s="2" t="b">
        <v>0</v>
      </c>
      <c r="W1152" s="2" t="s">
        <v>35</v>
      </c>
      <c r="X1152" s="2" t="s">
        <v>35</v>
      </c>
      <c r="Y1152" s="2" t="s">
        <v>35</v>
      </c>
      <c r="Z1152" s="2" t="s">
        <v>35</v>
      </c>
    </row>
    <row r="1153" spans="1:26" x14ac:dyDescent="0.2">
      <c r="A1153" s="2" t="s">
        <v>9366</v>
      </c>
      <c r="B1153" s="2" t="b">
        <v>0</v>
      </c>
      <c r="C1153" s="2" t="b">
        <v>0</v>
      </c>
      <c r="D1153" s="2" t="b">
        <v>0</v>
      </c>
      <c r="E1153" s="2" t="b">
        <v>0</v>
      </c>
      <c r="F1153" s="2" t="s">
        <v>31</v>
      </c>
      <c r="G1153" s="2" t="s">
        <v>9367</v>
      </c>
      <c r="H1153" s="2" t="s">
        <v>9249</v>
      </c>
      <c r="I1153" s="2" t="s">
        <v>35</v>
      </c>
      <c r="J1153" s="2" t="s">
        <v>35</v>
      </c>
      <c r="K1153" s="2" t="s">
        <v>35</v>
      </c>
      <c r="L1153" s="2" t="s">
        <v>35</v>
      </c>
      <c r="M1153" s="2" t="s">
        <v>35</v>
      </c>
      <c r="N1153" s="3">
        <v>44757.469008553242</v>
      </c>
      <c r="O1153" s="3">
        <v>44757.469277638891</v>
      </c>
      <c r="P1153" s="2">
        <v>0</v>
      </c>
      <c r="Q1153" s="2" t="s">
        <v>36</v>
      </c>
      <c r="R1153" s="2" t="s">
        <v>38</v>
      </c>
      <c r="S1153" s="2" t="s">
        <v>35</v>
      </c>
      <c r="T1153" s="2" t="s">
        <v>35</v>
      </c>
      <c r="U1153" s="2" t="s">
        <v>35</v>
      </c>
      <c r="V1153" s="2" t="b">
        <v>0</v>
      </c>
      <c r="W1153" s="2" t="s">
        <v>2933</v>
      </c>
      <c r="X1153" s="2" t="s">
        <v>35</v>
      </c>
      <c r="Y1153" s="2" t="s">
        <v>35</v>
      </c>
      <c r="Z1153" s="2" t="s">
        <v>35</v>
      </c>
    </row>
    <row r="1154" spans="1:26" x14ac:dyDescent="0.2">
      <c r="A1154" s="2" t="s">
        <v>9368</v>
      </c>
      <c r="B1154" s="2" t="b">
        <v>0</v>
      </c>
      <c r="C1154" s="2" t="b">
        <v>0</v>
      </c>
      <c r="D1154" s="2" t="b">
        <v>0</v>
      </c>
      <c r="E1154" s="2" t="b">
        <v>0</v>
      </c>
      <c r="F1154" s="2" t="s">
        <v>31</v>
      </c>
      <c r="G1154" s="2" t="s">
        <v>9369</v>
      </c>
      <c r="H1154" s="2" t="s">
        <v>9357</v>
      </c>
      <c r="I1154" s="2" t="s">
        <v>9370</v>
      </c>
      <c r="J1154" s="2" t="s">
        <v>35</v>
      </c>
      <c r="K1154" s="2" t="s">
        <v>35</v>
      </c>
      <c r="L1154" s="2">
        <v>15</v>
      </c>
      <c r="M1154" s="2">
        <v>15</v>
      </c>
      <c r="N1154" s="3">
        <v>44757.479194490741</v>
      </c>
      <c r="O1154" s="3">
        <v>44757.479607488429</v>
      </c>
      <c r="P1154" s="2">
        <v>0</v>
      </c>
      <c r="Q1154" s="2" t="s">
        <v>54</v>
      </c>
      <c r="R1154" s="2" t="s">
        <v>38</v>
      </c>
      <c r="S1154" s="2" t="s">
        <v>35</v>
      </c>
      <c r="T1154" s="2" t="s">
        <v>35</v>
      </c>
      <c r="U1154" s="2" t="s">
        <v>35</v>
      </c>
      <c r="V1154" s="2" t="b">
        <v>1</v>
      </c>
      <c r="W1154" s="2" t="s">
        <v>35</v>
      </c>
      <c r="X1154" s="2" t="s">
        <v>35</v>
      </c>
      <c r="Y1154" s="2" t="s">
        <v>35</v>
      </c>
      <c r="Z1154" s="2" t="s">
        <v>35</v>
      </c>
    </row>
    <row r="1155" spans="1:26" x14ac:dyDescent="0.2">
      <c r="A1155" s="2" t="s">
        <v>2837</v>
      </c>
      <c r="B1155" s="2" t="b">
        <v>0</v>
      </c>
      <c r="C1155" s="2" t="b">
        <v>0</v>
      </c>
      <c r="D1155" s="2" t="b">
        <v>0</v>
      </c>
      <c r="E1155" s="2" t="b">
        <v>0</v>
      </c>
      <c r="F1155" s="2" t="s">
        <v>31</v>
      </c>
      <c r="G1155" s="2" t="s">
        <v>2838</v>
      </c>
      <c r="H1155" s="2" t="s">
        <v>2839</v>
      </c>
      <c r="I1155" s="2" t="s">
        <v>35</v>
      </c>
      <c r="J1155" s="2" t="s">
        <v>35</v>
      </c>
      <c r="K1155" s="2" t="s">
        <v>35</v>
      </c>
      <c r="L1155" s="2" t="s">
        <v>35</v>
      </c>
      <c r="M1155" s="2" t="s">
        <v>35</v>
      </c>
      <c r="N1155" s="3">
        <v>44762.351698969906</v>
      </c>
      <c r="O1155" s="3">
        <v>44762.351894618056</v>
      </c>
      <c r="P1155" s="2">
        <v>0</v>
      </c>
      <c r="Q1155" s="2" t="s">
        <v>36</v>
      </c>
      <c r="R1155" s="2" t="s">
        <v>38</v>
      </c>
      <c r="S1155" s="2" t="s">
        <v>35</v>
      </c>
      <c r="T1155" s="2" t="s">
        <v>35</v>
      </c>
      <c r="U1155" s="2" t="s">
        <v>35</v>
      </c>
      <c r="V1155" s="2" t="b">
        <v>0</v>
      </c>
      <c r="W1155" s="2" t="s">
        <v>35</v>
      </c>
      <c r="X1155" s="2" t="s">
        <v>35</v>
      </c>
      <c r="Y1155" s="2" t="s">
        <v>35</v>
      </c>
      <c r="Z1155" s="2">
        <v>3</v>
      </c>
    </row>
    <row r="1156" spans="1:26" x14ac:dyDescent="0.2">
      <c r="A1156" s="2" t="s">
        <v>2841</v>
      </c>
      <c r="B1156" s="2" t="b">
        <v>0</v>
      </c>
      <c r="C1156" s="2" t="b">
        <v>0</v>
      </c>
      <c r="D1156" s="2" t="b">
        <v>0</v>
      </c>
      <c r="E1156" s="2" t="b">
        <v>0</v>
      </c>
      <c r="F1156" s="2" t="s">
        <v>31</v>
      </c>
      <c r="G1156" s="2" t="s">
        <v>2842</v>
      </c>
      <c r="H1156" s="2" t="s">
        <v>2843</v>
      </c>
      <c r="I1156" s="2" t="s">
        <v>35</v>
      </c>
      <c r="J1156" s="2" t="s">
        <v>35</v>
      </c>
      <c r="K1156" s="2">
        <v>16</v>
      </c>
      <c r="L1156" s="2" t="s">
        <v>35</v>
      </c>
      <c r="M1156" s="2" t="s">
        <v>35</v>
      </c>
      <c r="N1156" s="3">
        <v>44762.352912627313</v>
      </c>
      <c r="O1156" s="3">
        <v>44762.353275960646</v>
      </c>
      <c r="P1156" s="2">
        <v>0</v>
      </c>
      <c r="Q1156" s="2" t="s">
        <v>265</v>
      </c>
      <c r="R1156" s="2" t="s">
        <v>38</v>
      </c>
      <c r="S1156" s="2" t="s">
        <v>35</v>
      </c>
      <c r="T1156" s="2" t="s">
        <v>35</v>
      </c>
      <c r="U1156" s="2" t="s">
        <v>35</v>
      </c>
      <c r="V1156" s="2" t="b">
        <v>0</v>
      </c>
      <c r="W1156" s="2" t="s">
        <v>35</v>
      </c>
      <c r="X1156" s="2" t="s">
        <v>35</v>
      </c>
      <c r="Y1156" s="2" t="s">
        <v>35</v>
      </c>
      <c r="Z1156" s="2" t="s">
        <v>35</v>
      </c>
    </row>
    <row r="1157" spans="1:26" x14ac:dyDescent="0.2">
      <c r="A1157" s="2" t="s">
        <v>2844</v>
      </c>
      <c r="B1157" s="2" t="b">
        <v>0</v>
      </c>
      <c r="C1157" s="2" t="b">
        <v>0</v>
      </c>
      <c r="D1157" s="2" t="b">
        <v>0</v>
      </c>
      <c r="E1157" s="2" t="b">
        <v>0</v>
      </c>
      <c r="F1157" s="2" t="s">
        <v>31</v>
      </c>
      <c r="G1157" s="2" t="s">
        <v>2845</v>
      </c>
      <c r="H1157" s="2" t="s">
        <v>2846</v>
      </c>
      <c r="I1157" s="2" t="s">
        <v>35</v>
      </c>
      <c r="J1157" s="2" t="s">
        <v>35</v>
      </c>
      <c r="K1157" s="2" t="s">
        <v>35</v>
      </c>
      <c r="L1157" s="2">
        <v>12</v>
      </c>
      <c r="M1157" s="2">
        <v>17</v>
      </c>
      <c r="N1157" s="3">
        <v>44762.35333445602</v>
      </c>
      <c r="O1157" s="3">
        <v>44762.353851678243</v>
      </c>
      <c r="P1157" s="2">
        <v>0</v>
      </c>
      <c r="Q1157" s="2" t="s">
        <v>54</v>
      </c>
      <c r="R1157" s="2" t="s">
        <v>38</v>
      </c>
      <c r="S1157" s="2" t="s">
        <v>35</v>
      </c>
      <c r="T1157" s="2" t="s">
        <v>35</v>
      </c>
      <c r="U1157" s="2" t="s">
        <v>35</v>
      </c>
      <c r="V1157" s="2" t="b">
        <v>0</v>
      </c>
      <c r="W1157" s="2" t="s">
        <v>35</v>
      </c>
      <c r="X1157" s="2" t="s">
        <v>35</v>
      </c>
      <c r="Y1157" s="2" t="s">
        <v>35</v>
      </c>
      <c r="Z1157" s="2" t="s">
        <v>35</v>
      </c>
    </row>
    <row r="1158" spans="1:26" x14ac:dyDescent="0.2">
      <c r="A1158" s="2" t="s">
        <v>2847</v>
      </c>
      <c r="B1158" s="2" t="b">
        <v>0</v>
      </c>
      <c r="C1158" s="2" t="b">
        <v>0</v>
      </c>
      <c r="D1158" s="2" t="b">
        <v>0</v>
      </c>
      <c r="E1158" s="2" t="b">
        <v>0</v>
      </c>
      <c r="F1158" s="2" t="s">
        <v>31</v>
      </c>
      <c r="G1158" s="2" t="s">
        <v>2848</v>
      </c>
      <c r="H1158" s="2" t="s">
        <v>2849</v>
      </c>
      <c r="I1158" s="2" t="s">
        <v>35</v>
      </c>
      <c r="J1158" s="2" t="s">
        <v>35</v>
      </c>
      <c r="K1158" s="2" t="s">
        <v>35</v>
      </c>
      <c r="L1158" s="2">
        <v>12</v>
      </c>
      <c r="M1158" s="2">
        <v>17</v>
      </c>
      <c r="N1158" s="3">
        <v>44762.35408420139</v>
      </c>
      <c r="O1158" s="3">
        <v>44762.354546122682</v>
      </c>
      <c r="P1158" s="2">
        <v>0</v>
      </c>
      <c r="Q1158" s="2" t="s">
        <v>54</v>
      </c>
      <c r="R1158" s="2" t="s">
        <v>38</v>
      </c>
      <c r="S1158" s="2" t="s">
        <v>35</v>
      </c>
      <c r="T1158" s="2" t="s">
        <v>35</v>
      </c>
      <c r="U1158" s="2" t="s">
        <v>35</v>
      </c>
      <c r="V1158" s="2" t="b">
        <v>0</v>
      </c>
      <c r="W1158" s="2" t="s">
        <v>35</v>
      </c>
      <c r="X1158" s="2" t="s">
        <v>35</v>
      </c>
      <c r="Y1158" s="2" t="s">
        <v>35</v>
      </c>
      <c r="Z1158" s="2" t="s">
        <v>35</v>
      </c>
    </row>
    <row r="1159" spans="1:26" x14ac:dyDescent="0.2">
      <c r="A1159" s="2" t="s">
        <v>2850</v>
      </c>
      <c r="B1159" s="2" t="b">
        <v>0</v>
      </c>
      <c r="C1159" s="2" t="b">
        <v>0</v>
      </c>
      <c r="D1159" s="2" t="b">
        <v>0</v>
      </c>
      <c r="E1159" s="2" t="b">
        <v>0</v>
      </c>
      <c r="F1159" s="2" t="s">
        <v>31</v>
      </c>
      <c r="G1159" s="2" t="s">
        <v>2851</v>
      </c>
      <c r="H1159" s="2" t="s">
        <v>2852</v>
      </c>
      <c r="I1159" s="2" t="s">
        <v>35</v>
      </c>
      <c r="J1159" s="2" t="s">
        <v>35</v>
      </c>
      <c r="K1159" s="2">
        <v>20</v>
      </c>
      <c r="L1159" s="2" t="s">
        <v>35</v>
      </c>
      <c r="M1159" s="2" t="s">
        <v>35</v>
      </c>
      <c r="N1159" s="3">
        <v>44762.355308287035</v>
      </c>
      <c r="O1159" s="3">
        <v>44762.355536886571</v>
      </c>
      <c r="P1159" s="2">
        <v>0</v>
      </c>
      <c r="Q1159" s="2" t="s">
        <v>265</v>
      </c>
      <c r="R1159" s="2" t="s">
        <v>38</v>
      </c>
      <c r="S1159" s="2" t="s">
        <v>35</v>
      </c>
      <c r="T1159" s="2" t="s">
        <v>35</v>
      </c>
      <c r="U1159" s="2" t="s">
        <v>35</v>
      </c>
      <c r="V1159" s="2" t="b">
        <v>0</v>
      </c>
      <c r="W1159" s="2" t="s">
        <v>35</v>
      </c>
      <c r="X1159" s="2" t="s">
        <v>35</v>
      </c>
      <c r="Y1159" s="2" t="s">
        <v>35</v>
      </c>
      <c r="Z1159" s="2" t="s">
        <v>35</v>
      </c>
    </row>
    <row r="1160" spans="1:26" x14ac:dyDescent="0.2">
      <c r="A1160" s="2" t="s">
        <v>2853</v>
      </c>
      <c r="B1160" s="2" t="b">
        <v>0</v>
      </c>
      <c r="C1160" s="2" t="b">
        <v>0</v>
      </c>
      <c r="D1160" s="2" t="b">
        <v>0</v>
      </c>
      <c r="E1160" s="2" t="b">
        <v>0</v>
      </c>
      <c r="F1160" s="2" t="s">
        <v>31</v>
      </c>
      <c r="G1160" s="2" t="s">
        <v>2854</v>
      </c>
      <c r="H1160" s="2" t="s">
        <v>2855</v>
      </c>
      <c r="I1160" s="2" t="s">
        <v>35</v>
      </c>
      <c r="J1160" s="2" t="s">
        <v>35</v>
      </c>
      <c r="K1160" s="2" t="s">
        <v>35</v>
      </c>
      <c r="L1160" s="2">
        <v>12</v>
      </c>
      <c r="M1160" s="2">
        <v>17</v>
      </c>
      <c r="N1160" s="3">
        <v>44762.355622106479</v>
      </c>
      <c r="O1160" s="3">
        <v>44762.355790208334</v>
      </c>
      <c r="P1160" s="2">
        <v>0</v>
      </c>
      <c r="Q1160" s="2" t="s">
        <v>54</v>
      </c>
      <c r="R1160" s="2" t="s">
        <v>38</v>
      </c>
      <c r="S1160" s="2" t="s">
        <v>35</v>
      </c>
      <c r="T1160" s="2" t="s">
        <v>35</v>
      </c>
      <c r="U1160" s="2" t="s">
        <v>35</v>
      </c>
      <c r="V1160" s="2" t="b">
        <v>0</v>
      </c>
      <c r="W1160" s="2" t="s">
        <v>35</v>
      </c>
      <c r="X1160" s="2" t="s">
        <v>35</v>
      </c>
      <c r="Y1160" s="2" t="s">
        <v>35</v>
      </c>
      <c r="Z1160" s="2" t="s">
        <v>35</v>
      </c>
    </row>
    <row r="1161" spans="1:26" x14ac:dyDescent="0.2">
      <c r="A1161" s="2" t="s">
        <v>2856</v>
      </c>
      <c r="B1161" s="2" t="b">
        <v>0</v>
      </c>
      <c r="C1161" s="2" t="b">
        <v>0</v>
      </c>
      <c r="D1161" s="2" t="b">
        <v>0</v>
      </c>
      <c r="E1161" s="2" t="b">
        <v>0</v>
      </c>
      <c r="F1161" s="2" t="s">
        <v>31</v>
      </c>
      <c r="G1161" s="2" t="s">
        <v>2857</v>
      </c>
      <c r="H1161" s="2" t="s">
        <v>2858</v>
      </c>
      <c r="I1161" s="2" t="s">
        <v>35</v>
      </c>
      <c r="J1161" s="2" t="s">
        <v>35</v>
      </c>
      <c r="K1161" s="2" t="s">
        <v>35</v>
      </c>
      <c r="L1161" s="2">
        <v>12</v>
      </c>
      <c r="M1161" s="2">
        <v>17</v>
      </c>
      <c r="N1161" s="3">
        <v>44762.355863854165</v>
      </c>
      <c r="O1161" s="3">
        <v>44762.355998981482</v>
      </c>
      <c r="P1161" s="2">
        <v>0</v>
      </c>
      <c r="Q1161" s="2" t="s">
        <v>54</v>
      </c>
      <c r="R1161" s="2" t="s">
        <v>38</v>
      </c>
      <c r="S1161" s="2" t="s">
        <v>35</v>
      </c>
      <c r="T1161" s="2" t="s">
        <v>35</v>
      </c>
      <c r="U1161" s="2" t="s">
        <v>35</v>
      </c>
      <c r="V1161" s="2" t="b">
        <v>0</v>
      </c>
      <c r="W1161" s="2" t="s">
        <v>35</v>
      </c>
      <c r="X1161" s="2" t="s">
        <v>35</v>
      </c>
      <c r="Y1161" s="2" t="s">
        <v>35</v>
      </c>
      <c r="Z1161" s="2" t="s">
        <v>35</v>
      </c>
    </row>
    <row r="1162" spans="1:26" x14ac:dyDescent="0.2">
      <c r="A1162" s="2" t="s">
        <v>2859</v>
      </c>
      <c r="B1162" s="2" t="b">
        <v>0</v>
      </c>
      <c r="C1162" s="2" t="b">
        <v>0</v>
      </c>
      <c r="D1162" s="2" t="b">
        <v>0</v>
      </c>
      <c r="E1162" s="2" t="b">
        <v>0</v>
      </c>
      <c r="F1162" s="2" t="s">
        <v>31</v>
      </c>
      <c r="G1162" s="2" t="s">
        <v>2860</v>
      </c>
      <c r="H1162" s="2" t="s">
        <v>2861</v>
      </c>
      <c r="I1162" s="2" t="s">
        <v>35</v>
      </c>
      <c r="J1162" s="2" t="s">
        <v>35</v>
      </c>
      <c r="K1162" s="2" t="s">
        <v>35</v>
      </c>
      <c r="L1162" s="2" t="s">
        <v>35</v>
      </c>
      <c r="M1162" s="2" t="s">
        <v>35</v>
      </c>
      <c r="N1162" s="3">
        <v>44762.356313506942</v>
      </c>
      <c r="O1162" s="3">
        <v>44762.356478715279</v>
      </c>
      <c r="P1162" s="2">
        <v>0</v>
      </c>
      <c r="Q1162" s="2" t="s">
        <v>36</v>
      </c>
      <c r="R1162" s="2" t="s">
        <v>38</v>
      </c>
      <c r="S1162" s="2" t="s">
        <v>35</v>
      </c>
      <c r="T1162" s="2" t="s">
        <v>35</v>
      </c>
      <c r="U1162" s="2" t="s">
        <v>35</v>
      </c>
      <c r="V1162" s="2" t="b">
        <v>0</v>
      </c>
      <c r="W1162" s="2" t="s">
        <v>35</v>
      </c>
      <c r="X1162" s="2" t="s">
        <v>35</v>
      </c>
      <c r="Y1162" s="2" t="s">
        <v>35</v>
      </c>
      <c r="Z1162" s="2">
        <v>3</v>
      </c>
    </row>
    <row r="1163" spans="1:26" x14ac:dyDescent="0.2">
      <c r="A1163" s="2" t="s">
        <v>2862</v>
      </c>
      <c r="B1163" s="2" t="b">
        <v>0</v>
      </c>
      <c r="C1163" s="2" t="b">
        <v>0</v>
      </c>
      <c r="D1163" s="2" t="b">
        <v>0</v>
      </c>
      <c r="E1163" s="2" t="b">
        <v>0</v>
      </c>
      <c r="F1163" s="2" t="s">
        <v>31</v>
      </c>
      <c r="G1163" s="2" t="s">
        <v>2863</v>
      </c>
      <c r="H1163" s="2" t="s">
        <v>2864</v>
      </c>
      <c r="I1163" s="2" t="s">
        <v>675</v>
      </c>
      <c r="J1163" s="2" t="s">
        <v>35</v>
      </c>
      <c r="K1163" s="2" t="s">
        <v>35</v>
      </c>
      <c r="L1163" s="2" t="s">
        <v>35</v>
      </c>
      <c r="M1163" s="2" t="s">
        <v>35</v>
      </c>
      <c r="N1163" s="3">
        <v>44762.356832685182</v>
      </c>
      <c r="O1163" s="3">
        <v>44762.357148530093</v>
      </c>
      <c r="P1163" s="2">
        <v>0</v>
      </c>
      <c r="Q1163" s="2" t="s">
        <v>124</v>
      </c>
      <c r="R1163" s="2" t="s">
        <v>38</v>
      </c>
      <c r="S1163" s="2" t="s">
        <v>35</v>
      </c>
      <c r="T1163" s="2" t="s">
        <v>35</v>
      </c>
      <c r="U1163" s="2" t="s">
        <v>35</v>
      </c>
      <c r="V1163" s="2" t="b">
        <v>0</v>
      </c>
      <c r="W1163" s="2" t="s">
        <v>35</v>
      </c>
      <c r="X1163" s="2">
        <v>4</v>
      </c>
      <c r="Y1163" s="2" t="s">
        <v>35</v>
      </c>
      <c r="Z1163" s="2" t="s">
        <v>35</v>
      </c>
    </row>
    <row r="1164" spans="1:26" x14ac:dyDescent="0.2">
      <c r="A1164" s="2" t="s">
        <v>2865</v>
      </c>
      <c r="B1164" s="2" t="b">
        <v>0</v>
      </c>
      <c r="C1164" s="2" t="b">
        <v>0</v>
      </c>
      <c r="D1164" s="2" t="b">
        <v>0</v>
      </c>
      <c r="E1164" s="2" t="b">
        <v>0</v>
      </c>
      <c r="F1164" s="2" t="s">
        <v>31</v>
      </c>
      <c r="G1164" s="2" t="s">
        <v>2866</v>
      </c>
      <c r="H1164" s="2" t="s">
        <v>2867</v>
      </c>
      <c r="I1164" s="2" t="s">
        <v>35</v>
      </c>
      <c r="J1164" s="2" t="s">
        <v>35</v>
      </c>
      <c r="K1164" s="2" t="s">
        <v>35</v>
      </c>
      <c r="L1164" s="2" t="s">
        <v>35</v>
      </c>
      <c r="M1164" s="2" t="s">
        <v>35</v>
      </c>
      <c r="N1164" s="3">
        <v>44762.358703576392</v>
      </c>
      <c r="O1164" s="3">
        <v>44762.358811030092</v>
      </c>
      <c r="P1164" s="2">
        <v>0</v>
      </c>
      <c r="Q1164" s="2" t="s">
        <v>36</v>
      </c>
      <c r="R1164" s="2" t="s">
        <v>38</v>
      </c>
      <c r="S1164" s="2" t="s">
        <v>35</v>
      </c>
      <c r="T1164" s="2" t="s">
        <v>35</v>
      </c>
      <c r="U1164" s="2" t="s">
        <v>35</v>
      </c>
      <c r="V1164" s="2" t="b">
        <v>0</v>
      </c>
      <c r="W1164" s="2" t="s">
        <v>35</v>
      </c>
      <c r="X1164" s="2" t="s">
        <v>35</v>
      </c>
      <c r="Y1164" s="2" t="s">
        <v>35</v>
      </c>
      <c r="Z1164" s="2">
        <v>3</v>
      </c>
    </row>
    <row r="1165" spans="1:26" x14ac:dyDescent="0.2">
      <c r="A1165" s="2" t="s">
        <v>2868</v>
      </c>
      <c r="B1165" s="2" t="b">
        <v>0</v>
      </c>
      <c r="C1165" s="2" t="b">
        <v>0</v>
      </c>
      <c r="D1165" s="2" t="b">
        <v>0</v>
      </c>
      <c r="E1165" s="2" t="b">
        <v>0</v>
      </c>
      <c r="F1165" s="2" t="s">
        <v>31</v>
      </c>
      <c r="G1165" s="2" t="s">
        <v>2869</v>
      </c>
      <c r="H1165" s="2" t="s">
        <v>2870</v>
      </c>
      <c r="I1165" s="2" t="s">
        <v>35</v>
      </c>
      <c r="J1165" s="2" t="s">
        <v>35</v>
      </c>
      <c r="K1165" s="2" t="s">
        <v>35</v>
      </c>
      <c r="L1165" s="2" t="s">
        <v>35</v>
      </c>
      <c r="M1165" s="2" t="s">
        <v>35</v>
      </c>
      <c r="N1165" s="3">
        <v>44762.359009259257</v>
      </c>
      <c r="O1165" s="3">
        <v>44762.359150289354</v>
      </c>
      <c r="P1165" s="2">
        <v>0</v>
      </c>
      <c r="Q1165" s="2" t="s">
        <v>36</v>
      </c>
      <c r="R1165" s="2" t="s">
        <v>38</v>
      </c>
      <c r="S1165" s="2" t="s">
        <v>35</v>
      </c>
      <c r="T1165" s="2" t="s">
        <v>35</v>
      </c>
      <c r="U1165" s="2" t="s">
        <v>35</v>
      </c>
      <c r="V1165" s="2" t="b">
        <v>0</v>
      </c>
      <c r="W1165" s="2" t="s">
        <v>35</v>
      </c>
      <c r="X1165" s="2" t="s">
        <v>35</v>
      </c>
      <c r="Y1165" s="2" t="s">
        <v>35</v>
      </c>
      <c r="Z1165" s="2">
        <v>3</v>
      </c>
    </row>
    <row r="1166" spans="1:26" x14ac:dyDescent="0.2">
      <c r="A1166" s="2" t="s">
        <v>2871</v>
      </c>
      <c r="B1166" s="2" t="b">
        <v>0</v>
      </c>
      <c r="C1166" s="2" t="b">
        <v>0</v>
      </c>
      <c r="D1166" s="2" t="b">
        <v>0</v>
      </c>
      <c r="E1166" s="2" t="b">
        <v>0</v>
      </c>
      <c r="F1166" s="2" t="s">
        <v>31</v>
      </c>
      <c r="G1166" s="2" t="s">
        <v>2872</v>
      </c>
      <c r="H1166" s="2" t="s">
        <v>2873</v>
      </c>
      <c r="I1166" s="2" t="s">
        <v>35</v>
      </c>
      <c r="J1166" s="2" t="s">
        <v>35</v>
      </c>
      <c r="K1166" s="2" t="s">
        <v>35</v>
      </c>
      <c r="L1166" s="2" t="s">
        <v>35</v>
      </c>
      <c r="M1166" s="2" t="s">
        <v>35</v>
      </c>
      <c r="N1166" s="3">
        <v>44762.359519143516</v>
      </c>
      <c r="O1166" s="3">
        <v>44762.359689861114</v>
      </c>
      <c r="P1166" s="2">
        <v>0</v>
      </c>
      <c r="Q1166" s="2" t="s">
        <v>36</v>
      </c>
      <c r="R1166" s="2" t="s">
        <v>38</v>
      </c>
      <c r="S1166" s="2" t="s">
        <v>35</v>
      </c>
      <c r="T1166" s="2" t="s">
        <v>35</v>
      </c>
      <c r="U1166" s="2" t="s">
        <v>35</v>
      </c>
      <c r="V1166" s="2" t="b">
        <v>0</v>
      </c>
      <c r="W1166" s="2" t="s">
        <v>35</v>
      </c>
      <c r="X1166" s="2" t="s">
        <v>35</v>
      </c>
      <c r="Y1166" s="2" t="s">
        <v>35</v>
      </c>
      <c r="Z1166" s="2">
        <v>3</v>
      </c>
    </row>
    <row r="1167" spans="1:26" x14ac:dyDescent="0.2">
      <c r="A1167" s="2" t="s">
        <v>2874</v>
      </c>
      <c r="B1167" s="2" t="b">
        <v>0</v>
      </c>
      <c r="C1167" s="2" t="b">
        <v>0</v>
      </c>
      <c r="D1167" s="2" t="b">
        <v>0</v>
      </c>
      <c r="E1167" s="2" t="b">
        <v>0</v>
      </c>
      <c r="F1167" s="2" t="s">
        <v>31</v>
      </c>
      <c r="G1167" s="2" t="s">
        <v>2875</v>
      </c>
      <c r="H1167" s="2" t="s">
        <v>2876</v>
      </c>
      <c r="I1167" s="2" t="s">
        <v>2877</v>
      </c>
      <c r="J1167" s="2" t="s">
        <v>35</v>
      </c>
      <c r="K1167" s="2" t="s">
        <v>35</v>
      </c>
      <c r="L1167" s="2">
        <v>3</v>
      </c>
      <c r="M1167" s="2">
        <v>13</v>
      </c>
      <c r="N1167" s="3">
        <v>44762.360608587966</v>
      </c>
      <c r="O1167" s="3">
        <v>44762.361050347223</v>
      </c>
      <c r="P1167" s="2">
        <v>0</v>
      </c>
      <c r="Q1167" s="2" t="s">
        <v>54</v>
      </c>
      <c r="R1167" s="2" t="s">
        <v>38</v>
      </c>
      <c r="S1167" s="2" t="s">
        <v>35</v>
      </c>
      <c r="T1167" s="2" t="s">
        <v>35</v>
      </c>
      <c r="U1167" s="2" t="s">
        <v>35</v>
      </c>
      <c r="V1167" s="2" t="b">
        <v>1</v>
      </c>
      <c r="W1167" s="2" t="s">
        <v>35</v>
      </c>
      <c r="X1167" s="2" t="s">
        <v>35</v>
      </c>
      <c r="Y1167" s="2" t="s">
        <v>35</v>
      </c>
      <c r="Z1167" s="2" t="s">
        <v>35</v>
      </c>
    </row>
    <row r="1168" spans="1:26" x14ac:dyDescent="0.2">
      <c r="A1168" s="2" t="s">
        <v>2878</v>
      </c>
      <c r="B1168" s="2" t="b">
        <v>0</v>
      </c>
      <c r="C1168" s="2" t="b">
        <v>0</v>
      </c>
      <c r="D1168" s="2" t="b">
        <v>0</v>
      </c>
      <c r="E1168" s="2" t="b">
        <v>0</v>
      </c>
      <c r="F1168" s="2" t="s">
        <v>31</v>
      </c>
      <c r="G1168" s="2" t="s">
        <v>2879</v>
      </c>
      <c r="H1168" s="2" t="s">
        <v>2880</v>
      </c>
      <c r="I1168" s="2" t="s">
        <v>2881</v>
      </c>
      <c r="J1168" s="2" t="s">
        <v>35</v>
      </c>
      <c r="K1168" s="2" t="s">
        <v>35</v>
      </c>
      <c r="L1168" s="2">
        <v>3</v>
      </c>
      <c r="M1168" s="2">
        <v>14</v>
      </c>
      <c r="N1168" s="3">
        <v>44762.361407280092</v>
      </c>
      <c r="O1168" s="3">
        <v>44762.361780567131</v>
      </c>
      <c r="P1168" s="2">
        <v>0</v>
      </c>
      <c r="Q1168" s="2" t="s">
        <v>54</v>
      </c>
      <c r="R1168" s="2" t="s">
        <v>38</v>
      </c>
      <c r="S1168" s="2" t="s">
        <v>35</v>
      </c>
      <c r="T1168" s="2" t="s">
        <v>35</v>
      </c>
      <c r="U1168" s="2" t="s">
        <v>35</v>
      </c>
      <c r="V1168" s="2" t="b">
        <v>1</v>
      </c>
      <c r="W1168" s="2" t="s">
        <v>35</v>
      </c>
      <c r="X1168" s="2" t="s">
        <v>35</v>
      </c>
      <c r="Y1168" s="2" t="s">
        <v>35</v>
      </c>
      <c r="Z1168" s="2" t="s">
        <v>35</v>
      </c>
    </row>
    <row r="1169" spans="1:26" x14ac:dyDescent="0.2">
      <c r="A1169" s="2" t="s">
        <v>2882</v>
      </c>
      <c r="B1169" s="2" t="b">
        <v>0</v>
      </c>
      <c r="C1169" s="2" t="b">
        <v>0</v>
      </c>
      <c r="D1169" s="2" t="b">
        <v>0</v>
      </c>
      <c r="E1169" s="2" t="b">
        <v>0</v>
      </c>
      <c r="F1169" s="2" t="s">
        <v>31</v>
      </c>
      <c r="G1169" s="2" t="s">
        <v>2883</v>
      </c>
      <c r="H1169" s="2" t="s">
        <v>2884</v>
      </c>
      <c r="I1169" s="2" t="s">
        <v>35</v>
      </c>
      <c r="J1169" s="2" t="s">
        <v>35</v>
      </c>
      <c r="K1169" s="2" t="s">
        <v>35</v>
      </c>
      <c r="L1169" s="2" t="s">
        <v>35</v>
      </c>
      <c r="M1169" s="2" t="s">
        <v>35</v>
      </c>
      <c r="N1169" s="3">
        <v>44762.361862291669</v>
      </c>
      <c r="O1169" s="3">
        <v>44762.362192581022</v>
      </c>
      <c r="P1169" s="2">
        <v>0</v>
      </c>
      <c r="Q1169" s="2" t="s">
        <v>36</v>
      </c>
      <c r="R1169" s="2" t="s">
        <v>38</v>
      </c>
      <c r="S1169" s="2" t="s">
        <v>35</v>
      </c>
      <c r="T1169" s="2" t="s">
        <v>35</v>
      </c>
      <c r="U1169" s="2" t="s">
        <v>35</v>
      </c>
      <c r="V1169" s="2" t="b">
        <v>0</v>
      </c>
      <c r="W1169" s="2" t="s">
        <v>35</v>
      </c>
      <c r="X1169" s="2" t="s">
        <v>35</v>
      </c>
      <c r="Y1169" s="2" t="s">
        <v>35</v>
      </c>
      <c r="Z1169" s="2">
        <v>3</v>
      </c>
    </row>
    <row r="1170" spans="1:26" x14ac:dyDescent="0.2">
      <c r="A1170" s="2" t="s">
        <v>2885</v>
      </c>
      <c r="B1170" s="2" t="b">
        <v>0</v>
      </c>
      <c r="C1170" s="2" t="b">
        <v>0</v>
      </c>
      <c r="D1170" s="2" t="b">
        <v>0</v>
      </c>
      <c r="E1170" s="2" t="b">
        <v>0</v>
      </c>
      <c r="F1170" s="2" t="s">
        <v>31</v>
      </c>
      <c r="G1170" s="2" t="s">
        <v>2886</v>
      </c>
      <c r="H1170" s="2" t="s">
        <v>2887</v>
      </c>
      <c r="I1170" s="2" t="s">
        <v>675</v>
      </c>
      <c r="J1170" s="2" t="s">
        <v>35</v>
      </c>
      <c r="K1170" s="2" t="s">
        <v>35</v>
      </c>
      <c r="L1170" s="2" t="s">
        <v>35</v>
      </c>
      <c r="M1170" s="2" t="s">
        <v>35</v>
      </c>
      <c r="N1170" s="3">
        <v>44762.36224318287</v>
      </c>
      <c r="O1170" s="3">
        <v>44762.362649756942</v>
      </c>
      <c r="P1170" s="2">
        <v>0</v>
      </c>
      <c r="Q1170" s="2" t="s">
        <v>124</v>
      </c>
      <c r="R1170" s="2" t="s">
        <v>38</v>
      </c>
      <c r="S1170" s="2" t="s">
        <v>35</v>
      </c>
      <c r="T1170" s="2" t="s">
        <v>35</v>
      </c>
      <c r="U1170" s="2" t="s">
        <v>35</v>
      </c>
      <c r="V1170" s="2" t="b">
        <v>0</v>
      </c>
      <c r="W1170" s="2" t="s">
        <v>35</v>
      </c>
      <c r="X1170" s="2">
        <v>4</v>
      </c>
      <c r="Y1170" s="2" t="s">
        <v>35</v>
      </c>
      <c r="Z1170" s="2" t="s">
        <v>35</v>
      </c>
    </row>
    <row r="1171" spans="1:26" x14ac:dyDescent="0.2">
      <c r="A1171" s="2" t="s">
        <v>2888</v>
      </c>
      <c r="B1171" s="2" t="b">
        <v>0</v>
      </c>
      <c r="C1171" s="2" t="b">
        <v>0</v>
      </c>
      <c r="D1171" s="2" t="b">
        <v>0</v>
      </c>
      <c r="E1171" s="2" t="b">
        <v>0</v>
      </c>
      <c r="F1171" s="2" t="s">
        <v>31</v>
      </c>
      <c r="G1171" s="2" t="s">
        <v>2889</v>
      </c>
      <c r="H1171" s="2" t="s">
        <v>2890</v>
      </c>
      <c r="I1171" s="2" t="s">
        <v>35</v>
      </c>
      <c r="J1171" s="2" t="s">
        <v>35</v>
      </c>
      <c r="K1171" s="2" t="s">
        <v>35</v>
      </c>
      <c r="L1171" s="2">
        <v>4</v>
      </c>
      <c r="M1171" s="2">
        <v>14</v>
      </c>
      <c r="N1171" s="3">
        <v>44762.362798680559</v>
      </c>
      <c r="O1171" s="3">
        <v>44762.362937175923</v>
      </c>
      <c r="P1171" s="2">
        <v>0</v>
      </c>
      <c r="Q1171" s="2" t="s">
        <v>54</v>
      </c>
      <c r="R1171" s="2" t="s">
        <v>38</v>
      </c>
      <c r="S1171" s="2" t="s">
        <v>35</v>
      </c>
      <c r="T1171" s="2" t="s">
        <v>35</v>
      </c>
      <c r="U1171" s="2" t="s">
        <v>35</v>
      </c>
      <c r="V1171" s="2" t="b">
        <v>0</v>
      </c>
      <c r="W1171" s="2" t="s">
        <v>35</v>
      </c>
      <c r="X1171" s="2" t="s">
        <v>35</v>
      </c>
      <c r="Y1171" s="2" t="s">
        <v>35</v>
      </c>
      <c r="Z1171" s="2" t="s">
        <v>35</v>
      </c>
    </row>
    <row r="1172" spans="1:26" x14ac:dyDescent="0.2">
      <c r="A1172" s="2" t="s">
        <v>2891</v>
      </c>
      <c r="B1172" s="2" t="b">
        <v>0</v>
      </c>
      <c r="C1172" s="2" t="b">
        <v>0</v>
      </c>
      <c r="D1172" s="2" t="b">
        <v>0</v>
      </c>
      <c r="E1172" s="2" t="b">
        <v>0</v>
      </c>
      <c r="F1172" s="2" t="s">
        <v>31</v>
      </c>
      <c r="G1172" s="2" t="s">
        <v>2892</v>
      </c>
      <c r="H1172" s="2" t="s">
        <v>2893</v>
      </c>
      <c r="I1172" s="2" t="s">
        <v>2894</v>
      </c>
      <c r="J1172" s="2" t="s">
        <v>35</v>
      </c>
      <c r="K1172" s="2" t="s">
        <v>35</v>
      </c>
      <c r="L1172" s="2">
        <v>2</v>
      </c>
      <c r="M1172" s="2">
        <v>15</v>
      </c>
      <c r="N1172" s="3">
        <v>44762.36304355324</v>
      </c>
      <c r="O1172" s="3">
        <v>44762.363417986111</v>
      </c>
      <c r="P1172" s="2">
        <v>0</v>
      </c>
      <c r="Q1172" s="2" t="s">
        <v>54</v>
      </c>
      <c r="R1172" s="2" t="s">
        <v>38</v>
      </c>
      <c r="S1172" s="2" t="s">
        <v>35</v>
      </c>
      <c r="T1172" s="2" t="s">
        <v>35</v>
      </c>
      <c r="U1172" s="2" t="s">
        <v>35</v>
      </c>
      <c r="V1172" s="2" t="b">
        <v>1</v>
      </c>
      <c r="W1172" s="2" t="s">
        <v>35</v>
      </c>
      <c r="X1172" s="2" t="s">
        <v>35</v>
      </c>
      <c r="Y1172" s="2" t="s">
        <v>35</v>
      </c>
      <c r="Z1172" s="2" t="s">
        <v>35</v>
      </c>
    </row>
    <row r="1173" spans="1:26" x14ac:dyDescent="0.2">
      <c r="A1173" s="2" t="s">
        <v>2895</v>
      </c>
      <c r="B1173" s="2" t="b">
        <v>0</v>
      </c>
      <c r="C1173" s="2" t="b">
        <v>0</v>
      </c>
      <c r="D1173" s="2" t="b">
        <v>0</v>
      </c>
      <c r="E1173" s="2" t="b">
        <v>0</v>
      </c>
      <c r="F1173" s="2" t="s">
        <v>31</v>
      </c>
      <c r="G1173" s="2" t="s">
        <v>2896</v>
      </c>
      <c r="H1173" s="2" t="s">
        <v>2897</v>
      </c>
      <c r="I1173" s="2" t="s">
        <v>35</v>
      </c>
      <c r="J1173" s="2" t="s">
        <v>35</v>
      </c>
      <c r="K1173" s="2" t="s">
        <v>35</v>
      </c>
      <c r="L1173" s="2">
        <v>4</v>
      </c>
      <c r="M1173" s="2">
        <v>12</v>
      </c>
      <c r="N1173" s="3">
        <v>44762.364196932867</v>
      </c>
      <c r="O1173" s="3">
        <v>44762.36471829861</v>
      </c>
      <c r="P1173" s="2">
        <v>0</v>
      </c>
      <c r="Q1173" s="2" t="s">
        <v>54</v>
      </c>
      <c r="R1173" s="2" t="s">
        <v>38</v>
      </c>
      <c r="S1173" s="2" t="s">
        <v>35</v>
      </c>
      <c r="T1173" s="2" t="s">
        <v>35</v>
      </c>
      <c r="U1173" s="2" t="s">
        <v>35</v>
      </c>
      <c r="V1173" s="2" t="b">
        <v>0</v>
      </c>
      <c r="W1173" s="2" t="s">
        <v>35</v>
      </c>
      <c r="X1173" s="2" t="s">
        <v>35</v>
      </c>
      <c r="Y1173" s="2" t="s">
        <v>35</v>
      </c>
      <c r="Z1173" s="2" t="s">
        <v>35</v>
      </c>
    </row>
    <row r="1174" spans="1:26" x14ac:dyDescent="0.2">
      <c r="A1174" s="2" t="s">
        <v>2898</v>
      </c>
      <c r="B1174" s="2" t="b">
        <v>0</v>
      </c>
      <c r="C1174" s="2" t="b">
        <v>0</v>
      </c>
      <c r="D1174" s="2" t="b">
        <v>0</v>
      </c>
      <c r="E1174" s="2" t="b">
        <v>0</v>
      </c>
      <c r="F1174" s="2" t="s">
        <v>31</v>
      </c>
      <c r="G1174" s="2" t="s">
        <v>2899</v>
      </c>
      <c r="H1174" s="2" t="s">
        <v>2900</v>
      </c>
      <c r="I1174" s="2" t="s">
        <v>675</v>
      </c>
      <c r="J1174" s="2" t="s">
        <v>35</v>
      </c>
      <c r="K1174" s="2" t="s">
        <v>35</v>
      </c>
      <c r="L1174" s="2" t="s">
        <v>35</v>
      </c>
      <c r="M1174" s="2" t="s">
        <v>35</v>
      </c>
      <c r="N1174" s="3">
        <v>44762.364838414353</v>
      </c>
      <c r="O1174" s="3">
        <v>44762.364976249999</v>
      </c>
      <c r="P1174" s="2">
        <v>0</v>
      </c>
      <c r="Q1174" s="2" t="s">
        <v>124</v>
      </c>
      <c r="R1174" s="2" t="s">
        <v>38</v>
      </c>
      <c r="S1174" s="2" t="s">
        <v>35</v>
      </c>
      <c r="T1174" s="2" t="s">
        <v>35</v>
      </c>
      <c r="U1174" s="2" t="s">
        <v>35</v>
      </c>
      <c r="V1174" s="2" t="b">
        <v>0</v>
      </c>
      <c r="W1174" s="2" t="s">
        <v>35</v>
      </c>
      <c r="X1174" s="2">
        <v>4</v>
      </c>
      <c r="Y1174" s="2" t="s">
        <v>35</v>
      </c>
      <c r="Z1174" s="2" t="s">
        <v>35</v>
      </c>
    </row>
    <row r="1175" spans="1:26" x14ac:dyDescent="0.2">
      <c r="A1175" s="2" t="s">
        <v>2901</v>
      </c>
      <c r="B1175" s="2" t="b">
        <v>0</v>
      </c>
      <c r="C1175" s="2" t="b">
        <v>0</v>
      </c>
      <c r="D1175" s="2" t="b">
        <v>0</v>
      </c>
      <c r="E1175" s="2" t="b">
        <v>0</v>
      </c>
      <c r="F1175" s="2" t="s">
        <v>31</v>
      </c>
      <c r="G1175" s="2" t="s">
        <v>2902</v>
      </c>
      <c r="H1175" s="2" t="s">
        <v>2903</v>
      </c>
      <c r="I1175" s="2" t="s">
        <v>35</v>
      </c>
      <c r="J1175" s="2" t="s">
        <v>35</v>
      </c>
      <c r="K1175" s="2" t="s">
        <v>35</v>
      </c>
      <c r="L1175" s="2" t="s">
        <v>35</v>
      </c>
      <c r="M1175" s="2" t="s">
        <v>35</v>
      </c>
      <c r="N1175" s="3">
        <v>44762.365970810184</v>
      </c>
      <c r="O1175" s="3">
        <v>44762.366069849537</v>
      </c>
      <c r="P1175" s="2">
        <v>0</v>
      </c>
      <c r="Q1175" s="2" t="s">
        <v>36</v>
      </c>
      <c r="R1175" s="2" t="s">
        <v>38</v>
      </c>
      <c r="S1175" s="2" t="s">
        <v>35</v>
      </c>
      <c r="T1175" s="2" t="s">
        <v>35</v>
      </c>
      <c r="U1175" s="2" t="s">
        <v>35</v>
      </c>
      <c r="V1175" s="2" t="b">
        <v>0</v>
      </c>
      <c r="W1175" s="2" t="s">
        <v>35</v>
      </c>
      <c r="X1175" s="2" t="s">
        <v>35</v>
      </c>
      <c r="Y1175" s="2" t="s">
        <v>35</v>
      </c>
      <c r="Z1175" s="2">
        <v>2</v>
      </c>
    </row>
    <row r="1176" spans="1:26" x14ac:dyDescent="0.2">
      <c r="A1176" s="2" t="s">
        <v>2904</v>
      </c>
      <c r="B1176" s="2" t="b">
        <v>0</v>
      </c>
      <c r="C1176" s="2" t="b">
        <v>0</v>
      </c>
      <c r="D1176" s="2" t="b">
        <v>0</v>
      </c>
      <c r="E1176" s="2" t="b">
        <v>0</v>
      </c>
      <c r="F1176" s="2" t="s">
        <v>31</v>
      </c>
      <c r="G1176" s="2" t="s">
        <v>2905</v>
      </c>
      <c r="H1176" s="2" t="s">
        <v>2906</v>
      </c>
      <c r="I1176" s="2" t="s">
        <v>2907</v>
      </c>
      <c r="J1176" s="2" t="s">
        <v>35</v>
      </c>
      <c r="K1176" s="2" t="s">
        <v>35</v>
      </c>
      <c r="L1176" s="2" t="s">
        <v>35</v>
      </c>
      <c r="M1176" s="2" t="s">
        <v>35</v>
      </c>
      <c r="N1176" s="3">
        <v>44762.366962835651</v>
      </c>
      <c r="O1176" s="3">
        <v>44762.367895370371</v>
      </c>
      <c r="P1176" s="2">
        <v>0</v>
      </c>
      <c r="Q1176" s="2" t="s">
        <v>109</v>
      </c>
      <c r="R1176" s="2" t="s">
        <v>38</v>
      </c>
      <c r="S1176" s="2" t="s">
        <v>35</v>
      </c>
      <c r="T1176" s="2">
        <v>96</v>
      </c>
      <c r="U1176" s="2" t="s">
        <v>35</v>
      </c>
      <c r="V1176" s="2" t="b">
        <v>0</v>
      </c>
      <c r="W1176" s="2" t="s">
        <v>35</v>
      </c>
      <c r="X1176" s="2" t="s">
        <v>35</v>
      </c>
      <c r="Y1176" s="2" t="s">
        <v>35</v>
      </c>
      <c r="Z1176" s="2" t="s">
        <v>35</v>
      </c>
    </row>
    <row r="1177" spans="1:26" x14ac:dyDescent="0.2">
      <c r="A1177" s="2" t="s">
        <v>2908</v>
      </c>
      <c r="B1177" s="2" t="b">
        <v>0</v>
      </c>
      <c r="C1177" s="2" t="b">
        <v>0</v>
      </c>
      <c r="D1177" s="2" t="b">
        <v>0</v>
      </c>
      <c r="E1177" s="2" t="b">
        <v>0</v>
      </c>
      <c r="F1177" s="2" t="s">
        <v>31</v>
      </c>
      <c r="G1177" s="2" t="s">
        <v>2909</v>
      </c>
      <c r="H1177" s="2" t="s">
        <v>2910</v>
      </c>
      <c r="I1177" s="2" t="s">
        <v>2911</v>
      </c>
      <c r="J1177" s="2" t="s">
        <v>35</v>
      </c>
      <c r="K1177" s="2" t="s">
        <v>35</v>
      </c>
      <c r="L1177" s="2" t="s">
        <v>35</v>
      </c>
      <c r="M1177" s="2" t="s">
        <v>35</v>
      </c>
      <c r="N1177" s="3">
        <v>44762.36793403935</v>
      </c>
      <c r="O1177" s="3">
        <v>44762.368969131945</v>
      </c>
      <c r="P1177" s="2">
        <v>0</v>
      </c>
      <c r="Q1177" s="2" t="s">
        <v>36</v>
      </c>
      <c r="R1177" s="2" t="s">
        <v>38</v>
      </c>
      <c r="S1177" s="2" t="s">
        <v>35</v>
      </c>
      <c r="T1177" s="2" t="s">
        <v>35</v>
      </c>
      <c r="U1177" s="2" t="s">
        <v>35</v>
      </c>
      <c r="V1177" s="2" t="b">
        <v>0</v>
      </c>
      <c r="W1177" s="2" t="s">
        <v>35</v>
      </c>
      <c r="X1177" s="2" t="s">
        <v>35</v>
      </c>
      <c r="Y1177" s="2">
        <v>4</v>
      </c>
      <c r="Z1177" s="2" t="s">
        <v>35</v>
      </c>
    </row>
    <row r="1178" spans="1:26" x14ac:dyDescent="0.2">
      <c r="A1178" s="2" t="s">
        <v>2912</v>
      </c>
      <c r="B1178" s="2" t="b">
        <v>0</v>
      </c>
      <c r="C1178" s="2" t="b">
        <v>0</v>
      </c>
      <c r="D1178" s="2" t="b">
        <v>0</v>
      </c>
      <c r="E1178" s="2" t="b">
        <v>0</v>
      </c>
      <c r="F1178" s="2" t="s">
        <v>31</v>
      </c>
      <c r="G1178" s="2" t="s">
        <v>2913</v>
      </c>
      <c r="H1178" s="2" t="s">
        <v>2914</v>
      </c>
      <c r="I1178" s="2" t="s">
        <v>35</v>
      </c>
      <c r="J1178" s="2" t="s">
        <v>35</v>
      </c>
      <c r="K1178" s="2" t="s">
        <v>35</v>
      </c>
      <c r="L1178" s="2">
        <v>6</v>
      </c>
      <c r="M1178" s="2">
        <v>14</v>
      </c>
      <c r="N1178" s="3">
        <v>44762.369935092589</v>
      </c>
      <c r="O1178" s="3">
        <v>44762.37028761574</v>
      </c>
      <c r="P1178" s="2">
        <v>0</v>
      </c>
      <c r="Q1178" s="2" t="s">
        <v>54</v>
      </c>
      <c r="R1178" s="2" t="s">
        <v>38</v>
      </c>
      <c r="S1178" s="2" t="s">
        <v>35</v>
      </c>
      <c r="T1178" s="2" t="s">
        <v>35</v>
      </c>
      <c r="U1178" s="2" t="s">
        <v>35</v>
      </c>
      <c r="V1178" s="2" t="b">
        <v>0</v>
      </c>
      <c r="W1178" s="2" t="s">
        <v>35</v>
      </c>
      <c r="X1178" s="2" t="s">
        <v>35</v>
      </c>
      <c r="Y1178" s="2" t="s">
        <v>35</v>
      </c>
      <c r="Z1178" s="2" t="s">
        <v>35</v>
      </c>
    </row>
    <row r="1179" spans="1:26" x14ac:dyDescent="0.2">
      <c r="A1179" s="2" t="s">
        <v>2915</v>
      </c>
      <c r="B1179" s="2" t="b">
        <v>0</v>
      </c>
      <c r="C1179" s="2" t="b">
        <v>0</v>
      </c>
      <c r="D1179" s="2" t="b">
        <v>0</v>
      </c>
      <c r="E1179" s="2" t="b">
        <v>0</v>
      </c>
      <c r="F1179" s="2" t="s">
        <v>31</v>
      </c>
      <c r="G1179" s="2" t="s">
        <v>2916</v>
      </c>
      <c r="H1179" s="2" t="s">
        <v>2917</v>
      </c>
      <c r="I1179" s="2" t="s">
        <v>2214</v>
      </c>
      <c r="J1179" s="2" t="s">
        <v>35</v>
      </c>
      <c r="K1179" s="2" t="s">
        <v>35</v>
      </c>
      <c r="L1179" s="2" t="s">
        <v>35</v>
      </c>
      <c r="M1179" s="2" t="s">
        <v>35</v>
      </c>
      <c r="N1179" s="3">
        <v>44762.370814074071</v>
      </c>
      <c r="O1179" s="3">
        <v>44762.37114275463</v>
      </c>
      <c r="P1179" s="2">
        <v>0</v>
      </c>
      <c r="Q1179" s="2" t="s">
        <v>36</v>
      </c>
      <c r="R1179" s="2" t="s">
        <v>38</v>
      </c>
      <c r="S1179" s="2" t="s">
        <v>35</v>
      </c>
      <c r="T1179" s="2" t="s">
        <v>35</v>
      </c>
      <c r="U1179" s="2" t="s">
        <v>35</v>
      </c>
      <c r="V1179" s="2" t="b">
        <v>0</v>
      </c>
      <c r="W1179" s="2" t="s">
        <v>35</v>
      </c>
      <c r="X1179" s="2" t="s">
        <v>35</v>
      </c>
      <c r="Y1179" s="2">
        <v>7</v>
      </c>
      <c r="Z1179" s="2" t="s">
        <v>35</v>
      </c>
    </row>
    <row r="1180" spans="1:26" x14ac:dyDescent="0.2">
      <c r="A1180" s="2" t="s">
        <v>2918</v>
      </c>
      <c r="B1180" s="2" t="b">
        <v>0</v>
      </c>
      <c r="C1180" s="2" t="b">
        <v>0</v>
      </c>
      <c r="D1180" s="2" t="b">
        <v>0</v>
      </c>
      <c r="E1180" s="2" t="b">
        <v>0</v>
      </c>
      <c r="F1180" s="2" t="s">
        <v>121</v>
      </c>
      <c r="G1180" s="2" t="s">
        <v>2919</v>
      </c>
      <c r="H1180" s="2" t="s">
        <v>2920</v>
      </c>
      <c r="I1180" s="2" t="s">
        <v>35</v>
      </c>
      <c r="J1180" s="2" t="s">
        <v>35</v>
      </c>
      <c r="K1180" s="2" t="s">
        <v>35</v>
      </c>
      <c r="L1180" s="2" t="s">
        <v>35</v>
      </c>
      <c r="M1180" s="2" t="s">
        <v>35</v>
      </c>
      <c r="N1180" s="3">
        <v>44762.371571724536</v>
      </c>
      <c r="O1180" s="3">
        <v>44762.371746736113</v>
      </c>
      <c r="P1180" s="2">
        <v>0</v>
      </c>
      <c r="Q1180" s="2" t="s">
        <v>124</v>
      </c>
      <c r="R1180" s="2" t="s">
        <v>38</v>
      </c>
      <c r="S1180" s="2" t="s">
        <v>35</v>
      </c>
      <c r="T1180" s="2" t="s">
        <v>35</v>
      </c>
      <c r="U1180" s="2" t="s">
        <v>35</v>
      </c>
      <c r="V1180" s="2" t="b">
        <v>0</v>
      </c>
      <c r="W1180" s="2" t="s">
        <v>35</v>
      </c>
      <c r="X1180" s="2" t="s">
        <v>35</v>
      </c>
      <c r="Y1180" s="2" t="s">
        <v>35</v>
      </c>
      <c r="Z1180" s="2" t="s">
        <v>35</v>
      </c>
    </row>
    <row r="1181" spans="1:26" x14ac:dyDescent="0.2">
      <c r="A1181" s="2" t="s">
        <v>2921</v>
      </c>
      <c r="B1181" s="2" t="b">
        <v>0</v>
      </c>
      <c r="C1181" s="2" t="b">
        <v>0</v>
      </c>
      <c r="D1181" s="2" t="b">
        <v>0</v>
      </c>
      <c r="E1181" s="2" t="b">
        <v>0</v>
      </c>
      <c r="F1181" s="2" t="s">
        <v>31</v>
      </c>
      <c r="G1181" s="2" t="s">
        <v>2922</v>
      </c>
      <c r="H1181" s="2" t="s">
        <v>2923</v>
      </c>
      <c r="I1181" s="2" t="s">
        <v>35</v>
      </c>
      <c r="J1181" s="2" t="s">
        <v>35</v>
      </c>
      <c r="K1181" s="2" t="s">
        <v>35</v>
      </c>
      <c r="L1181" s="2">
        <v>14</v>
      </c>
      <c r="M1181" s="2">
        <v>15</v>
      </c>
      <c r="N1181" s="3">
        <v>44762.373587546295</v>
      </c>
      <c r="O1181" s="3">
        <v>44762.373815787039</v>
      </c>
      <c r="P1181" s="2">
        <v>0</v>
      </c>
      <c r="Q1181" s="2" t="s">
        <v>54</v>
      </c>
      <c r="R1181" s="2" t="s">
        <v>38</v>
      </c>
      <c r="S1181" s="2" t="s">
        <v>35</v>
      </c>
      <c r="T1181" s="2" t="s">
        <v>35</v>
      </c>
      <c r="U1181" s="2" t="s">
        <v>35</v>
      </c>
      <c r="V1181" s="2" t="b">
        <v>0</v>
      </c>
      <c r="W1181" s="2" t="s">
        <v>35</v>
      </c>
      <c r="X1181" s="2" t="s">
        <v>35</v>
      </c>
      <c r="Y1181" s="2" t="s">
        <v>35</v>
      </c>
      <c r="Z1181" s="2" t="s">
        <v>35</v>
      </c>
    </row>
    <row r="1182" spans="1:26" x14ac:dyDescent="0.2">
      <c r="A1182" s="2" t="s">
        <v>2924</v>
      </c>
      <c r="B1182" s="2" t="b">
        <v>0</v>
      </c>
      <c r="C1182" s="2" t="b">
        <v>0</v>
      </c>
      <c r="D1182" s="2" t="b">
        <v>0</v>
      </c>
      <c r="E1182" s="2" t="b">
        <v>0</v>
      </c>
      <c r="F1182" s="2" t="s">
        <v>31</v>
      </c>
      <c r="G1182" s="2" t="s">
        <v>2925</v>
      </c>
      <c r="H1182" s="2" t="s">
        <v>2926</v>
      </c>
      <c r="I1182" s="2" t="s">
        <v>2214</v>
      </c>
      <c r="J1182" s="2" t="s">
        <v>35</v>
      </c>
      <c r="K1182" s="2" t="s">
        <v>35</v>
      </c>
      <c r="L1182" s="2" t="s">
        <v>35</v>
      </c>
      <c r="M1182" s="2" t="s">
        <v>35</v>
      </c>
      <c r="N1182" s="3">
        <v>44762.37396070602</v>
      </c>
      <c r="O1182" s="3">
        <v>44762.374158287035</v>
      </c>
      <c r="P1182" s="2">
        <v>0</v>
      </c>
      <c r="Q1182" s="2" t="s">
        <v>36</v>
      </c>
      <c r="R1182" s="2" t="s">
        <v>38</v>
      </c>
      <c r="S1182" s="2" t="s">
        <v>35</v>
      </c>
      <c r="T1182" s="2" t="s">
        <v>35</v>
      </c>
      <c r="U1182" s="2" t="s">
        <v>35</v>
      </c>
      <c r="V1182" s="2" t="b">
        <v>0</v>
      </c>
      <c r="W1182" s="2" t="s">
        <v>35</v>
      </c>
      <c r="X1182" s="2" t="s">
        <v>35</v>
      </c>
      <c r="Y1182" s="2">
        <v>5</v>
      </c>
      <c r="Z1182" s="2" t="s">
        <v>35</v>
      </c>
    </row>
    <row r="1183" spans="1:26" x14ac:dyDescent="0.2">
      <c r="A1183" s="2" t="s">
        <v>2927</v>
      </c>
      <c r="B1183" s="2" t="b">
        <v>0</v>
      </c>
      <c r="C1183" s="2" t="b">
        <v>0</v>
      </c>
      <c r="D1183" s="2" t="b">
        <v>0</v>
      </c>
      <c r="E1183" s="2" t="b">
        <v>0</v>
      </c>
      <c r="F1183" s="2" t="s">
        <v>31</v>
      </c>
      <c r="G1183" s="2" t="s">
        <v>2928</v>
      </c>
      <c r="H1183" s="2" t="s">
        <v>2929</v>
      </c>
      <c r="I1183" s="2" t="s">
        <v>35</v>
      </c>
      <c r="J1183" s="2" t="s">
        <v>35</v>
      </c>
      <c r="K1183" s="2" t="s">
        <v>35</v>
      </c>
      <c r="L1183" s="2" t="s">
        <v>35</v>
      </c>
      <c r="M1183" s="2" t="s">
        <v>35</v>
      </c>
      <c r="N1183" s="3">
        <v>44762.374608020837</v>
      </c>
      <c r="O1183" s="3">
        <v>44762.374838761571</v>
      </c>
      <c r="P1183" s="2">
        <v>0</v>
      </c>
      <c r="Q1183" s="2" t="s">
        <v>36</v>
      </c>
      <c r="R1183" s="2" t="s">
        <v>38</v>
      </c>
      <c r="S1183" s="2" t="s">
        <v>35</v>
      </c>
      <c r="T1183" s="2" t="s">
        <v>35</v>
      </c>
      <c r="U1183" s="2" t="s">
        <v>35</v>
      </c>
      <c r="V1183" s="2" t="b">
        <v>0</v>
      </c>
      <c r="W1183" s="2" t="s">
        <v>35</v>
      </c>
      <c r="X1183" s="2" t="s">
        <v>35</v>
      </c>
      <c r="Y1183" s="2" t="s">
        <v>35</v>
      </c>
      <c r="Z1183" s="2">
        <v>2</v>
      </c>
    </row>
    <row r="1184" spans="1:26" x14ac:dyDescent="0.2">
      <c r="A1184" s="2" t="s">
        <v>2930</v>
      </c>
      <c r="B1184" s="2" t="b">
        <v>0</v>
      </c>
      <c r="C1184" s="2" t="b">
        <v>0</v>
      </c>
      <c r="D1184" s="2" t="b">
        <v>0</v>
      </c>
      <c r="E1184" s="2" t="b">
        <v>0</v>
      </c>
      <c r="F1184" s="2" t="s">
        <v>31</v>
      </c>
      <c r="G1184" s="2" t="s">
        <v>2931</v>
      </c>
      <c r="H1184" s="2" t="s">
        <v>2932</v>
      </c>
      <c r="I1184" s="2" t="s">
        <v>35</v>
      </c>
      <c r="J1184" s="2" t="s">
        <v>35</v>
      </c>
      <c r="K1184" s="2" t="s">
        <v>35</v>
      </c>
      <c r="L1184" s="2" t="s">
        <v>35</v>
      </c>
      <c r="M1184" s="2" t="s">
        <v>35</v>
      </c>
      <c r="N1184" s="3">
        <v>44762.375641944447</v>
      </c>
      <c r="O1184" s="3">
        <v>44762.37615708333</v>
      </c>
      <c r="P1184" s="2">
        <v>0</v>
      </c>
      <c r="Q1184" s="2" t="s">
        <v>36</v>
      </c>
      <c r="R1184" s="2" t="s">
        <v>38</v>
      </c>
      <c r="S1184" s="2" t="s">
        <v>35</v>
      </c>
      <c r="T1184" s="2" t="s">
        <v>35</v>
      </c>
      <c r="U1184" s="2" t="s">
        <v>35</v>
      </c>
      <c r="V1184" s="2" t="b">
        <v>0</v>
      </c>
      <c r="W1184" s="2" t="s">
        <v>2933</v>
      </c>
      <c r="X1184" s="2" t="s">
        <v>35</v>
      </c>
      <c r="Y1184" s="2" t="s">
        <v>35</v>
      </c>
      <c r="Z1184" s="2" t="s">
        <v>35</v>
      </c>
    </row>
    <row r="1185" spans="1:26" x14ac:dyDescent="0.2">
      <c r="A1185" s="2" t="s">
        <v>2934</v>
      </c>
      <c r="B1185" s="2" t="b">
        <v>0</v>
      </c>
      <c r="C1185" s="2" t="b">
        <v>0</v>
      </c>
      <c r="D1185" s="2" t="b">
        <v>0</v>
      </c>
      <c r="E1185" s="2" t="b">
        <v>0</v>
      </c>
      <c r="F1185" s="2" t="s">
        <v>31</v>
      </c>
      <c r="G1185" s="2" t="s">
        <v>2935</v>
      </c>
      <c r="H1185" s="2" t="s">
        <v>2936</v>
      </c>
      <c r="I1185" s="2" t="s">
        <v>35</v>
      </c>
      <c r="J1185" s="2" t="s">
        <v>35</v>
      </c>
      <c r="K1185" s="2" t="s">
        <v>35</v>
      </c>
      <c r="L1185" s="2" t="s">
        <v>35</v>
      </c>
      <c r="M1185" s="2" t="s">
        <v>35</v>
      </c>
      <c r="N1185" s="3">
        <v>44762.376797013887</v>
      </c>
      <c r="O1185" s="3">
        <v>44762.377138773147</v>
      </c>
      <c r="P1185" s="2">
        <v>0</v>
      </c>
      <c r="Q1185" s="2" t="s">
        <v>36</v>
      </c>
      <c r="R1185" s="2" t="s">
        <v>38</v>
      </c>
      <c r="S1185" s="2" t="s">
        <v>35</v>
      </c>
      <c r="T1185" s="2" t="s">
        <v>35</v>
      </c>
      <c r="U1185" s="2" t="s">
        <v>35</v>
      </c>
      <c r="V1185" s="2" t="b">
        <v>0</v>
      </c>
      <c r="W1185" s="2" t="s">
        <v>35</v>
      </c>
      <c r="X1185" s="2" t="s">
        <v>35</v>
      </c>
      <c r="Y1185" s="2" t="s">
        <v>35</v>
      </c>
      <c r="Z1185" s="2">
        <v>2</v>
      </c>
    </row>
    <row r="1186" spans="1:26" x14ac:dyDescent="0.2">
      <c r="A1186" s="2" t="s">
        <v>2937</v>
      </c>
      <c r="B1186" s="2" t="b">
        <v>0</v>
      </c>
      <c r="C1186" s="2" t="b">
        <v>0</v>
      </c>
      <c r="D1186" s="2" t="b">
        <v>0</v>
      </c>
      <c r="E1186" s="2" t="b">
        <v>0</v>
      </c>
      <c r="F1186" s="2" t="s">
        <v>31</v>
      </c>
      <c r="G1186" s="2" t="s">
        <v>2938</v>
      </c>
      <c r="H1186" s="2" t="s">
        <v>2939</v>
      </c>
      <c r="I1186" s="2" t="s">
        <v>35</v>
      </c>
      <c r="J1186" s="2" t="s">
        <v>35</v>
      </c>
      <c r="K1186" s="2" t="s">
        <v>35</v>
      </c>
      <c r="L1186" s="2" t="s">
        <v>35</v>
      </c>
      <c r="M1186" s="2" t="s">
        <v>35</v>
      </c>
      <c r="N1186" s="3">
        <v>44762.377307546296</v>
      </c>
      <c r="O1186" s="3">
        <v>44762.377501354167</v>
      </c>
      <c r="P1186" s="2">
        <v>0</v>
      </c>
      <c r="Q1186" s="2" t="s">
        <v>36</v>
      </c>
      <c r="R1186" s="2" t="s">
        <v>38</v>
      </c>
      <c r="S1186" s="2" t="s">
        <v>35</v>
      </c>
      <c r="T1186" s="2" t="s">
        <v>35</v>
      </c>
      <c r="U1186" s="2" t="s">
        <v>35</v>
      </c>
      <c r="V1186" s="2" t="b">
        <v>0</v>
      </c>
      <c r="W1186" s="2" t="s">
        <v>35</v>
      </c>
      <c r="X1186" s="2" t="s">
        <v>35</v>
      </c>
      <c r="Y1186" s="2" t="s">
        <v>35</v>
      </c>
      <c r="Z1186" s="2">
        <v>2</v>
      </c>
    </row>
    <row r="1187" spans="1:26" x14ac:dyDescent="0.2">
      <c r="A1187" s="2" t="s">
        <v>2940</v>
      </c>
      <c r="B1187" s="2" t="b">
        <v>0</v>
      </c>
      <c r="C1187" s="2" t="b">
        <v>0</v>
      </c>
      <c r="D1187" s="2" t="b">
        <v>0</v>
      </c>
      <c r="E1187" s="2" t="b">
        <v>0</v>
      </c>
      <c r="F1187" s="2" t="s">
        <v>31</v>
      </c>
      <c r="G1187" s="2" t="s">
        <v>2941</v>
      </c>
      <c r="H1187" s="2" t="s">
        <v>2942</v>
      </c>
      <c r="I1187" s="2" t="s">
        <v>35</v>
      </c>
      <c r="J1187" s="2" t="s">
        <v>35</v>
      </c>
      <c r="K1187" s="2" t="s">
        <v>35</v>
      </c>
      <c r="L1187" s="2" t="s">
        <v>35</v>
      </c>
      <c r="M1187" s="2" t="s">
        <v>35</v>
      </c>
      <c r="N1187" s="3">
        <v>44762.378564872684</v>
      </c>
      <c r="O1187" s="3">
        <v>44762.37869056713</v>
      </c>
      <c r="P1187" s="2">
        <v>0</v>
      </c>
      <c r="Q1187" s="2" t="s">
        <v>36</v>
      </c>
      <c r="R1187" s="2" t="s">
        <v>38</v>
      </c>
      <c r="S1187" s="2" t="s">
        <v>35</v>
      </c>
      <c r="T1187" s="2" t="s">
        <v>35</v>
      </c>
      <c r="U1187" s="2" t="s">
        <v>35</v>
      </c>
      <c r="V1187" s="2" t="b">
        <v>0</v>
      </c>
      <c r="W1187" s="2" t="s">
        <v>35</v>
      </c>
      <c r="X1187" s="2" t="s">
        <v>35</v>
      </c>
      <c r="Y1187" s="2" t="s">
        <v>35</v>
      </c>
      <c r="Z1187" s="2">
        <v>3</v>
      </c>
    </row>
    <row r="1188" spans="1:26" x14ac:dyDescent="0.2">
      <c r="A1188" s="2" t="s">
        <v>9371</v>
      </c>
      <c r="B1188" s="2" t="b">
        <v>0</v>
      </c>
      <c r="C1188" s="2" t="b">
        <v>0</v>
      </c>
      <c r="D1188" s="2" t="b">
        <v>0</v>
      </c>
      <c r="E1188" s="2" t="b">
        <v>0</v>
      </c>
      <c r="F1188" s="2" t="s">
        <v>121</v>
      </c>
      <c r="G1188" s="2" t="s">
        <v>149</v>
      </c>
      <c r="H1188" s="2" t="s">
        <v>2944</v>
      </c>
      <c r="I1188" s="2" t="s">
        <v>35</v>
      </c>
      <c r="J1188" s="2" t="s">
        <v>35</v>
      </c>
      <c r="K1188" s="2" t="s">
        <v>35</v>
      </c>
      <c r="L1188" s="2" t="s">
        <v>35</v>
      </c>
      <c r="M1188" s="2" t="s">
        <v>35</v>
      </c>
      <c r="N1188" s="3">
        <v>44762.380527800924</v>
      </c>
      <c r="O1188" s="3">
        <v>44762.380527905094</v>
      </c>
      <c r="P1188" s="2">
        <v>0</v>
      </c>
      <c r="Q1188" s="2" t="s">
        <v>35</v>
      </c>
      <c r="R1188" s="2" t="s">
        <v>38</v>
      </c>
      <c r="S1188" s="2" t="s">
        <v>35</v>
      </c>
      <c r="T1188" s="2" t="s">
        <v>35</v>
      </c>
      <c r="U1188" s="2" t="s">
        <v>35</v>
      </c>
      <c r="V1188" s="2" t="b">
        <v>0</v>
      </c>
      <c r="W1188" s="2" t="s">
        <v>35</v>
      </c>
      <c r="X1188" s="2" t="s">
        <v>35</v>
      </c>
      <c r="Y1188" s="2" t="s">
        <v>35</v>
      </c>
      <c r="Z1188" s="2" t="s">
        <v>35</v>
      </c>
    </row>
    <row r="1189" spans="1:26" x14ac:dyDescent="0.2">
      <c r="A1189" s="2" t="s">
        <v>9372</v>
      </c>
      <c r="B1189" s="2" t="b">
        <v>0</v>
      </c>
      <c r="C1189" s="2" t="b">
        <v>0</v>
      </c>
      <c r="D1189" s="2" t="b">
        <v>0</v>
      </c>
      <c r="E1189" s="2" t="b">
        <v>0</v>
      </c>
      <c r="F1189" s="2" t="s">
        <v>121</v>
      </c>
      <c r="G1189" s="2" t="s">
        <v>149</v>
      </c>
      <c r="H1189" s="2" t="s">
        <v>2944</v>
      </c>
      <c r="I1189" s="2" t="s">
        <v>35</v>
      </c>
      <c r="J1189" s="2" t="s">
        <v>35</v>
      </c>
      <c r="K1189" s="2" t="s">
        <v>35</v>
      </c>
      <c r="L1189" s="2" t="s">
        <v>35</v>
      </c>
      <c r="M1189" s="2" t="s">
        <v>35</v>
      </c>
      <c r="N1189" s="3">
        <v>44762.380534155091</v>
      </c>
      <c r="O1189" s="3">
        <v>44762.380534212964</v>
      </c>
      <c r="P1189" s="2">
        <v>0</v>
      </c>
      <c r="Q1189" s="2" t="s">
        <v>36</v>
      </c>
      <c r="R1189" s="2" t="s">
        <v>38</v>
      </c>
      <c r="S1189" s="2" t="s">
        <v>35</v>
      </c>
      <c r="T1189" s="2" t="s">
        <v>35</v>
      </c>
      <c r="U1189" s="2" t="s">
        <v>35</v>
      </c>
      <c r="V1189" s="2" t="b">
        <v>0</v>
      </c>
      <c r="W1189" s="2" t="s">
        <v>35</v>
      </c>
      <c r="X1189" s="2" t="s">
        <v>35</v>
      </c>
      <c r="Y1189" s="2" t="s">
        <v>35</v>
      </c>
      <c r="Z1189" s="2" t="s">
        <v>35</v>
      </c>
    </row>
    <row r="1190" spans="1:26" x14ac:dyDescent="0.2">
      <c r="A1190" s="2" t="s">
        <v>9373</v>
      </c>
      <c r="B1190" s="2" t="b">
        <v>0</v>
      </c>
      <c r="C1190" s="2" t="b">
        <v>0</v>
      </c>
      <c r="D1190" s="2" t="b">
        <v>0</v>
      </c>
      <c r="E1190" s="2" t="b">
        <v>0</v>
      </c>
      <c r="F1190" s="2" t="s">
        <v>121</v>
      </c>
      <c r="G1190" s="2" t="s">
        <v>149</v>
      </c>
      <c r="H1190" s="2" t="s">
        <v>2944</v>
      </c>
      <c r="I1190" s="2" t="s">
        <v>35</v>
      </c>
      <c r="J1190" s="2" t="s">
        <v>35</v>
      </c>
      <c r="K1190" s="2" t="s">
        <v>35</v>
      </c>
      <c r="L1190" s="2" t="s">
        <v>35</v>
      </c>
      <c r="M1190" s="2" t="s">
        <v>35</v>
      </c>
      <c r="N1190" s="3">
        <v>44762.380600138888</v>
      </c>
      <c r="O1190" s="3">
        <v>44762.380600185184</v>
      </c>
      <c r="P1190" s="2">
        <v>0</v>
      </c>
      <c r="Q1190" s="2" t="s">
        <v>36</v>
      </c>
      <c r="R1190" s="2" t="s">
        <v>38</v>
      </c>
      <c r="S1190" s="2" t="s">
        <v>35</v>
      </c>
      <c r="T1190" s="2" t="s">
        <v>35</v>
      </c>
      <c r="U1190" s="2" t="s">
        <v>35</v>
      </c>
      <c r="V1190" s="2" t="b">
        <v>0</v>
      </c>
      <c r="W1190" s="2" t="s">
        <v>35</v>
      </c>
      <c r="X1190" s="2" t="s">
        <v>35</v>
      </c>
      <c r="Y1190" s="2" t="s">
        <v>35</v>
      </c>
      <c r="Z1190" s="2" t="s">
        <v>35</v>
      </c>
    </row>
    <row r="1191" spans="1:26" x14ac:dyDescent="0.2">
      <c r="A1191" s="2" t="s">
        <v>2943</v>
      </c>
      <c r="B1191" s="2" t="b">
        <v>0</v>
      </c>
      <c r="C1191" s="2" t="b">
        <v>0</v>
      </c>
      <c r="D1191" s="2" t="b">
        <v>0</v>
      </c>
      <c r="E1191" s="2" t="b">
        <v>0</v>
      </c>
      <c r="F1191" s="2" t="s">
        <v>121</v>
      </c>
      <c r="G1191" s="2" t="s">
        <v>149</v>
      </c>
      <c r="H1191" s="2" t="s">
        <v>2944</v>
      </c>
      <c r="I1191" s="2" t="s">
        <v>35</v>
      </c>
      <c r="J1191" s="2" t="s">
        <v>35</v>
      </c>
      <c r="K1191" s="2" t="s">
        <v>35</v>
      </c>
      <c r="L1191" s="2" t="s">
        <v>35</v>
      </c>
      <c r="M1191" s="2" t="s">
        <v>35</v>
      </c>
      <c r="N1191" s="3">
        <v>44762.380661388888</v>
      </c>
      <c r="O1191" s="3">
        <v>44762.380661747688</v>
      </c>
      <c r="P1191" s="2">
        <v>0</v>
      </c>
      <c r="Q1191" s="2" t="s">
        <v>36</v>
      </c>
      <c r="R1191" s="2" t="s">
        <v>38</v>
      </c>
      <c r="S1191" s="2" t="s">
        <v>35</v>
      </c>
      <c r="T1191" s="2" t="s">
        <v>35</v>
      </c>
      <c r="U1191" s="2" t="s">
        <v>35</v>
      </c>
      <c r="V1191" s="2" t="b">
        <v>0</v>
      </c>
      <c r="W1191" s="2" t="s">
        <v>35</v>
      </c>
      <c r="X1191" s="2" t="s">
        <v>35</v>
      </c>
      <c r="Y1191" s="2" t="s">
        <v>35</v>
      </c>
      <c r="Z1191" s="2">
        <v>2</v>
      </c>
    </row>
    <row r="1192" spans="1:26" x14ac:dyDescent="0.2">
      <c r="A1192" s="2" t="s">
        <v>2945</v>
      </c>
      <c r="B1192" s="2" t="b">
        <v>0</v>
      </c>
      <c r="C1192" s="2" t="b">
        <v>0</v>
      </c>
      <c r="D1192" s="2" t="b">
        <v>0</v>
      </c>
      <c r="E1192" s="2" t="b">
        <v>0</v>
      </c>
      <c r="F1192" s="2" t="s">
        <v>31</v>
      </c>
      <c r="G1192" s="2" t="s">
        <v>2946</v>
      </c>
      <c r="H1192" s="2" t="s">
        <v>2947</v>
      </c>
      <c r="I1192" s="2" t="s">
        <v>675</v>
      </c>
      <c r="J1192" s="2" t="s">
        <v>35</v>
      </c>
      <c r="K1192" s="2" t="s">
        <v>35</v>
      </c>
      <c r="L1192" s="2" t="s">
        <v>35</v>
      </c>
      <c r="M1192" s="2" t="s">
        <v>35</v>
      </c>
      <c r="N1192" s="3">
        <v>44762.380661597221</v>
      </c>
      <c r="O1192" s="3">
        <v>44762.382099756942</v>
      </c>
      <c r="P1192" s="2">
        <v>0</v>
      </c>
      <c r="Q1192" s="2" t="s">
        <v>124</v>
      </c>
      <c r="R1192" s="2" t="s">
        <v>38</v>
      </c>
      <c r="S1192" s="2" t="s">
        <v>35</v>
      </c>
      <c r="T1192" s="2" t="s">
        <v>35</v>
      </c>
      <c r="U1192" s="2" t="s">
        <v>35</v>
      </c>
      <c r="V1192" s="2" t="b">
        <v>0</v>
      </c>
      <c r="W1192" s="2" t="s">
        <v>35</v>
      </c>
      <c r="X1192" s="2">
        <v>4</v>
      </c>
      <c r="Y1192" s="2" t="s">
        <v>35</v>
      </c>
      <c r="Z1192" s="2">
        <v>2</v>
      </c>
    </row>
    <row r="1193" spans="1:26" x14ac:dyDescent="0.2">
      <c r="A1193" s="2" t="s">
        <v>2948</v>
      </c>
      <c r="B1193" s="2" t="b">
        <v>0</v>
      </c>
      <c r="C1193" s="2" t="b">
        <v>0</v>
      </c>
      <c r="D1193" s="2" t="b">
        <v>0</v>
      </c>
      <c r="E1193" s="2" t="b">
        <v>0</v>
      </c>
      <c r="F1193" s="2" t="s">
        <v>31</v>
      </c>
      <c r="G1193" s="2" t="s">
        <v>2949</v>
      </c>
      <c r="H1193" s="2" t="s">
        <v>2950</v>
      </c>
      <c r="I1193" s="2" t="s">
        <v>2951</v>
      </c>
      <c r="J1193" s="2" t="s">
        <v>35</v>
      </c>
      <c r="K1193" s="2" t="s">
        <v>35</v>
      </c>
      <c r="L1193" s="2" t="s">
        <v>35</v>
      </c>
      <c r="M1193" s="2" t="s">
        <v>35</v>
      </c>
      <c r="N1193" s="3">
        <v>44762.382815787038</v>
      </c>
      <c r="O1193" s="3">
        <v>44762.38347940972</v>
      </c>
      <c r="P1193" s="2">
        <v>0</v>
      </c>
      <c r="Q1193" s="2" t="s">
        <v>416</v>
      </c>
      <c r="R1193" s="2" t="s">
        <v>38</v>
      </c>
      <c r="S1193" s="2" t="s">
        <v>35</v>
      </c>
      <c r="T1193" s="2">
        <v>120</v>
      </c>
      <c r="U1193" s="2" t="s">
        <v>2952</v>
      </c>
      <c r="V1193" s="2" t="b">
        <v>0</v>
      </c>
      <c r="W1193" s="2" t="s">
        <v>35</v>
      </c>
      <c r="X1193" s="2" t="s">
        <v>35</v>
      </c>
      <c r="Y1193" s="2" t="s">
        <v>35</v>
      </c>
      <c r="Z1193" s="2" t="s">
        <v>35</v>
      </c>
    </row>
    <row r="1194" spans="1:26" x14ac:dyDescent="0.2">
      <c r="A1194" s="2" t="s">
        <v>2953</v>
      </c>
      <c r="B1194" s="2" t="b">
        <v>0</v>
      </c>
      <c r="C1194" s="2" t="b">
        <v>0</v>
      </c>
      <c r="D1194" s="2" t="b">
        <v>0</v>
      </c>
      <c r="E1194" s="2" t="b">
        <v>0</v>
      </c>
      <c r="F1194" s="2" t="s">
        <v>31</v>
      </c>
      <c r="G1194" s="2" t="s">
        <v>2954</v>
      </c>
      <c r="H1194" s="2" t="s">
        <v>2955</v>
      </c>
      <c r="I1194" s="2" t="s">
        <v>2951</v>
      </c>
      <c r="J1194" s="2" t="s">
        <v>35</v>
      </c>
      <c r="K1194" s="2" t="s">
        <v>35</v>
      </c>
      <c r="L1194" s="2" t="s">
        <v>35</v>
      </c>
      <c r="M1194" s="2" t="s">
        <v>35</v>
      </c>
      <c r="N1194" s="3">
        <v>44762.383944386573</v>
      </c>
      <c r="O1194" s="3">
        <v>44762.384164340277</v>
      </c>
      <c r="P1194" s="2">
        <v>0</v>
      </c>
      <c r="Q1194" s="2" t="s">
        <v>416</v>
      </c>
      <c r="R1194" s="2" t="s">
        <v>38</v>
      </c>
      <c r="S1194" s="2" t="s">
        <v>35</v>
      </c>
      <c r="T1194" s="2">
        <v>120</v>
      </c>
      <c r="U1194" s="2" t="s">
        <v>35</v>
      </c>
      <c r="V1194" s="2" t="b">
        <v>0</v>
      </c>
      <c r="W1194" s="2" t="s">
        <v>35</v>
      </c>
      <c r="X1194" s="2" t="s">
        <v>35</v>
      </c>
      <c r="Y1194" s="2" t="s">
        <v>35</v>
      </c>
      <c r="Z1194" s="2" t="s">
        <v>35</v>
      </c>
    </row>
    <row r="1195" spans="1:26" x14ac:dyDescent="0.2">
      <c r="A1195" s="2" t="s">
        <v>2956</v>
      </c>
      <c r="B1195" s="2" t="b">
        <v>0</v>
      </c>
      <c r="C1195" s="2" t="b">
        <v>0</v>
      </c>
      <c r="D1195" s="2" t="b">
        <v>0</v>
      </c>
      <c r="E1195" s="2" t="b">
        <v>0</v>
      </c>
      <c r="F1195" s="2" t="s">
        <v>31</v>
      </c>
      <c r="G1195" s="2" t="s">
        <v>2957</v>
      </c>
      <c r="H1195" s="2" t="s">
        <v>2958</v>
      </c>
      <c r="I1195" s="2" t="s">
        <v>35</v>
      </c>
      <c r="J1195" s="2" t="s">
        <v>35</v>
      </c>
      <c r="K1195" s="2" t="s">
        <v>35</v>
      </c>
      <c r="L1195" s="2" t="s">
        <v>35</v>
      </c>
      <c r="M1195" s="2" t="s">
        <v>35</v>
      </c>
      <c r="N1195" s="3">
        <v>44762.38516810185</v>
      </c>
      <c r="O1195" s="3">
        <v>44762.385326782409</v>
      </c>
      <c r="P1195" s="2">
        <v>0</v>
      </c>
      <c r="Q1195" s="2" t="s">
        <v>36</v>
      </c>
      <c r="R1195" s="2" t="s">
        <v>38</v>
      </c>
      <c r="S1195" s="2" t="s">
        <v>35</v>
      </c>
      <c r="T1195" s="2" t="s">
        <v>35</v>
      </c>
      <c r="U1195" s="2" t="s">
        <v>35</v>
      </c>
      <c r="V1195" s="2" t="b">
        <v>0</v>
      </c>
      <c r="W1195" s="2" t="s">
        <v>35</v>
      </c>
      <c r="X1195" s="2" t="s">
        <v>35</v>
      </c>
      <c r="Y1195" s="2" t="s">
        <v>35</v>
      </c>
      <c r="Z1195" s="2">
        <v>3</v>
      </c>
    </row>
    <row r="1196" spans="1:26" x14ac:dyDescent="0.2">
      <c r="A1196" s="2" t="s">
        <v>2959</v>
      </c>
      <c r="B1196" s="2" t="b">
        <v>0</v>
      </c>
      <c r="C1196" s="2" t="b">
        <v>0</v>
      </c>
      <c r="D1196" s="2" t="b">
        <v>0</v>
      </c>
      <c r="E1196" s="2" t="b">
        <v>0</v>
      </c>
      <c r="F1196" s="2" t="s">
        <v>31</v>
      </c>
      <c r="G1196" s="2" t="s">
        <v>2960</v>
      </c>
      <c r="H1196" s="2" t="s">
        <v>2961</v>
      </c>
      <c r="I1196" s="2" t="s">
        <v>675</v>
      </c>
      <c r="J1196" s="2" t="s">
        <v>35</v>
      </c>
      <c r="K1196" s="2" t="s">
        <v>35</v>
      </c>
      <c r="L1196" s="2" t="s">
        <v>35</v>
      </c>
      <c r="M1196" s="2" t="s">
        <v>35</v>
      </c>
      <c r="N1196" s="3">
        <v>44762.385607824071</v>
      </c>
      <c r="O1196" s="3">
        <v>44762.385839178241</v>
      </c>
      <c r="P1196" s="2">
        <v>0</v>
      </c>
      <c r="Q1196" s="2" t="s">
        <v>124</v>
      </c>
      <c r="R1196" s="2" t="s">
        <v>38</v>
      </c>
      <c r="S1196" s="2" t="s">
        <v>35</v>
      </c>
      <c r="T1196" s="2" t="s">
        <v>35</v>
      </c>
      <c r="U1196" s="2" t="s">
        <v>35</v>
      </c>
      <c r="V1196" s="2" t="b">
        <v>0</v>
      </c>
      <c r="W1196" s="2" t="s">
        <v>35</v>
      </c>
      <c r="X1196" s="2">
        <v>4</v>
      </c>
      <c r="Y1196" s="2" t="s">
        <v>35</v>
      </c>
      <c r="Z1196" s="2" t="s">
        <v>35</v>
      </c>
    </row>
    <row r="1197" spans="1:26" x14ac:dyDescent="0.2">
      <c r="A1197" s="2" t="s">
        <v>2962</v>
      </c>
      <c r="B1197" s="2" t="b">
        <v>0</v>
      </c>
      <c r="C1197" s="2" t="b">
        <v>0</v>
      </c>
      <c r="D1197" s="2" t="b">
        <v>0</v>
      </c>
      <c r="E1197" s="2" t="b">
        <v>0</v>
      </c>
      <c r="F1197" s="2" t="s">
        <v>121</v>
      </c>
      <c r="G1197" s="2" t="s">
        <v>2963</v>
      </c>
      <c r="H1197" s="2" t="s">
        <v>2964</v>
      </c>
      <c r="I1197" s="2" t="s">
        <v>35</v>
      </c>
      <c r="J1197" s="2" t="s">
        <v>35</v>
      </c>
      <c r="K1197" s="2" t="s">
        <v>35</v>
      </c>
      <c r="L1197" s="2" t="s">
        <v>35</v>
      </c>
      <c r="M1197" s="2" t="s">
        <v>35</v>
      </c>
      <c r="N1197" s="3">
        <v>44762.385913449078</v>
      </c>
      <c r="O1197" s="3">
        <v>44762.386015671298</v>
      </c>
      <c r="P1197" s="2">
        <v>0</v>
      </c>
      <c r="Q1197" s="2" t="s">
        <v>265</v>
      </c>
      <c r="R1197" s="2" t="s">
        <v>38</v>
      </c>
      <c r="S1197" s="2" t="s">
        <v>35</v>
      </c>
      <c r="T1197" s="2" t="s">
        <v>35</v>
      </c>
      <c r="U1197" s="2" t="s">
        <v>35</v>
      </c>
      <c r="V1197" s="2" t="b">
        <v>0</v>
      </c>
      <c r="W1197" s="2" t="s">
        <v>35</v>
      </c>
      <c r="X1197" s="2" t="s">
        <v>35</v>
      </c>
      <c r="Y1197" s="2" t="s">
        <v>35</v>
      </c>
      <c r="Z1197" s="2" t="s">
        <v>35</v>
      </c>
    </row>
    <row r="1198" spans="1:26" x14ac:dyDescent="0.2">
      <c r="A1198" s="2" t="s">
        <v>2965</v>
      </c>
      <c r="B1198" s="2" t="b">
        <v>0</v>
      </c>
      <c r="C1198" s="2" t="b">
        <v>0</v>
      </c>
      <c r="D1198" s="2" t="b">
        <v>0</v>
      </c>
      <c r="E1198" s="2" t="b">
        <v>0</v>
      </c>
      <c r="F1198" s="2" t="s">
        <v>31</v>
      </c>
      <c r="G1198" s="2" t="s">
        <v>2966</v>
      </c>
      <c r="H1198" s="2" t="s">
        <v>2967</v>
      </c>
      <c r="I1198" s="2" t="s">
        <v>35</v>
      </c>
      <c r="J1198" s="2" t="s">
        <v>35</v>
      </c>
      <c r="K1198" s="2" t="s">
        <v>35</v>
      </c>
      <c r="L1198" s="2" t="s">
        <v>35</v>
      </c>
      <c r="M1198" s="2" t="s">
        <v>35</v>
      </c>
      <c r="N1198" s="3">
        <v>44762.386823738423</v>
      </c>
      <c r="O1198" s="3">
        <v>44762.386937129631</v>
      </c>
      <c r="P1198" s="2">
        <v>0</v>
      </c>
      <c r="Q1198" s="2" t="s">
        <v>36</v>
      </c>
      <c r="R1198" s="2" t="s">
        <v>38</v>
      </c>
      <c r="S1198" s="2" t="s">
        <v>35</v>
      </c>
      <c r="T1198" s="2" t="s">
        <v>35</v>
      </c>
      <c r="U1198" s="2" t="s">
        <v>35</v>
      </c>
      <c r="V1198" s="2" t="b">
        <v>0</v>
      </c>
      <c r="W1198" s="2" t="s">
        <v>35</v>
      </c>
      <c r="X1198" s="2" t="s">
        <v>35</v>
      </c>
      <c r="Y1198" s="2" t="s">
        <v>35</v>
      </c>
      <c r="Z1198" s="2">
        <v>2</v>
      </c>
    </row>
    <row r="1199" spans="1:26" x14ac:dyDescent="0.2">
      <c r="A1199" s="2" t="s">
        <v>2968</v>
      </c>
      <c r="B1199" s="2" t="b">
        <v>0</v>
      </c>
      <c r="C1199" s="2" t="b">
        <v>0</v>
      </c>
      <c r="D1199" s="2" t="b">
        <v>0</v>
      </c>
      <c r="E1199" s="2" t="b">
        <v>0</v>
      </c>
      <c r="F1199" s="2" t="s">
        <v>31</v>
      </c>
      <c r="G1199" s="2" t="s">
        <v>2969</v>
      </c>
      <c r="H1199" s="2" t="s">
        <v>2970</v>
      </c>
      <c r="I1199" s="2" t="s">
        <v>35</v>
      </c>
      <c r="J1199" s="2" t="s">
        <v>35</v>
      </c>
      <c r="K1199" s="2" t="s">
        <v>35</v>
      </c>
      <c r="L1199" s="2" t="s">
        <v>35</v>
      </c>
      <c r="M1199" s="2" t="s">
        <v>35</v>
      </c>
      <c r="N1199" s="3">
        <v>44762.387792569447</v>
      </c>
      <c r="O1199" s="3">
        <v>44762.387955150465</v>
      </c>
      <c r="P1199" s="2">
        <v>0</v>
      </c>
      <c r="Q1199" s="2" t="s">
        <v>36</v>
      </c>
      <c r="R1199" s="2" t="s">
        <v>38</v>
      </c>
      <c r="S1199" s="2" t="s">
        <v>35</v>
      </c>
      <c r="T1199" s="2" t="s">
        <v>35</v>
      </c>
      <c r="U1199" s="2" t="s">
        <v>35</v>
      </c>
      <c r="V1199" s="2" t="b">
        <v>0</v>
      </c>
      <c r="W1199" s="2" t="s">
        <v>35</v>
      </c>
      <c r="X1199" s="2" t="s">
        <v>35</v>
      </c>
      <c r="Y1199" s="2" t="s">
        <v>35</v>
      </c>
      <c r="Z1199" s="2">
        <v>5</v>
      </c>
    </row>
    <row r="1200" spans="1:26" x14ac:dyDescent="0.2">
      <c r="A1200" s="2" t="s">
        <v>2971</v>
      </c>
      <c r="B1200" s="2" t="b">
        <v>0</v>
      </c>
      <c r="C1200" s="2" t="b">
        <v>0</v>
      </c>
      <c r="D1200" s="2" t="b">
        <v>0</v>
      </c>
      <c r="E1200" s="2" t="b">
        <v>0</v>
      </c>
      <c r="F1200" s="2" t="s">
        <v>31</v>
      </c>
      <c r="G1200" s="2" t="s">
        <v>2972</v>
      </c>
      <c r="H1200" s="2" t="s">
        <v>2973</v>
      </c>
      <c r="I1200" s="2" t="s">
        <v>35</v>
      </c>
      <c r="J1200" s="2" t="s">
        <v>35</v>
      </c>
      <c r="K1200" s="2" t="s">
        <v>35</v>
      </c>
      <c r="L1200" s="2" t="s">
        <v>35</v>
      </c>
      <c r="M1200" s="2" t="s">
        <v>35</v>
      </c>
      <c r="N1200" s="3">
        <v>44762.388884745371</v>
      </c>
      <c r="O1200" s="3">
        <v>44762.389045856478</v>
      </c>
      <c r="P1200" s="2">
        <v>0</v>
      </c>
      <c r="Q1200" s="2" t="s">
        <v>36</v>
      </c>
      <c r="R1200" s="2" t="s">
        <v>38</v>
      </c>
      <c r="S1200" s="2" t="s">
        <v>35</v>
      </c>
      <c r="T1200" s="2" t="s">
        <v>35</v>
      </c>
      <c r="U1200" s="2" t="s">
        <v>35</v>
      </c>
      <c r="V1200" s="2" t="b">
        <v>0</v>
      </c>
      <c r="W1200" s="2" t="s">
        <v>35</v>
      </c>
      <c r="X1200" s="2" t="s">
        <v>35</v>
      </c>
      <c r="Y1200" s="2" t="s">
        <v>35</v>
      </c>
      <c r="Z1200" s="2">
        <v>4</v>
      </c>
    </row>
    <row r="1201" spans="1:26" x14ac:dyDescent="0.2">
      <c r="A1201" s="2" t="s">
        <v>2974</v>
      </c>
      <c r="B1201" s="2" t="b">
        <v>0</v>
      </c>
      <c r="C1201" s="2" t="b">
        <v>0</v>
      </c>
      <c r="D1201" s="2" t="b">
        <v>0</v>
      </c>
      <c r="E1201" s="2" t="b">
        <v>0</v>
      </c>
      <c r="F1201" s="2" t="s">
        <v>31</v>
      </c>
      <c r="G1201" s="2" t="s">
        <v>2975</v>
      </c>
      <c r="H1201" s="2" t="s">
        <v>2976</v>
      </c>
      <c r="I1201" s="2" t="s">
        <v>35</v>
      </c>
      <c r="J1201" s="2" t="s">
        <v>35</v>
      </c>
      <c r="K1201" s="2" t="s">
        <v>35</v>
      </c>
      <c r="L1201" s="2" t="s">
        <v>35</v>
      </c>
      <c r="M1201" s="2" t="s">
        <v>35</v>
      </c>
      <c r="N1201" s="3">
        <v>44762.390527685187</v>
      </c>
      <c r="O1201" s="3">
        <v>44762.390716145834</v>
      </c>
      <c r="P1201" s="2">
        <v>0</v>
      </c>
      <c r="Q1201" s="2" t="s">
        <v>36</v>
      </c>
      <c r="R1201" s="2" t="s">
        <v>38</v>
      </c>
      <c r="S1201" s="2" t="s">
        <v>35</v>
      </c>
      <c r="T1201" s="2" t="s">
        <v>35</v>
      </c>
      <c r="U1201" s="2" t="s">
        <v>35</v>
      </c>
      <c r="V1201" s="2" t="b">
        <v>0</v>
      </c>
      <c r="W1201" s="2" t="s">
        <v>35</v>
      </c>
      <c r="X1201" s="2" t="s">
        <v>35</v>
      </c>
      <c r="Y1201" s="2" t="s">
        <v>35</v>
      </c>
      <c r="Z1201" s="2">
        <v>3</v>
      </c>
    </row>
    <row r="1202" spans="1:26" x14ac:dyDescent="0.2">
      <c r="A1202" s="2" t="s">
        <v>2977</v>
      </c>
      <c r="B1202" s="2" t="b">
        <v>0</v>
      </c>
      <c r="C1202" s="2" t="b">
        <v>0</v>
      </c>
      <c r="D1202" s="2" t="b">
        <v>0</v>
      </c>
      <c r="E1202" s="2" t="b">
        <v>0</v>
      </c>
      <c r="F1202" s="2" t="s">
        <v>31</v>
      </c>
      <c r="G1202" s="2" t="s">
        <v>2978</v>
      </c>
      <c r="H1202" s="2" t="s">
        <v>2979</v>
      </c>
      <c r="I1202" s="2" t="s">
        <v>675</v>
      </c>
      <c r="J1202" s="2" t="s">
        <v>35</v>
      </c>
      <c r="K1202" s="2" t="s">
        <v>35</v>
      </c>
      <c r="L1202" s="2" t="s">
        <v>35</v>
      </c>
      <c r="M1202" s="2" t="s">
        <v>35</v>
      </c>
      <c r="N1202" s="3">
        <v>44762.390844618058</v>
      </c>
      <c r="O1202" s="3">
        <v>44762.391048055557</v>
      </c>
      <c r="P1202" s="2">
        <v>0</v>
      </c>
      <c r="Q1202" s="2" t="s">
        <v>124</v>
      </c>
      <c r="R1202" s="2" t="s">
        <v>38</v>
      </c>
      <c r="S1202" s="2" t="s">
        <v>35</v>
      </c>
      <c r="T1202" s="2" t="s">
        <v>35</v>
      </c>
      <c r="U1202" s="2" t="s">
        <v>35</v>
      </c>
      <c r="V1202" s="2" t="b">
        <v>0</v>
      </c>
      <c r="W1202" s="2" t="s">
        <v>35</v>
      </c>
      <c r="X1202" s="2">
        <v>4</v>
      </c>
      <c r="Y1202" s="2" t="s">
        <v>35</v>
      </c>
      <c r="Z1202" s="2" t="s">
        <v>35</v>
      </c>
    </row>
    <row r="1203" spans="1:26" x14ac:dyDescent="0.2">
      <c r="A1203" s="2" t="s">
        <v>2980</v>
      </c>
      <c r="B1203" s="2" t="b">
        <v>0</v>
      </c>
      <c r="C1203" s="2" t="b">
        <v>0</v>
      </c>
      <c r="D1203" s="2" t="b">
        <v>0</v>
      </c>
      <c r="E1203" s="2" t="b">
        <v>0</v>
      </c>
      <c r="F1203" s="2" t="s">
        <v>31</v>
      </c>
      <c r="G1203" s="2" t="s">
        <v>2981</v>
      </c>
      <c r="H1203" s="2" t="s">
        <v>2982</v>
      </c>
      <c r="I1203" s="2" t="s">
        <v>35</v>
      </c>
      <c r="J1203" s="2" t="s">
        <v>35</v>
      </c>
      <c r="K1203" s="2" t="s">
        <v>35</v>
      </c>
      <c r="L1203" s="2" t="s">
        <v>35</v>
      </c>
      <c r="M1203" s="2" t="s">
        <v>35</v>
      </c>
      <c r="N1203" s="3">
        <v>44762.391522696758</v>
      </c>
      <c r="O1203" s="3">
        <v>44762.391678854168</v>
      </c>
      <c r="P1203" s="2">
        <v>0</v>
      </c>
      <c r="Q1203" s="2" t="s">
        <v>36</v>
      </c>
      <c r="R1203" s="2" t="s">
        <v>38</v>
      </c>
      <c r="S1203" s="2" t="s">
        <v>35</v>
      </c>
      <c r="T1203" s="2" t="s">
        <v>35</v>
      </c>
      <c r="U1203" s="2" t="s">
        <v>35</v>
      </c>
      <c r="V1203" s="2" t="b">
        <v>0</v>
      </c>
      <c r="W1203" s="2" t="s">
        <v>35</v>
      </c>
      <c r="X1203" s="2" t="s">
        <v>35</v>
      </c>
      <c r="Y1203" s="2" t="s">
        <v>35</v>
      </c>
      <c r="Z1203" s="2">
        <v>3</v>
      </c>
    </row>
    <row r="1204" spans="1:26" x14ac:dyDescent="0.2">
      <c r="A1204" s="2" t="s">
        <v>2983</v>
      </c>
      <c r="B1204" s="2" t="b">
        <v>0</v>
      </c>
      <c r="C1204" s="2" t="b">
        <v>0</v>
      </c>
      <c r="D1204" s="2" t="b">
        <v>0</v>
      </c>
      <c r="E1204" s="2" t="b">
        <v>0</v>
      </c>
      <c r="F1204" s="2" t="s">
        <v>31</v>
      </c>
      <c r="G1204" s="2" t="s">
        <v>2984</v>
      </c>
      <c r="H1204" s="2" t="s">
        <v>2985</v>
      </c>
      <c r="I1204" s="2" t="s">
        <v>35</v>
      </c>
      <c r="J1204" s="2" t="s">
        <v>35</v>
      </c>
      <c r="K1204" s="2" t="s">
        <v>35</v>
      </c>
      <c r="L1204" s="2" t="s">
        <v>35</v>
      </c>
      <c r="M1204" s="2" t="s">
        <v>35</v>
      </c>
      <c r="N1204" s="3">
        <v>44762.393498310186</v>
      </c>
      <c r="O1204" s="3">
        <v>44762.393708310185</v>
      </c>
      <c r="P1204" s="2">
        <v>0</v>
      </c>
      <c r="Q1204" s="2" t="s">
        <v>36</v>
      </c>
      <c r="R1204" s="2" t="s">
        <v>38</v>
      </c>
      <c r="S1204" s="2" t="s">
        <v>35</v>
      </c>
      <c r="T1204" s="2" t="s">
        <v>35</v>
      </c>
      <c r="U1204" s="2" t="s">
        <v>35</v>
      </c>
      <c r="V1204" s="2" t="b">
        <v>0</v>
      </c>
      <c r="W1204" s="2" t="s">
        <v>35</v>
      </c>
      <c r="X1204" s="2" t="s">
        <v>35</v>
      </c>
      <c r="Y1204" s="2" t="s">
        <v>35</v>
      </c>
      <c r="Z1204" s="2">
        <v>3</v>
      </c>
    </row>
    <row r="1205" spans="1:26" x14ac:dyDescent="0.2">
      <c r="A1205" s="2" t="s">
        <v>2986</v>
      </c>
      <c r="B1205" s="2" t="b">
        <v>0</v>
      </c>
      <c r="C1205" s="2" t="b">
        <v>0</v>
      </c>
      <c r="D1205" s="2" t="b">
        <v>0</v>
      </c>
      <c r="E1205" s="2" t="b">
        <v>0</v>
      </c>
      <c r="F1205" s="2" t="s">
        <v>31</v>
      </c>
      <c r="G1205" s="2" t="s">
        <v>2987</v>
      </c>
      <c r="H1205" s="2" t="s">
        <v>2988</v>
      </c>
      <c r="I1205" s="2" t="s">
        <v>662</v>
      </c>
      <c r="J1205" s="2" t="s">
        <v>35</v>
      </c>
      <c r="K1205" s="2" t="s">
        <v>35</v>
      </c>
      <c r="L1205" s="2" t="s">
        <v>35</v>
      </c>
      <c r="M1205" s="2" t="s">
        <v>35</v>
      </c>
      <c r="N1205" s="3">
        <v>44762.39394814815</v>
      </c>
      <c r="O1205" s="3">
        <v>44762.394409270833</v>
      </c>
      <c r="P1205" s="2">
        <v>0</v>
      </c>
      <c r="Q1205" s="2" t="s">
        <v>36</v>
      </c>
      <c r="R1205" s="2" t="s">
        <v>38</v>
      </c>
      <c r="S1205" s="2" t="s">
        <v>35</v>
      </c>
      <c r="T1205" s="2" t="s">
        <v>35</v>
      </c>
      <c r="U1205" s="2" t="s">
        <v>35</v>
      </c>
      <c r="V1205" s="2" t="b">
        <v>0</v>
      </c>
      <c r="W1205" s="2" t="s">
        <v>35</v>
      </c>
      <c r="X1205" s="2" t="s">
        <v>35</v>
      </c>
      <c r="Y1205" s="2">
        <v>10</v>
      </c>
      <c r="Z1205" s="2" t="s">
        <v>35</v>
      </c>
    </row>
    <row r="1206" spans="1:26" x14ac:dyDescent="0.2">
      <c r="A1206" s="2" t="s">
        <v>2989</v>
      </c>
      <c r="B1206" s="2" t="b">
        <v>0</v>
      </c>
      <c r="C1206" s="2" t="b">
        <v>0</v>
      </c>
      <c r="D1206" s="2" t="b">
        <v>0</v>
      </c>
      <c r="E1206" s="2" t="b">
        <v>0</v>
      </c>
      <c r="F1206" s="2" t="s">
        <v>31</v>
      </c>
      <c r="G1206" s="2" t="s">
        <v>2990</v>
      </c>
      <c r="H1206" s="2" t="s">
        <v>2991</v>
      </c>
      <c r="I1206" s="2" t="s">
        <v>2992</v>
      </c>
      <c r="J1206" s="2" t="s">
        <v>35</v>
      </c>
      <c r="K1206" s="2" t="s">
        <v>35</v>
      </c>
      <c r="L1206" s="2" t="s">
        <v>35</v>
      </c>
      <c r="M1206" s="2" t="s">
        <v>35</v>
      </c>
      <c r="N1206" s="3">
        <v>44762.396003888891</v>
      </c>
      <c r="O1206" s="3">
        <v>44762.396347743059</v>
      </c>
      <c r="P1206" s="2">
        <v>0</v>
      </c>
      <c r="Q1206" s="2" t="s">
        <v>36</v>
      </c>
      <c r="R1206" s="2" t="s">
        <v>38</v>
      </c>
      <c r="S1206" s="2" t="s">
        <v>35</v>
      </c>
      <c r="T1206" s="2" t="s">
        <v>35</v>
      </c>
      <c r="U1206" s="2" t="s">
        <v>35</v>
      </c>
      <c r="V1206" s="2" t="b">
        <v>0</v>
      </c>
      <c r="W1206" s="2" t="s">
        <v>35</v>
      </c>
      <c r="X1206" s="2" t="s">
        <v>35</v>
      </c>
      <c r="Y1206" s="2">
        <v>4</v>
      </c>
      <c r="Z1206" s="2" t="s">
        <v>35</v>
      </c>
    </row>
    <row r="1207" spans="1:26" x14ac:dyDescent="0.2">
      <c r="A1207" s="2" t="s">
        <v>2993</v>
      </c>
      <c r="B1207" s="2" t="b">
        <v>0</v>
      </c>
      <c r="C1207" s="2" t="b">
        <v>0</v>
      </c>
      <c r="D1207" s="2" t="b">
        <v>0</v>
      </c>
      <c r="E1207" s="2" t="b">
        <v>0</v>
      </c>
      <c r="F1207" s="2" t="s">
        <v>31</v>
      </c>
      <c r="G1207" s="2" t="s">
        <v>2994</v>
      </c>
      <c r="H1207" s="2" t="s">
        <v>2995</v>
      </c>
      <c r="I1207" s="2" t="s">
        <v>2992</v>
      </c>
      <c r="J1207" s="2" t="s">
        <v>35</v>
      </c>
      <c r="K1207" s="2" t="s">
        <v>35</v>
      </c>
      <c r="L1207" s="2" t="s">
        <v>35</v>
      </c>
      <c r="M1207" s="2" t="s">
        <v>35</v>
      </c>
      <c r="N1207" s="3">
        <v>44762.39653810185</v>
      </c>
      <c r="O1207" s="3">
        <v>44762.39697681713</v>
      </c>
      <c r="P1207" s="2">
        <v>0</v>
      </c>
      <c r="Q1207" s="2" t="s">
        <v>36</v>
      </c>
      <c r="R1207" s="2" t="s">
        <v>38</v>
      </c>
      <c r="S1207" s="2" t="s">
        <v>35</v>
      </c>
      <c r="T1207" s="2" t="s">
        <v>35</v>
      </c>
      <c r="U1207" s="2" t="s">
        <v>35</v>
      </c>
      <c r="V1207" s="2" t="b">
        <v>0</v>
      </c>
      <c r="W1207" s="2" t="s">
        <v>35</v>
      </c>
      <c r="X1207" s="2" t="s">
        <v>35</v>
      </c>
      <c r="Y1207" s="2">
        <v>4</v>
      </c>
      <c r="Z1207" s="2" t="s">
        <v>35</v>
      </c>
    </row>
    <row r="1208" spans="1:26" x14ac:dyDescent="0.2">
      <c r="A1208" s="2" t="s">
        <v>2996</v>
      </c>
      <c r="B1208" s="2" t="b">
        <v>0</v>
      </c>
      <c r="C1208" s="2" t="b">
        <v>0</v>
      </c>
      <c r="D1208" s="2" t="b">
        <v>0</v>
      </c>
      <c r="E1208" s="2" t="b">
        <v>0</v>
      </c>
      <c r="F1208" s="2" t="s">
        <v>31</v>
      </c>
      <c r="G1208" s="2" t="s">
        <v>2997</v>
      </c>
      <c r="H1208" s="2" t="s">
        <v>2998</v>
      </c>
      <c r="I1208" s="2" t="s">
        <v>1275</v>
      </c>
      <c r="J1208" s="2" t="s">
        <v>35</v>
      </c>
      <c r="K1208" s="2" t="s">
        <v>35</v>
      </c>
      <c r="L1208" s="2" t="s">
        <v>35</v>
      </c>
      <c r="M1208" s="2" t="s">
        <v>35</v>
      </c>
      <c r="N1208" s="3">
        <v>44762.397553263887</v>
      </c>
      <c r="O1208" s="3">
        <v>44762.397891284723</v>
      </c>
      <c r="P1208" s="2">
        <v>0</v>
      </c>
      <c r="Q1208" s="2" t="s">
        <v>36</v>
      </c>
      <c r="R1208" s="2" t="s">
        <v>38</v>
      </c>
      <c r="S1208" s="2" t="s">
        <v>35</v>
      </c>
      <c r="T1208" s="2" t="s">
        <v>35</v>
      </c>
      <c r="U1208" s="2" t="s">
        <v>35</v>
      </c>
      <c r="V1208" s="2" t="b">
        <v>0</v>
      </c>
      <c r="W1208" s="2" t="s">
        <v>35</v>
      </c>
      <c r="X1208" s="2" t="s">
        <v>35</v>
      </c>
      <c r="Y1208" s="2">
        <v>10</v>
      </c>
      <c r="Z1208" s="2" t="s">
        <v>35</v>
      </c>
    </row>
    <row r="1209" spans="1:26" x14ac:dyDescent="0.2">
      <c r="A1209" s="2" t="s">
        <v>2999</v>
      </c>
      <c r="B1209" s="2" t="b">
        <v>0</v>
      </c>
      <c r="C1209" s="2" t="b">
        <v>0</v>
      </c>
      <c r="D1209" s="2" t="b">
        <v>0</v>
      </c>
      <c r="E1209" s="2" t="b">
        <v>0</v>
      </c>
      <c r="F1209" s="2" t="s">
        <v>31</v>
      </c>
      <c r="G1209" s="2" t="s">
        <v>3000</v>
      </c>
      <c r="H1209" s="2" t="s">
        <v>3001</v>
      </c>
      <c r="I1209" s="2" t="s">
        <v>35</v>
      </c>
      <c r="J1209" s="2" t="s">
        <v>35</v>
      </c>
      <c r="K1209" s="2">
        <v>9</v>
      </c>
      <c r="L1209" s="2" t="s">
        <v>35</v>
      </c>
      <c r="M1209" s="2" t="s">
        <v>35</v>
      </c>
      <c r="N1209" s="3">
        <v>44762.397977858796</v>
      </c>
      <c r="O1209" s="3">
        <v>44762.39830591435</v>
      </c>
      <c r="P1209" s="2">
        <v>0</v>
      </c>
      <c r="Q1209" s="2" t="s">
        <v>265</v>
      </c>
      <c r="R1209" s="2" t="s">
        <v>38</v>
      </c>
      <c r="S1209" s="2" t="s">
        <v>35</v>
      </c>
      <c r="T1209" s="2" t="s">
        <v>35</v>
      </c>
      <c r="U1209" s="2" t="s">
        <v>35</v>
      </c>
      <c r="V1209" s="2" t="b">
        <v>0</v>
      </c>
      <c r="W1209" s="2" t="s">
        <v>35</v>
      </c>
      <c r="X1209" s="2" t="s">
        <v>35</v>
      </c>
      <c r="Y1209" s="2" t="s">
        <v>35</v>
      </c>
      <c r="Z1209" s="2" t="s">
        <v>35</v>
      </c>
    </row>
    <row r="1210" spans="1:26" x14ac:dyDescent="0.2">
      <c r="A1210" s="2" t="s">
        <v>3002</v>
      </c>
      <c r="B1210" s="2" t="b">
        <v>0</v>
      </c>
      <c r="C1210" s="2" t="b">
        <v>0</v>
      </c>
      <c r="D1210" s="2" t="b">
        <v>0</v>
      </c>
      <c r="E1210" s="2" t="b">
        <v>0</v>
      </c>
      <c r="F1210" s="2" t="s">
        <v>31</v>
      </c>
      <c r="G1210" s="2" t="s">
        <v>3003</v>
      </c>
      <c r="H1210" s="2" t="s">
        <v>3004</v>
      </c>
      <c r="I1210" s="2" t="s">
        <v>1574</v>
      </c>
      <c r="J1210" s="2" t="s">
        <v>35</v>
      </c>
      <c r="K1210" s="2" t="s">
        <v>35</v>
      </c>
      <c r="L1210" s="2">
        <v>63</v>
      </c>
      <c r="M1210" s="2">
        <v>9</v>
      </c>
      <c r="N1210" s="3">
        <v>44762.398453032409</v>
      </c>
      <c r="O1210" s="3">
        <v>44762.399341412034</v>
      </c>
      <c r="P1210" s="2">
        <v>0</v>
      </c>
      <c r="Q1210" s="2" t="s">
        <v>54</v>
      </c>
      <c r="R1210" s="2" t="s">
        <v>38</v>
      </c>
      <c r="S1210" s="2" t="s">
        <v>35</v>
      </c>
      <c r="T1210" s="2" t="s">
        <v>35</v>
      </c>
      <c r="U1210" s="2" t="s">
        <v>35</v>
      </c>
      <c r="V1210" s="2" t="b">
        <v>1</v>
      </c>
      <c r="W1210" s="2" t="s">
        <v>35</v>
      </c>
      <c r="X1210" s="2" t="s">
        <v>35</v>
      </c>
      <c r="Y1210" s="2" t="s">
        <v>35</v>
      </c>
      <c r="Z1210" s="2" t="s">
        <v>35</v>
      </c>
    </row>
    <row r="1211" spans="1:26" x14ac:dyDescent="0.2">
      <c r="A1211" s="2" t="s">
        <v>3005</v>
      </c>
      <c r="B1211" s="2" t="b">
        <v>0</v>
      </c>
      <c r="C1211" s="2" t="b">
        <v>0</v>
      </c>
      <c r="D1211" s="2" t="b">
        <v>0</v>
      </c>
      <c r="E1211" s="2" t="b">
        <v>0</v>
      </c>
      <c r="F1211" s="2" t="s">
        <v>31</v>
      </c>
      <c r="G1211" s="2" t="s">
        <v>3006</v>
      </c>
      <c r="H1211" s="2" t="s">
        <v>3007</v>
      </c>
      <c r="I1211" s="2" t="s">
        <v>2267</v>
      </c>
      <c r="J1211" s="2" t="s">
        <v>35</v>
      </c>
      <c r="K1211" s="2" t="s">
        <v>35</v>
      </c>
      <c r="L1211" s="2">
        <v>4</v>
      </c>
      <c r="M1211" s="2">
        <v>9</v>
      </c>
      <c r="N1211" s="3">
        <v>44762.399485844908</v>
      </c>
      <c r="O1211" s="3">
        <v>44762.399774548612</v>
      </c>
      <c r="P1211" s="2">
        <v>0</v>
      </c>
      <c r="Q1211" s="2" t="s">
        <v>54</v>
      </c>
      <c r="R1211" s="2" t="s">
        <v>38</v>
      </c>
      <c r="S1211" s="2" t="s">
        <v>35</v>
      </c>
      <c r="T1211" s="2" t="s">
        <v>35</v>
      </c>
      <c r="U1211" s="2" t="s">
        <v>35</v>
      </c>
      <c r="V1211" s="2" t="b">
        <v>1</v>
      </c>
      <c r="W1211" s="2" t="s">
        <v>35</v>
      </c>
      <c r="X1211" s="2" t="s">
        <v>35</v>
      </c>
      <c r="Y1211" s="2" t="s">
        <v>35</v>
      </c>
      <c r="Z1211" s="2" t="s">
        <v>35</v>
      </c>
    </row>
    <row r="1212" spans="1:26" x14ac:dyDescent="0.2">
      <c r="A1212" s="2" t="s">
        <v>3008</v>
      </c>
      <c r="B1212" s="2" t="b">
        <v>0</v>
      </c>
      <c r="C1212" s="2" t="b">
        <v>0</v>
      </c>
      <c r="D1212" s="2" t="b">
        <v>0</v>
      </c>
      <c r="E1212" s="2" t="b">
        <v>0</v>
      </c>
      <c r="F1212" s="2" t="s">
        <v>31</v>
      </c>
      <c r="G1212" s="2" t="s">
        <v>3009</v>
      </c>
      <c r="H1212" s="2" t="s">
        <v>3010</v>
      </c>
      <c r="I1212" s="2" t="s">
        <v>35</v>
      </c>
      <c r="J1212" s="2" t="s">
        <v>35</v>
      </c>
      <c r="K1212" s="2" t="s">
        <v>35</v>
      </c>
      <c r="L1212" s="2">
        <v>30</v>
      </c>
      <c r="M1212" s="2">
        <v>15</v>
      </c>
      <c r="N1212" s="3">
        <v>44762.400088692128</v>
      </c>
      <c r="O1212" s="3">
        <v>44762.400515752313</v>
      </c>
      <c r="P1212" s="2">
        <v>0</v>
      </c>
      <c r="Q1212" s="2" t="s">
        <v>54</v>
      </c>
      <c r="R1212" s="2" t="s">
        <v>38</v>
      </c>
      <c r="S1212" s="2" t="s">
        <v>35</v>
      </c>
      <c r="T1212" s="2" t="s">
        <v>35</v>
      </c>
      <c r="U1212" s="2" t="s">
        <v>35</v>
      </c>
      <c r="V1212" s="2" t="b">
        <v>0</v>
      </c>
      <c r="W1212" s="2" t="s">
        <v>35</v>
      </c>
      <c r="X1212" s="2" t="s">
        <v>35</v>
      </c>
      <c r="Y1212" s="2" t="s">
        <v>35</v>
      </c>
      <c r="Z1212" s="2" t="s">
        <v>35</v>
      </c>
    </row>
    <row r="1213" spans="1:26" x14ac:dyDescent="0.2">
      <c r="A1213" s="2" t="s">
        <v>3011</v>
      </c>
      <c r="B1213" s="2" t="b">
        <v>0</v>
      </c>
      <c r="C1213" s="2" t="b">
        <v>0</v>
      </c>
      <c r="D1213" s="2" t="b">
        <v>0</v>
      </c>
      <c r="E1213" s="2" t="b">
        <v>0</v>
      </c>
      <c r="F1213" s="2" t="s">
        <v>31</v>
      </c>
      <c r="G1213" s="2" t="s">
        <v>3012</v>
      </c>
      <c r="H1213" s="2" t="s">
        <v>3013</v>
      </c>
      <c r="I1213" s="2" t="s">
        <v>662</v>
      </c>
      <c r="J1213" s="2" t="s">
        <v>35</v>
      </c>
      <c r="K1213" s="2" t="s">
        <v>35</v>
      </c>
      <c r="L1213" s="2" t="s">
        <v>35</v>
      </c>
      <c r="M1213" s="2" t="s">
        <v>35</v>
      </c>
      <c r="N1213" s="3">
        <v>44762.400926354167</v>
      </c>
      <c r="O1213" s="3">
        <v>44762.401323715276</v>
      </c>
      <c r="P1213" s="2">
        <v>0</v>
      </c>
      <c r="Q1213" s="2" t="s">
        <v>36</v>
      </c>
      <c r="R1213" s="2" t="s">
        <v>38</v>
      </c>
      <c r="S1213" s="2" t="s">
        <v>35</v>
      </c>
      <c r="T1213" s="2" t="s">
        <v>35</v>
      </c>
      <c r="U1213" s="2" t="s">
        <v>35</v>
      </c>
      <c r="V1213" s="2" t="b">
        <v>0</v>
      </c>
      <c r="W1213" s="2" t="s">
        <v>35</v>
      </c>
      <c r="X1213" s="2" t="s">
        <v>35</v>
      </c>
      <c r="Y1213" s="2">
        <v>6</v>
      </c>
      <c r="Z1213" s="2" t="s">
        <v>35</v>
      </c>
    </row>
    <row r="1214" spans="1:26" x14ac:dyDescent="0.2">
      <c r="A1214" s="2" t="s">
        <v>3014</v>
      </c>
      <c r="B1214" s="2" t="b">
        <v>0</v>
      </c>
      <c r="C1214" s="2" t="b">
        <v>0</v>
      </c>
      <c r="D1214" s="2" t="b">
        <v>0</v>
      </c>
      <c r="E1214" s="2" t="b">
        <v>0</v>
      </c>
      <c r="F1214" s="2" t="s">
        <v>31</v>
      </c>
      <c r="G1214" s="2" t="s">
        <v>3015</v>
      </c>
      <c r="H1214" s="2" t="s">
        <v>3016</v>
      </c>
      <c r="I1214" s="2" t="s">
        <v>35</v>
      </c>
      <c r="J1214" s="2" t="s">
        <v>35</v>
      </c>
      <c r="K1214" s="2" t="s">
        <v>35</v>
      </c>
      <c r="L1214" s="2">
        <v>2</v>
      </c>
      <c r="M1214" s="2">
        <v>15</v>
      </c>
      <c r="N1214" s="3">
        <v>44762.402332291669</v>
      </c>
      <c r="O1214" s="3">
        <v>44762.402522881945</v>
      </c>
      <c r="P1214" s="2">
        <v>0</v>
      </c>
      <c r="Q1214" s="2" t="s">
        <v>54</v>
      </c>
      <c r="R1214" s="2" t="s">
        <v>38</v>
      </c>
      <c r="S1214" s="2" t="s">
        <v>35</v>
      </c>
      <c r="T1214" s="2" t="s">
        <v>35</v>
      </c>
      <c r="U1214" s="2" t="s">
        <v>35</v>
      </c>
      <c r="V1214" s="2" t="b">
        <v>0</v>
      </c>
      <c r="W1214" s="2" t="s">
        <v>35</v>
      </c>
      <c r="X1214" s="2" t="s">
        <v>35</v>
      </c>
      <c r="Y1214" s="2" t="s">
        <v>35</v>
      </c>
      <c r="Z1214" s="2" t="s">
        <v>35</v>
      </c>
    </row>
    <row r="1215" spans="1:26" x14ac:dyDescent="0.2">
      <c r="A1215" s="2" t="s">
        <v>3017</v>
      </c>
      <c r="B1215" s="2" t="b">
        <v>0</v>
      </c>
      <c r="C1215" s="2" t="b">
        <v>0</v>
      </c>
      <c r="D1215" s="2" t="b">
        <v>0</v>
      </c>
      <c r="E1215" s="2" t="b">
        <v>0</v>
      </c>
      <c r="F1215" s="2" t="s">
        <v>31</v>
      </c>
      <c r="G1215" s="2" t="s">
        <v>3018</v>
      </c>
      <c r="H1215" s="2" t="s">
        <v>3019</v>
      </c>
      <c r="I1215" s="2" t="s">
        <v>35</v>
      </c>
      <c r="J1215" s="2" t="s">
        <v>35</v>
      </c>
      <c r="K1215" s="2" t="s">
        <v>35</v>
      </c>
      <c r="L1215" s="2">
        <v>39</v>
      </c>
      <c r="M1215" s="2">
        <v>15</v>
      </c>
      <c r="N1215" s="3">
        <v>44762.402628587966</v>
      </c>
      <c r="O1215" s="3">
        <v>44762.403149976853</v>
      </c>
      <c r="P1215" s="2">
        <v>0</v>
      </c>
      <c r="Q1215" s="2" t="s">
        <v>54</v>
      </c>
      <c r="R1215" s="2" t="s">
        <v>38</v>
      </c>
      <c r="S1215" s="2" t="s">
        <v>35</v>
      </c>
      <c r="T1215" s="2" t="s">
        <v>35</v>
      </c>
      <c r="U1215" s="2" t="s">
        <v>35</v>
      </c>
      <c r="V1215" s="2" t="b">
        <v>0</v>
      </c>
      <c r="W1215" s="2" t="s">
        <v>35</v>
      </c>
      <c r="X1215" s="2" t="s">
        <v>35</v>
      </c>
      <c r="Y1215" s="2" t="s">
        <v>35</v>
      </c>
      <c r="Z1215" s="2" t="s">
        <v>35</v>
      </c>
    </row>
    <row r="1216" spans="1:26" x14ac:dyDescent="0.2">
      <c r="A1216" s="2" t="s">
        <v>3020</v>
      </c>
      <c r="B1216" s="2" t="b">
        <v>0</v>
      </c>
      <c r="C1216" s="2" t="b">
        <v>0</v>
      </c>
      <c r="D1216" s="2" t="b">
        <v>0</v>
      </c>
      <c r="E1216" s="2" t="b">
        <v>0</v>
      </c>
      <c r="F1216" s="2" t="s">
        <v>31</v>
      </c>
      <c r="G1216" s="2" t="s">
        <v>3021</v>
      </c>
      <c r="H1216" s="2" t="s">
        <v>3022</v>
      </c>
      <c r="I1216" s="2" t="s">
        <v>35</v>
      </c>
      <c r="J1216" s="2" t="s">
        <v>35</v>
      </c>
      <c r="K1216" s="2" t="s">
        <v>35</v>
      </c>
      <c r="L1216" s="2">
        <v>6</v>
      </c>
      <c r="M1216" s="2">
        <v>15</v>
      </c>
      <c r="N1216" s="3">
        <v>44762.403779340275</v>
      </c>
      <c r="O1216" s="3">
        <v>44762.403904386571</v>
      </c>
      <c r="P1216" s="2">
        <v>0</v>
      </c>
      <c r="Q1216" s="2" t="s">
        <v>54</v>
      </c>
      <c r="R1216" s="2" t="s">
        <v>38</v>
      </c>
      <c r="S1216" s="2" t="s">
        <v>35</v>
      </c>
      <c r="T1216" s="2" t="s">
        <v>35</v>
      </c>
      <c r="U1216" s="2" t="s">
        <v>35</v>
      </c>
      <c r="V1216" s="2" t="b">
        <v>0</v>
      </c>
      <c r="W1216" s="2" t="s">
        <v>35</v>
      </c>
      <c r="X1216" s="2" t="s">
        <v>35</v>
      </c>
      <c r="Y1216" s="2" t="s">
        <v>35</v>
      </c>
      <c r="Z1216" s="2" t="s">
        <v>35</v>
      </c>
    </row>
    <row r="1217" spans="1:26" x14ac:dyDescent="0.2">
      <c r="A1217" s="2" t="s">
        <v>3023</v>
      </c>
      <c r="B1217" s="2" t="b">
        <v>0</v>
      </c>
      <c r="C1217" s="2" t="b">
        <v>0</v>
      </c>
      <c r="D1217" s="2" t="b">
        <v>0</v>
      </c>
      <c r="E1217" s="2" t="b">
        <v>0</v>
      </c>
      <c r="F1217" s="2" t="s">
        <v>31</v>
      </c>
      <c r="G1217" s="2" t="s">
        <v>3024</v>
      </c>
      <c r="H1217" s="2" t="s">
        <v>3025</v>
      </c>
      <c r="I1217" s="2" t="s">
        <v>35</v>
      </c>
      <c r="J1217" s="2" t="s">
        <v>35</v>
      </c>
      <c r="K1217" s="2" t="s">
        <v>35</v>
      </c>
      <c r="L1217" s="2">
        <v>3</v>
      </c>
      <c r="M1217" s="2">
        <v>12</v>
      </c>
      <c r="N1217" s="3">
        <v>44762.405081527781</v>
      </c>
      <c r="O1217" s="3">
        <v>44762.405263194443</v>
      </c>
      <c r="P1217" s="2">
        <v>0</v>
      </c>
      <c r="Q1217" s="2" t="s">
        <v>54</v>
      </c>
      <c r="R1217" s="2" t="s">
        <v>38</v>
      </c>
      <c r="S1217" s="2" t="s">
        <v>35</v>
      </c>
      <c r="T1217" s="2" t="s">
        <v>35</v>
      </c>
      <c r="U1217" s="2" t="s">
        <v>35</v>
      </c>
      <c r="V1217" s="2" t="b">
        <v>0</v>
      </c>
      <c r="W1217" s="2" t="s">
        <v>35</v>
      </c>
      <c r="X1217" s="2" t="s">
        <v>35</v>
      </c>
      <c r="Y1217" s="2" t="s">
        <v>35</v>
      </c>
      <c r="Z1217" s="2" t="s">
        <v>35</v>
      </c>
    </row>
    <row r="1218" spans="1:26" x14ac:dyDescent="0.2">
      <c r="A1218" s="2" t="s">
        <v>3026</v>
      </c>
      <c r="B1218" s="2" t="b">
        <v>0</v>
      </c>
      <c r="C1218" s="2" t="b">
        <v>0</v>
      </c>
      <c r="D1218" s="2" t="b">
        <v>0</v>
      </c>
      <c r="E1218" s="2" t="b">
        <v>0</v>
      </c>
      <c r="F1218" s="2" t="s">
        <v>31</v>
      </c>
      <c r="G1218" s="2" t="s">
        <v>3027</v>
      </c>
      <c r="H1218" s="2" t="s">
        <v>3028</v>
      </c>
      <c r="I1218" s="2" t="s">
        <v>3029</v>
      </c>
      <c r="J1218" s="2" t="s">
        <v>35</v>
      </c>
      <c r="K1218" s="2" t="s">
        <v>35</v>
      </c>
      <c r="L1218" s="2" t="s">
        <v>35</v>
      </c>
      <c r="M1218" s="2" t="s">
        <v>35</v>
      </c>
      <c r="N1218" s="3">
        <v>44762.405527812502</v>
      </c>
      <c r="O1218" s="3">
        <v>44762.405808530093</v>
      </c>
      <c r="P1218" s="2">
        <v>0</v>
      </c>
      <c r="Q1218" s="2" t="s">
        <v>36</v>
      </c>
      <c r="R1218" s="2" t="s">
        <v>38</v>
      </c>
      <c r="S1218" s="2" t="s">
        <v>35</v>
      </c>
      <c r="T1218" s="2" t="s">
        <v>35</v>
      </c>
      <c r="U1218" s="2" t="s">
        <v>35</v>
      </c>
      <c r="V1218" s="2" t="b">
        <v>0</v>
      </c>
      <c r="W1218" s="2" t="s">
        <v>35</v>
      </c>
      <c r="X1218" s="2" t="s">
        <v>35</v>
      </c>
      <c r="Y1218" s="2">
        <v>5</v>
      </c>
      <c r="Z1218" s="2" t="s">
        <v>35</v>
      </c>
    </row>
    <row r="1219" spans="1:26" x14ac:dyDescent="0.2">
      <c r="A1219" s="2" t="s">
        <v>3030</v>
      </c>
      <c r="B1219" s="2" t="b">
        <v>0</v>
      </c>
      <c r="C1219" s="2" t="b">
        <v>0</v>
      </c>
      <c r="D1219" s="2" t="b">
        <v>0</v>
      </c>
      <c r="E1219" s="2" t="b">
        <v>0</v>
      </c>
      <c r="F1219" s="2" t="s">
        <v>31</v>
      </c>
      <c r="G1219" s="2" t="s">
        <v>3031</v>
      </c>
      <c r="H1219" s="2" t="s">
        <v>3032</v>
      </c>
      <c r="I1219" s="2" t="s">
        <v>35</v>
      </c>
      <c r="J1219" s="2" t="s">
        <v>35</v>
      </c>
      <c r="K1219" s="2" t="s">
        <v>35</v>
      </c>
      <c r="L1219" s="2" t="s">
        <v>35</v>
      </c>
      <c r="M1219" s="2" t="s">
        <v>35</v>
      </c>
      <c r="N1219" s="3">
        <v>44762.406070844911</v>
      </c>
      <c r="O1219" s="3">
        <v>44762.406559039351</v>
      </c>
      <c r="P1219" s="2">
        <v>0</v>
      </c>
      <c r="Q1219" s="2" t="s">
        <v>36</v>
      </c>
      <c r="R1219" s="2" t="s">
        <v>38</v>
      </c>
      <c r="S1219" s="2" t="s">
        <v>35</v>
      </c>
      <c r="T1219" s="2" t="s">
        <v>35</v>
      </c>
      <c r="U1219" s="2" t="s">
        <v>35</v>
      </c>
      <c r="V1219" s="2" t="b">
        <v>0</v>
      </c>
      <c r="W1219" s="2" t="s">
        <v>2697</v>
      </c>
      <c r="X1219" s="2" t="s">
        <v>35</v>
      </c>
      <c r="Y1219" s="2" t="s">
        <v>35</v>
      </c>
      <c r="Z1219" s="2" t="s">
        <v>35</v>
      </c>
    </row>
    <row r="1220" spans="1:26" x14ac:dyDescent="0.2">
      <c r="A1220" s="2" t="s">
        <v>3033</v>
      </c>
      <c r="B1220" s="2" t="b">
        <v>0</v>
      </c>
      <c r="C1220" s="2" t="b">
        <v>0</v>
      </c>
      <c r="D1220" s="2" t="b">
        <v>0</v>
      </c>
      <c r="E1220" s="2" t="b">
        <v>0</v>
      </c>
      <c r="F1220" s="2" t="s">
        <v>31</v>
      </c>
      <c r="G1220" s="2" t="s">
        <v>3034</v>
      </c>
      <c r="H1220" s="2" t="s">
        <v>3035</v>
      </c>
      <c r="I1220" s="2" t="s">
        <v>1275</v>
      </c>
      <c r="J1220" s="2" t="s">
        <v>35</v>
      </c>
      <c r="K1220" s="2" t="s">
        <v>35</v>
      </c>
      <c r="L1220" s="2" t="s">
        <v>35</v>
      </c>
      <c r="M1220" s="2" t="s">
        <v>35</v>
      </c>
      <c r="N1220" s="3">
        <v>44762.411712094909</v>
      </c>
      <c r="O1220" s="3">
        <v>44762.411981666664</v>
      </c>
      <c r="P1220" s="2">
        <v>0</v>
      </c>
      <c r="Q1220" s="2" t="s">
        <v>36</v>
      </c>
      <c r="R1220" s="2" t="s">
        <v>38</v>
      </c>
      <c r="S1220" s="2" t="s">
        <v>35</v>
      </c>
      <c r="T1220" s="2" t="s">
        <v>35</v>
      </c>
      <c r="U1220" s="2" t="s">
        <v>35</v>
      </c>
      <c r="V1220" s="2" t="b">
        <v>0</v>
      </c>
      <c r="W1220" s="2" t="s">
        <v>35</v>
      </c>
      <c r="X1220" s="2" t="s">
        <v>35</v>
      </c>
      <c r="Y1220" s="2">
        <v>4</v>
      </c>
      <c r="Z1220" s="2" t="s">
        <v>35</v>
      </c>
    </row>
    <row r="1221" spans="1:26" x14ac:dyDescent="0.2">
      <c r="A1221" s="2" t="s">
        <v>3036</v>
      </c>
      <c r="B1221" s="2" t="b">
        <v>0</v>
      </c>
      <c r="C1221" s="2" t="b">
        <v>0</v>
      </c>
      <c r="D1221" s="2" t="b">
        <v>0</v>
      </c>
      <c r="E1221" s="2" t="b">
        <v>0</v>
      </c>
      <c r="F1221" s="2" t="s">
        <v>31</v>
      </c>
      <c r="G1221" s="2" t="s">
        <v>3037</v>
      </c>
      <c r="H1221" s="2" t="s">
        <v>3038</v>
      </c>
      <c r="I1221" s="2" t="s">
        <v>35</v>
      </c>
      <c r="J1221" s="2" t="s">
        <v>35</v>
      </c>
      <c r="K1221" s="2" t="s">
        <v>35</v>
      </c>
      <c r="L1221" s="2" t="s">
        <v>35</v>
      </c>
      <c r="M1221" s="2" t="s">
        <v>35</v>
      </c>
      <c r="N1221" s="3">
        <v>44762.412477002312</v>
      </c>
      <c r="O1221" s="3">
        <v>44762.412743842593</v>
      </c>
      <c r="P1221" s="2">
        <v>0</v>
      </c>
      <c r="Q1221" s="2" t="s">
        <v>36</v>
      </c>
      <c r="R1221" s="2" t="s">
        <v>38</v>
      </c>
      <c r="S1221" s="2" t="s">
        <v>35</v>
      </c>
      <c r="T1221" s="2" t="s">
        <v>35</v>
      </c>
      <c r="U1221" s="2" t="s">
        <v>35</v>
      </c>
      <c r="V1221" s="2" t="b">
        <v>0</v>
      </c>
      <c r="W1221" s="2" t="s">
        <v>35</v>
      </c>
      <c r="X1221" s="2" t="s">
        <v>35</v>
      </c>
      <c r="Y1221" s="2" t="s">
        <v>35</v>
      </c>
      <c r="Z1221" s="2">
        <v>3</v>
      </c>
    </row>
    <row r="1222" spans="1:26" x14ac:dyDescent="0.2">
      <c r="A1222" s="2" t="s">
        <v>3039</v>
      </c>
      <c r="B1222" s="2" t="b">
        <v>0</v>
      </c>
      <c r="C1222" s="2" t="b">
        <v>0</v>
      </c>
      <c r="D1222" s="2" t="b">
        <v>0</v>
      </c>
      <c r="E1222" s="2" t="b">
        <v>0</v>
      </c>
      <c r="F1222" s="2" t="s">
        <v>31</v>
      </c>
      <c r="G1222" s="2" t="s">
        <v>3040</v>
      </c>
      <c r="H1222" s="2" t="s">
        <v>3041</v>
      </c>
      <c r="I1222" s="2" t="s">
        <v>35</v>
      </c>
      <c r="J1222" s="2" t="s">
        <v>35</v>
      </c>
      <c r="K1222" s="2">
        <v>14</v>
      </c>
      <c r="L1222" s="2" t="s">
        <v>35</v>
      </c>
      <c r="M1222" s="2" t="s">
        <v>35</v>
      </c>
      <c r="N1222" s="3">
        <v>44762.413060694445</v>
      </c>
      <c r="O1222" s="3">
        <v>44762.413368414353</v>
      </c>
      <c r="P1222" s="2">
        <v>0</v>
      </c>
      <c r="Q1222" s="2" t="s">
        <v>265</v>
      </c>
      <c r="R1222" s="2" t="s">
        <v>38</v>
      </c>
      <c r="S1222" s="2" t="s">
        <v>35</v>
      </c>
      <c r="T1222" s="2" t="s">
        <v>35</v>
      </c>
      <c r="U1222" s="2" t="s">
        <v>35</v>
      </c>
      <c r="V1222" s="2" t="b">
        <v>0</v>
      </c>
      <c r="W1222" s="2" t="s">
        <v>35</v>
      </c>
      <c r="X1222" s="2" t="s">
        <v>35</v>
      </c>
      <c r="Y1222" s="2" t="s">
        <v>35</v>
      </c>
      <c r="Z1222" s="2" t="s">
        <v>35</v>
      </c>
    </row>
    <row r="1223" spans="1:26" x14ac:dyDescent="0.2">
      <c r="A1223" s="2" t="s">
        <v>3042</v>
      </c>
      <c r="B1223" s="2" t="b">
        <v>0</v>
      </c>
      <c r="C1223" s="2" t="b">
        <v>0</v>
      </c>
      <c r="D1223" s="2" t="b">
        <v>0</v>
      </c>
      <c r="E1223" s="2" t="b">
        <v>0</v>
      </c>
      <c r="F1223" s="2" t="s">
        <v>31</v>
      </c>
      <c r="G1223" s="2" t="s">
        <v>3043</v>
      </c>
      <c r="H1223" s="2" t="s">
        <v>3044</v>
      </c>
      <c r="I1223" s="2" t="s">
        <v>35</v>
      </c>
      <c r="J1223" s="2" t="s">
        <v>35</v>
      </c>
      <c r="K1223" s="2">
        <v>13</v>
      </c>
      <c r="L1223" s="2" t="s">
        <v>35</v>
      </c>
      <c r="M1223" s="2" t="s">
        <v>35</v>
      </c>
      <c r="N1223" s="3">
        <v>44762.413397951386</v>
      </c>
      <c r="O1223" s="3">
        <v>44762.413576631945</v>
      </c>
      <c r="P1223" s="2">
        <v>0</v>
      </c>
      <c r="Q1223" s="2" t="s">
        <v>265</v>
      </c>
      <c r="R1223" s="2" t="s">
        <v>38</v>
      </c>
      <c r="S1223" s="2" t="s">
        <v>35</v>
      </c>
      <c r="T1223" s="2" t="s">
        <v>35</v>
      </c>
      <c r="U1223" s="2" t="s">
        <v>35</v>
      </c>
      <c r="V1223" s="2" t="b">
        <v>0</v>
      </c>
      <c r="W1223" s="2" t="s">
        <v>35</v>
      </c>
      <c r="X1223" s="2" t="s">
        <v>35</v>
      </c>
      <c r="Y1223" s="2" t="s">
        <v>35</v>
      </c>
      <c r="Z1223" s="2" t="s">
        <v>35</v>
      </c>
    </row>
    <row r="1224" spans="1:26" x14ac:dyDescent="0.2">
      <c r="A1224" s="2" t="s">
        <v>3045</v>
      </c>
      <c r="B1224" s="2" t="b">
        <v>0</v>
      </c>
      <c r="C1224" s="2" t="b">
        <v>0</v>
      </c>
      <c r="D1224" s="2" t="b">
        <v>0</v>
      </c>
      <c r="E1224" s="2" t="b">
        <v>0</v>
      </c>
      <c r="F1224" s="2" t="s">
        <v>31</v>
      </c>
      <c r="G1224" s="2" t="s">
        <v>3046</v>
      </c>
      <c r="H1224" s="2" t="s">
        <v>3047</v>
      </c>
      <c r="I1224" s="2" t="s">
        <v>35</v>
      </c>
      <c r="J1224" s="2" t="s">
        <v>35</v>
      </c>
      <c r="K1224" s="2" t="s">
        <v>35</v>
      </c>
      <c r="L1224" s="2">
        <v>8</v>
      </c>
      <c r="M1224" s="2">
        <v>16</v>
      </c>
      <c r="N1224" s="3">
        <v>44762.413604456022</v>
      </c>
      <c r="O1224" s="3">
        <v>44762.413873668978</v>
      </c>
      <c r="P1224" s="2">
        <v>0</v>
      </c>
      <c r="Q1224" s="2" t="s">
        <v>54</v>
      </c>
      <c r="R1224" s="2" t="s">
        <v>38</v>
      </c>
      <c r="S1224" s="2" t="s">
        <v>35</v>
      </c>
      <c r="T1224" s="2" t="s">
        <v>35</v>
      </c>
      <c r="U1224" s="2" t="s">
        <v>35</v>
      </c>
      <c r="V1224" s="2" t="b">
        <v>0</v>
      </c>
      <c r="W1224" s="2" t="s">
        <v>35</v>
      </c>
      <c r="X1224" s="2" t="s">
        <v>35</v>
      </c>
      <c r="Y1224" s="2" t="s">
        <v>35</v>
      </c>
      <c r="Z1224" s="2" t="s">
        <v>35</v>
      </c>
    </row>
    <row r="1225" spans="1:26" x14ac:dyDescent="0.2">
      <c r="A1225" s="2" t="s">
        <v>3048</v>
      </c>
      <c r="B1225" s="2" t="b">
        <v>0</v>
      </c>
      <c r="C1225" s="2" t="b">
        <v>0</v>
      </c>
      <c r="D1225" s="2" t="b">
        <v>0</v>
      </c>
      <c r="E1225" s="2" t="b">
        <v>0</v>
      </c>
      <c r="F1225" s="2" t="s">
        <v>31</v>
      </c>
      <c r="G1225" s="2" t="s">
        <v>3049</v>
      </c>
      <c r="H1225" s="2" t="s">
        <v>3050</v>
      </c>
      <c r="I1225" s="2" t="s">
        <v>3051</v>
      </c>
      <c r="J1225" s="2" t="s">
        <v>35</v>
      </c>
      <c r="K1225" s="2" t="s">
        <v>35</v>
      </c>
      <c r="L1225" s="2" t="s">
        <v>35</v>
      </c>
      <c r="M1225" s="2" t="s">
        <v>35</v>
      </c>
      <c r="N1225" s="3">
        <v>44762.414184212961</v>
      </c>
      <c r="O1225" s="3">
        <v>44762.414817881945</v>
      </c>
      <c r="P1225" s="2">
        <v>0</v>
      </c>
      <c r="Q1225" s="2" t="s">
        <v>36</v>
      </c>
      <c r="R1225" s="2" t="s">
        <v>38</v>
      </c>
      <c r="S1225" s="2" t="s">
        <v>35</v>
      </c>
      <c r="T1225" s="2" t="s">
        <v>35</v>
      </c>
      <c r="U1225" s="2" t="s">
        <v>35</v>
      </c>
      <c r="V1225" s="2" t="b">
        <v>0</v>
      </c>
      <c r="W1225" s="2" t="s">
        <v>35</v>
      </c>
      <c r="X1225" s="2" t="s">
        <v>35</v>
      </c>
      <c r="Y1225" s="2">
        <v>10</v>
      </c>
      <c r="Z1225" s="2" t="s">
        <v>35</v>
      </c>
    </row>
    <row r="1226" spans="1:26" x14ac:dyDescent="0.2">
      <c r="A1226" s="2" t="s">
        <v>3052</v>
      </c>
      <c r="B1226" s="2" t="b">
        <v>0</v>
      </c>
      <c r="C1226" s="2" t="b">
        <v>0</v>
      </c>
      <c r="D1226" s="2" t="b">
        <v>0</v>
      </c>
      <c r="E1226" s="2" t="b">
        <v>0</v>
      </c>
      <c r="F1226" s="2" t="s">
        <v>31</v>
      </c>
      <c r="G1226" s="2" t="s">
        <v>3053</v>
      </c>
      <c r="H1226" s="2" t="s">
        <v>3054</v>
      </c>
      <c r="I1226" s="2" t="s">
        <v>3055</v>
      </c>
      <c r="J1226" s="2" t="s">
        <v>35</v>
      </c>
      <c r="K1226" s="2" t="s">
        <v>35</v>
      </c>
      <c r="L1226" s="2" t="s">
        <v>35</v>
      </c>
      <c r="M1226" s="2" t="s">
        <v>35</v>
      </c>
      <c r="N1226" s="3">
        <v>44762.41934630787</v>
      </c>
      <c r="O1226" s="3">
        <v>44762.419680914354</v>
      </c>
      <c r="P1226" s="2">
        <v>0</v>
      </c>
      <c r="Q1226" s="2" t="s">
        <v>36</v>
      </c>
      <c r="R1226" s="2" t="s">
        <v>38</v>
      </c>
      <c r="S1226" s="2" t="s">
        <v>35</v>
      </c>
      <c r="T1226" s="2" t="s">
        <v>35</v>
      </c>
      <c r="U1226" s="2" t="s">
        <v>35</v>
      </c>
      <c r="V1226" s="2" t="b">
        <v>0</v>
      </c>
      <c r="W1226" s="2" t="s">
        <v>35</v>
      </c>
      <c r="X1226" s="2" t="s">
        <v>35</v>
      </c>
      <c r="Y1226" s="2">
        <v>5</v>
      </c>
      <c r="Z1226" s="2" t="s">
        <v>35</v>
      </c>
    </row>
    <row r="1227" spans="1:26" x14ac:dyDescent="0.2">
      <c r="A1227" s="2" t="s">
        <v>3056</v>
      </c>
      <c r="B1227" s="2" t="b">
        <v>0</v>
      </c>
      <c r="C1227" s="2" t="b">
        <v>0</v>
      </c>
      <c r="D1227" s="2" t="b">
        <v>0</v>
      </c>
      <c r="E1227" s="2" t="b">
        <v>0</v>
      </c>
      <c r="F1227" s="2" t="s">
        <v>31</v>
      </c>
      <c r="G1227" s="2" t="s">
        <v>3057</v>
      </c>
      <c r="H1227" s="2" t="s">
        <v>3058</v>
      </c>
      <c r="I1227" s="2" t="s">
        <v>662</v>
      </c>
      <c r="J1227" s="2" t="s">
        <v>35</v>
      </c>
      <c r="K1227" s="2" t="s">
        <v>35</v>
      </c>
      <c r="L1227" s="2" t="s">
        <v>35</v>
      </c>
      <c r="M1227" s="2" t="s">
        <v>35</v>
      </c>
      <c r="N1227" s="3">
        <v>44762.42010275463</v>
      </c>
      <c r="O1227" s="3">
        <v>44762.420356423609</v>
      </c>
      <c r="P1227" s="2">
        <v>0</v>
      </c>
      <c r="Q1227" s="2" t="s">
        <v>36</v>
      </c>
      <c r="R1227" s="2" t="s">
        <v>38</v>
      </c>
      <c r="S1227" s="2" t="s">
        <v>35</v>
      </c>
      <c r="T1227" s="2" t="s">
        <v>35</v>
      </c>
      <c r="U1227" s="2" t="s">
        <v>35</v>
      </c>
      <c r="V1227" s="2" t="b">
        <v>0</v>
      </c>
      <c r="W1227" s="2" t="s">
        <v>35</v>
      </c>
      <c r="X1227" s="2" t="s">
        <v>35</v>
      </c>
      <c r="Y1227" s="2">
        <v>6</v>
      </c>
      <c r="Z1227" s="2" t="s">
        <v>35</v>
      </c>
    </row>
    <row r="1228" spans="1:26" x14ac:dyDescent="0.2">
      <c r="A1228" s="2" t="s">
        <v>3059</v>
      </c>
      <c r="B1228" s="2" t="b">
        <v>0</v>
      </c>
      <c r="C1228" s="2" t="b">
        <v>0</v>
      </c>
      <c r="D1228" s="2" t="b">
        <v>0</v>
      </c>
      <c r="E1228" s="2" t="b">
        <v>0</v>
      </c>
      <c r="F1228" s="2" t="s">
        <v>31</v>
      </c>
      <c r="G1228" s="2" t="s">
        <v>3060</v>
      </c>
      <c r="H1228" s="2" t="s">
        <v>3061</v>
      </c>
      <c r="I1228" s="2" t="s">
        <v>3062</v>
      </c>
      <c r="J1228" s="2" t="s">
        <v>35</v>
      </c>
      <c r="K1228" s="2" t="s">
        <v>35</v>
      </c>
      <c r="L1228" s="2" t="s">
        <v>35</v>
      </c>
      <c r="M1228" s="2" t="s">
        <v>35</v>
      </c>
      <c r="N1228" s="3">
        <v>44762.420964699071</v>
      </c>
      <c r="O1228" s="3">
        <v>44762.421394884259</v>
      </c>
      <c r="P1228" s="2">
        <v>0</v>
      </c>
      <c r="Q1228" s="2" t="s">
        <v>36</v>
      </c>
      <c r="R1228" s="2" t="s">
        <v>38</v>
      </c>
      <c r="S1228" s="2" t="s">
        <v>35</v>
      </c>
      <c r="T1228" s="2" t="s">
        <v>35</v>
      </c>
      <c r="U1228" s="2" t="s">
        <v>35</v>
      </c>
      <c r="V1228" s="2" t="b">
        <v>0</v>
      </c>
      <c r="W1228" s="2" t="s">
        <v>35</v>
      </c>
      <c r="X1228" s="2" t="s">
        <v>35</v>
      </c>
      <c r="Y1228" s="2">
        <v>6</v>
      </c>
      <c r="Z1228" s="2" t="s">
        <v>35</v>
      </c>
    </row>
    <row r="1229" spans="1:26" x14ac:dyDescent="0.2">
      <c r="A1229" s="2" t="s">
        <v>3063</v>
      </c>
      <c r="B1229" s="2" t="b">
        <v>0</v>
      </c>
      <c r="C1229" s="2" t="b">
        <v>0</v>
      </c>
      <c r="D1229" s="2" t="b">
        <v>0</v>
      </c>
      <c r="E1229" s="2" t="b">
        <v>0</v>
      </c>
      <c r="F1229" s="2" t="s">
        <v>31</v>
      </c>
      <c r="G1229" s="2" t="s">
        <v>149</v>
      </c>
      <c r="H1229" s="2" t="s">
        <v>3064</v>
      </c>
      <c r="I1229" s="2" t="s">
        <v>662</v>
      </c>
      <c r="J1229" s="2" t="s">
        <v>35</v>
      </c>
      <c r="K1229" s="2" t="s">
        <v>35</v>
      </c>
      <c r="L1229" s="2" t="s">
        <v>35</v>
      </c>
      <c r="M1229" s="2" t="s">
        <v>35</v>
      </c>
      <c r="N1229" s="3">
        <v>44762.421660057873</v>
      </c>
      <c r="O1229" s="3">
        <v>44762.422000983795</v>
      </c>
      <c r="P1229" s="2">
        <v>0</v>
      </c>
      <c r="Q1229" s="2" t="s">
        <v>36</v>
      </c>
      <c r="R1229" s="2" t="s">
        <v>38</v>
      </c>
      <c r="S1229" s="2" t="s">
        <v>35</v>
      </c>
      <c r="T1229" s="2" t="s">
        <v>35</v>
      </c>
      <c r="U1229" s="2" t="s">
        <v>35</v>
      </c>
      <c r="V1229" s="2" t="b">
        <v>0</v>
      </c>
      <c r="W1229" s="2" t="s">
        <v>35</v>
      </c>
      <c r="X1229" s="2" t="s">
        <v>35</v>
      </c>
      <c r="Y1229" s="2">
        <v>5</v>
      </c>
      <c r="Z1229" s="2" t="s">
        <v>35</v>
      </c>
    </row>
    <row r="1230" spans="1:26" x14ac:dyDescent="0.2">
      <c r="A1230" s="2" t="s">
        <v>3065</v>
      </c>
      <c r="B1230" s="2" t="b">
        <v>0</v>
      </c>
      <c r="C1230" s="2" t="b">
        <v>0</v>
      </c>
      <c r="D1230" s="2" t="b">
        <v>0</v>
      </c>
      <c r="E1230" s="2" t="b">
        <v>0</v>
      </c>
      <c r="F1230" s="2" t="s">
        <v>31</v>
      </c>
      <c r="G1230" s="2" t="s">
        <v>3066</v>
      </c>
      <c r="H1230" s="2" t="s">
        <v>3067</v>
      </c>
      <c r="I1230" s="2" t="s">
        <v>35</v>
      </c>
      <c r="J1230" s="2" t="s">
        <v>35</v>
      </c>
      <c r="K1230" s="2">
        <v>10</v>
      </c>
      <c r="L1230" s="2" t="s">
        <v>35</v>
      </c>
      <c r="M1230" s="2" t="s">
        <v>35</v>
      </c>
      <c r="N1230" s="3">
        <v>44762.423521319448</v>
      </c>
      <c r="O1230" s="3">
        <v>44762.423691006945</v>
      </c>
      <c r="P1230" s="2">
        <v>0</v>
      </c>
      <c r="Q1230" s="2" t="s">
        <v>265</v>
      </c>
      <c r="R1230" s="2" t="s">
        <v>38</v>
      </c>
      <c r="S1230" s="2" t="s">
        <v>35</v>
      </c>
      <c r="T1230" s="2" t="s">
        <v>35</v>
      </c>
      <c r="U1230" s="2" t="s">
        <v>35</v>
      </c>
      <c r="V1230" s="2" t="b">
        <v>0</v>
      </c>
      <c r="W1230" s="2" t="s">
        <v>35</v>
      </c>
      <c r="X1230" s="2" t="s">
        <v>35</v>
      </c>
      <c r="Y1230" s="2" t="s">
        <v>35</v>
      </c>
      <c r="Z1230" s="2" t="s">
        <v>35</v>
      </c>
    </row>
    <row r="1231" spans="1:26" x14ac:dyDescent="0.2">
      <c r="A1231" s="2" t="s">
        <v>3068</v>
      </c>
      <c r="B1231" s="2" t="b">
        <v>0</v>
      </c>
      <c r="C1231" s="2" t="b">
        <v>0</v>
      </c>
      <c r="D1231" s="2" t="b">
        <v>0</v>
      </c>
      <c r="E1231" s="2" t="b">
        <v>0</v>
      </c>
      <c r="F1231" s="2" t="s">
        <v>31</v>
      </c>
      <c r="G1231" s="2" t="s">
        <v>3069</v>
      </c>
      <c r="H1231" s="2" t="s">
        <v>3070</v>
      </c>
      <c r="I1231" s="2" t="s">
        <v>3071</v>
      </c>
      <c r="J1231" s="2" t="s">
        <v>35</v>
      </c>
      <c r="K1231" s="2" t="s">
        <v>35</v>
      </c>
      <c r="L1231" s="2" t="s">
        <v>35</v>
      </c>
      <c r="M1231" s="2" t="s">
        <v>35</v>
      </c>
      <c r="N1231" s="3">
        <v>44762.424044409723</v>
      </c>
      <c r="O1231" s="3">
        <v>44762.424361770834</v>
      </c>
      <c r="P1231" s="2">
        <v>0</v>
      </c>
      <c r="Q1231" s="2" t="s">
        <v>36</v>
      </c>
      <c r="R1231" s="2" t="s">
        <v>38</v>
      </c>
      <c r="S1231" s="2" t="s">
        <v>35</v>
      </c>
      <c r="T1231" s="2" t="s">
        <v>35</v>
      </c>
      <c r="U1231" s="2" t="s">
        <v>35</v>
      </c>
      <c r="V1231" s="2" t="b">
        <v>0</v>
      </c>
      <c r="W1231" s="2" t="s">
        <v>35</v>
      </c>
      <c r="X1231" s="2" t="s">
        <v>35</v>
      </c>
      <c r="Y1231" s="2">
        <v>4</v>
      </c>
      <c r="Z1231" s="2" t="s">
        <v>35</v>
      </c>
    </row>
    <row r="1232" spans="1:26" x14ac:dyDescent="0.2">
      <c r="A1232" s="2" t="s">
        <v>3072</v>
      </c>
      <c r="B1232" s="2" t="b">
        <v>0</v>
      </c>
      <c r="C1232" s="2" t="b">
        <v>0</v>
      </c>
      <c r="D1232" s="2" t="b">
        <v>0</v>
      </c>
      <c r="E1232" s="2" t="b">
        <v>0</v>
      </c>
      <c r="F1232" s="2" t="s">
        <v>31</v>
      </c>
      <c r="G1232" s="2" t="s">
        <v>3073</v>
      </c>
      <c r="H1232" s="2" t="s">
        <v>3074</v>
      </c>
      <c r="I1232" s="2" t="s">
        <v>662</v>
      </c>
      <c r="J1232" s="2" t="s">
        <v>35</v>
      </c>
      <c r="K1232" s="2" t="s">
        <v>35</v>
      </c>
      <c r="L1232" s="2" t="s">
        <v>35</v>
      </c>
      <c r="M1232" s="2" t="s">
        <v>35</v>
      </c>
      <c r="N1232" s="3">
        <v>44762.425104131944</v>
      </c>
      <c r="O1232" s="3">
        <v>44762.425427881943</v>
      </c>
      <c r="P1232" s="2">
        <v>0</v>
      </c>
      <c r="Q1232" s="2" t="s">
        <v>36</v>
      </c>
      <c r="R1232" s="2" t="s">
        <v>38</v>
      </c>
      <c r="S1232" s="2" t="s">
        <v>35</v>
      </c>
      <c r="T1232" s="2" t="s">
        <v>35</v>
      </c>
      <c r="U1232" s="2" t="s">
        <v>35</v>
      </c>
      <c r="V1232" s="2" t="b">
        <v>0</v>
      </c>
      <c r="W1232" s="2" t="s">
        <v>35</v>
      </c>
      <c r="X1232" s="2" t="s">
        <v>35</v>
      </c>
      <c r="Y1232" s="2">
        <v>4</v>
      </c>
      <c r="Z1232" s="2" t="s">
        <v>35</v>
      </c>
    </row>
    <row r="1233" spans="1:26" x14ac:dyDescent="0.2">
      <c r="A1233" s="2" t="s">
        <v>3075</v>
      </c>
      <c r="B1233" s="2" t="b">
        <v>0</v>
      </c>
      <c r="C1233" s="2" t="b">
        <v>0</v>
      </c>
      <c r="D1233" s="2" t="b">
        <v>0</v>
      </c>
      <c r="E1233" s="2" t="b">
        <v>0</v>
      </c>
      <c r="F1233" s="2" t="s">
        <v>31</v>
      </c>
      <c r="G1233" s="2" t="s">
        <v>3076</v>
      </c>
      <c r="H1233" s="2" t="s">
        <v>3077</v>
      </c>
      <c r="I1233" s="2" t="s">
        <v>662</v>
      </c>
      <c r="J1233" s="2" t="s">
        <v>35</v>
      </c>
      <c r="K1233" s="2" t="s">
        <v>35</v>
      </c>
      <c r="L1233" s="2" t="s">
        <v>35</v>
      </c>
      <c r="M1233" s="2" t="s">
        <v>35</v>
      </c>
      <c r="N1233" s="3">
        <v>44762.426337523146</v>
      </c>
      <c r="O1233" s="3">
        <v>44762.426684282407</v>
      </c>
      <c r="P1233" s="2">
        <v>0</v>
      </c>
      <c r="Q1233" s="2" t="s">
        <v>36</v>
      </c>
      <c r="R1233" s="2" t="s">
        <v>38</v>
      </c>
      <c r="S1233" s="2" t="s">
        <v>35</v>
      </c>
      <c r="T1233" s="2" t="s">
        <v>35</v>
      </c>
      <c r="U1233" s="2" t="s">
        <v>35</v>
      </c>
      <c r="V1233" s="2" t="b">
        <v>0</v>
      </c>
      <c r="W1233" s="2" t="s">
        <v>35</v>
      </c>
      <c r="X1233" s="2" t="s">
        <v>35</v>
      </c>
      <c r="Y1233" s="2">
        <v>14</v>
      </c>
      <c r="Z1233" s="2" t="s">
        <v>35</v>
      </c>
    </row>
    <row r="1234" spans="1:26" x14ac:dyDescent="0.2">
      <c r="A1234" s="2" t="s">
        <v>3078</v>
      </c>
      <c r="B1234" s="2" t="b">
        <v>0</v>
      </c>
      <c r="C1234" s="2" t="b">
        <v>0</v>
      </c>
      <c r="D1234" s="2" t="b">
        <v>0</v>
      </c>
      <c r="E1234" s="2" t="b">
        <v>0</v>
      </c>
      <c r="F1234" s="2" t="s">
        <v>31</v>
      </c>
      <c r="G1234" s="2" t="s">
        <v>3079</v>
      </c>
      <c r="H1234" s="2" t="s">
        <v>3080</v>
      </c>
      <c r="I1234" s="2" t="s">
        <v>662</v>
      </c>
      <c r="J1234" s="2" t="s">
        <v>35</v>
      </c>
      <c r="K1234" s="2" t="s">
        <v>35</v>
      </c>
      <c r="L1234" s="2" t="s">
        <v>35</v>
      </c>
      <c r="M1234" s="2" t="s">
        <v>35</v>
      </c>
      <c r="N1234" s="3">
        <v>44762.427332997686</v>
      </c>
      <c r="O1234" s="3">
        <v>44762.427805300926</v>
      </c>
      <c r="P1234" s="2">
        <v>0</v>
      </c>
      <c r="Q1234" s="2" t="s">
        <v>36</v>
      </c>
      <c r="R1234" s="2" t="s">
        <v>38</v>
      </c>
      <c r="S1234" s="2" t="s">
        <v>35</v>
      </c>
      <c r="T1234" s="2" t="s">
        <v>35</v>
      </c>
      <c r="U1234" s="2" t="s">
        <v>35</v>
      </c>
      <c r="V1234" s="2" t="b">
        <v>0</v>
      </c>
      <c r="W1234" s="2" t="s">
        <v>35</v>
      </c>
      <c r="X1234" s="2" t="s">
        <v>35</v>
      </c>
      <c r="Y1234" s="2">
        <v>11</v>
      </c>
      <c r="Z1234" s="2" t="s">
        <v>35</v>
      </c>
    </row>
    <row r="1235" spans="1:26" x14ac:dyDescent="0.2">
      <c r="A1235" s="2" t="s">
        <v>3081</v>
      </c>
      <c r="B1235" s="2" t="b">
        <v>0</v>
      </c>
      <c r="C1235" s="2" t="b">
        <v>0</v>
      </c>
      <c r="D1235" s="2" t="b">
        <v>0</v>
      </c>
      <c r="E1235" s="2" t="b">
        <v>0</v>
      </c>
      <c r="F1235" s="2" t="s">
        <v>31</v>
      </c>
      <c r="G1235" s="2" t="s">
        <v>3082</v>
      </c>
      <c r="H1235" s="2" t="s">
        <v>3083</v>
      </c>
      <c r="I1235" s="2" t="s">
        <v>35</v>
      </c>
      <c r="J1235" s="2" t="s">
        <v>35</v>
      </c>
      <c r="K1235" s="2">
        <v>9</v>
      </c>
      <c r="L1235" s="2" t="s">
        <v>35</v>
      </c>
      <c r="M1235" s="2" t="s">
        <v>35</v>
      </c>
      <c r="N1235" s="3">
        <v>44762.428362615741</v>
      </c>
      <c r="O1235" s="3">
        <v>44762.428795914355</v>
      </c>
      <c r="P1235" s="2">
        <v>0</v>
      </c>
      <c r="Q1235" s="2" t="s">
        <v>265</v>
      </c>
      <c r="R1235" s="2" t="s">
        <v>38</v>
      </c>
      <c r="S1235" s="2" t="s">
        <v>35</v>
      </c>
      <c r="T1235" s="2" t="s">
        <v>35</v>
      </c>
      <c r="U1235" s="2" t="s">
        <v>35</v>
      </c>
      <c r="V1235" s="2" t="b">
        <v>0</v>
      </c>
      <c r="W1235" s="2" t="s">
        <v>35</v>
      </c>
      <c r="X1235" s="2" t="s">
        <v>35</v>
      </c>
      <c r="Y1235" s="2" t="s">
        <v>35</v>
      </c>
      <c r="Z1235" s="2" t="s">
        <v>35</v>
      </c>
    </row>
    <row r="1236" spans="1:26" x14ac:dyDescent="0.2">
      <c r="A1236" s="2" t="s">
        <v>3084</v>
      </c>
      <c r="B1236" s="2" t="b">
        <v>0</v>
      </c>
      <c r="C1236" s="2" t="b">
        <v>0</v>
      </c>
      <c r="D1236" s="2" t="b">
        <v>0</v>
      </c>
      <c r="E1236" s="2" t="b">
        <v>0</v>
      </c>
      <c r="F1236" s="2" t="s">
        <v>31</v>
      </c>
      <c r="G1236" s="2" t="s">
        <v>3085</v>
      </c>
      <c r="H1236" s="2" t="s">
        <v>3086</v>
      </c>
      <c r="I1236" s="2" t="s">
        <v>662</v>
      </c>
      <c r="J1236" s="2" t="s">
        <v>35</v>
      </c>
      <c r="K1236" s="2" t="s">
        <v>35</v>
      </c>
      <c r="L1236" s="2" t="s">
        <v>35</v>
      </c>
      <c r="M1236" s="2" t="s">
        <v>35</v>
      </c>
      <c r="N1236" s="3">
        <v>44762.4290734838</v>
      </c>
      <c r="O1236" s="3">
        <v>44762.429425520837</v>
      </c>
      <c r="P1236" s="2">
        <v>0</v>
      </c>
      <c r="Q1236" s="2" t="s">
        <v>36</v>
      </c>
      <c r="R1236" s="2" t="s">
        <v>38</v>
      </c>
      <c r="S1236" s="2" t="s">
        <v>35</v>
      </c>
      <c r="T1236" s="2" t="s">
        <v>35</v>
      </c>
      <c r="U1236" s="2" t="s">
        <v>35</v>
      </c>
      <c r="V1236" s="2" t="b">
        <v>0</v>
      </c>
      <c r="W1236" s="2" t="s">
        <v>35</v>
      </c>
      <c r="X1236" s="2" t="s">
        <v>35</v>
      </c>
      <c r="Y1236" s="2">
        <v>8</v>
      </c>
      <c r="Z1236" s="2" t="s">
        <v>35</v>
      </c>
    </row>
    <row r="1237" spans="1:26" x14ac:dyDescent="0.2">
      <c r="A1237" s="2" t="s">
        <v>3087</v>
      </c>
      <c r="B1237" s="2" t="b">
        <v>0</v>
      </c>
      <c r="C1237" s="2" t="b">
        <v>0</v>
      </c>
      <c r="D1237" s="2" t="b">
        <v>0</v>
      </c>
      <c r="E1237" s="2" t="b">
        <v>0</v>
      </c>
      <c r="F1237" s="2" t="s">
        <v>31</v>
      </c>
      <c r="G1237" s="2" t="s">
        <v>3088</v>
      </c>
      <c r="H1237" s="2" t="s">
        <v>3089</v>
      </c>
      <c r="I1237" s="2" t="s">
        <v>662</v>
      </c>
      <c r="J1237" s="2" t="s">
        <v>35</v>
      </c>
      <c r="K1237" s="2" t="s">
        <v>35</v>
      </c>
      <c r="L1237" s="2" t="s">
        <v>35</v>
      </c>
      <c r="M1237" s="2" t="s">
        <v>35</v>
      </c>
      <c r="N1237" s="3">
        <v>44762.430000300927</v>
      </c>
      <c r="O1237" s="3">
        <v>44762.430483356482</v>
      </c>
      <c r="P1237" s="2">
        <v>0</v>
      </c>
      <c r="Q1237" s="2" t="s">
        <v>36</v>
      </c>
      <c r="R1237" s="2" t="s">
        <v>38</v>
      </c>
      <c r="S1237" s="2" t="s">
        <v>35</v>
      </c>
      <c r="T1237" s="2" t="s">
        <v>35</v>
      </c>
      <c r="U1237" s="2" t="s">
        <v>35</v>
      </c>
      <c r="V1237" s="2" t="b">
        <v>0</v>
      </c>
      <c r="W1237" s="2" t="s">
        <v>35</v>
      </c>
      <c r="X1237" s="2" t="s">
        <v>35</v>
      </c>
      <c r="Y1237" s="2">
        <v>5</v>
      </c>
      <c r="Z1237" s="2" t="s">
        <v>35</v>
      </c>
    </row>
    <row r="1238" spans="1:26" x14ac:dyDescent="0.2">
      <c r="A1238" s="2" t="s">
        <v>3090</v>
      </c>
      <c r="B1238" s="2" t="b">
        <v>0</v>
      </c>
      <c r="C1238" s="2" t="b">
        <v>0</v>
      </c>
      <c r="D1238" s="2" t="b">
        <v>0</v>
      </c>
      <c r="E1238" s="2" t="b">
        <v>0</v>
      </c>
      <c r="F1238" s="2" t="s">
        <v>31</v>
      </c>
      <c r="G1238" s="2" t="s">
        <v>3091</v>
      </c>
      <c r="H1238" s="2" t="s">
        <v>3092</v>
      </c>
      <c r="I1238" s="2" t="s">
        <v>662</v>
      </c>
      <c r="J1238" s="2" t="s">
        <v>35</v>
      </c>
      <c r="K1238" s="2" t="s">
        <v>35</v>
      </c>
      <c r="L1238" s="2" t="s">
        <v>35</v>
      </c>
      <c r="M1238" s="2" t="s">
        <v>35</v>
      </c>
      <c r="N1238" s="3">
        <v>44762.43080934028</v>
      </c>
      <c r="O1238" s="3">
        <v>44762.431133981481</v>
      </c>
      <c r="P1238" s="2">
        <v>0</v>
      </c>
      <c r="Q1238" s="2" t="s">
        <v>36</v>
      </c>
      <c r="R1238" s="2" t="s">
        <v>38</v>
      </c>
      <c r="S1238" s="2" t="s">
        <v>35</v>
      </c>
      <c r="T1238" s="2" t="s">
        <v>35</v>
      </c>
      <c r="U1238" s="2" t="s">
        <v>35</v>
      </c>
      <c r="V1238" s="2" t="b">
        <v>0</v>
      </c>
      <c r="W1238" s="2" t="s">
        <v>35</v>
      </c>
      <c r="X1238" s="2" t="s">
        <v>35</v>
      </c>
      <c r="Y1238" s="2">
        <v>6</v>
      </c>
      <c r="Z1238" s="2" t="s">
        <v>35</v>
      </c>
    </row>
    <row r="1239" spans="1:26" x14ac:dyDescent="0.2">
      <c r="A1239" s="2" t="s">
        <v>3093</v>
      </c>
      <c r="B1239" s="2" t="b">
        <v>0</v>
      </c>
      <c r="C1239" s="2" t="b">
        <v>0</v>
      </c>
      <c r="D1239" s="2" t="b">
        <v>0</v>
      </c>
      <c r="E1239" s="2" t="b">
        <v>0</v>
      </c>
      <c r="F1239" s="2" t="s">
        <v>31</v>
      </c>
      <c r="G1239" s="2" t="s">
        <v>3094</v>
      </c>
      <c r="H1239" s="2" t="s">
        <v>3095</v>
      </c>
      <c r="I1239" s="2" t="s">
        <v>662</v>
      </c>
      <c r="J1239" s="2" t="s">
        <v>35</v>
      </c>
      <c r="K1239" s="2" t="s">
        <v>35</v>
      </c>
      <c r="L1239" s="2" t="s">
        <v>35</v>
      </c>
      <c r="M1239" s="2" t="s">
        <v>35</v>
      </c>
      <c r="N1239" s="3">
        <v>44762.43211898148</v>
      </c>
      <c r="O1239" s="3">
        <v>44762.432391840281</v>
      </c>
      <c r="P1239" s="2">
        <v>0</v>
      </c>
      <c r="Q1239" s="2" t="s">
        <v>36</v>
      </c>
      <c r="R1239" s="2" t="s">
        <v>38</v>
      </c>
      <c r="S1239" s="2" t="s">
        <v>35</v>
      </c>
      <c r="T1239" s="2" t="s">
        <v>35</v>
      </c>
      <c r="U1239" s="2" t="s">
        <v>35</v>
      </c>
      <c r="V1239" s="2" t="b">
        <v>0</v>
      </c>
      <c r="W1239" s="2" t="s">
        <v>35</v>
      </c>
      <c r="X1239" s="2" t="s">
        <v>35</v>
      </c>
      <c r="Y1239" s="2">
        <v>5</v>
      </c>
      <c r="Z1239" s="2" t="s">
        <v>35</v>
      </c>
    </row>
    <row r="1240" spans="1:26" x14ac:dyDescent="0.2">
      <c r="A1240" s="2" t="s">
        <v>3096</v>
      </c>
      <c r="B1240" s="2" t="b">
        <v>0</v>
      </c>
      <c r="C1240" s="2" t="b">
        <v>0</v>
      </c>
      <c r="D1240" s="2" t="b">
        <v>0</v>
      </c>
      <c r="E1240" s="2" t="b">
        <v>0</v>
      </c>
      <c r="F1240" s="2" t="s">
        <v>31</v>
      </c>
      <c r="G1240" s="2" t="s">
        <v>3097</v>
      </c>
      <c r="H1240" s="2" t="s">
        <v>3098</v>
      </c>
      <c r="I1240" s="2" t="s">
        <v>675</v>
      </c>
      <c r="J1240" s="2" t="s">
        <v>35</v>
      </c>
      <c r="K1240" s="2" t="s">
        <v>35</v>
      </c>
      <c r="L1240" s="2" t="s">
        <v>35</v>
      </c>
      <c r="M1240" s="2" t="s">
        <v>35</v>
      </c>
      <c r="N1240" s="3">
        <v>44762.43306935185</v>
      </c>
      <c r="O1240" s="3">
        <v>44762.433293078706</v>
      </c>
      <c r="P1240" s="2">
        <v>0</v>
      </c>
      <c r="Q1240" s="2" t="s">
        <v>124</v>
      </c>
      <c r="R1240" s="2" t="s">
        <v>38</v>
      </c>
      <c r="S1240" s="2" t="s">
        <v>35</v>
      </c>
      <c r="T1240" s="2" t="s">
        <v>35</v>
      </c>
      <c r="U1240" s="2" t="s">
        <v>35</v>
      </c>
      <c r="V1240" s="2" t="b">
        <v>0</v>
      </c>
      <c r="W1240" s="2" t="s">
        <v>35</v>
      </c>
      <c r="X1240" s="2">
        <v>4</v>
      </c>
      <c r="Y1240" s="2" t="s">
        <v>35</v>
      </c>
      <c r="Z1240" s="2" t="s">
        <v>35</v>
      </c>
    </row>
    <row r="1241" spans="1:26" x14ac:dyDescent="0.2">
      <c r="A1241" s="2" t="s">
        <v>3099</v>
      </c>
      <c r="B1241" s="2" t="b">
        <v>0</v>
      </c>
      <c r="C1241" s="2" t="b">
        <v>0</v>
      </c>
      <c r="D1241" s="2" t="b">
        <v>0</v>
      </c>
      <c r="E1241" s="2" t="b">
        <v>0</v>
      </c>
      <c r="F1241" s="2" t="s">
        <v>31</v>
      </c>
      <c r="G1241" s="2" t="s">
        <v>3100</v>
      </c>
      <c r="H1241" s="2" t="s">
        <v>3101</v>
      </c>
      <c r="I1241" s="2" t="s">
        <v>35</v>
      </c>
      <c r="J1241" s="2" t="s">
        <v>35</v>
      </c>
      <c r="K1241" s="2" t="s">
        <v>35</v>
      </c>
      <c r="L1241" s="2" t="s">
        <v>35</v>
      </c>
      <c r="M1241" s="2" t="s">
        <v>35</v>
      </c>
      <c r="N1241" s="3">
        <v>44762.433338368057</v>
      </c>
      <c r="O1241" s="3">
        <v>44762.433560775462</v>
      </c>
      <c r="P1241" s="2">
        <v>0</v>
      </c>
      <c r="Q1241" s="2" t="s">
        <v>36</v>
      </c>
      <c r="R1241" s="2" t="s">
        <v>38</v>
      </c>
      <c r="S1241" s="2" t="s">
        <v>35</v>
      </c>
      <c r="T1241" s="2" t="s">
        <v>35</v>
      </c>
      <c r="U1241" s="2" t="s">
        <v>35</v>
      </c>
      <c r="V1241" s="2" t="b">
        <v>0</v>
      </c>
      <c r="W1241" s="2" t="s">
        <v>35</v>
      </c>
      <c r="X1241" s="2" t="s">
        <v>35</v>
      </c>
      <c r="Y1241" s="2" t="s">
        <v>35</v>
      </c>
      <c r="Z1241" s="2">
        <v>2</v>
      </c>
    </row>
    <row r="1242" spans="1:26" x14ac:dyDescent="0.2">
      <c r="A1242" s="2" t="s">
        <v>3102</v>
      </c>
      <c r="B1242" s="2" t="b">
        <v>0</v>
      </c>
      <c r="C1242" s="2" t="b">
        <v>0</v>
      </c>
      <c r="D1242" s="2" t="b">
        <v>0</v>
      </c>
      <c r="E1242" s="2" t="b">
        <v>0</v>
      </c>
      <c r="F1242" s="2" t="s">
        <v>31</v>
      </c>
      <c r="G1242" s="2" t="s">
        <v>3103</v>
      </c>
      <c r="H1242" s="2" t="s">
        <v>3104</v>
      </c>
      <c r="I1242" s="2" t="s">
        <v>3105</v>
      </c>
      <c r="J1242" s="2" t="s">
        <v>35</v>
      </c>
      <c r="K1242" s="2" t="s">
        <v>35</v>
      </c>
      <c r="L1242" s="2" t="s">
        <v>35</v>
      </c>
      <c r="M1242" s="2" t="s">
        <v>35</v>
      </c>
      <c r="N1242" s="3">
        <v>44762.433824074076</v>
      </c>
      <c r="O1242" s="3">
        <v>44762.434161053243</v>
      </c>
      <c r="P1242" s="2">
        <v>0</v>
      </c>
      <c r="Q1242" s="2" t="s">
        <v>36</v>
      </c>
      <c r="R1242" s="2" t="s">
        <v>38</v>
      </c>
      <c r="S1242" s="2" t="s">
        <v>35</v>
      </c>
      <c r="T1242" s="2" t="s">
        <v>35</v>
      </c>
      <c r="U1242" s="2" t="s">
        <v>35</v>
      </c>
      <c r="V1242" s="2" t="b">
        <v>0</v>
      </c>
      <c r="W1242" s="2" t="s">
        <v>35</v>
      </c>
      <c r="X1242" s="2" t="s">
        <v>35</v>
      </c>
      <c r="Y1242" s="2">
        <v>4</v>
      </c>
      <c r="Z1242" s="2">
        <v>4</v>
      </c>
    </row>
    <row r="1243" spans="1:26" x14ac:dyDescent="0.2">
      <c r="A1243" s="2" t="s">
        <v>3106</v>
      </c>
      <c r="B1243" s="2" t="b">
        <v>0</v>
      </c>
      <c r="C1243" s="2" t="b">
        <v>0</v>
      </c>
      <c r="D1243" s="2" t="b">
        <v>0</v>
      </c>
      <c r="E1243" s="2" t="b">
        <v>0</v>
      </c>
      <c r="F1243" s="2" t="s">
        <v>31</v>
      </c>
      <c r="G1243" s="2" t="s">
        <v>3107</v>
      </c>
      <c r="H1243" s="2" t="s">
        <v>3108</v>
      </c>
      <c r="I1243" s="2" t="s">
        <v>35</v>
      </c>
      <c r="J1243" s="2" t="s">
        <v>35</v>
      </c>
      <c r="K1243" s="2" t="s">
        <v>35</v>
      </c>
      <c r="L1243" s="2" t="s">
        <v>35</v>
      </c>
      <c r="M1243" s="2" t="s">
        <v>35</v>
      </c>
      <c r="N1243" s="3">
        <v>44762.435100833332</v>
      </c>
      <c r="O1243" s="3">
        <v>44762.435346284721</v>
      </c>
      <c r="P1243" s="2">
        <v>0</v>
      </c>
      <c r="Q1243" s="2" t="s">
        <v>36</v>
      </c>
      <c r="R1243" s="2" t="s">
        <v>38</v>
      </c>
      <c r="S1243" s="2" t="s">
        <v>35</v>
      </c>
      <c r="T1243" s="2" t="s">
        <v>35</v>
      </c>
      <c r="U1243" s="2" t="s">
        <v>35</v>
      </c>
      <c r="V1243" s="2" t="b">
        <v>0</v>
      </c>
      <c r="W1243" s="2" t="s">
        <v>35</v>
      </c>
      <c r="X1243" s="2" t="s">
        <v>35</v>
      </c>
      <c r="Y1243" s="2" t="s">
        <v>35</v>
      </c>
      <c r="Z1243" s="2">
        <v>2</v>
      </c>
    </row>
    <row r="1244" spans="1:26" x14ac:dyDescent="0.2">
      <c r="A1244" s="2" t="s">
        <v>3109</v>
      </c>
      <c r="B1244" s="2" t="b">
        <v>0</v>
      </c>
      <c r="C1244" s="2" t="b">
        <v>0</v>
      </c>
      <c r="D1244" s="2" t="b">
        <v>0</v>
      </c>
      <c r="E1244" s="2" t="b">
        <v>0</v>
      </c>
      <c r="F1244" s="2" t="s">
        <v>31</v>
      </c>
      <c r="G1244" s="2" t="s">
        <v>3110</v>
      </c>
      <c r="H1244" s="2" t="s">
        <v>3111</v>
      </c>
      <c r="I1244" s="2" t="s">
        <v>35</v>
      </c>
      <c r="J1244" s="2" t="s">
        <v>35</v>
      </c>
      <c r="K1244" s="2" t="s">
        <v>35</v>
      </c>
      <c r="L1244" s="2" t="s">
        <v>35</v>
      </c>
      <c r="M1244" s="2" t="s">
        <v>35</v>
      </c>
      <c r="N1244" s="3">
        <v>44762.436778333336</v>
      </c>
      <c r="O1244" s="3">
        <v>44762.436943981484</v>
      </c>
      <c r="P1244" s="2">
        <v>0</v>
      </c>
      <c r="Q1244" s="2" t="s">
        <v>36</v>
      </c>
      <c r="R1244" s="2" t="s">
        <v>38</v>
      </c>
      <c r="S1244" s="2" t="s">
        <v>35</v>
      </c>
      <c r="T1244" s="2" t="s">
        <v>35</v>
      </c>
      <c r="U1244" s="2" t="s">
        <v>35</v>
      </c>
      <c r="V1244" s="2" t="b">
        <v>0</v>
      </c>
      <c r="W1244" s="2" t="s">
        <v>35</v>
      </c>
      <c r="X1244" s="2" t="s">
        <v>35</v>
      </c>
      <c r="Y1244" s="2" t="s">
        <v>35</v>
      </c>
      <c r="Z1244" s="2">
        <v>3</v>
      </c>
    </row>
    <row r="1245" spans="1:26" x14ac:dyDescent="0.2">
      <c r="A1245" s="2" t="s">
        <v>3112</v>
      </c>
      <c r="B1245" s="2" t="b">
        <v>0</v>
      </c>
      <c r="C1245" s="2" t="b">
        <v>0</v>
      </c>
      <c r="D1245" s="2" t="b">
        <v>0</v>
      </c>
      <c r="E1245" s="2" t="b">
        <v>0</v>
      </c>
      <c r="F1245" s="2" t="s">
        <v>31</v>
      </c>
      <c r="G1245" s="2" t="s">
        <v>3113</v>
      </c>
      <c r="H1245" s="2" t="s">
        <v>3114</v>
      </c>
      <c r="I1245" s="2" t="s">
        <v>35</v>
      </c>
      <c r="J1245" s="2" t="s">
        <v>35</v>
      </c>
      <c r="K1245" s="2" t="s">
        <v>35</v>
      </c>
      <c r="L1245" s="2" t="s">
        <v>35</v>
      </c>
      <c r="M1245" s="2" t="s">
        <v>35</v>
      </c>
      <c r="N1245" s="3">
        <v>44762.439106284721</v>
      </c>
      <c r="O1245" s="3">
        <v>44762.439345810184</v>
      </c>
      <c r="P1245" s="2">
        <v>0</v>
      </c>
      <c r="Q1245" s="2" t="s">
        <v>36</v>
      </c>
      <c r="R1245" s="2" t="s">
        <v>38</v>
      </c>
      <c r="S1245" s="2" t="s">
        <v>35</v>
      </c>
      <c r="T1245" s="2" t="s">
        <v>35</v>
      </c>
      <c r="U1245" s="2" t="s">
        <v>35</v>
      </c>
      <c r="V1245" s="2" t="b">
        <v>0</v>
      </c>
      <c r="W1245" s="2" t="s">
        <v>35</v>
      </c>
      <c r="X1245" s="2" t="s">
        <v>35</v>
      </c>
      <c r="Y1245" s="2" t="s">
        <v>35</v>
      </c>
      <c r="Z1245" s="2">
        <v>2</v>
      </c>
    </row>
    <row r="1246" spans="1:26" x14ac:dyDescent="0.2">
      <c r="A1246" s="2" t="s">
        <v>3115</v>
      </c>
      <c r="B1246" s="2" t="b">
        <v>0</v>
      </c>
      <c r="C1246" s="2" t="b">
        <v>0</v>
      </c>
      <c r="D1246" s="2" t="b">
        <v>0</v>
      </c>
      <c r="E1246" s="2" t="b">
        <v>0</v>
      </c>
      <c r="F1246" s="2" t="s">
        <v>31</v>
      </c>
      <c r="G1246" s="2" t="s">
        <v>3116</v>
      </c>
      <c r="H1246" s="2" t="s">
        <v>3117</v>
      </c>
      <c r="I1246" s="2" t="s">
        <v>35</v>
      </c>
      <c r="J1246" s="2" t="s">
        <v>35</v>
      </c>
      <c r="K1246" s="2" t="s">
        <v>35</v>
      </c>
      <c r="L1246" s="2" t="s">
        <v>35</v>
      </c>
      <c r="M1246" s="2" t="s">
        <v>35</v>
      </c>
      <c r="N1246" s="3">
        <v>44762.439394606481</v>
      </c>
      <c r="O1246" s="3">
        <v>44762.439582789353</v>
      </c>
      <c r="P1246" s="2">
        <v>0</v>
      </c>
      <c r="Q1246" s="2" t="s">
        <v>36</v>
      </c>
      <c r="R1246" s="2" t="s">
        <v>38</v>
      </c>
      <c r="S1246" s="2" t="s">
        <v>35</v>
      </c>
      <c r="T1246" s="2" t="s">
        <v>35</v>
      </c>
      <c r="U1246" s="2" t="s">
        <v>35</v>
      </c>
      <c r="V1246" s="2" t="b">
        <v>0</v>
      </c>
      <c r="W1246" s="2" t="s">
        <v>35</v>
      </c>
      <c r="X1246" s="2" t="s">
        <v>35</v>
      </c>
      <c r="Y1246" s="2" t="s">
        <v>35</v>
      </c>
      <c r="Z1246" s="2">
        <v>2</v>
      </c>
    </row>
    <row r="1247" spans="1:26" x14ac:dyDescent="0.2">
      <c r="A1247" s="2" t="s">
        <v>9374</v>
      </c>
      <c r="B1247" s="2" t="b">
        <v>0</v>
      </c>
      <c r="C1247" s="2" t="b">
        <v>0</v>
      </c>
      <c r="D1247" s="2" t="b">
        <v>0</v>
      </c>
      <c r="E1247" s="2" t="b">
        <v>0</v>
      </c>
      <c r="F1247" s="2" t="s">
        <v>121</v>
      </c>
      <c r="G1247" s="2" t="s">
        <v>149</v>
      </c>
      <c r="H1247" s="2" t="s">
        <v>3120</v>
      </c>
      <c r="I1247" s="2" t="s">
        <v>35</v>
      </c>
      <c r="J1247" s="2" t="s">
        <v>35</v>
      </c>
      <c r="K1247" s="2" t="s">
        <v>35</v>
      </c>
      <c r="L1247" s="2" t="s">
        <v>35</v>
      </c>
      <c r="M1247" s="2" t="s">
        <v>35</v>
      </c>
      <c r="N1247" s="3">
        <v>44762.479169178237</v>
      </c>
      <c r="O1247" s="3">
        <v>44762.479169305552</v>
      </c>
      <c r="P1247" s="2">
        <v>0</v>
      </c>
      <c r="Q1247" s="2" t="s">
        <v>35</v>
      </c>
      <c r="R1247" s="2" t="s">
        <v>38</v>
      </c>
      <c r="S1247" s="2" t="s">
        <v>35</v>
      </c>
      <c r="T1247" s="2" t="s">
        <v>35</v>
      </c>
      <c r="U1247" s="2" t="s">
        <v>35</v>
      </c>
      <c r="V1247" s="2" t="b">
        <v>0</v>
      </c>
      <c r="W1247" s="2" t="s">
        <v>35</v>
      </c>
      <c r="X1247" s="2" t="s">
        <v>35</v>
      </c>
      <c r="Y1247" s="2" t="s">
        <v>35</v>
      </c>
      <c r="Z1247" s="2" t="s">
        <v>35</v>
      </c>
    </row>
    <row r="1248" spans="1:26" x14ac:dyDescent="0.2">
      <c r="A1248" s="2" t="s">
        <v>3118</v>
      </c>
      <c r="B1248" s="2" t="b">
        <v>0</v>
      </c>
      <c r="C1248" s="2" t="b">
        <v>0</v>
      </c>
      <c r="D1248" s="2" t="b">
        <v>0</v>
      </c>
      <c r="E1248" s="2" t="b">
        <v>0</v>
      </c>
      <c r="F1248" s="2" t="s">
        <v>31</v>
      </c>
      <c r="G1248" s="2" t="s">
        <v>3119</v>
      </c>
      <c r="H1248" s="2" t="s">
        <v>3120</v>
      </c>
      <c r="I1248" s="2" t="s">
        <v>2267</v>
      </c>
      <c r="J1248" s="2" t="s">
        <v>35</v>
      </c>
      <c r="K1248" s="2" t="s">
        <v>35</v>
      </c>
      <c r="L1248" s="2">
        <v>5</v>
      </c>
      <c r="M1248" s="2">
        <v>9</v>
      </c>
      <c r="N1248" s="3">
        <v>44762.47918318287</v>
      </c>
      <c r="O1248" s="3">
        <v>44762.479478912035</v>
      </c>
      <c r="P1248" s="2">
        <v>0</v>
      </c>
      <c r="Q1248" s="2" t="s">
        <v>54</v>
      </c>
      <c r="R1248" s="2" t="s">
        <v>38</v>
      </c>
      <c r="S1248" s="2" t="s">
        <v>35</v>
      </c>
      <c r="T1248" s="2" t="s">
        <v>35</v>
      </c>
      <c r="U1248" s="2" t="s">
        <v>35</v>
      </c>
      <c r="V1248" s="2" t="b">
        <v>1</v>
      </c>
      <c r="W1248" s="2" t="s">
        <v>35</v>
      </c>
      <c r="X1248" s="2" t="s">
        <v>35</v>
      </c>
      <c r="Y1248" s="2" t="s">
        <v>35</v>
      </c>
      <c r="Z1248" s="2" t="s">
        <v>35</v>
      </c>
    </row>
    <row r="1249" spans="1:26" x14ac:dyDescent="0.2">
      <c r="A1249" s="2" t="s">
        <v>3121</v>
      </c>
      <c r="B1249" s="2" t="b">
        <v>0</v>
      </c>
      <c r="C1249" s="2" t="b">
        <v>0</v>
      </c>
      <c r="D1249" s="2" t="b">
        <v>0</v>
      </c>
      <c r="E1249" s="2" t="b">
        <v>0</v>
      </c>
      <c r="F1249" s="2" t="s">
        <v>31</v>
      </c>
      <c r="G1249" s="2" t="s">
        <v>3122</v>
      </c>
      <c r="H1249" s="2" t="s">
        <v>3123</v>
      </c>
      <c r="I1249" s="2" t="s">
        <v>584</v>
      </c>
      <c r="J1249" s="2" t="s">
        <v>35</v>
      </c>
      <c r="K1249" s="2" t="s">
        <v>35</v>
      </c>
      <c r="L1249" s="2" t="s">
        <v>35</v>
      </c>
      <c r="M1249" s="2" t="s">
        <v>35</v>
      </c>
      <c r="N1249" s="3">
        <v>44762.479784861112</v>
      </c>
      <c r="O1249" s="3">
        <v>44762.479989212959</v>
      </c>
      <c r="P1249" s="2">
        <v>0</v>
      </c>
      <c r="Q1249" s="2" t="s">
        <v>36</v>
      </c>
      <c r="R1249" s="2" t="s">
        <v>38</v>
      </c>
      <c r="S1249" s="2" t="s">
        <v>35</v>
      </c>
      <c r="T1249" s="2" t="s">
        <v>35</v>
      </c>
      <c r="U1249" s="2" t="s">
        <v>35</v>
      </c>
      <c r="V1249" s="2" t="b">
        <v>0</v>
      </c>
      <c r="W1249" s="2" t="s">
        <v>35</v>
      </c>
      <c r="X1249" s="2" t="s">
        <v>35</v>
      </c>
      <c r="Y1249" s="2">
        <v>6</v>
      </c>
      <c r="Z1249" s="2" t="s">
        <v>35</v>
      </c>
    </row>
    <row r="1250" spans="1:26" x14ac:dyDescent="0.2">
      <c r="A1250" s="2" t="s">
        <v>3124</v>
      </c>
      <c r="B1250" s="2" t="b">
        <v>0</v>
      </c>
      <c r="C1250" s="2" t="b">
        <v>0</v>
      </c>
      <c r="D1250" s="2" t="b">
        <v>0</v>
      </c>
      <c r="E1250" s="2" t="b">
        <v>0</v>
      </c>
      <c r="F1250" s="2" t="s">
        <v>31</v>
      </c>
      <c r="G1250" s="2" t="s">
        <v>3125</v>
      </c>
      <c r="H1250" s="2" t="s">
        <v>3126</v>
      </c>
      <c r="I1250" s="2" t="s">
        <v>1460</v>
      </c>
      <c r="J1250" s="2" t="s">
        <v>35</v>
      </c>
      <c r="K1250" s="2" t="s">
        <v>35</v>
      </c>
      <c r="L1250" s="2" t="s">
        <v>35</v>
      </c>
      <c r="M1250" s="2" t="s">
        <v>35</v>
      </c>
      <c r="N1250" s="3">
        <v>44762.481814467596</v>
      </c>
      <c r="O1250" s="3">
        <v>44762.482043587966</v>
      </c>
      <c r="P1250" s="2">
        <v>0</v>
      </c>
      <c r="Q1250" s="2" t="s">
        <v>36</v>
      </c>
      <c r="R1250" s="2" t="s">
        <v>38</v>
      </c>
      <c r="S1250" s="2" t="s">
        <v>35</v>
      </c>
      <c r="T1250" s="2" t="s">
        <v>35</v>
      </c>
      <c r="U1250" s="2" t="s">
        <v>35</v>
      </c>
      <c r="V1250" s="2" t="b">
        <v>0</v>
      </c>
      <c r="W1250" s="2" t="s">
        <v>35</v>
      </c>
      <c r="X1250" s="2" t="s">
        <v>35</v>
      </c>
      <c r="Y1250" s="2">
        <v>6</v>
      </c>
      <c r="Z1250" s="2" t="s">
        <v>35</v>
      </c>
    </row>
    <row r="1251" spans="1:26" x14ac:dyDescent="0.2">
      <c r="A1251" s="2" t="s">
        <v>3127</v>
      </c>
      <c r="B1251" s="2" t="b">
        <v>0</v>
      </c>
      <c r="C1251" s="2" t="b">
        <v>0</v>
      </c>
      <c r="D1251" s="2" t="b">
        <v>0</v>
      </c>
      <c r="E1251" s="2" t="b">
        <v>0</v>
      </c>
      <c r="F1251" s="2" t="s">
        <v>31</v>
      </c>
      <c r="G1251" s="2" t="s">
        <v>3128</v>
      </c>
      <c r="H1251" s="2" t="s">
        <v>3129</v>
      </c>
      <c r="I1251" s="2" t="s">
        <v>3130</v>
      </c>
      <c r="J1251" s="2" t="s">
        <v>35</v>
      </c>
      <c r="K1251" s="2" t="s">
        <v>35</v>
      </c>
      <c r="L1251" s="2">
        <v>2</v>
      </c>
      <c r="M1251" s="2">
        <v>14</v>
      </c>
      <c r="N1251" s="3">
        <v>44762.482116250001</v>
      </c>
      <c r="O1251" s="3">
        <v>44762.482344548611</v>
      </c>
      <c r="P1251" s="2">
        <v>0</v>
      </c>
      <c r="Q1251" s="2" t="s">
        <v>54</v>
      </c>
      <c r="R1251" s="2" t="s">
        <v>38</v>
      </c>
      <c r="S1251" s="2" t="s">
        <v>35</v>
      </c>
      <c r="T1251" s="2" t="s">
        <v>35</v>
      </c>
      <c r="U1251" s="2" t="s">
        <v>35</v>
      </c>
      <c r="V1251" s="2" t="b">
        <v>0</v>
      </c>
      <c r="W1251" s="2" t="s">
        <v>35</v>
      </c>
      <c r="X1251" s="2" t="s">
        <v>35</v>
      </c>
      <c r="Y1251" s="2" t="s">
        <v>35</v>
      </c>
      <c r="Z1251" s="2" t="s">
        <v>35</v>
      </c>
    </row>
    <row r="1252" spans="1:26" x14ac:dyDescent="0.2">
      <c r="A1252" s="2" t="s">
        <v>3131</v>
      </c>
      <c r="B1252" s="2" t="b">
        <v>0</v>
      </c>
      <c r="C1252" s="2" t="b">
        <v>0</v>
      </c>
      <c r="D1252" s="2" t="b">
        <v>0</v>
      </c>
      <c r="E1252" s="2" t="b">
        <v>0</v>
      </c>
      <c r="F1252" s="2" t="s">
        <v>31</v>
      </c>
      <c r="G1252" s="2" t="s">
        <v>3132</v>
      </c>
      <c r="H1252" s="2" t="s">
        <v>3133</v>
      </c>
      <c r="I1252" s="2" t="s">
        <v>1460</v>
      </c>
      <c r="J1252" s="2" t="s">
        <v>35</v>
      </c>
      <c r="K1252" s="2" t="s">
        <v>35</v>
      </c>
      <c r="L1252" s="2" t="s">
        <v>35</v>
      </c>
      <c r="M1252" s="2" t="s">
        <v>35</v>
      </c>
      <c r="N1252" s="3">
        <v>44762.483121666664</v>
      </c>
      <c r="O1252" s="3">
        <v>44762.483494907407</v>
      </c>
      <c r="P1252" s="2">
        <v>0</v>
      </c>
      <c r="Q1252" s="2" t="s">
        <v>36</v>
      </c>
      <c r="R1252" s="2" t="s">
        <v>38</v>
      </c>
      <c r="S1252" s="2" t="s">
        <v>35</v>
      </c>
      <c r="T1252" s="2" t="s">
        <v>35</v>
      </c>
      <c r="U1252" s="2" t="s">
        <v>35</v>
      </c>
      <c r="V1252" s="2" t="b">
        <v>0</v>
      </c>
      <c r="W1252" s="2" t="s">
        <v>35</v>
      </c>
      <c r="X1252" s="2" t="s">
        <v>35</v>
      </c>
      <c r="Y1252" s="2">
        <v>6</v>
      </c>
      <c r="Z1252" s="2" t="s">
        <v>35</v>
      </c>
    </row>
    <row r="1253" spans="1:26" x14ac:dyDescent="0.2">
      <c r="A1253" s="2" t="s">
        <v>3134</v>
      </c>
      <c r="B1253" s="2" t="b">
        <v>0</v>
      </c>
      <c r="C1253" s="2" t="b">
        <v>0</v>
      </c>
      <c r="D1253" s="2" t="b">
        <v>0</v>
      </c>
      <c r="E1253" s="2" t="b">
        <v>0</v>
      </c>
      <c r="F1253" s="2" t="s">
        <v>31</v>
      </c>
      <c r="G1253" s="2" t="s">
        <v>3135</v>
      </c>
      <c r="H1253" s="2" t="s">
        <v>3136</v>
      </c>
      <c r="I1253" s="2" t="s">
        <v>35</v>
      </c>
      <c r="J1253" s="2" t="s">
        <v>35</v>
      </c>
      <c r="K1253" s="2" t="s">
        <v>35</v>
      </c>
      <c r="L1253" s="2" t="s">
        <v>35</v>
      </c>
      <c r="M1253" s="2" t="s">
        <v>35</v>
      </c>
      <c r="N1253" s="3">
        <v>44762.484095127315</v>
      </c>
      <c r="O1253" s="3">
        <v>44762.484296805553</v>
      </c>
      <c r="P1253" s="2">
        <v>0</v>
      </c>
      <c r="Q1253" s="2" t="s">
        <v>36</v>
      </c>
      <c r="R1253" s="2" t="s">
        <v>38</v>
      </c>
      <c r="S1253" s="2" t="s">
        <v>35</v>
      </c>
      <c r="T1253" s="2" t="s">
        <v>35</v>
      </c>
      <c r="U1253" s="2" t="s">
        <v>35</v>
      </c>
      <c r="V1253" s="2" t="b">
        <v>0</v>
      </c>
      <c r="W1253" s="2" t="s">
        <v>35</v>
      </c>
      <c r="X1253" s="2" t="s">
        <v>35</v>
      </c>
      <c r="Y1253" s="2" t="s">
        <v>35</v>
      </c>
      <c r="Z1253" s="2">
        <v>6</v>
      </c>
    </row>
    <row r="1254" spans="1:26" x14ac:dyDescent="0.2">
      <c r="A1254" s="2" t="s">
        <v>3137</v>
      </c>
      <c r="B1254" s="2" t="b">
        <v>0</v>
      </c>
      <c r="C1254" s="2" t="b">
        <v>0</v>
      </c>
      <c r="D1254" s="2" t="b">
        <v>0</v>
      </c>
      <c r="E1254" s="2" t="b">
        <v>0</v>
      </c>
      <c r="F1254" s="2" t="s">
        <v>31</v>
      </c>
      <c r="G1254" s="2" t="s">
        <v>3138</v>
      </c>
      <c r="H1254" s="2" t="s">
        <v>3139</v>
      </c>
      <c r="I1254" s="2" t="s">
        <v>35</v>
      </c>
      <c r="J1254" s="2" t="s">
        <v>35</v>
      </c>
      <c r="K1254" s="2" t="s">
        <v>35</v>
      </c>
      <c r="L1254" s="2" t="s">
        <v>35</v>
      </c>
      <c r="M1254" s="2" t="s">
        <v>35</v>
      </c>
      <c r="N1254" s="3">
        <v>44762.485133738424</v>
      </c>
      <c r="O1254" s="3">
        <v>44762.485291435187</v>
      </c>
      <c r="P1254" s="2">
        <v>0</v>
      </c>
      <c r="Q1254" s="2" t="s">
        <v>36</v>
      </c>
      <c r="R1254" s="2" t="s">
        <v>38</v>
      </c>
      <c r="S1254" s="2" t="s">
        <v>35</v>
      </c>
      <c r="T1254" s="2" t="s">
        <v>35</v>
      </c>
      <c r="U1254" s="2" t="s">
        <v>35</v>
      </c>
      <c r="V1254" s="2" t="b">
        <v>0</v>
      </c>
      <c r="W1254" s="2" t="s">
        <v>35</v>
      </c>
      <c r="X1254" s="2" t="s">
        <v>35</v>
      </c>
      <c r="Y1254" s="2" t="s">
        <v>35</v>
      </c>
      <c r="Z1254" s="2">
        <v>5</v>
      </c>
    </row>
    <row r="1255" spans="1:26" x14ac:dyDescent="0.2">
      <c r="A1255" s="2" t="s">
        <v>3140</v>
      </c>
      <c r="B1255" s="2" t="b">
        <v>0</v>
      </c>
      <c r="C1255" s="2" t="b">
        <v>0</v>
      </c>
      <c r="D1255" s="2" t="b">
        <v>0</v>
      </c>
      <c r="E1255" s="2" t="b">
        <v>0</v>
      </c>
      <c r="F1255" s="2" t="s">
        <v>31</v>
      </c>
      <c r="G1255" s="2" t="s">
        <v>3141</v>
      </c>
      <c r="H1255" s="2" t="s">
        <v>3142</v>
      </c>
      <c r="I1255" s="2" t="s">
        <v>35</v>
      </c>
      <c r="J1255" s="2" t="s">
        <v>35</v>
      </c>
      <c r="K1255" s="2" t="s">
        <v>35</v>
      </c>
      <c r="L1255" s="2">
        <v>14</v>
      </c>
      <c r="M1255" s="2">
        <v>15</v>
      </c>
      <c r="N1255" s="3">
        <v>44762.48564071759</v>
      </c>
      <c r="O1255" s="3">
        <v>44762.486073321757</v>
      </c>
      <c r="P1255" s="2">
        <v>0</v>
      </c>
      <c r="Q1255" s="2" t="s">
        <v>54</v>
      </c>
      <c r="R1255" s="2" t="s">
        <v>38</v>
      </c>
      <c r="S1255" s="2" t="s">
        <v>35</v>
      </c>
      <c r="T1255" s="2" t="s">
        <v>35</v>
      </c>
      <c r="U1255" s="2" t="s">
        <v>35</v>
      </c>
      <c r="V1255" s="2" t="b">
        <v>0</v>
      </c>
      <c r="W1255" s="2" t="s">
        <v>35</v>
      </c>
      <c r="X1255" s="2" t="s">
        <v>35</v>
      </c>
      <c r="Y1255" s="2" t="s">
        <v>35</v>
      </c>
      <c r="Z1255" s="2" t="s">
        <v>35</v>
      </c>
    </row>
    <row r="1256" spans="1:26" x14ac:dyDescent="0.2">
      <c r="A1256" s="2" t="s">
        <v>3143</v>
      </c>
      <c r="B1256" s="2" t="b">
        <v>0</v>
      </c>
      <c r="C1256" s="2" t="b">
        <v>0</v>
      </c>
      <c r="D1256" s="2" t="b">
        <v>0</v>
      </c>
      <c r="E1256" s="2" t="b">
        <v>0</v>
      </c>
      <c r="F1256" s="2" t="s">
        <v>31</v>
      </c>
      <c r="G1256" s="2" t="s">
        <v>3144</v>
      </c>
      <c r="H1256" s="2" t="s">
        <v>3145</v>
      </c>
      <c r="I1256" s="2" t="s">
        <v>35</v>
      </c>
      <c r="J1256" s="2" t="s">
        <v>35</v>
      </c>
      <c r="K1256" s="2" t="s">
        <v>35</v>
      </c>
      <c r="L1256" s="2">
        <v>3</v>
      </c>
      <c r="M1256" s="2">
        <v>16</v>
      </c>
      <c r="N1256" s="3">
        <v>44762.486301203702</v>
      </c>
      <c r="O1256" s="3">
        <v>44762.486512719908</v>
      </c>
      <c r="P1256" s="2">
        <v>0</v>
      </c>
      <c r="Q1256" s="2" t="s">
        <v>54</v>
      </c>
      <c r="R1256" s="2" t="s">
        <v>38</v>
      </c>
      <c r="S1256" s="2" t="s">
        <v>35</v>
      </c>
      <c r="T1256" s="2" t="s">
        <v>35</v>
      </c>
      <c r="U1256" s="2" t="s">
        <v>35</v>
      </c>
      <c r="V1256" s="2" t="b">
        <v>0</v>
      </c>
      <c r="W1256" s="2" t="s">
        <v>35</v>
      </c>
      <c r="X1256" s="2" t="s">
        <v>35</v>
      </c>
      <c r="Y1256" s="2" t="s">
        <v>35</v>
      </c>
      <c r="Z1256" s="2" t="s">
        <v>35</v>
      </c>
    </row>
    <row r="1257" spans="1:26" x14ac:dyDescent="0.2">
      <c r="A1257" s="2" t="s">
        <v>3146</v>
      </c>
      <c r="B1257" s="2" t="b">
        <v>0</v>
      </c>
      <c r="C1257" s="2" t="b">
        <v>0</v>
      </c>
      <c r="D1257" s="2" t="b">
        <v>0</v>
      </c>
      <c r="E1257" s="2" t="b">
        <v>0</v>
      </c>
      <c r="F1257" s="2" t="s">
        <v>31</v>
      </c>
      <c r="G1257" s="2" t="s">
        <v>3147</v>
      </c>
      <c r="H1257" s="2" t="s">
        <v>3148</v>
      </c>
      <c r="I1257" s="2" t="s">
        <v>35</v>
      </c>
      <c r="J1257" s="2" t="s">
        <v>35</v>
      </c>
      <c r="K1257" s="2" t="s">
        <v>35</v>
      </c>
      <c r="L1257" s="2" t="s">
        <v>35</v>
      </c>
      <c r="M1257" s="2" t="s">
        <v>35</v>
      </c>
      <c r="N1257" s="3">
        <v>44762.486585787039</v>
      </c>
      <c r="O1257" s="3">
        <v>44762.48682672454</v>
      </c>
      <c r="P1257" s="2">
        <v>0</v>
      </c>
      <c r="Q1257" s="2" t="s">
        <v>36</v>
      </c>
      <c r="R1257" s="2" t="s">
        <v>38</v>
      </c>
      <c r="S1257" s="2" t="s">
        <v>35</v>
      </c>
      <c r="T1257" s="2" t="s">
        <v>35</v>
      </c>
      <c r="U1257" s="2" t="s">
        <v>35</v>
      </c>
      <c r="V1257" s="2" t="b">
        <v>0</v>
      </c>
      <c r="W1257" s="2" t="s">
        <v>35</v>
      </c>
      <c r="X1257" s="2" t="s">
        <v>35</v>
      </c>
      <c r="Y1257" s="2" t="s">
        <v>35</v>
      </c>
      <c r="Z1257" s="2">
        <v>4</v>
      </c>
    </row>
    <row r="1258" spans="1:26" x14ac:dyDescent="0.2">
      <c r="A1258" s="2" t="s">
        <v>3149</v>
      </c>
      <c r="B1258" s="2" t="b">
        <v>0</v>
      </c>
      <c r="C1258" s="2" t="b">
        <v>0</v>
      </c>
      <c r="D1258" s="2" t="b">
        <v>0</v>
      </c>
      <c r="E1258" s="2" t="b">
        <v>0</v>
      </c>
      <c r="F1258" s="2" t="s">
        <v>31</v>
      </c>
      <c r="G1258" s="2" t="s">
        <v>3150</v>
      </c>
      <c r="H1258" s="2" t="s">
        <v>3151</v>
      </c>
      <c r="I1258" s="2" t="s">
        <v>3152</v>
      </c>
      <c r="J1258" s="2" t="s">
        <v>35</v>
      </c>
      <c r="K1258" s="2" t="s">
        <v>35</v>
      </c>
      <c r="L1258" s="2" t="s">
        <v>35</v>
      </c>
      <c r="M1258" s="2" t="s">
        <v>35</v>
      </c>
      <c r="N1258" s="3">
        <v>44762.487192708337</v>
      </c>
      <c r="O1258" s="3">
        <v>44762.487668969909</v>
      </c>
      <c r="P1258" s="2">
        <v>0</v>
      </c>
      <c r="Q1258" s="2" t="s">
        <v>36</v>
      </c>
      <c r="R1258" s="2" t="s">
        <v>38</v>
      </c>
      <c r="S1258" s="2" t="s">
        <v>35</v>
      </c>
      <c r="T1258" s="2" t="s">
        <v>35</v>
      </c>
      <c r="U1258" s="2" t="s">
        <v>35</v>
      </c>
      <c r="V1258" s="2" t="b">
        <v>0</v>
      </c>
      <c r="W1258" s="2" t="s">
        <v>35</v>
      </c>
      <c r="X1258" s="2" t="s">
        <v>35</v>
      </c>
      <c r="Y1258" s="2">
        <v>5</v>
      </c>
      <c r="Z1258" s="2" t="s">
        <v>35</v>
      </c>
    </row>
    <row r="1259" spans="1:26" x14ac:dyDescent="0.2">
      <c r="A1259" s="2" t="s">
        <v>3153</v>
      </c>
      <c r="B1259" s="2" t="b">
        <v>0</v>
      </c>
      <c r="C1259" s="2" t="b">
        <v>0</v>
      </c>
      <c r="D1259" s="2" t="b">
        <v>0</v>
      </c>
      <c r="E1259" s="2" t="b">
        <v>0</v>
      </c>
      <c r="F1259" s="2" t="s">
        <v>31</v>
      </c>
      <c r="G1259" s="2" t="s">
        <v>3154</v>
      </c>
      <c r="H1259" s="2" t="s">
        <v>3155</v>
      </c>
      <c r="I1259" s="2" t="s">
        <v>3156</v>
      </c>
      <c r="J1259" s="2" t="s">
        <v>35</v>
      </c>
      <c r="K1259" s="2" t="s">
        <v>35</v>
      </c>
      <c r="L1259" s="2" t="s">
        <v>35</v>
      </c>
      <c r="M1259" s="2" t="s">
        <v>35</v>
      </c>
      <c r="N1259" s="3">
        <v>44762.488771400465</v>
      </c>
      <c r="O1259" s="3">
        <v>44762.490120092596</v>
      </c>
      <c r="P1259" s="2">
        <v>0</v>
      </c>
      <c r="Q1259" s="2" t="s">
        <v>3157</v>
      </c>
      <c r="R1259" s="2" t="s">
        <v>38</v>
      </c>
      <c r="S1259" s="2" t="s">
        <v>35</v>
      </c>
      <c r="T1259" s="2">
        <v>106</v>
      </c>
      <c r="U1259" s="2" t="s">
        <v>35</v>
      </c>
      <c r="V1259" s="2" t="b">
        <v>0</v>
      </c>
      <c r="W1259" s="2" t="s">
        <v>35</v>
      </c>
      <c r="X1259" s="2" t="s">
        <v>35</v>
      </c>
      <c r="Y1259" s="2" t="s">
        <v>35</v>
      </c>
      <c r="Z1259" s="2" t="s">
        <v>35</v>
      </c>
    </row>
    <row r="1260" spans="1:26" x14ac:dyDescent="0.2">
      <c r="A1260" s="2" t="s">
        <v>3159</v>
      </c>
      <c r="B1260" s="2" t="b">
        <v>0</v>
      </c>
      <c r="C1260" s="2" t="b">
        <v>0</v>
      </c>
      <c r="D1260" s="2" t="b">
        <v>0</v>
      </c>
      <c r="E1260" s="2" t="b">
        <v>0</v>
      </c>
      <c r="F1260" s="2" t="s">
        <v>31</v>
      </c>
      <c r="G1260" s="2" t="s">
        <v>3160</v>
      </c>
      <c r="H1260" s="2" t="s">
        <v>3161</v>
      </c>
      <c r="I1260" s="2" t="s">
        <v>3152</v>
      </c>
      <c r="J1260" s="2" t="s">
        <v>35</v>
      </c>
      <c r="K1260" s="2" t="s">
        <v>35</v>
      </c>
      <c r="L1260" s="2" t="s">
        <v>35</v>
      </c>
      <c r="M1260" s="2" t="s">
        <v>35</v>
      </c>
      <c r="N1260" s="3">
        <v>44762.49054471065</v>
      </c>
      <c r="O1260" s="3">
        <v>44762.491075439815</v>
      </c>
      <c r="P1260" s="2">
        <v>0</v>
      </c>
      <c r="Q1260" s="2" t="s">
        <v>36</v>
      </c>
      <c r="R1260" s="2" t="s">
        <v>38</v>
      </c>
      <c r="S1260" s="2" t="s">
        <v>35</v>
      </c>
      <c r="T1260" s="2" t="s">
        <v>35</v>
      </c>
      <c r="U1260" s="2" t="s">
        <v>35</v>
      </c>
      <c r="V1260" s="2" t="b">
        <v>0</v>
      </c>
      <c r="W1260" s="2" t="s">
        <v>35</v>
      </c>
      <c r="X1260" s="2" t="s">
        <v>35</v>
      </c>
      <c r="Y1260" s="2">
        <v>3</v>
      </c>
      <c r="Z1260" s="2">
        <v>4</v>
      </c>
    </row>
    <row r="1261" spans="1:26" x14ac:dyDescent="0.2">
      <c r="A1261" s="2" t="s">
        <v>3162</v>
      </c>
      <c r="B1261" s="2" t="b">
        <v>0</v>
      </c>
      <c r="C1261" s="2" t="b">
        <v>0</v>
      </c>
      <c r="D1261" s="2" t="b">
        <v>0</v>
      </c>
      <c r="E1261" s="2" t="b">
        <v>0</v>
      </c>
      <c r="F1261" s="2" t="s">
        <v>31</v>
      </c>
      <c r="G1261" s="2" t="s">
        <v>3163</v>
      </c>
      <c r="H1261" s="2" t="s">
        <v>3164</v>
      </c>
      <c r="I1261" s="2" t="s">
        <v>35</v>
      </c>
      <c r="J1261" s="2" t="s">
        <v>35</v>
      </c>
      <c r="K1261" s="2" t="s">
        <v>35</v>
      </c>
      <c r="L1261" s="2" t="s">
        <v>35</v>
      </c>
      <c r="M1261" s="2" t="s">
        <v>35</v>
      </c>
      <c r="N1261" s="3">
        <v>44762.491293946761</v>
      </c>
      <c r="O1261" s="3">
        <v>44762.491605682873</v>
      </c>
      <c r="P1261" s="2">
        <v>0</v>
      </c>
      <c r="Q1261" s="2" t="s">
        <v>36</v>
      </c>
      <c r="R1261" s="2" t="s">
        <v>38</v>
      </c>
      <c r="S1261" s="2" t="s">
        <v>35</v>
      </c>
      <c r="T1261" s="2" t="s">
        <v>35</v>
      </c>
      <c r="U1261" s="2" t="s">
        <v>35</v>
      </c>
      <c r="V1261" s="2" t="b">
        <v>0</v>
      </c>
      <c r="W1261" s="2" t="s">
        <v>35</v>
      </c>
      <c r="X1261" s="2" t="s">
        <v>35</v>
      </c>
      <c r="Y1261" s="2">
        <v>2</v>
      </c>
      <c r="Z1261" s="2" t="s">
        <v>35</v>
      </c>
    </row>
    <row r="1262" spans="1:26" x14ac:dyDescent="0.2">
      <c r="A1262" s="2" t="s">
        <v>3165</v>
      </c>
      <c r="B1262" s="2" t="b">
        <v>0</v>
      </c>
      <c r="C1262" s="2" t="b">
        <v>0</v>
      </c>
      <c r="D1262" s="2" t="b">
        <v>0</v>
      </c>
      <c r="E1262" s="2" t="b">
        <v>0</v>
      </c>
      <c r="F1262" s="2" t="s">
        <v>31</v>
      </c>
      <c r="G1262" s="2" t="s">
        <v>3166</v>
      </c>
      <c r="H1262" s="2" t="s">
        <v>3167</v>
      </c>
      <c r="I1262" s="2" t="s">
        <v>35</v>
      </c>
      <c r="J1262" s="2" t="s">
        <v>35</v>
      </c>
      <c r="K1262" s="2" t="s">
        <v>35</v>
      </c>
      <c r="L1262" s="2" t="s">
        <v>35</v>
      </c>
      <c r="M1262" s="2" t="s">
        <v>35</v>
      </c>
      <c r="N1262" s="3">
        <v>44762.49210171296</v>
      </c>
      <c r="O1262" s="3">
        <v>44762.492204282411</v>
      </c>
      <c r="P1262" s="2">
        <v>0</v>
      </c>
      <c r="Q1262" s="2" t="s">
        <v>36</v>
      </c>
      <c r="R1262" s="2" t="s">
        <v>38</v>
      </c>
      <c r="S1262" s="2" t="s">
        <v>35</v>
      </c>
      <c r="T1262" s="2" t="s">
        <v>35</v>
      </c>
      <c r="U1262" s="2" t="s">
        <v>35</v>
      </c>
      <c r="V1262" s="2" t="b">
        <v>0</v>
      </c>
      <c r="W1262" s="2" t="s">
        <v>35</v>
      </c>
      <c r="X1262" s="2" t="s">
        <v>35</v>
      </c>
      <c r="Y1262" s="2" t="s">
        <v>35</v>
      </c>
      <c r="Z1262" s="2">
        <v>3</v>
      </c>
    </row>
    <row r="1263" spans="1:26" x14ac:dyDescent="0.2">
      <c r="A1263" s="2" t="s">
        <v>3168</v>
      </c>
      <c r="B1263" s="2" t="b">
        <v>0</v>
      </c>
      <c r="C1263" s="2" t="b">
        <v>0</v>
      </c>
      <c r="D1263" s="2" t="b">
        <v>0</v>
      </c>
      <c r="E1263" s="2" t="b">
        <v>0</v>
      </c>
      <c r="F1263" s="2" t="s">
        <v>31</v>
      </c>
      <c r="G1263" s="2" t="s">
        <v>3169</v>
      </c>
      <c r="H1263" s="2" t="s">
        <v>3170</v>
      </c>
      <c r="I1263" s="2" t="s">
        <v>35</v>
      </c>
      <c r="J1263" s="2" t="s">
        <v>35</v>
      </c>
      <c r="K1263" s="2" t="s">
        <v>35</v>
      </c>
      <c r="L1263" s="2" t="s">
        <v>35</v>
      </c>
      <c r="M1263" s="2" t="s">
        <v>35</v>
      </c>
      <c r="N1263" s="3">
        <v>44762.49250216435</v>
      </c>
      <c r="O1263" s="3">
        <v>44762.492665358797</v>
      </c>
      <c r="P1263" s="2">
        <v>0</v>
      </c>
      <c r="Q1263" s="2" t="s">
        <v>36</v>
      </c>
      <c r="R1263" s="2" t="s">
        <v>38</v>
      </c>
      <c r="S1263" s="2" t="s">
        <v>35</v>
      </c>
      <c r="T1263" s="2" t="s">
        <v>35</v>
      </c>
      <c r="U1263" s="2" t="s">
        <v>35</v>
      </c>
      <c r="V1263" s="2" t="b">
        <v>0</v>
      </c>
      <c r="W1263" s="2" t="s">
        <v>35</v>
      </c>
      <c r="X1263" s="2" t="s">
        <v>35</v>
      </c>
      <c r="Y1263" s="2" t="s">
        <v>35</v>
      </c>
      <c r="Z1263" s="2">
        <v>3</v>
      </c>
    </row>
    <row r="1264" spans="1:26" x14ac:dyDescent="0.2">
      <c r="A1264" s="2" t="s">
        <v>3171</v>
      </c>
      <c r="B1264" s="2" t="b">
        <v>0</v>
      </c>
      <c r="C1264" s="2" t="b">
        <v>0</v>
      </c>
      <c r="D1264" s="2" t="b">
        <v>0</v>
      </c>
      <c r="E1264" s="2" t="b">
        <v>0</v>
      </c>
      <c r="F1264" s="2" t="s">
        <v>31</v>
      </c>
      <c r="G1264" s="2" t="s">
        <v>3172</v>
      </c>
      <c r="H1264" s="2" t="s">
        <v>3173</v>
      </c>
      <c r="I1264" s="2" t="s">
        <v>675</v>
      </c>
      <c r="J1264" s="2" t="s">
        <v>35</v>
      </c>
      <c r="K1264" s="2" t="s">
        <v>35</v>
      </c>
      <c r="L1264" s="2" t="s">
        <v>35</v>
      </c>
      <c r="M1264" s="2" t="s">
        <v>35</v>
      </c>
      <c r="N1264" s="3">
        <v>44762.49274533565</v>
      </c>
      <c r="O1264" s="3">
        <v>44762.493056863423</v>
      </c>
      <c r="P1264" s="2">
        <v>0</v>
      </c>
      <c r="Q1264" s="2" t="s">
        <v>124</v>
      </c>
      <c r="R1264" s="2" t="s">
        <v>38</v>
      </c>
      <c r="S1264" s="2" t="s">
        <v>35</v>
      </c>
      <c r="T1264" s="2" t="s">
        <v>35</v>
      </c>
      <c r="U1264" s="2" t="s">
        <v>35</v>
      </c>
      <c r="V1264" s="2" t="b">
        <v>0</v>
      </c>
      <c r="W1264" s="2" t="s">
        <v>35</v>
      </c>
      <c r="X1264" s="2">
        <v>4</v>
      </c>
      <c r="Y1264" s="2" t="s">
        <v>35</v>
      </c>
      <c r="Z1264" s="2" t="s">
        <v>35</v>
      </c>
    </row>
    <row r="1265" spans="1:26" x14ac:dyDescent="0.2">
      <c r="A1265" s="2" t="s">
        <v>3174</v>
      </c>
      <c r="B1265" s="2" t="b">
        <v>0</v>
      </c>
      <c r="C1265" s="2" t="b">
        <v>0</v>
      </c>
      <c r="D1265" s="2" t="b">
        <v>0</v>
      </c>
      <c r="E1265" s="2" t="b">
        <v>0</v>
      </c>
      <c r="F1265" s="2" t="s">
        <v>31</v>
      </c>
      <c r="G1265" s="2" t="s">
        <v>3175</v>
      </c>
      <c r="H1265" s="2" t="s">
        <v>3176</v>
      </c>
      <c r="I1265" s="2" t="s">
        <v>35</v>
      </c>
      <c r="J1265" s="2" t="s">
        <v>35</v>
      </c>
      <c r="K1265" s="2" t="s">
        <v>35</v>
      </c>
      <c r="L1265" s="2" t="s">
        <v>35</v>
      </c>
      <c r="M1265" s="2" t="s">
        <v>35</v>
      </c>
      <c r="N1265" s="3">
        <v>44762.493593807871</v>
      </c>
      <c r="O1265" s="3">
        <v>44762.493739039353</v>
      </c>
      <c r="P1265" s="2">
        <v>0</v>
      </c>
      <c r="Q1265" s="2" t="s">
        <v>36</v>
      </c>
      <c r="R1265" s="2" t="s">
        <v>38</v>
      </c>
      <c r="S1265" s="2" t="s">
        <v>35</v>
      </c>
      <c r="T1265" s="2" t="s">
        <v>35</v>
      </c>
      <c r="U1265" s="2" t="s">
        <v>35</v>
      </c>
      <c r="V1265" s="2" t="b">
        <v>0</v>
      </c>
      <c r="W1265" s="2" t="s">
        <v>35</v>
      </c>
      <c r="X1265" s="2" t="s">
        <v>35</v>
      </c>
      <c r="Y1265" s="2" t="s">
        <v>35</v>
      </c>
      <c r="Z1265" s="2">
        <v>2</v>
      </c>
    </row>
    <row r="1266" spans="1:26" x14ac:dyDescent="0.2">
      <c r="A1266" s="2" t="s">
        <v>3177</v>
      </c>
      <c r="B1266" s="2" t="b">
        <v>0</v>
      </c>
      <c r="C1266" s="2" t="b">
        <v>0</v>
      </c>
      <c r="D1266" s="2" t="b">
        <v>0</v>
      </c>
      <c r="E1266" s="2" t="b">
        <v>0</v>
      </c>
      <c r="F1266" s="2" t="s">
        <v>31</v>
      </c>
      <c r="G1266" s="2" t="s">
        <v>3178</v>
      </c>
      <c r="H1266" s="2" t="s">
        <v>3179</v>
      </c>
      <c r="I1266" s="2" t="s">
        <v>35</v>
      </c>
      <c r="J1266" s="2" t="s">
        <v>35</v>
      </c>
      <c r="K1266" s="2" t="s">
        <v>35</v>
      </c>
      <c r="L1266" s="2" t="s">
        <v>35</v>
      </c>
      <c r="M1266" s="2" t="s">
        <v>35</v>
      </c>
      <c r="N1266" s="3">
        <v>44762.495347060183</v>
      </c>
      <c r="O1266" s="3">
        <v>44762.495515983799</v>
      </c>
      <c r="P1266" s="2">
        <v>0</v>
      </c>
      <c r="Q1266" s="2" t="s">
        <v>36</v>
      </c>
      <c r="R1266" s="2" t="s">
        <v>38</v>
      </c>
      <c r="S1266" s="2" t="s">
        <v>35</v>
      </c>
      <c r="T1266" s="2" t="s">
        <v>35</v>
      </c>
      <c r="U1266" s="2" t="s">
        <v>35</v>
      </c>
      <c r="V1266" s="2" t="b">
        <v>0</v>
      </c>
      <c r="W1266" s="2" t="s">
        <v>35</v>
      </c>
      <c r="X1266" s="2" t="s">
        <v>35</v>
      </c>
      <c r="Y1266" s="2" t="s">
        <v>35</v>
      </c>
      <c r="Z1266" s="2">
        <v>4</v>
      </c>
    </row>
    <row r="1267" spans="1:26" x14ac:dyDescent="0.2">
      <c r="A1267" s="2" t="s">
        <v>3180</v>
      </c>
      <c r="B1267" s="2" t="b">
        <v>0</v>
      </c>
      <c r="C1267" s="2" t="b">
        <v>0</v>
      </c>
      <c r="D1267" s="2" t="b">
        <v>0</v>
      </c>
      <c r="E1267" s="2" t="b">
        <v>0</v>
      </c>
      <c r="F1267" s="2" t="s">
        <v>31</v>
      </c>
      <c r="G1267" s="2" t="s">
        <v>3181</v>
      </c>
      <c r="H1267" s="2" t="s">
        <v>3182</v>
      </c>
      <c r="I1267" s="2" t="s">
        <v>35</v>
      </c>
      <c r="J1267" s="2" t="s">
        <v>35</v>
      </c>
      <c r="K1267" s="2" t="s">
        <v>35</v>
      </c>
      <c r="L1267" s="2" t="s">
        <v>35</v>
      </c>
      <c r="M1267" s="2" t="s">
        <v>35</v>
      </c>
      <c r="N1267" s="3">
        <v>44762.495619351852</v>
      </c>
      <c r="O1267" s="3">
        <v>44762.495766192129</v>
      </c>
      <c r="P1267" s="2">
        <v>0</v>
      </c>
      <c r="Q1267" s="2" t="s">
        <v>36</v>
      </c>
      <c r="R1267" s="2" t="s">
        <v>38</v>
      </c>
      <c r="S1267" s="2" t="s">
        <v>35</v>
      </c>
      <c r="T1267" s="2" t="s">
        <v>35</v>
      </c>
      <c r="U1267" s="2" t="s">
        <v>35</v>
      </c>
      <c r="V1267" s="2" t="b">
        <v>0</v>
      </c>
      <c r="W1267" s="2" t="s">
        <v>35</v>
      </c>
      <c r="X1267" s="2" t="s">
        <v>35</v>
      </c>
      <c r="Y1267" s="2" t="s">
        <v>35</v>
      </c>
      <c r="Z1267" s="2">
        <v>2</v>
      </c>
    </row>
    <row r="1268" spans="1:26" x14ac:dyDescent="0.2">
      <c r="A1268" s="2" t="s">
        <v>3183</v>
      </c>
      <c r="B1268" s="2" t="b">
        <v>0</v>
      </c>
      <c r="C1268" s="2" t="b">
        <v>0</v>
      </c>
      <c r="D1268" s="2" t="b">
        <v>0</v>
      </c>
      <c r="E1268" s="2" t="b">
        <v>0</v>
      </c>
      <c r="F1268" s="2" t="s">
        <v>31</v>
      </c>
      <c r="G1268" s="2" t="s">
        <v>3184</v>
      </c>
      <c r="H1268" s="2" t="s">
        <v>3185</v>
      </c>
      <c r="I1268" s="2" t="s">
        <v>3186</v>
      </c>
      <c r="J1268" s="2" t="s">
        <v>35</v>
      </c>
      <c r="K1268" s="2" t="s">
        <v>35</v>
      </c>
      <c r="L1268" s="2" t="s">
        <v>35</v>
      </c>
      <c r="M1268" s="2" t="s">
        <v>35</v>
      </c>
      <c r="N1268" s="3">
        <v>44762.496430104169</v>
      </c>
      <c r="O1268" s="3">
        <v>44762.497120914355</v>
      </c>
      <c r="P1268" s="2">
        <v>0</v>
      </c>
      <c r="Q1268" s="2" t="s">
        <v>36</v>
      </c>
      <c r="R1268" s="2" t="s">
        <v>38</v>
      </c>
      <c r="S1268" s="2" t="s">
        <v>35</v>
      </c>
      <c r="T1268" s="2" t="s">
        <v>35</v>
      </c>
      <c r="U1268" s="2" t="s">
        <v>35</v>
      </c>
      <c r="V1268" s="2" t="b">
        <v>0</v>
      </c>
      <c r="W1268" s="2" t="s">
        <v>35</v>
      </c>
      <c r="X1268" s="2">
        <v>103</v>
      </c>
      <c r="Y1268" s="2" t="s">
        <v>35</v>
      </c>
      <c r="Z1268" s="2" t="s">
        <v>35</v>
      </c>
    </row>
    <row r="1269" spans="1:26" x14ac:dyDescent="0.2">
      <c r="A1269" s="2" t="s">
        <v>3187</v>
      </c>
      <c r="B1269" s="2" t="b">
        <v>0</v>
      </c>
      <c r="C1269" s="2" t="b">
        <v>0</v>
      </c>
      <c r="D1269" s="2" t="b">
        <v>0</v>
      </c>
      <c r="E1269" s="2" t="b">
        <v>0</v>
      </c>
      <c r="F1269" s="2" t="s">
        <v>31</v>
      </c>
      <c r="G1269" s="2" t="s">
        <v>3188</v>
      </c>
      <c r="H1269" s="2" t="s">
        <v>3189</v>
      </c>
      <c r="I1269" s="2" t="s">
        <v>3190</v>
      </c>
      <c r="J1269" s="2" t="s">
        <v>35</v>
      </c>
      <c r="K1269" s="2" t="s">
        <v>35</v>
      </c>
      <c r="L1269" s="2" t="s">
        <v>35</v>
      </c>
      <c r="M1269" s="2" t="s">
        <v>35</v>
      </c>
      <c r="N1269" s="3">
        <v>44762.497912766201</v>
      </c>
      <c r="O1269" s="3">
        <v>44762.498565324073</v>
      </c>
      <c r="P1269" s="2">
        <v>0</v>
      </c>
      <c r="Q1269" s="2" t="s">
        <v>36</v>
      </c>
      <c r="R1269" s="2" t="s">
        <v>38</v>
      </c>
      <c r="S1269" s="2" t="s">
        <v>35</v>
      </c>
      <c r="T1269" s="2" t="s">
        <v>35</v>
      </c>
      <c r="U1269" s="2" t="s">
        <v>35</v>
      </c>
      <c r="V1269" s="2" t="b">
        <v>0</v>
      </c>
      <c r="W1269" s="2" t="s">
        <v>35</v>
      </c>
      <c r="X1269" s="2" t="s">
        <v>35</v>
      </c>
      <c r="Y1269" s="2">
        <v>4</v>
      </c>
      <c r="Z1269" s="2">
        <v>2</v>
      </c>
    </row>
    <row r="1270" spans="1:26" x14ac:dyDescent="0.2">
      <c r="A1270" s="2" t="s">
        <v>3191</v>
      </c>
      <c r="B1270" s="2" t="b">
        <v>0</v>
      </c>
      <c r="C1270" s="2" t="b">
        <v>0</v>
      </c>
      <c r="D1270" s="2" t="b">
        <v>0</v>
      </c>
      <c r="E1270" s="2" t="b">
        <v>0</v>
      </c>
      <c r="F1270" s="2" t="s">
        <v>31</v>
      </c>
      <c r="G1270" s="2" t="s">
        <v>3192</v>
      </c>
      <c r="H1270" s="2" t="s">
        <v>3193</v>
      </c>
      <c r="I1270" s="2" t="s">
        <v>35</v>
      </c>
      <c r="J1270" s="2" t="s">
        <v>35</v>
      </c>
      <c r="K1270" s="2" t="s">
        <v>35</v>
      </c>
      <c r="L1270" s="2" t="s">
        <v>35</v>
      </c>
      <c r="M1270" s="2" t="s">
        <v>35</v>
      </c>
      <c r="N1270" s="3">
        <v>44762.498625567132</v>
      </c>
      <c r="O1270" s="3">
        <v>44762.498914166667</v>
      </c>
      <c r="P1270" s="2">
        <v>0</v>
      </c>
      <c r="Q1270" s="2" t="s">
        <v>36</v>
      </c>
      <c r="R1270" s="2" t="s">
        <v>38</v>
      </c>
      <c r="S1270" s="2" t="s">
        <v>35</v>
      </c>
      <c r="T1270" s="2" t="s">
        <v>35</v>
      </c>
      <c r="U1270" s="2" t="s">
        <v>35</v>
      </c>
      <c r="V1270" s="2" t="b">
        <v>0</v>
      </c>
      <c r="W1270" s="2" t="s">
        <v>2284</v>
      </c>
      <c r="X1270" s="2" t="s">
        <v>35</v>
      </c>
      <c r="Y1270" s="2" t="s">
        <v>35</v>
      </c>
      <c r="Z1270" s="2" t="s">
        <v>35</v>
      </c>
    </row>
    <row r="1271" spans="1:26" x14ac:dyDescent="0.2">
      <c r="A1271" s="2" t="s">
        <v>3194</v>
      </c>
      <c r="B1271" s="2" t="b">
        <v>0</v>
      </c>
      <c r="C1271" s="2" t="b">
        <v>0</v>
      </c>
      <c r="D1271" s="2" t="b">
        <v>0</v>
      </c>
      <c r="E1271" s="2" t="b">
        <v>0</v>
      </c>
      <c r="F1271" s="2" t="s">
        <v>31</v>
      </c>
      <c r="G1271" s="2" t="s">
        <v>3195</v>
      </c>
      <c r="H1271" s="2" t="s">
        <v>3196</v>
      </c>
      <c r="I1271" s="2" t="s">
        <v>35</v>
      </c>
      <c r="J1271" s="2" t="s">
        <v>35</v>
      </c>
      <c r="K1271" s="2" t="s">
        <v>35</v>
      </c>
      <c r="L1271" s="2" t="s">
        <v>35</v>
      </c>
      <c r="M1271" s="2" t="s">
        <v>35</v>
      </c>
      <c r="N1271" s="3">
        <v>44762.499731886572</v>
      </c>
      <c r="O1271" s="3">
        <v>44762.500404664352</v>
      </c>
      <c r="P1271" s="2">
        <v>0</v>
      </c>
      <c r="Q1271" s="2" t="s">
        <v>36</v>
      </c>
      <c r="R1271" s="2" t="s">
        <v>38</v>
      </c>
      <c r="S1271" s="2" t="s">
        <v>35</v>
      </c>
      <c r="T1271" s="2" t="s">
        <v>35</v>
      </c>
      <c r="U1271" s="2" t="s">
        <v>35</v>
      </c>
      <c r="V1271" s="2" t="b">
        <v>0</v>
      </c>
      <c r="W1271" s="2" t="s">
        <v>35</v>
      </c>
      <c r="X1271" s="2" t="s">
        <v>35</v>
      </c>
      <c r="Y1271" s="2" t="s">
        <v>35</v>
      </c>
      <c r="Z1271" s="2">
        <v>2</v>
      </c>
    </row>
    <row r="1272" spans="1:26" x14ac:dyDescent="0.2">
      <c r="A1272" s="2" t="s">
        <v>3197</v>
      </c>
      <c r="B1272" s="2" t="b">
        <v>0</v>
      </c>
      <c r="C1272" s="2" t="b">
        <v>0</v>
      </c>
      <c r="D1272" s="2" t="b">
        <v>0</v>
      </c>
      <c r="E1272" s="2" t="b">
        <v>0</v>
      </c>
      <c r="F1272" s="2" t="s">
        <v>31</v>
      </c>
      <c r="G1272" s="2" t="s">
        <v>3198</v>
      </c>
      <c r="H1272" s="2" t="s">
        <v>3199</v>
      </c>
      <c r="I1272" s="2" t="s">
        <v>35</v>
      </c>
      <c r="J1272" s="2" t="s">
        <v>35</v>
      </c>
      <c r="K1272" s="2" t="s">
        <v>35</v>
      </c>
      <c r="L1272" s="2" t="s">
        <v>35</v>
      </c>
      <c r="M1272" s="2" t="s">
        <v>35</v>
      </c>
      <c r="N1272" s="3">
        <v>44762.501281053243</v>
      </c>
      <c r="O1272" s="3">
        <v>44762.50146417824</v>
      </c>
      <c r="P1272" s="2">
        <v>0</v>
      </c>
      <c r="Q1272" s="2" t="s">
        <v>36</v>
      </c>
      <c r="R1272" s="2" t="s">
        <v>38</v>
      </c>
      <c r="S1272" s="2" t="s">
        <v>35</v>
      </c>
      <c r="T1272" s="2" t="s">
        <v>35</v>
      </c>
      <c r="U1272" s="2" t="s">
        <v>35</v>
      </c>
      <c r="V1272" s="2" t="b">
        <v>0</v>
      </c>
      <c r="W1272" s="2" t="s">
        <v>35</v>
      </c>
      <c r="X1272" s="2" t="s">
        <v>35</v>
      </c>
      <c r="Y1272" s="2" t="s">
        <v>35</v>
      </c>
      <c r="Z1272" s="2">
        <v>3</v>
      </c>
    </row>
    <row r="1273" spans="1:26" x14ac:dyDescent="0.2">
      <c r="A1273" s="2" t="s">
        <v>3200</v>
      </c>
      <c r="B1273" s="2" t="b">
        <v>0</v>
      </c>
      <c r="C1273" s="2" t="b">
        <v>0</v>
      </c>
      <c r="D1273" s="2" t="b">
        <v>0</v>
      </c>
      <c r="E1273" s="2" t="b">
        <v>0</v>
      </c>
      <c r="F1273" s="2" t="s">
        <v>31</v>
      </c>
      <c r="G1273" s="2" t="s">
        <v>3201</v>
      </c>
      <c r="H1273" s="2" t="s">
        <v>3202</v>
      </c>
      <c r="I1273" s="2" t="s">
        <v>3203</v>
      </c>
      <c r="J1273" s="2" t="s">
        <v>35</v>
      </c>
      <c r="K1273" s="2" t="s">
        <v>35</v>
      </c>
      <c r="L1273" s="2" t="s">
        <v>35</v>
      </c>
      <c r="M1273" s="2" t="s">
        <v>35</v>
      </c>
      <c r="N1273" s="3">
        <v>44762.502006145834</v>
      </c>
      <c r="O1273" s="3">
        <v>44762.502516805558</v>
      </c>
      <c r="P1273" s="2">
        <v>0</v>
      </c>
      <c r="Q1273" s="2" t="s">
        <v>36</v>
      </c>
      <c r="R1273" s="2" t="s">
        <v>38</v>
      </c>
      <c r="S1273" s="2" t="s">
        <v>35</v>
      </c>
      <c r="T1273" s="2" t="s">
        <v>35</v>
      </c>
      <c r="U1273" s="2" t="s">
        <v>35</v>
      </c>
      <c r="V1273" s="2" t="b">
        <v>0</v>
      </c>
      <c r="W1273" s="2" t="s">
        <v>35</v>
      </c>
      <c r="X1273" s="2" t="s">
        <v>35</v>
      </c>
      <c r="Y1273" s="2">
        <v>4</v>
      </c>
      <c r="Z1273" s="2" t="s">
        <v>35</v>
      </c>
    </row>
    <row r="1274" spans="1:26" x14ac:dyDescent="0.2">
      <c r="A1274" s="2" t="s">
        <v>3204</v>
      </c>
      <c r="B1274" s="2" t="b">
        <v>0</v>
      </c>
      <c r="C1274" s="2" t="b">
        <v>0</v>
      </c>
      <c r="D1274" s="2" t="b">
        <v>0</v>
      </c>
      <c r="E1274" s="2" t="b">
        <v>0</v>
      </c>
      <c r="F1274" s="2" t="s">
        <v>31</v>
      </c>
      <c r="G1274" s="2" t="s">
        <v>3205</v>
      </c>
      <c r="H1274" s="2" t="s">
        <v>3206</v>
      </c>
      <c r="I1274" s="2" t="s">
        <v>35</v>
      </c>
      <c r="J1274" s="2" t="s">
        <v>35</v>
      </c>
      <c r="K1274" s="2" t="s">
        <v>35</v>
      </c>
      <c r="L1274" s="2" t="s">
        <v>35</v>
      </c>
      <c r="M1274" s="2" t="s">
        <v>35</v>
      </c>
      <c r="N1274" s="3">
        <v>44762.503442650464</v>
      </c>
      <c r="O1274" s="3">
        <v>44762.503585011575</v>
      </c>
      <c r="P1274" s="2">
        <v>0</v>
      </c>
      <c r="Q1274" s="2" t="s">
        <v>36</v>
      </c>
      <c r="R1274" s="2" t="s">
        <v>38</v>
      </c>
      <c r="S1274" s="2" t="s">
        <v>35</v>
      </c>
      <c r="T1274" s="2" t="s">
        <v>35</v>
      </c>
      <c r="U1274" s="2" t="s">
        <v>35</v>
      </c>
      <c r="V1274" s="2" t="b">
        <v>0</v>
      </c>
      <c r="W1274" s="2" t="s">
        <v>35</v>
      </c>
      <c r="X1274" s="2" t="s">
        <v>35</v>
      </c>
      <c r="Y1274" s="2" t="s">
        <v>35</v>
      </c>
      <c r="Z1274" s="2">
        <v>3</v>
      </c>
    </row>
    <row r="1275" spans="1:26" x14ac:dyDescent="0.2">
      <c r="A1275" s="2" t="s">
        <v>3207</v>
      </c>
      <c r="B1275" s="2" t="b">
        <v>0</v>
      </c>
      <c r="C1275" s="2" t="b">
        <v>0</v>
      </c>
      <c r="D1275" s="2" t="b">
        <v>0</v>
      </c>
      <c r="E1275" s="2" t="b">
        <v>0</v>
      </c>
      <c r="F1275" s="2" t="s">
        <v>31</v>
      </c>
      <c r="G1275" s="2" t="s">
        <v>3208</v>
      </c>
      <c r="H1275" s="2" t="s">
        <v>3209</v>
      </c>
      <c r="I1275" s="2" t="s">
        <v>35</v>
      </c>
      <c r="J1275" s="2" t="s">
        <v>35</v>
      </c>
      <c r="K1275" s="2" t="s">
        <v>35</v>
      </c>
      <c r="L1275" s="2">
        <v>22</v>
      </c>
      <c r="M1275" s="2">
        <v>7</v>
      </c>
      <c r="N1275" s="3">
        <v>44762.503733020836</v>
      </c>
      <c r="O1275" s="3">
        <v>44762.504072314812</v>
      </c>
      <c r="P1275" s="2">
        <v>0</v>
      </c>
      <c r="Q1275" s="2" t="s">
        <v>54</v>
      </c>
      <c r="R1275" s="2" t="s">
        <v>38</v>
      </c>
      <c r="S1275" s="2" t="s">
        <v>35</v>
      </c>
      <c r="T1275" s="2" t="s">
        <v>35</v>
      </c>
      <c r="U1275" s="2" t="s">
        <v>35</v>
      </c>
      <c r="V1275" s="2" t="b">
        <v>0</v>
      </c>
      <c r="W1275" s="2" t="s">
        <v>35</v>
      </c>
      <c r="X1275" s="2" t="s">
        <v>35</v>
      </c>
      <c r="Y1275" s="2" t="s">
        <v>35</v>
      </c>
      <c r="Z1275" s="2" t="s">
        <v>35</v>
      </c>
    </row>
    <row r="1276" spans="1:26" x14ac:dyDescent="0.2">
      <c r="A1276" s="2" t="s">
        <v>3210</v>
      </c>
      <c r="B1276" s="2" t="b">
        <v>0</v>
      </c>
      <c r="C1276" s="2" t="b">
        <v>0</v>
      </c>
      <c r="D1276" s="2" t="b">
        <v>0</v>
      </c>
      <c r="E1276" s="2" t="b">
        <v>0</v>
      </c>
      <c r="F1276" s="2" t="s">
        <v>31</v>
      </c>
      <c r="G1276" s="2" t="s">
        <v>3211</v>
      </c>
      <c r="H1276" s="2" t="s">
        <v>3212</v>
      </c>
      <c r="I1276" s="2" t="s">
        <v>3213</v>
      </c>
      <c r="J1276" s="2" t="s">
        <v>35</v>
      </c>
      <c r="K1276" s="2" t="s">
        <v>35</v>
      </c>
      <c r="L1276" s="2" t="s">
        <v>35</v>
      </c>
      <c r="M1276" s="2" t="s">
        <v>35</v>
      </c>
      <c r="N1276" s="3">
        <v>44762.504685949076</v>
      </c>
      <c r="O1276" s="3">
        <v>44762.505049212959</v>
      </c>
      <c r="P1276" s="2">
        <v>0</v>
      </c>
      <c r="Q1276" s="2" t="s">
        <v>36</v>
      </c>
      <c r="R1276" s="2" t="s">
        <v>38</v>
      </c>
      <c r="S1276" s="2" t="s">
        <v>35</v>
      </c>
      <c r="T1276" s="2" t="s">
        <v>35</v>
      </c>
      <c r="U1276" s="2" t="s">
        <v>35</v>
      </c>
      <c r="V1276" s="2" t="b">
        <v>0</v>
      </c>
      <c r="W1276" s="2" t="s">
        <v>35</v>
      </c>
      <c r="X1276" s="2" t="s">
        <v>35</v>
      </c>
      <c r="Y1276" s="2">
        <v>6</v>
      </c>
      <c r="Z1276" s="2" t="s">
        <v>35</v>
      </c>
    </row>
    <row r="1277" spans="1:26" x14ac:dyDescent="0.2">
      <c r="A1277" s="2" t="s">
        <v>3214</v>
      </c>
      <c r="B1277" s="2" t="b">
        <v>0</v>
      </c>
      <c r="C1277" s="2" t="b">
        <v>0</v>
      </c>
      <c r="D1277" s="2" t="b">
        <v>0</v>
      </c>
      <c r="E1277" s="2" t="b">
        <v>0</v>
      </c>
      <c r="F1277" s="2" t="s">
        <v>31</v>
      </c>
      <c r="G1277" s="2" t="s">
        <v>3215</v>
      </c>
      <c r="H1277" s="2" t="s">
        <v>3216</v>
      </c>
      <c r="I1277" s="2" t="s">
        <v>35</v>
      </c>
      <c r="J1277" s="2" t="s">
        <v>35</v>
      </c>
      <c r="K1277" s="2" t="s">
        <v>35</v>
      </c>
      <c r="L1277" s="2">
        <v>2</v>
      </c>
      <c r="M1277" s="2">
        <v>11</v>
      </c>
      <c r="N1277" s="3">
        <v>44762.505501215281</v>
      </c>
      <c r="O1277" s="3">
        <v>44762.50571474537</v>
      </c>
      <c r="P1277" s="2">
        <v>0</v>
      </c>
      <c r="Q1277" s="2" t="s">
        <v>54</v>
      </c>
      <c r="R1277" s="2" t="s">
        <v>38</v>
      </c>
      <c r="S1277" s="2" t="s">
        <v>35</v>
      </c>
      <c r="T1277" s="2" t="s">
        <v>35</v>
      </c>
      <c r="U1277" s="2" t="s">
        <v>35</v>
      </c>
      <c r="V1277" s="2" t="b">
        <v>0</v>
      </c>
      <c r="W1277" s="2" t="s">
        <v>35</v>
      </c>
      <c r="X1277" s="2" t="s">
        <v>35</v>
      </c>
      <c r="Y1277" s="2" t="s">
        <v>35</v>
      </c>
      <c r="Z1277" s="2" t="s">
        <v>35</v>
      </c>
    </row>
    <row r="1278" spans="1:26" x14ac:dyDescent="0.2">
      <c r="A1278" s="2" t="s">
        <v>3217</v>
      </c>
      <c r="B1278" s="2" t="b">
        <v>0</v>
      </c>
      <c r="C1278" s="2" t="b">
        <v>0</v>
      </c>
      <c r="D1278" s="2" t="b">
        <v>0</v>
      </c>
      <c r="E1278" s="2" t="b">
        <v>0</v>
      </c>
      <c r="F1278" s="2" t="s">
        <v>31</v>
      </c>
      <c r="G1278" s="2" t="s">
        <v>3218</v>
      </c>
      <c r="H1278" s="2" t="s">
        <v>3219</v>
      </c>
      <c r="I1278" s="2" t="s">
        <v>35</v>
      </c>
      <c r="J1278" s="2" t="s">
        <v>35</v>
      </c>
      <c r="K1278" s="2">
        <v>10</v>
      </c>
      <c r="L1278" s="2" t="s">
        <v>35</v>
      </c>
      <c r="M1278" s="2" t="s">
        <v>35</v>
      </c>
      <c r="N1278" s="3">
        <v>44762.506003252318</v>
      </c>
      <c r="O1278" s="3">
        <v>44762.506352812503</v>
      </c>
      <c r="P1278" s="2">
        <v>0</v>
      </c>
      <c r="Q1278" s="2" t="s">
        <v>265</v>
      </c>
      <c r="R1278" s="2" t="s">
        <v>38</v>
      </c>
      <c r="S1278" s="2" t="s">
        <v>35</v>
      </c>
      <c r="T1278" s="2" t="s">
        <v>35</v>
      </c>
      <c r="U1278" s="2" t="s">
        <v>35</v>
      </c>
      <c r="V1278" s="2" t="b">
        <v>0</v>
      </c>
      <c r="W1278" s="2" t="s">
        <v>35</v>
      </c>
      <c r="X1278" s="2" t="s">
        <v>35</v>
      </c>
      <c r="Y1278" s="2" t="s">
        <v>35</v>
      </c>
      <c r="Z1278" s="2" t="s">
        <v>35</v>
      </c>
    </row>
    <row r="1279" spans="1:26" x14ac:dyDescent="0.2">
      <c r="A1279" s="2" t="s">
        <v>3220</v>
      </c>
      <c r="B1279" s="2" t="b">
        <v>0</v>
      </c>
      <c r="C1279" s="2" t="b">
        <v>0</v>
      </c>
      <c r="D1279" s="2" t="b">
        <v>0</v>
      </c>
      <c r="E1279" s="2" t="b">
        <v>0</v>
      </c>
      <c r="F1279" s="2" t="s">
        <v>31</v>
      </c>
      <c r="G1279" s="2" t="s">
        <v>3221</v>
      </c>
      <c r="H1279" s="2" t="s">
        <v>3222</v>
      </c>
      <c r="I1279" s="2" t="s">
        <v>35</v>
      </c>
      <c r="J1279" s="2" t="s">
        <v>35</v>
      </c>
      <c r="K1279" s="2">
        <v>6</v>
      </c>
      <c r="L1279" s="2" t="s">
        <v>35</v>
      </c>
      <c r="M1279" s="2" t="s">
        <v>35</v>
      </c>
      <c r="N1279" s="3">
        <v>44762.509189641205</v>
      </c>
      <c r="O1279" s="3">
        <v>44762.509383206016</v>
      </c>
      <c r="P1279" s="2">
        <v>0</v>
      </c>
      <c r="Q1279" s="2" t="s">
        <v>265</v>
      </c>
      <c r="R1279" s="2" t="s">
        <v>38</v>
      </c>
      <c r="S1279" s="2" t="s">
        <v>35</v>
      </c>
      <c r="T1279" s="2" t="s">
        <v>35</v>
      </c>
      <c r="U1279" s="2" t="s">
        <v>35</v>
      </c>
      <c r="V1279" s="2" t="b">
        <v>0</v>
      </c>
      <c r="W1279" s="2" t="s">
        <v>35</v>
      </c>
      <c r="X1279" s="2" t="s">
        <v>35</v>
      </c>
      <c r="Y1279" s="2" t="s">
        <v>35</v>
      </c>
      <c r="Z1279" s="2" t="s">
        <v>35</v>
      </c>
    </row>
    <row r="1280" spans="1:26" x14ac:dyDescent="0.2">
      <c r="A1280" s="2" t="s">
        <v>9375</v>
      </c>
      <c r="B1280" s="2" t="b">
        <v>0</v>
      </c>
      <c r="C1280" s="2" t="b">
        <v>0</v>
      </c>
      <c r="D1280" s="2" t="b">
        <v>0</v>
      </c>
      <c r="E1280" s="2" t="b">
        <v>0</v>
      </c>
      <c r="F1280" s="2" t="s">
        <v>121</v>
      </c>
      <c r="G1280" s="2" t="s">
        <v>149</v>
      </c>
      <c r="H1280" s="2" t="s">
        <v>3225</v>
      </c>
      <c r="I1280" s="2" t="s">
        <v>35</v>
      </c>
      <c r="J1280" s="2" t="s">
        <v>35</v>
      </c>
      <c r="K1280" s="2" t="s">
        <v>35</v>
      </c>
      <c r="L1280" s="2" t="s">
        <v>35</v>
      </c>
      <c r="M1280" s="2" t="s">
        <v>35</v>
      </c>
      <c r="N1280" s="3">
        <v>44762.509677488422</v>
      </c>
      <c r="O1280" s="3">
        <v>44762.509677569447</v>
      </c>
      <c r="P1280" s="2">
        <v>0</v>
      </c>
      <c r="Q1280" s="2" t="s">
        <v>35</v>
      </c>
      <c r="R1280" s="2" t="s">
        <v>38</v>
      </c>
      <c r="S1280" s="2" t="s">
        <v>35</v>
      </c>
      <c r="T1280" s="2" t="s">
        <v>35</v>
      </c>
      <c r="U1280" s="2" t="s">
        <v>35</v>
      </c>
      <c r="V1280" s="2" t="b">
        <v>0</v>
      </c>
      <c r="W1280" s="2" t="s">
        <v>35</v>
      </c>
      <c r="X1280" s="2" t="s">
        <v>35</v>
      </c>
      <c r="Y1280" s="2" t="s">
        <v>35</v>
      </c>
      <c r="Z1280" s="2" t="s">
        <v>35</v>
      </c>
    </row>
    <row r="1281" spans="1:26" x14ac:dyDescent="0.2">
      <c r="A1281" s="2" t="s">
        <v>3223</v>
      </c>
      <c r="B1281" s="2" t="b">
        <v>0</v>
      </c>
      <c r="C1281" s="2" t="b">
        <v>0</v>
      </c>
      <c r="D1281" s="2" t="b">
        <v>0</v>
      </c>
      <c r="E1281" s="2" t="b">
        <v>0</v>
      </c>
      <c r="F1281" s="2" t="s">
        <v>31</v>
      </c>
      <c r="G1281" s="2" t="s">
        <v>3224</v>
      </c>
      <c r="H1281" s="2" t="s">
        <v>3225</v>
      </c>
      <c r="I1281" s="2" t="s">
        <v>3226</v>
      </c>
      <c r="J1281" s="2" t="s">
        <v>35</v>
      </c>
      <c r="K1281" s="2" t="s">
        <v>35</v>
      </c>
      <c r="L1281" s="2" t="s">
        <v>35</v>
      </c>
      <c r="M1281" s="2" t="s">
        <v>35</v>
      </c>
      <c r="N1281" s="3">
        <v>44762.509692268519</v>
      </c>
      <c r="O1281" s="3">
        <v>44762.50985422454</v>
      </c>
      <c r="P1281" s="2">
        <v>0</v>
      </c>
      <c r="Q1281" s="2" t="s">
        <v>36</v>
      </c>
      <c r="R1281" s="2" t="s">
        <v>38</v>
      </c>
      <c r="S1281" s="2" t="s">
        <v>35</v>
      </c>
      <c r="T1281" s="2" t="s">
        <v>35</v>
      </c>
      <c r="U1281" s="2" t="s">
        <v>35</v>
      </c>
      <c r="V1281" s="2" t="b">
        <v>0</v>
      </c>
      <c r="W1281" s="2" t="s">
        <v>35</v>
      </c>
      <c r="X1281" s="2" t="s">
        <v>35</v>
      </c>
      <c r="Y1281" s="2">
        <v>6</v>
      </c>
      <c r="Z1281" s="2" t="s">
        <v>35</v>
      </c>
    </row>
    <row r="1282" spans="1:26" x14ac:dyDescent="0.2">
      <c r="A1282" s="2" t="s">
        <v>3227</v>
      </c>
      <c r="B1282" s="2" t="b">
        <v>0</v>
      </c>
      <c r="C1282" s="2" t="b">
        <v>0</v>
      </c>
      <c r="D1282" s="2" t="b">
        <v>0</v>
      </c>
      <c r="E1282" s="2" t="b">
        <v>0</v>
      </c>
      <c r="F1282" s="2" t="s">
        <v>31</v>
      </c>
      <c r="G1282" s="2" t="s">
        <v>3228</v>
      </c>
      <c r="H1282" s="2" t="s">
        <v>3229</v>
      </c>
      <c r="I1282" s="2" t="s">
        <v>35</v>
      </c>
      <c r="J1282" s="2" t="s">
        <v>35</v>
      </c>
      <c r="K1282" s="2">
        <v>12</v>
      </c>
      <c r="L1282" s="2" t="s">
        <v>35</v>
      </c>
      <c r="M1282" s="2" t="s">
        <v>35</v>
      </c>
      <c r="N1282" s="3">
        <v>44762.509965532408</v>
      </c>
      <c r="O1282" s="3">
        <v>44762.510119363425</v>
      </c>
      <c r="P1282" s="2">
        <v>0</v>
      </c>
      <c r="Q1282" s="2" t="s">
        <v>265</v>
      </c>
      <c r="R1282" s="2" t="s">
        <v>38</v>
      </c>
      <c r="S1282" s="2" t="s">
        <v>35</v>
      </c>
      <c r="T1282" s="2" t="s">
        <v>35</v>
      </c>
      <c r="U1282" s="2" t="s">
        <v>35</v>
      </c>
      <c r="V1282" s="2" t="b">
        <v>0</v>
      </c>
      <c r="W1282" s="2" t="s">
        <v>35</v>
      </c>
      <c r="X1282" s="2" t="s">
        <v>35</v>
      </c>
      <c r="Y1282" s="2" t="s">
        <v>35</v>
      </c>
      <c r="Z1282" s="2" t="s">
        <v>35</v>
      </c>
    </row>
    <row r="1283" spans="1:26" x14ac:dyDescent="0.2">
      <c r="A1283" s="2" t="s">
        <v>3230</v>
      </c>
      <c r="B1283" s="2" t="b">
        <v>0</v>
      </c>
      <c r="C1283" s="2" t="b">
        <v>0</v>
      </c>
      <c r="D1283" s="2" t="b">
        <v>0</v>
      </c>
      <c r="E1283" s="2" t="b">
        <v>0</v>
      </c>
      <c r="F1283" s="2" t="s">
        <v>31</v>
      </c>
      <c r="G1283" s="2" t="s">
        <v>3231</v>
      </c>
      <c r="H1283" s="2" t="s">
        <v>3232</v>
      </c>
      <c r="I1283" s="2" t="s">
        <v>35</v>
      </c>
      <c r="J1283" s="2" t="s">
        <v>35</v>
      </c>
      <c r="K1283" s="2" t="s">
        <v>35</v>
      </c>
      <c r="L1283" s="2">
        <v>3</v>
      </c>
      <c r="M1283" s="2">
        <v>16</v>
      </c>
      <c r="N1283" s="3">
        <v>44762.510149768517</v>
      </c>
      <c r="O1283" s="3">
        <v>44762.51033380787</v>
      </c>
      <c r="P1283" s="2">
        <v>0</v>
      </c>
      <c r="Q1283" s="2" t="s">
        <v>54</v>
      </c>
      <c r="R1283" s="2" t="s">
        <v>38</v>
      </c>
      <c r="S1283" s="2" t="s">
        <v>35</v>
      </c>
      <c r="T1283" s="2" t="s">
        <v>35</v>
      </c>
      <c r="U1283" s="2" t="s">
        <v>35</v>
      </c>
      <c r="V1283" s="2" t="b">
        <v>0</v>
      </c>
      <c r="W1283" s="2" t="s">
        <v>35</v>
      </c>
      <c r="X1283" s="2" t="s">
        <v>35</v>
      </c>
      <c r="Y1283" s="2" t="s">
        <v>35</v>
      </c>
      <c r="Z1283" s="2" t="s">
        <v>35</v>
      </c>
    </row>
    <row r="1284" spans="1:26" x14ac:dyDescent="0.2">
      <c r="A1284" s="2" t="s">
        <v>3233</v>
      </c>
      <c r="B1284" s="2" t="b">
        <v>0</v>
      </c>
      <c r="C1284" s="2" t="b">
        <v>0</v>
      </c>
      <c r="D1284" s="2" t="b">
        <v>0</v>
      </c>
      <c r="E1284" s="2" t="b">
        <v>0</v>
      </c>
      <c r="F1284" s="2" t="s">
        <v>31</v>
      </c>
      <c r="G1284" s="2" t="s">
        <v>3234</v>
      </c>
      <c r="H1284" s="2" t="s">
        <v>3235</v>
      </c>
      <c r="I1284" s="2" t="s">
        <v>35</v>
      </c>
      <c r="J1284" s="2" t="s">
        <v>35</v>
      </c>
      <c r="K1284" s="2" t="s">
        <v>35</v>
      </c>
      <c r="L1284" s="2" t="s">
        <v>35</v>
      </c>
      <c r="M1284" s="2" t="s">
        <v>35</v>
      </c>
      <c r="N1284" s="3">
        <v>44762.510472094909</v>
      </c>
      <c r="O1284" s="3">
        <v>44762.510667523151</v>
      </c>
      <c r="P1284" s="2">
        <v>0</v>
      </c>
      <c r="Q1284" s="2" t="s">
        <v>36</v>
      </c>
      <c r="R1284" s="2" t="s">
        <v>38</v>
      </c>
      <c r="S1284" s="2" t="s">
        <v>35</v>
      </c>
      <c r="T1284" s="2" t="s">
        <v>35</v>
      </c>
      <c r="U1284" s="2" t="s">
        <v>35</v>
      </c>
      <c r="V1284" s="2" t="b">
        <v>0</v>
      </c>
      <c r="W1284" s="2" t="s">
        <v>35</v>
      </c>
      <c r="X1284" s="2" t="s">
        <v>35</v>
      </c>
      <c r="Y1284" s="2" t="s">
        <v>35</v>
      </c>
      <c r="Z1284" s="2">
        <v>6</v>
      </c>
    </row>
    <row r="1285" spans="1:26" x14ac:dyDescent="0.2">
      <c r="A1285" s="2" t="s">
        <v>3236</v>
      </c>
      <c r="B1285" s="2" t="b">
        <v>0</v>
      </c>
      <c r="C1285" s="2" t="b">
        <v>0</v>
      </c>
      <c r="D1285" s="2" t="b">
        <v>0</v>
      </c>
      <c r="E1285" s="2" t="b">
        <v>0</v>
      </c>
      <c r="F1285" s="2" t="s">
        <v>31</v>
      </c>
      <c r="G1285" s="2" t="s">
        <v>3237</v>
      </c>
      <c r="H1285" s="2" t="s">
        <v>3238</v>
      </c>
      <c r="I1285" s="2" t="s">
        <v>35</v>
      </c>
      <c r="J1285" s="2" t="s">
        <v>35</v>
      </c>
      <c r="K1285" s="2">
        <v>10</v>
      </c>
      <c r="L1285" s="2" t="s">
        <v>35</v>
      </c>
      <c r="M1285" s="2" t="s">
        <v>35</v>
      </c>
      <c r="N1285" s="3">
        <v>44762.510767164349</v>
      </c>
      <c r="O1285" s="3">
        <v>44762.511014710646</v>
      </c>
      <c r="P1285" s="2">
        <v>0</v>
      </c>
      <c r="Q1285" s="2" t="s">
        <v>265</v>
      </c>
      <c r="R1285" s="2" t="s">
        <v>38</v>
      </c>
      <c r="S1285" s="2" t="s">
        <v>35</v>
      </c>
      <c r="T1285" s="2" t="s">
        <v>35</v>
      </c>
      <c r="U1285" s="2" t="s">
        <v>35</v>
      </c>
      <c r="V1285" s="2" t="b">
        <v>0</v>
      </c>
      <c r="W1285" s="2" t="s">
        <v>35</v>
      </c>
      <c r="X1285" s="2" t="s">
        <v>35</v>
      </c>
      <c r="Y1285" s="2" t="s">
        <v>35</v>
      </c>
      <c r="Z1285" s="2" t="s">
        <v>35</v>
      </c>
    </row>
    <row r="1286" spans="1:26" x14ac:dyDescent="0.2">
      <c r="A1286" s="2" t="s">
        <v>3239</v>
      </c>
      <c r="B1286" s="2" t="b">
        <v>0</v>
      </c>
      <c r="C1286" s="2" t="b">
        <v>0</v>
      </c>
      <c r="D1286" s="2" t="b">
        <v>0</v>
      </c>
      <c r="E1286" s="2" t="b">
        <v>0</v>
      </c>
      <c r="F1286" s="2" t="s">
        <v>31</v>
      </c>
      <c r="G1286" s="2" t="s">
        <v>3240</v>
      </c>
      <c r="H1286" s="2" t="s">
        <v>3241</v>
      </c>
      <c r="I1286" s="2" t="s">
        <v>35</v>
      </c>
      <c r="J1286" s="2" t="s">
        <v>35</v>
      </c>
      <c r="K1286" s="2" t="s">
        <v>35</v>
      </c>
      <c r="L1286" s="2">
        <v>2</v>
      </c>
      <c r="M1286" s="2">
        <v>16</v>
      </c>
      <c r="N1286" s="3">
        <v>44762.511054201386</v>
      </c>
      <c r="O1286" s="3">
        <v>44762.511204884257</v>
      </c>
      <c r="P1286" s="2">
        <v>0</v>
      </c>
      <c r="Q1286" s="2" t="s">
        <v>54</v>
      </c>
      <c r="R1286" s="2" t="s">
        <v>38</v>
      </c>
      <c r="S1286" s="2" t="s">
        <v>35</v>
      </c>
      <c r="T1286" s="2" t="s">
        <v>35</v>
      </c>
      <c r="U1286" s="2" t="s">
        <v>35</v>
      </c>
      <c r="V1286" s="2" t="b">
        <v>0</v>
      </c>
      <c r="W1286" s="2" t="s">
        <v>35</v>
      </c>
      <c r="X1286" s="2" t="s">
        <v>35</v>
      </c>
      <c r="Y1286" s="2" t="s">
        <v>35</v>
      </c>
      <c r="Z1286" s="2" t="s">
        <v>35</v>
      </c>
    </row>
    <row r="1287" spans="1:26" x14ac:dyDescent="0.2">
      <c r="A1287" s="2" t="s">
        <v>3242</v>
      </c>
      <c r="B1287" s="2" t="b">
        <v>0</v>
      </c>
      <c r="C1287" s="2" t="b">
        <v>0</v>
      </c>
      <c r="D1287" s="2" t="b">
        <v>0</v>
      </c>
      <c r="E1287" s="2" t="b">
        <v>0</v>
      </c>
      <c r="F1287" s="2" t="s">
        <v>31</v>
      </c>
      <c r="G1287" s="2" t="s">
        <v>3243</v>
      </c>
      <c r="H1287" s="2" t="s">
        <v>3244</v>
      </c>
      <c r="I1287" s="2" t="s">
        <v>3226</v>
      </c>
      <c r="J1287" s="2" t="s">
        <v>35</v>
      </c>
      <c r="K1287" s="2" t="s">
        <v>35</v>
      </c>
      <c r="L1287" s="2" t="s">
        <v>35</v>
      </c>
      <c r="M1287" s="2" t="s">
        <v>35</v>
      </c>
      <c r="N1287" s="3">
        <v>44762.511253784724</v>
      </c>
      <c r="O1287" s="3">
        <v>44762.511646574072</v>
      </c>
      <c r="P1287" s="2">
        <v>0</v>
      </c>
      <c r="Q1287" s="2" t="s">
        <v>36</v>
      </c>
      <c r="R1287" s="2" t="s">
        <v>38</v>
      </c>
      <c r="S1287" s="2" t="s">
        <v>35</v>
      </c>
      <c r="T1287" s="2" t="s">
        <v>35</v>
      </c>
      <c r="U1287" s="2" t="s">
        <v>35</v>
      </c>
      <c r="V1287" s="2" t="b">
        <v>0</v>
      </c>
      <c r="W1287" s="2" t="s">
        <v>35</v>
      </c>
      <c r="X1287" s="2" t="s">
        <v>35</v>
      </c>
      <c r="Y1287" s="2">
        <v>7</v>
      </c>
      <c r="Z1287" s="2" t="s">
        <v>35</v>
      </c>
    </row>
    <row r="1288" spans="1:26" x14ac:dyDescent="0.2">
      <c r="A1288" s="2" t="s">
        <v>3245</v>
      </c>
      <c r="B1288" s="2" t="b">
        <v>0</v>
      </c>
      <c r="C1288" s="2" t="b">
        <v>0</v>
      </c>
      <c r="D1288" s="2" t="b">
        <v>0</v>
      </c>
      <c r="E1288" s="2" t="b">
        <v>0</v>
      </c>
      <c r="F1288" s="2" t="s">
        <v>31</v>
      </c>
      <c r="G1288" s="2" t="s">
        <v>3246</v>
      </c>
      <c r="H1288" s="2" t="s">
        <v>3247</v>
      </c>
      <c r="I1288" s="2" t="s">
        <v>675</v>
      </c>
      <c r="J1288" s="2" t="s">
        <v>35</v>
      </c>
      <c r="K1288" s="2" t="s">
        <v>35</v>
      </c>
      <c r="L1288" s="2" t="s">
        <v>35</v>
      </c>
      <c r="M1288" s="2" t="s">
        <v>35</v>
      </c>
      <c r="N1288" s="3">
        <v>44764.361344062498</v>
      </c>
      <c r="O1288" s="3">
        <v>44764.361556516204</v>
      </c>
      <c r="P1288" s="2">
        <v>0</v>
      </c>
      <c r="Q1288" s="2" t="s">
        <v>124</v>
      </c>
      <c r="R1288" s="2" t="s">
        <v>38</v>
      </c>
      <c r="S1288" s="2" t="s">
        <v>35</v>
      </c>
      <c r="T1288" s="2" t="s">
        <v>35</v>
      </c>
      <c r="U1288" s="2" t="s">
        <v>35</v>
      </c>
      <c r="V1288" s="2" t="b">
        <v>0</v>
      </c>
      <c r="W1288" s="2" t="s">
        <v>35</v>
      </c>
      <c r="X1288" s="2">
        <v>4</v>
      </c>
      <c r="Y1288" s="2" t="s">
        <v>35</v>
      </c>
      <c r="Z1288" s="2" t="s">
        <v>35</v>
      </c>
    </row>
    <row r="1289" spans="1:26" x14ac:dyDescent="0.2">
      <c r="A1289" s="2" t="s">
        <v>3249</v>
      </c>
      <c r="B1289" s="2" t="b">
        <v>0</v>
      </c>
      <c r="C1289" s="2" t="b">
        <v>0</v>
      </c>
      <c r="D1289" s="2" t="b">
        <v>0</v>
      </c>
      <c r="E1289" s="2" t="b">
        <v>0</v>
      </c>
      <c r="F1289" s="2" t="s">
        <v>31</v>
      </c>
      <c r="G1289" s="2" t="s">
        <v>3250</v>
      </c>
      <c r="H1289" s="2" t="s">
        <v>3251</v>
      </c>
      <c r="I1289" s="2" t="s">
        <v>3252</v>
      </c>
      <c r="J1289" s="2" t="s">
        <v>35</v>
      </c>
      <c r="K1289" s="2" t="s">
        <v>35</v>
      </c>
      <c r="L1289" s="2" t="s">
        <v>35</v>
      </c>
      <c r="M1289" s="2" t="s">
        <v>35</v>
      </c>
      <c r="N1289" s="3">
        <v>44764.361877743053</v>
      </c>
      <c r="O1289" s="3">
        <v>44764.362297418978</v>
      </c>
      <c r="P1289" s="2">
        <v>0</v>
      </c>
      <c r="Q1289" s="2" t="s">
        <v>54</v>
      </c>
      <c r="R1289" s="2" t="s">
        <v>38</v>
      </c>
      <c r="S1289" s="2" t="s">
        <v>35</v>
      </c>
      <c r="T1289" s="2" t="s">
        <v>35</v>
      </c>
      <c r="U1289" s="2" t="s">
        <v>35</v>
      </c>
      <c r="V1289" s="2" t="b">
        <v>0</v>
      </c>
      <c r="W1289" s="2" t="s">
        <v>35</v>
      </c>
      <c r="X1289" s="2" t="s">
        <v>35</v>
      </c>
      <c r="Y1289" s="2" t="s">
        <v>35</v>
      </c>
      <c r="Z1289" s="2" t="s">
        <v>35</v>
      </c>
    </row>
    <row r="1290" spans="1:26" x14ac:dyDescent="0.2">
      <c r="A1290" s="2" t="s">
        <v>3253</v>
      </c>
      <c r="B1290" s="2" t="b">
        <v>0</v>
      </c>
      <c r="C1290" s="2" t="b">
        <v>0</v>
      </c>
      <c r="D1290" s="2" t="b">
        <v>0</v>
      </c>
      <c r="E1290" s="2" t="b">
        <v>0</v>
      </c>
      <c r="F1290" s="2" t="s">
        <v>31</v>
      </c>
      <c r="G1290" s="2" t="s">
        <v>3254</v>
      </c>
      <c r="H1290" s="2" t="s">
        <v>3255</v>
      </c>
      <c r="I1290" s="2" t="s">
        <v>35</v>
      </c>
      <c r="J1290" s="2" t="s">
        <v>35</v>
      </c>
      <c r="K1290" s="2" t="s">
        <v>35</v>
      </c>
      <c r="L1290" s="2">
        <v>31</v>
      </c>
      <c r="M1290" s="2">
        <v>15</v>
      </c>
      <c r="N1290" s="3">
        <v>44764.362374421296</v>
      </c>
      <c r="O1290" s="3">
        <v>44764.362857511573</v>
      </c>
      <c r="P1290" s="2">
        <v>0</v>
      </c>
      <c r="Q1290" s="2" t="s">
        <v>54</v>
      </c>
      <c r="R1290" s="2" t="s">
        <v>38</v>
      </c>
      <c r="S1290" s="2" t="s">
        <v>35</v>
      </c>
      <c r="T1290" s="2" t="s">
        <v>35</v>
      </c>
      <c r="U1290" s="2" t="s">
        <v>35</v>
      </c>
      <c r="V1290" s="2" t="b">
        <v>0</v>
      </c>
      <c r="W1290" s="2" t="s">
        <v>35</v>
      </c>
      <c r="X1290" s="2" t="s">
        <v>35</v>
      </c>
      <c r="Y1290" s="2" t="s">
        <v>35</v>
      </c>
      <c r="Z1290" s="2" t="s">
        <v>35</v>
      </c>
    </row>
    <row r="1291" spans="1:26" x14ac:dyDescent="0.2">
      <c r="A1291" s="2" t="s">
        <v>3256</v>
      </c>
      <c r="B1291" s="2" t="b">
        <v>0</v>
      </c>
      <c r="C1291" s="2" t="b">
        <v>0</v>
      </c>
      <c r="D1291" s="2" t="b">
        <v>0</v>
      </c>
      <c r="E1291" s="2" t="b">
        <v>0</v>
      </c>
      <c r="F1291" s="2" t="s">
        <v>31</v>
      </c>
      <c r="G1291" s="2" t="s">
        <v>3257</v>
      </c>
      <c r="H1291" s="2" t="s">
        <v>3258</v>
      </c>
      <c r="I1291" s="2" t="s">
        <v>3252</v>
      </c>
      <c r="J1291" s="2" t="s">
        <v>35</v>
      </c>
      <c r="K1291" s="2" t="s">
        <v>35</v>
      </c>
      <c r="L1291" s="2" t="s">
        <v>35</v>
      </c>
      <c r="M1291" s="2" t="s">
        <v>35</v>
      </c>
      <c r="N1291" s="3">
        <v>44764.362939687497</v>
      </c>
      <c r="O1291" s="3">
        <v>44764.363410949074</v>
      </c>
      <c r="P1291" s="2">
        <v>0</v>
      </c>
      <c r="Q1291" s="2" t="s">
        <v>54</v>
      </c>
      <c r="R1291" s="2" t="s">
        <v>38</v>
      </c>
      <c r="S1291" s="2" t="s">
        <v>35</v>
      </c>
      <c r="T1291" s="2" t="s">
        <v>35</v>
      </c>
      <c r="U1291" s="2" t="s">
        <v>35</v>
      </c>
      <c r="V1291" s="2" t="b">
        <v>0</v>
      </c>
      <c r="W1291" s="2" t="s">
        <v>35</v>
      </c>
      <c r="X1291" s="2" t="s">
        <v>35</v>
      </c>
      <c r="Y1291" s="2" t="s">
        <v>35</v>
      </c>
      <c r="Z1291" s="2" t="s">
        <v>35</v>
      </c>
    </row>
    <row r="1292" spans="1:26" x14ac:dyDescent="0.2">
      <c r="A1292" s="2" t="s">
        <v>3259</v>
      </c>
      <c r="B1292" s="2" t="b">
        <v>0</v>
      </c>
      <c r="C1292" s="2" t="b">
        <v>0</v>
      </c>
      <c r="D1292" s="2" t="b">
        <v>0</v>
      </c>
      <c r="E1292" s="2" t="b">
        <v>0</v>
      </c>
      <c r="F1292" s="2" t="s">
        <v>31</v>
      </c>
      <c r="G1292" s="2" t="s">
        <v>3260</v>
      </c>
      <c r="H1292" s="2" t="s">
        <v>3261</v>
      </c>
      <c r="I1292" s="2" t="s">
        <v>35</v>
      </c>
      <c r="J1292" s="2" t="s">
        <v>35</v>
      </c>
      <c r="K1292" s="2" t="s">
        <v>35</v>
      </c>
      <c r="L1292" s="2">
        <v>31</v>
      </c>
      <c r="M1292" s="2">
        <v>15</v>
      </c>
      <c r="N1292" s="3">
        <v>44764.36384150463</v>
      </c>
      <c r="O1292" s="3">
        <v>44764.36438363426</v>
      </c>
      <c r="P1292" s="2">
        <v>0</v>
      </c>
      <c r="Q1292" s="2" t="s">
        <v>54</v>
      </c>
      <c r="R1292" s="2" t="s">
        <v>38</v>
      </c>
      <c r="S1292" s="2" t="s">
        <v>35</v>
      </c>
      <c r="T1292" s="2" t="s">
        <v>35</v>
      </c>
      <c r="U1292" s="2" t="s">
        <v>35</v>
      </c>
      <c r="V1292" s="2" t="b">
        <v>0</v>
      </c>
      <c r="W1292" s="2" t="s">
        <v>35</v>
      </c>
      <c r="X1292" s="2" t="s">
        <v>35</v>
      </c>
      <c r="Y1292" s="2" t="s">
        <v>35</v>
      </c>
      <c r="Z1292" s="2" t="s">
        <v>35</v>
      </c>
    </row>
    <row r="1293" spans="1:26" x14ac:dyDescent="0.2">
      <c r="A1293" s="2" t="s">
        <v>3262</v>
      </c>
      <c r="B1293" s="2" t="b">
        <v>0</v>
      </c>
      <c r="C1293" s="2" t="b">
        <v>0</v>
      </c>
      <c r="D1293" s="2" t="b">
        <v>0</v>
      </c>
      <c r="E1293" s="2" t="b">
        <v>0</v>
      </c>
      <c r="F1293" s="2" t="s">
        <v>31</v>
      </c>
      <c r="G1293" s="2" t="s">
        <v>3263</v>
      </c>
      <c r="H1293" s="2" t="s">
        <v>3264</v>
      </c>
      <c r="I1293" s="2" t="s">
        <v>675</v>
      </c>
      <c r="J1293" s="2" t="s">
        <v>35</v>
      </c>
      <c r="K1293" s="2" t="s">
        <v>35</v>
      </c>
      <c r="L1293" s="2" t="s">
        <v>35</v>
      </c>
      <c r="M1293" s="2" t="s">
        <v>35</v>
      </c>
      <c r="N1293" s="3">
        <v>44764.364806238424</v>
      </c>
      <c r="O1293" s="3">
        <v>44764.364963946762</v>
      </c>
      <c r="P1293" s="2">
        <v>0</v>
      </c>
      <c r="Q1293" s="2" t="s">
        <v>124</v>
      </c>
      <c r="R1293" s="2" t="s">
        <v>38</v>
      </c>
      <c r="S1293" s="2" t="s">
        <v>35</v>
      </c>
      <c r="T1293" s="2" t="s">
        <v>35</v>
      </c>
      <c r="U1293" s="2" t="s">
        <v>35</v>
      </c>
      <c r="V1293" s="2" t="b">
        <v>0</v>
      </c>
      <c r="W1293" s="2" t="s">
        <v>35</v>
      </c>
      <c r="X1293" s="2">
        <v>4</v>
      </c>
      <c r="Y1293" s="2" t="s">
        <v>35</v>
      </c>
      <c r="Z1293" s="2" t="s">
        <v>35</v>
      </c>
    </row>
    <row r="1294" spans="1:26" x14ac:dyDescent="0.2">
      <c r="A1294" s="2" t="s">
        <v>3265</v>
      </c>
      <c r="B1294" s="2" t="b">
        <v>0</v>
      </c>
      <c r="C1294" s="2" t="b">
        <v>0</v>
      </c>
      <c r="D1294" s="2" t="b">
        <v>0</v>
      </c>
      <c r="E1294" s="2" t="b">
        <v>0</v>
      </c>
      <c r="F1294" s="2" t="s">
        <v>31</v>
      </c>
      <c r="G1294" s="2" t="s">
        <v>3266</v>
      </c>
      <c r="H1294" s="2" t="s">
        <v>3267</v>
      </c>
      <c r="I1294" s="2" t="s">
        <v>3252</v>
      </c>
      <c r="J1294" s="2" t="s">
        <v>35</v>
      </c>
      <c r="K1294" s="2" t="s">
        <v>35</v>
      </c>
      <c r="L1294" s="2" t="s">
        <v>35</v>
      </c>
      <c r="M1294" s="2" t="s">
        <v>35</v>
      </c>
      <c r="N1294" s="3">
        <v>44764.365249664355</v>
      </c>
      <c r="O1294" s="3">
        <v>44764.365537175923</v>
      </c>
      <c r="P1294" s="2">
        <v>0</v>
      </c>
      <c r="Q1294" s="2" t="s">
        <v>54</v>
      </c>
      <c r="R1294" s="2" t="s">
        <v>38</v>
      </c>
      <c r="S1294" s="2" t="s">
        <v>35</v>
      </c>
      <c r="T1294" s="2" t="s">
        <v>35</v>
      </c>
      <c r="U1294" s="2" t="s">
        <v>35</v>
      </c>
      <c r="V1294" s="2" t="b">
        <v>0</v>
      </c>
      <c r="W1294" s="2" t="s">
        <v>35</v>
      </c>
      <c r="X1294" s="2" t="s">
        <v>35</v>
      </c>
      <c r="Y1294" s="2" t="s">
        <v>35</v>
      </c>
      <c r="Z1294" s="2" t="s">
        <v>35</v>
      </c>
    </row>
    <row r="1295" spans="1:26" x14ac:dyDescent="0.2">
      <c r="A1295" s="2" t="s">
        <v>3268</v>
      </c>
      <c r="B1295" s="2" t="b">
        <v>0</v>
      </c>
      <c r="C1295" s="2" t="b">
        <v>0</v>
      </c>
      <c r="D1295" s="2" t="b">
        <v>0</v>
      </c>
      <c r="E1295" s="2" t="b">
        <v>0</v>
      </c>
      <c r="F1295" s="2" t="s">
        <v>31</v>
      </c>
      <c r="G1295" s="2" t="s">
        <v>3269</v>
      </c>
      <c r="H1295" s="2" t="s">
        <v>3270</v>
      </c>
      <c r="I1295" s="2" t="s">
        <v>35</v>
      </c>
      <c r="J1295" s="2" t="s">
        <v>35</v>
      </c>
      <c r="K1295" s="2" t="s">
        <v>35</v>
      </c>
      <c r="L1295" s="2">
        <v>31</v>
      </c>
      <c r="M1295" s="2">
        <v>15</v>
      </c>
      <c r="N1295" s="3">
        <v>44764.365681157411</v>
      </c>
      <c r="O1295" s="3">
        <v>44764.366037569445</v>
      </c>
      <c r="P1295" s="2">
        <v>0</v>
      </c>
      <c r="Q1295" s="2" t="s">
        <v>54</v>
      </c>
      <c r="R1295" s="2" t="s">
        <v>38</v>
      </c>
      <c r="S1295" s="2" t="s">
        <v>35</v>
      </c>
      <c r="T1295" s="2" t="s">
        <v>35</v>
      </c>
      <c r="U1295" s="2" t="s">
        <v>35</v>
      </c>
      <c r="V1295" s="2" t="b">
        <v>0</v>
      </c>
      <c r="W1295" s="2" t="s">
        <v>35</v>
      </c>
      <c r="X1295" s="2" t="s">
        <v>35</v>
      </c>
      <c r="Y1295" s="2" t="s">
        <v>35</v>
      </c>
      <c r="Z1295" s="2" t="s">
        <v>35</v>
      </c>
    </row>
    <row r="1296" spans="1:26" x14ac:dyDescent="0.2">
      <c r="A1296" s="2" t="s">
        <v>3271</v>
      </c>
      <c r="B1296" s="2" t="b">
        <v>0</v>
      </c>
      <c r="C1296" s="2" t="b">
        <v>0</v>
      </c>
      <c r="D1296" s="2" t="b">
        <v>0</v>
      </c>
      <c r="E1296" s="2" t="b">
        <v>0</v>
      </c>
      <c r="F1296" s="2" t="s">
        <v>31</v>
      </c>
      <c r="G1296" s="2" t="s">
        <v>3272</v>
      </c>
      <c r="H1296" s="2" t="s">
        <v>3273</v>
      </c>
      <c r="I1296" s="2" t="s">
        <v>3252</v>
      </c>
      <c r="J1296" s="2" t="s">
        <v>35</v>
      </c>
      <c r="K1296" s="2" t="s">
        <v>35</v>
      </c>
      <c r="L1296" s="2" t="s">
        <v>35</v>
      </c>
      <c r="M1296" s="2" t="s">
        <v>35</v>
      </c>
      <c r="N1296" s="3">
        <v>44764.366358472224</v>
      </c>
      <c r="O1296" s="3">
        <v>44764.366608159726</v>
      </c>
      <c r="P1296" s="2">
        <v>0</v>
      </c>
      <c r="Q1296" s="2" t="s">
        <v>54</v>
      </c>
      <c r="R1296" s="2" t="s">
        <v>38</v>
      </c>
      <c r="S1296" s="2" t="s">
        <v>35</v>
      </c>
      <c r="T1296" s="2" t="s">
        <v>35</v>
      </c>
      <c r="U1296" s="2" t="s">
        <v>35</v>
      </c>
      <c r="V1296" s="2" t="b">
        <v>0</v>
      </c>
      <c r="W1296" s="2" t="s">
        <v>35</v>
      </c>
      <c r="X1296" s="2" t="s">
        <v>35</v>
      </c>
      <c r="Y1296" s="2" t="s">
        <v>35</v>
      </c>
      <c r="Z1296" s="2" t="s">
        <v>35</v>
      </c>
    </row>
    <row r="1297" spans="1:26" x14ac:dyDescent="0.2">
      <c r="A1297" s="2" t="s">
        <v>3274</v>
      </c>
      <c r="B1297" s="2" t="b">
        <v>0</v>
      </c>
      <c r="C1297" s="2" t="b">
        <v>0</v>
      </c>
      <c r="D1297" s="2" t="b">
        <v>0</v>
      </c>
      <c r="E1297" s="2" t="b">
        <v>0</v>
      </c>
      <c r="F1297" s="2" t="s">
        <v>31</v>
      </c>
      <c r="G1297" s="2" t="s">
        <v>3275</v>
      </c>
      <c r="H1297" s="2" t="s">
        <v>3276</v>
      </c>
      <c r="I1297" s="2" t="s">
        <v>35</v>
      </c>
      <c r="J1297" s="2" t="s">
        <v>35</v>
      </c>
      <c r="K1297" s="2" t="s">
        <v>35</v>
      </c>
      <c r="L1297" s="2">
        <v>31</v>
      </c>
      <c r="M1297" s="2">
        <v>15</v>
      </c>
      <c r="N1297" s="3">
        <v>44764.36668003472</v>
      </c>
      <c r="O1297" s="3">
        <v>44764.367063738428</v>
      </c>
      <c r="P1297" s="2">
        <v>0</v>
      </c>
      <c r="Q1297" s="2" t="s">
        <v>54</v>
      </c>
      <c r="R1297" s="2" t="s">
        <v>38</v>
      </c>
      <c r="S1297" s="2" t="s">
        <v>35</v>
      </c>
      <c r="T1297" s="2" t="s">
        <v>35</v>
      </c>
      <c r="U1297" s="2" t="s">
        <v>35</v>
      </c>
      <c r="V1297" s="2" t="b">
        <v>0</v>
      </c>
      <c r="W1297" s="2" t="s">
        <v>35</v>
      </c>
      <c r="X1297" s="2" t="s">
        <v>35</v>
      </c>
      <c r="Y1297" s="2" t="s">
        <v>35</v>
      </c>
      <c r="Z1297" s="2" t="s">
        <v>35</v>
      </c>
    </row>
    <row r="1298" spans="1:26" x14ac:dyDescent="0.2">
      <c r="A1298" s="2" t="s">
        <v>3277</v>
      </c>
      <c r="B1298" s="2" t="b">
        <v>0</v>
      </c>
      <c r="C1298" s="2" t="b">
        <v>0</v>
      </c>
      <c r="D1298" s="2" t="b">
        <v>0</v>
      </c>
      <c r="E1298" s="2" t="b">
        <v>0</v>
      </c>
      <c r="F1298" s="2" t="s">
        <v>31</v>
      </c>
      <c r="G1298" s="2" t="s">
        <v>3278</v>
      </c>
      <c r="H1298" s="2" t="s">
        <v>3279</v>
      </c>
      <c r="I1298" s="2" t="s">
        <v>1124</v>
      </c>
      <c r="J1298" s="2" t="s">
        <v>35</v>
      </c>
      <c r="K1298" s="2" t="s">
        <v>35</v>
      </c>
      <c r="L1298" s="2" t="s">
        <v>35</v>
      </c>
      <c r="M1298" s="2" t="s">
        <v>35</v>
      </c>
      <c r="N1298" s="3">
        <v>44764.367801412038</v>
      </c>
      <c r="O1298" s="3">
        <v>44764.368180092592</v>
      </c>
      <c r="P1298" s="2">
        <v>0</v>
      </c>
      <c r="Q1298" s="2" t="s">
        <v>416</v>
      </c>
      <c r="R1298" s="2" t="s">
        <v>38</v>
      </c>
      <c r="S1298" s="2" t="s">
        <v>35</v>
      </c>
      <c r="T1298" s="2">
        <v>0</v>
      </c>
      <c r="U1298" s="2" t="s">
        <v>3280</v>
      </c>
      <c r="V1298" s="2" t="b">
        <v>0</v>
      </c>
      <c r="W1298" s="2" t="s">
        <v>35</v>
      </c>
      <c r="X1298" s="2" t="s">
        <v>35</v>
      </c>
      <c r="Y1298" s="2" t="s">
        <v>35</v>
      </c>
      <c r="Z1298" s="2" t="s">
        <v>35</v>
      </c>
    </row>
    <row r="1299" spans="1:26" x14ac:dyDescent="0.2">
      <c r="A1299" s="2" t="s">
        <v>3281</v>
      </c>
      <c r="B1299" s="2" t="b">
        <v>0</v>
      </c>
      <c r="C1299" s="2" t="b">
        <v>0</v>
      </c>
      <c r="D1299" s="2" t="b">
        <v>0</v>
      </c>
      <c r="E1299" s="2" t="b">
        <v>0</v>
      </c>
      <c r="F1299" s="2" t="s">
        <v>31</v>
      </c>
      <c r="G1299" s="2" t="s">
        <v>3282</v>
      </c>
      <c r="H1299" s="2" t="s">
        <v>3283</v>
      </c>
      <c r="I1299" s="2" t="s">
        <v>675</v>
      </c>
      <c r="J1299" s="2" t="s">
        <v>35</v>
      </c>
      <c r="K1299" s="2" t="s">
        <v>35</v>
      </c>
      <c r="L1299" s="2" t="s">
        <v>35</v>
      </c>
      <c r="M1299" s="2" t="s">
        <v>35</v>
      </c>
      <c r="N1299" s="3">
        <v>44764.370525601851</v>
      </c>
      <c r="O1299" s="3">
        <v>44764.370816898147</v>
      </c>
      <c r="P1299" s="2">
        <v>0</v>
      </c>
      <c r="Q1299" s="2" t="s">
        <v>124</v>
      </c>
      <c r="R1299" s="2" t="s">
        <v>38</v>
      </c>
      <c r="S1299" s="2" t="s">
        <v>35</v>
      </c>
      <c r="T1299" s="2" t="s">
        <v>35</v>
      </c>
      <c r="U1299" s="2" t="s">
        <v>35</v>
      </c>
      <c r="V1299" s="2" t="b">
        <v>0</v>
      </c>
      <c r="W1299" s="2" t="s">
        <v>35</v>
      </c>
      <c r="X1299" s="2">
        <v>4</v>
      </c>
      <c r="Y1299" s="2" t="s">
        <v>35</v>
      </c>
      <c r="Z1299" s="2" t="s">
        <v>35</v>
      </c>
    </row>
    <row r="1300" spans="1:26" x14ac:dyDescent="0.2">
      <c r="A1300" s="2" t="s">
        <v>3284</v>
      </c>
      <c r="B1300" s="2" t="b">
        <v>0</v>
      </c>
      <c r="C1300" s="2" t="b">
        <v>0</v>
      </c>
      <c r="D1300" s="2" t="b">
        <v>0</v>
      </c>
      <c r="E1300" s="2" t="b">
        <v>0</v>
      </c>
      <c r="F1300" s="2" t="s">
        <v>31</v>
      </c>
      <c r="G1300" s="2" t="s">
        <v>3285</v>
      </c>
      <c r="H1300" s="2" t="s">
        <v>3286</v>
      </c>
      <c r="I1300" s="2" t="s">
        <v>35</v>
      </c>
      <c r="J1300" s="2" t="s">
        <v>35</v>
      </c>
      <c r="K1300" s="2" t="s">
        <v>35</v>
      </c>
      <c r="L1300" s="2">
        <v>29</v>
      </c>
      <c r="M1300" s="2">
        <v>17</v>
      </c>
      <c r="N1300" s="3">
        <v>44764.371469756945</v>
      </c>
      <c r="O1300" s="3">
        <v>44764.372051168983</v>
      </c>
      <c r="P1300" s="2">
        <v>0</v>
      </c>
      <c r="Q1300" s="2" t="s">
        <v>54</v>
      </c>
      <c r="R1300" s="2" t="s">
        <v>38</v>
      </c>
      <c r="S1300" s="2" t="s">
        <v>35</v>
      </c>
      <c r="T1300" s="2" t="s">
        <v>35</v>
      </c>
      <c r="U1300" s="2" t="s">
        <v>35</v>
      </c>
      <c r="V1300" s="2" t="b">
        <v>0</v>
      </c>
      <c r="W1300" s="2" t="s">
        <v>35</v>
      </c>
      <c r="X1300" s="2" t="s">
        <v>35</v>
      </c>
      <c r="Y1300" s="2" t="s">
        <v>35</v>
      </c>
      <c r="Z1300" s="2" t="s">
        <v>35</v>
      </c>
    </row>
    <row r="1301" spans="1:26" x14ac:dyDescent="0.2">
      <c r="A1301" s="2" t="s">
        <v>3287</v>
      </c>
      <c r="B1301" s="2" t="b">
        <v>0</v>
      </c>
      <c r="C1301" s="2" t="b">
        <v>0</v>
      </c>
      <c r="D1301" s="2" t="b">
        <v>0</v>
      </c>
      <c r="E1301" s="2" t="b">
        <v>0</v>
      </c>
      <c r="F1301" s="2" t="s">
        <v>31</v>
      </c>
      <c r="G1301" s="2" t="s">
        <v>3288</v>
      </c>
      <c r="H1301" s="2" t="s">
        <v>3289</v>
      </c>
      <c r="I1301" s="2" t="s">
        <v>1711</v>
      </c>
      <c r="J1301" s="2" t="s">
        <v>35</v>
      </c>
      <c r="K1301" s="2" t="s">
        <v>35</v>
      </c>
      <c r="L1301" s="2" t="s">
        <v>35</v>
      </c>
      <c r="M1301" s="2" t="s">
        <v>35</v>
      </c>
      <c r="N1301" s="3">
        <v>44764.372087280091</v>
      </c>
      <c r="O1301" s="3">
        <v>44764.372279328702</v>
      </c>
      <c r="P1301" s="2">
        <v>0</v>
      </c>
      <c r="Q1301" s="2" t="s">
        <v>54</v>
      </c>
      <c r="R1301" s="2" t="s">
        <v>38</v>
      </c>
      <c r="S1301" s="2" t="s">
        <v>35</v>
      </c>
      <c r="T1301" s="2" t="s">
        <v>35</v>
      </c>
      <c r="U1301" s="2" t="s">
        <v>35</v>
      </c>
      <c r="V1301" s="2" t="b">
        <v>0</v>
      </c>
      <c r="W1301" s="2" t="s">
        <v>35</v>
      </c>
      <c r="X1301" s="2" t="s">
        <v>35</v>
      </c>
      <c r="Y1301" s="2" t="s">
        <v>35</v>
      </c>
      <c r="Z1301" s="2" t="s">
        <v>35</v>
      </c>
    </row>
    <row r="1302" spans="1:26" x14ac:dyDescent="0.2">
      <c r="A1302" s="2" t="s">
        <v>3290</v>
      </c>
      <c r="B1302" s="2" t="b">
        <v>0</v>
      </c>
      <c r="C1302" s="2" t="b">
        <v>0</v>
      </c>
      <c r="D1302" s="2" t="b">
        <v>0</v>
      </c>
      <c r="E1302" s="2" t="b">
        <v>0</v>
      </c>
      <c r="F1302" s="2" t="s">
        <v>31</v>
      </c>
      <c r="G1302" s="2" t="s">
        <v>3291</v>
      </c>
      <c r="H1302" s="2" t="s">
        <v>3292</v>
      </c>
      <c r="I1302" s="2" t="s">
        <v>35</v>
      </c>
      <c r="J1302" s="2" t="s">
        <v>35</v>
      </c>
      <c r="K1302" s="2" t="s">
        <v>35</v>
      </c>
      <c r="L1302" s="2">
        <v>2</v>
      </c>
      <c r="M1302" s="2">
        <v>17</v>
      </c>
      <c r="N1302" s="3">
        <v>44764.376414432867</v>
      </c>
      <c r="O1302" s="3">
        <v>44764.376680821762</v>
      </c>
      <c r="P1302" s="2">
        <v>0</v>
      </c>
      <c r="Q1302" s="2" t="s">
        <v>54</v>
      </c>
      <c r="R1302" s="2" t="s">
        <v>38</v>
      </c>
      <c r="S1302" s="2" t="s">
        <v>35</v>
      </c>
      <c r="T1302" s="2" t="s">
        <v>35</v>
      </c>
      <c r="U1302" s="2" t="s">
        <v>35</v>
      </c>
      <c r="V1302" s="2" t="b">
        <v>0</v>
      </c>
      <c r="W1302" s="2" t="s">
        <v>35</v>
      </c>
      <c r="X1302" s="2" t="s">
        <v>35</v>
      </c>
      <c r="Y1302" s="2" t="s">
        <v>35</v>
      </c>
      <c r="Z1302" s="2" t="s">
        <v>35</v>
      </c>
    </row>
    <row r="1303" spans="1:26" x14ac:dyDescent="0.2">
      <c r="A1303" s="2" t="s">
        <v>3293</v>
      </c>
      <c r="B1303" s="2" t="b">
        <v>0</v>
      </c>
      <c r="C1303" s="2" t="b">
        <v>0</v>
      </c>
      <c r="D1303" s="2" t="b">
        <v>0</v>
      </c>
      <c r="E1303" s="2" t="b">
        <v>0</v>
      </c>
      <c r="F1303" s="2" t="s">
        <v>31</v>
      </c>
      <c r="G1303" s="2" t="s">
        <v>3294</v>
      </c>
      <c r="H1303" s="2" t="s">
        <v>3295</v>
      </c>
      <c r="I1303" s="2" t="s">
        <v>675</v>
      </c>
      <c r="J1303" s="2" t="s">
        <v>35</v>
      </c>
      <c r="K1303" s="2" t="s">
        <v>35</v>
      </c>
      <c r="L1303" s="2" t="s">
        <v>35</v>
      </c>
      <c r="M1303" s="2" t="s">
        <v>35</v>
      </c>
      <c r="N1303" s="3">
        <v>44764.37715886574</v>
      </c>
      <c r="O1303" s="3">
        <v>44764.377571770834</v>
      </c>
      <c r="P1303" s="2">
        <v>0</v>
      </c>
      <c r="Q1303" s="2" t="s">
        <v>124</v>
      </c>
      <c r="R1303" s="2" t="s">
        <v>38</v>
      </c>
      <c r="S1303" s="2" t="s">
        <v>35</v>
      </c>
      <c r="T1303" s="2" t="s">
        <v>35</v>
      </c>
      <c r="U1303" s="2" t="s">
        <v>35</v>
      </c>
      <c r="V1303" s="2" t="b">
        <v>0</v>
      </c>
      <c r="W1303" s="2" t="s">
        <v>35</v>
      </c>
      <c r="X1303" s="2">
        <v>4</v>
      </c>
      <c r="Y1303" s="2" t="s">
        <v>35</v>
      </c>
      <c r="Z1303" s="2" t="s">
        <v>35</v>
      </c>
    </row>
    <row r="1304" spans="1:26" x14ac:dyDescent="0.2">
      <c r="A1304" s="2" t="s">
        <v>3296</v>
      </c>
      <c r="B1304" s="2" t="b">
        <v>0</v>
      </c>
      <c r="C1304" s="2" t="b">
        <v>0</v>
      </c>
      <c r="D1304" s="2" t="b">
        <v>0</v>
      </c>
      <c r="E1304" s="2" t="b">
        <v>0</v>
      </c>
      <c r="F1304" s="2" t="s">
        <v>31</v>
      </c>
      <c r="G1304" s="2" t="s">
        <v>3297</v>
      </c>
      <c r="H1304" s="2" t="s">
        <v>3298</v>
      </c>
      <c r="I1304" s="2" t="s">
        <v>35</v>
      </c>
      <c r="J1304" s="2" t="s">
        <v>35</v>
      </c>
      <c r="K1304" s="2" t="s">
        <v>35</v>
      </c>
      <c r="L1304" s="2" t="s">
        <v>35</v>
      </c>
      <c r="M1304" s="2" t="s">
        <v>35</v>
      </c>
      <c r="N1304" s="3">
        <v>44764.37834304398</v>
      </c>
      <c r="O1304" s="3">
        <v>44764.378477500002</v>
      </c>
      <c r="P1304" s="2">
        <v>0</v>
      </c>
      <c r="Q1304" s="2" t="s">
        <v>36</v>
      </c>
      <c r="R1304" s="2" t="s">
        <v>38</v>
      </c>
      <c r="S1304" s="2" t="s">
        <v>35</v>
      </c>
      <c r="T1304" s="2" t="s">
        <v>35</v>
      </c>
      <c r="U1304" s="2" t="s">
        <v>35</v>
      </c>
      <c r="V1304" s="2" t="b">
        <v>0</v>
      </c>
      <c r="W1304" s="2" t="s">
        <v>35</v>
      </c>
      <c r="X1304" s="2" t="s">
        <v>35</v>
      </c>
      <c r="Y1304" s="2" t="s">
        <v>35</v>
      </c>
      <c r="Z1304" s="2">
        <v>3</v>
      </c>
    </row>
    <row r="1305" spans="1:26" x14ac:dyDescent="0.2">
      <c r="A1305" s="2" t="s">
        <v>9376</v>
      </c>
      <c r="B1305" s="2" t="b">
        <v>0</v>
      </c>
      <c r="C1305" s="2" t="b">
        <v>0</v>
      </c>
      <c r="D1305" s="2" t="b">
        <v>0</v>
      </c>
      <c r="E1305" s="2" t="b">
        <v>0</v>
      </c>
      <c r="F1305" s="2" t="s">
        <v>121</v>
      </c>
      <c r="G1305" s="2" t="s">
        <v>149</v>
      </c>
      <c r="H1305" s="2" t="s">
        <v>9377</v>
      </c>
      <c r="I1305" s="2" t="s">
        <v>35</v>
      </c>
      <c r="J1305" s="2" t="s">
        <v>35</v>
      </c>
      <c r="K1305" s="2" t="s">
        <v>35</v>
      </c>
      <c r="L1305" s="2" t="s">
        <v>35</v>
      </c>
      <c r="M1305" s="2" t="s">
        <v>35</v>
      </c>
      <c r="N1305" s="3">
        <v>44764.380591967594</v>
      </c>
      <c r="O1305" s="3">
        <v>44764.380592071757</v>
      </c>
      <c r="P1305" s="2">
        <v>0</v>
      </c>
      <c r="Q1305" s="2" t="s">
        <v>35</v>
      </c>
      <c r="R1305" s="2" t="s">
        <v>38</v>
      </c>
      <c r="S1305" s="2" t="s">
        <v>35</v>
      </c>
      <c r="T1305" s="2" t="s">
        <v>35</v>
      </c>
      <c r="U1305" s="2" t="s">
        <v>35</v>
      </c>
      <c r="V1305" s="2" t="b">
        <v>0</v>
      </c>
      <c r="W1305" s="2" t="s">
        <v>35</v>
      </c>
      <c r="X1305" s="2" t="s">
        <v>35</v>
      </c>
      <c r="Y1305" s="2" t="s">
        <v>35</v>
      </c>
      <c r="Z1305" s="2" t="s">
        <v>35</v>
      </c>
    </row>
    <row r="1306" spans="1:26" x14ac:dyDescent="0.2">
      <c r="A1306" s="2" t="s">
        <v>9378</v>
      </c>
      <c r="B1306" s="2" t="b">
        <v>0</v>
      </c>
      <c r="C1306" s="2" t="b">
        <v>0</v>
      </c>
      <c r="D1306" s="2" t="b">
        <v>0</v>
      </c>
      <c r="E1306" s="2" t="b">
        <v>0</v>
      </c>
      <c r="F1306" s="2" t="s">
        <v>121</v>
      </c>
      <c r="G1306" s="2" t="s">
        <v>149</v>
      </c>
      <c r="H1306" s="2" t="s">
        <v>9377</v>
      </c>
      <c r="I1306" s="2" t="s">
        <v>35</v>
      </c>
      <c r="J1306" s="2" t="s">
        <v>35</v>
      </c>
      <c r="K1306" s="2" t="s">
        <v>35</v>
      </c>
      <c r="L1306" s="2" t="s">
        <v>35</v>
      </c>
      <c r="M1306" s="2" t="s">
        <v>35</v>
      </c>
      <c r="N1306" s="3">
        <v>44764.380592835645</v>
      </c>
      <c r="O1306" s="3">
        <v>44764.380593009257</v>
      </c>
      <c r="P1306" s="2">
        <v>0</v>
      </c>
      <c r="Q1306" s="2" t="s">
        <v>35</v>
      </c>
      <c r="R1306" s="2" t="s">
        <v>38</v>
      </c>
      <c r="S1306" s="2" t="s">
        <v>35</v>
      </c>
      <c r="T1306" s="2" t="s">
        <v>35</v>
      </c>
      <c r="U1306" s="2" t="s">
        <v>35</v>
      </c>
      <c r="V1306" s="2" t="b">
        <v>0</v>
      </c>
      <c r="W1306" s="2" t="s">
        <v>35</v>
      </c>
      <c r="X1306" s="2" t="s">
        <v>35</v>
      </c>
      <c r="Y1306" s="2" t="s">
        <v>35</v>
      </c>
      <c r="Z1306" s="2" t="s">
        <v>35</v>
      </c>
    </row>
    <row r="1307" spans="1:26" x14ac:dyDescent="0.2">
      <c r="A1307" s="2" t="s">
        <v>9379</v>
      </c>
      <c r="B1307" s="2" t="b">
        <v>0</v>
      </c>
      <c r="C1307" s="2" t="b">
        <v>0</v>
      </c>
      <c r="D1307" s="2" t="b">
        <v>0</v>
      </c>
      <c r="E1307" s="2" t="b">
        <v>0</v>
      </c>
      <c r="F1307" s="2" t="s">
        <v>121</v>
      </c>
      <c r="G1307" s="2" t="s">
        <v>149</v>
      </c>
      <c r="H1307" s="2" t="s">
        <v>9380</v>
      </c>
      <c r="I1307" s="2" t="s">
        <v>35</v>
      </c>
      <c r="J1307" s="2" t="s">
        <v>35</v>
      </c>
      <c r="K1307" s="2" t="s">
        <v>35</v>
      </c>
      <c r="L1307" s="2" t="s">
        <v>35</v>
      </c>
      <c r="M1307" s="2" t="s">
        <v>35</v>
      </c>
      <c r="N1307" s="3">
        <v>44764.380593611109</v>
      </c>
      <c r="O1307" s="3">
        <v>44764.380593761576</v>
      </c>
      <c r="P1307" s="2">
        <v>0</v>
      </c>
      <c r="Q1307" s="2" t="s">
        <v>35</v>
      </c>
      <c r="R1307" s="2" t="s">
        <v>38</v>
      </c>
      <c r="S1307" s="2" t="s">
        <v>35</v>
      </c>
      <c r="T1307" s="2" t="s">
        <v>35</v>
      </c>
      <c r="U1307" s="2" t="s">
        <v>35</v>
      </c>
      <c r="V1307" s="2" t="b">
        <v>0</v>
      </c>
      <c r="W1307" s="2" t="s">
        <v>35</v>
      </c>
      <c r="X1307" s="2" t="s">
        <v>35</v>
      </c>
      <c r="Y1307" s="2" t="s">
        <v>35</v>
      </c>
      <c r="Z1307" s="2" t="s">
        <v>35</v>
      </c>
    </row>
    <row r="1308" spans="1:26" x14ac:dyDescent="0.2">
      <c r="A1308" s="2" t="s">
        <v>9381</v>
      </c>
      <c r="B1308" s="2" t="b">
        <v>0</v>
      </c>
      <c r="C1308" s="2" t="b">
        <v>0</v>
      </c>
      <c r="D1308" s="2" t="b">
        <v>0</v>
      </c>
      <c r="E1308" s="2" t="b">
        <v>0</v>
      </c>
      <c r="F1308" s="2" t="s">
        <v>121</v>
      </c>
      <c r="G1308" s="2" t="s">
        <v>149</v>
      </c>
      <c r="H1308" s="2" t="s">
        <v>9380</v>
      </c>
      <c r="I1308" s="2" t="s">
        <v>35</v>
      </c>
      <c r="J1308" s="2" t="s">
        <v>35</v>
      </c>
      <c r="K1308" s="2" t="s">
        <v>35</v>
      </c>
      <c r="L1308" s="2" t="s">
        <v>35</v>
      </c>
      <c r="M1308" s="2" t="s">
        <v>35</v>
      </c>
      <c r="N1308" s="3">
        <v>44764.380595266201</v>
      </c>
      <c r="O1308" s="3">
        <v>44764.380595300929</v>
      </c>
      <c r="P1308" s="2">
        <v>0</v>
      </c>
      <c r="Q1308" s="2" t="s">
        <v>265</v>
      </c>
      <c r="R1308" s="2" t="s">
        <v>38</v>
      </c>
      <c r="S1308" s="2" t="s">
        <v>35</v>
      </c>
      <c r="T1308" s="2" t="s">
        <v>35</v>
      </c>
      <c r="U1308" s="2" t="s">
        <v>35</v>
      </c>
      <c r="V1308" s="2" t="b">
        <v>0</v>
      </c>
      <c r="W1308" s="2" t="s">
        <v>35</v>
      </c>
      <c r="X1308" s="2" t="s">
        <v>35</v>
      </c>
      <c r="Y1308" s="2" t="s">
        <v>35</v>
      </c>
      <c r="Z1308" s="2" t="s">
        <v>35</v>
      </c>
    </row>
    <row r="1309" spans="1:26" x14ac:dyDescent="0.2">
      <c r="A1309" s="2" t="s">
        <v>9382</v>
      </c>
      <c r="B1309" s="2" t="b">
        <v>0</v>
      </c>
      <c r="C1309" s="2" t="b">
        <v>0</v>
      </c>
      <c r="D1309" s="2" t="b">
        <v>0</v>
      </c>
      <c r="E1309" s="2" t="b">
        <v>0</v>
      </c>
      <c r="F1309" s="2" t="s">
        <v>121</v>
      </c>
      <c r="G1309" s="2" t="s">
        <v>149</v>
      </c>
      <c r="H1309" s="2" t="s">
        <v>9380</v>
      </c>
      <c r="I1309" s="2" t="s">
        <v>35</v>
      </c>
      <c r="J1309" s="2" t="s">
        <v>35</v>
      </c>
      <c r="K1309" s="2" t="s">
        <v>35</v>
      </c>
      <c r="L1309" s="2" t="s">
        <v>35</v>
      </c>
      <c r="M1309" s="2" t="s">
        <v>35</v>
      </c>
      <c r="N1309" s="3">
        <v>44764.380595717594</v>
      </c>
      <c r="O1309" s="3">
        <v>44764.380595752315</v>
      </c>
      <c r="P1309" s="2">
        <v>0</v>
      </c>
      <c r="Q1309" s="2" t="s">
        <v>265</v>
      </c>
      <c r="R1309" s="2" t="s">
        <v>38</v>
      </c>
      <c r="S1309" s="2" t="s">
        <v>35</v>
      </c>
      <c r="T1309" s="2" t="s">
        <v>35</v>
      </c>
      <c r="U1309" s="2" t="s">
        <v>35</v>
      </c>
      <c r="V1309" s="2" t="b">
        <v>0</v>
      </c>
      <c r="W1309" s="2" t="s">
        <v>35</v>
      </c>
      <c r="X1309" s="2" t="s">
        <v>35</v>
      </c>
      <c r="Y1309" s="2" t="s">
        <v>35</v>
      </c>
      <c r="Z1309" s="2" t="s">
        <v>35</v>
      </c>
    </row>
    <row r="1310" spans="1:26" x14ac:dyDescent="0.2">
      <c r="A1310" s="2" t="s">
        <v>9383</v>
      </c>
      <c r="B1310" s="2" t="b">
        <v>0</v>
      </c>
      <c r="C1310" s="2" t="b">
        <v>0</v>
      </c>
      <c r="D1310" s="2" t="b">
        <v>0</v>
      </c>
      <c r="E1310" s="2" t="b">
        <v>0</v>
      </c>
      <c r="F1310" s="2" t="s">
        <v>121</v>
      </c>
      <c r="G1310" s="2" t="s">
        <v>149</v>
      </c>
      <c r="H1310" s="2" t="s">
        <v>9380</v>
      </c>
      <c r="I1310" s="2" t="s">
        <v>35</v>
      </c>
      <c r="J1310" s="2" t="s">
        <v>35</v>
      </c>
      <c r="K1310" s="2">
        <v>13</v>
      </c>
      <c r="L1310" s="2" t="s">
        <v>35</v>
      </c>
      <c r="M1310" s="2" t="s">
        <v>35</v>
      </c>
      <c r="N1310" s="3">
        <v>44764.380597557873</v>
      </c>
      <c r="O1310" s="3">
        <v>44764.380600092591</v>
      </c>
      <c r="P1310" s="2">
        <v>0</v>
      </c>
      <c r="Q1310" s="2" t="s">
        <v>265</v>
      </c>
      <c r="R1310" s="2" t="s">
        <v>38</v>
      </c>
      <c r="S1310" s="2" t="s">
        <v>35</v>
      </c>
      <c r="T1310" s="2" t="s">
        <v>35</v>
      </c>
      <c r="U1310" s="2" t="s">
        <v>35</v>
      </c>
      <c r="V1310" s="2" t="b">
        <v>0</v>
      </c>
      <c r="W1310" s="2" t="s">
        <v>35</v>
      </c>
      <c r="X1310" s="2" t="s">
        <v>35</v>
      </c>
      <c r="Y1310" s="2" t="s">
        <v>35</v>
      </c>
      <c r="Z1310" s="2" t="s">
        <v>35</v>
      </c>
    </row>
    <row r="1311" spans="1:26" x14ac:dyDescent="0.2">
      <c r="A1311" s="2" t="s">
        <v>9384</v>
      </c>
      <c r="B1311" s="2" t="b">
        <v>0</v>
      </c>
      <c r="C1311" s="2" t="b">
        <v>0</v>
      </c>
      <c r="D1311" s="2" t="b">
        <v>0</v>
      </c>
      <c r="E1311" s="2" t="b">
        <v>0</v>
      </c>
      <c r="F1311" s="2" t="s">
        <v>121</v>
      </c>
      <c r="G1311" s="2" t="s">
        <v>149</v>
      </c>
      <c r="H1311" s="2" t="s">
        <v>9380</v>
      </c>
      <c r="I1311" s="2" t="s">
        <v>35</v>
      </c>
      <c r="J1311" s="2" t="s">
        <v>35</v>
      </c>
      <c r="K1311" s="2">
        <v>13</v>
      </c>
      <c r="L1311" s="2" t="s">
        <v>35</v>
      </c>
      <c r="M1311" s="2" t="s">
        <v>35</v>
      </c>
      <c r="N1311" s="3">
        <v>44764.380600428238</v>
      </c>
      <c r="O1311" s="3">
        <v>44764.380600555553</v>
      </c>
      <c r="P1311" s="2">
        <v>0</v>
      </c>
      <c r="Q1311" s="2" t="s">
        <v>265</v>
      </c>
      <c r="R1311" s="2" t="s">
        <v>38</v>
      </c>
      <c r="S1311" s="2" t="s">
        <v>35</v>
      </c>
      <c r="T1311" s="2" t="s">
        <v>35</v>
      </c>
      <c r="U1311" s="2" t="s">
        <v>35</v>
      </c>
      <c r="V1311" s="2" t="b">
        <v>0</v>
      </c>
      <c r="W1311" s="2" t="s">
        <v>35</v>
      </c>
      <c r="X1311" s="2" t="s">
        <v>35</v>
      </c>
      <c r="Y1311" s="2" t="s">
        <v>35</v>
      </c>
      <c r="Z1311" s="2" t="s">
        <v>35</v>
      </c>
    </row>
    <row r="1312" spans="1:26" x14ac:dyDescent="0.2">
      <c r="A1312" s="2" t="s">
        <v>9385</v>
      </c>
      <c r="B1312" s="2" t="b">
        <v>0</v>
      </c>
      <c r="C1312" s="2" t="b">
        <v>0</v>
      </c>
      <c r="D1312" s="2" t="b">
        <v>0</v>
      </c>
      <c r="E1312" s="2" t="b">
        <v>0</v>
      </c>
      <c r="F1312" s="2" t="s">
        <v>121</v>
      </c>
      <c r="G1312" s="2" t="s">
        <v>149</v>
      </c>
      <c r="H1312" s="2" t="s">
        <v>9380</v>
      </c>
      <c r="I1312" s="2" t="s">
        <v>35</v>
      </c>
      <c r="J1312" s="2" t="s">
        <v>35</v>
      </c>
      <c r="K1312" s="2">
        <v>13</v>
      </c>
      <c r="L1312" s="2" t="s">
        <v>35</v>
      </c>
      <c r="M1312" s="2" t="s">
        <v>35</v>
      </c>
      <c r="N1312" s="3">
        <v>44764.380601712961</v>
      </c>
      <c r="O1312" s="3">
        <v>44764.380602048608</v>
      </c>
      <c r="P1312" s="2">
        <v>0</v>
      </c>
      <c r="Q1312" s="2" t="s">
        <v>265</v>
      </c>
      <c r="R1312" s="2" t="s">
        <v>38</v>
      </c>
      <c r="S1312" s="2" t="s">
        <v>35</v>
      </c>
      <c r="T1312" s="2" t="s">
        <v>35</v>
      </c>
      <c r="U1312" s="2" t="s">
        <v>35</v>
      </c>
      <c r="V1312" s="2" t="b">
        <v>0</v>
      </c>
      <c r="W1312" s="2" t="s">
        <v>35</v>
      </c>
      <c r="X1312" s="2" t="s">
        <v>35</v>
      </c>
      <c r="Y1312" s="2" t="s">
        <v>35</v>
      </c>
      <c r="Z1312" s="2" t="s">
        <v>35</v>
      </c>
    </row>
    <row r="1313" spans="1:26" x14ac:dyDescent="0.2">
      <c r="A1313" s="2" t="s">
        <v>9386</v>
      </c>
      <c r="B1313" s="2" t="b">
        <v>0</v>
      </c>
      <c r="C1313" s="2" t="b">
        <v>0</v>
      </c>
      <c r="D1313" s="2" t="b">
        <v>0</v>
      </c>
      <c r="E1313" s="2" t="b">
        <v>0</v>
      </c>
      <c r="F1313" s="2" t="s">
        <v>121</v>
      </c>
      <c r="G1313" s="2" t="s">
        <v>149</v>
      </c>
      <c r="H1313" s="2" t="s">
        <v>3300</v>
      </c>
      <c r="I1313" s="2" t="s">
        <v>35</v>
      </c>
      <c r="J1313" s="2" t="s">
        <v>35</v>
      </c>
      <c r="K1313" s="2">
        <v>13</v>
      </c>
      <c r="L1313" s="2" t="s">
        <v>35</v>
      </c>
      <c r="M1313" s="2" t="s">
        <v>35</v>
      </c>
      <c r="N1313" s="3">
        <v>44764.380601747682</v>
      </c>
      <c r="O1313" s="3">
        <v>44764.380602048608</v>
      </c>
      <c r="P1313" s="2">
        <v>0</v>
      </c>
      <c r="Q1313" s="2" t="s">
        <v>265</v>
      </c>
      <c r="R1313" s="2" t="s">
        <v>38</v>
      </c>
      <c r="S1313" s="2" t="s">
        <v>35</v>
      </c>
      <c r="T1313" s="2" t="s">
        <v>35</v>
      </c>
      <c r="U1313" s="2" t="s">
        <v>35</v>
      </c>
      <c r="V1313" s="2" t="b">
        <v>0</v>
      </c>
      <c r="W1313" s="2" t="s">
        <v>35</v>
      </c>
      <c r="X1313" s="2" t="s">
        <v>35</v>
      </c>
      <c r="Y1313" s="2" t="s">
        <v>35</v>
      </c>
      <c r="Z1313" s="2" t="s">
        <v>35</v>
      </c>
    </row>
    <row r="1314" spans="1:26" x14ac:dyDescent="0.2">
      <c r="A1314" s="2" t="s">
        <v>9387</v>
      </c>
      <c r="B1314" s="2" t="b">
        <v>0</v>
      </c>
      <c r="C1314" s="2" t="b">
        <v>0</v>
      </c>
      <c r="D1314" s="2" t="b">
        <v>0</v>
      </c>
      <c r="E1314" s="2" t="b">
        <v>0</v>
      </c>
      <c r="F1314" s="2" t="s">
        <v>121</v>
      </c>
      <c r="G1314" s="2" t="s">
        <v>149</v>
      </c>
      <c r="H1314" s="2" t="s">
        <v>3300</v>
      </c>
      <c r="I1314" s="2" t="s">
        <v>35</v>
      </c>
      <c r="J1314" s="2" t="s">
        <v>35</v>
      </c>
      <c r="K1314" s="2">
        <v>13</v>
      </c>
      <c r="L1314" s="2" t="s">
        <v>35</v>
      </c>
      <c r="M1314" s="2" t="s">
        <v>35</v>
      </c>
      <c r="N1314" s="3">
        <v>44764.380601828707</v>
      </c>
      <c r="O1314" s="3">
        <v>44764.380602060184</v>
      </c>
      <c r="P1314" s="2">
        <v>0</v>
      </c>
      <c r="Q1314" s="2" t="s">
        <v>265</v>
      </c>
      <c r="R1314" s="2" t="s">
        <v>38</v>
      </c>
      <c r="S1314" s="2" t="s">
        <v>35</v>
      </c>
      <c r="T1314" s="2" t="s">
        <v>35</v>
      </c>
      <c r="U1314" s="2" t="s">
        <v>35</v>
      </c>
      <c r="V1314" s="2" t="b">
        <v>0</v>
      </c>
      <c r="W1314" s="2" t="s">
        <v>35</v>
      </c>
      <c r="X1314" s="2" t="s">
        <v>35</v>
      </c>
      <c r="Y1314" s="2" t="s">
        <v>35</v>
      </c>
      <c r="Z1314" s="2" t="s">
        <v>35</v>
      </c>
    </row>
    <row r="1315" spans="1:26" x14ac:dyDescent="0.2">
      <c r="A1315" s="2" t="s">
        <v>9388</v>
      </c>
      <c r="B1315" s="2" t="b">
        <v>0</v>
      </c>
      <c r="C1315" s="2" t="b">
        <v>0</v>
      </c>
      <c r="D1315" s="2" t="b">
        <v>0</v>
      </c>
      <c r="E1315" s="2" t="b">
        <v>0</v>
      </c>
      <c r="F1315" s="2" t="s">
        <v>121</v>
      </c>
      <c r="G1315" s="2" t="s">
        <v>149</v>
      </c>
      <c r="H1315" s="2" t="s">
        <v>3300</v>
      </c>
      <c r="I1315" s="2" t="s">
        <v>35</v>
      </c>
      <c r="J1315" s="2" t="s">
        <v>35</v>
      </c>
      <c r="K1315" s="2">
        <v>13</v>
      </c>
      <c r="L1315" s="2" t="s">
        <v>35</v>
      </c>
      <c r="M1315" s="2" t="s">
        <v>35</v>
      </c>
      <c r="N1315" s="3">
        <v>44764.380602118057</v>
      </c>
      <c r="O1315" s="3">
        <v>44764.380602291669</v>
      </c>
      <c r="P1315" s="2">
        <v>0</v>
      </c>
      <c r="Q1315" s="2" t="s">
        <v>265</v>
      </c>
      <c r="R1315" s="2" t="s">
        <v>38</v>
      </c>
      <c r="S1315" s="2" t="s">
        <v>35</v>
      </c>
      <c r="T1315" s="2" t="s">
        <v>35</v>
      </c>
      <c r="U1315" s="2" t="s">
        <v>35</v>
      </c>
      <c r="V1315" s="2" t="b">
        <v>0</v>
      </c>
      <c r="W1315" s="2" t="s">
        <v>35</v>
      </c>
      <c r="X1315" s="2" t="s">
        <v>35</v>
      </c>
      <c r="Y1315" s="2" t="s">
        <v>35</v>
      </c>
      <c r="Z1315" s="2" t="s">
        <v>35</v>
      </c>
    </row>
    <row r="1316" spans="1:26" x14ac:dyDescent="0.2">
      <c r="A1316" s="2" t="s">
        <v>9389</v>
      </c>
      <c r="B1316" s="2" t="b">
        <v>0</v>
      </c>
      <c r="C1316" s="2" t="b">
        <v>0</v>
      </c>
      <c r="D1316" s="2" t="b">
        <v>0</v>
      </c>
      <c r="E1316" s="2" t="b">
        <v>0</v>
      </c>
      <c r="F1316" s="2" t="s">
        <v>121</v>
      </c>
      <c r="G1316" s="2" t="s">
        <v>149</v>
      </c>
      <c r="H1316" s="2" t="s">
        <v>3300</v>
      </c>
      <c r="I1316" s="2" t="s">
        <v>35</v>
      </c>
      <c r="J1316" s="2" t="s">
        <v>35</v>
      </c>
      <c r="K1316" s="2">
        <v>13</v>
      </c>
      <c r="L1316" s="2" t="s">
        <v>35</v>
      </c>
      <c r="M1316" s="2" t="s">
        <v>35</v>
      </c>
      <c r="N1316" s="3">
        <v>44764.380604016202</v>
      </c>
      <c r="O1316" s="3">
        <v>44764.380605289349</v>
      </c>
      <c r="P1316" s="2">
        <v>0</v>
      </c>
      <c r="Q1316" s="2" t="s">
        <v>265</v>
      </c>
      <c r="R1316" s="2" t="s">
        <v>38</v>
      </c>
      <c r="S1316" s="2" t="s">
        <v>35</v>
      </c>
      <c r="T1316" s="2" t="s">
        <v>35</v>
      </c>
      <c r="U1316" s="2" t="s">
        <v>35</v>
      </c>
      <c r="V1316" s="2" t="b">
        <v>0</v>
      </c>
      <c r="W1316" s="2" t="s">
        <v>35</v>
      </c>
      <c r="X1316" s="2" t="s">
        <v>35</v>
      </c>
      <c r="Y1316" s="2" t="s">
        <v>35</v>
      </c>
      <c r="Z1316" s="2" t="s">
        <v>35</v>
      </c>
    </row>
    <row r="1317" spans="1:26" x14ac:dyDescent="0.2">
      <c r="A1317" s="2" t="s">
        <v>3299</v>
      </c>
      <c r="B1317" s="2" t="b">
        <v>0</v>
      </c>
      <c r="C1317" s="2" t="b">
        <v>0</v>
      </c>
      <c r="D1317" s="2" t="b">
        <v>0</v>
      </c>
      <c r="E1317" s="2" t="b">
        <v>0</v>
      </c>
      <c r="F1317" s="2" t="s">
        <v>31</v>
      </c>
      <c r="G1317" s="2" t="s">
        <v>149</v>
      </c>
      <c r="H1317" s="2" t="s">
        <v>3300</v>
      </c>
      <c r="I1317" s="2" t="s">
        <v>35</v>
      </c>
      <c r="J1317" s="2" t="s">
        <v>35</v>
      </c>
      <c r="K1317" s="2">
        <v>13</v>
      </c>
      <c r="L1317" s="2" t="s">
        <v>35</v>
      </c>
      <c r="M1317" s="2" t="s">
        <v>35</v>
      </c>
      <c r="N1317" s="3">
        <v>44764.380604050923</v>
      </c>
      <c r="O1317" s="3">
        <v>44764.38060527778</v>
      </c>
      <c r="P1317" s="2">
        <v>0</v>
      </c>
      <c r="Q1317" s="2" t="s">
        <v>265</v>
      </c>
      <c r="R1317" s="2" t="s">
        <v>38</v>
      </c>
      <c r="S1317" s="2" t="s">
        <v>35</v>
      </c>
      <c r="T1317" s="2" t="s">
        <v>35</v>
      </c>
      <c r="U1317" s="2" t="s">
        <v>35</v>
      </c>
      <c r="V1317" s="2" t="b">
        <v>0</v>
      </c>
      <c r="W1317" s="2" t="s">
        <v>35</v>
      </c>
      <c r="X1317" s="2" t="s">
        <v>35</v>
      </c>
      <c r="Y1317" s="2" t="s">
        <v>35</v>
      </c>
      <c r="Z1317" s="2" t="s">
        <v>35</v>
      </c>
    </row>
    <row r="1318" spans="1:26" x14ac:dyDescent="0.2">
      <c r="A1318" s="2" t="s">
        <v>9390</v>
      </c>
      <c r="B1318" s="2" t="b">
        <v>0</v>
      </c>
      <c r="C1318" s="2" t="b">
        <v>0</v>
      </c>
      <c r="D1318" s="2" t="b">
        <v>0</v>
      </c>
      <c r="E1318" s="2" t="b">
        <v>0</v>
      </c>
      <c r="F1318" s="2" t="s">
        <v>121</v>
      </c>
      <c r="G1318" s="2" t="s">
        <v>149</v>
      </c>
      <c r="H1318" s="2" t="s">
        <v>3302</v>
      </c>
      <c r="I1318" s="2" t="s">
        <v>35</v>
      </c>
      <c r="J1318" s="2" t="s">
        <v>35</v>
      </c>
      <c r="K1318" s="2" t="s">
        <v>35</v>
      </c>
      <c r="L1318" s="2" t="s">
        <v>35</v>
      </c>
      <c r="M1318" s="2" t="s">
        <v>35</v>
      </c>
      <c r="N1318" s="3">
        <v>44764.380605069447</v>
      </c>
      <c r="O1318" s="3">
        <v>44764.380605381943</v>
      </c>
      <c r="P1318" s="2">
        <v>0</v>
      </c>
      <c r="Q1318" s="2" t="s">
        <v>35</v>
      </c>
      <c r="R1318" s="2" t="s">
        <v>38</v>
      </c>
      <c r="S1318" s="2" t="s">
        <v>35</v>
      </c>
      <c r="T1318" s="2" t="s">
        <v>35</v>
      </c>
      <c r="U1318" s="2" t="s">
        <v>35</v>
      </c>
      <c r="V1318" s="2" t="b">
        <v>0</v>
      </c>
      <c r="W1318" s="2" t="s">
        <v>35</v>
      </c>
      <c r="X1318" s="2" t="s">
        <v>35</v>
      </c>
      <c r="Y1318" s="2" t="s">
        <v>35</v>
      </c>
      <c r="Z1318" s="2" t="s">
        <v>35</v>
      </c>
    </row>
    <row r="1319" spans="1:26" x14ac:dyDescent="0.2">
      <c r="A1319" s="2" t="s">
        <v>9391</v>
      </c>
      <c r="B1319" s="2" t="b">
        <v>0</v>
      </c>
      <c r="C1319" s="2" t="b">
        <v>0</v>
      </c>
      <c r="D1319" s="2" t="b">
        <v>0</v>
      </c>
      <c r="E1319" s="2" t="b">
        <v>0</v>
      </c>
      <c r="F1319" s="2" t="s">
        <v>121</v>
      </c>
      <c r="G1319" s="2" t="s">
        <v>149</v>
      </c>
      <c r="H1319" s="2" t="s">
        <v>3302</v>
      </c>
      <c r="I1319" s="2" t="s">
        <v>35</v>
      </c>
      <c r="J1319" s="2" t="s">
        <v>35</v>
      </c>
      <c r="K1319" s="2" t="s">
        <v>35</v>
      </c>
      <c r="L1319" s="2" t="s">
        <v>35</v>
      </c>
      <c r="M1319" s="2" t="s">
        <v>35</v>
      </c>
      <c r="N1319" s="3">
        <v>44764.380605104168</v>
      </c>
      <c r="O1319" s="3">
        <v>44764.380605393519</v>
      </c>
      <c r="P1319" s="2">
        <v>0</v>
      </c>
      <c r="Q1319" s="2" t="s">
        <v>265</v>
      </c>
      <c r="R1319" s="2" t="s">
        <v>38</v>
      </c>
      <c r="S1319" s="2" t="s">
        <v>35</v>
      </c>
      <c r="T1319" s="2" t="s">
        <v>35</v>
      </c>
      <c r="U1319" s="2" t="s">
        <v>35</v>
      </c>
      <c r="V1319" s="2" t="b">
        <v>0</v>
      </c>
      <c r="W1319" s="2" t="s">
        <v>35</v>
      </c>
      <c r="X1319" s="2" t="s">
        <v>35</v>
      </c>
      <c r="Y1319" s="2" t="s">
        <v>35</v>
      </c>
      <c r="Z1319" s="2" t="s">
        <v>35</v>
      </c>
    </row>
    <row r="1320" spans="1:26" x14ac:dyDescent="0.2">
      <c r="A1320" s="2" t="s">
        <v>9392</v>
      </c>
      <c r="B1320" s="2" t="b">
        <v>0</v>
      </c>
      <c r="C1320" s="2" t="b">
        <v>0</v>
      </c>
      <c r="D1320" s="2" t="b">
        <v>0</v>
      </c>
      <c r="E1320" s="2" t="b">
        <v>0</v>
      </c>
      <c r="F1320" s="2" t="s">
        <v>121</v>
      </c>
      <c r="G1320" s="2" t="s">
        <v>149</v>
      </c>
      <c r="H1320" s="2" t="s">
        <v>3302</v>
      </c>
      <c r="I1320" s="2" t="s">
        <v>35</v>
      </c>
      <c r="J1320" s="2" t="s">
        <v>35</v>
      </c>
      <c r="K1320" s="2" t="s">
        <v>35</v>
      </c>
      <c r="L1320" s="2" t="s">
        <v>35</v>
      </c>
      <c r="M1320" s="2" t="s">
        <v>35</v>
      </c>
      <c r="N1320" s="3">
        <v>44764.380605995371</v>
      </c>
      <c r="O1320" s="3">
        <v>44764.380606203704</v>
      </c>
      <c r="P1320" s="2">
        <v>0</v>
      </c>
      <c r="Q1320" s="2" t="s">
        <v>265</v>
      </c>
      <c r="R1320" s="2" t="s">
        <v>38</v>
      </c>
      <c r="S1320" s="2" t="s">
        <v>35</v>
      </c>
      <c r="T1320" s="2" t="s">
        <v>35</v>
      </c>
      <c r="U1320" s="2" t="s">
        <v>35</v>
      </c>
      <c r="V1320" s="2" t="b">
        <v>0</v>
      </c>
      <c r="W1320" s="2" t="s">
        <v>35</v>
      </c>
      <c r="X1320" s="2" t="s">
        <v>35</v>
      </c>
      <c r="Y1320" s="2" t="s">
        <v>35</v>
      </c>
      <c r="Z1320" s="2" t="s">
        <v>35</v>
      </c>
    </row>
    <row r="1321" spans="1:26" x14ac:dyDescent="0.2">
      <c r="A1321" s="2" t="s">
        <v>9393</v>
      </c>
      <c r="B1321" s="2" t="b">
        <v>0</v>
      </c>
      <c r="C1321" s="2" t="b">
        <v>0</v>
      </c>
      <c r="D1321" s="2" t="b">
        <v>0</v>
      </c>
      <c r="E1321" s="2" t="b">
        <v>0</v>
      </c>
      <c r="F1321" s="2" t="s">
        <v>121</v>
      </c>
      <c r="G1321" s="2" t="s">
        <v>149</v>
      </c>
      <c r="H1321" s="2" t="s">
        <v>3302</v>
      </c>
      <c r="I1321" s="2" t="s">
        <v>35</v>
      </c>
      <c r="J1321" s="2" t="s">
        <v>35</v>
      </c>
      <c r="K1321" s="2">
        <v>5</v>
      </c>
      <c r="L1321" s="2" t="s">
        <v>35</v>
      </c>
      <c r="M1321" s="2" t="s">
        <v>35</v>
      </c>
      <c r="N1321" s="3">
        <v>44764.380607141204</v>
      </c>
      <c r="O1321" s="3">
        <v>44764.380608356485</v>
      </c>
      <c r="P1321" s="2">
        <v>0</v>
      </c>
      <c r="Q1321" s="2" t="s">
        <v>265</v>
      </c>
      <c r="R1321" s="2" t="s">
        <v>38</v>
      </c>
      <c r="S1321" s="2" t="s">
        <v>35</v>
      </c>
      <c r="T1321" s="2" t="s">
        <v>35</v>
      </c>
      <c r="U1321" s="2" t="s">
        <v>35</v>
      </c>
      <c r="V1321" s="2" t="b">
        <v>0</v>
      </c>
      <c r="W1321" s="2" t="s">
        <v>35</v>
      </c>
      <c r="X1321" s="2" t="s">
        <v>35</v>
      </c>
      <c r="Y1321" s="2" t="s">
        <v>35</v>
      </c>
      <c r="Z1321" s="2" t="s">
        <v>35</v>
      </c>
    </row>
    <row r="1322" spans="1:26" x14ac:dyDescent="0.2">
      <c r="A1322" s="2" t="s">
        <v>3301</v>
      </c>
      <c r="B1322" s="2" t="b">
        <v>0</v>
      </c>
      <c r="C1322" s="2" t="b">
        <v>0</v>
      </c>
      <c r="D1322" s="2" t="b">
        <v>0</v>
      </c>
      <c r="E1322" s="2" t="b">
        <v>0</v>
      </c>
      <c r="F1322" s="2" t="s">
        <v>31</v>
      </c>
      <c r="G1322" s="2" t="s">
        <v>149</v>
      </c>
      <c r="H1322" s="2" t="s">
        <v>3302</v>
      </c>
      <c r="I1322" s="2" t="s">
        <v>35</v>
      </c>
      <c r="J1322" s="2" t="s">
        <v>35</v>
      </c>
      <c r="K1322" s="2">
        <v>5</v>
      </c>
      <c r="L1322" s="2" t="s">
        <v>35</v>
      </c>
      <c r="M1322" s="2" t="s">
        <v>35</v>
      </c>
      <c r="N1322" s="3">
        <v>44764.380607187501</v>
      </c>
      <c r="O1322" s="3">
        <v>44764.380608356485</v>
      </c>
      <c r="P1322" s="2">
        <v>0</v>
      </c>
      <c r="Q1322" s="2" t="s">
        <v>265</v>
      </c>
      <c r="R1322" s="2" t="s">
        <v>38</v>
      </c>
      <c r="S1322" s="2" t="s">
        <v>35</v>
      </c>
      <c r="T1322" s="2" t="s">
        <v>35</v>
      </c>
      <c r="U1322" s="2" t="s">
        <v>35</v>
      </c>
      <c r="V1322" s="2" t="b">
        <v>0</v>
      </c>
      <c r="W1322" s="2" t="s">
        <v>35</v>
      </c>
      <c r="X1322" s="2" t="s">
        <v>35</v>
      </c>
      <c r="Y1322" s="2" t="s">
        <v>35</v>
      </c>
      <c r="Z1322" s="2" t="s">
        <v>35</v>
      </c>
    </row>
    <row r="1323" spans="1:26" x14ac:dyDescent="0.2">
      <c r="A1323" s="2" t="s">
        <v>9394</v>
      </c>
      <c r="B1323" s="2" t="b">
        <v>0</v>
      </c>
      <c r="C1323" s="2" t="b">
        <v>0</v>
      </c>
      <c r="D1323" s="2" t="b">
        <v>0</v>
      </c>
      <c r="E1323" s="2" t="b">
        <v>0</v>
      </c>
      <c r="F1323" s="2" t="s">
        <v>121</v>
      </c>
      <c r="G1323" s="2" t="s">
        <v>149</v>
      </c>
      <c r="H1323" s="2" t="s">
        <v>3304</v>
      </c>
      <c r="I1323" s="2" t="s">
        <v>35</v>
      </c>
      <c r="J1323" s="2" t="s">
        <v>35</v>
      </c>
      <c r="K1323" s="2" t="s">
        <v>35</v>
      </c>
      <c r="L1323" s="2" t="s">
        <v>35</v>
      </c>
      <c r="M1323" s="2" t="s">
        <v>35</v>
      </c>
      <c r="N1323" s="3">
        <v>44764.380607222221</v>
      </c>
      <c r="O1323" s="3">
        <v>44764.380608368054</v>
      </c>
      <c r="P1323" s="2">
        <v>0</v>
      </c>
      <c r="Q1323" s="2" t="s">
        <v>35</v>
      </c>
      <c r="R1323" s="2" t="s">
        <v>38</v>
      </c>
      <c r="S1323" s="2" t="s">
        <v>35</v>
      </c>
      <c r="T1323" s="2" t="s">
        <v>35</v>
      </c>
      <c r="U1323" s="2" t="s">
        <v>35</v>
      </c>
      <c r="V1323" s="2" t="b">
        <v>0</v>
      </c>
      <c r="W1323" s="2" t="s">
        <v>35</v>
      </c>
      <c r="X1323" s="2" t="s">
        <v>35</v>
      </c>
      <c r="Y1323" s="2" t="s">
        <v>35</v>
      </c>
      <c r="Z1323" s="2" t="s">
        <v>35</v>
      </c>
    </row>
    <row r="1324" spans="1:26" x14ac:dyDescent="0.2">
      <c r="A1324" s="2" t="s">
        <v>9395</v>
      </c>
      <c r="B1324" s="2" t="b">
        <v>0</v>
      </c>
      <c r="C1324" s="2" t="b">
        <v>0</v>
      </c>
      <c r="D1324" s="2" t="b">
        <v>0</v>
      </c>
      <c r="E1324" s="2" t="b">
        <v>0</v>
      </c>
      <c r="F1324" s="2" t="s">
        <v>121</v>
      </c>
      <c r="G1324" s="2" t="s">
        <v>149</v>
      </c>
      <c r="H1324" s="2" t="s">
        <v>3304</v>
      </c>
      <c r="I1324" s="2" t="s">
        <v>35</v>
      </c>
      <c r="J1324" s="2" t="s">
        <v>35</v>
      </c>
      <c r="K1324" s="2" t="s">
        <v>35</v>
      </c>
      <c r="L1324" s="2" t="s">
        <v>35</v>
      </c>
      <c r="M1324" s="2" t="s">
        <v>35</v>
      </c>
      <c r="N1324" s="3">
        <v>44764.380607314815</v>
      </c>
      <c r="O1324" s="3">
        <v>44764.380608553241</v>
      </c>
      <c r="P1324" s="2">
        <v>0</v>
      </c>
      <c r="Q1324" s="2" t="s">
        <v>124</v>
      </c>
      <c r="R1324" s="2" t="s">
        <v>38</v>
      </c>
      <c r="S1324" s="2" t="s">
        <v>35</v>
      </c>
      <c r="T1324" s="2" t="s">
        <v>35</v>
      </c>
      <c r="U1324" s="2" t="s">
        <v>35</v>
      </c>
      <c r="V1324" s="2" t="b">
        <v>0</v>
      </c>
      <c r="W1324" s="2" t="s">
        <v>35</v>
      </c>
      <c r="X1324" s="2" t="s">
        <v>35</v>
      </c>
      <c r="Y1324" s="2" t="s">
        <v>35</v>
      </c>
      <c r="Z1324" s="2" t="s">
        <v>35</v>
      </c>
    </row>
    <row r="1325" spans="1:26" x14ac:dyDescent="0.2">
      <c r="A1325" s="2" t="s">
        <v>9396</v>
      </c>
      <c r="B1325" s="2" t="b">
        <v>0</v>
      </c>
      <c r="C1325" s="2" t="b">
        <v>0</v>
      </c>
      <c r="D1325" s="2" t="b">
        <v>0</v>
      </c>
      <c r="E1325" s="2" t="b">
        <v>0</v>
      </c>
      <c r="F1325" s="2" t="s">
        <v>121</v>
      </c>
      <c r="G1325" s="2" t="s">
        <v>149</v>
      </c>
      <c r="H1325" s="2" t="s">
        <v>3304</v>
      </c>
      <c r="I1325" s="2" t="s">
        <v>35</v>
      </c>
      <c r="J1325" s="2" t="s">
        <v>35</v>
      </c>
      <c r="K1325" s="2" t="s">
        <v>35</v>
      </c>
      <c r="L1325" s="2" t="s">
        <v>35</v>
      </c>
      <c r="M1325" s="2" t="s">
        <v>35</v>
      </c>
      <c r="N1325" s="3">
        <v>44764.380609722219</v>
      </c>
      <c r="O1325" s="3">
        <v>44764.380610127315</v>
      </c>
      <c r="P1325" s="2">
        <v>0</v>
      </c>
      <c r="Q1325" s="2" t="s">
        <v>124</v>
      </c>
      <c r="R1325" s="2" t="s">
        <v>38</v>
      </c>
      <c r="S1325" s="2" t="s">
        <v>35</v>
      </c>
      <c r="T1325" s="2" t="s">
        <v>35</v>
      </c>
      <c r="U1325" s="2" t="s">
        <v>35</v>
      </c>
      <c r="V1325" s="2" t="b">
        <v>0</v>
      </c>
      <c r="W1325" s="2" t="s">
        <v>35</v>
      </c>
      <c r="X1325" s="2" t="s">
        <v>35</v>
      </c>
      <c r="Y1325" s="2" t="s">
        <v>35</v>
      </c>
      <c r="Z1325" s="2" t="s">
        <v>35</v>
      </c>
    </row>
    <row r="1326" spans="1:26" x14ac:dyDescent="0.2">
      <c r="A1326" s="2" t="s">
        <v>9397</v>
      </c>
      <c r="B1326" s="2" t="b">
        <v>0</v>
      </c>
      <c r="C1326" s="2" t="b">
        <v>0</v>
      </c>
      <c r="D1326" s="2" t="b">
        <v>0</v>
      </c>
      <c r="E1326" s="2" t="b">
        <v>0</v>
      </c>
      <c r="F1326" s="2" t="s">
        <v>121</v>
      </c>
      <c r="G1326" s="2" t="s">
        <v>149</v>
      </c>
      <c r="H1326" s="2" t="s">
        <v>3304</v>
      </c>
      <c r="I1326" s="2" t="s">
        <v>675</v>
      </c>
      <c r="J1326" s="2" t="s">
        <v>35</v>
      </c>
      <c r="K1326" s="2" t="s">
        <v>35</v>
      </c>
      <c r="L1326" s="2" t="s">
        <v>35</v>
      </c>
      <c r="M1326" s="2" t="s">
        <v>35</v>
      </c>
      <c r="N1326" s="3">
        <v>44764.380609768516</v>
      </c>
      <c r="O1326" s="3">
        <v>44764.380610127315</v>
      </c>
      <c r="P1326" s="2">
        <v>0</v>
      </c>
      <c r="Q1326" s="2" t="s">
        <v>124</v>
      </c>
      <c r="R1326" s="2" t="s">
        <v>38</v>
      </c>
      <c r="S1326" s="2" t="s">
        <v>35</v>
      </c>
      <c r="T1326" s="2" t="s">
        <v>35</v>
      </c>
      <c r="U1326" s="2" t="s">
        <v>35</v>
      </c>
      <c r="V1326" s="2" t="b">
        <v>0</v>
      </c>
      <c r="W1326" s="2" t="s">
        <v>35</v>
      </c>
      <c r="X1326" s="2">
        <v>4</v>
      </c>
      <c r="Y1326" s="2" t="s">
        <v>35</v>
      </c>
      <c r="Z1326" s="2" t="s">
        <v>35</v>
      </c>
    </row>
    <row r="1327" spans="1:26" x14ac:dyDescent="0.2">
      <c r="A1327" s="2" t="s">
        <v>3303</v>
      </c>
      <c r="B1327" s="2" t="b">
        <v>0</v>
      </c>
      <c r="C1327" s="2" t="b">
        <v>0</v>
      </c>
      <c r="D1327" s="2" t="b">
        <v>0</v>
      </c>
      <c r="E1327" s="2" t="b">
        <v>0</v>
      </c>
      <c r="F1327" s="2" t="s">
        <v>31</v>
      </c>
      <c r="G1327" s="2" t="s">
        <v>149</v>
      </c>
      <c r="H1327" s="2" t="s">
        <v>3304</v>
      </c>
      <c r="I1327" s="2" t="s">
        <v>675</v>
      </c>
      <c r="J1327" s="2" t="s">
        <v>35</v>
      </c>
      <c r="K1327" s="2" t="s">
        <v>35</v>
      </c>
      <c r="L1327" s="2" t="s">
        <v>35</v>
      </c>
      <c r="M1327" s="2" t="s">
        <v>35</v>
      </c>
      <c r="N1327" s="3">
        <v>44764.380610324071</v>
      </c>
      <c r="O1327" s="3">
        <v>44764.380612071756</v>
      </c>
      <c r="P1327" s="2">
        <v>0</v>
      </c>
      <c r="Q1327" s="2" t="s">
        <v>124</v>
      </c>
      <c r="R1327" s="2" t="s">
        <v>38</v>
      </c>
      <c r="S1327" s="2" t="s">
        <v>35</v>
      </c>
      <c r="T1327" s="2" t="s">
        <v>35</v>
      </c>
      <c r="U1327" s="2" t="s">
        <v>35</v>
      </c>
      <c r="V1327" s="2" t="b">
        <v>0</v>
      </c>
      <c r="W1327" s="2" t="s">
        <v>35</v>
      </c>
      <c r="X1327" s="2">
        <v>4</v>
      </c>
      <c r="Y1327" s="2" t="s">
        <v>35</v>
      </c>
      <c r="Z1327" s="2" t="s">
        <v>35</v>
      </c>
    </row>
    <row r="1328" spans="1:26" x14ac:dyDescent="0.2">
      <c r="A1328" s="2" t="s">
        <v>9398</v>
      </c>
      <c r="B1328" s="2" t="b">
        <v>0</v>
      </c>
      <c r="C1328" s="2" t="b">
        <v>0</v>
      </c>
      <c r="D1328" s="2" t="b">
        <v>0</v>
      </c>
      <c r="E1328" s="2" t="b">
        <v>0</v>
      </c>
      <c r="F1328" s="2" t="s">
        <v>121</v>
      </c>
      <c r="G1328" s="2" t="s">
        <v>149</v>
      </c>
      <c r="H1328" s="2" t="s">
        <v>3307</v>
      </c>
      <c r="I1328" s="2" t="s">
        <v>35</v>
      </c>
      <c r="J1328" s="2" t="s">
        <v>35</v>
      </c>
      <c r="K1328" s="2" t="s">
        <v>35</v>
      </c>
      <c r="L1328" s="2" t="s">
        <v>35</v>
      </c>
      <c r="M1328" s="2" t="s">
        <v>35</v>
      </c>
      <c r="N1328" s="3">
        <v>44764.380610613429</v>
      </c>
      <c r="O1328" s="3">
        <v>44764.380612094908</v>
      </c>
      <c r="P1328" s="2">
        <v>0</v>
      </c>
      <c r="Q1328" s="2" t="s">
        <v>35</v>
      </c>
      <c r="R1328" s="2" t="s">
        <v>38</v>
      </c>
      <c r="S1328" s="2" t="s">
        <v>35</v>
      </c>
      <c r="T1328" s="2" t="s">
        <v>35</v>
      </c>
      <c r="U1328" s="2" t="s">
        <v>35</v>
      </c>
      <c r="V1328" s="2" t="b">
        <v>0</v>
      </c>
      <c r="W1328" s="2" t="s">
        <v>35</v>
      </c>
      <c r="X1328" s="2" t="s">
        <v>35</v>
      </c>
      <c r="Y1328" s="2" t="s">
        <v>35</v>
      </c>
      <c r="Z1328" s="2" t="s">
        <v>35</v>
      </c>
    </row>
    <row r="1329" spans="1:26" x14ac:dyDescent="0.2">
      <c r="A1329" s="2" t="s">
        <v>3305</v>
      </c>
      <c r="B1329" s="2" t="b">
        <v>0</v>
      </c>
      <c r="C1329" s="2" t="b">
        <v>0</v>
      </c>
      <c r="D1329" s="2" t="b">
        <v>0</v>
      </c>
      <c r="E1329" s="2" t="b">
        <v>0</v>
      </c>
      <c r="F1329" s="2" t="s">
        <v>31</v>
      </c>
      <c r="G1329" s="2" t="s">
        <v>3306</v>
      </c>
      <c r="H1329" s="2" t="s">
        <v>3307</v>
      </c>
      <c r="I1329" s="2" t="s">
        <v>35</v>
      </c>
      <c r="J1329" s="2" t="s">
        <v>35</v>
      </c>
      <c r="K1329" s="2">
        <v>7</v>
      </c>
      <c r="L1329" s="2" t="s">
        <v>35</v>
      </c>
      <c r="M1329" s="2" t="s">
        <v>35</v>
      </c>
      <c r="N1329" s="3">
        <v>44764.380612280096</v>
      </c>
      <c r="O1329" s="3">
        <v>44764.380788368057</v>
      </c>
      <c r="P1329" s="2">
        <v>0</v>
      </c>
      <c r="Q1329" s="2" t="s">
        <v>265</v>
      </c>
      <c r="R1329" s="2" t="s">
        <v>38</v>
      </c>
      <c r="S1329" s="2" t="s">
        <v>35</v>
      </c>
      <c r="T1329" s="2" t="s">
        <v>35</v>
      </c>
      <c r="U1329" s="2" t="s">
        <v>35</v>
      </c>
      <c r="V1329" s="2" t="b">
        <v>0</v>
      </c>
      <c r="W1329" s="2" t="s">
        <v>35</v>
      </c>
      <c r="X1329" s="2" t="s">
        <v>35</v>
      </c>
      <c r="Y1329" s="2" t="s">
        <v>35</v>
      </c>
      <c r="Z1329" s="2" t="s">
        <v>35</v>
      </c>
    </row>
    <row r="1330" spans="1:26" x14ac:dyDescent="0.2">
      <c r="A1330" s="2" t="s">
        <v>3308</v>
      </c>
      <c r="B1330" s="2" t="b">
        <v>0</v>
      </c>
      <c r="C1330" s="2" t="b">
        <v>0</v>
      </c>
      <c r="D1330" s="2" t="b">
        <v>0</v>
      </c>
      <c r="E1330" s="2" t="b">
        <v>0</v>
      </c>
      <c r="F1330" s="2" t="s">
        <v>31</v>
      </c>
      <c r="G1330" s="2" t="s">
        <v>3309</v>
      </c>
      <c r="H1330" s="2" t="s">
        <v>3310</v>
      </c>
      <c r="I1330" s="2" t="s">
        <v>675</v>
      </c>
      <c r="J1330" s="2" t="s">
        <v>35</v>
      </c>
      <c r="K1330" s="2" t="s">
        <v>35</v>
      </c>
      <c r="L1330" s="2" t="s">
        <v>35</v>
      </c>
      <c r="M1330" s="2" t="s">
        <v>35</v>
      </c>
      <c r="N1330" s="3">
        <v>44764.381928506948</v>
      </c>
      <c r="O1330" s="3">
        <v>44764.382191192133</v>
      </c>
      <c r="P1330" s="2">
        <v>0</v>
      </c>
      <c r="Q1330" s="2" t="s">
        <v>124</v>
      </c>
      <c r="R1330" s="2" t="s">
        <v>38</v>
      </c>
      <c r="S1330" s="2" t="s">
        <v>35</v>
      </c>
      <c r="T1330" s="2" t="s">
        <v>35</v>
      </c>
      <c r="U1330" s="2" t="s">
        <v>35</v>
      </c>
      <c r="V1330" s="2" t="b">
        <v>0</v>
      </c>
      <c r="W1330" s="2" t="s">
        <v>35</v>
      </c>
      <c r="X1330" s="2">
        <v>4</v>
      </c>
      <c r="Y1330" s="2" t="s">
        <v>35</v>
      </c>
      <c r="Z1330" s="2" t="s">
        <v>35</v>
      </c>
    </row>
    <row r="1331" spans="1:26" x14ac:dyDescent="0.2">
      <c r="A1331" s="2" t="s">
        <v>3311</v>
      </c>
      <c r="B1331" s="2" t="b">
        <v>0</v>
      </c>
      <c r="C1331" s="2" t="b">
        <v>0</v>
      </c>
      <c r="D1331" s="2" t="b">
        <v>0</v>
      </c>
      <c r="E1331" s="2" t="b">
        <v>0</v>
      </c>
      <c r="F1331" s="2" t="s">
        <v>31</v>
      </c>
      <c r="G1331" s="2" t="s">
        <v>3312</v>
      </c>
      <c r="H1331" s="2" t="s">
        <v>3313</v>
      </c>
      <c r="I1331" s="2" t="s">
        <v>675</v>
      </c>
      <c r="J1331" s="2" t="s">
        <v>35</v>
      </c>
      <c r="K1331" s="2" t="s">
        <v>35</v>
      </c>
      <c r="L1331" s="2" t="s">
        <v>35</v>
      </c>
      <c r="M1331" s="2" t="s">
        <v>35</v>
      </c>
      <c r="N1331" s="3">
        <v>44764.382457928237</v>
      </c>
      <c r="O1331" s="3">
        <v>44764.382602881946</v>
      </c>
      <c r="P1331" s="2">
        <v>0</v>
      </c>
      <c r="Q1331" s="2" t="s">
        <v>124</v>
      </c>
      <c r="R1331" s="2" t="s">
        <v>38</v>
      </c>
      <c r="S1331" s="2" t="s">
        <v>35</v>
      </c>
      <c r="T1331" s="2" t="s">
        <v>35</v>
      </c>
      <c r="U1331" s="2" t="s">
        <v>35</v>
      </c>
      <c r="V1331" s="2" t="b">
        <v>0</v>
      </c>
      <c r="W1331" s="2" t="s">
        <v>35</v>
      </c>
      <c r="X1331" s="2">
        <v>4</v>
      </c>
      <c r="Y1331" s="2" t="s">
        <v>35</v>
      </c>
      <c r="Z1331" s="2" t="s">
        <v>35</v>
      </c>
    </row>
    <row r="1332" spans="1:26" x14ac:dyDescent="0.2">
      <c r="A1332" s="2" t="s">
        <v>3314</v>
      </c>
      <c r="B1332" s="2" t="b">
        <v>0</v>
      </c>
      <c r="C1332" s="2" t="b">
        <v>0</v>
      </c>
      <c r="D1332" s="2" t="b">
        <v>0</v>
      </c>
      <c r="E1332" s="2" t="b">
        <v>0</v>
      </c>
      <c r="F1332" s="2" t="s">
        <v>31</v>
      </c>
      <c r="G1332" s="2" t="s">
        <v>3315</v>
      </c>
      <c r="H1332" s="2" t="s">
        <v>3316</v>
      </c>
      <c r="I1332" s="2" t="s">
        <v>35</v>
      </c>
      <c r="J1332" s="2" t="s">
        <v>35</v>
      </c>
      <c r="K1332" s="2" t="s">
        <v>35</v>
      </c>
      <c r="L1332" s="2" t="s">
        <v>35</v>
      </c>
      <c r="M1332" s="2" t="s">
        <v>35</v>
      </c>
      <c r="N1332" s="3">
        <v>44764.383766666666</v>
      </c>
      <c r="O1332" s="3">
        <v>44764.383892951388</v>
      </c>
      <c r="P1332" s="2">
        <v>0</v>
      </c>
      <c r="Q1332" s="2" t="s">
        <v>36</v>
      </c>
      <c r="R1332" s="2" t="s">
        <v>38</v>
      </c>
      <c r="S1332" s="2" t="s">
        <v>35</v>
      </c>
      <c r="T1332" s="2" t="s">
        <v>35</v>
      </c>
      <c r="U1332" s="2" t="s">
        <v>35</v>
      </c>
      <c r="V1332" s="2" t="b">
        <v>0</v>
      </c>
      <c r="W1332" s="2" t="s">
        <v>35</v>
      </c>
      <c r="X1332" s="2" t="s">
        <v>35</v>
      </c>
      <c r="Y1332" s="2" t="s">
        <v>35</v>
      </c>
      <c r="Z1332" s="2">
        <v>2</v>
      </c>
    </row>
    <row r="1333" spans="1:26" x14ac:dyDescent="0.2">
      <c r="A1333" s="2" t="s">
        <v>3317</v>
      </c>
      <c r="B1333" s="2" t="b">
        <v>0</v>
      </c>
      <c r="C1333" s="2" t="b">
        <v>0</v>
      </c>
      <c r="D1333" s="2" t="b">
        <v>0</v>
      </c>
      <c r="E1333" s="2" t="b">
        <v>0</v>
      </c>
      <c r="F1333" s="2" t="s">
        <v>31</v>
      </c>
      <c r="G1333" s="2" t="s">
        <v>3318</v>
      </c>
      <c r="H1333" s="2" t="s">
        <v>3319</v>
      </c>
      <c r="I1333" s="2" t="s">
        <v>35</v>
      </c>
      <c r="J1333" s="2" t="s">
        <v>35</v>
      </c>
      <c r="K1333" s="2" t="s">
        <v>35</v>
      </c>
      <c r="L1333" s="2" t="s">
        <v>35</v>
      </c>
      <c r="M1333" s="2" t="s">
        <v>35</v>
      </c>
      <c r="N1333" s="3">
        <v>44764.385270868057</v>
      </c>
      <c r="O1333" s="3">
        <v>44764.385390937503</v>
      </c>
      <c r="P1333" s="2">
        <v>0</v>
      </c>
      <c r="Q1333" s="2" t="s">
        <v>36</v>
      </c>
      <c r="R1333" s="2" t="s">
        <v>38</v>
      </c>
      <c r="S1333" s="2" t="s">
        <v>35</v>
      </c>
      <c r="T1333" s="2" t="s">
        <v>35</v>
      </c>
      <c r="U1333" s="2" t="s">
        <v>35</v>
      </c>
      <c r="V1333" s="2" t="b">
        <v>0</v>
      </c>
      <c r="W1333" s="2" t="s">
        <v>35</v>
      </c>
      <c r="X1333" s="2" t="s">
        <v>35</v>
      </c>
      <c r="Y1333" s="2" t="s">
        <v>35</v>
      </c>
      <c r="Z1333" s="2">
        <v>2</v>
      </c>
    </row>
    <row r="1334" spans="1:26" x14ac:dyDescent="0.2">
      <c r="A1334" s="2" t="s">
        <v>3320</v>
      </c>
      <c r="B1334" s="2" t="b">
        <v>0</v>
      </c>
      <c r="C1334" s="2" t="b">
        <v>0</v>
      </c>
      <c r="D1334" s="2" t="b">
        <v>0</v>
      </c>
      <c r="E1334" s="2" t="b">
        <v>0</v>
      </c>
      <c r="F1334" s="2" t="s">
        <v>31</v>
      </c>
      <c r="G1334" s="2" t="s">
        <v>3321</v>
      </c>
      <c r="H1334" s="2" t="s">
        <v>3322</v>
      </c>
      <c r="I1334" s="2" t="s">
        <v>35</v>
      </c>
      <c r="J1334" s="2" t="s">
        <v>35</v>
      </c>
      <c r="K1334" s="2" t="s">
        <v>35</v>
      </c>
      <c r="L1334" s="2" t="s">
        <v>35</v>
      </c>
      <c r="M1334" s="2" t="s">
        <v>35</v>
      </c>
      <c r="N1334" s="3">
        <v>44764.386228946758</v>
      </c>
      <c r="O1334" s="3">
        <v>44764.386332662034</v>
      </c>
      <c r="P1334" s="2">
        <v>0</v>
      </c>
      <c r="Q1334" s="2" t="s">
        <v>36</v>
      </c>
      <c r="R1334" s="2" t="s">
        <v>38</v>
      </c>
      <c r="S1334" s="2" t="s">
        <v>35</v>
      </c>
      <c r="T1334" s="2" t="s">
        <v>35</v>
      </c>
      <c r="U1334" s="2" t="s">
        <v>35</v>
      </c>
      <c r="V1334" s="2" t="b">
        <v>0</v>
      </c>
      <c r="W1334" s="2" t="s">
        <v>35</v>
      </c>
      <c r="X1334" s="2" t="s">
        <v>35</v>
      </c>
      <c r="Y1334" s="2" t="s">
        <v>35</v>
      </c>
      <c r="Z1334" s="2">
        <v>4</v>
      </c>
    </row>
    <row r="1335" spans="1:26" x14ac:dyDescent="0.2">
      <c r="A1335" s="2" t="s">
        <v>3323</v>
      </c>
      <c r="B1335" s="2" t="b">
        <v>0</v>
      </c>
      <c r="C1335" s="2" t="b">
        <v>0</v>
      </c>
      <c r="D1335" s="2" t="b">
        <v>0</v>
      </c>
      <c r="E1335" s="2" t="b">
        <v>0</v>
      </c>
      <c r="F1335" s="2" t="s">
        <v>31</v>
      </c>
      <c r="G1335" s="2" t="s">
        <v>3324</v>
      </c>
      <c r="H1335" s="2" t="s">
        <v>3325</v>
      </c>
      <c r="I1335" s="2" t="s">
        <v>35</v>
      </c>
      <c r="J1335" s="2" t="s">
        <v>35</v>
      </c>
      <c r="K1335" s="2" t="s">
        <v>35</v>
      </c>
      <c r="L1335" s="2">
        <v>28</v>
      </c>
      <c r="M1335" s="2">
        <v>16</v>
      </c>
      <c r="N1335" s="3">
        <v>44764.388185995369</v>
      </c>
      <c r="O1335" s="3">
        <v>44764.388847893519</v>
      </c>
      <c r="P1335" s="2">
        <v>0</v>
      </c>
      <c r="Q1335" s="2" t="s">
        <v>54</v>
      </c>
      <c r="R1335" s="2" t="s">
        <v>38</v>
      </c>
      <c r="S1335" s="2" t="s">
        <v>35</v>
      </c>
      <c r="T1335" s="2" t="s">
        <v>35</v>
      </c>
      <c r="U1335" s="2" t="s">
        <v>35</v>
      </c>
      <c r="V1335" s="2" t="b">
        <v>0</v>
      </c>
      <c r="W1335" s="2" t="s">
        <v>35</v>
      </c>
      <c r="X1335" s="2" t="s">
        <v>35</v>
      </c>
      <c r="Y1335" s="2" t="s">
        <v>35</v>
      </c>
      <c r="Z1335" s="2" t="s">
        <v>35</v>
      </c>
    </row>
    <row r="1336" spans="1:26" x14ac:dyDescent="0.2">
      <c r="A1336" s="2" t="s">
        <v>3326</v>
      </c>
      <c r="B1336" s="2" t="b">
        <v>0</v>
      </c>
      <c r="C1336" s="2" t="b">
        <v>0</v>
      </c>
      <c r="D1336" s="2" t="b">
        <v>0</v>
      </c>
      <c r="E1336" s="2" t="b">
        <v>0</v>
      </c>
      <c r="F1336" s="2" t="s">
        <v>31</v>
      </c>
      <c r="G1336" s="2" t="s">
        <v>3327</v>
      </c>
      <c r="H1336" s="2" t="s">
        <v>3328</v>
      </c>
      <c r="I1336" s="2" t="s">
        <v>675</v>
      </c>
      <c r="J1336" s="2" t="s">
        <v>35</v>
      </c>
      <c r="K1336" s="2" t="s">
        <v>35</v>
      </c>
      <c r="L1336" s="2" t="s">
        <v>35</v>
      </c>
      <c r="M1336" s="2" t="s">
        <v>35</v>
      </c>
      <c r="N1336" s="3">
        <v>44764.389395694445</v>
      </c>
      <c r="O1336" s="3">
        <v>44764.38961766204</v>
      </c>
      <c r="P1336" s="2">
        <v>0</v>
      </c>
      <c r="Q1336" s="2" t="s">
        <v>124</v>
      </c>
      <c r="R1336" s="2" t="s">
        <v>38</v>
      </c>
      <c r="S1336" s="2" t="s">
        <v>35</v>
      </c>
      <c r="T1336" s="2" t="s">
        <v>35</v>
      </c>
      <c r="U1336" s="2" t="s">
        <v>35</v>
      </c>
      <c r="V1336" s="2" t="b">
        <v>0</v>
      </c>
      <c r="W1336" s="2" t="s">
        <v>35</v>
      </c>
      <c r="X1336" s="2">
        <v>4</v>
      </c>
      <c r="Y1336" s="2" t="s">
        <v>35</v>
      </c>
      <c r="Z1336" s="2" t="s">
        <v>35</v>
      </c>
    </row>
    <row r="1337" spans="1:26" x14ac:dyDescent="0.2">
      <c r="A1337" s="2" t="s">
        <v>3329</v>
      </c>
      <c r="B1337" s="2" t="b">
        <v>0</v>
      </c>
      <c r="C1337" s="2" t="b">
        <v>0</v>
      </c>
      <c r="D1337" s="2" t="b">
        <v>0</v>
      </c>
      <c r="E1337" s="2" t="b">
        <v>0</v>
      </c>
      <c r="F1337" s="2" t="s">
        <v>31</v>
      </c>
      <c r="G1337" s="2" t="s">
        <v>3330</v>
      </c>
      <c r="H1337" s="2" t="s">
        <v>3331</v>
      </c>
      <c r="I1337" s="2" t="s">
        <v>675</v>
      </c>
      <c r="J1337" s="2" t="s">
        <v>35</v>
      </c>
      <c r="K1337" s="2" t="s">
        <v>35</v>
      </c>
      <c r="L1337" s="2" t="s">
        <v>35</v>
      </c>
      <c r="M1337" s="2" t="s">
        <v>35</v>
      </c>
      <c r="N1337" s="3">
        <v>44764.391007673614</v>
      </c>
      <c r="O1337" s="3">
        <v>44764.391174432873</v>
      </c>
      <c r="P1337" s="2">
        <v>0</v>
      </c>
      <c r="Q1337" s="2" t="s">
        <v>124</v>
      </c>
      <c r="R1337" s="2" t="s">
        <v>38</v>
      </c>
      <c r="S1337" s="2" t="s">
        <v>35</v>
      </c>
      <c r="T1337" s="2" t="s">
        <v>35</v>
      </c>
      <c r="U1337" s="2" t="s">
        <v>35</v>
      </c>
      <c r="V1337" s="2" t="b">
        <v>0</v>
      </c>
      <c r="W1337" s="2" t="s">
        <v>35</v>
      </c>
      <c r="X1337" s="2">
        <v>4</v>
      </c>
      <c r="Y1337" s="2" t="s">
        <v>35</v>
      </c>
      <c r="Z1337" s="2" t="s">
        <v>35</v>
      </c>
    </row>
    <row r="1338" spans="1:26" x14ac:dyDescent="0.2">
      <c r="A1338" s="2" t="s">
        <v>3332</v>
      </c>
      <c r="B1338" s="2" t="b">
        <v>0</v>
      </c>
      <c r="C1338" s="2" t="b">
        <v>0</v>
      </c>
      <c r="D1338" s="2" t="b">
        <v>0</v>
      </c>
      <c r="E1338" s="2" t="b">
        <v>0</v>
      </c>
      <c r="F1338" s="2" t="s">
        <v>31</v>
      </c>
      <c r="G1338" s="2" t="s">
        <v>3333</v>
      </c>
      <c r="H1338" s="2" t="s">
        <v>3334</v>
      </c>
      <c r="I1338" s="2" t="s">
        <v>675</v>
      </c>
      <c r="J1338" s="2" t="s">
        <v>35</v>
      </c>
      <c r="K1338" s="2" t="s">
        <v>35</v>
      </c>
      <c r="L1338" s="2" t="s">
        <v>35</v>
      </c>
      <c r="M1338" s="2" t="s">
        <v>35</v>
      </c>
      <c r="N1338" s="3">
        <v>44764.392402314814</v>
      </c>
      <c r="O1338" s="3">
        <v>44764.392574884259</v>
      </c>
      <c r="P1338" s="2">
        <v>0</v>
      </c>
      <c r="Q1338" s="2" t="s">
        <v>124</v>
      </c>
      <c r="R1338" s="2" t="s">
        <v>38</v>
      </c>
      <c r="S1338" s="2" t="s">
        <v>35</v>
      </c>
      <c r="T1338" s="2" t="s">
        <v>35</v>
      </c>
      <c r="U1338" s="2" t="s">
        <v>35</v>
      </c>
      <c r="V1338" s="2" t="b">
        <v>0</v>
      </c>
      <c r="W1338" s="2" t="s">
        <v>35</v>
      </c>
      <c r="X1338" s="2">
        <v>4</v>
      </c>
      <c r="Y1338" s="2" t="s">
        <v>35</v>
      </c>
      <c r="Z1338" s="2" t="s">
        <v>35</v>
      </c>
    </row>
    <row r="1339" spans="1:26" x14ac:dyDescent="0.2">
      <c r="A1339" s="2" t="s">
        <v>3335</v>
      </c>
      <c r="B1339" s="2" t="b">
        <v>0</v>
      </c>
      <c r="C1339" s="2" t="b">
        <v>0</v>
      </c>
      <c r="D1339" s="2" t="b">
        <v>0</v>
      </c>
      <c r="E1339" s="2" t="b">
        <v>0</v>
      </c>
      <c r="F1339" s="2" t="s">
        <v>31</v>
      </c>
      <c r="G1339" s="2" t="s">
        <v>3336</v>
      </c>
      <c r="H1339" s="2" t="s">
        <v>3337</v>
      </c>
      <c r="I1339" s="2" t="s">
        <v>675</v>
      </c>
      <c r="J1339" s="2" t="s">
        <v>35</v>
      </c>
      <c r="K1339" s="2" t="s">
        <v>35</v>
      </c>
      <c r="L1339" s="2" t="s">
        <v>35</v>
      </c>
      <c r="M1339" s="2" t="s">
        <v>35</v>
      </c>
      <c r="N1339" s="3">
        <v>44764.392907175927</v>
      </c>
      <c r="O1339" s="3">
        <v>44764.393426527779</v>
      </c>
      <c r="P1339" s="2">
        <v>0</v>
      </c>
      <c r="Q1339" s="2" t="s">
        <v>124</v>
      </c>
      <c r="R1339" s="2" t="s">
        <v>38</v>
      </c>
      <c r="S1339" s="2" t="s">
        <v>35</v>
      </c>
      <c r="T1339" s="2" t="s">
        <v>35</v>
      </c>
      <c r="U1339" s="2" t="s">
        <v>35</v>
      </c>
      <c r="V1339" s="2" t="b">
        <v>0</v>
      </c>
      <c r="W1339" s="2" t="s">
        <v>35</v>
      </c>
      <c r="X1339" s="2">
        <v>4</v>
      </c>
      <c r="Y1339" s="2" t="s">
        <v>35</v>
      </c>
      <c r="Z1339" s="2" t="s">
        <v>35</v>
      </c>
    </row>
    <row r="1340" spans="1:26" x14ac:dyDescent="0.2">
      <c r="A1340" s="2" t="s">
        <v>3338</v>
      </c>
      <c r="B1340" s="2" t="b">
        <v>0</v>
      </c>
      <c r="C1340" s="2" t="b">
        <v>0</v>
      </c>
      <c r="D1340" s="2" t="b">
        <v>0</v>
      </c>
      <c r="E1340" s="2" t="b">
        <v>0</v>
      </c>
      <c r="F1340" s="2" t="s">
        <v>31</v>
      </c>
      <c r="G1340" s="2" t="s">
        <v>3339</v>
      </c>
      <c r="H1340" s="2" t="s">
        <v>3340</v>
      </c>
      <c r="I1340" s="2" t="s">
        <v>35</v>
      </c>
      <c r="J1340" s="2" t="s">
        <v>35</v>
      </c>
      <c r="K1340" s="2">
        <v>15</v>
      </c>
      <c r="L1340" s="2" t="s">
        <v>35</v>
      </c>
      <c r="M1340" s="2" t="s">
        <v>35</v>
      </c>
      <c r="N1340" s="3">
        <v>44764.393488368056</v>
      </c>
      <c r="O1340" s="3">
        <v>44764.39385197917</v>
      </c>
      <c r="P1340" s="2">
        <v>0</v>
      </c>
      <c r="Q1340" s="2" t="s">
        <v>265</v>
      </c>
      <c r="R1340" s="2" t="s">
        <v>38</v>
      </c>
      <c r="S1340" s="2" t="s">
        <v>35</v>
      </c>
      <c r="T1340" s="2" t="s">
        <v>35</v>
      </c>
      <c r="U1340" s="2" t="s">
        <v>35</v>
      </c>
      <c r="V1340" s="2" t="b">
        <v>0</v>
      </c>
      <c r="W1340" s="2" t="s">
        <v>35</v>
      </c>
      <c r="X1340" s="2" t="s">
        <v>35</v>
      </c>
      <c r="Y1340" s="2" t="s">
        <v>35</v>
      </c>
      <c r="Z1340" s="2" t="s">
        <v>35</v>
      </c>
    </row>
    <row r="1341" spans="1:26" x14ac:dyDescent="0.2">
      <c r="A1341" s="2" t="s">
        <v>3341</v>
      </c>
      <c r="B1341" s="2" t="b">
        <v>0</v>
      </c>
      <c r="C1341" s="2" t="b">
        <v>0</v>
      </c>
      <c r="D1341" s="2" t="b">
        <v>0</v>
      </c>
      <c r="E1341" s="2" t="b">
        <v>0</v>
      </c>
      <c r="F1341" s="2" t="s">
        <v>31</v>
      </c>
      <c r="G1341" s="2" t="s">
        <v>3342</v>
      </c>
      <c r="H1341" s="2" t="s">
        <v>3343</v>
      </c>
      <c r="I1341" s="2" t="s">
        <v>35</v>
      </c>
      <c r="J1341" s="2" t="s">
        <v>35</v>
      </c>
      <c r="K1341" s="2">
        <v>15</v>
      </c>
      <c r="L1341" s="2" t="s">
        <v>35</v>
      </c>
      <c r="M1341" s="2" t="s">
        <v>35</v>
      </c>
      <c r="N1341" s="3">
        <v>44764.394013923615</v>
      </c>
      <c r="O1341" s="3">
        <v>44764.394560335648</v>
      </c>
      <c r="P1341" s="2">
        <v>0</v>
      </c>
      <c r="Q1341" s="2" t="s">
        <v>265</v>
      </c>
      <c r="R1341" s="2" t="s">
        <v>38</v>
      </c>
      <c r="S1341" s="2" t="s">
        <v>35</v>
      </c>
      <c r="T1341" s="2" t="s">
        <v>35</v>
      </c>
      <c r="U1341" s="2" t="s">
        <v>35</v>
      </c>
      <c r="V1341" s="2" t="b">
        <v>0</v>
      </c>
      <c r="W1341" s="2" t="s">
        <v>35</v>
      </c>
      <c r="X1341" s="2" t="s">
        <v>35</v>
      </c>
      <c r="Y1341" s="2" t="s">
        <v>35</v>
      </c>
      <c r="Z1341" s="2" t="s">
        <v>35</v>
      </c>
    </row>
    <row r="1342" spans="1:26" x14ac:dyDescent="0.2">
      <c r="A1342" s="2" t="s">
        <v>3344</v>
      </c>
      <c r="B1342" s="2" t="b">
        <v>0</v>
      </c>
      <c r="C1342" s="2" t="b">
        <v>0</v>
      </c>
      <c r="D1342" s="2" t="b">
        <v>0</v>
      </c>
      <c r="E1342" s="2" t="b">
        <v>0</v>
      </c>
      <c r="F1342" s="2" t="s">
        <v>31</v>
      </c>
      <c r="G1342" s="2" t="s">
        <v>3345</v>
      </c>
      <c r="H1342" s="2" t="s">
        <v>3346</v>
      </c>
      <c r="I1342" s="2" t="s">
        <v>675</v>
      </c>
      <c r="J1342" s="2" t="s">
        <v>35</v>
      </c>
      <c r="K1342" s="2" t="s">
        <v>35</v>
      </c>
      <c r="L1342" s="2" t="s">
        <v>35</v>
      </c>
      <c r="M1342" s="2" t="s">
        <v>35</v>
      </c>
      <c r="N1342" s="3">
        <v>44764.395027997685</v>
      </c>
      <c r="O1342" s="3">
        <v>44764.395244884261</v>
      </c>
      <c r="P1342" s="2">
        <v>0</v>
      </c>
      <c r="Q1342" s="2" t="s">
        <v>124</v>
      </c>
      <c r="R1342" s="2" t="s">
        <v>38</v>
      </c>
      <c r="S1342" s="2" t="s">
        <v>35</v>
      </c>
      <c r="T1342" s="2" t="s">
        <v>35</v>
      </c>
      <c r="U1342" s="2" t="s">
        <v>35</v>
      </c>
      <c r="V1342" s="2" t="b">
        <v>0</v>
      </c>
      <c r="W1342" s="2" t="s">
        <v>35</v>
      </c>
      <c r="X1342" s="2">
        <v>4</v>
      </c>
      <c r="Y1342" s="2" t="s">
        <v>35</v>
      </c>
      <c r="Z1342" s="2" t="s">
        <v>35</v>
      </c>
    </row>
    <row r="1343" spans="1:26" x14ac:dyDescent="0.2">
      <c r="A1343" s="2" t="s">
        <v>3347</v>
      </c>
      <c r="B1343" s="2" t="b">
        <v>0</v>
      </c>
      <c r="C1343" s="2" t="b">
        <v>0</v>
      </c>
      <c r="D1343" s="2" t="b">
        <v>0</v>
      </c>
      <c r="E1343" s="2" t="b">
        <v>0</v>
      </c>
      <c r="F1343" s="2" t="s">
        <v>31</v>
      </c>
      <c r="G1343" s="2" t="s">
        <v>149</v>
      </c>
      <c r="H1343" s="2" t="s">
        <v>3348</v>
      </c>
      <c r="I1343" s="2" t="s">
        <v>675</v>
      </c>
      <c r="J1343" s="2" t="s">
        <v>35</v>
      </c>
      <c r="K1343" s="2" t="s">
        <v>35</v>
      </c>
      <c r="L1343" s="2" t="s">
        <v>35</v>
      </c>
      <c r="M1343" s="2" t="s">
        <v>35</v>
      </c>
      <c r="N1343" s="3">
        <v>44764.395299780095</v>
      </c>
      <c r="O1343" s="3">
        <v>44764.395482164349</v>
      </c>
      <c r="P1343" s="2">
        <v>0</v>
      </c>
      <c r="Q1343" s="2" t="s">
        <v>124</v>
      </c>
      <c r="R1343" s="2" t="s">
        <v>38</v>
      </c>
      <c r="S1343" s="2" t="s">
        <v>35</v>
      </c>
      <c r="T1343" s="2" t="s">
        <v>35</v>
      </c>
      <c r="U1343" s="2" t="s">
        <v>35</v>
      </c>
      <c r="V1343" s="2" t="b">
        <v>0</v>
      </c>
      <c r="W1343" s="2" t="s">
        <v>35</v>
      </c>
      <c r="X1343" s="2">
        <v>4</v>
      </c>
      <c r="Y1343" s="2" t="s">
        <v>35</v>
      </c>
      <c r="Z1343" s="2" t="s">
        <v>35</v>
      </c>
    </row>
    <row r="1344" spans="1:26" x14ac:dyDescent="0.2">
      <c r="A1344" s="2" t="s">
        <v>3349</v>
      </c>
      <c r="B1344" s="2" t="b">
        <v>0</v>
      </c>
      <c r="C1344" s="2" t="b">
        <v>0</v>
      </c>
      <c r="D1344" s="2" t="b">
        <v>0</v>
      </c>
      <c r="E1344" s="2" t="b">
        <v>0</v>
      </c>
      <c r="F1344" s="2" t="s">
        <v>31</v>
      </c>
      <c r="G1344" s="2" t="s">
        <v>3350</v>
      </c>
      <c r="H1344" s="2" t="s">
        <v>3351</v>
      </c>
      <c r="I1344" s="2" t="s">
        <v>35</v>
      </c>
      <c r="J1344" s="2" t="s">
        <v>35</v>
      </c>
      <c r="K1344" s="2" t="s">
        <v>35</v>
      </c>
      <c r="L1344" s="2" t="s">
        <v>35</v>
      </c>
      <c r="M1344" s="2" t="s">
        <v>35</v>
      </c>
      <c r="N1344" s="3">
        <v>44764.398022893518</v>
      </c>
      <c r="O1344" s="3">
        <v>44764.398212627311</v>
      </c>
      <c r="P1344" s="2">
        <v>0</v>
      </c>
      <c r="Q1344" s="2" t="s">
        <v>36</v>
      </c>
      <c r="R1344" s="2" t="s">
        <v>38</v>
      </c>
      <c r="S1344" s="2" t="s">
        <v>35</v>
      </c>
      <c r="T1344" s="2" t="s">
        <v>35</v>
      </c>
      <c r="U1344" s="2" t="s">
        <v>35</v>
      </c>
      <c r="V1344" s="2" t="b">
        <v>0</v>
      </c>
      <c r="W1344" s="2" t="s">
        <v>35</v>
      </c>
      <c r="X1344" s="2" t="s">
        <v>35</v>
      </c>
      <c r="Y1344" s="2" t="s">
        <v>35</v>
      </c>
      <c r="Z1344" s="2">
        <v>3</v>
      </c>
    </row>
    <row r="1345" spans="1:26" x14ac:dyDescent="0.2">
      <c r="A1345" s="2" t="s">
        <v>3352</v>
      </c>
      <c r="B1345" s="2" t="b">
        <v>0</v>
      </c>
      <c r="C1345" s="2" t="b">
        <v>0</v>
      </c>
      <c r="D1345" s="2" t="b">
        <v>0</v>
      </c>
      <c r="E1345" s="2" t="b">
        <v>0</v>
      </c>
      <c r="F1345" s="2" t="s">
        <v>31</v>
      </c>
      <c r="G1345" s="2" t="s">
        <v>3353</v>
      </c>
      <c r="H1345" s="2" t="s">
        <v>3354</v>
      </c>
      <c r="I1345" s="2" t="s">
        <v>675</v>
      </c>
      <c r="J1345" s="2" t="s">
        <v>35</v>
      </c>
      <c r="K1345" s="2" t="s">
        <v>35</v>
      </c>
      <c r="L1345" s="2" t="s">
        <v>35</v>
      </c>
      <c r="M1345" s="2" t="s">
        <v>35</v>
      </c>
      <c r="N1345" s="3">
        <v>44764.399158379631</v>
      </c>
      <c r="O1345" s="3">
        <v>44764.399338136573</v>
      </c>
      <c r="P1345" s="2">
        <v>0</v>
      </c>
      <c r="Q1345" s="2" t="s">
        <v>124</v>
      </c>
      <c r="R1345" s="2" t="s">
        <v>38</v>
      </c>
      <c r="S1345" s="2" t="s">
        <v>35</v>
      </c>
      <c r="T1345" s="2" t="s">
        <v>35</v>
      </c>
      <c r="U1345" s="2" t="s">
        <v>35</v>
      </c>
      <c r="V1345" s="2" t="b">
        <v>0</v>
      </c>
      <c r="W1345" s="2" t="s">
        <v>35</v>
      </c>
      <c r="X1345" s="2">
        <v>4</v>
      </c>
      <c r="Y1345" s="2" t="s">
        <v>35</v>
      </c>
      <c r="Z1345" s="2" t="s">
        <v>35</v>
      </c>
    </row>
    <row r="1346" spans="1:26" x14ac:dyDescent="0.2">
      <c r="A1346" s="2" t="s">
        <v>3355</v>
      </c>
      <c r="B1346" s="2" t="b">
        <v>0</v>
      </c>
      <c r="C1346" s="2" t="b">
        <v>0</v>
      </c>
      <c r="D1346" s="2" t="b">
        <v>0</v>
      </c>
      <c r="E1346" s="2" t="b">
        <v>0</v>
      </c>
      <c r="F1346" s="2" t="s">
        <v>31</v>
      </c>
      <c r="G1346" s="2" t="s">
        <v>3356</v>
      </c>
      <c r="H1346" s="2" t="s">
        <v>3357</v>
      </c>
      <c r="I1346" s="2" t="s">
        <v>675</v>
      </c>
      <c r="J1346" s="2" t="s">
        <v>35</v>
      </c>
      <c r="K1346" s="2" t="s">
        <v>35</v>
      </c>
      <c r="L1346" s="2" t="s">
        <v>35</v>
      </c>
      <c r="M1346" s="2" t="s">
        <v>35</v>
      </c>
      <c r="N1346" s="3">
        <v>44764.40000775463</v>
      </c>
      <c r="O1346" s="3">
        <v>44764.400279814814</v>
      </c>
      <c r="P1346" s="2">
        <v>0</v>
      </c>
      <c r="Q1346" s="2" t="s">
        <v>124</v>
      </c>
      <c r="R1346" s="2" t="s">
        <v>38</v>
      </c>
      <c r="S1346" s="2" t="s">
        <v>35</v>
      </c>
      <c r="T1346" s="2" t="s">
        <v>35</v>
      </c>
      <c r="U1346" s="2" t="s">
        <v>35</v>
      </c>
      <c r="V1346" s="2" t="b">
        <v>0</v>
      </c>
      <c r="W1346" s="2" t="s">
        <v>35</v>
      </c>
      <c r="X1346" s="2">
        <v>4</v>
      </c>
      <c r="Y1346" s="2" t="s">
        <v>35</v>
      </c>
      <c r="Z1346" s="2" t="s">
        <v>35</v>
      </c>
    </row>
    <row r="1347" spans="1:26" x14ac:dyDescent="0.2">
      <c r="A1347" s="2" t="s">
        <v>3358</v>
      </c>
      <c r="B1347" s="2" t="b">
        <v>0</v>
      </c>
      <c r="C1347" s="2" t="b">
        <v>0</v>
      </c>
      <c r="D1347" s="2" t="b">
        <v>0</v>
      </c>
      <c r="E1347" s="2" t="b">
        <v>0</v>
      </c>
      <c r="F1347" s="2" t="s">
        <v>31</v>
      </c>
      <c r="G1347" s="2" t="s">
        <v>3359</v>
      </c>
      <c r="H1347" s="2" t="s">
        <v>3360</v>
      </c>
      <c r="I1347" s="2" t="s">
        <v>3361</v>
      </c>
      <c r="J1347" s="2" t="s">
        <v>35</v>
      </c>
      <c r="K1347" s="2" t="s">
        <v>35</v>
      </c>
      <c r="L1347" s="2" t="s">
        <v>35</v>
      </c>
      <c r="M1347" s="2" t="s">
        <v>35</v>
      </c>
      <c r="N1347" s="3">
        <v>44764.401865196756</v>
      </c>
      <c r="O1347" s="3">
        <v>44764.402162337959</v>
      </c>
      <c r="P1347" s="2">
        <v>0</v>
      </c>
      <c r="Q1347" s="2" t="s">
        <v>416</v>
      </c>
      <c r="R1347" s="2" t="s">
        <v>38</v>
      </c>
      <c r="S1347" s="2" t="s">
        <v>35</v>
      </c>
      <c r="T1347" s="2">
        <v>0</v>
      </c>
      <c r="U1347" s="2" t="s">
        <v>3362</v>
      </c>
      <c r="V1347" s="2" t="b">
        <v>0</v>
      </c>
      <c r="W1347" s="2" t="s">
        <v>35</v>
      </c>
      <c r="X1347" s="2" t="s">
        <v>35</v>
      </c>
      <c r="Y1347" s="2" t="s">
        <v>35</v>
      </c>
      <c r="Z1347" s="2" t="s">
        <v>35</v>
      </c>
    </row>
    <row r="1348" spans="1:26" x14ac:dyDescent="0.2">
      <c r="A1348" s="2" t="s">
        <v>3363</v>
      </c>
      <c r="B1348" s="2" t="b">
        <v>0</v>
      </c>
      <c r="C1348" s="2" t="b">
        <v>0</v>
      </c>
      <c r="D1348" s="2" t="b">
        <v>0</v>
      </c>
      <c r="E1348" s="2" t="b">
        <v>0</v>
      </c>
      <c r="F1348" s="2" t="s">
        <v>31</v>
      </c>
      <c r="G1348" s="2" t="s">
        <v>3364</v>
      </c>
      <c r="H1348" s="2" t="s">
        <v>3365</v>
      </c>
      <c r="I1348" s="2" t="s">
        <v>35</v>
      </c>
      <c r="J1348" s="2" t="s">
        <v>35</v>
      </c>
      <c r="K1348" s="2" t="s">
        <v>35</v>
      </c>
      <c r="L1348" s="2" t="s">
        <v>35</v>
      </c>
      <c r="M1348" s="2" t="s">
        <v>35</v>
      </c>
      <c r="N1348" s="3">
        <v>44764.413806377313</v>
      </c>
      <c r="O1348" s="3">
        <v>44764.413922418978</v>
      </c>
      <c r="P1348" s="2">
        <v>0</v>
      </c>
      <c r="Q1348" s="2" t="s">
        <v>36</v>
      </c>
      <c r="R1348" s="2" t="s">
        <v>38</v>
      </c>
      <c r="S1348" s="2" t="s">
        <v>35</v>
      </c>
      <c r="T1348" s="2" t="s">
        <v>35</v>
      </c>
      <c r="U1348" s="2" t="s">
        <v>35</v>
      </c>
      <c r="V1348" s="2" t="b">
        <v>0</v>
      </c>
      <c r="W1348" s="2" t="s">
        <v>35</v>
      </c>
      <c r="X1348" s="2" t="s">
        <v>35</v>
      </c>
      <c r="Y1348" s="2" t="s">
        <v>35</v>
      </c>
      <c r="Z1348" s="2">
        <v>2</v>
      </c>
    </row>
    <row r="1349" spans="1:26" x14ac:dyDescent="0.2">
      <c r="A1349" s="2" t="s">
        <v>3366</v>
      </c>
      <c r="B1349" s="2" t="b">
        <v>0</v>
      </c>
      <c r="C1349" s="2" t="b">
        <v>0</v>
      </c>
      <c r="D1349" s="2" t="b">
        <v>0</v>
      </c>
      <c r="E1349" s="2" t="b">
        <v>0</v>
      </c>
      <c r="F1349" s="2" t="s">
        <v>31</v>
      </c>
      <c r="G1349" s="2" t="s">
        <v>3367</v>
      </c>
      <c r="H1349" s="2" t="s">
        <v>3368</v>
      </c>
      <c r="I1349" s="2" t="s">
        <v>35</v>
      </c>
      <c r="J1349" s="2" t="s">
        <v>35</v>
      </c>
      <c r="K1349" s="2" t="s">
        <v>35</v>
      </c>
      <c r="L1349" s="2" t="s">
        <v>35</v>
      </c>
      <c r="M1349" s="2" t="s">
        <v>35</v>
      </c>
      <c r="N1349" s="3">
        <v>44764.414705381947</v>
      </c>
      <c r="O1349" s="3">
        <v>44764.414810810187</v>
      </c>
      <c r="P1349" s="2">
        <v>0</v>
      </c>
      <c r="Q1349" s="2" t="s">
        <v>36</v>
      </c>
      <c r="R1349" s="2" t="s">
        <v>38</v>
      </c>
      <c r="S1349" s="2" t="s">
        <v>35</v>
      </c>
      <c r="T1349" s="2" t="s">
        <v>35</v>
      </c>
      <c r="U1349" s="2" t="s">
        <v>35</v>
      </c>
      <c r="V1349" s="2" t="b">
        <v>0</v>
      </c>
      <c r="W1349" s="2" t="s">
        <v>35</v>
      </c>
      <c r="X1349" s="2" t="s">
        <v>35</v>
      </c>
      <c r="Y1349" s="2" t="s">
        <v>35</v>
      </c>
      <c r="Z1349" s="2">
        <v>3</v>
      </c>
    </row>
    <row r="1350" spans="1:26" x14ac:dyDescent="0.2">
      <c r="A1350" s="2" t="s">
        <v>3369</v>
      </c>
      <c r="B1350" s="2" t="b">
        <v>0</v>
      </c>
      <c r="C1350" s="2" t="b">
        <v>0</v>
      </c>
      <c r="D1350" s="2" t="b">
        <v>0</v>
      </c>
      <c r="E1350" s="2" t="b">
        <v>0</v>
      </c>
      <c r="F1350" s="2" t="s">
        <v>31</v>
      </c>
      <c r="G1350" s="2" t="s">
        <v>3370</v>
      </c>
      <c r="H1350" s="2" t="s">
        <v>3371</v>
      </c>
      <c r="I1350" s="2" t="s">
        <v>35</v>
      </c>
      <c r="J1350" s="2" t="s">
        <v>35</v>
      </c>
      <c r="K1350" s="2" t="s">
        <v>35</v>
      </c>
      <c r="L1350" s="2" t="s">
        <v>35</v>
      </c>
      <c r="M1350" s="2" t="s">
        <v>35</v>
      </c>
      <c r="N1350" s="3">
        <v>44764.415985983796</v>
      </c>
      <c r="O1350" s="3">
        <v>44764.416117280096</v>
      </c>
      <c r="P1350" s="2">
        <v>0</v>
      </c>
      <c r="Q1350" s="2" t="s">
        <v>36</v>
      </c>
      <c r="R1350" s="2" t="s">
        <v>38</v>
      </c>
      <c r="S1350" s="2" t="s">
        <v>35</v>
      </c>
      <c r="T1350" s="2" t="s">
        <v>35</v>
      </c>
      <c r="U1350" s="2" t="s">
        <v>35</v>
      </c>
      <c r="V1350" s="2" t="b">
        <v>0</v>
      </c>
      <c r="W1350" s="2" t="s">
        <v>35</v>
      </c>
      <c r="X1350" s="2" t="s">
        <v>35</v>
      </c>
      <c r="Y1350" s="2" t="s">
        <v>35</v>
      </c>
      <c r="Z1350" s="2">
        <v>2</v>
      </c>
    </row>
    <row r="1351" spans="1:26" x14ac:dyDescent="0.2">
      <c r="A1351" s="2" t="s">
        <v>3372</v>
      </c>
      <c r="B1351" s="2" t="b">
        <v>0</v>
      </c>
      <c r="C1351" s="2" t="b">
        <v>0</v>
      </c>
      <c r="D1351" s="2" t="b">
        <v>0</v>
      </c>
      <c r="E1351" s="2" t="b">
        <v>0</v>
      </c>
      <c r="F1351" s="2" t="s">
        <v>31</v>
      </c>
      <c r="G1351" s="2" t="s">
        <v>3373</v>
      </c>
      <c r="H1351" s="2" t="s">
        <v>3374</v>
      </c>
      <c r="I1351" s="2" t="s">
        <v>35</v>
      </c>
      <c r="J1351" s="2" t="s">
        <v>35</v>
      </c>
      <c r="K1351" s="2" t="s">
        <v>35</v>
      </c>
      <c r="L1351" s="2">
        <v>29</v>
      </c>
      <c r="M1351" s="2">
        <v>14</v>
      </c>
      <c r="N1351" s="3">
        <v>44764.416289826389</v>
      </c>
      <c r="O1351" s="3">
        <v>44764.41674158565</v>
      </c>
      <c r="P1351" s="2">
        <v>0</v>
      </c>
      <c r="Q1351" s="2" t="s">
        <v>54</v>
      </c>
      <c r="R1351" s="2" t="s">
        <v>38</v>
      </c>
      <c r="S1351" s="2" t="s">
        <v>35</v>
      </c>
      <c r="T1351" s="2" t="s">
        <v>35</v>
      </c>
      <c r="U1351" s="2" t="s">
        <v>35</v>
      </c>
      <c r="V1351" s="2" t="b">
        <v>0</v>
      </c>
      <c r="W1351" s="2" t="s">
        <v>35</v>
      </c>
      <c r="X1351" s="2" t="s">
        <v>35</v>
      </c>
      <c r="Y1351" s="2" t="s">
        <v>35</v>
      </c>
      <c r="Z1351" s="2" t="s">
        <v>35</v>
      </c>
    </row>
    <row r="1352" spans="1:26" x14ac:dyDescent="0.2">
      <c r="A1352" s="2" t="s">
        <v>3375</v>
      </c>
      <c r="B1352" s="2" t="b">
        <v>0</v>
      </c>
      <c r="C1352" s="2" t="b">
        <v>0</v>
      </c>
      <c r="D1352" s="2" t="b">
        <v>0</v>
      </c>
      <c r="E1352" s="2" t="b">
        <v>0</v>
      </c>
      <c r="F1352" s="2" t="s">
        <v>31</v>
      </c>
      <c r="G1352" s="2" t="s">
        <v>3376</v>
      </c>
      <c r="H1352" s="2" t="s">
        <v>3377</v>
      </c>
      <c r="I1352" s="2" t="s">
        <v>1711</v>
      </c>
      <c r="J1352" s="2" t="s">
        <v>35</v>
      </c>
      <c r="K1352" s="2" t="s">
        <v>35</v>
      </c>
      <c r="L1352" s="2" t="s">
        <v>35</v>
      </c>
      <c r="M1352" s="2" t="s">
        <v>35</v>
      </c>
      <c r="N1352" s="3">
        <v>44764.416790729163</v>
      </c>
      <c r="O1352" s="3">
        <v>44764.416974398147</v>
      </c>
      <c r="P1352" s="2">
        <v>0</v>
      </c>
      <c r="Q1352" s="2" t="s">
        <v>54</v>
      </c>
      <c r="R1352" s="2" t="s">
        <v>38</v>
      </c>
      <c r="S1352" s="2" t="s">
        <v>35</v>
      </c>
      <c r="T1352" s="2" t="s">
        <v>35</v>
      </c>
      <c r="U1352" s="2" t="s">
        <v>35</v>
      </c>
      <c r="V1352" s="2" t="b">
        <v>0</v>
      </c>
      <c r="W1352" s="2" t="s">
        <v>35</v>
      </c>
      <c r="X1352" s="2" t="s">
        <v>35</v>
      </c>
      <c r="Y1352" s="2" t="s">
        <v>35</v>
      </c>
      <c r="Z1352" s="2" t="s">
        <v>35</v>
      </c>
    </row>
    <row r="1353" spans="1:26" x14ac:dyDescent="0.2">
      <c r="A1353" s="2" t="s">
        <v>3378</v>
      </c>
      <c r="B1353" s="2" t="b">
        <v>0</v>
      </c>
      <c r="C1353" s="2" t="b">
        <v>0</v>
      </c>
      <c r="D1353" s="2" t="b">
        <v>0</v>
      </c>
      <c r="E1353" s="2" t="b">
        <v>0</v>
      </c>
      <c r="F1353" s="2" t="s">
        <v>31</v>
      </c>
      <c r="G1353" s="2" t="s">
        <v>3379</v>
      </c>
      <c r="H1353" s="2" t="s">
        <v>3380</v>
      </c>
      <c r="I1353" s="2" t="s">
        <v>35</v>
      </c>
      <c r="J1353" s="2" t="s">
        <v>35</v>
      </c>
      <c r="K1353" s="2">
        <v>11</v>
      </c>
      <c r="L1353" s="2" t="s">
        <v>35</v>
      </c>
      <c r="M1353" s="2" t="s">
        <v>35</v>
      </c>
      <c r="N1353" s="3">
        <v>44764.422138252317</v>
      </c>
      <c r="O1353" s="3">
        <v>44764.422392789354</v>
      </c>
      <c r="P1353" s="2">
        <v>0</v>
      </c>
      <c r="Q1353" s="2" t="s">
        <v>265</v>
      </c>
      <c r="R1353" s="2" t="s">
        <v>38</v>
      </c>
      <c r="S1353" s="2" t="s">
        <v>35</v>
      </c>
      <c r="T1353" s="2" t="s">
        <v>35</v>
      </c>
      <c r="U1353" s="2" t="s">
        <v>35</v>
      </c>
      <c r="V1353" s="2" t="b">
        <v>0</v>
      </c>
      <c r="W1353" s="2" t="s">
        <v>35</v>
      </c>
      <c r="X1353" s="2" t="s">
        <v>35</v>
      </c>
      <c r="Y1353" s="2" t="s">
        <v>35</v>
      </c>
      <c r="Z1353" s="2" t="s">
        <v>35</v>
      </c>
    </row>
    <row r="1354" spans="1:26" x14ac:dyDescent="0.2">
      <c r="A1354" s="2" t="s">
        <v>3381</v>
      </c>
      <c r="B1354" s="2" t="b">
        <v>0</v>
      </c>
      <c r="C1354" s="2" t="b">
        <v>0</v>
      </c>
      <c r="D1354" s="2" t="b">
        <v>0</v>
      </c>
      <c r="E1354" s="2" t="b">
        <v>0</v>
      </c>
      <c r="F1354" s="2" t="s">
        <v>31</v>
      </c>
      <c r="G1354" s="2" t="s">
        <v>3382</v>
      </c>
      <c r="H1354" s="2" t="s">
        <v>3383</v>
      </c>
      <c r="I1354" s="2" t="s">
        <v>35</v>
      </c>
      <c r="J1354" s="2" t="s">
        <v>35</v>
      </c>
      <c r="K1354" s="2">
        <v>9</v>
      </c>
      <c r="L1354" s="2" t="s">
        <v>35</v>
      </c>
      <c r="M1354" s="2" t="s">
        <v>35</v>
      </c>
      <c r="N1354" s="3">
        <v>44764.422566944442</v>
      </c>
      <c r="O1354" s="3">
        <v>44764.422810949072</v>
      </c>
      <c r="P1354" s="2">
        <v>0</v>
      </c>
      <c r="Q1354" s="2" t="s">
        <v>265</v>
      </c>
      <c r="R1354" s="2" t="s">
        <v>38</v>
      </c>
      <c r="S1354" s="2" t="s">
        <v>35</v>
      </c>
      <c r="T1354" s="2" t="s">
        <v>35</v>
      </c>
      <c r="U1354" s="2" t="s">
        <v>35</v>
      </c>
      <c r="V1354" s="2" t="b">
        <v>0</v>
      </c>
      <c r="W1354" s="2" t="s">
        <v>35</v>
      </c>
      <c r="X1354" s="2" t="s">
        <v>35</v>
      </c>
      <c r="Y1354" s="2" t="s">
        <v>35</v>
      </c>
      <c r="Z1354" s="2" t="s">
        <v>35</v>
      </c>
    </row>
    <row r="1355" spans="1:26" x14ac:dyDescent="0.2">
      <c r="A1355" s="2" t="s">
        <v>3384</v>
      </c>
      <c r="B1355" s="2" t="b">
        <v>0</v>
      </c>
      <c r="C1355" s="2" t="b">
        <v>0</v>
      </c>
      <c r="D1355" s="2" t="b">
        <v>0</v>
      </c>
      <c r="E1355" s="2" t="b">
        <v>0</v>
      </c>
      <c r="F1355" s="2" t="s">
        <v>31</v>
      </c>
      <c r="G1355" s="2" t="s">
        <v>3385</v>
      </c>
      <c r="H1355" s="2" t="s">
        <v>3386</v>
      </c>
      <c r="I1355" s="2" t="s">
        <v>1124</v>
      </c>
      <c r="J1355" s="2" t="s">
        <v>35</v>
      </c>
      <c r="K1355" s="2" t="s">
        <v>35</v>
      </c>
      <c r="L1355" s="2" t="s">
        <v>35</v>
      </c>
      <c r="M1355" s="2" t="s">
        <v>35</v>
      </c>
      <c r="N1355" s="3">
        <v>44764.425166805559</v>
      </c>
      <c r="O1355" s="3">
        <v>44764.425446134257</v>
      </c>
      <c r="P1355" s="2">
        <v>0</v>
      </c>
      <c r="Q1355" s="2" t="s">
        <v>416</v>
      </c>
      <c r="R1355" s="2" t="s">
        <v>38</v>
      </c>
      <c r="S1355" s="2" t="s">
        <v>35</v>
      </c>
      <c r="T1355" s="2">
        <v>0</v>
      </c>
      <c r="U1355" s="2" t="s">
        <v>3387</v>
      </c>
      <c r="V1355" s="2" t="b">
        <v>0</v>
      </c>
      <c r="W1355" s="2" t="s">
        <v>35</v>
      </c>
      <c r="X1355" s="2" t="s">
        <v>35</v>
      </c>
      <c r="Y1355" s="2" t="s">
        <v>35</v>
      </c>
      <c r="Z1355" s="2" t="s">
        <v>35</v>
      </c>
    </row>
    <row r="1356" spans="1:26" x14ac:dyDescent="0.2">
      <c r="A1356" s="2" t="s">
        <v>3388</v>
      </c>
      <c r="B1356" s="2" t="b">
        <v>0</v>
      </c>
      <c r="C1356" s="2" t="b">
        <v>0</v>
      </c>
      <c r="D1356" s="2" t="b">
        <v>0</v>
      </c>
      <c r="E1356" s="2" t="b">
        <v>0</v>
      </c>
      <c r="F1356" s="2" t="s">
        <v>31</v>
      </c>
      <c r="G1356" s="2" t="s">
        <v>3389</v>
      </c>
      <c r="H1356" s="2" t="s">
        <v>3390</v>
      </c>
      <c r="I1356" s="2" t="s">
        <v>35</v>
      </c>
      <c r="J1356" s="2" t="s">
        <v>35</v>
      </c>
      <c r="K1356" s="2" t="s">
        <v>35</v>
      </c>
      <c r="L1356" s="2" t="s">
        <v>35</v>
      </c>
      <c r="M1356" s="2" t="s">
        <v>35</v>
      </c>
      <c r="N1356" s="3">
        <v>44764.427073252315</v>
      </c>
      <c r="O1356" s="3">
        <v>44764.427180682869</v>
      </c>
      <c r="P1356" s="2">
        <v>0</v>
      </c>
      <c r="Q1356" s="2" t="s">
        <v>36</v>
      </c>
      <c r="R1356" s="2" t="s">
        <v>38</v>
      </c>
      <c r="S1356" s="2" t="s">
        <v>35</v>
      </c>
      <c r="T1356" s="2" t="s">
        <v>35</v>
      </c>
      <c r="U1356" s="2" t="s">
        <v>35</v>
      </c>
      <c r="V1356" s="2" t="b">
        <v>0</v>
      </c>
      <c r="W1356" s="2" t="s">
        <v>35</v>
      </c>
      <c r="X1356" s="2" t="s">
        <v>35</v>
      </c>
      <c r="Y1356" s="2" t="s">
        <v>35</v>
      </c>
      <c r="Z1356" s="2">
        <v>2</v>
      </c>
    </row>
    <row r="1357" spans="1:26" x14ac:dyDescent="0.2">
      <c r="A1357" s="2" t="s">
        <v>3391</v>
      </c>
      <c r="B1357" s="2" t="b">
        <v>0</v>
      </c>
      <c r="C1357" s="2" t="b">
        <v>0</v>
      </c>
      <c r="D1357" s="2" t="b">
        <v>0</v>
      </c>
      <c r="E1357" s="2" t="b">
        <v>0</v>
      </c>
      <c r="F1357" s="2" t="s">
        <v>31</v>
      </c>
      <c r="G1357" s="2" t="s">
        <v>3392</v>
      </c>
      <c r="H1357" s="2" t="s">
        <v>3393</v>
      </c>
      <c r="I1357" s="2" t="s">
        <v>35</v>
      </c>
      <c r="J1357" s="2" t="s">
        <v>35</v>
      </c>
      <c r="K1357" s="2">
        <v>4</v>
      </c>
      <c r="L1357" s="2" t="s">
        <v>35</v>
      </c>
      <c r="M1357" s="2" t="s">
        <v>35</v>
      </c>
      <c r="N1357" s="3">
        <v>44764.42969921296</v>
      </c>
      <c r="O1357" s="3">
        <v>44764.431942222225</v>
      </c>
      <c r="P1357" s="2">
        <v>0</v>
      </c>
      <c r="Q1357" s="2" t="s">
        <v>265</v>
      </c>
      <c r="R1357" s="2" t="s">
        <v>38</v>
      </c>
      <c r="S1357" s="2" t="s">
        <v>35</v>
      </c>
      <c r="T1357" s="2" t="s">
        <v>35</v>
      </c>
      <c r="U1357" s="2" t="s">
        <v>35</v>
      </c>
      <c r="V1357" s="2" t="b">
        <v>0</v>
      </c>
      <c r="W1357" s="2" t="s">
        <v>35</v>
      </c>
      <c r="X1357" s="2" t="s">
        <v>35</v>
      </c>
      <c r="Y1357" s="2" t="s">
        <v>35</v>
      </c>
      <c r="Z1357" s="2" t="s">
        <v>35</v>
      </c>
    </row>
    <row r="1358" spans="1:26" x14ac:dyDescent="0.2">
      <c r="A1358" s="2" t="s">
        <v>3394</v>
      </c>
      <c r="B1358" s="2" t="b">
        <v>0</v>
      </c>
      <c r="C1358" s="2" t="b">
        <v>0</v>
      </c>
      <c r="D1358" s="2" t="b">
        <v>0</v>
      </c>
      <c r="E1358" s="2" t="b">
        <v>0</v>
      </c>
      <c r="F1358" s="2" t="s">
        <v>31</v>
      </c>
      <c r="G1358" s="2" t="s">
        <v>3395</v>
      </c>
      <c r="H1358" s="2" t="s">
        <v>3396</v>
      </c>
      <c r="I1358" s="2" t="s">
        <v>35</v>
      </c>
      <c r="J1358" s="2" t="s">
        <v>35</v>
      </c>
      <c r="K1358" s="2" t="s">
        <v>35</v>
      </c>
      <c r="L1358" s="2">
        <v>27</v>
      </c>
      <c r="M1358" s="2">
        <v>15</v>
      </c>
      <c r="N1358" s="3">
        <v>44764.43202015046</v>
      </c>
      <c r="O1358" s="3">
        <v>44764.432399328703</v>
      </c>
      <c r="P1358" s="2">
        <v>0</v>
      </c>
      <c r="Q1358" s="2" t="s">
        <v>54</v>
      </c>
      <c r="R1358" s="2" t="s">
        <v>38</v>
      </c>
      <c r="S1358" s="2" t="s">
        <v>35</v>
      </c>
      <c r="T1358" s="2" t="s">
        <v>35</v>
      </c>
      <c r="U1358" s="2" t="s">
        <v>35</v>
      </c>
      <c r="V1358" s="2" t="b">
        <v>0</v>
      </c>
      <c r="W1358" s="2" t="s">
        <v>35</v>
      </c>
      <c r="X1358" s="2" t="s">
        <v>35</v>
      </c>
      <c r="Y1358" s="2" t="s">
        <v>35</v>
      </c>
      <c r="Z1358" s="2" t="s">
        <v>35</v>
      </c>
    </row>
    <row r="1359" spans="1:26" x14ac:dyDescent="0.2">
      <c r="A1359" s="2" t="s">
        <v>3397</v>
      </c>
      <c r="B1359" s="2" t="b">
        <v>0</v>
      </c>
      <c r="C1359" s="2" t="b">
        <v>0</v>
      </c>
      <c r="D1359" s="2" t="b">
        <v>0</v>
      </c>
      <c r="E1359" s="2" t="b">
        <v>0</v>
      </c>
      <c r="F1359" s="2" t="s">
        <v>31</v>
      </c>
      <c r="G1359" s="2" t="s">
        <v>3398</v>
      </c>
      <c r="H1359" s="2" t="s">
        <v>3399</v>
      </c>
      <c r="I1359" s="2" t="s">
        <v>1711</v>
      </c>
      <c r="J1359" s="2" t="s">
        <v>35</v>
      </c>
      <c r="K1359" s="2" t="s">
        <v>35</v>
      </c>
      <c r="L1359" s="2" t="s">
        <v>35</v>
      </c>
      <c r="M1359" s="2" t="s">
        <v>35</v>
      </c>
      <c r="N1359" s="3">
        <v>44764.43243763889</v>
      </c>
      <c r="O1359" s="3">
        <v>44764.432662870371</v>
      </c>
      <c r="P1359" s="2">
        <v>0</v>
      </c>
      <c r="Q1359" s="2" t="s">
        <v>54</v>
      </c>
      <c r="R1359" s="2" t="s">
        <v>38</v>
      </c>
      <c r="S1359" s="2" t="s">
        <v>35</v>
      </c>
      <c r="T1359" s="2" t="s">
        <v>35</v>
      </c>
      <c r="U1359" s="2" t="s">
        <v>35</v>
      </c>
      <c r="V1359" s="2" t="b">
        <v>0</v>
      </c>
      <c r="W1359" s="2" t="s">
        <v>35</v>
      </c>
      <c r="X1359" s="2" t="s">
        <v>35</v>
      </c>
      <c r="Y1359" s="2" t="s">
        <v>35</v>
      </c>
      <c r="Z1359" s="2" t="s">
        <v>35</v>
      </c>
    </row>
    <row r="1360" spans="1:26" x14ac:dyDescent="0.2">
      <c r="A1360" s="2" t="s">
        <v>3400</v>
      </c>
      <c r="B1360" s="2" t="b">
        <v>0</v>
      </c>
      <c r="C1360" s="2" t="b">
        <v>0</v>
      </c>
      <c r="D1360" s="2" t="b">
        <v>0</v>
      </c>
      <c r="E1360" s="2" t="b">
        <v>0</v>
      </c>
      <c r="F1360" s="2" t="s">
        <v>31</v>
      </c>
      <c r="G1360" s="2" t="s">
        <v>3401</v>
      </c>
      <c r="H1360" s="2" t="s">
        <v>3402</v>
      </c>
      <c r="I1360" s="2" t="s">
        <v>35</v>
      </c>
      <c r="J1360" s="2" t="s">
        <v>35</v>
      </c>
      <c r="K1360" s="2" t="s">
        <v>35</v>
      </c>
      <c r="L1360" s="2" t="s">
        <v>35</v>
      </c>
      <c r="M1360" s="2" t="s">
        <v>35</v>
      </c>
      <c r="N1360" s="3">
        <v>44764.433221944448</v>
      </c>
      <c r="O1360" s="3">
        <v>44764.433351828702</v>
      </c>
      <c r="P1360" s="2">
        <v>0</v>
      </c>
      <c r="Q1360" s="2" t="s">
        <v>36</v>
      </c>
      <c r="R1360" s="2" t="s">
        <v>38</v>
      </c>
      <c r="S1360" s="2" t="s">
        <v>35</v>
      </c>
      <c r="T1360" s="2" t="s">
        <v>35</v>
      </c>
      <c r="U1360" s="2" t="s">
        <v>35</v>
      </c>
      <c r="V1360" s="2" t="b">
        <v>0</v>
      </c>
      <c r="W1360" s="2" t="s">
        <v>35</v>
      </c>
      <c r="X1360" s="2" t="s">
        <v>35</v>
      </c>
      <c r="Y1360" s="2" t="s">
        <v>35</v>
      </c>
      <c r="Z1360" s="2">
        <v>4</v>
      </c>
    </row>
    <row r="1361" spans="1:26" x14ac:dyDescent="0.2">
      <c r="A1361" s="2" t="s">
        <v>3403</v>
      </c>
      <c r="B1361" s="2" t="b">
        <v>0</v>
      </c>
      <c r="C1361" s="2" t="b">
        <v>0</v>
      </c>
      <c r="D1361" s="2" t="b">
        <v>0</v>
      </c>
      <c r="E1361" s="2" t="b">
        <v>0</v>
      </c>
      <c r="F1361" s="2" t="s">
        <v>31</v>
      </c>
      <c r="G1361" s="2" t="s">
        <v>3404</v>
      </c>
      <c r="H1361" s="2" t="s">
        <v>3405</v>
      </c>
      <c r="I1361" s="2" t="s">
        <v>675</v>
      </c>
      <c r="J1361" s="2" t="s">
        <v>35</v>
      </c>
      <c r="K1361" s="2" t="s">
        <v>35</v>
      </c>
      <c r="L1361" s="2" t="s">
        <v>35</v>
      </c>
      <c r="M1361" s="2" t="s">
        <v>35</v>
      </c>
      <c r="N1361" s="3">
        <v>44764.433464872687</v>
      </c>
      <c r="O1361" s="3">
        <v>44764.433713680555</v>
      </c>
      <c r="P1361" s="2">
        <v>0</v>
      </c>
      <c r="Q1361" s="2" t="s">
        <v>124</v>
      </c>
      <c r="R1361" s="2" t="s">
        <v>38</v>
      </c>
      <c r="S1361" s="2" t="s">
        <v>35</v>
      </c>
      <c r="T1361" s="2" t="s">
        <v>35</v>
      </c>
      <c r="U1361" s="2" t="s">
        <v>35</v>
      </c>
      <c r="V1361" s="2" t="b">
        <v>0</v>
      </c>
      <c r="W1361" s="2" t="s">
        <v>35</v>
      </c>
      <c r="X1361" s="2">
        <v>4</v>
      </c>
      <c r="Y1361" s="2" t="s">
        <v>35</v>
      </c>
      <c r="Z1361" s="2" t="s">
        <v>35</v>
      </c>
    </row>
    <row r="1362" spans="1:26" x14ac:dyDescent="0.2">
      <c r="A1362" s="2" t="s">
        <v>3406</v>
      </c>
      <c r="B1362" s="2" t="b">
        <v>0</v>
      </c>
      <c r="C1362" s="2" t="b">
        <v>0</v>
      </c>
      <c r="D1362" s="2" t="b">
        <v>0</v>
      </c>
      <c r="E1362" s="2" t="b">
        <v>0</v>
      </c>
      <c r="F1362" s="2" t="s">
        <v>31</v>
      </c>
      <c r="G1362" s="2" t="s">
        <v>3407</v>
      </c>
      <c r="H1362" s="2" t="s">
        <v>3408</v>
      </c>
      <c r="I1362" s="2" t="s">
        <v>675</v>
      </c>
      <c r="J1362" s="2" t="s">
        <v>35</v>
      </c>
      <c r="K1362" s="2" t="s">
        <v>35</v>
      </c>
      <c r="L1362" s="2" t="s">
        <v>35</v>
      </c>
      <c r="M1362" s="2" t="s">
        <v>35</v>
      </c>
      <c r="N1362" s="3">
        <v>44764.434323553243</v>
      </c>
      <c r="O1362" s="3">
        <v>44764.434670300929</v>
      </c>
      <c r="P1362" s="2">
        <v>0</v>
      </c>
      <c r="Q1362" s="2" t="s">
        <v>124</v>
      </c>
      <c r="R1362" s="2" t="s">
        <v>38</v>
      </c>
      <c r="S1362" s="2" t="s">
        <v>35</v>
      </c>
      <c r="T1362" s="2" t="s">
        <v>35</v>
      </c>
      <c r="U1362" s="2" t="s">
        <v>35</v>
      </c>
      <c r="V1362" s="2" t="b">
        <v>0</v>
      </c>
      <c r="W1362" s="2" t="s">
        <v>35</v>
      </c>
      <c r="X1362" s="2">
        <v>4</v>
      </c>
      <c r="Y1362" s="2" t="s">
        <v>35</v>
      </c>
      <c r="Z1362" s="2" t="s">
        <v>35</v>
      </c>
    </row>
    <row r="1363" spans="1:26" x14ac:dyDescent="0.2">
      <c r="A1363" s="2" t="s">
        <v>3409</v>
      </c>
      <c r="B1363" s="2" t="b">
        <v>0</v>
      </c>
      <c r="C1363" s="2" t="b">
        <v>0</v>
      </c>
      <c r="D1363" s="2" t="b">
        <v>0</v>
      </c>
      <c r="E1363" s="2" t="b">
        <v>0</v>
      </c>
      <c r="F1363" s="2" t="s">
        <v>31</v>
      </c>
      <c r="G1363" s="2" t="s">
        <v>3410</v>
      </c>
      <c r="H1363" s="2" t="s">
        <v>3411</v>
      </c>
      <c r="I1363" s="2" t="s">
        <v>675</v>
      </c>
      <c r="J1363" s="2" t="s">
        <v>35</v>
      </c>
      <c r="K1363" s="2" t="s">
        <v>35</v>
      </c>
      <c r="L1363" s="2" t="s">
        <v>35</v>
      </c>
      <c r="M1363" s="2" t="s">
        <v>35</v>
      </c>
      <c r="N1363" s="3">
        <v>44764.434855937499</v>
      </c>
      <c r="O1363" s="3">
        <v>44764.434992708331</v>
      </c>
      <c r="P1363" s="2">
        <v>0</v>
      </c>
      <c r="Q1363" s="2" t="s">
        <v>124</v>
      </c>
      <c r="R1363" s="2" t="s">
        <v>38</v>
      </c>
      <c r="S1363" s="2" t="s">
        <v>35</v>
      </c>
      <c r="T1363" s="2" t="s">
        <v>35</v>
      </c>
      <c r="U1363" s="2" t="s">
        <v>35</v>
      </c>
      <c r="V1363" s="2" t="b">
        <v>0</v>
      </c>
      <c r="W1363" s="2" t="s">
        <v>35</v>
      </c>
      <c r="X1363" s="2">
        <v>4</v>
      </c>
      <c r="Y1363" s="2" t="s">
        <v>35</v>
      </c>
      <c r="Z1363" s="2" t="s">
        <v>35</v>
      </c>
    </row>
    <row r="1364" spans="1:26" x14ac:dyDescent="0.2">
      <c r="A1364" s="2" t="s">
        <v>3412</v>
      </c>
      <c r="B1364" s="2" t="b">
        <v>0</v>
      </c>
      <c r="C1364" s="2" t="b">
        <v>0</v>
      </c>
      <c r="D1364" s="2" t="b">
        <v>0</v>
      </c>
      <c r="E1364" s="2" t="b">
        <v>0</v>
      </c>
      <c r="F1364" s="2" t="s">
        <v>31</v>
      </c>
      <c r="G1364" s="2" t="s">
        <v>3413</v>
      </c>
      <c r="H1364" s="2" t="s">
        <v>3414</v>
      </c>
      <c r="I1364" s="2" t="s">
        <v>35</v>
      </c>
      <c r="J1364" s="2" t="s">
        <v>35</v>
      </c>
      <c r="K1364" s="2" t="s">
        <v>35</v>
      </c>
      <c r="L1364" s="2" t="s">
        <v>35</v>
      </c>
      <c r="M1364" s="2" t="s">
        <v>35</v>
      </c>
      <c r="N1364" s="3">
        <v>44764.435166539355</v>
      </c>
      <c r="O1364" s="3">
        <v>44764.435264652777</v>
      </c>
      <c r="P1364" s="2">
        <v>0</v>
      </c>
      <c r="Q1364" s="2" t="s">
        <v>36</v>
      </c>
      <c r="R1364" s="2" t="s">
        <v>38</v>
      </c>
      <c r="S1364" s="2" t="s">
        <v>35</v>
      </c>
      <c r="T1364" s="2" t="s">
        <v>35</v>
      </c>
      <c r="U1364" s="2" t="s">
        <v>35</v>
      </c>
      <c r="V1364" s="2" t="b">
        <v>0</v>
      </c>
      <c r="W1364" s="2" t="s">
        <v>35</v>
      </c>
      <c r="X1364" s="2" t="s">
        <v>35</v>
      </c>
      <c r="Y1364" s="2" t="s">
        <v>35</v>
      </c>
      <c r="Z1364" s="2">
        <v>3</v>
      </c>
    </row>
    <row r="1365" spans="1:26" x14ac:dyDescent="0.2">
      <c r="A1365" s="2" t="s">
        <v>3415</v>
      </c>
      <c r="B1365" s="2" t="b">
        <v>0</v>
      </c>
      <c r="C1365" s="2" t="b">
        <v>0</v>
      </c>
      <c r="D1365" s="2" t="b">
        <v>0</v>
      </c>
      <c r="E1365" s="2" t="b">
        <v>0</v>
      </c>
      <c r="F1365" s="2" t="s">
        <v>31</v>
      </c>
      <c r="G1365" s="2" t="s">
        <v>3416</v>
      </c>
      <c r="H1365" s="2" t="s">
        <v>3417</v>
      </c>
      <c r="I1365" s="2" t="s">
        <v>675</v>
      </c>
      <c r="J1365" s="2" t="s">
        <v>35</v>
      </c>
      <c r="K1365" s="2" t="s">
        <v>35</v>
      </c>
      <c r="L1365" s="2" t="s">
        <v>35</v>
      </c>
      <c r="M1365" s="2" t="s">
        <v>35</v>
      </c>
      <c r="N1365" s="3">
        <v>44764.435381041665</v>
      </c>
      <c r="O1365" s="3">
        <v>44764.435554224539</v>
      </c>
      <c r="P1365" s="2">
        <v>0</v>
      </c>
      <c r="Q1365" s="2" t="s">
        <v>124</v>
      </c>
      <c r="R1365" s="2" t="s">
        <v>38</v>
      </c>
      <c r="S1365" s="2" t="s">
        <v>35</v>
      </c>
      <c r="T1365" s="2" t="s">
        <v>35</v>
      </c>
      <c r="U1365" s="2" t="s">
        <v>35</v>
      </c>
      <c r="V1365" s="2" t="b">
        <v>0</v>
      </c>
      <c r="W1365" s="2" t="s">
        <v>35</v>
      </c>
      <c r="X1365" s="2">
        <v>4</v>
      </c>
      <c r="Y1365" s="2" t="s">
        <v>35</v>
      </c>
      <c r="Z1365" s="2" t="s">
        <v>35</v>
      </c>
    </row>
    <row r="1366" spans="1:26" x14ac:dyDescent="0.2">
      <c r="A1366" s="2" t="s">
        <v>3418</v>
      </c>
      <c r="B1366" s="2" t="b">
        <v>0</v>
      </c>
      <c r="C1366" s="2" t="b">
        <v>0</v>
      </c>
      <c r="D1366" s="2" t="b">
        <v>0</v>
      </c>
      <c r="E1366" s="2" t="b">
        <v>0</v>
      </c>
      <c r="F1366" s="2" t="s">
        <v>31</v>
      </c>
      <c r="G1366" s="2" t="s">
        <v>3419</v>
      </c>
      <c r="H1366" s="2" t="s">
        <v>3420</v>
      </c>
      <c r="I1366" s="2" t="s">
        <v>675</v>
      </c>
      <c r="J1366" s="2" t="s">
        <v>35</v>
      </c>
      <c r="K1366" s="2" t="s">
        <v>35</v>
      </c>
      <c r="L1366" s="2" t="s">
        <v>35</v>
      </c>
      <c r="M1366" s="2" t="s">
        <v>35</v>
      </c>
      <c r="N1366" s="3">
        <v>44764.435600937497</v>
      </c>
      <c r="O1366" s="3">
        <v>44764.435831770832</v>
      </c>
      <c r="P1366" s="2">
        <v>0</v>
      </c>
      <c r="Q1366" s="2" t="s">
        <v>124</v>
      </c>
      <c r="R1366" s="2" t="s">
        <v>38</v>
      </c>
      <c r="S1366" s="2" t="s">
        <v>35</v>
      </c>
      <c r="T1366" s="2" t="s">
        <v>35</v>
      </c>
      <c r="U1366" s="2" t="s">
        <v>35</v>
      </c>
      <c r="V1366" s="2" t="b">
        <v>0</v>
      </c>
      <c r="W1366" s="2" t="s">
        <v>35</v>
      </c>
      <c r="X1366" s="2">
        <v>4</v>
      </c>
      <c r="Y1366" s="2" t="s">
        <v>35</v>
      </c>
      <c r="Z1366" s="2" t="s">
        <v>35</v>
      </c>
    </row>
    <row r="1367" spans="1:26" x14ac:dyDescent="0.2">
      <c r="A1367" s="2" t="s">
        <v>3421</v>
      </c>
      <c r="B1367" s="2" t="b">
        <v>0</v>
      </c>
      <c r="C1367" s="2" t="b">
        <v>0</v>
      </c>
      <c r="D1367" s="2" t="b">
        <v>0</v>
      </c>
      <c r="E1367" s="2" t="b">
        <v>0</v>
      </c>
      <c r="F1367" s="2" t="s">
        <v>31</v>
      </c>
      <c r="G1367" s="2" t="s">
        <v>3422</v>
      </c>
      <c r="H1367" s="2" t="s">
        <v>3423</v>
      </c>
      <c r="I1367" s="2" t="s">
        <v>35</v>
      </c>
      <c r="J1367" s="2" t="s">
        <v>35</v>
      </c>
      <c r="K1367" s="2" t="s">
        <v>35</v>
      </c>
      <c r="L1367" s="2" t="s">
        <v>35</v>
      </c>
      <c r="M1367" s="2" t="s">
        <v>35</v>
      </c>
      <c r="N1367" s="3">
        <v>44764.43653230324</v>
      </c>
      <c r="O1367" s="3">
        <v>44764.436640532411</v>
      </c>
      <c r="P1367" s="2">
        <v>0</v>
      </c>
      <c r="Q1367" s="2" t="s">
        <v>36</v>
      </c>
      <c r="R1367" s="2" t="s">
        <v>38</v>
      </c>
      <c r="S1367" s="2" t="s">
        <v>35</v>
      </c>
      <c r="T1367" s="2" t="s">
        <v>35</v>
      </c>
      <c r="U1367" s="2" t="s">
        <v>35</v>
      </c>
      <c r="V1367" s="2" t="b">
        <v>0</v>
      </c>
      <c r="W1367" s="2" t="s">
        <v>35</v>
      </c>
      <c r="X1367" s="2" t="s">
        <v>35</v>
      </c>
      <c r="Y1367" s="2" t="s">
        <v>35</v>
      </c>
      <c r="Z1367" s="2">
        <v>2</v>
      </c>
    </row>
    <row r="1368" spans="1:26" x14ac:dyDescent="0.2">
      <c r="A1368" s="2" t="s">
        <v>3424</v>
      </c>
      <c r="B1368" s="2" t="b">
        <v>0</v>
      </c>
      <c r="C1368" s="2" t="b">
        <v>0</v>
      </c>
      <c r="D1368" s="2" t="b">
        <v>0</v>
      </c>
      <c r="E1368" s="2" t="b">
        <v>0</v>
      </c>
      <c r="F1368" s="2" t="s">
        <v>31</v>
      </c>
      <c r="G1368" s="2" t="s">
        <v>3425</v>
      </c>
      <c r="H1368" s="2" t="s">
        <v>3426</v>
      </c>
      <c r="I1368" s="2" t="s">
        <v>675</v>
      </c>
      <c r="J1368" s="2" t="s">
        <v>35</v>
      </c>
      <c r="K1368" s="2" t="s">
        <v>35</v>
      </c>
      <c r="L1368" s="2" t="s">
        <v>35</v>
      </c>
      <c r="M1368" s="2" t="s">
        <v>35</v>
      </c>
      <c r="N1368" s="3">
        <v>44764.439885185187</v>
      </c>
      <c r="O1368" s="3">
        <v>44764.440036377317</v>
      </c>
      <c r="P1368" s="2">
        <v>0</v>
      </c>
      <c r="Q1368" s="2" t="s">
        <v>124</v>
      </c>
      <c r="R1368" s="2" t="s">
        <v>38</v>
      </c>
      <c r="S1368" s="2" t="s">
        <v>35</v>
      </c>
      <c r="T1368" s="2" t="s">
        <v>35</v>
      </c>
      <c r="U1368" s="2" t="s">
        <v>35</v>
      </c>
      <c r="V1368" s="2" t="b">
        <v>0</v>
      </c>
      <c r="W1368" s="2" t="s">
        <v>35</v>
      </c>
      <c r="X1368" s="2">
        <v>4</v>
      </c>
      <c r="Y1368" s="2" t="s">
        <v>35</v>
      </c>
      <c r="Z1368" s="2" t="s">
        <v>35</v>
      </c>
    </row>
    <row r="1369" spans="1:26" x14ac:dyDescent="0.2">
      <c r="A1369" s="2" t="s">
        <v>3427</v>
      </c>
      <c r="B1369" s="2" t="b">
        <v>0</v>
      </c>
      <c r="C1369" s="2" t="b">
        <v>0</v>
      </c>
      <c r="D1369" s="2" t="b">
        <v>0</v>
      </c>
      <c r="E1369" s="2" t="b">
        <v>0</v>
      </c>
      <c r="F1369" s="2" t="s">
        <v>31</v>
      </c>
      <c r="G1369" s="2" t="s">
        <v>3428</v>
      </c>
      <c r="H1369" s="2" t="s">
        <v>3429</v>
      </c>
      <c r="I1369" s="2" t="s">
        <v>1124</v>
      </c>
      <c r="J1369" s="2" t="s">
        <v>35</v>
      </c>
      <c r="K1369" s="2" t="s">
        <v>35</v>
      </c>
      <c r="L1369" s="2" t="s">
        <v>35</v>
      </c>
      <c r="M1369" s="2" t="s">
        <v>35</v>
      </c>
      <c r="N1369" s="3">
        <v>44764.440139664352</v>
      </c>
      <c r="O1369" s="3">
        <v>44764.44046460648</v>
      </c>
      <c r="P1369" s="2">
        <v>0</v>
      </c>
      <c r="Q1369" s="2" t="s">
        <v>416</v>
      </c>
      <c r="R1369" s="2" t="s">
        <v>38</v>
      </c>
      <c r="S1369" s="2" t="s">
        <v>35</v>
      </c>
      <c r="T1369" s="2">
        <v>0</v>
      </c>
      <c r="U1369" s="2" t="s">
        <v>3387</v>
      </c>
      <c r="V1369" s="2" t="b">
        <v>0</v>
      </c>
      <c r="W1369" s="2" t="s">
        <v>35</v>
      </c>
      <c r="X1369" s="2" t="s">
        <v>35</v>
      </c>
      <c r="Y1369" s="2" t="s">
        <v>35</v>
      </c>
      <c r="Z1369" s="2" t="s">
        <v>35</v>
      </c>
    </row>
    <row r="1370" spans="1:26" x14ac:dyDescent="0.2">
      <c r="A1370" s="2" t="s">
        <v>3430</v>
      </c>
      <c r="B1370" s="2" t="b">
        <v>0</v>
      </c>
      <c r="C1370" s="2" t="b">
        <v>0</v>
      </c>
      <c r="D1370" s="2" t="b">
        <v>0</v>
      </c>
      <c r="E1370" s="2" t="b">
        <v>0</v>
      </c>
      <c r="F1370" s="2" t="s">
        <v>31</v>
      </c>
      <c r="G1370" s="2" t="s">
        <v>3431</v>
      </c>
      <c r="H1370" s="2" t="s">
        <v>3432</v>
      </c>
      <c r="I1370" s="2" t="s">
        <v>35</v>
      </c>
      <c r="J1370" s="2" t="s">
        <v>35</v>
      </c>
      <c r="K1370" s="2" t="s">
        <v>35</v>
      </c>
      <c r="L1370" s="2" t="s">
        <v>35</v>
      </c>
      <c r="M1370" s="2" t="s">
        <v>35</v>
      </c>
      <c r="N1370" s="3">
        <v>44764.441441122683</v>
      </c>
      <c r="O1370" s="3">
        <v>44764.441539004627</v>
      </c>
      <c r="P1370" s="2">
        <v>0</v>
      </c>
      <c r="Q1370" s="2" t="s">
        <v>36</v>
      </c>
      <c r="R1370" s="2" t="s">
        <v>38</v>
      </c>
      <c r="S1370" s="2" t="s">
        <v>35</v>
      </c>
      <c r="T1370" s="2" t="s">
        <v>35</v>
      </c>
      <c r="U1370" s="2" t="s">
        <v>35</v>
      </c>
      <c r="V1370" s="2" t="b">
        <v>0</v>
      </c>
      <c r="W1370" s="2" t="s">
        <v>35</v>
      </c>
      <c r="X1370" s="2" t="s">
        <v>35</v>
      </c>
      <c r="Y1370" s="2" t="s">
        <v>35</v>
      </c>
      <c r="Z1370" s="2">
        <v>2</v>
      </c>
    </row>
    <row r="1371" spans="1:26" x14ac:dyDescent="0.2">
      <c r="A1371" s="2" t="s">
        <v>3433</v>
      </c>
      <c r="B1371" s="2" t="b">
        <v>0</v>
      </c>
      <c r="C1371" s="2" t="b">
        <v>0</v>
      </c>
      <c r="D1371" s="2" t="b">
        <v>0</v>
      </c>
      <c r="E1371" s="2" t="b">
        <v>0</v>
      </c>
      <c r="F1371" s="2" t="s">
        <v>31</v>
      </c>
      <c r="G1371" s="2" t="s">
        <v>3434</v>
      </c>
      <c r="H1371" s="2" t="s">
        <v>3435</v>
      </c>
      <c r="I1371" s="2" t="s">
        <v>35</v>
      </c>
      <c r="J1371" s="2" t="s">
        <v>35</v>
      </c>
      <c r="K1371" s="2" t="s">
        <v>35</v>
      </c>
      <c r="L1371" s="2" t="s">
        <v>35</v>
      </c>
      <c r="M1371" s="2" t="s">
        <v>35</v>
      </c>
      <c r="N1371" s="3">
        <v>44764.442885879631</v>
      </c>
      <c r="O1371" s="3">
        <v>44764.443001377316</v>
      </c>
      <c r="P1371" s="2">
        <v>0</v>
      </c>
      <c r="Q1371" s="2" t="s">
        <v>36</v>
      </c>
      <c r="R1371" s="2" t="s">
        <v>38</v>
      </c>
      <c r="S1371" s="2" t="s">
        <v>35</v>
      </c>
      <c r="T1371" s="2" t="s">
        <v>35</v>
      </c>
      <c r="U1371" s="2" t="s">
        <v>35</v>
      </c>
      <c r="V1371" s="2" t="b">
        <v>0</v>
      </c>
      <c r="W1371" s="2" t="s">
        <v>35</v>
      </c>
      <c r="X1371" s="2" t="s">
        <v>35</v>
      </c>
      <c r="Y1371" s="2" t="s">
        <v>35</v>
      </c>
      <c r="Z1371" s="2">
        <v>2</v>
      </c>
    </row>
    <row r="1372" spans="1:26" x14ac:dyDescent="0.2">
      <c r="A1372" s="2" t="s">
        <v>3436</v>
      </c>
      <c r="B1372" s="2" t="b">
        <v>0</v>
      </c>
      <c r="C1372" s="2" t="b">
        <v>0</v>
      </c>
      <c r="D1372" s="2" t="b">
        <v>0</v>
      </c>
      <c r="E1372" s="2" t="b">
        <v>0</v>
      </c>
      <c r="F1372" s="2" t="s">
        <v>31</v>
      </c>
      <c r="G1372" s="2" t="s">
        <v>3437</v>
      </c>
      <c r="H1372" s="2" t="s">
        <v>3438</v>
      </c>
      <c r="I1372" s="2" t="s">
        <v>35</v>
      </c>
      <c r="J1372" s="2" t="s">
        <v>35</v>
      </c>
      <c r="K1372" s="2">
        <v>11</v>
      </c>
      <c r="L1372" s="2" t="s">
        <v>35</v>
      </c>
      <c r="M1372" s="2" t="s">
        <v>35</v>
      </c>
      <c r="N1372" s="3">
        <v>44764.443183194446</v>
      </c>
      <c r="O1372" s="3">
        <v>44764.443481585651</v>
      </c>
      <c r="P1372" s="2">
        <v>0</v>
      </c>
      <c r="Q1372" s="2" t="s">
        <v>265</v>
      </c>
      <c r="R1372" s="2" t="s">
        <v>38</v>
      </c>
      <c r="S1372" s="2" t="s">
        <v>35</v>
      </c>
      <c r="T1372" s="2" t="s">
        <v>35</v>
      </c>
      <c r="U1372" s="2" t="s">
        <v>35</v>
      </c>
      <c r="V1372" s="2" t="b">
        <v>0</v>
      </c>
      <c r="W1372" s="2" t="s">
        <v>35</v>
      </c>
      <c r="X1372" s="2" t="s">
        <v>35</v>
      </c>
      <c r="Y1372" s="2" t="s">
        <v>35</v>
      </c>
      <c r="Z1372" s="2" t="s">
        <v>35</v>
      </c>
    </row>
    <row r="1373" spans="1:26" x14ac:dyDescent="0.2">
      <c r="A1373" s="2" t="s">
        <v>3439</v>
      </c>
      <c r="B1373" s="2" t="b">
        <v>0</v>
      </c>
      <c r="C1373" s="2" t="b">
        <v>0</v>
      </c>
      <c r="D1373" s="2" t="b">
        <v>0</v>
      </c>
      <c r="E1373" s="2" t="b">
        <v>0</v>
      </c>
      <c r="F1373" s="2" t="s">
        <v>31</v>
      </c>
      <c r="G1373" s="2" t="s">
        <v>3440</v>
      </c>
      <c r="H1373" s="2" t="s">
        <v>3441</v>
      </c>
      <c r="I1373" s="2" t="s">
        <v>35</v>
      </c>
      <c r="J1373" s="2" t="s">
        <v>35</v>
      </c>
      <c r="K1373" s="2">
        <v>11</v>
      </c>
      <c r="L1373" s="2" t="s">
        <v>35</v>
      </c>
      <c r="M1373" s="2" t="s">
        <v>35</v>
      </c>
      <c r="N1373" s="3">
        <v>44764.443624872685</v>
      </c>
      <c r="O1373" s="3">
        <v>44764.443810509256</v>
      </c>
      <c r="P1373" s="2">
        <v>0</v>
      </c>
      <c r="Q1373" s="2" t="s">
        <v>265</v>
      </c>
      <c r="R1373" s="2" t="s">
        <v>38</v>
      </c>
      <c r="S1373" s="2" t="s">
        <v>35</v>
      </c>
      <c r="T1373" s="2" t="s">
        <v>35</v>
      </c>
      <c r="U1373" s="2" t="s">
        <v>35</v>
      </c>
      <c r="V1373" s="2" t="b">
        <v>0</v>
      </c>
      <c r="W1373" s="2" t="s">
        <v>35</v>
      </c>
      <c r="X1373" s="2" t="s">
        <v>35</v>
      </c>
      <c r="Y1373" s="2" t="s">
        <v>35</v>
      </c>
      <c r="Z1373" s="2" t="s">
        <v>35</v>
      </c>
    </row>
    <row r="1374" spans="1:26" x14ac:dyDescent="0.2">
      <c r="A1374" s="2" t="s">
        <v>3442</v>
      </c>
      <c r="B1374" s="2" t="b">
        <v>0</v>
      </c>
      <c r="C1374" s="2" t="b">
        <v>0</v>
      </c>
      <c r="D1374" s="2" t="b">
        <v>0</v>
      </c>
      <c r="E1374" s="2" t="b">
        <v>0</v>
      </c>
      <c r="F1374" s="2" t="s">
        <v>31</v>
      </c>
      <c r="G1374" s="2" t="s">
        <v>3443</v>
      </c>
      <c r="H1374" s="2" t="s">
        <v>3444</v>
      </c>
      <c r="I1374" s="2" t="s">
        <v>35</v>
      </c>
      <c r="J1374" s="2" t="s">
        <v>35</v>
      </c>
      <c r="K1374" s="2">
        <v>4</v>
      </c>
      <c r="L1374" s="2" t="s">
        <v>35</v>
      </c>
      <c r="M1374" s="2" t="s">
        <v>35</v>
      </c>
      <c r="N1374" s="3">
        <v>44764.44503516204</v>
      </c>
      <c r="O1374" s="3">
        <v>44764.445282719906</v>
      </c>
      <c r="P1374" s="2">
        <v>0</v>
      </c>
      <c r="Q1374" s="2" t="s">
        <v>265</v>
      </c>
      <c r="R1374" s="2" t="s">
        <v>38</v>
      </c>
      <c r="S1374" s="2" t="s">
        <v>35</v>
      </c>
      <c r="T1374" s="2" t="s">
        <v>35</v>
      </c>
      <c r="U1374" s="2" t="s">
        <v>35</v>
      </c>
      <c r="V1374" s="2" t="b">
        <v>0</v>
      </c>
      <c r="W1374" s="2" t="s">
        <v>35</v>
      </c>
      <c r="X1374" s="2" t="s">
        <v>35</v>
      </c>
      <c r="Y1374" s="2" t="s">
        <v>35</v>
      </c>
      <c r="Z1374" s="2" t="s">
        <v>35</v>
      </c>
    </row>
    <row r="1375" spans="1:26" x14ac:dyDescent="0.2">
      <c r="A1375" s="2" t="s">
        <v>3445</v>
      </c>
      <c r="B1375" s="2" t="b">
        <v>0</v>
      </c>
      <c r="C1375" s="2" t="b">
        <v>0</v>
      </c>
      <c r="D1375" s="2" t="b">
        <v>0</v>
      </c>
      <c r="E1375" s="2" t="b">
        <v>0</v>
      </c>
      <c r="F1375" s="2" t="s">
        <v>31</v>
      </c>
      <c r="G1375" s="2" t="s">
        <v>3446</v>
      </c>
      <c r="H1375" s="2" t="s">
        <v>3447</v>
      </c>
      <c r="I1375" s="2" t="s">
        <v>35</v>
      </c>
      <c r="J1375" s="2" t="s">
        <v>35</v>
      </c>
      <c r="K1375" s="2">
        <v>4</v>
      </c>
      <c r="L1375" s="2" t="s">
        <v>35</v>
      </c>
      <c r="M1375" s="2" t="s">
        <v>35</v>
      </c>
      <c r="N1375" s="3">
        <v>44764.445385659725</v>
      </c>
      <c r="O1375" s="3">
        <v>44764.445555092592</v>
      </c>
      <c r="P1375" s="2">
        <v>0</v>
      </c>
      <c r="Q1375" s="2" t="s">
        <v>265</v>
      </c>
      <c r="R1375" s="2" t="s">
        <v>38</v>
      </c>
      <c r="S1375" s="2" t="s">
        <v>35</v>
      </c>
      <c r="T1375" s="2" t="s">
        <v>35</v>
      </c>
      <c r="U1375" s="2" t="s">
        <v>35</v>
      </c>
      <c r="V1375" s="2" t="b">
        <v>0</v>
      </c>
      <c r="W1375" s="2" t="s">
        <v>35</v>
      </c>
      <c r="X1375" s="2" t="s">
        <v>35</v>
      </c>
      <c r="Y1375" s="2" t="s">
        <v>35</v>
      </c>
      <c r="Z1375" s="2" t="s">
        <v>35</v>
      </c>
    </row>
    <row r="1376" spans="1:26" x14ac:dyDescent="0.2">
      <c r="A1376" s="2" t="s">
        <v>3448</v>
      </c>
      <c r="B1376" s="2" t="b">
        <v>0</v>
      </c>
      <c r="C1376" s="2" t="b">
        <v>0</v>
      </c>
      <c r="D1376" s="2" t="b">
        <v>0</v>
      </c>
      <c r="E1376" s="2" t="b">
        <v>0</v>
      </c>
      <c r="F1376" s="2" t="s">
        <v>31</v>
      </c>
      <c r="G1376" s="2" t="s">
        <v>3449</v>
      </c>
      <c r="H1376" s="2" t="s">
        <v>3450</v>
      </c>
      <c r="I1376" s="2" t="s">
        <v>35</v>
      </c>
      <c r="J1376" s="2" t="s">
        <v>35</v>
      </c>
      <c r="K1376" s="2">
        <v>11</v>
      </c>
      <c r="L1376" s="2" t="s">
        <v>35</v>
      </c>
      <c r="M1376" s="2" t="s">
        <v>35</v>
      </c>
      <c r="N1376" s="3">
        <v>44764.44576372685</v>
      </c>
      <c r="O1376" s="3">
        <v>44764.445891261574</v>
      </c>
      <c r="P1376" s="2">
        <v>0</v>
      </c>
      <c r="Q1376" s="2" t="s">
        <v>265</v>
      </c>
      <c r="R1376" s="2" t="s">
        <v>38</v>
      </c>
      <c r="S1376" s="2" t="s">
        <v>35</v>
      </c>
      <c r="T1376" s="2" t="s">
        <v>35</v>
      </c>
      <c r="U1376" s="2" t="s">
        <v>35</v>
      </c>
      <c r="V1376" s="2" t="b">
        <v>0</v>
      </c>
      <c r="W1376" s="2" t="s">
        <v>35</v>
      </c>
      <c r="X1376" s="2" t="s">
        <v>35</v>
      </c>
      <c r="Y1376" s="2" t="s">
        <v>35</v>
      </c>
      <c r="Z1376" s="2" t="s">
        <v>35</v>
      </c>
    </row>
    <row r="1377" spans="1:26" x14ac:dyDescent="0.2">
      <c r="A1377" s="2" t="s">
        <v>3451</v>
      </c>
      <c r="B1377" s="2" t="b">
        <v>0</v>
      </c>
      <c r="C1377" s="2" t="b">
        <v>0</v>
      </c>
      <c r="D1377" s="2" t="b">
        <v>0</v>
      </c>
      <c r="E1377" s="2" t="b">
        <v>0</v>
      </c>
      <c r="F1377" s="2" t="s">
        <v>31</v>
      </c>
      <c r="G1377" s="2" t="s">
        <v>3452</v>
      </c>
      <c r="H1377" s="2" t="s">
        <v>3453</v>
      </c>
      <c r="I1377" s="2" t="s">
        <v>3454</v>
      </c>
      <c r="J1377" s="2" t="s">
        <v>35</v>
      </c>
      <c r="K1377" s="2" t="s">
        <v>35</v>
      </c>
      <c r="L1377" s="2" t="s">
        <v>35</v>
      </c>
      <c r="M1377" s="2" t="s">
        <v>35</v>
      </c>
      <c r="N1377" s="3">
        <v>44764.446387152777</v>
      </c>
      <c r="O1377" s="3">
        <v>44764.446809479166</v>
      </c>
      <c r="P1377" s="2">
        <v>0</v>
      </c>
      <c r="Q1377" s="2" t="s">
        <v>109</v>
      </c>
      <c r="R1377" s="2" t="s">
        <v>38</v>
      </c>
      <c r="S1377" s="2" t="s">
        <v>35</v>
      </c>
      <c r="T1377" s="2">
        <v>56</v>
      </c>
      <c r="U1377" s="2" t="s">
        <v>3455</v>
      </c>
      <c r="V1377" s="2" t="b">
        <v>0</v>
      </c>
      <c r="W1377" s="2" t="s">
        <v>35</v>
      </c>
      <c r="X1377" s="2" t="s">
        <v>35</v>
      </c>
      <c r="Y1377" s="2" t="s">
        <v>35</v>
      </c>
      <c r="Z1377" s="2" t="s">
        <v>35</v>
      </c>
    </row>
    <row r="1378" spans="1:26" x14ac:dyDescent="0.2">
      <c r="A1378" s="2" t="s">
        <v>3456</v>
      </c>
      <c r="B1378" s="2" t="b">
        <v>0</v>
      </c>
      <c r="C1378" s="2" t="b">
        <v>0</v>
      </c>
      <c r="D1378" s="2" t="b">
        <v>0</v>
      </c>
      <c r="E1378" s="2" t="b">
        <v>0</v>
      </c>
      <c r="F1378" s="2" t="s">
        <v>31</v>
      </c>
      <c r="G1378" s="2" t="s">
        <v>3457</v>
      </c>
      <c r="H1378" s="2" t="s">
        <v>3458</v>
      </c>
      <c r="I1378" s="2" t="s">
        <v>3459</v>
      </c>
      <c r="J1378" s="2" t="s">
        <v>35</v>
      </c>
      <c r="K1378" s="2" t="s">
        <v>35</v>
      </c>
      <c r="L1378" s="2" t="s">
        <v>35</v>
      </c>
      <c r="M1378" s="2" t="s">
        <v>35</v>
      </c>
      <c r="N1378" s="3">
        <v>44764.447505312499</v>
      </c>
      <c r="O1378" s="3">
        <v>44764.447820081019</v>
      </c>
      <c r="P1378" s="2">
        <v>0</v>
      </c>
      <c r="Q1378" s="2" t="s">
        <v>109</v>
      </c>
      <c r="R1378" s="2" t="s">
        <v>38</v>
      </c>
      <c r="S1378" s="2" t="s">
        <v>35</v>
      </c>
      <c r="T1378" s="2">
        <v>56</v>
      </c>
      <c r="U1378" s="2" t="s">
        <v>35</v>
      </c>
      <c r="V1378" s="2" t="b">
        <v>0</v>
      </c>
      <c r="W1378" s="2" t="s">
        <v>35</v>
      </c>
      <c r="X1378" s="2" t="s">
        <v>35</v>
      </c>
      <c r="Y1378" s="2" t="s">
        <v>35</v>
      </c>
      <c r="Z1378" s="2" t="s">
        <v>35</v>
      </c>
    </row>
    <row r="1379" spans="1:26" x14ac:dyDescent="0.2">
      <c r="A1379" s="2" t="s">
        <v>3460</v>
      </c>
      <c r="B1379" s="2" t="b">
        <v>0</v>
      </c>
      <c r="C1379" s="2" t="b">
        <v>0</v>
      </c>
      <c r="D1379" s="2" t="b">
        <v>0</v>
      </c>
      <c r="E1379" s="2" t="b">
        <v>0</v>
      </c>
      <c r="F1379" s="2" t="s">
        <v>31</v>
      </c>
      <c r="G1379" s="2" t="s">
        <v>3461</v>
      </c>
      <c r="H1379" s="2" t="s">
        <v>3462</v>
      </c>
      <c r="I1379" s="2" t="s">
        <v>3463</v>
      </c>
      <c r="J1379" s="2" t="s">
        <v>35</v>
      </c>
      <c r="K1379" s="2" t="s">
        <v>35</v>
      </c>
      <c r="L1379" s="2" t="s">
        <v>35</v>
      </c>
      <c r="M1379" s="2" t="s">
        <v>35</v>
      </c>
      <c r="N1379" s="3">
        <v>44764.448950162034</v>
      </c>
      <c r="O1379" s="3">
        <v>44764.449161192133</v>
      </c>
      <c r="P1379" s="2">
        <v>0</v>
      </c>
      <c r="Q1379" s="2" t="s">
        <v>36</v>
      </c>
      <c r="R1379" s="2" t="s">
        <v>38</v>
      </c>
      <c r="S1379" s="2" t="s">
        <v>35</v>
      </c>
      <c r="T1379" s="2" t="s">
        <v>35</v>
      </c>
      <c r="U1379" s="2" t="s">
        <v>35</v>
      </c>
      <c r="V1379" s="2" t="b">
        <v>0</v>
      </c>
      <c r="W1379" s="2" t="s">
        <v>35</v>
      </c>
      <c r="X1379" s="2" t="s">
        <v>35</v>
      </c>
      <c r="Y1379" s="2">
        <v>4</v>
      </c>
      <c r="Z1379" s="2">
        <v>3</v>
      </c>
    </row>
    <row r="1380" spans="1:26" x14ac:dyDescent="0.2">
      <c r="A1380" s="2" t="s">
        <v>3464</v>
      </c>
      <c r="B1380" s="2" t="b">
        <v>0</v>
      </c>
      <c r="C1380" s="2" t="b">
        <v>0</v>
      </c>
      <c r="D1380" s="2" t="b">
        <v>0</v>
      </c>
      <c r="E1380" s="2" t="b">
        <v>0</v>
      </c>
      <c r="F1380" s="2" t="s">
        <v>31</v>
      </c>
      <c r="G1380" s="2" t="s">
        <v>3465</v>
      </c>
      <c r="H1380" s="2" t="s">
        <v>3466</v>
      </c>
      <c r="I1380" s="2" t="s">
        <v>35</v>
      </c>
      <c r="J1380" s="2" t="s">
        <v>35</v>
      </c>
      <c r="K1380" s="2" t="s">
        <v>35</v>
      </c>
      <c r="L1380" s="2" t="s">
        <v>35</v>
      </c>
      <c r="M1380" s="2" t="s">
        <v>35</v>
      </c>
      <c r="N1380" s="3">
        <v>44764.452772719909</v>
      </c>
      <c r="O1380" s="3">
        <v>44764.452899629629</v>
      </c>
      <c r="P1380" s="2">
        <v>0</v>
      </c>
      <c r="Q1380" s="2" t="s">
        <v>36</v>
      </c>
      <c r="R1380" s="2" t="s">
        <v>38</v>
      </c>
      <c r="S1380" s="2" t="s">
        <v>35</v>
      </c>
      <c r="T1380" s="2" t="s">
        <v>35</v>
      </c>
      <c r="U1380" s="2" t="s">
        <v>35</v>
      </c>
      <c r="V1380" s="2" t="b">
        <v>0</v>
      </c>
      <c r="W1380" s="2" t="s">
        <v>35</v>
      </c>
      <c r="X1380" s="2" t="s">
        <v>35</v>
      </c>
      <c r="Y1380" s="2" t="s">
        <v>35</v>
      </c>
      <c r="Z1380" s="2">
        <v>2</v>
      </c>
    </row>
    <row r="1381" spans="1:26" x14ac:dyDescent="0.2">
      <c r="A1381" s="2" t="s">
        <v>3467</v>
      </c>
      <c r="B1381" s="2" t="b">
        <v>0</v>
      </c>
      <c r="C1381" s="2" t="b">
        <v>0</v>
      </c>
      <c r="D1381" s="2" t="b">
        <v>0</v>
      </c>
      <c r="E1381" s="2" t="b">
        <v>0</v>
      </c>
      <c r="F1381" s="2" t="s">
        <v>31</v>
      </c>
      <c r="G1381" s="2" t="s">
        <v>3468</v>
      </c>
      <c r="H1381" s="2" t="s">
        <v>3469</v>
      </c>
      <c r="I1381" s="2" t="s">
        <v>3470</v>
      </c>
      <c r="J1381" s="2" t="s">
        <v>35</v>
      </c>
      <c r="K1381" s="2" t="s">
        <v>35</v>
      </c>
      <c r="L1381" s="2" t="s">
        <v>35</v>
      </c>
      <c r="M1381" s="2" t="s">
        <v>35</v>
      </c>
      <c r="N1381" s="3">
        <v>44764.453991203707</v>
      </c>
      <c r="O1381" s="3">
        <v>44764.454143842595</v>
      </c>
      <c r="P1381" s="2">
        <v>0</v>
      </c>
      <c r="Q1381" s="2" t="s">
        <v>109</v>
      </c>
      <c r="R1381" s="2" t="s">
        <v>38</v>
      </c>
      <c r="S1381" s="2" t="s">
        <v>35</v>
      </c>
      <c r="T1381" s="2">
        <v>100</v>
      </c>
      <c r="U1381" s="2" t="s">
        <v>35</v>
      </c>
      <c r="V1381" s="2" t="b">
        <v>0</v>
      </c>
      <c r="W1381" s="2" t="s">
        <v>35</v>
      </c>
      <c r="X1381" s="2" t="s">
        <v>35</v>
      </c>
      <c r="Y1381" s="2" t="s">
        <v>35</v>
      </c>
      <c r="Z1381" s="2" t="s">
        <v>35</v>
      </c>
    </row>
    <row r="1382" spans="1:26" x14ac:dyDescent="0.2">
      <c r="A1382" s="2" t="s">
        <v>3471</v>
      </c>
      <c r="B1382" s="2" t="b">
        <v>0</v>
      </c>
      <c r="C1382" s="2" t="b">
        <v>0</v>
      </c>
      <c r="D1382" s="2" t="b">
        <v>0</v>
      </c>
      <c r="E1382" s="2" t="b">
        <v>0</v>
      </c>
      <c r="F1382" s="2" t="s">
        <v>31</v>
      </c>
      <c r="G1382" s="2" t="s">
        <v>3472</v>
      </c>
      <c r="H1382" s="2" t="s">
        <v>3473</v>
      </c>
      <c r="I1382" s="2" t="s">
        <v>35</v>
      </c>
      <c r="J1382" s="2" t="s">
        <v>35</v>
      </c>
      <c r="K1382" s="2" t="s">
        <v>35</v>
      </c>
      <c r="L1382" s="2" t="s">
        <v>35</v>
      </c>
      <c r="M1382" s="2" t="s">
        <v>35</v>
      </c>
      <c r="N1382" s="3">
        <v>44764.454373391207</v>
      </c>
      <c r="O1382" s="3">
        <v>44764.454472291669</v>
      </c>
      <c r="P1382" s="2">
        <v>0</v>
      </c>
      <c r="Q1382" s="2" t="s">
        <v>36</v>
      </c>
      <c r="R1382" s="2" t="s">
        <v>38</v>
      </c>
      <c r="S1382" s="2" t="s">
        <v>35</v>
      </c>
      <c r="T1382" s="2" t="s">
        <v>35</v>
      </c>
      <c r="U1382" s="2" t="s">
        <v>35</v>
      </c>
      <c r="V1382" s="2" t="b">
        <v>0</v>
      </c>
      <c r="W1382" s="2" t="s">
        <v>35</v>
      </c>
      <c r="X1382" s="2" t="s">
        <v>35</v>
      </c>
      <c r="Y1382" s="2" t="s">
        <v>35</v>
      </c>
      <c r="Z1382" s="2">
        <v>2</v>
      </c>
    </row>
    <row r="1383" spans="1:26" x14ac:dyDescent="0.2">
      <c r="A1383" s="2" t="s">
        <v>3474</v>
      </c>
      <c r="B1383" s="2" t="b">
        <v>0</v>
      </c>
      <c r="C1383" s="2" t="b">
        <v>0</v>
      </c>
      <c r="D1383" s="2" t="b">
        <v>0</v>
      </c>
      <c r="E1383" s="2" t="b">
        <v>0</v>
      </c>
      <c r="F1383" s="2" t="s">
        <v>31</v>
      </c>
      <c r="G1383" s="2" t="s">
        <v>3475</v>
      </c>
      <c r="H1383" s="2" t="s">
        <v>3476</v>
      </c>
      <c r="I1383" s="2" t="s">
        <v>1124</v>
      </c>
      <c r="J1383" s="2" t="s">
        <v>35</v>
      </c>
      <c r="K1383" s="2" t="s">
        <v>35</v>
      </c>
      <c r="L1383" s="2" t="s">
        <v>35</v>
      </c>
      <c r="M1383" s="2" t="s">
        <v>35</v>
      </c>
      <c r="N1383" s="3">
        <v>44764.457558935188</v>
      </c>
      <c r="O1383" s="3">
        <v>44764.457944849535</v>
      </c>
      <c r="P1383" s="2">
        <v>0</v>
      </c>
      <c r="Q1383" s="2" t="s">
        <v>416</v>
      </c>
      <c r="R1383" s="2" t="s">
        <v>38</v>
      </c>
      <c r="S1383" s="2" t="s">
        <v>35</v>
      </c>
      <c r="T1383" s="2">
        <v>0</v>
      </c>
      <c r="U1383" s="2" t="s">
        <v>3387</v>
      </c>
      <c r="V1383" s="2" t="b">
        <v>0</v>
      </c>
      <c r="W1383" s="2" t="s">
        <v>35</v>
      </c>
      <c r="X1383" s="2" t="s">
        <v>35</v>
      </c>
      <c r="Y1383" s="2" t="s">
        <v>35</v>
      </c>
      <c r="Z1383" s="2" t="s">
        <v>35</v>
      </c>
    </row>
    <row r="1384" spans="1:26" x14ac:dyDescent="0.2">
      <c r="A1384" s="2" t="s">
        <v>3477</v>
      </c>
      <c r="B1384" s="2" t="b">
        <v>0</v>
      </c>
      <c r="C1384" s="2" t="b">
        <v>0</v>
      </c>
      <c r="D1384" s="2" t="b">
        <v>0</v>
      </c>
      <c r="E1384" s="2" t="b">
        <v>0</v>
      </c>
      <c r="F1384" s="2" t="s">
        <v>31</v>
      </c>
      <c r="G1384" s="2" t="s">
        <v>3478</v>
      </c>
      <c r="H1384" s="2" t="s">
        <v>3479</v>
      </c>
      <c r="I1384" s="2" t="s">
        <v>35</v>
      </c>
      <c r="J1384" s="2" t="s">
        <v>35</v>
      </c>
      <c r="K1384" s="2" t="s">
        <v>35</v>
      </c>
      <c r="L1384" s="2" t="s">
        <v>35</v>
      </c>
      <c r="M1384" s="2" t="s">
        <v>35</v>
      </c>
      <c r="N1384" s="3">
        <v>44764.458480023146</v>
      </c>
      <c r="O1384" s="3">
        <v>44764.458582245374</v>
      </c>
      <c r="P1384" s="2">
        <v>0</v>
      </c>
      <c r="Q1384" s="2" t="s">
        <v>36</v>
      </c>
      <c r="R1384" s="2" t="s">
        <v>38</v>
      </c>
      <c r="S1384" s="2" t="s">
        <v>35</v>
      </c>
      <c r="T1384" s="2" t="s">
        <v>35</v>
      </c>
      <c r="U1384" s="2" t="s">
        <v>35</v>
      </c>
      <c r="V1384" s="2" t="b">
        <v>0</v>
      </c>
      <c r="W1384" s="2" t="s">
        <v>35</v>
      </c>
      <c r="X1384" s="2" t="s">
        <v>35</v>
      </c>
      <c r="Y1384" s="2" t="s">
        <v>35</v>
      </c>
      <c r="Z1384" s="2">
        <v>2</v>
      </c>
    </row>
    <row r="1385" spans="1:26" x14ac:dyDescent="0.2">
      <c r="A1385" s="2" t="s">
        <v>3480</v>
      </c>
      <c r="B1385" s="2" t="b">
        <v>0</v>
      </c>
      <c r="C1385" s="2" t="b">
        <v>0</v>
      </c>
      <c r="D1385" s="2" t="b">
        <v>0</v>
      </c>
      <c r="E1385" s="2" t="b">
        <v>0</v>
      </c>
      <c r="F1385" s="2" t="s">
        <v>31</v>
      </c>
      <c r="G1385" s="2" t="s">
        <v>3481</v>
      </c>
      <c r="H1385" s="2" t="s">
        <v>3482</v>
      </c>
      <c r="I1385" s="2" t="s">
        <v>675</v>
      </c>
      <c r="J1385" s="2" t="s">
        <v>35</v>
      </c>
      <c r="K1385" s="2" t="s">
        <v>35</v>
      </c>
      <c r="L1385" s="2" t="s">
        <v>35</v>
      </c>
      <c r="M1385" s="2" t="s">
        <v>35</v>
      </c>
      <c r="N1385" s="3">
        <v>44764.46405289352</v>
      </c>
      <c r="O1385" s="3">
        <v>44764.464233715276</v>
      </c>
      <c r="P1385" s="2">
        <v>0</v>
      </c>
      <c r="Q1385" s="2" t="s">
        <v>124</v>
      </c>
      <c r="R1385" s="2" t="s">
        <v>38</v>
      </c>
      <c r="S1385" s="2" t="s">
        <v>35</v>
      </c>
      <c r="T1385" s="2" t="s">
        <v>35</v>
      </c>
      <c r="U1385" s="2" t="s">
        <v>35</v>
      </c>
      <c r="V1385" s="2" t="b">
        <v>0</v>
      </c>
      <c r="W1385" s="2" t="s">
        <v>35</v>
      </c>
      <c r="X1385" s="2">
        <v>4</v>
      </c>
      <c r="Y1385" s="2" t="s">
        <v>35</v>
      </c>
      <c r="Z1385" s="2" t="s">
        <v>35</v>
      </c>
    </row>
    <row r="1386" spans="1:26" x14ac:dyDescent="0.2">
      <c r="A1386" s="2" t="s">
        <v>3483</v>
      </c>
      <c r="B1386" s="2" t="b">
        <v>0</v>
      </c>
      <c r="C1386" s="2" t="b">
        <v>0</v>
      </c>
      <c r="D1386" s="2" t="b">
        <v>0</v>
      </c>
      <c r="E1386" s="2" t="b">
        <v>0</v>
      </c>
      <c r="F1386" s="2" t="s">
        <v>31</v>
      </c>
      <c r="G1386" s="2" t="s">
        <v>3484</v>
      </c>
      <c r="H1386" s="2" t="s">
        <v>3485</v>
      </c>
      <c r="I1386" s="2" t="s">
        <v>35</v>
      </c>
      <c r="J1386" s="2" t="s">
        <v>35</v>
      </c>
      <c r="K1386" s="2" t="s">
        <v>35</v>
      </c>
      <c r="L1386" s="2">
        <v>2</v>
      </c>
      <c r="M1386" s="2">
        <v>12</v>
      </c>
      <c r="N1386" s="3">
        <v>44764.464874351848</v>
      </c>
      <c r="O1386" s="3">
        <v>44764.465045949073</v>
      </c>
      <c r="P1386" s="2">
        <v>0</v>
      </c>
      <c r="Q1386" s="2" t="s">
        <v>54</v>
      </c>
      <c r="R1386" s="2" t="s">
        <v>38</v>
      </c>
      <c r="S1386" s="2" t="s">
        <v>35</v>
      </c>
      <c r="T1386" s="2" t="s">
        <v>35</v>
      </c>
      <c r="U1386" s="2" t="s">
        <v>35</v>
      </c>
      <c r="V1386" s="2" t="b">
        <v>0</v>
      </c>
      <c r="W1386" s="2" t="s">
        <v>35</v>
      </c>
      <c r="X1386" s="2" t="s">
        <v>35</v>
      </c>
      <c r="Y1386" s="2" t="s">
        <v>35</v>
      </c>
      <c r="Z1386" s="2" t="s">
        <v>35</v>
      </c>
    </row>
    <row r="1387" spans="1:26" x14ac:dyDescent="0.2">
      <c r="A1387" s="2" t="s">
        <v>3486</v>
      </c>
      <c r="B1387" s="2" t="b">
        <v>0</v>
      </c>
      <c r="C1387" s="2" t="b">
        <v>0</v>
      </c>
      <c r="D1387" s="2" t="b">
        <v>0</v>
      </c>
      <c r="E1387" s="2" t="b">
        <v>0</v>
      </c>
      <c r="F1387" s="2" t="s">
        <v>31</v>
      </c>
      <c r="G1387" s="2" t="s">
        <v>3487</v>
      </c>
      <c r="H1387" s="2" t="s">
        <v>3488</v>
      </c>
      <c r="I1387" s="2" t="s">
        <v>35</v>
      </c>
      <c r="J1387" s="2" t="s">
        <v>35</v>
      </c>
      <c r="K1387" s="2" t="s">
        <v>35</v>
      </c>
      <c r="L1387" s="2" t="s">
        <v>35</v>
      </c>
      <c r="M1387" s="2" t="s">
        <v>35</v>
      </c>
      <c r="N1387" s="3">
        <v>44764.470160069446</v>
      </c>
      <c r="O1387" s="3">
        <v>44764.470334745369</v>
      </c>
      <c r="P1387" s="2">
        <v>0</v>
      </c>
      <c r="Q1387" s="2" t="s">
        <v>36</v>
      </c>
      <c r="R1387" s="2" t="s">
        <v>38</v>
      </c>
      <c r="S1387" s="2" t="s">
        <v>35</v>
      </c>
      <c r="T1387" s="2" t="s">
        <v>35</v>
      </c>
      <c r="U1387" s="2" t="s">
        <v>35</v>
      </c>
      <c r="V1387" s="2" t="b">
        <v>0</v>
      </c>
      <c r="W1387" s="2" t="s">
        <v>35</v>
      </c>
      <c r="X1387" s="2" t="s">
        <v>35</v>
      </c>
      <c r="Y1387" s="2" t="s">
        <v>35</v>
      </c>
      <c r="Z1387" s="2">
        <v>2</v>
      </c>
    </row>
    <row r="1388" spans="1:26" x14ac:dyDescent="0.2">
      <c r="A1388" s="2" t="s">
        <v>3489</v>
      </c>
      <c r="B1388" s="2" t="b">
        <v>0</v>
      </c>
      <c r="C1388" s="2" t="b">
        <v>0</v>
      </c>
      <c r="D1388" s="2" t="b">
        <v>0</v>
      </c>
      <c r="E1388" s="2" t="b">
        <v>0</v>
      </c>
      <c r="F1388" s="2" t="s">
        <v>31</v>
      </c>
      <c r="G1388" s="2" t="s">
        <v>3490</v>
      </c>
      <c r="H1388" s="2" t="s">
        <v>3491</v>
      </c>
      <c r="I1388" s="2" t="s">
        <v>35</v>
      </c>
      <c r="J1388" s="2" t="s">
        <v>35</v>
      </c>
      <c r="K1388" s="2" t="s">
        <v>35</v>
      </c>
      <c r="L1388" s="2" t="s">
        <v>35</v>
      </c>
      <c r="M1388" s="2" t="s">
        <v>35</v>
      </c>
      <c r="N1388" s="3">
        <v>44764.471404537035</v>
      </c>
      <c r="O1388" s="3">
        <v>44764.47154027778</v>
      </c>
      <c r="P1388" s="2">
        <v>0</v>
      </c>
      <c r="Q1388" s="2" t="s">
        <v>36</v>
      </c>
      <c r="R1388" s="2" t="s">
        <v>38</v>
      </c>
      <c r="S1388" s="2" t="s">
        <v>35</v>
      </c>
      <c r="T1388" s="2" t="s">
        <v>35</v>
      </c>
      <c r="U1388" s="2" t="s">
        <v>35</v>
      </c>
      <c r="V1388" s="2" t="b">
        <v>0</v>
      </c>
      <c r="W1388" s="2" t="s">
        <v>35</v>
      </c>
      <c r="X1388" s="2" t="s">
        <v>35</v>
      </c>
      <c r="Y1388" s="2" t="s">
        <v>35</v>
      </c>
      <c r="Z1388" s="2">
        <v>2</v>
      </c>
    </row>
    <row r="1389" spans="1:26" x14ac:dyDescent="0.2">
      <c r="A1389" s="2" t="s">
        <v>3492</v>
      </c>
      <c r="B1389" s="2" t="b">
        <v>0</v>
      </c>
      <c r="C1389" s="2" t="b">
        <v>0</v>
      </c>
      <c r="D1389" s="2" t="b">
        <v>0</v>
      </c>
      <c r="E1389" s="2" t="b">
        <v>0</v>
      </c>
      <c r="F1389" s="2" t="s">
        <v>31</v>
      </c>
      <c r="G1389" s="2" t="s">
        <v>3493</v>
      </c>
      <c r="H1389" s="2" t="s">
        <v>3494</v>
      </c>
      <c r="I1389" s="2" t="s">
        <v>35</v>
      </c>
      <c r="J1389" s="2" t="s">
        <v>35</v>
      </c>
      <c r="K1389" s="2" t="s">
        <v>35</v>
      </c>
      <c r="L1389" s="2" t="s">
        <v>35</v>
      </c>
      <c r="M1389" s="2" t="s">
        <v>35</v>
      </c>
      <c r="N1389" s="3">
        <v>44764.4740784838</v>
      </c>
      <c r="O1389" s="3">
        <v>44764.474240717595</v>
      </c>
      <c r="P1389" s="2">
        <v>0</v>
      </c>
      <c r="Q1389" s="2" t="s">
        <v>36</v>
      </c>
      <c r="R1389" s="2" t="s">
        <v>38</v>
      </c>
      <c r="S1389" s="2" t="s">
        <v>35</v>
      </c>
      <c r="T1389" s="2" t="s">
        <v>35</v>
      </c>
      <c r="U1389" s="2" t="s">
        <v>35</v>
      </c>
      <c r="V1389" s="2" t="b">
        <v>0</v>
      </c>
      <c r="W1389" s="2" t="s">
        <v>35</v>
      </c>
      <c r="X1389" s="2" t="s">
        <v>35</v>
      </c>
      <c r="Y1389" s="2" t="s">
        <v>35</v>
      </c>
      <c r="Z1389" s="2">
        <v>2</v>
      </c>
    </row>
    <row r="1390" spans="1:26" x14ac:dyDescent="0.2">
      <c r="A1390" s="2" t="s">
        <v>3495</v>
      </c>
      <c r="B1390" s="2" t="b">
        <v>0</v>
      </c>
      <c r="C1390" s="2" t="b">
        <v>0</v>
      </c>
      <c r="D1390" s="2" t="b">
        <v>0</v>
      </c>
      <c r="E1390" s="2" t="b">
        <v>0</v>
      </c>
      <c r="F1390" s="2" t="s">
        <v>31</v>
      </c>
      <c r="G1390" s="2" t="s">
        <v>3496</v>
      </c>
      <c r="H1390" s="2" t="s">
        <v>3497</v>
      </c>
      <c r="I1390" s="2" t="s">
        <v>35</v>
      </c>
      <c r="J1390" s="2" t="s">
        <v>35</v>
      </c>
      <c r="K1390" s="2" t="s">
        <v>35</v>
      </c>
      <c r="L1390" s="2" t="s">
        <v>35</v>
      </c>
      <c r="M1390" s="2" t="s">
        <v>35</v>
      </c>
      <c r="N1390" s="3">
        <v>44764.477676585651</v>
      </c>
      <c r="O1390" s="3">
        <v>44764.47784861111</v>
      </c>
      <c r="P1390" s="2">
        <v>0</v>
      </c>
      <c r="Q1390" s="2" t="s">
        <v>36</v>
      </c>
      <c r="R1390" s="2" t="s">
        <v>38</v>
      </c>
      <c r="S1390" s="2" t="s">
        <v>35</v>
      </c>
      <c r="T1390" s="2" t="s">
        <v>35</v>
      </c>
      <c r="U1390" s="2" t="s">
        <v>35</v>
      </c>
      <c r="V1390" s="2" t="b">
        <v>0</v>
      </c>
      <c r="W1390" s="2" t="s">
        <v>35</v>
      </c>
      <c r="X1390" s="2" t="s">
        <v>35</v>
      </c>
      <c r="Y1390" s="2" t="s">
        <v>35</v>
      </c>
      <c r="Z1390" s="2">
        <v>2</v>
      </c>
    </row>
    <row r="1391" spans="1:26" x14ac:dyDescent="0.2">
      <c r="A1391" s="2" t="s">
        <v>9399</v>
      </c>
      <c r="B1391" s="2" t="b">
        <v>0</v>
      </c>
      <c r="C1391" s="2" t="b">
        <v>0</v>
      </c>
      <c r="D1391" s="2" t="b">
        <v>0</v>
      </c>
      <c r="E1391" s="2" t="b">
        <v>0</v>
      </c>
      <c r="F1391" s="2" t="s">
        <v>121</v>
      </c>
      <c r="G1391" s="2" t="s">
        <v>149</v>
      </c>
      <c r="H1391" s="2" t="s">
        <v>3499</v>
      </c>
      <c r="I1391" s="2" t="s">
        <v>35</v>
      </c>
      <c r="J1391" s="2" t="s">
        <v>35</v>
      </c>
      <c r="K1391" s="2" t="s">
        <v>35</v>
      </c>
      <c r="L1391" s="2" t="s">
        <v>35</v>
      </c>
      <c r="M1391" s="2" t="s">
        <v>35</v>
      </c>
      <c r="N1391" s="3">
        <v>44769.385201886573</v>
      </c>
      <c r="O1391" s="3">
        <v>44769.385204722224</v>
      </c>
      <c r="P1391" s="2">
        <v>0</v>
      </c>
      <c r="Q1391" s="2" t="s">
        <v>35</v>
      </c>
      <c r="R1391" s="2" t="s">
        <v>38</v>
      </c>
      <c r="S1391" s="2" t="s">
        <v>35</v>
      </c>
      <c r="T1391" s="2" t="s">
        <v>35</v>
      </c>
      <c r="U1391" s="2" t="s">
        <v>35</v>
      </c>
      <c r="V1391" s="2" t="b">
        <v>0</v>
      </c>
      <c r="W1391" s="2" t="s">
        <v>35</v>
      </c>
      <c r="X1391" s="2" t="s">
        <v>35</v>
      </c>
      <c r="Y1391" s="2" t="s">
        <v>35</v>
      </c>
      <c r="Z1391" s="2" t="s">
        <v>35</v>
      </c>
    </row>
    <row r="1392" spans="1:26" x14ac:dyDescent="0.2">
      <c r="A1392" s="2" t="s">
        <v>3498</v>
      </c>
      <c r="B1392" s="2" t="b">
        <v>0</v>
      </c>
      <c r="C1392" s="2" t="b">
        <v>0</v>
      </c>
      <c r="D1392" s="2" t="b">
        <v>0</v>
      </c>
      <c r="E1392" s="2" t="b">
        <v>0</v>
      </c>
      <c r="F1392" s="2" t="s">
        <v>121</v>
      </c>
      <c r="G1392" s="2" t="s">
        <v>149</v>
      </c>
      <c r="H1392" s="2" t="s">
        <v>3499</v>
      </c>
      <c r="I1392" s="2" t="s">
        <v>35</v>
      </c>
      <c r="J1392" s="2" t="s">
        <v>35</v>
      </c>
      <c r="K1392" s="2" t="s">
        <v>35</v>
      </c>
      <c r="L1392" s="2" t="s">
        <v>35</v>
      </c>
      <c r="M1392" s="2" t="s">
        <v>35</v>
      </c>
      <c r="N1392" s="3">
        <v>44769.385202129626</v>
      </c>
      <c r="O1392" s="3">
        <v>44769.38520478009</v>
      </c>
      <c r="P1392" s="2">
        <v>0</v>
      </c>
      <c r="Q1392" s="2" t="s">
        <v>124</v>
      </c>
      <c r="R1392" s="2" t="s">
        <v>38</v>
      </c>
      <c r="S1392" s="2" t="s">
        <v>35</v>
      </c>
      <c r="T1392" s="2" t="s">
        <v>35</v>
      </c>
      <c r="U1392" s="2" t="s">
        <v>35</v>
      </c>
      <c r="V1392" s="2" t="b">
        <v>0</v>
      </c>
      <c r="W1392" s="2" t="s">
        <v>35</v>
      </c>
      <c r="X1392" s="2" t="s">
        <v>35</v>
      </c>
      <c r="Y1392" s="2" t="s">
        <v>35</v>
      </c>
      <c r="Z1392" s="2" t="s">
        <v>35</v>
      </c>
    </row>
    <row r="1393" spans="1:26" x14ac:dyDescent="0.2">
      <c r="A1393" s="2" t="s">
        <v>3500</v>
      </c>
      <c r="B1393" s="2" t="b">
        <v>0</v>
      </c>
      <c r="C1393" s="2" t="b">
        <v>0</v>
      </c>
      <c r="D1393" s="2" t="b">
        <v>0</v>
      </c>
      <c r="E1393" s="2" t="b">
        <v>0</v>
      </c>
      <c r="F1393" s="2" t="s">
        <v>31</v>
      </c>
      <c r="G1393" s="2" t="s">
        <v>3501</v>
      </c>
      <c r="H1393" s="2" t="s">
        <v>3502</v>
      </c>
      <c r="I1393" s="2" t="s">
        <v>35</v>
      </c>
      <c r="J1393" s="2" t="s">
        <v>35</v>
      </c>
      <c r="K1393" s="2" t="s">
        <v>35</v>
      </c>
      <c r="L1393" s="2" t="s">
        <v>35</v>
      </c>
      <c r="M1393" s="2" t="s">
        <v>35</v>
      </c>
      <c r="N1393" s="3">
        <v>44769.387163726853</v>
      </c>
      <c r="O1393" s="3">
        <v>44769.387744375003</v>
      </c>
      <c r="P1393" s="2">
        <v>0</v>
      </c>
      <c r="Q1393" s="2" t="s">
        <v>36</v>
      </c>
      <c r="R1393" s="2" t="s">
        <v>38</v>
      </c>
      <c r="S1393" s="2" t="s">
        <v>35</v>
      </c>
      <c r="T1393" s="2" t="s">
        <v>35</v>
      </c>
      <c r="U1393" s="2" t="s">
        <v>35</v>
      </c>
      <c r="V1393" s="2" t="b">
        <v>0</v>
      </c>
      <c r="W1393" s="2" t="s">
        <v>2714</v>
      </c>
      <c r="X1393" s="2" t="s">
        <v>35</v>
      </c>
      <c r="Y1393" s="2" t="s">
        <v>35</v>
      </c>
      <c r="Z1393" s="2" t="s">
        <v>35</v>
      </c>
    </row>
    <row r="1394" spans="1:26" x14ac:dyDescent="0.2">
      <c r="A1394" s="2" t="s">
        <v>3503</v>
      </c>
      <c r="B1394" s="2" t="b">
        <v>0</v>
      </c>
      <c r="C1394" s="2" t="b">
        <v>0</v>
      </c>
      <c r="D1394" s="2" t="b">
        <v>0</v>
      </c>
      <c r="E1394" s="2" t="b">
        <v>0</v>
      </c>
      <c r="F1394" s="2" t="s">
        <v>31</v>
      </c>
      <c r="G1394" s="2" t="s">
        <v>3504</v>
      </c>
      <c r="H1394" s="2" t="s">
        <v>3505</v>
      </c>
      <c r="I1394" s="2" t="s">
        <v>35</v>
      </c>
      <c r="J1394" s="2" t="s">
        <v>35</v>
      </c>
      <c r="K1394" s="2" t="s">
        <v>35</v>
      </c>
      <c r="L1394" s="2">
        <v>3</v>
      </c>
      <c r="M1394" s="2">
        <v>13</v>
      </c>
      <c r="N1394" s="3">
        <v>44769.387984837966</v>
      </c>
      <c r="O1394" s="3">
        <v>44769.388273680554</v>
      </c>
      <c r="P1394" s="2">
        <v>0</v>
      </c>
      <c r="Q1394" s="2" t="s">
        <v>54</v>
      </c>
      <c r="R1394" s="2" t="s">
        <v>38</v>
      </c>
      <c r="S1394" s="2" t="s">
        <v>35</v>
      </c>
      <c r="T1394" s="2" t="s">
        <v>35</v>
      </c>
      <c r="U1394" s="2" t="s">
        <v>35</v>
      </c>
      <c r="V1394" s="2" t="b">
        <v>0</v>
      </c>
      <c r="W1394" s="2" t="s">
        <v>35</v>
      </c>
      <c r="X1394" s="2" t="s">
        <v>35</v>
      </c>
      <c r="Y1394" s="2" t="s">
        <v>35</v>
      </c>
      <c r="Z1394" s="2" t="s">
        <v>35</v>
      </c>
    </row>
    <row r="1395" spans="1:26" x14ac:dyDescent="0.2">
      <c r="A1395" s="2" t="s">
        <v>3506</v>
      </c>
      <c r="B1395" s="2" t="b">
        <v>0</v>
      </c>
      <c r="C1395" s="2" t="b">
        <v>0</v>
      </c>
      <c r="D1395" s="2" t="b">
        <v>0</v>
      </c>
      <c r="E1395" s="2" t="b">
        <v>0</v>
      </c>
      <c r="F1395" s="2" t="s">
        <v>31</v>
      </c>
      <c r="G1395" s="2" t="s">
        <v>3507</v>
      </c>
      <c r="H1395" s="2" t="s">
        <v>3508</v>
      </c>
      <c r="I1395" s="2" t="s">
        <v>35</v>
      </c>
      <c r="J1395" s="2" t="s">
        <v>35</v>
      </c>
      <c r="K1395" s="2" t="s">
        <v>35</v>
      </c>
      <c r="L1395" s="2" t="s">
        <v>35</v>
      </c>
      <c r="M1395" s="2" t="s">
        <v>35</v>
      </c>
      <c r="N1395" s="3">
        <v>44769.388863101849</v>
      </c>
      <c r="O1395" s="3">
        <v>44769.389059456022</v>
      </c>
      <c r="P1395" s="2">
        <v>0</v>
      </c>
      <c r="Q1395" s="2" t="s">
        <v>36</v>
      </c>
      <c r="R1395" s="2" t="s">
        <v>38</v>
      </c>
      <c r="S1395" s="2" t="s">
        <v>35</v>
      </c>
      <c r="T1395" s="2" t="s">
        <v>35</v>
      </c>
      <c r="U1395" s="2" t="s">
        <v>35</v>
      </c>
      <c r="V1395" s="2" t="b">
        <v>0</v>
      </c>
      <c r="W1395" s="2" t="s">
        <v>35</v>
      </c>
      <c r="X1395" s="2" t="s">
        <v>35</v>
      </c>
      <c r="Y1395" s="2" t="s">
        <v>35</v>
      </c>
      <c r="Z1395" s="2">
        <v>3</v>
      </c>
    </row>
    <row r="1396" spans="1:26" x14ac:dyDescent="0.2">
      <c r="A1396" s="2" t="s">
        <v>3509</v>
      </c>
      <c r="B1396" s="2" t="b">
        <v>0</v>
      </c>
      <c r="C1396" s="2" t="b">
        <v>0</v>
      </c>
      <c r="D1396" s="2" t="b">
        <v>0</v>
      </c>
      <c r="E1396" s="2" t="b">
        <v>0</v>
      </c>
      <c r="F1396" s="2" t="s">
        <v>31</v>
      </c>
      <c r="G1396" s="2" t="s">
        <v>3510</v>
      </c>
      <c r="H1396" s="2" t="s">
        <v>3511</v>
      </c>
      <c r="I1396" s="2" t="s">
        <v>3512</v>
      </c>
      <c r="J1396" s="2" t="s">
        <v>35</v>
      </c>
      <c r="K1396" s="2" t="s">
        <v>35</v>
      </c>
      <c r="L1396" s="2" t="s">
        <v>35</v>
      </c>
      <c r="M1396" s="2" t="s">
        <v>35</v>
      </c>
      <c r="N1396" s="3">
        <v>44769.389658622684</v>
      </c>
      <c r="O1396" s="3">
        <v>44769.390279930558</v>
      </c>
      <c r="P1396" s="2">
        <v>0</v>
      </c>
      <c r="Q1396" s="2" t="s">
        <v>109</v>
      </c>
      <c r="R1396" s="2" t="s">
        <v>38</v>
      </c>
      <c r="S1396" s="2" t="s">
        <v>35</v>
      </c>
      <c r="T1396" s="2">
        <v>101</v>
      </c>
      <c r="U1396" s="2" t="s">
        <v>35</v>
      </c>
      <c r="V1396" s="2" t="b">
        <v>0</v>
      </c>
      <c r="W1396" s="2" t="s">
        <v>35</v>
      </c>
      <c r="X1396" s="2" t="s">
        <v>35</v>
      </c>
      <c r="Y1396" s="2" t="s">
        <v>35</v>
      </c>
      <c r="Z1396" s="2" t="s">
        <v>35</v>
      </c>
    </row>
    <row r="1397" spans="1:26" x14ac:dyDescent="0.2">
      <c r="A1397" s="2" t="s">
        <v>3513</v>
      </c>
      <c r="B1397" s="2" t="b">
        <v>0</v>
      </c>
      <c r="C1397" s="2" t="b">
        <v>0</v>
      </c>
      <c r="D1397" s="2" t="b">
        <v>0</v>
      </c>
      <c r="E1397" s="2" t="b">
        <v>0</v>
      </c>
      <c r="F1397" s="2" t="s">
        <v>31</v>
      </c>
      <c r="G1397" s="2" t="s">
        <v>3514</v>
      </c>
      <c r="H1397" s="2" t="s">
        <v>3515</v>
      </c>
      <c r="I1397" s="2" t="s">
        <v>35</v>
      </c>
      <c r="J1397" s="2" t="s">
        <v>35</v>
      </c>
      <c r="K1397" s="2" t="s">
        <v>35</v>
      </c>
      <c r="L1397" s="2" t="s">
        <v>35</v>
      </c>
      <c r="M1397" s="2" t="s">
        <v>35</v>
      </c>
      <c r="N1397" s="3">
        <v>44769.391652905091</v>
      </c>
      <c r="O1397" s="3">
        <v>44769.392152071756</v>
      </c>
      <c r="P1397" s="2">
        <v>0</v>
      </c>
      <c r="Q1397" s="2" t="s">
        <v>36</v>
      </c>
      <c r="R1397" s="2" t="s">
        <v>38</v>
      </c>
      <c r="S1397" s="2" t="s">
        <v>35</v>
      </c>
      <c r="T1397" s="2" t="s">
        <v>35</v>
      </c>
      <c r="U1397" s="2" t="s">
        <v>35</v>
      </c>
      <c r="V1397" s="2" t="b">
        <v>0</v>
      </c>
      <c r="W1397" s="2" t="s">
        <v>3516</v>
      </c>
      <c r="X1397" s="2" t="s">
        <v>35</v>
      </c>
      <c r="Y1397" s="2" t="s">
        <v>35</v>
      </c>
      <c r="Z1397" s="2" t="s">
        <v>35</v>
      </c>
    </row>
    <row r="1398" spans="1:26" x14ac:dyDescent="0.2">
      <c r="A1398" s="2" t="s">
        <v>3517</v>
      </c>
      <c r="B1398" s="2" t="b">
        <v>0</v>
      </c>
      <c r="C1398" s="2" t="b">
        <v>0</v>
      </c>
      <c r="D1398" s="2" t="b">
        <v>0</v>
      </c>
      <c r="E1398" s="2" t="b">
        <v>0</v>
      </c>
      <c r="F1398" s="2" t="s">
        <v>31</v>
      </c>
      <c r="G1398" s="2" t="s">
        <v>3518</v>
      </c>
      <c r="H1398" s="2" t="s">
        <v>3519</v>
      </c>
      <c r="I1398" s="2" t="s">
        <v>3520</v>
      </c>
      <c r="J1398" s="2" t="s">
        <v>35</v>
      </c>
      <c r="K1398" s="2" t="s">
        <v>35</v>
      </c>
      <c r="L1398" s="2" t="s">
        <v>35</v>
      </c>
      <c r="M1398" s="2" t="s">
        <v>35</v>
      </c>
      <c r="N1398" s="3">
        <v>44769.392730081017</v>
      </c>
      <c r="O1398" s="3">
        <v>44769.392973831018</v>
      </c>
      <c r="P1398" s="2">
        <v>0</v>
      </c>
      <c r="Q1398" s="2" t="s">
        <v>36</v>
      </c>
      <c r="R1398" s="2" t="s">
        <v>38</v>
      </c>
      <c r="S1398" s="2" t="s">
        <v>35</v>
      </c>
      <c r="T1398" s="2" t="s">
        <v>35</v>
      </c>
      <c r="U1398" s="2" t="s">
        <v>35</v>
      </c>
      <c r="V1398" s="2" t="b">
        <v>0</v>
      </c>
      <c r="W1398" s="2" t="s">
        <v>35</v>
      </c>
      <c r="X1398" s="2" t="s">
        <v>35</v>
      </c>
      <c r="Y1398" s="2">
        <v>5</v>
      </c>
      <c r="Z1398" s="2">
        <v>4</v>
      </c>
    </row>
    <row r="1399" spans="1:26" x14ac:dyDescent="0.2">
      <c r="A1399" s="2" t="s">
        <v>3521</v>
      </c>
      <c r="B1399" s="2" t="b">
        <v>0</v>
      </c>
      <c r="C1399" s="2" t="b">
        <v>0</v>
      </c>
      <c r="D1399" s="2" t="b">
        <v>0</v>
      </c>
      <c r="E1399" s="2" t="b">
        <v>0</v>
      </c>
      <c r="F1399" s="2" t="s">
        <v>31</v>
      </c>
      <c r="G1399" s="2" t="s">
        <v>3522</v>
      </c>
      <c r="H1399" s="2" t="s">
        <v>3523</v>
      </c>
      <c r="I1399" s="2" t="s">
        <v>3524</v>
      </c>
      <c r="J1399" s="2" t="s">
        <v>35</v>
      </c>
      <c r="K1399" s="2" t="s">
        <v>35</v>
      </c>
      <c r="L1399" s="2" t="s">
        <v>35</v>
      </c>
      <c r="M1399" s="2" t="s">
        <v>35</v>
      </c>
      <c r="N1399" s="3">
        <v>44769.393828182867</v>
      </c>
      <c r="O1399" s="3">
        <v>44769.39402965278</v>
      </c>
      <c r="P1399" s="2">
        <v>0</v>
      </c>
      <c r="Q1399" s="2" t="s">
        <v>36</v>
      </c>
      <c r="R1399" s="2" t="s">
        <v>38</v>
      </c>
      <c r="S1399" s="2" t="s">
        <v>35</v>
      </c>
      <c r="T1399" s="2" t="s">
        <v>35</v>
      </c>
      <c r="U1399" s="2" t="s">
        <v>35</v>
      </c>
      <c r="V1399" s="2" t="b">
        <v>0</v>
      </c>
      <c r="W1399" s="2" t="s">
        <v>35</v>
      </c>
      <c r="X1399" s="2" t="s">
        <v>35</v>
      </c>
      <c r="Y1399" s="2">
        <v>7</v>
      </c>
      <c r="Z1399" s="2" t="s">
        <v>35</v>
      </c>
    </row>
    <row r="1400" spans="1:26" x14ac:dyDescent="0.2">
      <c r="A1400" s="2" t="s">
        <v>3525</v>
      </c>
      <c r="B1400" s="2" t="b">
        <v>0</v>
      </c>
      <c r="C1400" s="2" t="b">
        <v>0</v>
      </c>
      <c r="D1400" s="2" t="b">
        <v>0</v>
      </c>
      <c r="E1400" s="2" t="b">
        <v>0</v>
      </c>
      <c r="F1400" s="2" t="s">
        <v>31</v>
      </c>
      <c r="G1400" s="2" t="s">
        <v>3526</v>
      </c>
      <c r="H1400" s="2" t="s">
        <v>3527</v>
      </c>
      <c r="I1400" s="2" t="s">
        <v>35</v>
      </c>
      <c r="J1400" s="2" t="s">
        <v>35</v>
      </c>
      <c r="K1400" s="2" t="s">
        <v>35</v>
      </c>
      <c r="L1400" s="2" t="s">
        <v>35</v>
      </c>
      <c r="M1400" s="2" t="s">
        <v>35</v>
      </c>
      <c r="N1400" s="3">
        <v>44769.394138981479</v>
      </c>
      <c r="O1400" s="3">
        <v>44769.394299386571</v>
      </c>
      <c r="P1400" s="2">
        <v>0</v>
      </c>
      <c r="Q1400" s="2" t="s">
        <v>36</v>
      </c>
      <c r="R1400" s="2" t="s">
        <v>38</v>
      </c>
      <c r="S1400" s="2" t="s">
        <v>35</v>
      </c>
      <c r="T1400" s="2" t="s">
        <v>35</v>
      </c>
      <c r="U1400" s="2" t="s">
        <v>35</v>
      </c>
      <c r="V1400" s="2" t="b">
        <v>0</v>
      </c>
      <c r="W1400" s="2" t="s">
        <v>35</v>
      </c>
      <c r="X1400" s="2" t="s">
        <v>35</v>
      </c>
      <c r="Y1400" s="2" t="s">
        <v>35</v>
      </c>
      <c r="Z1400" s="2">
        <v>4</v>
      </c>
    </row>
    <row r="1401" spans="1:26" x14ac:dyDescent="0.2">
      <c r="A1401" s="2" t="s">
        <v>3528</v>
      </c>
      <c r="B1401" s="2" t="b">
        <v>0</v>
      </c>
      <c r="C1401" s="2" t="b">
        <v>0</v>
      </c>
      <c r="D1401" s="2" t="b">
        <v>0</v>
      </c>
      <c r="E1401" s="2" t="b">
        <v>0</v>
      </c>
      <c r="F1401" s="2" t="s">
        <v>31</v>
      </c>
      <c r="G1401" s="2" t="s">
        <v>3529</v>
      </c>
      <c r="H1401" s="2" t="s">
        <v>3530</v>
      </c>
      <c r="I1401" s="2" t="s">
        <v>35</v>
      </c>
      <c r="J1401" s="2" t="s">
        <v>35</v>
      </c>
      <c r="K1401" s="2" t="s">
        <v>35</v>
      </c>
      <c r="L1401" s="2" t="s">
        <v>35</v>
      </c>
      <c r="M1401" s="2" t="s">
        <v>35</v>
      </c>
      <c r="N1401" s="3">
        <v>44769.394814027779</v>
      </c>
      <c r="O1401" s="3">
        <v>44769.394962129627</v>
      </c>
      <c r="P1401" s="2">
        <v>0</v>
      </c>
      <c r="Q1401" s="2" t="s">
        <v>36</v>
      </c>
      <c r="R1401" s="2" t="s">
        <v>38</v>
      </c>
      <c r="S1401" s="2" t="s">
        <v>35</v>
      </c>
      <c r="T1401" s="2" t="s">
        <v>35</v>
      </c>
      <c r="U1401" s="2" t="s">
        <v>35</v>
      </c>
      <c r="V1401" s="2" t="b">
        <v>0</v>
      </c>
      <c r="W1401" s="2" t="s">
        <v>35</v>
      </c>
      <c r="X1401" s="2" t="s">
        <v>35</v>
      </c>
      <c r="Y1401" s="2" t="s">
        <v>35</v>
      </c>
      <c r="Z1401" s="2">
        <v>3</v>
      </c>
    </row>
    <row r="1402" spans="1:26" x14ac:dyDescent="0.2">
      <c r="A1402" s="2" t="s">
        <v>3531</v>
      </c>
      <c r="B1402" s="2" t="b">
        <v>0</v>
      </c>
      <c r="C1402" s="2" t="b">
        <v>0</v>
      </c>
      <c r="D1402" s="2" t="b">
        <v>0</v>
      </c>
      <c r="E1402" s="2" t="b">
        <v>0</v>
      </c>
      <c r="F1402" s="2" t="s">
        <v>31</v>
      </c>
      <c r="G1402" s="2" t="s">
        <v>3532</v>
      </c>
      <c r="H1402" s="2" t="s">
        <v>3533</v>
      </c>
      <c r="I1402" s="2" t="s">
        <v>3534</v>
      </c>
      <c r="J1402" s="2" t="s">
        <v>35</v>
      </c>
      <c r="K1402" s="2" t="s">
        <v>35</v>
      </c>
      <c r="L1402" s="2" t="s">
        <v>35</v>
      </c>
      <c r="M1402" s="2" t="s">
        <v>35</v>
      </c>
      <c r="N1402" s="3">
        <v>44769.396266307871</v>
      </c>
      <c r="O1402" s="3">
        <v>44769.396789548613</v>
      </c>
      <c r="P1402" s="2">
        <v>0</v>
      </c>
      <c r="Q1402" s="2" t="s">
        <v>36</v>
      </c>
      <c r="R1402" s="2" t="s">
        <v>38</v>
      </c>
      <c r="S1402" s="2" t="s">
        <v>35</v>
      </c>
      <c r="T1402" s="2" t="s">
        <v>35</v>
      </c>
      <c r="U1402" s="2" t="s">
        <v>35</v>
      </c>
      <c r="V1402" s="2" t="b">
        <v>0</v>
      </c>
      <c r="W1402" s="2" t="s">
        <v>35</v>
      </c>
      <c r="X1402" s="2" t="s">
        <v>35</v>
      </c>
      <c r="Y1402" s="2">
        <v>3</v>
      </c>
      <c r="Z1402" s="2" t="s">
        <v>35</v>
      </c>
    </row>
    <row r="1403" spans="1:26" x14ac:dyDescent="0.2">
      <c r="A1403" s="2" t="s">
        <v>3535</v>
      </c>
      <c r="B1403" s="2" t="b">
        <v>0</v>
      </c>
      <c r="C1403" s="2" t="b">
        <v>0</v>
      </c>
      <c r="D1403" s="2" t="b">
        <v>0</v>
      </c>
      <c r="E1403" s="2" t="b">
        <v>0</v>
      </c>
      <c r="F1403" s="2" t="s">
        <v>31</v>
      </c>
      <c r="G1403" s="2" t="s">
        <v>3536</v>
      </c>
      <c r="H1403" s="2" t="s">
        <v>3537</v>
      </c>
      <c r="I1403" s="2" t="s">
        <v>35</v>
      </c>
      <c r="J1403" s="2" t="s">
        <v>35</v>
      </c>
      <c r="K1403" s="2" t="s">
        <v>35</v>
      </c>
      <c r="L1403" s="2" t="s">
        <v>35</v>
      </c>
      <c r="M1403" s="2" t="s">
        <v>35</v>
      </c>
      <c r="N1403" s="3">
        <v>44769.406836979164</v>
      </c>
      <c r="O1403" s="3">
        <v>44769.406995520832</v>
      </c>
      <c r="P1403" s="2">
        <v>0</v>
      </c>
      <c r="Q1403" s="2" t="s">
        <v>36</v>
      </c>
      <c r="R1403" s="2" t="s">
        <v>38</v>
      </c>
      <c r="S1403" s="2" t="s">
        <v>35</v>
      </c>
      <c r="T1403" s="2" t="s">
        <v>35</v>
      </c>
      <c r="U1403" s="2" t="s">
        <v>35</v>
      </c>
      <c r="V1403" s="2" t="b">
        <v>0</v>
      </c>
      <c r="W1403" s="2" t="s">
        <v>3516</v>
      </c>
      <c r="X1403" s="2" t="s">
        <v>35</v>
      </c>
      <c r="Y1403" s="2" t="s">
        <v>35</v>
      </c>
      <c r="Z1403" s="2">
        <v>3</v>
      </c>
    </row>
    <row r="1404" spans="1:26" x14ac:dyDescent="0.2">
      <c r="A1404" s="2" t="s">
        <v>3538</v>
      </c>
      <c r="B1404" s="2" t="b">
        <v>0</v>
      </c>
      <c r="C1404" s="2" t="b">
        <v>0</v>
      </c>
      <c r="D1404" s="2" t="b">
        <v>0</v>
      </c>
      <c r="E1404" s="2" t="b">
        <v>0</v>
      </c>
      <c r="F1404" s="2" t="s">
        <v>31</v>
      </c>
      <c r="G1404" s="2" t="s">
        <v>3539</v>
      </c>
      <c r="H1404" s="2" t="s">
        <v>3540</v>
      </c>
      <c r="I1404" s="2" t="s">
        <v>35</v>
      </c>
      <c r="J1404" s="2" t="s">
        <v>35</v>
      </c>
      <c r="K1404" s="2" t="s">
        <v>35</v>
      </c>
      <c r="L1404" s="2" t="s">
        <v>35</v>
      </c>
      <c r="M1404" s="2" t="s">
        <v>35</v>
      </c>
      <c r="N1404" s="3">
        <v>44769.407415057867</v>
      </c>
      <c r="O1404" s="3">
        <v>44769.407590879629</v>
      </c>
      <c r="P1404" s="2">
        <v>0</v>
      </c>
      <c r="Q1404" s="2" t="s">
        <v>36</v>
      </c>
      <c r="R1404" s="2" t="s">
        <v>38</v>
      </c>
      <c r="S1404" s="2" t="s">
        <v>35</v>
      </c>
      <c r="T1404" s="2" t="s">
        <v>35</v>
      </c>
      <c r="U1404" s="2" t="s">
        <v>35</v>
      </c>
      <c r="V1404" s="2" t="b">
        <v>0</v>
      </c>
      <c r="W1404" s="2" t="s">
        <v>3516</v>
      </c>
      <c r="X1404" s="2" t="s">
        <v>35</v>
      </c>
      <c r="Y1404" s="2" t="s">
        <v>35</v>
      </c>
      <c r="Z1404" s="2">
        <v>2</v>
      </c>
    </row>
    <row r="1405" spans="1:26" x14ac:dyDescent="0.2">
      <c r="A1405" s="2" t="s">
        <v>3541</v>
      </c>
      <c r="B1405" s="2" t="b">
        <v>0</v>
      </c>
      <c r="C1405" s="2" t="b">
        <v>0</v>
      </c>
      <c r="D1405" s="2" t="b">
        <v>0</v>
      </c>
      <c r="E1405" s="2" t="b">
        <v>0</v>
      </c>
      <c r="F1405" s="2" t="s">
        <v>31</v>
      </c>
      <c r="G1405" s="2" t="s">
        <v>3542</v>
      </c>
      <c r="H1405" s="2" t="s">
        <v>3543</v>
      </c>
      <c r="I1405" s="2" t="s">
        <v>35</v>
      </c>
      <c r="J1405" s="2" t="s">
        <v>35</v>
      </c>
      <c r="K1405" s="2" t="s">
        <v>35</v>
      </c>
      <c r="L1405" s="2" t="s">
        <v>35</v>
      </c>
      <c r="M1405" s="2" t="s">
        <v>35</v>
      </c>
      <c r="N1405" s="3">
        <v>44769.408316631947</v>
      </c>
      <c r="O1405" s="3">
        <v>44769.408509560184</v>
      </c>
      <c r="P1405" s="2">
        <v>0</v>
      </c>
      <c r="Q1405" s="2" t="s">
        <v>36</v>
      </c>
      <c r="R1405" s="2" t="s">
        <v>38</v>
      </c>
      <c r="S1405" s="2" t="s">
        <v>35</v>
      </c>
      <c r="T1405" s="2" t="s">
        <v>35</v>
      </c>
      <c r="U1405" s="2" t="s">
        <v>35</v>
      </c>
      <c r="V1405" s="2" t="b">
        <v>0</v>
      </c>
      <c r="W1405" s="2" t="s">
        <v>3516</v>
      </c>
      <c r="X1405" s="2" t="s">
        <v>35</v>
      </c>
      <c r="Y1405" s="2" t="s">
        <v>35</v>
      </c>
      <c r="Z1405" s="2">
        <v>2</v>
      </c>
    </row>
    <row r="1406" spans="1:26" x14ac:dyDescent="0.2">
      <c r="A1406" s="2" t="s">
        <v>3544</v>
      </c>
      <c r="B1406" s="2" t="b">
        <v>0</v>
      </c>
      <c r="C1406" s="2" t="b">
        <v>0</v>
      </c>
      <c r="D1406" s="2" t="b">
        <v>0</v>
      </c>
      <c r="E1406" s="2" t="b">
        <v>0</v>
      </c>
      <c r="F1406" s="2" t="s">
        <v>31</v>
      </c>
      <c r="G1406" s="2" t="s">
        <v>3545</v>
      </c>
      <c r="H1406" s="2" t="s">
        <v>3546</v>
      </c>
      <c r="I1406" s="2" t="s">
        <v>675</v>
      </c>
      <c r="J1406" s="2" t="s">
        <v>35</v>
      </c>
      <c r="K1406" s="2" t="s">
        <v>35</v>
      </c>
      <c r="L1406" s="2" t="s">
        <v>35</v>
      </c>
      <c r="M1406" s="2" t="s">
        <v>35</v>
      </c>
      <c r="N1406" s="3">
        <v>44769.408863807868</v>
      </c>
      <c r="O1406" s="3">
        <v>44769.40912866898</v>
      </c>
      <c r="P1406" s="2">
        <v>0</v>
      </c>
      <c r="Q1406" s="2" t="s">
        <v>124</v>
      </c>
      <c r="R1406" s="2" t="s">
        <v>38</v>
      </c>
      <c r="S1406" s="2" t="s">
        <v>35</v>
      </c>
      <c r="T1406" s="2" t="s">
        <v>35</v>
      </c>
      <c r="U1406" s="2" t="s">
        <v>35</v>
      </c>
      <c r="V1406" s="2" t="b">
        <v>0</v>
      </c>
      <c r="W1406" s="2" t="s">
        <v>35</v>
      </c>
      <c r="X1406" s="2">
        <v>4</v>
      </c>
      <c r="Y1406" s="2" t="s">
        <v>35</v>
      </c>
      <c r="Z1406" s="2" t="s">
        <v>35</v>
      </c>
    </row>
    <row r="1407" spans="1:26" x14ac:dyDescent="0.2">
      <c r="A1407" s="2" t="s">
        <v>3547</v>
      </c>
      <c r="B1407" s="2" t="b">
        <v>0</v>
      </c>
      <c r="C1407" s="2" t="b">
        <v>0</v>
      </c>
      <c r="D1407" s="2" t="b">
        <v>0</v>
      </c>
      <c r="E1407" s="2" t="b">
        <v>0</v>
      </c>
      <c r="F1407" s="2" t="s">
        <v>31</v>
      </c>
      <c r="G1407" s="2" t="s">
        <v>3548</v>
      </c>
      <c r="H1407" s="2" t="s">
        <v>3549</v>
      </c>
      <c r="I1407" s="2" t="s">
        <v>35</v>
      </c>
      <c r="J1407" s="2" t="s">
        <v>35</v>
      </c>
      <c r="K1407" s="2" t="s">
        <v>35</v>
      </c>
      <c r="L1407" s="2" t="s">
        <v>35</v>
      </c>
      <c r="M1407" s="2" t="s">
        <v>35</v>
      </c>
      <c r="N1407" s="3">
        <v>44769.40920347222</v>
      </c>
      <c r="O1407" s="3">
        <v>44769.409343101855</v>
      </c>
      <c r="P1407" s="2">
        <v>0</v>
      </c>
      <c r="Q1407" s="2" t="s">
        <v>36</v>
      </c>
      <c r="R1407" s="2" t="s">
        <v>38</v>
      </c>
      <c r="S1407" s="2" t="s">
        <v>35</v>
      </c>
      <c r="T1407" s="2" t="s">
        <v>35</v>
      </c>
      <c r="U1407" s="2" t="s">
        <v>35</v>
      </c>
      <c r="V1407" s="2" t="b">
        <v>0</v>
      </c>
      <c r="W1407" s="2" t="s">
        <v>35</v>
      </c>
      <c r="X1407" s="2" t="s">
        <v>35</v>
      </c>
      <c r="Y1407" s="2" t="s">
        <v>35</v>
      </c>
      <c r="Z1407" s="2">
        <v>2</v>
      </c>
    </row>
    <row r="1408" spans="1:26" x14ac:dyDescent="0.2">
      <c r="A1408" s="2" t="s">
        <v>3550</v>
      </c>
      <c r="B1408" s="2" t="b">
        <v>0</v>
      </c>
      <c r="C1408" s="2" t="b">
        <v>0</v>
      </c>
      <c r="D1408" s="2" t="b">
        <v>0</v>
      </c>
      <c r="E1408" s="2" t="b">
        <v>0</v>
      </c>
      <c r="F1408" s="2" t="s">
        <v>31</v>
      </c>
      <c r="G1408" s="2" t="s">
        <v>3551</v>
      </c>
      <c r="H1408" s="2" t="s">
        <v>3552</v>
      </c>
      <c r="I1408" s="2" t="s">
        <v>35</v>
      </c>
      <c r="J1408" s="2" t="s">
        <v>35</v>
      </c>
      <c r="K1408" s="2" t="s">
        <v>35</v>
      </c>
      <c r="L1408" s="2" t="s">
        <v>35</v>
      </c>
      <c r="M1408" s="2" t="s">
        <v>35</v>
      </c>
      <c r="N1408" s="3">
        <v>44769.410011435182</v>
      </c>
      <c r="O1408" s="3">
        <v>44769.410130289354</v>
      </c>
      <c r="P1408" s="2">
        <v>0</v>
      </c>
      <c r="Q1408" s="2" t="s">
        <v>36</v>
      </c>
      <c r="R1408" s="2" t="s">
        <v>38</v>
      </c>
      <c r="S1408" s="2" t="s">
        <v>35</v>
      </c>
      <c r="T1408" s="2" t="s">
        <v>35</v>
      </c>
      <c r="U1408" s="2" t="s">
        <v>35</v>
      </c>
      <c r="V1408" s="2" t="b">
        <v>0</v>
      </c>
      <c r="W1408" s="2" t="s">
        <v>35</v>
      </c>
      <c r="X1408" s="2" t="s">
        <v>35</v>
      </c>
      <c r="Y1408" s="2" t="s">
        <v>35</v>
      </c>
      <c r="Z1408" s="2">
        <v>2</v>
      </c>
    </row>
    <row r="1409" spans="1:26" x14ac:dyDescent="0.2">
      <c r="A1409" s="2" t="s">
        <v>3553</v>
      </c>
      <c r="B1409" s="2" t="b">
        <v>0</v>
      </c>
      <c r="C1409" s="2" t="b">
        <v>0</v>
      </c>
      <c r="D1409" s="2" t="b">
        <v>0</v>
      </c>
      <c r="E1409" s="2" t="b">
        <v>0</v>
      </c>
      <c r="F1409" s="2" t="s">
        <v>31</v>
      </c>
      <c r="G1409" s="2" t="s">
        <v>3554</v>
      </c>
      <c r="H1409" s="2" t="s">
        <v>3555</v>
      </c>
      <c r="I1409" s="2" t="s">
        <v>3105</v>
      </c>
      <c r="J1409" s="2" t="s">
        <v>35</v>
      </c>
      <c r="K1409" s="2" t="s">
        <v>35</v>
      </c>
      <c r="L1409" s="2" t="s">
        <v>35</v>
      </c>
      <c r="M1409" s="2" t="s">
        <v>35</v>
      </c>
      <c r="N1409" s="3">
        <v>44769.411410312503</v>
      </c>
      <c r="O1409" s="3">
        <v>44769.411672662034</v>
      </c>
      <c r="P1409" s="2">
        <v>0</v>
      </c>
      <c r="Q1409" s="2" t="s">
        <v>36</v>
      </c>
      <c r="R1409" s="2" t="s">
        <v>38</v>
      </c>
      <c r="S1409" s="2" t="s">
        <v>35</v>
      </c>
      <c r="T1409" s="2" t="s">
        <v>35</v>
      </c>
      <c r="U1409" s="2" t="s">
        <v>35</v>
      </c>
      <c r="V1409" s="2" t="b">
        <v>0</v>
      </c>
      <c r="W1409" s="2" t="s">
        <v>35</v>
      </c>
      <c r="X1409" s="2" t="s">
        <v>35</v>
      </c>
      <c r="Y1409" s="2">
        <v>3</v>
      </c>
      <c r="Z1409" s="2">
        <v>4</v>
      </c>
    </row>
    <row r="1410" spans="1:26" x14ac:dyDescent="0.2">
      <c r="A1410" s="2" t="s">
        <v>3556</v>
      </c>
      <c r="B1410" s="2" t="b">
        <v>0</v>
      </c>
      <c r="C1410" s="2" t="b">
        <v>0</v>
      </c>
      <c r="D1410" s="2" t="b">
        <v>0</v>
      </c>
      <c r="E1410" s="2" t="b">
        <v>0</v>
      </c>
      <c r="F1410" s="2" t="s">
        <v>31</v>
      </c>
      <c r="G1410" s="2" t="s">
        <v>3557</v>
      </c>
      <c r="H1410" s="2" t="s">
        <v>3558</v>
      </c>
      <c r="I1410" s="2" t="s">
        <v>3559</v>
      </c>
      <c r="J1410" s="2" t="s">
        <v>35</v>
      </c>
      <c r="K1410" s="2" t="s">
        <v>35</v>
      </c>
      <c r="L1410" s="2" t="s">
        <v>35</v>
      </c>
      <c r="M1410" s="2" t="s">
        <v>35</v>
      </c>
      <c r="N1410" s="3">
        <v>44769.412288715277</v>
      </c>
      <c r="O1410" s="3">
        <v>44769.412596261573</v>
      </c>
      <c r="P1410" s="2">
        <v>0</v>
      </c>
      <c r="Q1410" s="2" t="s">
        <v>36</v>
      </c>
      <c r="R1410" s="2" t="s">
        <v>38</v>
      </c>
      <c r="S1410" s="2" t="s">
        <v>35</v>
      </c>
      <c r="T1410" s="2" t="s">
        <v>35</v>
      </c>
      <c r="U1410" s="2" t="s">
        <v>35</v>
      </c>
      <c r="V1410" s="2" t="b">
        <v>0</v>
      </c>
      <c r="W1410" s="2" t="s">
        <v>35</v>
      </c>
      <c r="X1410" s="2" t="s">
        <v>35</v>
      </c>
      <c r="Y1410" s="2">
        <v>3</v>
      </c>
      <c r="Z1410" s="2">
        <v>2</v>
      </c>
    </row>
    <row r="1411" spans="1:26" x14ac:dyDescent="0.2">
      <c r="A1411" s="2" t="s">
        <v>3560</v>
      </c>
      <c r="B1411" s="2" t="b">
        <v>0</v>
      </c>
      <c r="C1411" s="2" t="b">
        <v>0</v>
      </c>
      <c r="D1411" s="2" t="b">
        <v>0</v>
      </c>
      <c r="E1411" s="2" t="b">
        <v>0</v>
      </c>
      <c r="F1411" s="2" t="s">
        <v>31</v>
      </c>
      <c r="G1411" s="2" t="s">
        <v>3561</v>
      </c>
      <c r="H1411" s="2" t="s">
        <v>3562</v>
      </c>
      <c r="I1411" s="2" t="s">
        <v>3559</v>
      </c>
      <c r="J1411" s="2" t="s">
        <v>35</v>
      </c>
      <c r="K1411" s="2" t="s">
        <v>35</v>
      </c>
      <c r="L1411" s="2" t="s">
        <v>35</v>
      </c>
      <c r="M1411" s="2" t="s">
        <v>35</v>
      </c>
      <c r="N1411" s="3">
        <v>44769.413108391207</v>
      </c>
      <c r="O1411" s="3">
        <v>44769.413377592595</v>
      </c>
      <c r="P1411" s="2">
        <v>0</v>
      </c>
      <c r="Q1411" s="2" t="s">
        <v>36</v>
      </c>
      <c r="R1411" s="2" t="s">
        <v>38</v>
      </c>
      <c r="S1411" s="2" t="s">
        <v>35</v>
      </c>
      <c r="T1411" s="2" t="s">
        <v>35</v>
      </c>
      <c r="U1411" s="2" t="s">
        <v>35</v>
      </c>
      <c r="V1411" s="2" t="b">
        <v>0</v>
      </c>
      <c r="W1411" s="2" t="s">
        <v>35</v>
      </c>
      <c r="X1411" s="2" t="s">
        <v>35</v>
      </c>
      <c r="Y1411" s="2">
        <v>3</v>
      </c>
      <c r="Z1411" s="2" t="s">
        <v>35</v>
      </c>
    </row>
    <row r="1412" spans="1:26" x14ac:dyDescent="0.2">
      <c r="A1412" s="2" t="s">
        <v>3563</v>
      </c>
      <c r="B1412" s="2" t="b">
        <v>0</v>
      </c>
      <c r="C1412" s="2" t="b">
        <v>0</v>
      </c>
      <c r="D1412" s="2" t="b">
        <v>0</v>
      </c>
      <c r="E1412" s="2" t="b">
        <v>0</v>
      </c>
      <c r="F1412" s="2" t="s">
        <v>31</v>
      </c>
      <c r="G1412" s="2" t="s">
        <v>3564</v>
      </c>
      <c r="H1412" s="2" t="s">
        <v>3565</v>
      </c>
      <c r="I1412" s="2" t="s">
        <v>3566</v>
      </c>
      <c r="J1412" s="2" t="s">
        <v>35</v>
      </c>
      <c r="K1412" s="2" t="s">
        <v>35</v>
      </c>
      <c r="L1412" s="2" t="s">
        <v>35</v>
      </c>
      <c r="M1412" s="2" t="s">
        <v>35</v>
      </c>
      <c r="N1412" s="3">
        <v>44769.414027534724</v>
      </c>
      <c r="O1412" s="3">
        <v>44769.414536319448</v>
      </c>
      <c r="P1412" s="2">
        <v>0</v>
      </c>
      <c r="Q1412" s="2" t="s">
        <v>36</v>
      </c>
      <c r="R1412" s="2" t="s">
        <v>38</v>
      </c>
      <c r="S1412" s="2" t="s">
        <v>35</v>
      </c>
      <c r="T1412" s="2" t="s">
        <v>35</v>
      </c>
      <c r="U1412" s="2" t="s">
        <v>35</v>
      </c>
      <c r="V1412" s="2" t="b">
        <v>0</v>
      </c>
      <c r="W1412" s="2" t="s">
        <v>35</v>
      </c>
      <c r="X1412" s="2" t="s">
        <v>35</v>
      </c>
      <c r="Y1412" s="2">
        <v>5</v>
      </c>
      <c r="Z1412" s="2" t="s">
        <v>35</v>
      </c>
    </row>
    <row r="1413" spans="1:26" x14ac:dyDescent="0.2">
      <c r="A1413" s="2" t="s">
        <v>3567</v>
      </c>
      <c r="B1413" s="2" t="b">
        <v>0</v>
      </c>
      <c r="C1413" s="2" t="b">
        <v>0</v>
      </c>
      <c r="D1413" s="2" t="b">
        <v>0</v>
      </c>
      <c r="E1413" s="2" t="b">
        <v>0</v>
      </c>
      <c r="F1413" s="2" t="s">
        <v>31</v>
      </c>
      <c r="G1413" s="2" t="s">
        <v>3568</v>
      </c>
      <c r="H1413" s="2" t="s">
        <v>3569</v>
      </c>
      <c r="I1413" s="2" t="s">
        <v>35</v>
      </c>
      <c r="J1413" s="2" t="s">
        <v>35</v>
      </c>
      <c r="K1413" s="2" t="s">
        <v>35</v>
      </c>
      <c r="L1413" s="2" t="s">
        <v>35</v>
      </c>
      <c r="M1413" s="2" t="s">
        <v>35</v>
      </c>
      <c r="N1413" s="3">
        <v>44769.415085428242</v>
      </c>
      <c r="O1413" s="3">
        <v>44769.415363449072</v>
      </c>
      <c r="P1413" s="2">
        <v>0</v>
      </c>
      <c r="Q1413" s="2" t="s">
        <v>36</v>
      </c>
      <c r="R1413" s="2" t="s">
        <v>38</v>
      </c>
      <c r="S1413" s="2" t="s">
        <v>35</v>
      </c>
      <c r="T1413" s="2" t="s">
        <v>35</v>
      </c>
      <c r="U1413" s="2" t="s">
        <v>35</v>
      </c>
      <c r="V1413" s="2" t="b">
        <v>0</v>
      </c>
      <c r="W1413" s="2" t="s">
        <v>35</v>
      </c>
      <c r="X1413" s="2" t="s">
        <v>35</v>
      </c>
      <c r="Y1413" s="2" t="s">
        <v>35</v>
      </c>
      <c r="Z1413" s="2">
        <v>6</v>
      </c>
    </row>
    <row r="1414" spans="1:26" x14ac:dyDescent="0.2">
      <c r="A1414" s="2" t="s">
        <v>3570</v>
      </c>
      <c r="B1414" s="2" t="b">
        <v>0</v>
      </c>
      <c r="C1414" s="2" t="b">
        <v>0</v>
      </c>
      <c r="D1414" s="2" t="b">
        <v>0</v>
      </c>
      <c r="E1414" s="2" t="b">
        <v>0</v>
      </c>
      <c r="F1414" s="2" t="s">
        <v>31</v>
      </c>
      <c r="G1414" s="2" t="s">
        <v>3571</v>
      </c>
      <c r="H1414" s="2" t="s">
        <v>3572</v>
      </c>
      <c r="I1414" s="2" t="s">
        <v>3573</v>
      </c>
      <c r="J1414" s="2" t="s">
        <v>35</v>
      </c>
      <c r="K1414" s="2" t="s">
        <v>35</v>
      </c>
      <c r="L1414" s="2" t="s">
        <v>35</v>
      </c>
      <c r="M1414" s="2" t="s">
        <v>35</v>
      </c>
      <c r="N1414" s="3">
        <v>44769.415422708335</v>
      </c>
      <c r="O1414" s="3">
        <v>44769.415774733796</v>
      </c>
      <c r="P1414" s="2">
        <v>0</v>
      </c>
      <c r="Q1414" s="2" t="s">
        <v>109</v>
      </c>
      <c r="R1414" s="2" t="s">
        <v>38</v>
      </c>
      <c r="S1414" s="2" t="s">
        <v>35</v>
      </c>
      <c r="T1414" s="2">
        <v>0</v>
      </c>
      <c r="U1414" s="2" t="s">
        <v>35</v>
      </c>
      <c r="V1414" s="2" t="b">
        <v>0</v>
      </c>
      <c r="W1414" s="2" t="s">
        <v>35</v>
      </c>
      <c r="X1414" s="2" t="s">
        <v>35</v>
      </c>
      <c r="Y1414" s="2" t="s">
        <v>35</v>
      </c>
      <c r="Z1414" s="2" t="s">
        <v>35</v>
      </c>
    </row>
    <row r="1415" spans="1:26" x14ac:dyDescent="0.2">
      <c r="A1415" s="2" t="s">
        <v>3574</v>
      </c>
      <c r="B1415" s="2" t="b">
        <v>0</v>
      </c>
      <c r="C1415" s="2" t="b">
        <v>0</v>
      </c>
      <c r="D1415" s="2" t="b">
        <v>0</v>
      </c>
      <c r="E1415" s="2" t="b">
        <v>0</v>
      </c>
      <c r="F1415" s="2" t="s">
        <v>31</v>
      </c>
      <c r="G1415" s="2" t="s">
        <v>3575</v>
      </c>
      <c r="H1415" s="2" t="s">
        <v>3576</v>
      </c>
      <c r="I1415" s="2" t="s">
        <v>3577</v>
      </c>
      <c r="J1415" s="2" t="s">
        <v>35</v>
      </c>
      <c r="K1415" s="2" t="s">
        <v>35</v>
      </c>
      <c r="L1415" s="2" t="s">
        <v>35</v>
      </c>
      <c r="M1415" s="2" t="s">
        <v>35</v>
      </c>
      <c r="N1415" s="3">
        <v>44769.416571041664</v>
      </c>
      <c r="O1415" s="3">
        <v>44769.416893159723</v>
      </c>
      <c r="P1415" s="2">
        <v>0</v>
      </c>
      <c r="Q1415" s="2" t="s">
        <v>36</v>
      </c>
      <c r="R1415" s="2" t="s">
        <v>38</v>
      </c>
      <c r="S1415" s="2" t="s">
        <v>35</v>
      </c>
      <c r="T1415" s="2" t="s">
        <v>35</v>
      </c>
      <c r="U1415" s="2" t="s">
        <v>35</v>
      </c>
      <c r="V1415" s="2" t="b">
        <v>0</v>
      </c>
      <c r="W1415" s="2" t="s">
        <v>35</v>
      </c>
      <c r="X1415" s="2" t="s">
        <v>35</v>
      </c>
      <c r="Y1415" s="2">
        <v>3</v>
      </c>
      <c r="Z1415" s="2">
        <v>3</v>
      </c>
    </row>
    <row r="1416" spans="1:26" x14ac:dyDescent="0.2">
      <c r="A1416" s="2" t="s">
        <v>3578</v>
      </c>
      <c r="B1416" s="2" t="b">
        <v>0</v>
      </c>
      <c r="C1416" s="2" t="b">
        <v>0</v>
      </c>
      <c r="D1416" s="2" t="b">
        <v>0</v>
      </c>
      <c r="E1416" s="2" t="b">
        <v>0</v>
      </c>
      <c r="F1416" s="2" t="s">
        <v>31</v>
      </c>
      <c r="G1416" s="2" t="s">
        <v>3579</v>
      </c>
      <c r="H1416" s="2" t="s">
        <v>3580</v>
      </c>
      <c r="I1416" s="2" t="s">
        <v>1574</v>
      </c>
      <c r="J1416" s="2" t="s">
        <v>35</v>
      </c>
      <c r="K1416" s="2" t="s">
        <v>35</v>
      </c>
      <c r="L1416" s="2">
        <v>3</v>
      </c>
      <c r="M1416" s="2">
        <v>14</v>
      </c>
      <c r="N1416" s="3">
        <v>44769.417349699077</v>
      </c>
      <c r="O1416" s="3">
        <v>44769.417777002316</v>
      </c>
      <c r="P1416" s="2">
        <v>0</v>
      </c>
      <c r="Q1416" s="2" t="s">
        <v>54</v>
      </c>
      <c r="R1416" s="2" t="s">
        <v>38</v>
      </c>
      <c r="S1416" s="2" t="s">
        <v>35</v>
      </c>
      <c r="T1416" s="2" t="s">
        <v>35</v>
      </c>
      <c r="U1416" s="2" t="s">
        <v>35</v>
      </c>
      <c r="V1416" s="2" t="b">
        <v>1</v>
      </c>
      <c r="W1416" s="2" t="s">
        <v>35</v>
      </c>
      <c r="X1416" s="2" t="s">
        <v>35</v>
      </c>
      <c r="Y1416" s="2" t="s">
        <v>35</v>
      </c>
      <c r="Z1416" s="2" t="s">
        <v>35</v>
      </c>
    </row>
    <row r="1417" spans="1:26" x14ac:dyDescent="0.2">
      <c r="A1417" s="2" t="s">
        <v>3581</v>
      </c>
      <c r="B1417" s="2" t="b">
        <v>0</v>
      </c>
      <c r="C1417" s="2" t="b">
        <v>0</v>
      </c>
      <c r="D1417" s="2" t="b">
        <v>0</v>
      </c>
      <c r="E1417" s="2" t="b">
        <v>0</v>
      </c>
      <c r="F1417" s="2" t="s">
        <v>31</v>
      </c>
      <c r="G1417" s="2" t="s">
        <v>3582</v>
      </c>
      <c r="H1417" s="2" t="s">
        <v>3583</v>
      </c>
      <c r="I1417" s="2" t="s">
        <v>3559</v>
      </c>
      <c r="J1417" s="2" t="s">
        <v>35</v>
      </c>
      <c r="K1417" s="2" t="s">
        <v>35</v>
      </c>
      <c r="L1417" s="2" t="s">
        <v>35</v>
      </c>
      <c r="M1417" s="2" t="s">
        <v>35</v>
      </c>
      <c r="N1417" s="3">
        <v>44769.418306967593</v>
      </c>
      <c r="O1417" s="3">
        <v>44769.418742789348</v>
      </c>
      <c r="P1417" s="2">
        <v>0</v>
      </c>
      <c r="Q1417" s="2" t="s">
        <v>36</v>
      </c>
      <c r="R1417" s="2" t="s">
        <v>38</v>
      </c>
      <c r="S1417" s="2" t="s">
        <v>35</v>
      </c>
      <c r="T1417" s="2" t="s">
        <v>35</v>
      </c>
      <c r="U1417" s="2" t="s">
        <v>35</v>
      </c>
      <c r="V1417" s="2" t="b">
        <v>0</v>
      </c>
      <c r="W1417" s="2" t="s">
        <v>35</v>
      </c>
      <c r="X1417" s="2" t="s">
        <v>35</v>
      </c>
      <c r="Y1417" s="2">
        <v>5</v>
      </c>
      <c r="Z1417" s="2">
        <v>3</v>
      </c>
    </row>
    <row r="1418" spans="1:26" x14ac:dyDescent="0.2">
      <c r="A1418" s="2" t="s">
        <v>3584</v>
      </c>
      <c r="B1418" s="2" t="b">
        <v>0</v>
      </c>
      <c r="C1418" s="2" t="b">
        <v>0</v>
      </c>
      <c r="D1418" s="2" t="b">
        <v>0</v>
      </c>
      <c r="E1418" s="2" t="b">
        <v>0</v>
      </c>
      <c r="F1418" s="2" t="s">
        <v>31</v>
      </c>
      <c r="G1418" s="2" t="s">
        <v>3585</v>
      </c>
      <c r="H1418" s="2" t="s">
        <v>3586</v>
      </c>
      <c r="I1418" s="2" t="s">
        <v>35</v>
      </c>
      <c r="J1418" s="2" t="s">
        <v>35</v>
      </c>
      <c r="K1418" s="2" t="s">
        <v>35</v>
      </c>
      <c r="L1418" s="2" t="s">
        <v>35</v>
      </c>
      <c r="M1418" s="2" t="s">
        <v>35</v>
      </c>
      <c r="N1418" s="3">
        <v>44769.419076782404</v>
      </c>
      <c r="O1418" s="3">
        <v>44769.419198553238</v>
      </c>
      <c r="P1418" s="2">
        <v>0</v>
      </c>
      <c r="Q1418" s="2" t="s">
        <v>100</v>
      </c>
      <c r="R1418" s="2" t="s">
        <v>38</v>
      </c>
      <c r="S1418" s="2" t="s">
        <v>35</v>
      </c>
      <c r="T1418" s="2">
        <v>110</v>
      </c>
      <c r="U1418" s="2" t="s">
        <v>35</v>
      </c>
      <c r="V1418" s="2" t="b">
        <v>0</v>
      </c>
      <c r="W1418" s="2" t="s">
        <v>35</v>
      </c>
      <c r="X1418" s="2" t="s">
        <v>35</v>
      </c>
      <c r="Y1418" s="2" t="s">
        <v>35</v>
      </c>
      <c r="Z1418" s="2" t="s">
        <v>35</v>
      </c>
    </row>
    <row r="1419" spans="1:26" x14ac:dyDescent="0.2">
      <c r="A1419" s="2" t="s">
        <v>3587</v>
      </c>
      <c r="B1419" s="2" t="b">
        <v>0</v>
      </c>
      <c r="C1419" s="2" t="b">
        <v>0</v>
      </c>
      <c r="D1419" s="2" t="b">
        <v>0</v>
      </c>
      <c r="E1419" s="2" t="b">
        <v>0</v>
      </c>
      <c r="F1419" s="2" t="s">
        <v>31</v>
      </c>
      <c r="G1419" s="2" t="s">
        <v>3588</v>
      </c>
      <c r="H1419" s="2" t="s">
        <v>3589</v>
      </c>
      <c r="I1419" s="2" t="s">
        <v>3566</v>
      </c>
      <c r="J1419" s="2" t="s">
        <v>35</v>
      </c>
      <c r="K1419" s="2" t="s">
        <v>35</v>
      </c>
      <c r="L1419" s="2" t="s">
        <v>35</v>
      </c>
      <c r="M1419" s="2" t="s">
        <v>35</v>
      </c>
      <c r="N1419" s="3">
        <v>44769.41929020833</v>
      </c>
      <c r="O1419" s="3">
        <v>44769.419805173609</v>
      </c>
      <c r="P1419" s="2">
        <v>0</v>
      </c>
      <c r="Q1419" s="2" t="s">
        <v>36</v>
      </c>
      <c r="R1419" s="2" t="s">
        <v>38</v>
      </c>
      <c r="S1419" s="2" t="s">
        <v>35</v>
      </c>
      <c r="T1419" s="2" t="s">
        <v>35</v>
      </c>
      <c r="U1419" s="2" t="s">
        <v>35</v>
      </c>
      <c r="V1419" s="2" t="b">
        <v>0</v>
      </c>
      <c r="W1419" s="2" t="s">
        <v>35</v>
      </c>
      <c r="X1419" s="2" t="s">
        <v>35</v>
      </c>
      <c r="Y1419" s="2">
        <v>3</v>
      </c>
      <c r="Z1419" s="2" t="s">
        <v>35</v>
      </c>
    </row>
    <row r="1420" spans="1:26" x14ac:dyDescent="0.2">
      <c r="A1420" s="2" t="s">
        <v>3590</v>
      </c>
      <c r="B1420" s="2" t="b">
        <v>0</v>
      </c>
      <c r="C1420" s="2" t="b">
        <v>0</v>
      </c>
      <c r="D1420" s="2" t="b">
        <v>0</v>
      </c>
      <c r="E1420" s="2" t="b">
        <v>0</v>
      </c>
      <c r="F1420" s="2" t="s">
        <v>31</v>
      </c>
      <c r="G1420" s="2" t="s">
        <v>3591</v>
      </c>
      <c r="H1420" s="2" t="s">
        <v>3592</v>
      </c>
      <c r="I1420" s="2" t="s">
        <v>3593</v>
      </c>
      <c r="J1420" s="2" t="s">
        <v>35</v>
      </c>
      <c r="K1420" s="2" t="s">
        <v>35</v>
      </c>
      <c r="L1420" s="2" t="s">
        <v>35</v>
      </c>
      <c r="M1420" s="2" t="s">
        <v>35</v>
      </c>
      <c r="N1420" s="3">
        <v>44769.421749317131</v>
      </c>
      <c r="O1420" s="3">
        <v>44769.422252164353</v>
      </c>
      <c r="P1420" s="2">
        <v>0</v>
      </c>
      <c r="Q1420" s="2" t="s">
        <v>36</v>
      </c>
      <c r="R1420" s="2" t="s">
        <v>38</v>
      </c>
      <c r="S1420" s="2" t="s">
        <v>35</v>
      </c>
      <c r="T1420" s="2" t="s">
        <v>35</v>
      </c>
      <c r="U1420" s="2" t="s">
        <v>35</v>
      </c>
      <c r="V1420" s="2" t="b">
        <v>0</v>
      </c>
      <c r="W1420" s="2" t="s">
        <v>35</v>
      </c>
      <c r="X1420" s="2" t="s">
        <v>35</v>
      </c>
      <c r="Y1420" s="2">
        <v>3</v>
      </c>
      <c r="Z1420" s="2">
        <v>4</v>
      </c>
    </row>
    <row r="1421" spans="1:26" x14ac:dyDescent="0.2">
      <c r="A1421" s="2" t="s">
        <v>3594</v>
      </c>
      <c r="B1421" s="2" t="b">
        <v>0</v>
      </c>
      <c r="C1421" s="2" t="b">
        <v>0</v>
      </c>
      <c r="D1421" s="2" t="b">
        <v>0</v>
      </c>
      <c r="E1421" s="2" t="b">
        <v>0</v>
      </c>
      <c r="F1421" s="2" t="s">
        <v>31</v>
      </c>
      <c r="G1421" s="2" t="s">
        <v>3595</v>
      </c>
      <c r="H1421" s="2" t="s">
        <v>3596</v>
      </c>
      <c r="I1421" s="2" t="s">
        <v>3152</v>
      </c>
      <c r="J1421" s="2" t="s">
        <v>35</v>
      </c>
      <c r="K1421" s="2" t="s">
        <v>35</v>
      </c>
      <c r="L1421" s="2" t="s">
        <v>35</v>
      </c>
      <c r="M1421" s="2" t="s">
        <v>35</v>
      </c>
      <c r="N1421" s="3">
        <v>44769.423682511573</v>
      </c>
      <c r="O1421" s="3">
        <v>44769.424200162037</v>
      </c>
      <c r="P1421" s="2">
        <v>0</v>
      </c>
      <c r="Q1421" s="2" t="s">
        <v>36</v>
      </c>
      <c r="R1421" s="2" t="s">
        <v>38</v>
      </c>
      <c r="S1421" s="2" t="s">
        <v>35</v>
      </c>
      <c r="T1421" s="2" t="s">
        <v>35</v>
      </c>
      <c r="U1421" s="2" t="s">
        <v>35</v>
      </c>
      <c r="V1421" s="2" t="b">
        <v>0</v>
      </c>
      <c r="W1421" s="2" t="s">
        <v>35</v>
      </c>
      <c r="X1421" s="2" t="s">
        <v>35</v>
      </c>
      <c r="Y1421" s="2">
        <v>10</v>
      </c>
      <c r="Z1421" s="2" t="s">
        <v>35</v>
      </c>
    </row>
    <row r="1422" spans="1:26" x14ac:dyDescent="0.2">
      <c r="A1422" s="2" t="s">
        <v>3597</v>
      </c>
      <c r="B1422" s="2" t="b">
        <v>0</v>
      </c>
      <c r="C1422" s="2" t="b">
        <v>0</v>
      </c>
      <c r="D1422" s="2" t="b">
        <v>0</v>
      </c>
      <c r="E1422" s="2" t="b">
        <v>0</v>
      </c>
      <c r="F1422" s="2" t="s">
        <v>31</v>
      </c>
      <c r="G1422" s="2" t="s">
        <v>3598</v>
      </c>
      <c r="H1422" s="2" t="s">
        <v>3599</v>
      </c>
      <c r="I1422" s="2" t="s">
        <v>35</v>
      </c>
      <c r="J1422" s="2" t="s">
        <v>35</v>
      </c>
      <c r="K1422" s="2" t="s">
        <v>35</v>
      </c>
      <c r="L1422" s="2" t="s">
        <v>35</v>
      </c>
      <c r="M1422" s="2" t="s">
        <v>35</v>
      </c>
      <c r="N1422" s="3">
        <v>44769.425108692129</v>
      </c>
      <c r="O1422" s="3">
        <v>44769.425226562496</v>
      </c>
      <c r="P1422" s="2">
        <v>0</v>
      </c>
      <c r="Q1422" s="2" t="s">
        <v>36</v>
      </c>
      <c r="R1422" s="2" t="s">
        <v>38</v>
      </c>
      <c r="S1422" s="2" t="s">
        <v>35</v>
      </c>
      <c r="T1422" s="2" t="s">
        <v>35</v>
      </c>
      <c r="U1422" s="2" t="s">
        <v>35</v>
      </c>
      <c r="V1422" s="2" t="b">
        <v>0</v>
      </c>
      <c r="W1422" s="2" t="s">
        <v>35</v>
      </c>
      <c r="X1422" s="2" t="s">
        <v>35</v>
      </c>
      <c r="Y1422" s="2" t="s">
        <v>35</v>
      </c>
      <c r="Z1422" s="2">
        <v>6</v>
      </c>
    </row>
    <row r="1423" spans="1:26" x14ac:dyDescent="0.2">
      <c r="A1423" s="2" t="s">
        <v>3600</v>
      </c>
      <c r="B1423" s="2" t="b">
        <v>0</v>
      </c>
      <c r="C1423" s="2" t="b">
        <v>0</v>
      </c>
      <c r="D1423" s="2" t="b">
        <v>0</v>
      </c>
      <c r="E1423" s="2" t="b">
        <v>0</v>
      </c>
      <c r="F1423" s="2" t="s">
        <v>31</v>
      </c>
      <c r="G1423" s="2" t="s">
        <v>3601</v>
      </c>
      <c r="H1423" s="2" t="s">
        <v>3602</v>
      </c>
      <c r="I1423" s="2" t="s">
        <v>3603</v>
      </c>
      <c r="J1423" s="2" t="s">
        <v>35</v>
      </c>
      <c r="K1423" s="2" t="s">
        <v>35</v>
      </c>
      <c r="L1423" s="2" t="s">
        <v>35</v>
      </c>
      <c r="M1423" s="2" t="s">
        <v>35</v>
      </c>
      <c r="N1423" s="3">
        <v>44769.425794212963</v>
      </c>
      <c r="O1423" s="3">
        <v>44769.426277025465</v>
      </c>
      <c r="P1423" s="2">
        <v>0</v>
      </c>
      <c r="Q1423" s="2" t="s">
        <v>416</v>
      </c>
      <c r="R1423" s="2" t="s">
        <v>38</v>
      </c>
      <c r="S1423" s="2" t="s">
        <v>35</v>
      </c>
      <c r="T1423" s="2">
        <v>0</v>
      </c>
      <c r="U1423" s="2" t="s">
        <v>3604</v>
      </c>
      <c r="V1423" s="2" t="b">
        <v>0</v>
      </c>
      <c r="W1423" s="2" t="s">
        <v>35</v>
      </c>
      <c r="X1423" s="2" t="s">
        <v>35</v>
      </c>
      <c r="Y1423" s="2" t="s">
        <v>35</v>
      </c>
      <c r="Z1423" s="2" t="s">
        <v>35</v>
      </c>
    </row>
    <row r="1424" spans="1:26" x14ac:dyDescent="0.2">
      <c r="A1424" s="2" t="s">
        <v>3605</v>
      </c>
      <c r="B1424" s="2" t="b">
        <v>0</v>
      </c>
      <c r="C1424" s="2" t="b">
        <v>0</v>
      </c>
      <c r="D1424" s="2" t="b">
        <v>0</v>
      </c>
      <c r="E1424" s="2" t="b">
        <v>0</v>
      </c>
      <c r="F1424" s="2" t="s">
        <v>31</v>
      </c>
      <c r="G1424" s="2" t="s">
        <v>3606</v>
      </c>
      <c r="H1424" s="2" t="s">
        <v>3607</v>
      </c>
      <c r="I1424" s="2" t="s">
        <v>35</v>
      </c>
      <c r="J1424" s="2" t="s">
        <v>35</v>
      </c>
      <c r="K1424" s="2" t="s">
        <v>35</v>
      </c>
      <c r="L1424" s="2" t="s">
        <v>35</v>
      </c>
      <c r="M1424" s="2" t="s">
        <v>35</v>
      </c>
      <c r="N1424" s="3">
        <v>44769.426349247682</v>
      </c>
      <c r="O1424" s="3">
        <v>44769.426466249999</v>
      </c>
      <c r="P1424" s="2">
        <v>0</v>
      </c>
      <c r="Q1424" s="2" t="s">
        <v>36</v>
      </c>
      <c r="R1424" s="2" t="s">
        <v>38</v>
      </c>
      <c r="S1424" s="2" t="s">
        <v>35</v>
      </c>
      <c r="T1424" s="2" t="s">
        <v>35</v>
      </c>
      <c r="U1424" s="2" t="s">
        <v>35</v>
      </c>
      <c r="V1424" s="2" t="b">
        <v>0</v>
      </c>
      <c r="W1424" s="2" t="s">
        <v>35</v>
      </c>
      <c r="X1424" s="2" t="s">
        <v>35</v>
      </c>
      <c r="Y1424" s="2" t="s">
        <v>35</v>
      </c>
      <c r="Z1424" s="2">
        <v>2</v>
      </c>
    </row>
    <row r="1425" spans="1:26" x14ac:dyDescent="0.2">
      <c r="A1425" s="2" t="s">
        <v>3608</v>
      </c>
      <c r="B1425" s="2" t="b">
        <v>0</v>
      </c>
      <c r="C1425" s="2" t="b">
        <v>0</v>
      </c>
      <c r="D1425" s="2" t="b">
        <v>0</v>
      </c>
      <c r="E1425" s="2" t="b">
        <v>0</v>
      </c>
      <c r="F1425" s="2" t="s">
        <v>31</v>
      </c>
      <c r="G1425" s="2" t="s">
        <v>3609</v>
      </c>
      <c r="H1425" s="2" t="s">
        <v>3610</v>
      </c>
      <c r="I1425" s="2" t="s">
        <v>35</v>
      </c>
      <c r="J1425" s="2" t="s">
        <v>35</v>
      </c>
      <c r="K1425" s="2" t="s">
        <v>35</v>
      </c>
      <c r="L1425" s="2" t="s">
        <v>35</v>
      </c>
      <c r="M1425" s="2" t="s">
        <v>35</v>
      </c>
      <c r="N1425" s="3">
        <v>44769.426812893522</v>
      </c>
      <c r="O1425" s="3">
        <v>44769.427076539352</v>
      </c>
      <c r="P1425" s="2">
        <v>0</v>
      </c>
      <c r="Q1425" s="2" t="s">
        <v>109</v>
      </c>
      <c r="R1425" s="2" t="s">
        <v>38</v>
      </c>
      <c r="S1425" s="2" t="s">
        <v>35</v>
      </c>
      <c r="T1425" s="2">
        <v>102</v>
      </c>
      <c r="U1425" s="2" t="s">
        <v>35</v>
      </c>
      <c r="V1425" s="2" t="b">
        <v>0</v>
      </c>
      <c r="W1425" s="2" t="s">
        <v>35</v>
      </c>
      <c r="X1425" s="2" t="s">
        <v>35</v>
      </c>
      <c r="Y1425" s="2" t="s">
        <v>35</v>
      </c>
      <c r="Z1425" s="2" t="s">
        <v>35</v>
      </c>
    </row>
    <row r="1426" spans="1:26" x14ac:dyDescent="0.2">
      <c r="A1426" s="2" t="s">
        <v>3611</v>
      </c>
      <c r="B1426" s="2" t="b">
        <v>0</v>
      </c>
      <c r="C1426" s="2" t="b">
        <v>0</v>
      </c>
      <c r="D1426" s="2" t="b">
        <v>0</v>
      </c>
      <c r="E1426" s="2" t="b">
        <v>0</v>
      </c>
      <c r="F1426" s="2" t="s">
        <v>31</v>
      </c>
      <c r="G1426" s="2" t="s">
        <v>3612</v>
      </c>
      <c r="H1426" s="2" t="s">
        <v>3613</v>
      </c>
      <c r="I1426" s="2" t="s">
        <v>3559</v>
      </c>
      <c r="J1426" s="2" t="s">
        <v>35</v>
      </c>
      <c r="K1426" s="2" t="s">
        <v>35</v>
      </c>
      <c r="L1426" s="2" t="s">
        <v>35</v>
      </c>
      <c r="M1426" s="2" t="s">
        <v>35</v>
      </c>
      <c r="N1426" s="3">
        <v>44769.427583773147</v>
      </c>
      <c r="O1426" s="3">
        <v>44769.42779652778</v>
      </c>
      <c r="P1426" s="2">
        <v>0</v>
      </c>
      <c r="Q1426" s="2" t="s">
        <v>36</v>
      </c>
      <c r="R1426" s="2" t="s">
        <v>38</v>
      </c>
      <c r="S1426" s="2" t="s">
        <v>35</v>
      </c>
      <c r="T1426" s="2" t="s">
        <v>35</v>
      </c>
      <c r="U1426" s="2" t="s">
        <v>35</v>
      </c>
      <c r="V1426" s="2" t="b">
        <v>0</v>
      </c>
      <c r="W1426" s="2" t="s">
        <v>35</v>
      </c>
      <c r="X1426" s="2" t="s">
        <v>35</v>
      </c>
      <c r="Y1426" s="2">
        <v>5</v>
      </c>
      <c r="Z1426" s="2" t="s">
        <v>35</v>
      </c>
    </row>
    <row r="1427" spans="1:26" x14ac:dyDescent="0.2">
      <c r="A1427" s="2" t="s">
        <v>3614</v>
      </c>
      <c r="B1427" s="2" t="b">
        <v>0</v>
      </c>
      <c r="C1427" s="2" t="b">
        <v>0</v>
      </c>
      <c r="D1427" s="2" t="b">
        <v>0</v>
      </c>
      <c r="E1427" s="2" t="b">
        <v>0</v>
      </c>
      <c r="F1427" s="2" t="s">
        <v>31</v>
      </c>
      <c r="G1427" s="2" t="s">
        <v>3615</v>
      </c>
      <c r="H1427" s="2" t="s">
        <v>3616</v>
      </c>
      <c r="I1427" s="2" t="s">
        <v>35</v>
      </c>
      <c r="J1427" s="2" t="s">
        <v>35</v>
      </c>
      <c r="K1427" s="2" t="s">
        <v>35</v>
      </c>
      <c r="L1427" s="2" t="s">
        <v>35</v>
      </c>
      <c r="M1427" s="2" t="s">
        <v>35</v>
      </c>
      <c r="N1427" s="3">
        <v>44769.428820833331</v>
      </c>
      <c r="O1427" s="3">
        <v>44769.429044722223</v>
      </c>
      <c r="P1427" s="2">
        <v>0</v>
      </c>
      <c r="Q1427" s="2" t="s">
        <v>36</v>
      </c>
      <c r="R1427" s="2" t="s">
        <v>38</v>
      </c>
      <c r="S1427" s="2" t="s">
        <v>35</v>
      </c>
      <c r="T1427" s="2" t="s">
        <v>35</v>
      </c>
      <c r="U1427" s="2" t="s">
        <v>35</v>
      </c>
      <c r="V1427" s="2" t="b">
        <v>0</v>
      </c>
      <c r="W1427" s="2" t="s">
        <v>35</v>
      </c>
      <c r="X1427" s="2" t="s">
        <v>35</v>
      </c>
      <c r="Y1427" s="2" t="s">
        <v>35</v>
      </c>
      <c r="Z1427" s="2">
        <v>2</v>
      </c>
    </row>
    <row r="1428" spans="1:26" x14ac:dyDescent="0.2">
      <c r="A1428" s="2" t="s">
        <v>3617</v>
      </c>
      <c r="B1428" s="2" t="b">
        <v>0</v>
      </c>
      <c r="C1428" s="2" t="b">
        <v>0</v>
      </c>
      <c r="D1428" s="2" t="b">
        <v>0</v>
      </c>
      <c r="E1428" s="2" t="b">
        <v>0</v>
      </c>
      <c r="F1428" s="2" t="s">
        <v>31</v>
      </c>
      <c r="G1428" s="2" t="s">
        <v>3618</v>
      </c>
      <c r="H1428" s="2" t="s">
        <v>3619</v>
      </c>
      <c r="I1428" s="2" t="s">
        <v>35</v>
      </c>
      <c r="J1428" s="2" t="s">
        <v>35</v>
      </c>
      <c r="K1428" s="2">
        <v>10</v>
      </c>
      <c r="L1428" s="2" t="s">
        <v>35</v>
      </c>
      <c r="M1428" s="2" t="s">
        <v>35</v>
      </c>
      <c r="N1428" s="3">
        <v>44769.429470752315</v>
      </c>
      <c r="O1428" s="3">
        <v>44769.429791608796</v>
      </c>
      <c r="P1428" s="2">
        <v>0</v>
      </c>
      <c r="Q1428" s="2" t="s">
        <v>265</v>
      </c>
      <c r="R1428" s="2" t="s">
        <v>38</v>
      </c>
      <c r="S1428" s="2" t="s">
        <v>35</v>
      </c>
      <c r="T1428" s="2" t="s">
        <v>35</v>
      </c>
      <c r="U1428" s="2" t="s">
        <v>35</v>
      </c>
      <c r="V1428" s="2" t="b">
        <v>0</v>
      </c>
      <c r="W1428" s="2" t="s">
        <v>35</v>
      </c>
      <c r="X1428" s="2" t="s">
        <v>35</v>
      </c>
      <c r="Y1428" s="2" t="s">
        <v>35</v>
      </c>
      <c r="Z1428" s="2" t="s">
        <v>35</v>
      </c>
    </row>
    <row r="1429" spans="1:26" x14ac:dyDescent="0.2">
      <c r="A1429" s="2" t="s">
        <v>3620</v>
      </c>
      <c r="B1429" s="2" t="b">
        <v>0</v>
      </c>
      <c r="C1429" s="2" t="b">
        <v>0</v>
      </c>
      <c r="D1429" s="2" t="b">
        <v>0</v>
      </c>
      <c r="E1429" s="2" t="b">
        <v>0</v>
      </c>
      <c r="F1429" s="2" t="s">
        <v>31</v>
      </c>
      <c r="G1429" s="2" t="s">
        <v>3621</v>
      </c>
      <c r="H1429" s="2" t="s">
        <v>3622</v>
      </c>
      <c r="I1429" s="2" t="s">
        <v>35</v>
      </c>
      <c r="J1429" s="2" t="s">
        <v>35</v>
      </c>
      <c r="K1429" s="2" t="s">
        <v>35</v>
      </c>
      <c r="L1429" s="2" t="s">
        <v>35</v>
      </c>
      <c r="M1429" s="2" t="s">
        <v>35</v>
      </c>
      <c r="N1429" s="3">
        <v>44769.430311678239</v>
      </c>
      <c r="O1429" s="3">
        <v>44769.430421446756</v>
      </c>
      <c r="P1429" s="2">
        <v>0</v>
      </c>
      <c r="Q1429" s="2" t="s">
        <v>36</v>
      </c>
      <c r="R1429" s="2" t="s">
        <v>38</v>
      </c>
      <c r="S1429" s="2" t="s">
        <v>35</v>
      </c>
      <c r="T1429" s="2" t="s">
        <v>35</v>
      </c>
      <c r="U1429" s="2" t="s">
        <v>35</v>
      </c>
      <c r="V1429" s="2" t="b">
        <v>0</v>
      </c>
      <c r="W1429" s="2" t="s">
        <v>35</v>
      </c>
      <c r="X1429" s="2" t="s">
        <v>35</v>
      </c>
      <c r="Y1429" s="2" t="s">
        <v>35</v>
      </c>
      <c r="Z1429" s="2">
        <v>3</v>
      </c>
    </row>
    <row r="1430" spans="1:26" x14ac:dyDescent="0.2">
      <c r="A1430" s="2" t="s">
        <v>3623</v>
      </c>
      <c r="B1430" s="2" t="b">
        <v>0</v>
      </c>
      <c r="C1430" s="2" t="b">
        <v>0</v>
      </c>
      <c r="D1430" s="2" t="b">
        <v>0</v>
      </c>
      <c r="E1430" s="2" t="b">
        <v>0</v>
      </c>
      <c r="F1430" s="2" t="s">
        <v>31</v>
      </c>
      <c r="G1430" s="2" t="s">
        <v>3624</v>
      </c>
      <c r="H1430" s="2" t="s">
        <v>3625</v>
      </c>
      <c r="I1430" s="2" t="s">
        <v>3566</v>
      </c>
      <c r="J1430" s="2" t="s">
        <v>35</v>
      </c>
      <c r="K1430" s="2" t="s">
        <v>35</v>
      </c>
      <c r="L1430" s="2" t="s">
        <v>35</v>
      </c>
      <c r="M1430" s="2" t="s">
        <v>35</v>
      </c>
      <c r="N1430" s="3">
        <v>44769.431464120367</v>
      </c>
      <c r="O1430" s="3">
        <v>44769.43202940972</v>
      </c>
      <c r="P1430" s="2">
        <v>0</v>
      </c>
      <c r="Q1430" s="2" t="s">
        <v>36</v>
      </c>
      <c r="R1430" s="2" t="s">
        <v>38</v>
      </c>
      <c r="S1430" s="2" t="s">
        <v>35</v>
      </c>
      <c r="T1430" s="2" t="s">
        <v>35</v>
      </c>
      <c r="U1430" s="2" t="s">
        <v>35</v>
      </c>
      <c r="V1430" s="2" t="b">
        <v>0</v>
      </c>
      <c r="W1430" s="2" t="s">
        <v>35</v>
      </c>
      <c r="X1430" s="2" t="s">
        <v>35</v>
      </c>
      <c r="Y1430" s="2">
        <v>6</v>
      </c>
      <c r="Z1430" s="2" t="s">
        <v>35</v>
      </c>
    </row>
    <row r="1431" spans="1:26" x14ac:dyDescent="0.2">
      <c r="A1431" s="2" t="s">
        <v>3626</v>
      </c>
      <c r="B1431" s="2" t="b">
        <v>0</v>
      </c>
      <c r="C1431" s="2" t="b">
        <v>0</v>
      </c>
      <c r="D1431" s="2" t="b">
        <v>0</v>
      </c>
      <c r="E1431" s="2" t="b">
        <v>0</v>
      </c>
      <c r="F1431" s="2" t="s">
        <v>31</v>
      </c>
      <c r="G1431" s="2" t="s">
        <v>3627</v>
      </c>
      <c r="H1431" s="2" t="s">
        <v>3628</v>
      </c>
      <c r="I1431" s="2" t="s">
        <v>3629</v>
      </c>
      <c r="J1431" s="2" t="s">
        <v>35</v>
      </c>
      <c r="K1431" s="2" t="s">
        <v>35</v>
      </c>
      <c r="L1431" s="2" t="s">
        <v>35</v>
      </c>
      <c r="M1431" s="2" t="s">
        <v>35</v>
      </c>
      <c r="N1431" s="3">
        <v>44769.43240391204</v>
      </c>
      <c r="O1431" s="3">
        <v>44769.432929178241</v>
      </c>
      <c r="P1431" s="2">
        <v>0</v>
      </c>
      <c r="Q1431" s="2" t="s">
        <v>36</v>
      </c>
      <c r="R1431" s="2" t="s">
        <v>38</v>
      </c>
      <c r="S1431" s="2" t="s">
        <v>35</v>
      </c>
      <c r="T1431" s="2" t="s">
        <v>35</v>
      </c>
      <c r="U1431" s="2" t="s">
        <v>35</v>
      </c>
      <c r="V1431" s="2" t="b">
        <v>0</v>
      </c>
      <c r="W1431" s="2" t="s">
        <v>35</v>
      </c>
      <c r="X1431" s="2" t="s">
        <v>35</v>
      </c>
      <c r="Y1431" s="2">
        <v>3</v>
      </c>
      <c r="Z1431" s="2">
        <v>3</v>
      </c>
    </row>
    <row r="1432" spans="1:26" x14ac:dyDescent="0.2">
      <c r="A1432" s="2" t="s">
        <v>3630</v>
      </c>
      <c r="B1432" s="2" t="b">
        <v>0</v>
      </c>
      <c r="C1432" s="2" t="b">
        <v>0</v>
      </c>
      <c r="D1432" s="2" t="b">
        <v>0</v>
      </c>
      <c r="E1432" s="2" t="b">
        <v>0</v>
      </c>
      <c r="F1432" s="2" t="s">
        <v>31</v>
      </c>
      <c r="G1432" s="2" t="s">
        <v>149</v>
      </c>
      <c r="H1432" s="2" t="s">
        <v>3631</v>
      </c>
      <c r="I1432" s="2" t="s">
        <v>3566</v>
      </c>
      <c r="J1432" s="2" t="s">
        <v>35</v>
      </c>
      <c r="K1432" s="2" t="s">
        <v>35</v>
      </c>
      <c r="L1432" s="2" t="s">
        <v>35</v>
      </c>
      <c r="M1432" s="2" t="s">
        <v>35</v>
      </c>
      <c r="N1432" s="3">
        <v>44769.433386736113</v>
      </c>
      <c r="O1432" s="3">
        <v>44769.433668750004</v>
      </c>
      <c r="P1432" s="2">
        <v>0</v>
      </c>
      <c r="Q1432" s="2" t="s">
        <v>36</v>
      </c>
      <c r="R1432" s="2" t="s">
        <v>38</v>
      </c>
      <c r="S1432" s="2" t="s">
        <v>35</v>
      </c>
      <c r="T1432" s="2" t="s">
        <v>35</v>
      </c>
      <c r="U1432" s="2" t="s">
        <v>35</v>
      </c>
      <c r="V1432" s="2" t="b">
        <v>0</v>
      </c>
      <c r="W1432" s="2" t="s">
        <v>35</v>
      </c>
      <c r="X1432" s="2" t="s">
        <v>35</v>
      </c>
      <c r="Y1432" s="2">
        <v>6</v>
      </c>
      <c r="Z1432" s="2" t="s">
        <v>35</v>
      </c>
    </row>
    <row r="1433" spans="1:26" x14ac:dyDescent="0.2">
      <c r="A1433" s="2" t="s">
        <v>3632</v>
      </c>
      <c r="B1433" s="2" t="b">
        <v>0</v>
      </c>
      <c r="C1433" s="2" t="b">
        <v>0</v>
      </c>
      <c r="D1433" s="2" t="b">
        <v>0</v>
      </c>
      <c r="E1433" s="2" t="b">
        <v>0</v>
      </c>
      <c r="F1433" s="2" t="s">
        <v>31</v>
      </c>
      <c r="G1433" s="2" t="s">
        <v>3633</v>
      </c>
      <c r="H1433" s="2" t="s">
        <v>3634</v>
      </c>
      <c r="I1433" s="2" t="s">
        <v>35</v>
      </c>
      <c r="J1433" s="2" t="s">
        <v>35</v>
      </c>
      <c r="K1433" s="2" t="s">
        <v>35</v>
      </c>
      <c r="L1433" s="2" t="s">
        <v>35</v>
      </c>
      <c r="M1433" s="2" t="s">
        <v>35</v>
      </c>
      <c r="N1433" s="3">
        <v>44769.434217268521</v>
      </c>
      <c r="O1433" s="3">
        <v>44769.434353368059</v>
      </c>
      <c r="P1433" s="2">
        <v>0</v>
      </c>
      <c r="Q1433" s="2" t="s">
        <v>109</v>
      </c>
      <c r="R1433" s="2" t="s">
        <v>38</v>
      </c>
      <c r="S1433" s="2" t="s">
        <v>35</v>
      </c>
      <c r="T1433" s="2">
        <v>114</v>
      </c>
      <c r="U1433" s="2" t="s">
        <v>35</v>
      </c>
      <c r="V1433" s="2" t="b">
        <v>0</v>
      </c>
      <c r="W1433" s="2" t="s">
        <v>35</v>
      </c>
      <c r="X1433" s="2" t="s">
        <v>35</v>
      </c>
      <c r="Y1433" s="2" t="s">
        <v>35</v>
      </c>
      <c r="Z1433" s="2" t="s">
        <v>35</v>
      </c>
    </row>
    <row r="1434" spans="1:26" x14ac:dyDescent="0.2">
      <c r="A1434" s="2" t="s">
        <v>3635</v>
      </c>
      <c r="B1434" s="2" t="b">
        <v>0</v>
      </c>
      <c r="C1434" s="2" t="b">
        <v>0</v>
      </c>
      <c r="D1434" s="2" t="b">
        <v>0</v>
      </c>
      <c r="E1434" s="2" t="b">
        <v>0</v>
      </c>
      <c r="F1434" s="2" t="s">
        <v>31</v>
      </c>
      <c r="G1434" s="2" t="s">
        <v>3636</v>
      </c>
      <c r="H1434" s="2" t="s">
        <v>3637</v>
      </c>
      <c r="I1434" s="2" t="s">
        <v>35</v>
      </c>
      <c r="J1434" s="2" t="s">
        <v>35</v>
      </c>
      <c r="K1434" s="2" t="s">
        <v>35</v>
      </c>
      <c r="L1434" s="2" t="s">
        <v>35</v>
      </c>
      <c r="M1434" s="2" t="s">
        <v>35</v>
      </c>
      <c r="N1434" s="3">
        <v>44769.435070462961</v>
      </c>
      <c r="O1434" s="3">
        <v>44769.43520832176</v>
      </c>
      <c r="P1434" s="2">
        <v>0</v>
      </c>
      <c r="Q1434" s="2" t="s">
        <v>109</v>
      </c>
      <c r="R1434" s="2" t="s">
        <v>38</v>
      </c>
      <c r="S1434" s="2" t="s">
        <v>35</v>
      </c>
      <c r="T1434" s="2">
        <v>95</v>
      </c>
      <c r="U1434" s="2" t="s">
        <v>35</v>
      </c>
      <c r="V1434" s="2" t="b">
        <v>0</v>
      </c>
      <c r="W1434" s="2" t="s">
        <v>35</v>
      </c>
      <c r="X1434" s="2" t="s">
        <v>35</v>
      </c>
      <c r="Y1434" s="2" t="s">
        <v>35</v>
      </c>
      <c r="Z1434" s="2" t="s">
        <v>35</v>
      </c>
    </row>
    <row r="1435" spans="1:26" x14ac:dyDescent="0.2">
      <c r="A1435" s="2" t="s">
        <v>3638</v>
      </c>
      <c r="B1435" s="2" t="b">
        <v>0</v>
      </c>
      <c r="C1435" s="2" t="b">
        <v>0</v>
      </c>
      <c r="D1435" s="2" t="b">
        <v>0</v>
      </c>
      <c r="E1435" s="2" t="b">
        <v>0</v>
      </c>
      <c r="F1435" s="2" t="s">
        <v>31</v>
      </c>
      <c r="G1435" s="2" t="s">
        <v>3639</v>
      </c>
      <c r="H1435" s="2" t="s">
        <v>3640</v>
      </c>
      <c r="I1435" s="2" t="s">
        <v>3641</v>
      </c>
      <c r="J1435" s="2" t="s">
        <v>35</v>
      </c>
      <c r="K1435" s="2" t="s">
        <v>35</v>
      </c>
      <c r="L1435" s="2" t="s">
        <v>35</v>
      </c>
      <c r="M1435" s="2" t="s">
        <v>35</v>
      </c>
      <c r="N1435" s="3">
        <v>44769.435769351854</v>
      </c>
      <c r="O1435" s="3">
        <v>44769.436102638887</v>
      </c>
      <c r="P1435" s="2">
        <v>0</v>
      </c>
      <c r="Q1435" s="2" t="s">
        <v>36</v>
      </c>
      <c r="R1435" s="2" t="s">
        <v>38</v>
      </c>
      <c r="S1435" s="2" t="s">
        <v>35</v>
      </c>
      <c r="T1435" s="2" t="s">
        <v>35</v>
      </c>
      <c r="U1435" s="2" t="s">
        <v>35</v>
      </c>
      <c r="V1435" s="2" t="b">
        <v>0</v>
      </c>
      <c r="W1435" s="2" t="s">
        <v>35</v>
      </c>
      <c r="X1435" s="2" t="s">
        <v>35</v>
      </c>
      <c r="Y1435" s="2">
        <v>6</v>
      </c>
      <c r="Z1435" s="2" t="s">
        <v>35</v>
      </c>
    </row>
    <row r="1436" spans="1:26" x14ac:dyDescent="0.2">
      <c r="A1436" s="2" t="s">
        <v>3642</v>
      </c>
      <c r="B1436" s="2" t="b">
        <v>0</v>
      </c>
      <c r="C1436" s="2" t="b">
        <v>0</v>
      </c>
      <c r="D1436" s="2" t="b">
        <v>0</v>
      </c>
      <c r="E1436" s="2" t="b">
        <v>0</v>
      </c>
      <c r="F1436" s="2" t="s">
        <v>31</v>
      </c>
      <c r="G1436" s="2" t="s">
        <v>3643</v>
      </c>
      <c r="H1436" s="2" t="s">
        <v>3644</v>
      </c>
      <c r="I1436" s="2" t="s">
        <v>35</v>
      </c>
      <c r="J1436" s="2" t="s">
        <v>35</v>
      </c>
      <c r="K1436" s="2" t="s">
        <v>35</v>
      </c>
      <c r="L1436" s="2" t="s">
        <v>35</v>
      </c>
      <c r="M1436" s="2" t="s">
        <v>35</v>
      </c>
      <c r="N1436" s="3">
        <v>44769.438191817128</v>
      </c>
      <c r="O1436" s="3">
        <v>44769.438736400465</v>
      </c>
      <c r="P1436" s="2">
        <v>0</v>
      </c>
      <c r="Q1436" s="2" t="s">
        <v>36</v>
      </c>
      <c r="R1436" s="2" t="s">
        <v>38</v>
      </c>
      <c r="S1436" s="2" t="s">
        <v>35</v>
      </c>
      <c r="T1436" s="2" t="s">
        <v>35</v>
      </c>
      <c r="U1436" s="2" t="s">
        <v>35</v>
      </c>
      <c r="V1436" s="2" t="b">
        <v>0</v>
      </c>
      <c r="W1436" s="2" t="s">
        <v>2933</v>
      </c>
      <c r="X1436" s="2" t="s">
        <v>35</v>
      </c>
      <c r="Y1436" s="2">
        <v>12</v>
      </c>
      <c r="Z1436" s="2">
        <v>3</v>
      </c>
    </row>
    <row r="1437" spans="1:26" x14ac:dyDescent="0.2">
      <c r="A1437" s="2" t="s">
        <v>3645</v>
      </c>
      <c r="B1437" s="2" t="b">
        <v>0</v>
      </c>
      <c r="C1437" s="2" t="b">
        <v>0</v>
      </c>
      <c r="D1437" s="2" t="b">
        <v>0</v>
      </c>
      <c r="E1437" s="2" t="b">
        <v>0</v>
      </c>
      <c r="F1437" s="2" t="s">
        <v>31</v>
      </c>
      <c r="G1437" s="2" t="s">
        <v>3646</v>
      </c>
      <c r="H1437" s="2" t="s">
        <v>3647</v>
      </c>
      <c r="I1437" s="2" t="s">
        <v>35</v>
      </c>
      <c r="J1437" s="2" t="s">
        <v>35</v>
      </c>
      <c r="K1437" s="2">
        <v>14</v>
      </c>
      <c r="L1437" s="2" t="s">
        <v>35</v>
      </c>
      <c r="M1437" s="2" t="s">
        <v>35</v>
      </c>
      <c r="N1437" s="3">
        <v>44769.438772453701</v>
      </c>
      <c r="O1437" s="3">
        <v>44769.439982025462</v>
      </c>
      <c r="P1437" s="2">
        <v>0</v>
      </c>
      <c r="Q1437" s="2" t="s">
        <v>265</v>
      </c>
      <c r="R1437" s="2" t="s">
        <v>38</v>
      </c>
      <c r="S1437" s="2" t="s">
        <v>35</v>
      </c>
      <c r="T1437" s="2" t="s">
        <v>35</v>
      </c>
      <c r="U1437" s="2" t="s">
        <v>35</v>
      </c>
      <c r="V1437" s="2" t="b">
        <v>0</v>
      </c>
      <c r="W1437" s="2" t="s">
        <v>35</v>
      </c>
      <c r="X1437" s="2" t="s">
        <v>35</v>
      </c>
      <c r="Y1437" s="2" t="s">
        <v>35</v>
      </c>
      <c r="Z1437" s="2" t="s">
        <v>35</v>
      </c>
    </row>
    <row r="1438" spans="1:26" x14ac:dyDescent="0.2">
      <c r="A1438" s="2" t="s">
        <v>3648</v>
      </c>
      <c r="B1438" s="2" t="b">
        <v>0</v>
      </c>
      <c r="C1438" s="2" t="b">
        <v>0</v>
      </c>
      <c r="D1438" s="2" t="b">
        <v>0</v>
      </c>
      <c r="E1438" s="2" t="b">
        <v>0</v>
      </c>
      <c r="F1438" s="2" t="s">
        <v>31</v>
      </c>
      <c r="G1438" s="2" t="s">
        <v>3649</v>
      </c>
      <c r="H1438" s="2" t="s">
        <v>3650</v>
      </c>
      <c r="I1438" s="2" t="s">
        <v>35</v>
      </c>
      <c r="J1438" s="2" t="s">
        <v>35</v>
      </c>
      <c r="K1438" s="2" t="s">
        <v>35</v>
      </c>
      <c r="L1438" s="2">
        <v>102</v>
      </c>
      <c r="M1438" s="2">
        <v>8</v>
      </c>
      <c r="N1438" s="3">
        <v>44769.440021006943</v>
      </c>
      <c r="O1438" s="3">
        <v>44769.441229560187</v>
      </c>
      <c r="P1438" s="2">
        <v>0</v>
      </c>
      <c r="Q1438" s="2" t="s">
        <v>54</v>
      </c>
      <c r="R1438" s="2" t="s">
        <v>38</v>
      </c>
      <c r="S1438" s="2" t="s">
        <v>35</v>
      </c>
      <c r="T1438" s="2" t="s">
        <v>35</v>
      </c>
      <c r="U1438" s="2" t="s">
        <v>35</v>
      </c>
      <c r="V1438" s="2" t="b">
        <v>0</v>
      </c>
      <c r="W1438" s="2" t="s">
        <v>35</v>
      </c>
      <c r="X1438" s="2" t="s">
        <v>35</v>
      </c>
      <c r="Y1438" s="2" t="s">
        <v>35</v>
      </c>
      <c r="Z1438" s="2" t="s">
        <v>35</v>
      </c>
    </row>
    <row r="1439" spans="1:26" x14ac:dyDescent="0.2">
      <c r="A1439" s="2" t="s">
        <v>3651</v>
      </c>
      <c r="B1439" s="2" t="b">
        <v>0</v>
      </c>
      <c r="C1439" s="2" t="b">
        <v>0</v>
      </c>
      <c r="D1439" s="2" t="b">
        <v>0</v>
      </c>
      <c r="E1439" s="2" t="b">
        <v>0</v>
      </c>
      <c r="F1439" s="2" t="s">
        <v>31</v>
      </c>
      <c r="G1439" s="2" t="s">
        <v>3652</v>
      </c>
      <c r="H1439" s="2" t="s">
        <v>3653</v>
      </c>
      <c r="I1439" s="2" t="s">
        <v>35</v>
      </c>
      <c r="J1439" s="2" t="s">
        <v>35</v>
      </c>
      <c r="K1439" s="2" t="s">
        <v>35</v>
      </c>
      <c r="L1439" s="2" t="s">
        <v>35</v>
      </c>
      <c r="M1439" s="2" t="s">
        <v>35</v>
      </c>
      <c r="N1439" s="3">
        <v>44769.441731481478</v>
      </c>
      <c r="O1439" s="3">
        <v>44769.441978530092</v>
      </c>
      <c r="P1439" s="2">
        <v>0</v>
      </c>
      <c r="Q1439" s="2" t="s">
        <v>36</v>
      </c>
      <c r="R1439" s="2" t="s">
        <v>38</v>
      </c>
      <c r="S1439" s="2" t="s">
        <v>35</v>
      </c>
      <c r="T1439" s="2" t="s">
        <v>35</v>
      </c>
      <c r="U1439" s="2" t="s">
        <v>35</v>
      </c>
      <c r="V1439" s="2" t="b">
        <v>0</v>
      </c>
      <c r="W1439" s="2" t="s">
        <v>35</v>
      </c>
      <c r="X1439" s="2" t="s">
        <v>35</v>
      </c>
      <c r="Y1439" s="2" t="s">
        <v>35</v>
      </c>
      <c r="Z1439" s="2">
        <v>5</v>
      </c>
    </row>
    <row r="1440" spans="1:26" x14ac:dyDescent="0.2">
      <c r="A1440" s="2" t="s">
        <v>3654</v>
      </c>
      <c r="B1440" s="2" t="b">
        <v>0</v>
      </c>
      <c r="C1440" s="2" t="b">
        <v>0</v>
      </c>
      <c r="D1440" s="2" t="b">
        <v>0</v>
      </c>
      <c r="E1440" s="2" t="b">
        <v>0</v>
      </c>
      <c r="F1440" s="2" t="s">
        <v>31</v>
      </c>
      <c r="G1440" s="2" t="s">
        <v>3655</v>
      </c>
      <c r="H1440" s="2" t="s">
        <v>3656</v>
      </c>
      <c r="I1440" s="2" t="s">
        <v>3657</v>
      </c>
      <c r="J1440" s="2" t="s">
        <v>35</v>
      </c>
      <c r="K1440" s="2" t="s">
        <v>35</v>
      </c>
      <c r="L1440" s="2" t="s">
        <v>35</v>
      </c>
      <c r="M1440" s="2" t="s">
        <v>35</v>
      </c>
      <c r="N1440" s="3">
        <v>44769.442145370369</v>
      </c>
      <c r="O1440" s="3">
        <v>44769.442608043981</v>
      </c>
      <c r="P1440" s="2">
        <v>0</v>
      </c>
      <c r="Q1440" s="2" t="s">
        <v>36</v>
      </c>
      <c r="R1440" s="2" t="s">
        <v>38</v>
      </c>
      <c r="S1440" s="2" t="s">
        <v>35</v>
      </c>
      <c r="T1440" s="2" t="s">
        <v>35</v>
      </c>
      <c r="U1440" s="2" t="s">
        <v>35</v>
      </c>
      <c r="V1440" s="2" t="b">
        <v>0</v>
      </c>
      <c r="W1440" s="2" t="s">
        <v>35</v>
      </c>
      <c r="X1440" s="2" t="s">
        <v>35</v>
      </c>
      <c r="Y1440" s="2">
        <v>5</v>
      </c>
      <c r="Z1440" s="2" t="s">
        <v>35</v>
      </c>
    </row>
    <row r="1441" spans="1:26" x14ac:dyDescent="0.2">
      <c r="A1441" s="2" t="s">
        <v>3658</v>
      </c>
      <c r="B1441" s="2" t="b">
        <v>0</v>
      </c>
      <c r="C1441" s="2" t="b">
        <v>0</v>
      </c>
      <c r="D1441" s="2" t="b">
        <v>0</v>
      </c>
      <c r="E1441" s="2" t="b">
        <v>0</v>
      </c>
      <c r="F1441" s="2" t="s">
        <v>31</v>
      </c>
      <c r="G1441" s="2" t="s">
        <v>3659</v>
      </c>
      <c r="H1441" s="2" t="s">
        <v>3660</v>
      </c>
      <c r="I1441" s="2" t="s">
        <v>35</v>
      </c>
      <c r="J1441" s="2" t="s">
        <v>35</v>
      </c>
      <c r="K1441" s="2" t="s">
        <v>35</v>
      </c>
      <c r="L1441" s="2">
        <v>8</v>
      </c>
      <c r="M1441" s="2">
        <v>20</v>
      </c>
      <c r="N1441" s="3">
        <v>44769.442821354169</v>
      </c>
      <c r="O1441" s="3">
        <v>44769.443028761576</v>
      </c>
      <c r="P1441" s="2">
        <v>0</v>
      </c>
      <c r="Q1441" s="2" t="s">
        <v>54</v>
      </c>
      <c r="R1441" s="2" t="s">
        <v>38</v>
      </c>
      <c r="S1441" s="2" t="s">
        <v>35</v>
      </c>
      <c r="T1441" s="2" t="s">
        <v>35</v>
      </c>
      <c r="U1441" s="2" t="s">
        <v>35</v>
      </c>
      <c r="V1441" s="2" t="b">
        <v>0</v>
      </c>
      <c r="W1441" s="2" t="s">
        <v>35</v>
      </c>
      <c r="X1441" s="2" t="s">
        <v>35</v>
      </c>
      <c r="Y1441" s="2" t="s">
        <v>35</v>
      </c>
      <c r="Z1441" s="2" t="s">
        <v>35</v>
      </c>
    </row>
    <row r="1442" spans="1:26" x14ac:dyDescent="0.2">
      <c r="A1442" s="2" t="s">
        <v>3661</v>
      </c>
      <c r="B1442" s="2" t="b">
        <v>0</v>
      </c>
      <c r="C1442" s="2" t="b">
        <v>0</v>
      </c>
      <c r="D1442" s="2" t="b">
        <v>0</v>
      </c>
      <c r="E1442" s="2" t="b">
        <v>0</v>
      </c>
      <c r="F1442" s="2" t="s">
        <v>31</v>
      </c>
      <c r="G1442" s="2" t="s">
        <v>3662</v>
      </c>
      <c r="H1442" s="2" t="s">
        <v>3663</v>
      </c>
      <c r="I1442" s="2" t="s">
        <v>3566</v>
      </c>
      <c r="J1442" s="2" t="s">
        <v>35</v>
      </c>
      <c r="K1442" s="2" t="s">
        <v>35</v>
      </c>
      <c r="L1442" s="2" t="s">
        <v>35</v>
      </c>
      <c r="M1442" s="2" t="s">
        <v>35</v>
      </c>
      <c r="N1442" s="3">
        <v>44769.443199629626</v>
      </c>
      <c r="O1442" s="3">
        <v>44769.444080775465</v>
      </c>
      <c r="P1442" s="2">
        <v>0</v>
      </c>
      <c r="Q1442" s="2" t="s">
        <v>36</v>
      </c>
      <c r="R1442" s="2" t="s">
        <v>38</v>
      </c>
      <c r="S1442" s="2" t="s">
        <v>35</v>
      </c>
      <c r="T1442" s="2" t="s">
        <v>35</v>
      </c>
      <c r="U1442" s="2" t="s">
        <v>35</v>
      </c>
      <c r="V1442" s="2" t="b">
        <v>0</v>
      </c>
      <c r="W1442" s="2" t="s">
        <v>35</v>
      </c>
      <c r="X1442" s="2">
        <v>105</v>
      </c>
      <c r="Y1442" s="2">
        <v>12</v>
      </c>
      <c r="Z1442" s="2" t="s">
        <v>35</v>
      </c>
    </row>
    <row r="1443" spans="1:26" x14ac:dyDescent="0.2">
      <c r="A1443" s="2" t="s">
        <v>3664</v>
      </c>
      <c r="B1443" s="2" t="b">
        <v>0</v>
      </c>
      <c r="C1443" s="2" t="b">
        <v>0</v>
      </c>
      <c r="D1443" s="2" t="b">
        <v>0</v>
      </c>
      <c r="E1443" s="2" t="b">
        <v>0</v>
      </c>
      <c r="F1443" s="2" t="s">
        <v>31</v>
      </c>
      <c r="G1443" s="2" t="s">
        <v>3665</v>
      </c>
      <c r="H1443" s="2" t="s">
        <v>3666</v>
      </c>
      <c r="I1443" s="2" t="s">
        <v>3667</v>
      </c>
      <c r="J1443" s="2" t="s">
        <v>35</v>
      </c>
      <c r="K1443" s="2" t="s">
        <v>35</v>
      </c>
      <c r="L1443" s="2" t="s">
        <v>35</v>
      </c>
      <c r="M1443" s="2" t="s">
        <v>35</v>
      </c>
      <c r="N1443" s="3">
        <v>44769.444126516202</v>
      </c>
      <c r="O1443" s="3">
        <v>44769.444703263885</v>
      </c>
      <c r="P1443" s="2">
        <v>0</v>
      </c>
      <c r="Q1443" s="2" t="s">
        <v>109</v>
      </c>
      <c r="R1443" s="2" t="s">
        <v>38</v>
      </c>
      <c r="S1443" s="2" t="s">
        <v>35</v>
      </c>
      <c r="T1443" s="2">
        <v>65</v>
      </c>
      <c r="U1443" s="2" t="s">
        <v>35</v>
      </c>
      <c r="V1443" s="2" t="b">
        <v>0</v>
      </c>
      <c r="W1443" s="2" t="s">
        <v>35</v>
      </c>
      <c r="X1443" s="2" t="s">
        <v>35</v>
      </c>
      <c r="Y1443" s="2" t="s">
        <v>35</v>
      </c>
      <c r="Z1443" s="2" t="s">
        <v>35</v>
      </c>
    </row>
    <row r="1444" spans="1:26" x14ac:dyDescent="0.2">
      <c r="A1444" s="2" t="s">
        <v>3668</v>
      </c>
      <c r="B1444" s="2" t="b">
        <v>0</v>
      </c>
      <c r="C1444" s="2" t="b">
        <v>0</v>
      </c>
      <c r="D1444" s="2" t="b">
        <v>0</v>
      </c>
      <c r="E1444" s="2" t="b">
        <v>0</v>
      </c>
      <c r="F1444" s="2" t="s">
        <v>31</v>
      </c>
      <c r="G1444" s="2" t="s">
        <v>3669</v>
      </c>
      <c r="H1444" s="2" t="s">
        <v>3670</v>
      </c>
      <c r="I1444" s="2" t="s">
        <v>35</v>
      </c>
      <c r="J1444" s="2" t="s">
        <v>35</v>
      </c>
      <c r="K1444" s="2" t="s">
        <v>35</v>
      </c>
      <c r="L1444" s="2">
        <v>101</v>
      </c>
      <c r="M1444" s="2">
        <v>8</v>
      </c>
      <c r="N1444" s="3">
        <v>44769.445514525461</v>
      </c>
      <c r="O1444" s="3">
        <v>44769.44659699074</v>
      </c>
      <c r="P1444" s="2">
        <v>0</v>
      </c>
      <c r="Q1444" s="2" t="s">
        <v>54</v>
      </c>
      <c r="R1444" s="2" t="s">
        <v>38</v>
      </c>
      <c r="S1444" s="2" t="s">
        <v>35</v>
      </c>
      <c r="T1444" s="2" t="s">
        <v>35</v>
      </c>
      <c r="U1444" s="2" t="s">
        <v>35</v>
      </c>
      <c r="V1444" s="2" t="b">
        <v>0</v>
      </c>
      <c r="W1444" s="2" t="s">
        <v>35</v>
      </c>
      <c r="X1444" s="2" t="s">
        <v>35</v>
      </c>
      <c r="Y1444" s="2" t="s">
        <v>35</v>
      </c>
      <c r="Z1444" s="2" t="s">
        <v>35</v>
      </c>
    </row>
    <row r="1445" spans="1:26" x14ac:dyDescent="0.2">
      <c r="A1445" s="2" t="s">
        <v>3671</v>
      </c>
      <c r="B1445" s="2" t="b">
        <v>0</v>
      </c>
      <c r="C1445" s="2" t="b">
        <v>0</v>
      </c>
      <c r="D1445" s="2" t="b">
        <v>0</v>
      </c>
      <c r="E1445" s="2" t="b">
        <v>0</v>
      </c>
      <c r="F1445" s="2" t="s">
        <v>31</v>
      </c>
      <c r="G1445" s="2" t="s">
        <v>3672</v>
      </c>
      <c r="H1445" s="2" t="s">
        <v>3673</v>
      </c>
      <c r="I1445" s="2" t="s">
        <v>3629</v>
      </c>
      <c r="J1445" s="2" t="s">
        <v>35</v>
      </c>
      <c r="K1445" s="2" t="s">
        <v>35</v>
      </c>
      <c r="L1445" s="2" t="s">
        <v>35</v>
      </c>
      <c r="M1445" s="2" t="s">
        <v>35</v>
      </c>
      <c r="N1445" s="3">
        <v>44769.447237870372</v>
      </c>
      <c r="O1445" s="3">
        <v>44769.447429571759</v>
      </c>
      <c r="P1445" s="2">
        <v>0</v>
      </c>
      <c r="Q1445" s="2" t="s">
        <v>36</v>
      </c>
      <c r="R1445" s="2" t="s">
        <v>38</v>
      </c>
      <c r="S1445" s="2" t="s">
        <v>35</v>
      </c>
      <c r="T1445" s="2" t="s">
        <v>35</v>
      </c>
      <c r="U1445" s="2" t="s">
        <v>35</v>
      </c>
      <c r="V1445" s="2" t="b">
        <v>0</v>
      </c>
      <c r="W1445" s="2" t="s">
        <v>35</v>
      </c>
      <c r="X1445" s="2" t="s">
        <v>35</v>
      </c>
      <c r="Y1445" s="2">
        <v>4</v>
      </c>
      <c r="Z1445" s="2" t="s">
        <v>35</v>
      </c>
    </row>
    <row r="1446" spans="1:26" x14ac:dyDescent="0.2">
      <c r="A1446" s="2" t="s">
        <v>3674</v>
      </c>
      <c r="B1446" s="2" t="b">
        <v>0</v>
      </c>
      <c r="C1446" s="2" t="b">
        <v>0</v>
      </c>
      <c r="D1446" s="2" t="b">
        <v>0</v>
      </c>
      <c r="E1446" s="2" t="b">
        <v>0</v>
      </c>
      <c r="F1446" s="2" t="s">
        <v>31</v>
      </c>
      <c r="G1446" s="2" t="s">
        <v>3675</v>
      </c>
      <c r="H1446" s="2" t="s">
        <v>3676</v>
      </c>
      <c r="I1446" s="2" t="s">
        <v>3629</v>
      </c>
      <c r="J1446" s="2" t="s">
        <v>35</v>
      </c>
      <c r="K1446" s="2" t="s">
        <v>35</v>
      </c>
      <c r="L1446" s="2" t="s">
        <v>35</v>
      </c>
      <c r="M1446" s="2" t="s">
        <v>35</v>
      </c>
      <c r="N1446" s="3">
        <v>44769.44782361111</v>
      </c>
      <c r="O1446" s="3">
        <v>44769.448044097226</v>
      </c>
      <c r="P1446" s="2">
        <v>0</v>
      </c>
      <c r="Q1446" s="2" t="s">
        <v>36</v>
      </c>
      <c r="R1446" s="2" t="s">
        <v>38</v>
      </c>
      <c r="S1446" s="2" t="s">
        <v>35</v>
      </c>
      <c r="T1446" s="2" t="s">
        <v>35</v>
      </c>
      <c r="U1446" s="2" t="s">
        <v>35</v>
      </c>
      <c r="V1446" s="2" t="b">
        <v>0</v>
      </c>
      <c r="W1446" s="2" t="s">
        <v>35</v>
      </c>
      <c r="X1446" s="2" t="s">
        <v>35</v>
      </c>
      <c r="Y1446" s="2">
        <v>7</v>
      </c>
      <c r="Z1446" s="2" t="s">
        <v>35</v>
      </c>
    </row>
    <row r="1447" spans="1:26" x14ac:dyDescent="0.2">
      <c r="A1447" s="2" t="s">
        <v>3677</v>
      </c>
      <c r="B1447" s="2" t="b">
        <v>0</v>
      </c>
      <c r="C1447" s="2" t="b">
        <v>0</v>
      </c>
      <c r="D1447" s="2" t="b">
        <v>0</v>
      </c>
      <c r="E1447" s="2" t="b">
        <v>0</v>
      </c>
      <c r="F1447" s="2" t="s">
        <v>31</v>
      </c>
      <c r="G1447" s="2" t="s">
        <v>3678</v>
      </c>
      <c r="H1447" s="2" t="s">
        <v>3679</v>
      </c>
      <c r="I1447" s="2" t="s">
        <v>3680</v>
      </c>
      <c r="J1447" s="2" t="s">
        <v>35</v>
      </c>
      <c r="K1447" s="2" t="s">
        <v>35</v>
      </c>
      <c r="L1447" s="2" t="s">
        <v>35</v>
      </c>
      <c r="M1447" s="2" t="s">
        <v>35</v>
      </c>
      <c r="N1447" s="3">
        <v>44769.449519525464</v>
      </c>
      <c r="O1447" s="3">
        <v>44769.449972743052</v>
      </c>
      <c r="P1447" s="2">
        <v>0</v>
      </c>
      <c r="Q1447" s="2" t="s">
        <v>36</v>
      </c>
      <c r="R1447" s="2" t="s">
        <v>38</v>
      </c>
      <c r="S1447" s="2" t="s">
        <v>35</v>
      </c>
      <c r="T1447" s="2" t="s">
        <v>35</v>
      </c>
      <c r="U1447" s="2" t="s">
        <v>35</v>
      </c>
      <c r="V1447" s="2" t="b">
        <v>0</v>
      </c>
      <c r="W1447" s="2" t="s">
        <v>35</v>
      </c>
      <c r="X1447" s="2" t="s">
        <v>35</v>
      </c>
      <c r="Y1447" s="2">
        <v>8</v>
      </c>
      <c r="Z1447" s="2" t="s">
        <v>35</v>
      </c>
    </row>
    <row r="1448" spans="1:26" x14ac:dyDescent="0.2">
      <c r="A1448" s="2" t="s">
        <v>3681</v>
      </c>
      <c r="B1448" s="2" t="b">
        <v>0</v>
      </c>
      <c r="C1448" s="2" t="b">
        <v>0</v>
      </c>
      <c r="D1448" s="2" t="b">
        <v>0</v>
      </c>
      <c r="E1448" s="2" t="b">
        <v>0</v>
      </c>
      <c r="F1448" s="2" t="s">
        <v>31</v>
      </c>
      <c r="G1448" s="2" t="s">
        <v>3682</v>
      </c>
      <c r="H1448" s="2" t="s">
        <v>3683</v>
      </c>
      <c r="I1448" s="2" t="s">
        <v>3680</v>
      </c>
      <c r="J1448" s="2" t="s">
        <v>35</v>
      </c>
      <c r="K1448" s="2" t="s">
        <v>35</v>
      </c>
      <c r="L1448" s="2" t="s">
        <v>35</v>
      </c>
      <c r="M1448" s="2" t="s">
        <v>35</v>
      </c>
      <c r="N1448" s="3">
        <v>44769.450413993058</v>
      </c>
      <c r="O1448" s="3">
        <v>44769.45074010417</v>
      </c>
      <c r="P1448" s="2">
        <v>0</v>
      </c>
      <c r="Q1448" s="2" t="s">
        <v>36</v>
      </c>
      <c r="R1448" s="2" t="s">
        <v>38</v>
      </c>
      <c r="S1448" s="2" t="s">
        <v>35</v>
      </c>
      <c r="T1448" s="2" t="s">
        <v>35</v>
      </c>
      <c r="U1448" s="2" t="s">
        <v>35</v>
      </c>
      <c r="V1448" s="2" t="b">
        <v>0</v>
      </c>
      <c r="W1448" s="2" t="s">
        <v>35</v>
      </c>
      <c r="X1448" s="2" t="s">
        <v>35</v>
      </c>
      <c r="Y1448" s="2">
        <v>6</v>
      </c>
      <c r="Z1448" s="2">
        <v>2</v>
      </c>
    </row>
    <row r="1449" spans="1:26" x14ac:dyDescent="0.2">
      <c r="A1449" s="2" t="s">
        <v>3684</v>
      </c>
      <c r="B1449" s="2" t="b">
        <v>0</v>
      </c>
      <c r="C1449" s="2" t="b">
        <v>0</v>
      </c>
      <c r="D1449" s="2" t="b">
        <v>0</v>
      </c>
      <c r="E1449" s="2" t="b">
        <v>0</v>
      </c>
      <c r="F1449" s="2" t="s">
        <v>31</v>
      </c>
      <c r="G1449" s="2" t="s">
        <v>3685</v>
      </c>
      <c r="H1449" s="2" t="s">
        <v>3686</v>
      </c>
      <c r="I1449" s="2" t="s">
        <v>3213</v>
      </c>
      <c r="J1449" s="2" t="s">
        <v>35</v>
      </c>
      <c r="K1449" s="2" t="s">
        <v>35</v>
      </c>
      <c r="L1449" s="2" t="s">
        <v>35</v>
      </c>
      <c r="M1449" s="2" t="s">
        <v>35</v>
      </c>
      <c r="N1449" s="3">
        <v>44769.452104699078</v>
      </c>
      <c r="O1449" s="3">
        <v>44769.452548854169</v>
      </c>
      <c r="P1449" s="2">
        <v>0</v>
      </c>
      <c r="Q1449" s="2" t="s">
        <v>36</v>
      </c>
      <c r="R1449" s="2" t="s">
        <v>38</v>
      </c>
      <c r="S1449" s="2" t="s">
        <v>35</v>
      </c>
      <c r="T1449" s="2" t="s">
        <v>35</v>
      </c>
      <c r="U1449" s="2" t="s">
        <v>35</v>
      </c>
      <c r="V1449" s="2" t="b">
        <v>0</v>
      </c>
      <c r="W1449" s="2" t="s">
        <v>35</v>
      </c>
      <c r="X1449" s="2" t="s">
        <v>35</v>
      </c>
      <c r="Y1449" s="2">
        <v>3</v>
      </c>
      <c r="Z1449" s="2" t="s">
        <v>35</v>
      </c>
    </row>
    <row r="1450" spans="1:26" x14ac:dyDescent="0.2">
      <c r="A1450" s="2" t="s">
        <v>3687</v>
      </c>
      <c r="B1450" s="2" t="b">
        <v>0</v>
      </c>
      <c r="C1450" s="2" t="b">
        <v>0</v>
      </c>
      <c r="D1450" s="2" t="b">
        <v>0</v>
      </c>
      <c r="E1450" s="2" t="b">
        <v>0</v>
      </c>
      <c r="F1450" s="2" t="s">
        <v>31</v>
      </c>
      <c r="G1450" s="2" t="s">
        <v>3688</v>
      </c>
      <c r="H1450" s="2" t="s">
        <v>3689</v>
      </c>
      <c r="I1450" s="2" t="s">
        <v>3657</v>
      </c>
      <c r="J1450" s="2" t="s">
        <v>35</v>
      </c>
      <c r="K1450" s="2" t="s">
        <v>35</v>
      </c>
      <c r="L1450" s="2" t="s">
        <v>35</v>
      </c>
      <c r="M1450" s="2" t="s">
        <v>35</v>
      </c>
      <c r="N1450" s="3">
        <v>44769.452707847224</v>
      </c>
      <c r="O1450" s="3">
        <v>44769.452991655089</v>
      </c>
      <c r="P1450" s="2">
        <v>0</v>
      </c>
      <c r="Q1450" s="2" t="s">
        <v>36</v>
      </c>
      <c r="R1450" s="2" t="s">
        <v>38</v>
      </c>
      <c r="S1450" s="2" t="s">
        <v>35</v>
      </c>
      <c r="T1450" s="2" t="s">
        <v>35</v>
      </c>
      <c r="U1450" s="2" t="s">
        <v>35</v>
      </c>
      <c r="V1450" s="2" t="b">
        <v>0</v>
      </c>
      <c r="W1450" s="2" t="s">
        <v>35</v>
      </c>
      <c r="X1450" s="2" t="s">
        <v>35</v>
      </c>
      <c r="Y1450" s="2">
        <v>6</v>
      </c>
      <c r="Z1450" s="2">
        <v>2</v>
      </c>
    </row>
    <row r="1451" spans="1:26" x14ac:dyDescent="0.2">
      <c r="A1451" s="2" t="s">
        <v>3690</v>
      </c>
      <c r="B1451" s="2" t="b">
        <v>0</v>
      </c>
      <c r="C1451" s="2" t="b">
        <v>0</v>
      </c>
      <c r="D1451" s="2" t="b">
        <v>0</v>
      </c>
      <c r="E1451" s="2" t="b">
        <v>0</v>
      </c>
      <c r="F1451" s="2" t="s">
        <v>31</v>
      </c>
      <c r="G1451" s="2" t="s">
        <v>3691</v>
      </c>
      <c r="H1451" s="2" t="s">
        <v>3692</v>
      </c>
      <c r="I1451" s="2" t="s">
        <v>584</v>
      </c>
      <c r="J1451" s="2" t="s">
        <v>35</v>
      </c>
      <c r="K1451" s="2" t="s">
        <v>35</v>
      </c>
      <c r="L1451" s="2" t="s">
        <v>35</v>
      </c>
      <c r="M1451" s="2" t="s">
        <v>35</v>
      </c>
      <c r="N1451" s="3">
        <v>44769.454748784723</v>
      </c>
      <c r="O1451" s="3">
        <v>44769.454964143515</v>
      </c>
      <c r="P1451" s="2">
        <v>0</v>
      </c>
      <c r="Q1451" s="2" t="s">
        <v>36</v>
      </c>
      <c r="R1451" s="2" t="s">
        <v>38</v>
      </c>
      <c r="S1451" s="2" t="s">
        <v>35</v>
      </c>
      <c r="T1451" s="2" t="s">
        <v>35</v>
      </c>
      <c r="U1451" s="2" t="s">
        <v>35</v>
      </c>
      <c r="V1451" s="2" t="b">
        <v>0</v>
      </c>
      <c r="W1451" s="2" t="s">
        <v>35</v>
      </c>
      <c r="X1451" s="2" t="s">
        <v>35</v>
      </c>
      <c r="Y1451" s="2">
        <v>4</v>
      </c>
      <c r="Z1451" s="2" t="s">
        <v>35</v>
      </c>
    </row>
    <row r="1452" spans="1:26" x14ac:dyDescent="0.2">
      <c r="A1452" s="2" t="s">
        <v>3693</v>
      </c>
      <c r="B1452" s="2" t="b">
        <v>0</v>
      </c>
      <c r="C1452" s="2" t="b">
        <v>0</v>
      </c>
      <c r="D1452" s="2" t="b">
        <v>0</v>
      </c>
      <c r="E1452" s="2" t="b">
        <v>0</v>
      </c>
      <c r="F1452" s="2" t="s">
        <v>31</v>
      </c>
      <c r="G1452" s="2" t="s">
        <v>3694</v>
      </c>
      <c r="H1452" s="2" t="s">
        <v>3695</v>
      </c>
      <c r="I1452" s="2" t="s">
        <v>584</v>
      </c>
      <c r="J1452" s="2" t="s">
        <v>35</v>
      </c>
      <c r="K1452" s="2" t="s">
        <v>35</v>
      </c>
      <c r="L1452" s="2" t="s">
        <v>35</v>
      </c>
      <c r="M1452" s="2" t="s">
        <v>35</v>
      </c>
      <c r="N1452" s="3">
        <v>44769.455731655093</v>
      </c>
      <c r="O1452" s="3">
        <v>44769.455939201391</v>
      </c>
      <c r="P1452" s="2">
        <v>0</v>
      </c>
      <c r="Q1452" s="2" t="s">
        <v>36</v>
      </c>
      <c r="R1452" s="2" t="s">
        <v>38</v>
      </c>
      <c r="S1452" s="2" t="s">
        <v>35</v>
      </c>
      <c r="T1452" s="2" t="s">
        <v>35</v>
      </c>
      <c r="U1452" s="2" t="s">
        <v>35</v>
      </c>
      <c r="V1452" s="2" t="b">
        <v>0</v>
      </c>
      <c r="W1452" s="2" t="s">
        <v>35</v>
      </c>
      <c r="X1452" s="2" t="s">
        <v>35</v>
      </c>
      <c r="Y1452" s="2">
        <v>3</v>
      </c>
      <c r="Z1452" s="2" t="s">
        <v>35</v>
      </c>
    </row>
    <row r="1453" spans="1:26" x14ac:dyDescent="0.2">
      <c r="A1453" s="2" t="s">
        <v>3696</v>
      </c>
      <c r="B1453" s="2" t="b">
        <v>0</v>
      </c>
      <c r="C1453" s="2" t="b">
        <v>0</v>
      </c>
      <c r="D1453" s="2" t="b">
        <v>0</v>
      </c>
      <c r="E1453" s="2" t="b">
        <v>0</v>
      </c>
      <c r="F1453" s="2" t="s">
        <v>31</v>
      </c>
      <c r="G1453" s="2" t="s">
        <v>3697</v>
      </c>
      <c r="H1453" s="2" t="s">
        <v>3698</v>
      </c>
      <c r="I1453" s="2" t="s">
        <v>35</v>
      </c>
      <c r="J1453" s="2" t="s">
        <v>35</v>
      </c>
      <c r="K1453" s="2" t="s">
        <v>35</v>
      </c>
      <c r="L1453" s="2" t="s">
        <v>35</v>
      </c>
      <c r="M1453" s="2" t="s">
        <v>35</v>
      </c>
      <c r="N1453" s="3">
        <v>44769.457876597226</v>
      </c>
      <c r="O1453" s="3">
        <v>44769.458026909721</v>
      </c>
      <c r="P1453" s="2">
        <v>0</v>
      </c>
      <c r="Q1453" s="2" t="s">
        <v>36</v>
      </c>
      <c r="R1453" s="2" t="s">
        <v>38</v>
      </c>
      <c r="S1453" s="2" t="s">
        <v>35</v>
      </c>
      <c r="T1453" s="2" t="s">
        <v>35</v>
      </c>
      <c r="U1453" s="2" t="s">
        <v>35</v>
      </c>
      <c r="V1453" s="2" t="b">
        <v>0</v>
      </c>
      <c r="W1453" s="2" t="s">
        <v>35</v>
      </c>
      <c r="X1453" s="2" t="s">
        <v>35</v>
      </c>
      <c r="Y1453" s="2" t="s">
        <v>35</v>
      </c>
      <c r="Z1453" s="2">
        <v>3</v>
      </c>
    </row>
    <row r="1454" spans="1:26" x14ac:dyDescent="0.2">
      <c r="A1454" s="2" t="s">
        <v>3699</v>
      </c>
      <c r="B1454" s="2" t="b">
        <v>0</v>
      </c>
      <c r="C1454" s="2" t="b">
        <v>0</v>
      </c>
      <c r="D1454" s="2" t="b">
        <v>0</v>
      </c>
      <c r="E1454" s="2" t="b">
        <v>0</v>
      </c>
      <c r="F1454" s="2" t="s">
        <v>31</v>
      </c>
      <c r="G1454" s="2" t="s">
        <v>3700</v>
      </c>
      <c r="H1454" s="2" t="s">
        <v>3701</v>
      </c>
      <c r="I1454" s="2" t="s">
        <v>35</v>
      </c>
      <c r="J1454" s="2" t="s">
        <v>35</v>
      </c>
      <c r="K1454" s="2" t="s">
        <v>35</v>
      </c>
      <c r="L1454" s="2" t="s">
        <v>35</v>
      </c>
      <c r="M1454" s="2" t="s">
        <v>35</v>
      </c>
      <c r="N1454" s="3">
        <v>44769.458786354167</v>
      </c>
      <c r="O1454" s="3">
        <v>44769.459646886571</v>
      </c>
      <c r="P1454" s="2">
        <v>0</v>
      </c>
      <c r="Q1454" s="2" t="s">
        <v>36</v>
      </c>
      <c r="R1454" s="2" t="s">
        <v>38</v>
      </c>
      <c r="S1454" s="2" t="s">
        <v>35</v>
      </c>
      <c r="T1454" s="2" t="s">
        <v>35</v>
      </c>
      <c r="U1454" s="2" t="s">
        <v>35</v>
      </c>
      <c r="V1454" s="2" t="b">
        <v>0</v>
      </c>
      <c r="W1454" s="2" t="s">
        <v>35</v>
      </c>
      <c r="X1454" s="2" t="s">
        <v>35</v>
      </c>
      <c r="Y1454" s="2" t="s">
        <v>35</v>
      </c>
      <c r="Z1454" s="2">
        <v>3</v>
      </c>
    </row>
    <row r="1455" spans="1:26" x14ac:dyDescent="0.2">
      <c r="A1455" s="2" t="s">
        <v>3702</v>
      </c>
      <c r="B1455" s="2" t="b">
        <v>0</v>
      </c>
      <c r="C1455" s="2" t="b">
        <v>0</v>
      </c>
      <c r="D1455" s="2" t="b">
        <v>0</v>
      </c>
      <c r="E1455" s="2" t="b">
        <v>0</v>
      </c>
      <c r="F1455" s="2" t="s">
        <v>31</v>
      </c>
      <c r="G1455" s="2" t="s">
        <v>3703</v>
      </c>
      <c r="H1455" s="2" t="s">
        <v>3704</v>
      </c>
      <c r="I1455" s="2" t="s">
        <v>35</v>
      </c>
      <c r="J1455" s="2" t="s">
        <v>35</v>
      </c>
      <c r="K1455" s="2" t="s">
        <v>35</v>
      </c>
      <c r="L1455" s="2" t="s">
        <v>35</v>
      </c>
      <c r="M1455" s="2" t="s">
        <v>35</v>
      </c>
      <c r="N1455" s="3">
        <v>44769.459994861114</v>
      </c>
      <c r="O1455" s="3">
        <v>44769.46009079861</v>
      </c>
      <c r="P1455" s="2">
        <v>0</v>
      </c>
      <c r="Q1455" s="2" t="s">
        <v>36</v>
      </c>
      <c r="R1455" s="2" t="s">
        <v>38</v>
      </c>
      <c r="S1455" s="2" t="s">
        <v>35</v>
      </c>
      <c r="T1455" s="2" t="s">
        <v>35</v>
      </c>
      <c r="U1455" s="2" t="s">
        <v>35</v>
      </c>
      <c r="V1455" s="2" t="b">
        <v>0</v>
      </c>
      <c r="W1455" s="2" t="s">
        <v>35</v>
      </c>
      <c r="X1455" s="2" t="s">
        <v>35</v>
      </c>
      <c r="Y1455" s="2" t="s">
        <v>35</v>
      </c>
      <c r="Z1455" s="2">
        <v>2</v>
      </c>
    </row>
    <row r="1456" spans="1:26" x14ac:dyDescent="0.2">
      <c r="A1456" s="2" t="s">
        <v>3705</v>
      </c>
      <c r="B1456" s="2" t="b">
        <v>0</v>
      </c>
      <c r="C1456" s="2" t="b">
        <v>0</v>
      </c>
      <c r="D1456" s="2" t="b">
        <v>0</v>
      </c>
      <c r="E1456" s="2" t="b">
        <v>0</v>
      </c>
      <c r="F1456" s="2" t="s">
        <v>31</v>
      </c>
      <c r="G1456" s="2" t="s">
        <v>3706</v>
      </c>
      <c r="H1456" s="2" t="s">
        <v>3707</v>
      </c>
      <c r="I1456" s="2" t="s">
        <v>35</v>
      </c>
      <c r="J1456" s="2" t="s">
        <v>35</v>
      </c>
      <c r="K1456" s="2" t="s">
        <v>35</v>
      </c>
      <c r="L1456" s="2" t="s">
        <v>35</v>
      </c>
      <c r="M1456" s="2" t="s">
        <v>35</v>
      </c>
      <c r="N1456" s="3">
        <v>44769.460586979163</v>
      </c>
      <c r="O1456" s="3">
        <v>44769.460821932873</v>
      </c>
      <c r="P1456" s="2">
        <v>0</v>
      </c>
      <c r="Q1456" s="2" t="s">
        <v>36</v>
      </c>
      <c r="R1456" s="2" t="s">
        <v>38</v>
      </c>
      <c r="S1456" s="2" t="s">
        <v>35</v>
      </c>
      <c r="T1456" s="2" t="s">
        <v>35</v>
      </c>
      <c r="U1456" s="2" t="s">
        <v>35</v>
      </c>
      <c r="V1456" s="2" t="b">
        <v>0</v>
      </c>
      <c r="W1456" s="2" t="s">
        <v>35</v>
      </c>
      <c r="X1456" s="2" t="s">
        <v>35</v>
      </c>
      <c r="Y1456" s="2" t="s">
        <v>35</v>
      </c>
      <c r="Z1456" s="2">
        <v>2</v>
      </c>
    </row>
    <row r="1457" spans="1:26" x14ac:dyDescent="0.2">
      <c r="A1457" s="2" t="s">
        <v>3708</v>
      </c>
      <c r="B1457" s="2" t="b">
        <v>0</v>
      </c>
      <c r="C1457" s="2" t="b">
        <v>0</v>
      </c>
      <c r="D1457" s="2" t="b">
        <v>0</v>
      </c>
      <c r="E1457" s="2" t="b">
        <v>0</v>
      </c>
      <c r="F1457" s="2" t="s">
        <v>31</v>
      </c>
      <c r="G1457" s="2" t="s">
        <v>3709</v>
      </c>
      <c r="H1457" s="2" t="s">
        <v>3710</v>
      </c>
      <c r="I1457" s="2" t="s">
        <v>35</v>
      </c>
      <c r="J1457" s="2" t="s">
        <v>35</v>
      </c>
      <c r="K1457" s="2" t="s">
        <v>35</v>
      </c>
      <c r="L1457" s="2" t="s">
        <v>35</v>
      </c>
      <c r="M1457" s="2" t="s">
        <v>35</v>
      </c>
      <c r="N1457" s="3">
        <v>44769.461184016203</v>
      </c>
      <c r="O1457" s="3">
        <v>44769.461447094909</v>
      </c>
      <c r="P1457" s="2">
        <v>0</v>
      </c>
      <c r="Q1457" s="2" t="s">
        <v>109</v>
      </c>
      <c r="R1457" s="2" t="s">
        <v>38</v>
      </c>
      <c r="S1457" s="2" t="s">
        <v>35</v>
      </c>
      <c r="T1457" s="2">
        <v>112</v>
      </c>
      <c r="U1457" s="2" t="s">
        <v>35</v>
      </c>
      <c r="V1457" s="2" t="b">
        <v>0</v>
      </c>
      <c r="W1457" s="2" t="s">
        <v>35</v>
      </c>
      <c r="X1457" s="2" t="s">
        <v>35</v>
      </c>
      <c r="Y1457" s="2" t="s">
        <v>35</v>
      </c>
      <c r="Z1457" s="2" t="s">
        <v>35</v>
      </c>
    </row>
    <row r="1458" spans="1:26" x14ac:dyDescent="0.2">
      <c r="A1458" s="2" t="s">
        <v>3711</v>
      </c>
      <c r="B1458" s="2" t="b">
        <v>0</v>
      </c>
      <c r="C1458" s="2" t="b">
        <v>0</v>
      </c>
      <c r="D1458" s="2" t="b">
        <v>0</v>
      </c>
      <c r="E1458" s="2" t="b">
        <v>0</v>
      </c>
      <c r="F1458" s="2" t="s">
        <v>31</v>
      </c>
      <c r="G1458" s="2" t="s">
        <v>3712</v>
      </c>
      <c r="H1458" s="2" t="s">
        <v>3713</v>
      </c>
      <c r="I1458" s="2" t="s">
        <v>1177</v>
      </c>
      <c r="J1458" s="2" t="s">
        <v>35</v>
      </c>
      <c r="K1458" s="2" t="s">
        <v>35</v>
      </c>
      <c r="L1458" s="2" t="s">
        <v>35</v>
      </c>
      <c r="M1458" s="2" t="s">
        <v>35</v>
      </c>
      <c r="N1458" s="3">
        <v>44769.461709722222</v>
      </c>
      <c r="O1458" s="3">
        <v>44769.462220578702</v>
      </c>
      <c r="P1458" s="2">
        <v>0</v>
      </c>
      <c r="Q1458" s="2" t="s">
        <v>36</v>
      </c>
      <c r="R1458" s="2" t="s">
        <v>38</v>
      </c>
      <c r="S1458" s="2" t="s">
        <v>35</v>
      </c>
      <c r="T1458" s="2" t="s">
        <v>35</v>
      </c>
      <c r="U1458" s="2" t="s">
        <v>35</v>
      </c>
      <c r="V1458" s="2" t="b">
        <v>0</v>
      </c>
      <c r="W1458" s="2" t="s">
        <v>35</v>
      </c>
      <c r="X1458" s="2" t="s">
        <v>35</v>
      </c>
      <c r="Y1458" s="2">
        <v>7</v>
      </c>
      <c r="Z1458" s="2">
        <v>3</v>
      </c>
    </row>
    <row r="1459" spans="1:26" x14ac:dyDescent="0.2">
      <c r="A1459" s="2" t="s">
        <v>3714</v>
      </c>
      <c r="B1459" s="2" t="b">
        <v>0</v>
      </c>
      <c r="C1459" s="2" t="b">
        <v>0</v>
      </c>
      <c r="D1459" s="2" t="b">
        <v>0</v>
      </c>
      <c r="E1459" s="2" t="b">
        <v>0</v>
      </c>
      <c r="F1459" s="2" t="s">
        <v>31</v>
      </c>
      <c r="G1459" s="2" t="s">
        <v>3715</v>
      </c>
      <c r="H1459" s="2" t="s">
        <v>3716</v>
      </c>
      <c r="I1459" s="2" t="s">
        <v>1177</v>
      </c>
      <c r="J1459" s="2" t="s">
        <v>35</v>
      </c>
      <c r="K1459" s="2" t="s">
        <v>35</v>
      </c>
      <c r="L1459" s="2" t="s">
        <v>35</v>
      </c>
      <c r="M1459" s="2" t="s">
        <v>35</v>
      </c>
      <c r="N1459" s="3">
        <v>44769.462813009261</v>
      </c>
      <c r="O1459" s="3">
        <v>44769.463025069446</v>
      </c>
      <c r="P1459" s="2">
        <v>0</v>
      </c>
      <c r="Q1459" s="2" t="s">
        <v>36</v>
      </c>
      <c r="R1459" s="2" t="s">
        <v>38</v>
      </c>
      <c r="S1459" s="2" t="s">
        <v>35</v>
      </c>
      <c r="T1459" s="2" t="s">
        <v>35</v>
      </c>
      <c r="U1459" s="2" t="s">
        <v>35</v>
      </c>
      <c r="V1459" s="2" t="b">
        <v>0</v>
      </c>
      <c r="W1459" s="2" t="s">
        <v>35</v>
      </c>
      <c r="X1459" s="2" t="s">
        <v>35</v>
      </c>
      <c r="Y1459" s="2">
        <v>4</v>
      </c>
      <c r="Z1459" s="2" t="s">
        <v>35</v>
      </c>
    </row>
    <row r="1460" spans="1:26" x14ac:dyDescent="0.2">
      <c r="A1460" s="2" t="s">
        <v>3717</v>
      </c>
      <c r="B1460" s="2" t="b">
        <v>0</v>
      </c>
      <c r="C1460" s="2" t="b">
        <v>0</v>
      </c>
      <c r="D1460" s="2" t="b">
        <v>0</v>
      </c>
      <c r="E1460" s="2" t="b">
        <v>0</v>
      </c>
      <c r="F1460" s="2" t="s">
        <v>31</v>
      </c>
      <c r="G1460" s="2" t="s">
        <v>3718</v>
      </c>
      <c r="H1460" s="2" t="s">
        <v>3719</v>
      </c>
      <c r="I1460" s="2" t="s">
        <v>35</v>
      </c>
      <c r="J1460" s="2" t="s">
        <v>35</v>
      </c>
      <c r="K1460" s="2" t="s">
        <v>35</v>
      </c>
      <c r="L1460" s="2" t="s">
        <v>35</v>
      </c>
      <c r="M1460" s="2" t="s">
        <v>35</v>
      </c>
      <c r="N1460" s="3">
        <v>44769.463447592592</v>
      </c>
      <c r="O1460" s="3">
        <v>44769.463786574073</v>
      </c>
      <c r="P1460" s="2">
        <v>0</v>
      </c>
      <c r="Q1460" s="2" t="s">
        <v>109</v>
      </c>
      <c r="R1460" s="2" t="s">
        <v>38</v>
      </c>
      <c r="S1460" s="2" t="s">
        <v>35</v>
      </c>
      <c r="T1460" s="2">
        <v>96</v>
      </c>
      <c r="U1460" s="2" t="s">
        <v>35</v>
      </c>
      <c r="V1460" s="2" t="b">
        <v>0</v>
      </c>
      <c r="W1460" s="2" t="s">
        <v>35</v>
      </c>
      <c r="X1460" s="2" t="s">
        <v>35</v>
      </c>
      <c r="Y1460" s="2" t="s">
        <v>35</v>
      </c>
      <c r="Z1460" s="2" t="s">
        <v>35</v>
      </c>
    </row>
    <row r="1461" spans="1:26" x14ac:dyDescent="0.2">
      <c r="A1461" s="2" t="s">
        <v>3720</v>
      </c>
      <c r="B1461" s="2" t="b">
        <v>0</v>
      </c>
      <c r="C1461" s="2" t="b">
        <v>0</v>
      </c>
      <c r="D1461" s="2" t="b">
        <v>0</v>
      </c>
      <c r="E1461" s="2" t="b">
        <v>0</v>
      </c>
      <c r="F1461" s="2" t="s">
        <v>31</v>
      </c>
      <c r="G1461" s="2" t="s">
        <v>3721</v>
      </c>
      <c r="H1461" s="2" t="s">
        <v>3719</v>
      </c>
      <c r="I1461" s="2" t="s">
        <v>3657</v>
      </c>
      <c r="J1461" s="2" t="s">
        <v>35</v>
      </c>
      <c r="K1461" s="2" t="s">
        <v>35</v>
      </c>
      <c r="L1461" s="2" t="s">
        <v>35</v>
      </c>
      <c r="M1461" s="2" t="s">
        <v>35</v>
      </c>
      <c r="N1461" s="3">
        <v>44769.463815625</v>
      </c>
      <c r="O1461" s="3">
        <v>44769.464183622687</v>
      </c>
      <c r="P1461" s="2">
        <v>0</v>
      </c>
      <c r="Q1461" s="2" t="s">
        <v>36</v>
      </c>
      <c r="R1461" s="2" t="s">
        <v>38</v>
      </c>
      <c r="S1461" s="2" t="s">
        <v>35</v>
      </c>
      <c r="T1461" s="2" t="s">
        <v>35</v>
      </c>
      <c r="U1461" s="2" t="s">
        <v>35</v>
      </c>
      <c r="V1461" s="2" t="b">
        <v>0</v>
      </c>
      <c r="W1461" s="2" t="s">
        <v>3722</v>
      </c>
      <c r="X1461" s="2" t="s">
        <v>35</v>
      </c>
      <c r="Y1461" s="2">
        <v>5</v>
      </c>
      <c r="Z1461" s="2" t="s">
        <v>35</v>
      </c>
    </row>
    <row r="1462" spans="1:26" x14ac:dyDescent="0.2">
      <c r="A1462" s="2" t="s">
        <v>3723</v>
      </c>
      <c r="B1462" s="2" t="b">
        <v>0</v>
      </c>
      <c r="C1462" s="2" t="b">
        <v>0</v>
      </c>
      <c r="D1462" s="2" t="b">
        <v>0</v>
      </c>
      <c r="E1462" s="2" t="b">
        <v>0</v>
      </c>
      <c r="F1462" s="2" t="s">
        <v>31</v>
      </c>
      <c r="G1462" s="2" t="s">
        <v>3724</v>
      </c>
      <c r="H1462" s="2" t="s">
        <v>3725</v>
      </c>
      <c r="I1462" s="2" t="s">
        <v>35</v>
      </c>
      <c r="J1462" s="2" t="s">
        <v>35</v>
      </c>
      <c r="K1462" s="2" t="s">
        <v>35</v>
      </c>
      <c r="L1462" s="2" t="s">
        <v>35</v>
      </c>
      <c r="M1462" s="2" t="s">
        <v>35</v>
      </c>
      <c r="N1462" s="3">
        <v>44769.464205358796</v>
      </c>
      <c r="O1462" s="3">
        <v>44769.464493402775</v>
      </c>
      <c r="P1462" s="2">
        <v>0</v>
      </c>
      <c r="Q1462" s="2" t="s">
        <v>36</v>
      </c>
      <c r="R1462" s="2" t="s">
        <v>38</v>
      </c>
      <c r="S1462" s="2" t="s">
        <v>35</v>
      </c>
      <c r="T1462" s="2" t="s">
        <v>35</v>
      </c>
      <c r="U1462" s="2" t="s">
        <v>35</v>
      </c>
      <c r="V1462" s="2" t="b">
        <v>0</v>
      </c>
      <c r="W1462" s="2" t="s">
        <v>2284</v>
      </c>
      <c r="X1462" s="2" t="s">
        <v>35</v>
      </c>
      <c r="Y1462" s="2" t="s">
        <v>35</v>
      </c>
      <c r="Z1462" s="2" t="s">
        <v>35</v>
      </c>
    </row>
    <row r="1463" spans="1:26" x14ac:dyDescent="0.2">
      <c r="A1463" s="2" t="s">
        <v>3726</v>
      </c>
      <c r="B1463" s="2" t="b">
        <v>0</v>
      </c>
      <c r="C1463" s="2" t="b">
        <v>0</v>
      </c>
      <c r="D1463" s="2" t="b">
        <v>0</v>
      </c>
      <c r="E1463" s="2" t="b">
        <v>0</v>
      </c>
      <c r="F1463" s="2" t="s">
        <v>31</v>
      </c>
      <c r="G1463" s="2" t="s">
        <v>3727</v>
      </c>
      <c r="H1463" s="2" t="s">
        <v>3728</v>
      </c>
      <c r="I1463" s="2" t="s">
        <v>35</v>
      </c>
      <c r="J1463" s="2" t="s">
        <v>35</v>
      </c>
      <c r="K1463" s="2" t="s">
        <v>35</v>
      </c>
      <c r="L1463" s="2" t="s">
        <v>35</v>
      </c>
      <c r="M1463" s="2" t="s">
        <v>35</v>
      </c>
      <c r="N1463" s="3">
        <v>44769.464740405092</v>
      </c>
      <c r="O1463" s="3">
        <v>44769.464934814816</v>
      </c>
      <c r="P1463" s="2">
        <v>0</v>
      </c>
      <c r="Q1463" s="2" t="s">
        <v>36</v>
      </c>
      <c r="R1463" s="2" t="s">
        <v>38</v>
      </c>
      <c r="S1463" s="2" t="s">
        <v>35</v>
      </c>
      <c r="T1463" s="2" t="s">
        <v>35</v>
      </c>
      <c r="U1463" s="2" t="s">
        <v>35</v>
      </c>
      <c r="V1463" s="2" t="b">
        <v>0</v>
      </c>
      <c r="W1463" s="2" t="s">
        <v>2284</v>
      </c>
      <c r="X1463" s="2" t="s">
        <v>35</v>
      </c>
      <c r="Y1463" s="2" t="s">
        <v>35</v>
      </c>
      <c r="Z1463" s="2" t="s">
        <v>35</v>
      </c>
    </row>
    <row r="1464" spans="1:26" x14ac:dyDescent="0.2">
      <c r="A1464" s="2" t="s">
        <v>3729</v>
      </c>
      <c r="B1464" s="2" t="b">
        <v>0</v>
      </c>
      <c r="C1464" s="2" t="b">
        <v>0</v>
      </c>
      <c r="D1464" s="2" t="b">
        <v>0</v>
      </c>
      <c r="E1464" s="2" t="b">
        <v>0</v>
      </c>
      <c r="F1464" s="2" t="s">
        <v>31</v>
      </c>
      <c r="G1464" s="2" t="s">
        <v>3730</v>
      </c>
      <c r="H1464" s="2" t="s">
        <v>3731</v>
      </c>
      <c r="I1464" s="2" t="s">
        <v>35</v>
      </c>
      <c r="J1464" s="2" t="s">
        <v>35</v>
      </c>
      <c r="K1464" s="2" t="s">
        <v>35</v>
      </c>
      <c r="L1464" s="2">
        <v>3</v>
      </c>
      <c r="M1464" s="2">
        <v>15</v>
      </c>
      <c r="N1464" s="3">
        <v>44769.465067164354</v>
      </c>
      <c r="O1464" s="3">
        <v>44769.465323877317</v>
      </c>
      <c r="P1464" s="2">
        <v>0</v>
      </c>
      <c r="Q1464" s="2" t="s">
        <v>54</v>
      </c>
      <c r="R1464" s="2" t="s">
        <v>38</v>
      </c>
      <c r="S1464" s="2" t="s">
        <v>35</v>
      </c>
      <c r="T1464" s="2" t="s">
        <v>35</v>
      </c>
      <c r="U1464" s="2" t="s">
        <v>35</v>
      </c>
      <c r="V1464" s="2" t="b">
        <v>0</v>
      </c>
      <c r="W1464" s="2" t="s">
        <v>35</v>
      </c>
      <c r="X1464" s="2" t="s">
        <v>35</v>
      </c>
      <c r="Y1464" s="2" t="s">
        <v>35</v>
      </c>
      <c r="Z1464" s="2" t="s">
        <v>35</v>
      </c>
    </row>
    <row r="1465" spans="1:26" x14ac:dyDescent="0.2">
      <c r="A1465" s="2" t="s">
        <v>3732</v>
      </c>
      <c r="B1465" s="2" t="b">
        <v>0</v>
      </c>
      <c r="C1465" s="2" t="b">
        <v>0</v>
      </c>
      <c r="D1465" s="2" t="b">
        <v>0</v>
      </c>
      <c r="E1465" s="2" t="b">
        <v>0</v>
      </c>
      <c r="F1465" s="2" t="s">
        <v>31</v>
      </c>
      <c r="G1465" s="2" t="s">
        <v>3733</v>
      </c>
      <c r="H1465" s="2" t="s">
        <v>3734</v>
      </c>
      <c r="I1465" s="2" t="s">
        <v>35</v>
      </c>
      <c r="J1465" s="2" t="s">
        <v>35</v>
      </c>
      <c r="K1465" s="2" t="s">
        <v>35</v>
      </c>
      <c r="L1465" s="2">
        <v>3</v>
      </c>
      <c r="M1465" s="2">
        <v>15</v>
      </c>
      <c r="N1465" s="3">
        <v>44769.465501226849</v>
      </c>
      <c r="O1465" s="3">
        <v>44769.465612638887</v>
      </c>
      <c r="P1465" s="2">
        <v>0</v>
      </c>
      <c r="Q1465" s="2" t="s">
        <v>54</v>
      </c>
      <c r="R1465" s="2" t="s">
        <v>38</v>
      </c>
      <c r="S1465" s="2" t="s">
        <v>35</v>
      </c>
      <c r="T1465" s="2" t="s">
        <v>35</v>
      </c>
      <c r="U1465" s="2" t="s">
        <v>35</v>
      </c>
      <c r="V1465" s="2" t="b">
        <v>0</v>
      </c>
      <c r="W1465" s="2" t="s">
        <v>35</v>
      </c>
      <c r="X1465" s="2" t="s">
        <v>35</v>
      </c>
      <c r="Y1465" s="2" t="s">
        <v>35</v>
      </c>
      <c r="Z1465" s="2" t="s">
        <v>35</v>
      </c>
    </row>
    <row r="1466" spans="1:26" x14ac:dyDescent="0.2">
      <c r="A1466" s="2" t="s">
        <v>3735</v>
      </c>
      <c r="B1466" s="2" t="b">
        <v>0</v>
      </c>
      <c r="C1466" s="2" t="b">
        <v>0</v>
      </c>
      <c r="D1466" s="2" t="b">
        <v>0</v>
      </c>
      <c r="E1466" s="2" t="b">
        <v>0</v>
      </c>
      <c r="F1466" s="2" t="s">
        <v>31</v>
      </c>
      <c r="G1466" s="2" t="s">
        <v>3736</v>
      </c>
      <c r="H1466" s="2" t="s">
        <v>3737</v>
      </c>
      <c r="I1466" s="2" t="s">
        <v>35</v>
      </c>
      <c r="J1466" s="2" t="s">
        <v>35</v>
      </c>
      <c r="K1466" s="2" t="s">
        <v>35</v>
      </c>
      <c r="L1466" s="2">
        <v>3</v>
      </c>
      <c r="M1466" s="2">
        <v>15</v>
      </c>
      <c r="N1466" s="3">
        <v>44769.46594253472</v>
      </c>
      <c r="O1466" s="3">
        <v>44769.466845219904</v>
      </c>
      <c r="P1466" s="2">
        <v>0</v>
      </c>
      <c r="Q1466" s="2" t="s">
        <v>54</v>
      </c>
      <c r="R1466" s="2" t="s">
        <v>38</v>
      </c>
      <c r="S1466" s="2" t="s">
        <v>35</v>
      </c>
      <c r="T1466" s="2" t="s">
        <v>35</v>
      </c>
      <c r="U1466" s="2" t="s">
        <v>35</v>
      </c>
      <c r="V1466" s="2" t="b">
        <v>0</v>
      </c>
      <c r="W1466" s="2" t="s">
        <v>35</v>
      </c>
      <c r="X1466" s="2" t="s">
        <v>35</v>
      </c>
      <c r="Y1466" s="2" t="s">
        <v>35</v>
      </c>
      <c r="Z1466" s="2" t="s">
        <v>35</v>
      </c>
    </row>
    <row r="1467" spans="1:26" x14ac:dyDescent="0.2">
      <c r="A1467" s="2" t="s">
        <v>3738</v>
      </c>
      <c r="B1467" s="2" t="b">
        <v>0</v>
      </c>
      <c r="C1467" s="2" t="b">
        <v>0</v>
      </c>
      <c r="D1467" s="2" t="b">
        <v>0</v>
      </c>
      <c r="E1467" s="2" t="b">
        <v>0</v>
      </c>
      <c r="F1467" s="2" t="s">
        <v>31</v>
      </c>
      <c r="G1467" s="2" t="s">
        <v>3739</v>
      </c>
      <c r="H1467" s="2" t="s">
        <v>3740</v>
      </c>
      <c r="I1467" s="2" t="s">
        <v>1177</v>
      </c>
      <c r="J1467" s="2" t="s">
        <v>35</v>
      </c>
      <c r="K1467" s="2" t="s">
        <v>35</v>
      </c>
      <c r="L1467" s="2" t="s">
        <v>35</v>
      </c>
      <c r="M1467" s="2" t="s">
        <v>35</v>
      </c>
      <c r="N1467" s="3">
        <v>44769.467771203701</v>
      </c>
      <c r="O1467" s="3">
        <v>44769.468189421299</v>
      </c>
      <c r="P1467" s="2">
        <v>0</v>
      </c>
      <c r="Q1467" s="2" t="s">
        <v>36</v>
      </c>
      <c r="R1467" s="2" t="s">
        <v>38</v>
      </c>
      <c r="S1467" s="2" t="s">
        <v>35</v>
      </c>
      <c r="T1467" s="2" t="s">
        <v>35</v>
      </c>
      <c r="U1467" s="2" t="s">
        <v>35</v>
      </c>
      <c r="V1467" s="2" t="b">
        <v>0</v>
      </c>
      <c r="W1467" s="2" t="s">
        <v>3516</v>
      </c>
      <c r="X1467" s="2" t="s">
        <v>35</v>
      </c>
      <c r="Y1467" s="2">
        <v>8</v>
      </c>
      <c r="Z1467" s="2" t="s">
        <v>35</v>
      </c>
    </row>
    <row r="1468" spans="1:26" x14ac:dyDescent="0.2">
      <c r="A1468" s="2" t="s">
        <v>3741</v>
      </c>
      <c r="B1468" s="2" t="b">
        <v>0</v>
      </c>
      <c r="C1468" s="2" t="b">
        <v>0</v>
      </c>
      <c r="D1468" s="2" t="b">
        <v>0</v>
      </c>
      <c r="E1468" s="2" t="b">
        <v>0</v>
      </c>
      <c r="F1468" s="2" t="s">
        <v>31</v>
      </c>
      <c r="G1468" s="2" t="s">
        <v>3742</v>
      </c>
      <c r="H1468" s="2" t="s">
        <v>3743</v>
      </c>
      <c r="I1468" s="2" t="s">
        <v>1177</v>
      </c>
      <c r="J1468" s="2" t="s">
        <v>35</v>
      </c>
      <c r="K1468" s="2" t="s">
        <v>35</v>
      </c>
      <c r="L1468" s="2" t="s">
        <v>35</v>
      </c>
      <c r="M1468" s="2" t="s">
        <v>35</v>
      </c>
      <c r="N1468" s="3">
        <v>44769.468694444447</v>
      </c>
      <c r="O1468" s="3">
        <v>44769.469047777777</v>
      </c>
      <c r="P1468" s="2">
        <v>0</v>
      </c>
      <c r="Q1468" s="2" t="s">
        <v>36</v>
      </c>
      <c r="R1468" s="2" t="s">
        <v>38</v>
      </c>
      <c r="S1468" s="2" t="s">
        <v>35</v>
      </c>
      <c r="T1468" s="2" t="s">
        <v>35</v>
      </c>
      <c r="U1468" s="2" t="s">
        <v>35</v>
      </c>
      <c r="V1468" s="2" t="b">
        <v>0</v>
      </c>
      <c r="W1468" s="2" t="s">
        <v>35</v>
      </c>
      <c r="X1468" s="2" t="s">
        <v>35</v>
      </c>
      <c r="Y1468" s="2">
        <v>4</v>
      </c>
      <c r="Z1468" s="2" t="s">
        <v>35</v>
      </c>
    </row>
    <row r="1469" spans="1:26" x14ac:dyDescent="0.2">
      <c r="A1469" s="2" t="s">
        <v>3744</v>
      </c>
      <c r="B1469" s="2" t="b">
        <v>0</v>
      </c>
      <c r="C1469" s="2" t="b">
        <v>0</v>
      </c>
      <c r="D1469" s="2" t="b">
        <v>0</v>
      </c>
      <c r="E1469" s="2" t="b">
        <v>0</v>
      </c>
      <c r="F1469" s="2" t="s">
        <v>31</v>
      </c>
      <c r="G1469" s="2" t="s">
        <v>3745</v>
      </c>
      <c r="H1469" s="2" t="s">
        <v>3746</v>
      </c>
      <c r="I1469" s="2" t="s">
        <v>35</v>
      </c>
      <c r="J1469" s="2" t="s">
        <v>35</v>
      </c>
      <c r="K1469" s="2" t="s">
        <v>35</v>
      </c>
      <c r="L1469" s="2" t="s">
        <v>35</v>
      </c>
      <c r="M1469" s="2" t="s">
        <v>35</v>
      </c>
      <c r="N1469" s="3">
        <v>44769.469774687503</v>
      </c>
      <c r="O1469" s="3">
        <v>44769.46993796296</v>
      </c>
      <c r="P1469" s="2">
        <v>0</v>
      </c>
      <c r="Q1469" s="2" t="s">
        <v>109</v>
      </c>
      <c r="R1469" s="2" t="s">
        <v>38</v>
      </c>
      <c r="S1469" s="2" t="s">
        <v>35</v>
      </c>
      <c r="T1469" s="2">
        <v>95</v>
      </c>
      <c r="U1469" s="2" t="s">
        <v>35</v>
      </c>
      <c r="V1469" s="2" t="b">
        <v>0</v>
      </c>
      <c r="W1469" s="2" t="s">
        <v>35</v>
      </c>
      <c r="X1469" s="2" t="s">
        <v>35</v>
      </c>
      <c r="Y1469" s="2" t="s">
        <v>35</v>
      </c>
      <c r="Z1469" s="2" t="s">
        <v>35</v>
      </c>
    </row>
    <row r="1470" spans="1:26" x14ac:dyDescent="0.2">
      <c r="A1470" s="2" t="s">
        <v>3747</v>
      </c>
      <c r="B1470" s="2" t="b">
        <v>0</v>
      </c>
      <c r="C1470" s="2" t="b">
        <v>0</v>
      </c>
      <c r="D1470" s="2" t="b">
        <v>0</v>
      </c>
      <c r="E1470" s="2" t="b">
        <v>0</v>
      </c>
      <c r="F1470" s="2" t="s">
        <v>31</v>
      </c>
      <c r="G1470" s="2" t="s">
        <v>3748</v>
      </c>
      <c r="H1470" s="2" t="s">
        <v>3749</v>
      </c>
      <c r="I1470" s="2" t="s">
        <v>584</v>
      </c>
      <c r="J1470" s="2" t="s">
        <v>35</v>
      </c>
      <c r="K1470" s="2" t="s">
        <v>35</v>
      </c>
      <c r="L1470" s="2" t="s">
        <v>35</v>
      </c>
      <c r="M1470" s="2" t="s">
        <v>35</v>
      </c>
      <c r="N1470" s="3">
        <v>44769.470793587963</v>
      </c>
      <c r="O1470" s="3">
        <v>44769.471049976855</v>
      </c>
      <c r="P1470" s="2">
        <v>0</v>
      </c>
      <c r="Q1470" s="2" t="s">
        <v>36</v>
      </c>
      <c r="R1470" s="2" t="s">
        <v>38</v>
      </c>
      <c r="S1470" s="2" t="s">
        <v>35</v>
      </c>
      <c r="T1470" s="2" t="s">
        <v>35</v>
      </c>
      <c r="U1470" s="2" t="s">
        <v>35</v>
      </c>
      <c r="V1470" s="2" t="b">
        <v>0</v>
      </c>
      <c r="W1470" s="2" t="s">
        <v>35</v>
      </c>
      <c r="X1470" s="2" t="s">
        <v>35</v>
      </c>
      <c r="Y1470" s="2">
        <v>3</v>
      </c>
      <c r="Z1470" s="2" t="s">
        <v>35</v>
      </c>
    </row>
    <row r="1471" spans="1:26" x14ac:dyDescent="0.2">
      <c r="A1471" s="2" t="s">
        <v>3750</v>
      </c>
      <c r="B1471" s="2" t="b">
        <v>0</v>
      </c>
      <c r="C1471" s="2" t="b">
        <v>0</v>
      </c>
      <c r="D1471" s="2" t="b">
        <v>0</v>
      </c>
      <c r="E1471" s="2" t="b">
        <v>0</v>
      </c>
      <c r="F1471" s="2" t="s">
        <v>31</v>
      </c>
      <c r="G1471" s="2" t="s">
        <v>3751</v>
      </c>
      <c r="H1471" s="2" t="s">
        <v>3752</v>
      </c>
      <c r="I1471" s="2" t="s">
        <v>3753</v>
      </c>
      <c r="J1471" s="2" t="s">
        <v>35</v>
      </c>
      <c r="K1471" s="2" t="s">
        <v>35</v>
      </c>
      <c r="L1471" s="2" t="s">
        <v>35</v>
      </c>
      <c r="M1471" s="2" t="s">
        <v>35</v>
      </c>
      <c r="N1471" s="3">
        <v>44769.471733715276</v>
      </c>
      <c r="O1471" s="3">
        <v>44769.472099861108</v>
      </c>
      <c r="P1471" s="2">
        <v>0</v>
      </c>
      <c r="Q1471" s="2" t="s">
        <v>109</v>
      </c>
      <c r="R1471" s="2" t="s">
        <v>38</v>
      </c>
      <c r="S1471" s="2" t="s">
        <v>35</v>
      </c>
      <c r="T1471" s="2">
        <v>75</v>
      </c>
      <c r="U1471" s="2" t="s">
        <v>3754</v>
      </c>
      <c r="V1471" s="2" t="b">
        <v>0</v>
      </c>
      <c r="W1471" s="2" t="s">
        <v>35</v>
      </c>
      <c r="X1471" s="2" t="s">
        <v>35</v>
      </c>
      <c r="Y1471" s="2" t="s">
        <v>35</v>
      </c>
      <c r="Z1471" s="2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Barrierenmessung</vt:lpstr>
      <vt:lpstr>Barrierenmessung_reviewed</vt:lpstr>
      <vt:lpstr>Kalkulationen gesamt</vt:lpstr>
      <vt:lpstr>Kalkulationen Barrieretypen</vt:lpstr>
      <vt:lpstr>Remote Tool Evaluation</vt:lpstr>
      <vt:lpstr>Remote Tool Messungen</vt:lpstr>
      <vt:lpstr>gate</vt:lpstr>
      <vt:lpstr>bollard</vt:lpstr>
      <vt:lpstr>kerb</vt:lpstr>
      <vt:lpstr>stair</vt:lpstr>
      <vt:lpstr>other</vt:lpstr>
      <vt:lpstr>cycle_barrier</vt:lpstr>
      <vt:lpstr>block</vt:lpstr>
      <vt:lpstr>planter</vt:lpstr>
      <vt:lpstr>problematic_way</vt:lpstr>
      <vt:lpstr>cross_drain</vt:lpstr>
      <vt:lpstr>Infra3d - E</vt:lpstr>
      <vt:lpstr>remote</vt:lpstr>
      <vt:lpstr>on-site</vt:lpstr>
      <vt:lpstr>remote vs on-site</vt:lpstr>
      <vt:lpstr>barrier matrix</vt:lpstr>
      <vt:lpstr>tool matrix (improved concept)</vt:lpstr>
      <vt:lpstr>accuracy barriers</vt:lpstr>
      <vt:lpstr>images</vt:lpstr>
      <vt:lpstr>Sheet0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Sophy Chhong</cp:lastModifiedBy>
  <cp:revision/>
  <dcterms:created xsi:type="dcterms:W3CDTF">2022-08-04T11:56:52Z</dcterms:created>
  <dcterms:modified xsi:type="dcterms:W3CDTF">2022-10-11T18:39:07Z</dcterms:modified>
  <cp:category/>
  <cp:contentStatus/>
</cp:coreProperties>
</file>